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6.xml" ContentType="application/vnd.openxmlformats-officedocument.spreadsheetml.comments+xml"/>
  <Override PartName="/xl/comments4.xml" ContentType="application/vnd.openxmlformats-officedocument.spreadsheetml.comments+xml"/>
  <Override PartName="/xl/styles.xml" ContentType="application/vnd.openxmlformats-officedocument.spreadsheetml.styles+xml"/>
  <Override PartName="/xl/comments2.xml" ContentType="application/vnd.openxmlformats-officedocument.spreadsheetml.comments+xml"/>
  <Override PartName="/xl/comments7.xml" ContentType="application/vnd.openxmlformats-officedocument.spreadsheetml.comments+xml"/>
  <Override PartName="/xl/comments1.xml" ContentType="application/vnd.openxmlformats-officedocument.spreadsheetml.comments+xml"/>
  <Override PartName="/xl/comments5.xml" ContentType="application/vnd.openxmlformats-officedocument.spreadsheetml.comments+xml"/>
  <Override PartName="/xl/sharedStrings.xml" ContentType="application/vnd.openxmlformats-officedocument.spreadsheetml.sharedString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comments3.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Offices" sheetId="1" state="visible" r:id="rId3"/>
    <sheet name="Brands" sheetId="2" state="visible" r:id="rId4"/>
    <sheet name="Daily view - Offices" sheetId="3" state="visible" r:id="rId5"/>
    <sheet name="Daily view - Brands" sheetId="4" state="visible" r:id="rId6"/>
    <sheet name="Walk list - Offices" sheetId="5" state="visible" r:id="rId7"/>
    <sheet name="Founder review - Brands" sheetId="6" state="visible" r:id="rId8"/>
    <sheet name="Enrichment" sheetId="7" state="visible" r:id="rId9"/>
    <sheet name="Dictionary" sheetId="8" state="visible" r:id="rId10"/>
    <sheet name="Scoring" sheetId="9" state="visible" r:id="rId11"/>
    <sheet name="Routine" sheetId="10" state="visible" r:id="rId12"/>
  </sheets>
  <definedNames>
    <definedName function="false" hidden="true" localSheetId="1" name="_xlnm._FilterDatabase" vbProcedure="false">Brands!$A$1:$FG$312</definedName>
    <definedName function="false" hidden="true" localSheetId="0" name="_xlnm._FilterDatabase" vbProcedure="false">Offices!$A$1:$GD$309</definedName>
    <definedName function="false" hidden="false" name="company_name" vbProcedure="false">Routine!$B$1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T1" authorId="0">
      <text>
        <r>
          <rPr>
            <sz val="10"/>
            <rFont val="Arial"/>
            <family val="2"/>
          </rPr>
          <t xml:space="preserve">Y the same day anyone opts out. Never set back to N. Any one of do_not_contact = Y, status = do_not_contact or a filled opt_out_date keeps the row and its whole company_group out of every view.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CONTRACTS section 4 words only (the cell refuses anything else). An opt-out: status = do_not_contact, do_not_contact = Y and opt_out_date, all three, the same day. A red cell means the three disagree.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W1" authorId="0">
      <text>
        <r>
          <rPr>
            <sz val="10"/>
            <rFont val="Arial"/>
            <family val="2"/>
          </rPr>
          <t xml:space="preserve">Y after a wrong_person reply: the backup becomes the contact everywhere (the view, title_match, score, channel, check_before_send). Then set status = new.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T1" authorId="0">
      <text>
        <r>
          <rPr>
            <sz val="10"/>
            <rFont val="Arial"/>
            <family val="2"/>
          </rPr>
          <t xml:space="preserve">Y the same day anyone opts out. Never set back to N. Any one of do_not_contact = Y, status = do_not_contact or a filled opt_out_date keeps the row and its whole company_group out of every view.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CONTRACTS section 4 words only (the cell refuses anything else). An opt-out: status = do_not_contact, do_not_contact = Y and opt_out_date, all three, the same day. A red cell means the three disagree.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T1" authorId="0">
      <text>
        <r>
          <rPr>
            <sz val="10"/>
            <rFont val="Arial"/>
            <family val="2"/>
          </rPr>
          <t xml:space="preserve">Y after a wrong_person reply: the backup becomes the contact everywhere (the view, title_match, score, channel, check_before_send). Then set status = new.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ten best-scored Offices rows with status = new, do_not_contact = N, no opt-out, ready_for_outreach = Y and nobody in their company_group in flight or opted out; one row per group. It updates when you edit those columns.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ten best-scored Brands rows with status = new, do_not_contact = N, no opt-out, ready_for_outreach = Y (founder review cleared) and nobody in their company_group in flight or opted out; one row per group.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Offices in the top 50 with nobody named (channel = walk-in), passed, status new, no hold, no do-not-contact: the lobby walk list, best score first.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Brands that passed the gates but carry a blocking founder review: read founder_review_reason, then set founder_review_cleared = Y on the Brands tab (or status = no). Best score first.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Paste the Clay export here (select A1, paste, header row included), or type rows by hand: row_id plus work_email and email_status (verified or unverified), and backup_work_email and backup_email_status. Columns are found by their header names, so order and extra columns do not matter. Only these four columns are read: nothing pasted here can change status, do_not_contact or any founder control.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60</xdr:colOff>
                <xdr:row>4</xdr:row>
                <xdr:rowOff>1</xdr:rowOff>
              </xdr:to>
            </anchor>
          </commentPr>
        </mc:Choice>
        <mc:Fallback/>
      </mc:AlternateContent>
    </comment>
  </commentList>
</comments>
</file>

<file path=xl/sharedStrings.xml><?xml version="1.0" encoding="utf-8"?>
<sst xmlns="http://schemas.openxmlformats.org/spreadsheetml/2006/main" count="45975" uniqueCount="12612">
  <si>
    <t xml:space="preserve">row_id</t>
  </si>
  <si>
    <t xml:space="preserve">company</t>
  </si>
  <si>
    <t xml:space="preserve">website</t>
  </si>
  <si>
    <t xml:space="preserve">domain</t>
  </si>
  <si>
    <t xml:space="preserve">rank</t>
  </si>
  <si>
    <t xml:space="preserve">score_at_build</t>
  </si>
  <si>
    <t xml:space="preserve">ready_at_build</t>
  </si>
  <si>
    <t xml:space="preserve">primary_first_name</t>
  </si>
  <si>
    <t xml:space="preserve">primary_last_name</t>
  </si>
  <si>
    <t xml:space="preserve">primary_title</t>
  </si>
  <si>
    <t xml:space="preserve">primary_linkedin_url</t>
  </si>
  <si>
    <t xml:space="preserve">primary_contact_role</t>
  </si>
  <si>
    <t xml:space="preserve">primary_contact_status</t>
  </si>
  <si>
    <t xml:space="preserve">primary_contact_evidence</t>
  </si>
  <si>
    <t xml:space="preserve">primary_contact_source_url</t>
  </si>
  <si>
    <t xml:space="preserve">primary_contact_source_date</t>
  </si>
  <si>
    <t xml:space="preserve">backup_first_name</t>
  </si>
  <si>
    <t xml:space="preserve">backup_last_name</t>
  </si>
  <si>
    <t xml:space="preserve">backup_title</t>
  </si>
  <si>
    <t xml:space="preserve">backup_linkedin_url</t>
  </si>
  <si>
    <t xml:space="preserve">backup_contact_role</t>
  </si>
  <si>
    <t xml:space="preserve">backup_contact_status</t>
  </si>
  <si>
    <t xml:space="preserve">backup_contact_evidence</t>
  </si>
  <si>
    <t xml:space="preserve">backup_contact_source_url</t>
  </si>
  <si>
    <t xml:space="preserve">backup_contact_source_date</t>
  </si>
  <si>
    <t xml:space="preserve">backup_contact_name_as_found</t>
  </si>
  <si>
    <t xml:space="preserve">backup_contact_record_date</t>
  </si>
  <si>
    <t xml:space="preserve">backup_contact_note</t>
  </si>
  <si>
    <t xml:space="preserve">backup_contact_ny_base</t>
  </si>
  <si>
    <t xml:space="preserve">backup_linkedin_status</t>
  </si>
  <si>
    <t xml:space="preserve">street_address</t>
  </si>
  <si>
    <t xml:space="preserve">floor</t>
  </si>
  <si>
    <t xml:space="preserve">industry</t>
  </si>
  <si>
    <t xml:space="preserve">employee_count</t>
  </si>
  <si>
    <t xml:space="preserve">linkedin_company_url</t>
  </si>
  <si>
    <t xml:space="preserve">top50</t>
  </si>
  <si>
    <t xml:space="preserve">onsite_band</t>
  </si>
  <si>
    <t xml:space="preserve">contacts_researched</t>
  </si>
  <si>
    <t xml:space="preserve">onsite_high</t>
  </si>
  <si>
    <t xml:space="preserve">onsite_confidence</t>
  </si>
  <si>
    <t xml:space="preserve">attendance_signal</t>
  </si>
  <si>
    <t xml:space="preserve">company_group</t>
  </si>
  <si>
    <t xml:space="preserve">hold_before_outreach</t>
  </si>
  <si>
    <t xml:space="preserve">hold_reason</t>
  </si>
  <si>
    <t xml:space="preserve">opt_out_date</t>
  </si>
  <si>
    <t xml:space="preserve">ready_for_outreach</t>
  </si>
  <si>
    <t xml:space="preserve">ready_reason</t>
  </si>
  <si>
    <t xml:space="preserve">founder_ok_to_queue</t>
  </si>
  <si>
    <t xml:space="preserve">promote_backup</t>
  </si>
  <si>
    <t xml:space="preserve">onsite_founder_call</t>
  </si>
  <si>
    <t xml:space="preserve">primary_work_email</t>
  </si>
  <si>
    <t xml:space="preserve">primary_email_status</t>
  </si>
  <si>
    <t xml:space="preserve">primary_title_match</t>
  </si>
  <si>
    <t xml:space="preserve">primary_check_before_send</t>
  </si>
  <si>
    <t xml:space="preserve">primary_reason_who</t>
  </si>
  <si>
    <t xml:space="preserve">backup_work_email</t>
  </si>
  <si>
    <t xml:space="preserve">backup_email_status</t>
  </si>
  <si>
    <t xml:space="preserve">backup_title_match</t>
  </si>
  <si>
    <t xml:space="preserve">backup_check_before_send</t>
  </si>
  <si>
    <t xml:space="preserve">backup_reason_who</t>
  </si>
  <si>
    <t xml:space="preserve">score_reason_core</t>
  </si>
  <si>
    <t xml:space="preserve">channel_base</t>
  </si>
  <si>
    <t xml:space="preserve">contact_name_as_found</t>
  </si>
  <si>
    <t xml:space="preserve">contact_record_date</t>
  </si>
  <si>
    <t xml:space="preserve">contact_note</t>
  </si>
  <si>
    <t xml:space="preserve">contact_ny_base</t>
  </si>
  <si>
    <t xml:space="preserve">linkedin_status</t>
  </si>
  <si>
    <t xml:space="preserve">gate_result</t>
  </si>
  <si>
    <t xml:space="preserve">gate_reason</t>
  </si>
  <si>
    <t xml:space="preserve">org_type</t>
  </si>
  <si>
    <t xml:space="preserve">b_id</t>
  </si>
  <si>
    <t xml:space="preserve">employee_count_second</t>
  </si>
  <si>
    <t xml:space="preserve">headcount_band</t>
  </si>
  <si>
    <t xml:space="preserve">headcount_scope</t>
  </si>
  <si>
    <t xml:space="preserve">headcount_check</t>
  </si>
  <si>
    <t xml:space="preserve">headcount_source_url</t>
  </si>
  <si>
    <t xml:space="preserve">headcount_second_source_url</t>
  </si>
  <si>
    <t xml:space="preserve">size_class</t>
  </si>
  <si>
    <t xml:space="preserve">hq_city</t>
  </si>
  <si>
    <t xml:space="preserve">hq_in_nyc</t>
  </si>
  <si>
    <t xml:space="preserve">parent_company</t>
  </si>
  <si>
    <t xml:space="preserve">zip</t>
  </si>
  <si>
    <t xml:space="preserve">lat</t>
  </si>
  <si>
    <t xml:space="preserve">lon</t>
  </si>
  <si>
    <t xml:space="preserve">in_boundary</t>
  </si>
  <si>
    <t xml:space="preserve">blocks_outside</t>
  </si>
  <si>
    <t xml:space="preserve">building_id</t>
  </si>
  <si>
    <t xml:space="preserve">building_name</t>
  </si>
  <si>
    <t xml:space="preserve">address_source_url</t>
  </si>
  <si>
    <t xml:space="preserve">address_source_date</t>
  </si>
  <si>
    <t xml:space="preserve">address_source_type</t>
  </si>
  <si>
    <t xml:space="preserve">second_source_url</t>
  </si>
  <si>
    <t xml:space="preserve">second_source_date</t>
  </si>
  <si>
    <t xml:space="preserve">source_note</t>
  </si>
  <si>
    <t xml:space="preserve">confidence</t>
  </si>
  <si>
    <t xml:space="preserve">move_in_date</t>
  </si>
  <si>
    <t xml:space="preserve">in_coworking</t>
  </si>
  <si>
    <t xml:space="preserve">coworking_id</t>
  </si>
  <si>
    <t xml:space="preserve">pantry_control</t>
  </si>
  <si>
    <t xml:space="preserve">lobby_type</t>
  </si>
  <si>
    <t xml:space="preserve">lobby_source_url</t>
  </si>
  <si>
    <t xml:space="preserve">lobby_note</t>
  </si>
  <si>
    <t xml:space="preserve">coi_required</t>
  </si>
  <si>
    <t xml:space="preserve">tuesday_named_in_policy</t>
  </si>
  <si>
    <t xml:space="preserve">attendance_evidence</t>
  </si>
  <si>
    <t xml:space="preserve">attendance_source_url</t>
  </si>
  <si>
    <t xml:space="preserve">attendance_source_date</t>
  </si>
  <si>
    <t xml:space="preserve">onsite_central</t>
  </si>
  <si>
    <t xml:space="preserve">onsite_flags</t>
  </si>
  <si>
    <t xml:space="preserve">onsite_space_check</t>
  </si>
  <si>
    <t xml:space="preserve">onsite_basis</t>
  </si>
  <si>
    <t xml:space="preserve">onsite_label</t>
  </si>
  <si>
    <t xml:space="preserve">onsite_fit_share</t>
  </si>
  <si>
    <t xml:space="preserve">score_raw</t>
  </si>
  <si>
    <t xml:space="preserve">score_onsite</t>
  </si>
  <si>
    <t xml:space="preserve">score_size</t>
  </si>
  <si>
    <t xml:space="preserve">score_attendance</t>
  </si>
  <si>
    <t xml:space="preserve">score_address</t>
  </si>
  <si>
    <t xml:space="preserve">score_title</t>
  </si>
  <si>
    <t xml:space="preserve">score_known</t>
  </si>
  <si>
    <t xml:space="preserve">b_candidate_status</t>
  </si>
  <si>
    <t xml:space="preserve">near_miss_class</t>
  </si>
  <si>
    <t xml:space="preserve">nyc_office_may_fit</t>
  </si>
  <si>
    <t xml:space="preserve">leased_sf_mentioned</t>
  </si>
  <si>
    <t xml:space="preserve">leased_sf_source</t>
  </si>
  <si>
    <t xml:space="preserve">b_notes</t>
  </si>
  <si>
    <t xml:space="preserve">a_corrections</t>
  </si>
  <si>
    <t xml:space="preserve">linkedin_company_source</t>
  </si>
  <si>
    <t xml:space="preserve">company_group_reason</t>
  </si>
  <si>
    <t xml:space="preserve">sequence</t>
  </si>
  <si>
    <t xml:space="preserve">touch_1_date</t>
  </si>
  <si>
    <t xml:space="preserve">touch_2_date</t>
  </si>
  <si>
    <t xml:space="preserve">touch_3_date</t>
  </si>
  <si>
    <t xml:space="preserve">last_reply_date</t>
  </si>
  <si>
    <t xml:space="preserve">reply_type</t>
  </si>
  <si>
    <t xml:space="preserve">call_date</t>
  </si>
  <si>
    <t xml:space="preserve">call_notes</t>
  </si>
  <si>
    <t xml:space="preserve">yes_in_principle</t>
  </si>
  <si>
    <t xml:space="preserve">next_action</t>
  </si>
  <si>
    <t xml:space="preserve">next_action_date</t>
  </si>
  <si>
    <t xml:space="preserve">referral_from</t>
  </si>
  <si>
    <t xml:space="preserve">street_short</t>
  </si>
  <si>
    <t xml:space="preserve">why_now_hook</t>
  </si>
  <si>
    <t xml:space="preserve">call_note_hook</t>
  </si>
  <si>
    <t xml:space="preserve">how_we_know</t>
  </si>
  <si>
    <t xml:space="preserve">referrer_ok_to_name</t>
  </si>
  <si>
    <t xml:space="preserve">in_flight</t>
  </si>
  <si>
    <t xml:space="preserve">dnc_any</t>
  </si>
  <si>
    <t xml:space="preserve">group_key</t>
  </si>
  <si>
    <t xml:space="preserve">group_blocked</t>
  </si>
  <si>
    <t xml:space="preserve">eligible</t>
  </si>
  <si>
    <t xml:space="preserve">view_pick</t>
  </si>
  <si>
    <t xml:space="preserve">in_daily_view</t>
  </si>
  <si>
    <t xml:space="preserve">view_slot</t>
  </si>
  <si>
    <t xml:space="preserve">walk_ok</t>
  </si>
  <si>
    <t xml:space="preserve">walk_slot</t>
  </si>
  <si>
    <t xml:space="preserve">intact</t>
  </si>
  <si>
    <t xml:space="preserve">row_order</t>
  </si>
  <si>
    <t xml:space="preserve">AO-C-009</t>
  </si>
  <si>
    <t xml:space="preserve">Alpine Investors</t>
  </si>
  <si>
    <t xml:space="preserve">https://www.alpineinvestors.com</t>
  </si>
  <si>
    <t xml:space="preserve">alpineinvestors.com</t>
  </si>
  <si>
    <t xml:space="preserve">1</t>
  </si>
  <si>
    <t xml:space="preserve">80.0</t>
  </si>
  <si>
    <t xml:space="preserve">Y</t>
  </si>
  <si>
    <t xml:space="preserve">Jake</t>
  </si>
  <si>
    <t xml:space="preserve">Jones</t>
  </si>
  <si>
    <t xml:space="preserve">Office Coordinator, New York office</t>
  </si>
  <si>
    <t xml:space="preserve">pantry or office lead (primary)</t>
  </si>
  <si>
    <t xml:space="preserve">verified-page</t>
  </si>
  <si>
    <t xml:space="preserve">employer's own site</t>
  </si>
  <si>
    <t xml:space="preserve">https://alpineinvestors.com/group/alpine-management/page/4/</t>
  </si>
  <si>
    <t xml:space="preserve">2026-10-24</t>
  </si>
  <si>
    <t xml:space="preserve">Katira</t>
  </si>
  <si>
    <t xml:space="preserve">Getzen</t>
  </si>
  <si>
    <t xml:space="preserve">Office Coordinator, New York City office</t>
  </si>
  <si>
    <t xml:space="preserve">pantry or office lead (backup)</t>
  </si>
  <si>
    <t xml:space="preserve">Katira Getzen</t>
  </si>
  <si>
    <t xml:space="preserve">2025-03-11</t>
  </si>
  <si>
    <t xml:space="preserve">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</si>
  <si>
    <t xml:space="preserve">confirmed</t>
  </si>
  <si>
    <t xml:space="preserve">124 East 14th Street</t>
  </si>
  <si>
    <t xml:space="preserve">12</t>
  </si>
  <si>
    <t xml:space="preserve">private equity</t>
  </si>
  <si>
    <t xml:space="preserve">203</t>
  </si>
  <si>
    <t xml:space="preserve">https://www.linkedin.com/company/alpine-investors</t>
  </si>
  <si>
    <t xml:space="preserve">76-150</t>
  </si>
  <si>
    <t xml:space="preserve">low</t>
  </si>
  <si>
    <t xml:space="preserve">in-office-5</t>
  </si>
  <si>
    <t xml:space="preserve">N</t>
  </si>
  <si>
    <t xml:space="preserve">exact</t>
  </si>
  <si>
    <t xml:space="preserve">find Jake Jones at Alpine Investors on LinkedIn and paste the profile URL into primary_linkedin_url; the source is dated 2025-09-15: check Jake still holds the role</t>
  </si>
  <si>
    <t xml:space="preserve">contact in the target titles named (Office Coordinator, New York office)</t>
  </si>
  <si>
    <t xml:space="preserve">find Katira Getzen at Alpine Investors on LinkedIn and paste the profile URL into backup_linkedin_url; the source is dated 2025-03-11: check Katira still holds the role</t>
  </si>
  <si>
    <t xml:space="preserve">contact in the target titles named (Office Coordinator, New York City office)</t>
  </si>
  <si>
    <t xml:space="preserve">Tuesday estimate 88 to 136 (low confidence), under 500 staff company-wide, on-site 5 days a week per its profile, occupied at a high-confidence address</t>
  </si>
  <si>
    <t xml:space="preserve">linkedin</t>
  </si>
  <si>
    <t xml:space="preserve">Jake Jones</t>
  </si>
  <si>
    <t xml:space="preserve">2025-09-15</t>
  </si>
  <si>
    <t xml:space="preserve">title_match=target; Alpine team page bio: "Jake is an Office Coordinator at Alpine’s New York office"; bio posted 2025-09-15; also listed under Finance &amp; Operations on alpineinvestors.com/team/. LinkedIn profile not searched.</t>
  </si>
  <si>
    <t xml:space="preserve">pass</t>
  </si>
  <si>
    <t xml:space="preserve">passes all hard gates</t>
  </si>
  <si>
    <t xml:space="preserve">B-C-009</t>
  </si>
  <si>
    <t xml:space="preserve">151-250</t>
  </si>
  <si>
    <t xml:space="preserve">whole-company</t>
  </si>
  <si>
    <t xml:space="preserve">single-source</t>
  </si>
  <si>
    <t xml:space="preserve">https://www.builtinnyc.com/company/alpine-investors</t>
  </si>
  <si>
    <t xml:space="preserve">le500</t>
  </si>
  <si>
    <t xml:space="preserve">San Francisco</t>
  </si>
  <si>
    <t xml:space="preserve">unknown</t>
  </si>
  <si>
    <t xml:space="preserve">10003</t>
  </si>
  <si>
    <t xml:space="preserve">B-B-002</t>
  </si>
  <si>
    <t xml:space="preserve">Zero Irving</t>
  </si>
  <si>
    <t xml:space="preserve">https://www.alpineinvestors.com/contact/</t>
  </si>
  <si>
    <t xml:space="preserve">company-site</t>
  </si>
  <si>
    <t xml:space="preserve">https://commercialobserver.com/2022/11/alpine-investors-lease-zero-irving/</t>
  </si>
  <si>
    <t xml:space="preserve">2022-11-17</t>
  </si>
  <si>
    <t xml:space="preserve">high</t>
  </si>
  <si>
    <t xml:space="preserve">Built In workplace type: OnSite Workplace; typical time on-site: 5 days a week</t>
  </si>
  <si>
    <t xml:space="preserve">https://www.builtinnyc.com/company/alpine-investors/offices</t>
  </si>
  <si>
    <t xml:space="preserve">203 (Built In) staff (whole-company count) x 5% to 100% of them in the New York office (HQ outside New York; share assumed) x 67% (Partnership for NYC, firms under 500) in on a weekday; space-based for a company headquartered outside New York: 22,000 sf seats 88 to 176 at 250 to 125 sf per person, kept within the headcount math (7 to 136) (largest square footage the sources mention at this address; if the company holds more space here, intake corrects it) = 88 to 136, central 109; low confidence; estimate until intake replaces it.</t>
  </si>
  <si>
    <t xml:space="preserve">estimate until intake replaces it</t>
  </si>
  <si>
    <t xml:space="preserve">candidate</t>
  </si>
  <si>
    <t xml:space="preserve">22,000 sf</t>
  </si>
  <si>
    <t xml:space="preserve">B's sources</t>
  </si>
  <si>
    <t xml:space="preserve">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</si>
  <si>
    <t xml:space="preserve">linked from the company's own site (https://alpineinvestors.com/, opened 2026-10-24); LinkedIn not opened</t>
  </si>
  <si>
    <t xml:space="preserve">AO-C-035</t>
  </si>
  <si>
    <t xml:space="preserve">Global Strategy Group</t>
  </si>
  <si>
    <t xml:space="preserve">https://www.globalstrategygroup.com</t>
  </si>
  <si>
    <t xml:space="preserve">globalstrategygroup.com</t>
  </si>
  <si>
    <t xml:space="preserve">2</t>
  </si>
  <si>
    <t xml:space="preserve">Joan</t>
  </si>
  <si>
    <t xml:space="preserve">McHugh-Ward</t>
  </si>
  <si>
    <t xml:space="preserve">Manager, HQ-Office Services</t>
  </si>
  <si>
    <t xml:space="preserve">https://globalstrategygroup.com/team/</t>
  </si>
  <si>
    <t xml:space="preserve">Liana</t>
  </si>
  <si>
    <t xml:space="preserve">Kane</t>
  </si>
  <si>
    <t xml:space="preserve">Senior Executive Assistant to the CEO</t>
  </si>
  <si>
    <t xml:space="preserve">https://www.linkedin.com/in/liana-kane-ba771b29/</t>
  </si>
  <si>
    <t xml:space="preserve">https://globalstrategygroup.com/team/liana-kane/</t>
  </si>
  <si>
    <t xml:space="preserve">Liana Kane</t>
  </si>
  <si>
    <t xml:space="preserve">2026-09-07</t>
  </si>
  <si>
    <t xml:space="preserve">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</si>
  <si>
    <t xml:space="preserve">listed on an opened page or in search results; LinkedIn itself not opened</t>
  </si>
  <si>
    <t xml:space="preserve">215 Park Avenue South</t>
  </si>
  <si>
    <t xml:space="preserve">15</t>
  </si>
  <si>
    <t xml:space="preserve">public affairs, research and communications consulting</t>
  </si>
  <si>
    <t xml:space="preserve">187</t>
  </si>
  <si>
    <t xml:space="preserve">https://www.linkedin.com/company/global-strategy-group</t>
  </si>
  <si>
    <t xml:space="preserve">find Joan McHugh-Ward at Global Strategy Group on LinkedIn and paste the profile URL into primary_linkedin_url</t>
  </si>
  <si>
    <t xml:space="preserve">contact in the target titles named (Manager, HQ-Office Services)</t>
  </si>
  <si>
    <t xml:space="preserve">open the LinkedIn URL and confirm it is Liana Kane, Senior Executive Assistant to the CEO at Global Strategy Group (found on another page, never opened)</t>
  </si>
  <si>
    <t xml:space="preserve">contact in the target titles named (Senior Executive Assistant to the CEO)</t>
  </si>
  <si>
    <t xml:space="preserve">Tuesday estimate 63 to 125 (low confidence), under 500 staff company-wide, on-site 5 days a week per its profile, occupied at a high-confidence address</t>
  </si>
  <si>
    <t xml:space="preserve">Joan McHugh-Ward</t>
  </si>
  <si>
    <t xml:space="preserve">ny_base=confirmed; title_fit=family (office services manager). Company team page lists 'Manager, HQ-Office Services'; her profile page https://globalstrategygroup.com/team/joan-mchugh/ is titled 'HQ Office Services'. GSG HQ is New York (215 Park Avenue South). No LinkedIn URL on the company page.</t>
  </si>
  <si>
    <t xml:space="preserve">B-C-035</t>
  </si>
  <si>
    <t xml:space="preserve">https://www.builtinnyc.com/company/global-strategy-group</t>
  </si>
  <si>
    <t xml:space="preserve">New York</t>
  </si>
  <si>
    <t xml:space="preserve">B-B-016</t>
  </si>
  <si>
    <t xml:space="preserve">215 Park Avenue South (SL Green managed)</t>
  </si>
  <si>
    <t xml:space="preserve">https://www.globalstrategygroup.com/locations/</t>
  </si>
  <si>
    <t xml:space="preserve">2026-10-23</t>
  </si>
  <si>
    <t xml:space="preserve">https://www.sec.gov/Archives/edgar/data/1013454/000153949726000704/n5676_x5-424h.htm</t>
  </si>
  <si>
    <t xml:space="preserve">2026-02</t>
  </si>
  <si>
    <t xml:space="preserve">cites a sec.gov filing: agents do not open it (EDGAR demands a contact email); the founder may open it in a browser</t>
  </si>
  <si>
    <t xml:space="preserve">security desk</t>
  </si>
  <si>
    <t xml:space="preserve">https://www.metro-manhattan.com/buildings/215-park-avenue-south/</t>
  </si>
  <si>
    <t xml:space="preserve">Built In workplace type: OnSite Workplace; typical time on-site: 5 days a week; recent job tags: 1 Hybrid</t>
  </si>
  <si>
    <t xml:space="preserve">https://www.builtinnyc.com/company/global-strategy-group/offices</t>
  </si>
  <si>
    <t xml:space="preserve">187 (Built In) staff (whole-company count) x 50% to 100% of them in the New York office (HQ New York; share assumed) x 67% (Partnership for NYC, firms under 500) in on a weekday = 63 to 125, central 89; low confidence; estimate until intake replaces it.</t>
  </si>
  <si>
    <t xml:space="preserve">21,974 sf</t>
  </si>
  <si>
    <t xml:space="preserve">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</si>
  <si>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(https://globalstrategygroup.com/, opened 2026-10-24); LinkedIn not opened</t>
  </si>
  <si>
    <t xml:space="preserve">AO-C-171</t>
  </si>
  <si>
    <t xml:space="preserve">Signal AI</t>
  </si>
  <si>
    <t xml:space="preserve">https://www.signal-ai.com</t>
  </si>
  <si>
    <t xml:space="preserve">signal-ai.com</t>
  </si>
  <si>
    <t xml:space="preserve">3</t>
  </si>
  <si>
    <t xml:space="preserve">Hannah</t>
  </si>
  <si>
    <t xml:space="preserve">Grow</t>
  </si>
  <si>
    <t xml:space="preserve">Senior People Operations Coordinator</t>
  </si>
  <si>
    <t xml:space="preserve">crowd-listed</t>
  </si>
  <si>
    <t xml:space="preserve">The Org (crowd-edited org chart)</t>
  </si>
  <si>
    <t xml:space="preserve">https://theorg.com/org/signal-ai/person/hannah-grow</t>
  </si>
  <si>
    <t xml:space="preserve">Lauren</t>
  </si>
  <si>
    <t xml:space="preserve">Stone</t>
  </si>
  <si>
    <t xml:space="preserve">Head Of People</t>
  </si>
  <si>
    <t xml:space="preserve">https://theorg.com/org/signal-ai/person/lauren-stone</t>
  </si>
  <si>
    <t xml:space="preserve">Lauren Stone</t>
  </si>
  <si>
    <t xml:space="preserve">2025-05-01</t>
  </si>
  <si>
    <t xml:space="preserve">ny_base=confirmed (same New York office record); title_fit=variant (people lead). The Org updated 2025-05-01.</t>
  </si>
  <si>
    <t xml:space="preserve">440 Park Avenue South</t>
  </si>
  <si>
    <t xml:space="preserve">14</t>
  </si>
  <si>
    <t xml:space="preserve">software (AI risk and reputation intelligence)</t>
  </si>
  <si>
    <t xml:space="preserve">226</t>
  </si>
  <si>
    <t xml:space="preserve">https://www.linkedin.com/company/signal-artificial-intelligence</t>
  </si>
  <si>
    <t xml:space="preserve">40-75</t>
  </si>
  <si>
    <t xml:space="preserve">find Hannah Grow at Signal AI on LinkedIn and paste the profile URL into primary_linkedin_url (this also confirms the name: The Org is crowd-edited and marks it Unverified)</t>
  </si>
  <si>
    <t xml:space="preserve">contact in the target titles named (Senior People Operations Coordinator) (crowd-listed on The Org)</t>
  </si>
  <si>
    <t xml:space="preserve">adjacent</t>
  </si>
  <si>
    <t xml:space="preserve">find Lauren Stone at Signal AI on LinkedIn and paste the profile URL into backup_linkedin_url (this also confirms the name: The Org is crowd-edited and marks it Unverified); the source is dated 2025-05-01: check Lauren still holds the role; adjacent title: ask who runs the pantry</t>
  </si>
  <si>
    <t xml:space="preserve">adjacent contact named (Head Of People) (crowd-listed on The Org)</t>
  </si>
  <si>
    <t xml:space="preserve">Tuesday estimate 45 to 89 (low confidence), under 500 staff company-wide, on-site 5 days a week per its profile, occupied at a high-confidence address</t>
  </si>
  <si>
    <t xml:space="preserve">Hannah Grow</t>
  </si>
  <si>
    <t xml:space="preserve">2026-02-09</t>
  </si>
  <si>
    <t xml:space="preserve">ny_base=confirmed (The Org attaches the role to Signal AI's New York office; that record shows 154 W 14th St while B's company-site address is 440 Park Avenue South); title_fit=family (people operations). The Org updated 2026-02-09.</t>
  </si>
  <si>
    <t xml:space="preserve">B-C-171</t>
  </si>
  <si>
    <t xml:space="preserve">https://www.builtinnyc.com/company/signal-ai/offices</t>
  </si>
  <si>
    <t xml:space="preserve">London</t>
  </si>
  <si>
    <t xml:space="preserve">10016</t>
  </si>
  <si>
    <t xml:space="preserve">B-B-080</t>
  </si>
  <si>
    <t xml:space="preserve">440 Park Avenue South (Samco Properties)</t>
  </si>
  <si>
    <t xml:space="preserve">https://www.signal-ai.com/</t>
  </si>
  <si>
    <t xml:space="preserve">https://commercialobserver.com/2022/12/signal-ai-doubles-offices-in-move-to-440-park-avenue-south/</t>
  </si>
  <si>
    <t xml:space="preserve">2022-12-19</t>
  </si>
  <si>
    <t xml:space="preserve">226 (Built In) staff (whole-company count) x 5% to 100% of them in the New York office (HQ outside New York; share assumed) x 67% (Partnership for NYC, firms under 500) in on a weekday; space-based for a company headquartered outside New York: 11,140 sf seats 45 to 89 at 250 to 125 sf per person, kept within the headcount math (8 to 151) (largest square footage the sources mention at this address; if the company holds more space here, intake corrects it) = 45 to 89, central 63; low confidence; estimate until intake replaces it.</t>
  </si>
  <si>
    <t xml:space="preserve">11,140 sf</t>
  </si>
  <si>
    <t xml:space="preserve">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</si>
  <si>
    <t xml:space="preserve">linked from the company's own site (https://signal-ai.com/, opened 2026-10-24); LinkedIn not opened</t>
  </si>
  <si>
    <t xml:space="preserve">AO-C-160</t>
  </si>
  <si>
    <t xml:space="preserve">K Health</t>
  </si>
  <si>
    <t xml:space="preserve">https://khealth.com</t>
  </si>
  <si>
    <t xml:space="preserve">khealth.com</t>
  </si>
  <si>
    <t xml:space="preserve">4</t>
  </si>
  <si>
    <t xml:space="preserve">76.5</t>
  </si>
  <si>
    <t xml:space="preserve">Naomy</t>
  </si>
  <si>
    <t xml:space="preserve">Ambroise</t>
  </si>
  <si>
    <t xml:space="preserve">People Operations Generalist</t>
  </si>
  <si>
    <t xml:space="preserve">https://theorg.com/org/k-health/person/naomy-ambroise</t>
  </si>
  <si>
    <t xml:space="preserve">Ana</t>
  </si>
  <si>
    <t xml:space="preserve">Ramos</t>
  </si>
  <si>
    <t xml:space="preserve">VP of Operations</t>
  </si>
  <si>
    <t xml:space="preserve">https://theorg.com/org/k-health/person/ana-ramos</t>
  </si>
  <si>
    <t xml:space="preserve">Ana Ramos</t>
  </si>
  <si>
    <t xml:space="preserve">2026-01-19</t>
  </si>
  <si>
    <t xml:space="preserve">ny_base=confirmed (The Org attaches the role to K Health's New York HQ office); title_fit=adjacent (operations lead, team 'Finance and Operations'). The Org updated 2026-01-19.</t>
  </si>
  <si>
    <t xml:space="preserve">387 Park Avenue South</t>
  </si>
  <si>
    <t xml:space="preserve">9</t>
  </si>
  <si>
    <t xml:space="preserve">healthtech (AI primary care)</t>
  </si>
  <si>
    <t xml:space="preserve">363</t>
  </si>
  <si>
    <t xml:space="preserve">https://www.linkedin.com/company/khealthinc</t>
  </si>
  <si>
    <t xml:space="preserve">2026-10-30</t>
  </si>
  <si>
    <t xml:space="preserve">find Naomy Ambroise at K Health on LinkedIn and paste the profile URL into primary_linkedin_url (this also confirms the name: The Org is crowd-edited and marks it Unverified)</t>
  </si>
  <si>
    <t xml:space="preserve">contact in the target titles named (People Operations Generalist) (crowd-listed on The Org)</t>
  </si>
  <si>
    <t xml:space="preserve">find Ana Ramos at K Health on LinkedIn and paste the profile URL into backup_linkedin_url (this also confirms the name: The Org is crowd-edited and marks it Unverified); adjacent title: ask who runs the pantry</t>
  </si>
  <si>
    <t xml:space="preserve">adjacent contact named (VP of Operations) (crowd-listed on The Org)</t>
  </si>
  <si>
    <t xml:space="preserve">Tuesday estimate 122 to 281 (low confidence), under 500 staff company-wide, on-site 5 days a week per its profile, occupied at a high-confidence address</t>
  </si>
  <si>
    <t xml:space="preserve">Naomy Ambroise</t>
  </si>
  <si>
    <t xml:space="preserve">2026-02-14</t>
  </si>
  <si>
    <t xml:space="preserve">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</si>
  <si>
    <t xml:space="preserve">likely</t>
  </si>
  <si>
    <t xml:space="preserve">B-C-160</t>
  </si>
  <si>
    <t xml:space="preserve">419</t>
  </si>
  <si>
    <t xml:space="preserve">251-500</t>
  </si>
  <si>
    <t xml:space="preserve">agree</t>
  </si>
  <si>
    <t xml:space="preserve">https://www.builtinnyc.com/company/k-health/offices</t>
  </si>
  <si>
    <t xml:space="preserve">https://www.reveliolabs.com/companies/k-health/employees</t>
  </si>
  <si>
    <t xml:space="preserve">B-B-073</t>
  </si>
  <si>
    <t xml:space="preserve">387 Park Avenue South (TF Cornerstone)</t>
  </si>
  <si>
    <t xml:space="preserve">https://www.connectcre.com/stories/ai-native-hanover-park-leases-full-floor-at-387-park-ave-south/</t>
  </si>
  <si>
    <t xml:space="preserve">2026-08-14</t>
  </si>
  <si>
    <t xml:space="preserve">leasing-press</t>
  </si>
  <si>
    <t xml:space="preserve">https://khealth.com/terms-of-use/</t>
  </si>
  <si>
    <t xml:space="preserve">completed a long-term renewal at 387 PAS in late 2025. CONFLICT: Built In (363 employees, on-site 5 days) lists HQ at 298 5th Ave, 7th</t>
  </si>
  <si>
    <t xml:space="preserve">may exceed 250</t>
  </si>
  <si>
    <t xml:space="preserve">363 (Built In) and 419 (Revelio Labs) staff (whole-company count) x 50% to 100% of them in the New York office (HQ New York; share assumed) x 67% (Partnership for NYC, firms under 500) in on a weekday = 122 to 281, central 185; low confidence; estimate until intake replaces it.</t>
  </si>
  <si>
    <t xml:space="preserve">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</si>
  <si>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(https://khealth.com/, opened 2026-10-24); LinkedIn not opened</t>
  </si>
  <si>
    <t xml:space="preserve">AO-C-050</t>
  </si>
  <si>
    <t xml:space="preserve">Global Trading Systems (GTS)</t>
  </si>
  <si>
    <t xml:space="preserve">https://gtsx.com</t>
  </si>
  <si>
    <t xml:space="preserve">gtsx.com</t>
  </si>
  <si>
    <t xml:space="preserve">5</t>
  </si>
  <si>
    <t xml:space="preserve">75.9</t>
  </si>
  <si>
    <t xml:space="preserve">Katherine</t>
  </si>
  <si>
    <t xml:space="preserve">Hickey</t>
  </si>
  <si>
    <t xml:space="preserve">Executive Assistant to CEO</t>
  </si>
  <si>
    <t xml:space="preserve">https://theorg.com/org/global-trading-systems-1/person/katherine-hickey</t>
  </si>
  <si>
    <t xml:space="preserve">none</t>
  </si>
  <si>
    <t xml:space="preserve">625 Avenue of the Americas</t>
  </si>
  <si>
    <t xml:space="preserve">electronic trading / market making</t>
  </si>
  <si>
    <t xml:space="preserve">420</t>
  </si>
  <si>
    <t xml:space="preserve">https://www.linkedin.com/company/global-trading-systems</t>
  </si>
  <si>
    <t xml:space="preserve">find Katherine Hickey at Global Trading Systems (GTS) on LinkedIn and paste the profile URL into primary_linkedin_url (this also confirms the name: The Org is crowd-edited and marks it Unverified)</t>
  </si>
  <si>
    <t xml:space="preserve">contact in the target titles named (Executive Assistant to CEO) (crowd-listed on The Org)</t>
  </si>
  <si>
    <t xml:space="preserve">no backup named: back to research</t>
  </si>
  <si>
    <t xml:space="preserve">no backup contact named</t>
  </si>
  <si>
    <t xml:space="preserve">Tuesday estimate 137 to 281 (low confidence), under 500 staff company-wide, on-site 5 days a week per its profile, occupied at a high-confidence address</t>
  </si>
  <si>
    <t xml:space="preserve">Katherine Hickey</t>
  </si>
  <si>
    <t xml:space="preserve">2026-01-28</t>
  </si>
  <si>
    <t xml:space="preserve">ny_base=confirmed; title_fit=family (EA to the CEO). The Org position page (opened 2026-10-24, updated 2026-01-28) lists her as Executive Assistant to CEO, located in the New York area; GTS is a New York firm. The Org is crowd-edited and marks crowd-added people Unverified.</t>
  </si>
  <si>
    <t xml:space="preserve">B-C-050</t>
  </si>
  <si>
    <t xml:space="preserve">410</t>
  </si>
  <si>
    <t xml:space="preserve">https://www.builtinnyc.com/company/gts</t>
  </si>
  <si>
    <t xml:space="preserve">https://www.reveliolabs.com/companies/global-trading-systems/employees</t>
  </si>
  <si>
    <t xml:space="preserve">10011</t>
  </si>
  <si>
    <t xml:space="preserve">B-B-020</t>
  </si>
  <si>
    <t xml:space="preserve">625 Avenue of the Americas (Taub family)</t>
  </si>
  <si>
    <t xml:space="preserve">https://commercialobserver.com/2024/11/trading-firm-gts-lease-625-avenue-of-the-americas/</t>
  </si>
  <si>
    <t xml:space="preserve">2024-11-21</t>
  </si>
  <si>
    <t xml:space="preserve">https://gtsx.com/locations/</t>
  </si>
  <si>
    <t xml:space="preserve">https://www.builtinnyc.com/company/gts/offices</t>
  </si>
  <si>
    <t xml:space="preserve">420 (Built In) and 410 (Revelio Labs) staff (whole-company count) x 50% to 100% of them in the New York office (HQ New York; share assumed) x 67% (Partnership for NYC, firms under 500) in on a weekday = 137 to 281, central 196; low confidence; estimate until intake replaces it.</t>
  </si>
  <si>
    <t xml:space="preserve">35,156 sf</t>
  </si>
  <si>
    <t xml:space="preserve">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</si>
  <si>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linked from the company's own site (https://gtsx.com/, opened 2026-10-24); LinkedIn not opened</t>
  </si>
  <si>
    <t xml:space="preserve">AO-C-037</t>
  </si>
  <si>
    <t xml:space="preserve">Nayya</t>
  </si>
  <si>
    <t xml:space="preserve">https://www.nayya.com</t>
  </si>
  <si>
    <t xml:space="preserve">nayya.com</t>
  </si>
  <si>
    <t xml:space="preserve">6</t>
  </si>
  <si>
    <t xml:space="preserve">75.0</t>
  </si>
  <si>
    <t xml:space="preserve">Phoebe</t>
  </si>
  <si>
    <t xml:space="preserve">Waxman</t>
  </si>
  <si>
    <t xml:space="preserve">Senior People Operations Analyst</t>
  </si>
  <si>
    <t xml:space="preserve">https://theorg.com/org/nayya/person/phoebe-waxman</t>
  </si>
  <si>
    <t xml:space="preserve">Amber</t>
  </si>
  <si>
    <t xml:space="preserve">Hewko</t>
  </si>
  <si>
    <t xml:space="preserve">Executive Assistant</t>
  </si>
  <si>
    <t xml:space="preserve">https://theorg.com/org/nayya/person/amber-hewko</t>
  </si>
  <si>
    <t xml:space="preserve">Amber Hewko</t>
  </si>
  <si>
    <t xml:space="preserve">2025-05-30</t>
  </si>
  <si>
    <t xml:space="preserve">ny_base=unconfirmed (no location or office on The Org); title_fit=variant (The Org shows her reporting to the CEO, Sarah Liebel). The Org updated 2025-05-30.</t>
  </si>
  <si>
    <t xml:space="preserve">unconfirmed</t>
  </si>
  <si>
    <t xml:space="preserve">benefits software (health tech)</t>
  </si>
  <si>
    <t xml:space="preserve">150</t>
  </si>
  <si>
    <t xml:space="preserve">https://www.linkedin.com/company/64515483</t>
  </si>
  <si>
    <t xml:space="preserve">hybrid-3</t>
  </si>
  <si>
    <t xml:space="preserve">find Phoebe Waxman at Nayya on LinkedIn and paste the profile URL into primary_linkedin_url (this also confirms the name: The Org is crowd-edited and marks it Unverified)</t>
  </si>
  <si>
    <t xml:space="preserve">contact in the target titles named (Senior People Operations Analyst) (crowd-listed on The Org)</t>
  </si>
  <si>
    <t xml:space="preserve">find Amber Hewko at Nayya on LinkedIn and paste the profile URL into backup_linkedin_url (this also confirms the name: The Org is crowd-edited and marks it Unverified); the source is dated 2025-05-30: check Amber still holds the role; check Amber works from the New York office; adjacent title: ask who runs the pantry</t>
  </si>
  <si>
    <t xml:space="preserve">adjacent contact named (Executive Assistant) (crowd-listed on The Org)</t>
  </si>
  <si>
    <t xml:space="preserve">Tuesday estimate 50 to 134 (low confidence), under 500 staff company-wide, hybrid 3 days, occupied at a high-confidence address</t>
  </si>
  <si>
    <t xml:space="preserve">Phoebe Waxman</t>
  </si>
  <si>
    <t xml:space="preserve">2026-01-24</t>
  </si>
  <si>
    <t xml:space="preserve">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</si>
  <si>
    <t xml:space="preserve">B-C-037</t>
  </si>
  <si>
    <t xml:space="preserve">200</t>
  </si>
  <si>
    <t xml:space="preserve">disagree</t>
  </si>
  <si>
    <t xml:space="preserve">https://www.builtinnyc.com/company/nayya</t>
  </si>
  <si>
    <t xml:space="preserve">https://www.reveliolabs.com/companies/nayya-health/employees</t>
  </si>
  <si>
    <t xml:space="preserve">other</t>
  </si>
  <si>
    <t xml:space="preserve">https://www.nyrej.com/sl-green-signs-29-915-s-f-lease-with-nayya-health-at-215-park-ave-south</t>
  </si>
  <si>
    <t xml:space="preserve">2024-12-10</t>
  </si>
  <si>
    <t xml:space="preserve">Built In workplace type: Hybrid Workplace; typical time on-site: 3 days a week; recent job tags: 3 Hybrid</t>
  </si>
  <si>
    <t xml:space="preserve">https://www.builtinnyc.com/company/nayya/offices</t>
  </si>
  <si>
    <t xml:space="preserve">150 (Built In) and 200 (Revelio Labs) staff (whole-company count) x 50% to 100% of them in the New York office (HQ New York; share assumed) x 67% (Partnership for NYC, firms under 500) in on a weekday = 50 to 134, central 82; low confidence; estimate until intake replaces it.</t>
  </si>
  <si>
    <t xml:space="preserve">29,915 sf;12,660 sf</t>
  </si>
  <si>
    <t xml:space="preserve">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</si>
  <si>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(https://www.nayya.com/, opened 2026-10-24); LinkedIn not opened</t>
  </si>
  <si>
    <t xml:space="preserve">AO-C-034</t>
  </si>
  <si>
    <t xml:space="preserve">Cognitiv</t>
  </si>
  <si>
    <t xml:space="preserve">https://cognitiv.ai</t>
  </si>
  <si>
    <t xml:space="preserve">cognitiv.ai</t>
  </si>
  <si>
    <t xml:space="preserve">7</t>
  </si>
  <si>
    <t xml:space="preserve">73.0</t>
  </si>
  <si>
    <t xml:space="preserve">Jason</t>
  </si>
  <si>
    <t xml:space="preserve">Pellegrino</t>
  </si>
  <si>
    <t xml:space="preserve">SVP, People</t>
  </si>
  <si>
    <t xml:space="preserve">https://cognitiv.ai/about-us</t>
  </si>
  <si>
    <t xml:space="preserve">Rebecca</t>
  </si>
  <si>
    <t xml:space="preserve">Aliab D.</t>
  </si>
  <si>
    <t xml:space="preserve">Vice President, Business Operations</t>
  </si>
  <si>
    <t xml:space="preserve">https://theorg.com/org/cognitiv/person/rebecca-aliab-d</t>
  </si>
  <si>
    <t xml:space="preserve">Rebecca Aliab D.</t>
  </si>
  <si>
    <t xml:space="preserve">ny_base=confirmed; title_fit=adjacent (business operations lead). The Org attaches the role to Cognitiv's New York HQ office (updated 2026-01-19). Surname appears truncated on The Org ('Aliab D.'); founder to confirm the full name before outreach.</t>
  </si>
  <si>
    <t xml:space="preserve">16</t>
  </si>
  <si>
    <t xml:space="preserve">adtech (AI advertising)</t>
  </si>
  <si>
    <t xml:space="preserve">170</t>
  </si>
  <si>
    <t xml:space="preserve">https://www.linkedin.com/company/cognitiv</t>
  </si>
  <si>
    <t xml:space="preserve">find Jason Pellegrino at Cognitiv on LinkedIn and paste the profile URL into primary_linkedin_url; adjacent title: ask who runs the pantry</t>
  </si>
  <si>
    <t xml:space="preserve">adjacent contact named (SVP, People)</t>
  </si>
  <si>
    <t xml:space="preserve">find Rebecca Aliab D. at Cognitiv on LinkedIn and paste the profile URL into backup_linkedin_url (this also confirms the name: The Org is crowd-edited and marks it Unverified); adjacent title: ask who runs the pantry</t>
  </si>
  <si>
    <t xml:space="preserve">adjacent contact named (Vice President, Business Operations) (crowd-listed on The Org)</t>
  </si>
  <si>
    <t xml:space="preserve">Tuesday estimate 56 to 114 (low confidence), under 500 staff company-wide, hybrid 3 days with Tuesday named as an office day, occupied at a high-confidence address</t>
  </si>
  <si>
    <t xml:space="preserve">Jason Pellegrino</t>
  </si>
  <si>
    <t xml:space="preserve">2026-03-04</t>
  </si>
  <si>
    <t xml:space="preserve">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</si>
  <si>
    <t xml:space="preserve">B-C-034</t>
  </si>
  <si>
    <t xml:space="preserve">166</t>
  </si>
  <si>
    <t xml:space="preserve">https://www.builtinnyc.com/company/cognitiv</t>
  </si>
  <si>
    <t xml:space="preserve">https://www.reveliolabs.com/companies/cognitiv/employees</t>
  </si>
  <si>
    <t xml:space="preserve">https://cognitiv.ai/contact/</t>
  </si>
  <si>
    <t xml:space="preserve">https://www.builtinnyc.com/company/cognitiv/offices</t>
  </si>
  <si>
    <t xml:space="preserve">170 (Built In) and 166 (Revelio Labs) staff (whole-company count) x 50% to 100% of them in the New York office (HQ New York; share assumed) x 67% (Partnership for NYC, firms under 500) in on a weekday = 56 to 114, central 80; low confidence; estimate until intake replaces it.</t>
  </si>
  <si>
    <t xml:space="preserve">16,612 sf</t>
  </si>
  <si>
    <t xml:space="preserve">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</si>
  <si>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(https://www.cognitiv.ai/, opened 2026-10-24); LinkedIn not opened</t>
  </si>
  <si>
    <t xml:space="preserve">AO-C-091</t>
  </si>
  <si>
    <t xml:space="preserve">1stDibs</t>
  </si>
  <si>
    <t xml:space="preserve">https://www.1stdibs.com/</t>
  </si>
  <si>
    <t xml:space="preserve">1stdibs.com</t>
  </si>
  <si>
    <t xml:space="preserve">8</t>
  </si>
  <si>
    <t xml:space="preserve">72.0</t>
  </si>
  <si>
    <t xml:space="preserve">Lindsay</t>
  </si>
  <si>
    <t xml:space="preserve">Cusatis</t>
  </si>
  <si>
    <t xml:space="preserve">Executive Assistant to Chief Executive Officer; Manager</t>
  </si>
  <si>
    <t xml:space="preserve">https://theorg.com/org/1stdibs/person/lindsay-cusatis</t>
  </si>
  <si>
    <t xml:space="preserve">Maura</t>
  </si>
  <si>
    <t xml:space="preserve">Bermingham</t>
  </si>
  <si>
    <t xml:space="preserve">People Business Partner</t>
  </si>
  <si>
    <t xml:space="preserve">https://theorg.com/org/1stdibs/person/maura-bermingham</t>
  </si>
  <si>
    <t xml:space="preserve">Maura Bermingham</t>
  </si>
  <si>
    <t xml:space="preserve">2025-05-23</t>
  </si>
  <si>
    <t xml:space="preserve">ny_base=likely (The Org gives a New York location, no office attached); title_fit=variant (people). The Org updated 2025-05-23.</t>
  </si>
  <si>
    <t xml:space="preserve">300 Park Avenue South</t>
  </si>
  <si>
    <t xml:space="preserve">10</t>
  </si>
  <si>
    <t xml:space="preserve">Online marketplace (design, art, antiques)</t>
  </si>
  <si>
    <t xml:space="preserve">455</t>
  </si>
  <si>
    <t xml:space="preserve">https://www.linkedin.com/company/1stdibs</t>
  </si>
  <si>
    <t xml:space="preserve">hybrid-unspecified</t>
  </si>
  <si>
    <t xml:space="preserve">find Lindsay Cusatis at 1stDibs on LinkedIn and paste the profile URL into primary_linkedin_url (this also confirms the name: The Org is crowd-edited and marks it Unverified); the source is dated 2024-11-24: check Lindsay still holds the role</t>
  </si>
  <si>
    <t xml:space="preserve">contact in the target titles named (Executive Assistant to Chief Executive Officer; Manager) (crowd-listed on The Org)</t>
  </si>
  <si>
    <t xml:space="preserve">find Maura Bermingham at 1stDibs on LinkedIn and paste the profile URL into backup_linkedin_url (this also confirms the name: The Org is crowd-edited and marks it Unverified); the source is dated 2025-05-23: check Maura still holds the role; adjacent title: ask who runs the pantry</t>
  </si>
  <si>
    <t xml:space="preserve">adjacent contact named (People Business Partner) (crowd-listed on The Org)</t>
  </si>
  <si>
    <t xml:space="preserve">Tuesday estimate 94 to 109 (low confidence), under 500 staff company-wide, hybrid (days not stated), occupied at a high-confidence address</t>
  </si>
  <si>
    <t xml:space="preserve">Lindsay Cusatis</t>
  </si>
  <si>
    <t xml:space="preserve">2024-11-24</t>
  </si>
  <si>
    <t xml:space="preserve">ny_base=confirmed (The Org attaches the role to 1stDibs's New York HQ office and shows her reporting to the CEO, David Rosenblatt); title_fit=family (EA to CEO). The Org updated 2024-11-24.</t>
  </si>
  <si>
    <t xml:space="preserve">B-C-091</t>
  </si>
  <si>
    <t xml:space="preserve">281</t>
  </si>
  <si>
    <t xml:space="preserve">https://www.builtinnyc.com/company/1stdibs/offices</t>
  </si>
  <si>
    <t xml:space="preserve">https://www.reveliolabs.com/companies/1stdibs/employees</t>
  </si>
  <si>
    <t xml:space="preserve">10010</t>
  </si>
  <si>
    <t xml:space="preserve">B-B-044</t>
  </si>
  <si>
    <t xml:space="preserve">300 Park Avenue South (Rockrose); also addressed 290 Park Avenue South</t>
  </si>
  <si>
    <t xml:space="preserve">https://www.1stdibs.com/about/user-agreement/</t>
  </si>
  <si>
    <t xml:space="preserve">https://commercialobserver.com/2025/08/flexible-finance-relocating-41k-sf-300-park-avenue-south/</t>
  </si>
  <si>
    <t xml:space="preserve">2025-08-18</t>
  </si>
  <si>
    <t xml:space="preserve">https://rockrose.com/office/300-park-ave-s/</t>
  </si>
  <si>
    <t xml:space="preserve">Built In workplace type: OnSite Workplace; typical time on-site: 5 days a week (box) but policy text: teams set their own in-office days</t>
  </si>
  <si>
    <t xml:space="preserve">455 (Built In) and 281 (Revelio Labs) staff (whole-company count) x 50% to 100% of them in the New York office (HQ New York; share assumed) x 67% (Partnership for NYC, firms under 500) in on a weekday; capped by 13,671 sf at 125 sf per person (was 94 to 305); central capped at 13,671 sf / 150 sf per person (largest square footage the sources mention at this address; if the company holds more space here, intake corrects it) = 94 to 109, central 94; low confidence; estimate until intake replaces it.</t>
  </si>
  <si>
    <t xml:space="preserve">13,671 sf</t>
  </si>
  <si>
    <t xml:space="preserve">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</si>
  <si>
    <t xml:space="preserve">linked from the company's own site (https://www.1stdibs.com/, opened 2026-10-24); LinkedIn not opened</t>
  </si>
  <si>
    <t xml:space="preserve">AO-C-031</t>
  </si>
  <si>
    <t xml:space="preserve">Dashlane</t>
  </si>
  <si>
    <t xml:space="preserve">https://www.dashlane.com</t>
  </si>
  <si>
    <t xml:space="preserve">dashlane.com</t>
  </si>
  <si>
    <t xml:space="preserve">Caroline</t>
  </si>
  <si>
    <t xml:space="preserve">Lee</t>
  </si>
  <si>
    <t xml:space="preserve">Workplace Experience Specialist</t>
  </si>
  <si>
    <t xml:space="preserve">https://theorg.com/org/dashlane/person/caroline-lee</t>
  </si>
  <si>
    <t xml:space="preserve">Pamela</t>
  </si>
  <si>
    <t xml:space="preserve">Golden</t>
  </si>
  <si>
    <t xml:space="preserve">SVP, Head of People</t>
  </si>
  <si>
    <t xml:space="preserve">https://www.dashlane.com/about/leadership</t>
  </si>
  <si>
    <t xml:space="preserve">Pamela Golden</t>
  </si>
  <si>
    <t xml:space="preserve">ny_base=likely; title_fit=variant (head of people). Dashlane's own leadership page (opened 2026-10-24) lists 'Pamela Golden | SVP, Head of People'; the page gives no city.</t>
  </si>
  <si>
    <t xml:space="preserve">44 West 18th Street</t>
  </si>
  <si>
    <t xml:space="preserve">software (password management / security)</t>
  </si>
  <si>
    <t xml:space="preserve">284</t>
  </si>
  <si>
    <t xml:space="preserve">https://www.linkedin.com/company/dashlane</t>
  </si>
  <si>
    <t xml:space="preserve">find Caroline Lee at Dashlane on LinkedIn and paste the profile URL into primary_linkedin_url (this also confirms the name: The Org is crowd-edited and marks it Unverified)</t>
  </si>
  <si>
    <t xml:space="preserve">contact in the target titles named (Workplace Experience Specialist) (crowd-listed on The Org)</t>
  </si>
  <si>
    <t xml:space="preserve">find Pamela Golden at Dashlane on LinkedIn and paste the profile URL into backup_linkedin_url; adjacent title: ask who runs the pantry</t>
  </si>
  <si>
    <t xml:space="preserve">adjacent contact named (SVP, Head of People)</t>
  </si>
  <si>
    <t xml:space="preserve">Tuesday estimate 95 to 133 (low confidence), under 500 staff company-wide, hybrid (days not stated), occupied at a high-confidence address</t>
  </si>
  <si>
    <t xml:space="preserve">Caroline Lee</t>
  </si>
  <si>
    <t xml:space="preserve">2026-01-17</t>
  </si>
  <si>
    <t xml:space="preserve">ny_base=likely (The Org gives a New York location, no office attached); title_fit=family (workplace experience). The Org updated 2026-01-17. One name search found no LinkedIn URL.</t>
  </si>
  <si>
    <t xml:space="preserve">B-C-031</t>
  </si>
  <si>
    <t xml:space="preserve">319</t>
  </si>
  <si>
    <t xml:space="preserve">https://www.builtinnyc.com/company/dashlane</t>
  </si>
  <si>
    <t xml:space="preserve">https://www.reveliolabs.com/companies/dashlane/employees</t>
  </si>
  <si>
    <t xml:space="preserve">B-B-013</t>
  </si>
  <si>
    <t xml:space="preserve">https://www.dashlane.com/terms</t>
  </si>
  <si>
    <t xml:space="preserve">https://commercialobserver.com/2019/04/dashlane-lease-44-west-18th-street-forty-four-eighteen-associates/</t>
  </si>
  <si>
    <t xml:space="preserve">2019-04-22</t>
  </si>
  <si>
    <t xml:space="preserve">Built In workplace type: Hybrid Workplace; typical time on-site: Flexible; recent job tags: 3 Hybrid</t>
  </si>
  <si>
    <t xml:space="preserve">https://www.builtinnyc.com/company/dashlane/offices</t>
  </si>
  <si>
    <t xml:space="preserve">284 (Built In) and 319 (Revelio Labs) staff (whole-company count) x 50% to 100% of them in the New York office (HQ New York; share assumed) x 67% (Partnership for NYC, firms under 500) in on a weekday; capped by 16,625 sf at 125 sf per person (was 95 to 214); central capped at 16,625 sf / 150 sf per person (largest square footage the sources mention at this address; if the company holds more space here, intake corrects it) = 95 to 133, central 111; low confidence; estimate until intake replaces it.</t>
  </si>
  <si>
    <t xml:space="preserve">16,625 sf</t>
  </si>
  <si>
    <t xml:space="preserve">https://commercialobserver.com/2019/04/dashlane-lease-44-west-18th-street-forty-four-eighteen-associates/ (opened 2026-10-24): '... behind a password management app of the same name, will move its headquarters to 16,625 square feet at 44 West 18th Street , Commercial Observer has learned. T'</t>
  </si>
  <si>
    <t xml:space="preserve">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</si>
  <si>
    <t xml:space="preserve">linked from the company's own site (https://www.dashlane.com/, opened 2026-10-24); LinkedIn not opened</t>
  </si>
  <si>
    <t xml:space="preserve">AO-C-083</t>
  </si>
  <si>
    <t xml:space="preserve">CompStak</t>
  </si>
  <si>
    <t xml:space="preserve">https://compstak.com</t>
  </si>
  <si>
    <t xml:space="preserve">compstak.com</t>
  </si>
  <si>
    <t xml:space="preserve">70.0</t>
  </si>
  <si>
    <t xml:space="preserve">Maxine</t>
  </si>
  <si>
    <t xml:space="preserve">Swick</t>
  </si>
  <si>
    <t xml:space="preserve">VP, Head of People</t>
  </si>
  <si>
    <t xml:space="preserve">https://theorg.com/org/compstak/person/maxine-swick</t>
  </si>
  <si>
    <t xml:space="preserve">Alyssa</t>
  </si>
  <si>
    <t xml:space="preserve">Murrett</t>
  </si>
  <si>
    <t xml:space="preserve">VP, Operations</t>
  </si>
  <si>
    <t xml:space="preserve">https://theorg.com/org/compstak/person/alyssa-murrett</t>
  </si>
  <si>
    <t xml:space="preserve">Alyssa Murrett</t>
  </si>
  <si>
    <t xml:space="preserve">2023-02-26</t>
  </si>
  <si>
    <t xml:space="preserve">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</si>
  <si>
    <t xml:space="preserve">675 Avenue of the Americas</t>
  </si>
  <si>
    <t xml:space="preserve">software (commercial real estate data)</t>
  </si>
  <si>
    <t xml:space="preserve">https://www.linkedin.com/company/compstak</t>
  </si>
  <si>
    <t xml:space="preserve">find Maxine Swick at CompStak on LinkedIn and paste the profile URL into primary_linkedin_url (this also confirms the name: The Org is crowd-edited and marks it Unverified); adjacent title: ask who runs the pantry</t>
  </si>
  <si>
    <t xml:space="preserve">adjacent contact named (VP, Head of People) (crowd-listed on The Org)</t>
  </si>
  <si>
    <t xml:space="preserve">find Alyssa Murrett at CompStak on LinkedIn and paste the profile URL into backup_linkedin_url (this also confirms the name: The Org is crowd-edited and marks it Unverified); the source is dated 2023-02-26: check Alyssa still holds the role; check Alyssa works from the New York office; adjacent title: ask who runs the pantry</t>
  </si>
  <si>
    <t xml:space="preserve">adjacent contact named (VP, Operations) (crowd-listed on The Org)</t>
  </si>
  <si>
    <t xml:space="preserve">Tuesday estimate 50 to 105 (low confidence), under 500 staff company-wide, hybrid 3 days, occupied at a high-confidence address</t>
  </si>
  <si>
    <t xml:space="preserve">Maxine Swick</t>
  </si>
  <si>
    <t xml:space="preserve">2026-08-12</t>
  </si>
  <si>
    <t xml:space="preserve">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</si>
  <si>
    <t xml:space="preserve">B-C-083</t>
  </si>
  <si>
    <t xml:space="preserve">157</t>
  </si>
  <si>
    <t xml:space="preserve">https://www.builtinnyc.com/company/compstak</t>
  </si>
  <si>
    <t xml:space="preserve">https://www.reveliolabs.com/companies/compstak/employees</t>
  </si>
  <si>
    <t xml:space="preserve">B-B-038</t>
  </si>
  <si>
    <t xml:space="preserve">Adams Dry Goods / Mattel Building (GFP Real Estate)</t>
  </si>
  <si>
    <t xml:space="preserve">https://compstak.com/about</t>
  </si>
  <si>
    <t xml:space="preserve">https://commercialobserver.com/2022/12/compstak-leases-27k-sf-at-675-avenue-of-the-americas/</t>
  </si>
  <si>
    <t xml:space="preserve">2022-12-20</t>
  </si>
  <si>
    <t xml:space="preserve">https://www.builtinnyc.com/company/compstak/offices</t>
  </si>
  <si>
    <t xml:space="preserve">150 (Built In) and 157 (Revelio Labs) staff (whole-company count) x 50% to 100% of them in the New York office (HQ New York; share assumed) x 67% (Partnership for NYC, firms under 500) in on a weekday = 50 to 105, central 72; low confidence; estimate until intake replaces it.</t>
  </si>
  <si>
    <t xml:space="preserve">25,644 sf</t>
  </si>
  <si>
    <t xml:space="preserve">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</si>
  <si>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linked from the company's own site (https://compstak.com/, opened 2026-10-24); LinkedIn not opened</t>
  </si>
  <si>
    <t xml:space="preserve">AO-C-052</t>
  </si>
  <si>
    <t xml:space="preserve">Bombas</t>
  </si>
  <si>
    <t xml:space="preserve">https://bombas.com</t>
  </si>
  <si>
    <t xml:space="preserve">bombas.com</t>
  </si>
  <si>
    <t xml:space="preserve">11</t>
  </si>
  <si>
    <t xml:space="preserve">Carlos</t>
  </si>
  <si>
    <t xml:space="preserve">Arellano</t>
  </si>
  <si>
    <t xml:space="preserve">Workplace Coordinator</t>
  </si>
  <si>
    <t xml:space="preserve">https://theorg.com/org/bombas/person/carlos-arellano</t>
  </si>
  <si>
    <t xml:space="preserve">Melissa</t>
  </si>
  <si>
    <t xml:space="preserve">King</t>
  </si>
  <si>
    <t xml:space="preserve">https://theorg.com/org/bombas/person/melissa-king</t>
  </si>
  <si>
    <t xml:space="preserve">Melissa King</t>
  </si>
  <si>
    <t xml:space="preserve">2025-05-15</t>
  </si>
  <si>
    <t xml:space="preserve">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</si>
  <si>
    <t xml:space="preserve">881 Broadway</t>
  </si>
  <si>
    <t xml:space="preserve">apparel brand (socks and basics)</t>
  </si>
  <si>
    <t xml:space="preserve">223</t>
  </si>
  <si>
    <t xml:space="preserve">find Carlos Arellano at Bombas on LinkedIn and paste the profile URL into primary_linkedin_url (this also confirms the name: The Org is crowd-edited and marks it Unverified); the source is dated 2024-11-14: check Carlos still holds the role</t>
  </si>
  <si>
    <t xml:space="preserve">contact in the target titles named (Workplace Coordinator) (crowd-listed on The Org)</t>
  </si>
  <si>
    <t xml:space="preserve">find Melissa King at Bombas on LinkedIn and paste the profile URL into backup_linkedin_url (this also confirms the name: The Org is crowd-edited and marks it Unverified); the source is dated 2025-05-15: check Melissa still holds the role; adjacent title: ask who runs the pantry</t>
  </si>
  <si>
    <t xml:space="preserve">Tuesday estimate 75 to 203 (low confidence), under 500 staff company-wide, on-site 5 days a week per its profile, occupancy-unconfirmed at a low-confidence address</t>
  </si>
  <si>
    <t xml:space="preserve">Carlos Arellano</t>
  </si>
  <si>
    <t xml:space="preserve">2024-11-14</t>
  </si>
  <si>
    <t xml:space="preserve">ny_base=likely (The Org gives a New York location, no office attached); title_fit=variant (workplace coordinator). The Org updated 2024-11-14, so the role may be stale: founder to confirm.</t>
  </si>
  <si>
    <t xml:space="preserve">B-C-052</t>
  </si>
  <si>
    <t xml:space="preserve">303</t>
  </si>
  <si>
    <t xml:space="preserve">https://www.builtinnyc.com/company/bombas</t>
  </si>
  <si>
    <t xml:space="preserve">https://www.reveliolabs.com/companies/bombas/employees</t>
  </si>
  <si>
    <t xml:space="preserve">B-B-023</t>
  </si>
  <si>
    <t xml:space="preserve">115 Fifth Avenue / 881 Broadway (Arnold Constable block)</t>
  </si>
  <si>
    <t xml:space="preserve">https://www.builtinnyc.com/company/bombas/offices</t>
  </si>
  <si>
    <t xml:space="preserve">builtin</t>
  </si>
  <si>
    <t xml:space="preserve">https://commercialobserver.com/2019/04/bombas-lease-881-broadway-the-winter-organization/</t>
  </si>
  <si>
    <t xml:space="preserve">2019-04-10</t>
  </si>
  <si>
    <t xml:space="preserve">https://www.metro-manhattan.com/buildings/115-fifth-avenue/</t>
  </si>
  <si>
    <t xml:space="preserve">Built In workplace type: OnSite Workplace; typical time on-site: 5 days a week; recent job tags: 3 In-Office</t>
  </si>
  <si>
    <t xml:space="preserve">223 (Built In) and 303 (Revelio Labs) staff (whole-company count) x 50% to 100% of them in the New York office (HQ New York; share assumed) x 67% (Partnership for NYC, firms under 500) in on a weekday = 75 to 203, central 123; low confidence; estimate until intake replaces it.</t>
  </si>
  <si>
    <t xml:space="preserve">33,300 sf</t>
  </si>
  <si>
    <t xml:space="preserve">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</si>
  <si>
    <t xml:space="preserve">AO-C-096</t>
  </si>
  <si>
    <t xml:space="preserve">Inspiren</t>
  </si>
  <si>
    <t xml:space="preserve">https://www.inspiren.com/</t>
  </si>
  <si>
    <t xml:space="preserve">inspiren.com</t>
  </si>
  <si>
    <t xml:space="preserve">67.0</t>
  </si>
  <si>
    <t xml:space="preserve">Jared</t>
  </si>
  <si>
    <t xml:space="preserve">Zimmer</t>
  </si>
  <si>
    <t xml:space="preserve">Chief of Staff to CCO</t>
  </si>
  <si>
    <t xml:space="preserve">https://theorg.com/org/inspiren/person/jared-zimmer</t>
  </si>
  <si>
    <t xml:space="preserve">61 West 23rd Street</t>
  </si>
  <si>
    <t xml:space="preserve">full floor (floor number not stated)</t>
  </si>
  <si>
    <t xml:space="preserve">Healthcare technology (AI for senior living)</t>
  </si>
  <si>
    <t xml:space="preserve">https://www.linkedin.com/company/inspirenhealth</t>
  </si>
  <si>
    <t xml:space="preserve">find Jared Zimmer at Inspiren on LinkedIn and paste the profile URL into primary_linkedin_url (this also confirms the name: The Org is crowd-edited and marks it Unverified); adjacent title: ask who runs the pantry</t>
  </si>
  <si>
    <t xml:space="preserve">adjacent contact named (Chief of Staff to CCO) (crowd-listed on The Org)</t>
  </si>
  <si>
    <t xml:space="preserve">Tuesday estimate 50 to 67 (low confidence), under 500 staff company-wide, hybrid (days not stated), occupied at a high-confidence address</t>
  </si>
  <si>
    <t xml:space="preserve">Jared Zimmer</t>
  </si>
  <si>
    <t xml:space="preserve">2026-03-09</t>
  </si>
  <si>
    <t xml:space="preserve">ny_base=likely (The Org gives a New York location, no office attached); title_fit=adjacent (chief of staff at a small firm, but to the chief commercial officer, not the CEO). The Org updated 2026-03-09. Inspiren's HR coordinator on The Org is not placed in New York.</t>
  </si>
  <si>
    <t xml:space="preserve">B-C-096</t>
  </si>
  <si>
    <t xml:space="preserve">https://www.builtinnyc.com/company/inspiren/offices</t>
  </si>
  <si>
    <t xml:space="preserve">B-B-047</t>
  </si>
  <si>
    <t xml:space="preserve">61 West 23rd Street (Zegna family; Taconic development partner)</t>
  </si>
  <si>
    <t xml:space="preserve">https://commercialobserver.com/2026/09/normal-computing-inspiren-leases-61-west-23rd-street/</t>
  </si>
  <si>
    <t xml:space="preserve">2026-09-21</t>
  </si>
  <si>
    <t xml:space="preserve">Built In workplace type: Hybrid Workplace; typical time on-site: Flexible; recent job tags: 3 In-Office</t>
  </si>
  <si>
    <t xml:space="preserve">150 (Built In) staff (whole-company count) x 50% to 100% of them in the New York office (HQ New York; share assumed) x 67% (Partnership for NYC, firms under 500) in on a weekday; capped by 8,367 sf at 125 sf per person (was 50 to 100); central capped at 8,367 sf / 150 sf per person (largest square footage the sources mention at this address; if the company holds more space here, intake corrects it) = 50 to 67, central 56; low confidence; estimate until intake replaces it.</t>
  </si>
  <si>
    <t xml:space="preserve">8,367 sf</t>
  </si>
  <si>
    <t xml:space="preserve">CO: moved into 8,367 sf in early Sept 2026, first permanent NYC office (previously Brooklyn Navy Yard). Built In lists HQ 61 W 23rd St and 150 total employees (live profile, undated).</t>
  </si>
  <si>
    <t xml:space="preserve">linked from the company's own site (https://www.inspiren.com/, opened 2026-10-24); LinkedIn not opened</t>
  </si>
  <si>
    <t xml:space="preserve">AO-C-038</t>
  </si>
  <si>
    <t xml:space="preserve">Stellar Health</t>
  </si>
  <si>
    <t xml:space="preserve">https://www.stellarhealth.net</t>
  </si>
  <si>
    <t xml:space="preserve">stellarhealth.net</t>
  </si>
  <si>
    <t xml:space="preserve">13</t>
  </si>
  <si>
    <t xml:space="preserve">Stavroula</t>
  </si>
  <si>
    <t xml:space="preserve">Zimaras</t>
  </si>
  <si>
    <t xml:space="preserve">Chief of Staff to CEO</t>
  </si>
  <si>
    <t xml:space="preserve">https://theorg.com/org/stellar-health/person/stavroula-zimaras</t>
  </si>
  <si>
    <t xml:space="preserve">Paul</t>
  </si>
  <si>
    <t xml:space="preserve">Savary</t>
  </si>
  <si>
    <t xml:space="preserve">Director HR Business Partner</t>
  </si>
  <si>
    <t xml:space="preserve">https://theorg.com/org/stellar-health/person/paul-savary-1</t>
  </si>
  <si>
    <t xml:space="preserve">Paul Savary</t>
  </si>
  <si>
    <t xml:space="preserve">2026-09-19</t>
  </si>
  <si>
    <t xml:space="preserve">ny_base=likely (The Org gives a New York location, no office attached); title_fit=variant (HR). The Org updated 2026-09-19. Alternate: Katy Huber, Chief Human Resources Officer (https://theorg.com/org/stellar-health/person/katy-huber, NY HQ office, but last updated 2024-10-29).</t>
  </si>
  <si>
    <t xml:space="preserve">health tech (value-based care software)</t>
  </si>
  <si>
    <t xml:space="preserve">165</t>
  </si>
  <si>
    <t xml:space="preserve">find Stavroula Zimaras at Stellar Health on LinkedIn and paste the profile URL into primary_linkedin_url (this also confirms the name: The Org is crowd-edited and marks it Unverified); adjacent title: ask who runs the pantry</t>
  </si>
  <si>
    <t xml:space="preserve">adjacent contact named (Chief of Staff to CEO) (crowd-listed on The Org)</t>
  </si>
  <si>
    <t xml:space="preserve">find Paul Savary at Stellar Health on LinkedIn and paste the profile URL into backup_linkedin_url (this also confirms the name: The Org is crowd-edited and marks it Unverified); adjacent title: ask who runs the pantry</t>
  </si>
  <si>
    <t xml:space="preserve">adjacent contact named (Director HR Business Partner) (crowd-listed on The Org)</t>
  </si>
  <si>
    <t xml:space="preserve">Tuesday estimate 55 to 126 (low confidence), under 500 staff company-wide, hybrid (days not stated), occupied at a high-confidence address</t>
  </si>
  <si>
    <t xml:space="preserve">Stavroula Zimaras</t>
  </si>
  <si>
    <t xml:space="preserve">2026-06-30</t>
  </si>
  <si>
    <t xml:space="preserve">ny_base=confirmed (The Org attaches the role to Stellar Health's New York HQ office; that record shows 127 West 26th Street while B has 215 Park Avenue South); title_fit=variant (chief of staff to the CEO at a 76-150 office). The Org updated 2026-06-30.</t>
  </si>
  <si>
    <t xml:space="preserve">B-C-038</t>
  </si>
  <si>
    <t xml:space="preserve">188</t>
  </si>
  <si>
    <t xml:space="preserve">https://www.builtinnyc.com/company/stellar-health</t>
  </si>
  <si>
    <t xml:space="preserve">https://www.reveliolabs.com/companies/stellar-health-group/employees</t>
  </si>
  <si>
    <t xml:space="preserve">Built In workplace type: Hybrid Workplace; typical time on-site: Not Specified</t>
  </si>
  <si>
    <t xml:space="preserve">https://www.builtinnyc.com/company/stellar-health/offices</t>
  </si>
  <si>
    <t xml:space="preserve">165 (Built In) and 188 (Revelio Labs) staff (whole-company count) x 50% to 100% of them in the New York office (HQ New York; share assumed) x 67% (Partnership for NYC, firms under 500) in on a weekday = 55 to 126, central 83; low confidence; estimate until intake replaces it.</t>
  </si>
  <si>
    <t xml:space="preserve">33,224 sf</t>
  </si>
  <si>
    <t xml:space="preserve">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</si>
  <si>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AO-C-130</t>
  </si>
  <si>
    <t xml:space="preserve">Butterfly Network</t>
  </si>
  <si>
    <t xml:space="preserve">https://www.butterflynetwork.com</t>
  </si>
  <si>
    <t xml:space="preserve">butterflynetwork.com</t>
  </si>
  <si>
    <t xml:space="preserve">19</t>
  </si>
  <si>
    <t xml:space="preserve">62.7</t>
  </si>
  <si>
    <t xml:space="preserve">Katie</t>
  </si>
  <si>
    <t xml:space="preserve">Gowryluk</t>
  </si>
  <si>
    <t xml:space="preserve">Chief Of Staff</t>
  </si>
  <si>
    <t xml:space="preserve">https://theorg.com/org/butterfly-network/person/katie-gowryluk</t>
  </si>
  <si>
    <t xml:space="preserve">11 East 26th Street</t>
  </si>
  <si>
    <t xml:space="preserve">7-8</t>
  </si>
  <si>
    <t xml:space="preserve">medical devices (handheld ultrasound)</t>
  </si>
  <si>
    <t xml:space="preserve">443</t>
  </si>
  <si>
    <t xml:space="preserve">https://www.linkedin.com/company/2338924</t>
  </si>
  <si>
    <t xml:space="preserve">AO-C-047</t>
  </si>
  <si>
    <t xml:space="preserve">unverified</t>
  </si>
  <si>
    <t xml:space="preserve">search snippet only (not opened)</t>
  </si>
  <si>
    <t xml:space="preserve">https://www.datanyze.com/people/Andy-Ng/2966944280</t>
  </si>
  <si>
    <t xml:space="preserve">no named contact: on the Walk list tab (ask for whoever runs the pantry), or use the company contact form</t>
  </si>
  <si>
    <t xml:space="preserve">contact seen only in a search snippet</t>
  </si>
  <si>
    <t xml:space="preserve">Tuesday estimate 113 to 180 (low confidence), under 500 staff company-wide, no attendance signal, occupied at a high-confidence address</t>
  </si>
  <si>
    <t xml:space="preserve">walk-in</t>
  </si>
  <si>
    <t xml:space="preserve">Andy Ng</t>
  </si>
  <si>
    <t xml:space="preserve">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</si>
  <si>
    <t xml:space="preserve">B-C-047</t>
  </si>
  <si>
    <t xml:space="preserve">https://thevitacococompany.com</t>
  </si>
  <si>
    <t xml:space="preserve">beverage brand (coconut water)</t>
  </si>
  <si>
    <t xml:space="preserve">336</t>
  </si>
  <si>
    <t xml:space="preserve">368</t>
  </si>
  <si>
    <t xml:space="preserve">https://www.sec.gov/Archives/edgar/data/1482981/000148298126000022/coco-20251231.htm</t>
  </si>
  <si>
    <t xml:space="preserve">https://www.reveliolabs.com/companies/vita-coco/employees</t>
  </si>
  <si>
    <t xml:space="preserve">B-B-018</t>
  </si>
  <si>
    <t xml:space="preserve">111 Fifth Avenue (Winter Organization)</t>
  </si>
  <si>
    <t xml:space="preserve">2026-02-18</t>
  </si>
  <si>
    <t xml:space="preserve">https://commercialobserver.com/2024/09/vita-coco-111-fifth-avenue/</t>
  </si>
  <si>
    <t xml:space="preserve">2024-09-10</t>
  </si>
  <si>
    <t xml:space="preserve">336 (sec.gov) and 368 (Revelio Labs) staff (whole-company count) x 50% to 100% of them in the New York office (HQ New York; share assumed) x 67% (Partnership for NYC, firms under 500) in on a weekday; capped by 22,530 sf at 125 sf per person (was 113 to 247) (largest square footage the sources mention at this address; if the company holds more space here, intake corrects it) = 113 to 180, central 143; low confidence; estimate until intake replaces it.</t>
  </si>
  <si>
    <t xml:space="preserve">22,530 sf</t>
  </si>
  <si>
    <t xml:space="preserve">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</si>
  <si>
    <t xml:space="preserve">AO-C-262</t>
  </si>
  <si>
    <t xml:space="preserve">Criteo</t>
  </si>
  <si>
    <t xml:space="preserve">https://www.criteo.com</t>
  </si>
  <si>
    <t xml:space="preserve">criteo.com</t>
  </si>
  <si>
    <t xml:space="preserve">20</t>
  </si>
  <si>
    <t xml:space="preserve">62.0</t>
  </si>
  <si>
    <t xml:space="preserve">Manuela</t>
  </si>
  <si>
    <t xml:space="preserve">Montagnana</t>
  </si>
  <si>
    <t xml:space="preserve">Chief People Officer</t>
  </si>
  <si>
    <t xml:space="preserve">https://theorg.com/org/criteo/person/manuela-montagnana</t>
  </si>
  <si>
    <t xml:space="preserve">top floor and penthouse</t>
  </si>
  <si>
    <t xml:space="preserve">adtech (commerce media)</t>
  </si>
  <si>
    <t xml:space="preserve">2868</t>
  </si>
  <si>
    <t xml:space="preserve">https://www.linkedin.com/company/criteo</t>
  </si>
  <si>
    <t xml:space="preserve">AO-C-082</t>
  </si>
  <si>
    <t xml:space="preserve">lease signed, move not confirmed: check the lobby directory before outreach (B)</t>
  </si>
  <si>
    <t xml:space="preserve">David</t>
  </si>
  <si>
    <t xml:space="preserve">Reed</t>
  </si>
  <si>
    <t xml:space="preserve">Strategy and Operations</t>
  </si>
  <si>
    <t xml:space="preserve">https://theorg.com/org/candid-health/person/david-reed</t>
  </si>
  <si>
    <t xml:space="preserve">find David Reed at Candid Health on LinkedIn and paste the profile URL into primary_linkedin_url (this also confirms the name: The Org is crowd-edited and marks it Unverified); adjacent title: ask who runs the pantry</t>
  </si>
  <si>
    <t xml:space="preserve">adjacent contact named (Strategy and Operations) (crowd-listed on The Org)</t>
  </si>
  <si>
    <t xml:space="preserve">Sierra</t>
  </si>
  <si>
    <t xml:space="preserve">Agarwal</t>
  </si>
  <si>
    <t xml:space="preserve">https://theorg.com/org/candid-health/person/sierra-agarwal</t>
  </si>
  <si>
    <t xml:space="preserve">find Sierra Agarwal at Candid Health on LinkedIn and paste the profile URL into backup_linkedin_url (this also confirms the name: The Org is crowd-edited and marks it Unverified); adjacent title: ask who runs the pantry</t>
  </si>
  <si>
    <t xml:space="preserve">Tuesday estimate 44 to 172 (low confidence), under 500 staff company-wide, on-site 5 days a week per its profile, signed-not-occupied at a medium-confidence address (hold: lease signed, move not confirmed)</t>
  </si>
  <si>
    <t xml:space="preserve">David Reed</t>
  </si>
  <si>
    <t xml:space="preserve">2026-08-30</t>
  </si>
  <si>
    <t xml:space="preserve">ny_base=likely; title_fit=adjacent (business operations). The Org position page (opened 2026-10-24, updated 2026-08-30) places him in the New York area. No office, people or EA title in New York found; ask who runs the office.</t>
  </si>
  <si>
    <t xml:space="preserve">Sierra Agarwal</t>
  </si>
  <si>
    <t xml:space="preserve">2026-08-28</t>
  </si>
  <si>
    <t xml:space="preserve">ny_base=likely; title_fit=adjacent. The Org position page (opened 2026-10-24, updated 2026-08-28), New York area.</t>
  </si>
  <si>
    <t xml:space="preserve">B-C-082</t>
  </si>
  <si>
    <t xml:space="preserve">https://www.candidhealth.com</t>
  </si>
  <si>
    <t xml:space="preserve">software (healthcare billing)</t>
  </si>
  <si>
    <t xml:space="preserve">256</t>
  </si>
  <si>
    <t xml:space="preserve">130+</t>
  </si>
  <si>
    <t xml:space="preserve">https://www.builtinnyc.com/company/candid</t>
  </si>
  <si>
    <t xml:space="preserve">https://www.candidhealth.com/about</t>
  </si>
  <si>
    <t xml:space="preserve">https://www.linkedin.com/company/candid-health</t>
  </si>
  <si>
    <t xml:space="preserve">https://commercialobserver.com/2026/01/candid-health-lease-675-avenue-of-the-americas/</t>
  </si>
  <si>
    <t xml:space="preserve">2026-01-27</t>
  </si>
  <si>
    <t xml:space="preserve">https://rebusinessonline.com/candid-health-signs-28687-sf-office-lease-in-midtown-manhattan/</t>
  </si>
  <si>
    <t xml:space="preserve">2026-04-13</t>
  </si>
  <si>
    <t xml:space="preserve">medium</t>
  </si>
  <si>
    <t xml:space="preserve">6 total employees) still lists 44 W 28th St and Columbus OH. CMO quoted on an intentional in-office culture. | Assembly 2026-10-24: Revie</t>
  </si>
  <si>
    <t xml:space="preserve">256 (Built In) and 130+ (candidhealth.com) staff (whole-company count) x 50% to 100% of them in the New York office (HQ New York; share assumed) x 67% (Partnership for NYC, firms under 500) in on a weekday = 44 to 172, central 87; low confidence; estimate until intake replaces it.</t>
  </si>
  <si>
    <t xml:space="preserve">28,687 sf</t>
  </si>
  <si>
    <t xml:space="preserve">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</si>
  <si>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linked from the company's own site (https://candidhealth.com/, opened 2026-10-24); LinkedIn not opened</t>
  </si>
  <si>
    <t xml:space="preserve">AO-C-098</t>
  </si>
  <si>
    <t xml:space="preserve">BrainPOP</t>
  </si>
  <si>
    <t xml:space="preserve">https://www.brainpop.com/</t>
  </si>
  <si>
    <t xml:space="preserve">brainpop.com</t>
  </si>
  <si>
    <t xml:space="preserve">21</t>
  </si>
  <si>
    <t xml:space="preserve">61.0</t>
  </si>
  <si>
    <t xml:space="preserve">Lilly</t>
  </si>
  <si>
    <t xml:space="preserve">Santiago</t>
  </si>
  <si>
    <t xml:space="preserve">Executive Assistant to Chief Executive Officer/Office Coordinator</t>
  </si>
  <si>
    <t xml:space="preserve">https://theorg.com/org/brainpop/person/lilly-santiago</t>
  </si>
  <si>
    <t xml:space="preserve">Crystal</t>
  </si>
  <si>
    <t xml:space="preserve">Spence</t>
  </si>
  <si>
    <t xml:space="preserve">Operations Lead, Office of CEO</t>
  </si>
  <si>
    <t xml:space="preserve">https://theorg.com/org/brainpop/person/crystal-spence</t>
  </si>
  <si>
    <t xml:space="preserve">Crystal Spence</t>
  </si>
  <si>
    <t xml:space="preserve">2026-01-20</t>
  </si>
  <si>
    <t xml:space="preserve">ny_base=confirmed (The Org attaches the role to BrainPOP's New York HQ office); title_fit=variant (office of the CEO). The Org updated 2026-01-20.</t>
  </si>
  <si>
    <t xml:space="preserve">71 West 23rd Street</t>
  </si>
  <si>
    <t xml:space="preserve">17</t>
  </si>
  <si>
    <t xml:space="preserve">Education technology</t>
  </si>
  <si>
    <t xml:space="preserve">225</t>
  </si>
  <si>
    <t xml:space="preserve">AO-C-048</t>
  </si>
  <si>
    <t xml:space="preserve">no contact found in public sources (walk-in)</t>
  </si>
  <si>
    <t xml:space="preserve">Tuesday estimate 31 to 82 (low confidence), under 500 staff company-wide, on-site 5 days a week per its profile, occupied at a high-confidence address</t>
  </si>
  <si>
    <t xml:space="preserve">B-C-048</t>
  </si>
  <si>
    <t xml:space="preserve">https://aterian.io</t>
  </si>
  <si>
    <t xml:space="preserve">consumer products (e-commerce brands)</t>
  </si>
  <si>
    <t xml:space="preserve">122</t>
  </si>
  <si>
    <t xml:space="preserve">94</t>
  </si>
  <si>
    <t xml:space="preserve">https://www.builtinnyc.com/company/aterian</t>
  </si>
  <si>
    <t xml:space="preserve">https://www.reveliolabs.com/companies/aterian-group/employees</t>
  </si>
  <si>
    <t xml:space="preserve">https://www.linkedin.com/company/aterian-inc</t>
  </si>
  <si>
    <t xml:space="preserve">B-B-019</t>
  </si>
  <si>
    <t xml:space="preserve">37 East 18th Street (Zar Property NY)</t>
  </si>
  <si>
    <t xml:space="preserve">https://www.builtinnyc.com/company/aterian/offices</t>
  </si>
  <si>
    <t xml:space="preserve">https://commercialobserver.com/2026/06/phia-lease-zar-property-37-east-18th-street/</t>
  </si>
  <si>
    <t xml:space="preserve">2026-06-03</t>
  </si>
  <si>
    <t xml:space="preserve">122 (Built In) and 94 (Revelio Labs) staff (whole-company count) x 50% to 100% of them in the New York office (HQ New York; share assumed) x 67% (Partnership for NYC, firms under 500) in on a weekday = 31 to 82, central 50; low confidence; estimate until intake replaces it.</t>
  </si>
  <si>
    <t xml:space="preserve">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</si>
  <si>
    <t xml:space="preserve">linked from The Org's company record (https://theorg.com/org/aterian, opened 2026-10-24); LinkedIn not opened</t>
  </si>
  <si>
    <t xml:space="preserve">AO-C-061</t>
  </si>
  <si>
    <t xml:space="preserve">Daily Harvest</t>
  </si>
  <si>
    <t xml:space="preserve">https://www.daily-harvest.com</t>
  </si>
  <si>
    <t xml:space="preserve">daily-harvest.com</t>
  </si>
  <si>
    <t xml:space="preserve">22</t>
  </si>
  <si>
    <t xml:space="preserve">Jessica</t>
  </si>
  <si>
    <t xml:space="preserve">Lawson</t>
  </si>
  <si>
    <t xml:space="preserve">Chief of Staff</t>
  </si>
  <si>
    <t xml:space="preserve">https://theorg.com/org/daily-harvest/person/jessica-lawson</t>
  </si>
  <si>
    <t xml:space="preserve">37 West 20th Street</t>
  </si>
  <si>
    <t xml:space="preserve">food brand (frozen meals, DTC)</t>
  </si>
  <si>
    <t xml:space="preserve">267</t>
  </si>
  <si>
    <t xml:space="preserve">https://www.linkedin.com/company/daily-harvest</t>
  </si>
  <si>
    <t xml:space="preserve">AO-C-033</t>
  </si>
  <si>
    <t xml:space="preserve">Tuesday estimate 51 to 101 (low confidence), under 500 staff company-wide, hybrid 3 days, occupied at a medium-confidence address</t>
  </si>
  <si>
    <t xml:space="preserve">B-C-033</t>
  </si>
  <si>
    <t xml:space="preserve">https://www.baseten.co</t>
  </si>
  <si>
    <t xml:space="preserve">AI infrastructure software</t>
  </si>
  <si>
    <t xml:space="preserve">350</t>
  </si>
  <si>
    <t xml:space="preserve">285</t>
  </si>
  <si>
    <t xml:space="preserve">https://www.builtinnyc.com/company/baseten</t>
  </si>
  <si>
    <t xml:space="preserve">https://www.reveliolabs.com/companies/baseten-labs/employees</t>
  </si>
  <si>
    <t xml:space="preserve">https://www.linkedin.com/company/baseten</t>
  </si>
  <si>
    <t xml:space="preserve">https://www.builtinnyc.com/company/baseten/offices</t>
  </si>
  <si>
    <t xml:space="preserve">350 (Built In) and 285 (Revelio Labs) staff (whole-company count) x 5% to 100% of them in the New York office (HQ outside New York; share assumed) x 67% (Partnership for NYC, firms under 500) in on a weekday; space-based for a company headquartered outside New York: 12,660 sf seats 51 to 101 at 250 to 125 sf per person, kept within the headcount math (10 to 234) (largest square footage the sources mention at this address; if the company holds more space here, intake corrects it) = 51 to 101, central 72; low confidence; estimate until intake replaces it.</t>
  </si>
  <si>
    <t xml:space="preserve">12,660 sf</t>
  </si>
  <si>
    <t xml:space="preserve">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</si>
  <si>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(https://www.baseten.co/, opened 2026-10-24); LinkedIn not opened</t>
  </si>
  <si>
    <t xml:space="preserve">AO-C-111</t>
  </si>
  <si>
    <t xml:space="preserve">Wellcom Worldwide</t>
  </si>
  <si>
    <t xml:space="preserve">https://www.wellcomworldwide.com/</t>
  </si>
  <si>
    <t xml:space="preserve">wellcomworldwide.com</t>
  </si>
  <si>
    <t xml:space="preserve">23</t>
  </si>
  <si>
    <t xml:space="preserve">Jillian</t>
  </si>
  <si>
    <t xml:space="preserve">Cruz</t>
  </si>
  <si>
    <t xml:space="preserve">Executive Assistant to Global CEO</t>
  </si>
  <si>
    <t xml:space="preserve">https://theorg.com/org/wellcom-worldwide/person/jillian-cruz</t>
  </si>
  <si>
    <t xml:space="preserve">16 Madison Square West</t>
  </si>
  <si>
    <t xml:space="preserve">Creative production agency</t>
  </si>
  <si>
    <t xml:space="preserve">https://www.linkedin.com/company/wellcom_2</t>
  </si>
  <si>
    <t xml:space="preserve">AO-C-021</t>
  </si>
  <si>
    <t xml:space="preserve">contacts not researched yet</t>
  </si>
  <si>
    <t xml:space="preserve">Tuesday estimate 40 to 64 (low confidence), under 500 staff company-wide, on-site 5 days a week per its profile, occupancy-unconfirmed at a medium-confidence address</t>
  </si>
  <si>
    <t xml:space="preserve">B-C-021</t>
  </si>
  <si>
    <t xml:space="preserve">https://www.scalemicrogrids.com</t>
  </si>
  <si>
    <t xml:space="preserve">energy infrastructure finance</t>
  </si>
  <si>
    <t xml:space="preserve">95</t>
  </si>
  <si>
    <t xml:space="preserve">https://www.builtinnyc.com/company/scale-microgrids</t>
  </si>
  <si>
    <t xml:space="preserve">Ridgewood</t>
  </si>
  <si>
    <t xml:space="preserve">https://www.linkedin.com/company/10701082</t>
  </si>
  <si>
    <t xml:space="preserve">B-B-008</t>
  </si>
  <si>
    <t xml:space="preserve">26 West 17th Street</t>
  </si>
  <si>
    <t xml:space="preserve">https://commercialobserver.com/2025/03/faire-lease-26-west-17th-street/</t>
  </si>
  <si>
    <t xml:space="preserve">2025-03-27</t>
  </si>
  <si>
    <t xml:space="preserve">https://www.scalemicrogrids.com/contact</t>
  </si>
  <si>
    <t xml:space="preserve">Built In workplace type: OnSite Workplace; typical time on-site: 5 days a week; recent job tags: 2 Hybrid, 1 In-Office</t>
  </si>
  <si>
    <t xml:space="preserve">https://www.builtinnyc.com/company/scale-microgrids/offices</t>
  </si>
  <si>
    <t xml:space="preserve">95 (Built In) staff (whole-company count) x 5% to 100% of them in the New York office (HQ outside New York; share assumed) x 67% (Partnership for NYC, firms under 500) in on a weekday; space-based for a company headquartered outside New York: 10,000 sf seats 40 to 80 at 250 to 125 sf per person, kept within the headcount math (3 to 64) (largest square footage the sources mention at this address; if the company holds more space here, intake corrects it) = 40 to 64, central 51; low confidence; estimate until intake replaces it.</t>
  </si>
  <si>
    <t xml:space="preserve">10,000 sf</t>
  </si>
  <si>
    <t xml:space="preserve">CO 2025-03-27: 10,000 sf on the 11th floor. Built In NYC: 95 total employees, HQ Ridgewood NJ. Company contact page lists a New York regional office (city only, no street), so second source confirms NYC presence, not the street address.</t>
  </si>
  <si>
    <t xml:space="preserve">linked from the company's own site (https://www.scalemicrogrids.com/, opened 2026-10-24); LinkedIn not opened</t>
  </si>
  <si>
    <t xml:space="preserve">AO-C-101</t>
  </si>
  <si>
    <t xml:space="preserve">TripleLift</t>
  </si>
  <si>
    <t xml:space="preserve">https://triplelift.com/</t>
  </si>
  <si>
    <t xml:space="preserve">triplelift.com</t>
  </si>
  <si>
    <t xml:space="preserve">24</t>
  </si>
  <si>
    <t xml:space="preserve">60.1</t>
  </si>
  <si>
    <t xml:space="preserve">Abby</t>
  </si>
  <si>
    <t xml:space="preserve">Hamilton</t>
  </si>
  <si>
    <t xml:space="preserve">https://triplelift.com/about/</t>
  </si>
  <si>
    <t xml:space="preserve">53 West 23rd Street</t>
  </si>
  <si>
    <t xml:space="preserve">Advertising technology</t>
  </si>
  <si>
    <t xml:space="preserve">335</t>
  </si>
  <si>
    <t xml:space="preserve">https://www.linkedin.com/company/triplelift</t>
  </si>
  <si>
    <t xml:space="preserve">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t>
  </si>
  <si>
    <t xml:space="preserve">adjacent contact named (Chief Of Staff) (crowd-listed on The Org)</t>
  </si>
  <si>
    <t xml:space="preserve">Tuesday estimate 8 to 297 (low confidence), under 500 staff company-wide, on-site 5 days a week per its profile, occupied at a high-confidence address</t>
  </si>
  <si>
    <t xml:space="preserve">Katie Gowryluk</t>
  </si>
  <si>
    <t xml:space="preserve">2025-05-22</t>
  </si>
  <si>
    <t xml:space="preserve">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</si>
  <si>
    <t xml:space="preserve">B-C-130</t>
  </si>
  <si>
    <t xml:space="preserve">236</t>
  </si>
  <si>
    <t xml:space="preserve">https://www.builtinnyc.com/company/butterfly-network-inc/offices</t>
  </si>
  <si>
    <t xml:space="preserve">https://www.reveliolabs.com/companies/butterfly-network/employees</t>
  </si>
  <si>
    <t xml:space="preserve">Burlington</t>
  </si>
  <si>
    <t xml:space="preserve">B-B-065</t>
  </si>
  <si>
    <t xml:space="preserve">11 East 26th Street (Rockrose; joined to 15 East 26th Street)</t>
  </si>
  <si>
    <t xml:space="preserve">https://commercialobserver.com/2025/09/activate-consulting-doubles-its-nomad-footprint/</t>
  </si>
  <si>
    <t xml:space="preserve">2025-09-30</t>
  </si>
  <si>
    <t xml:space="preserve">w York office at '11 E 26th Street, Floor 7 &amp; 8' (HQ Burlington MA), 443 total employees, on-site 5 days a week. CO lists it among building t</t>
  </si>
  <si>
    <t xml:space="preserve">may be under 30;may exceed 250</t>
  </si>
  <si>
    <t xml:space="preserve">443 (Built In) and 236 (Revelio Labs) staff (whole-company count) x 5% to 100% of them in the New York office (HQ outside New York; share assumed) x 67% (Partnership for NYC, firms under 500) in on a weekday = 8 to 297, central 49; low confidence; estimate until intake replaces it.</t>
  </si>
  <si>
    <t xml:space="preserve">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</si>
  <si>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(https://www.butterflynetwork.com/, opened 2026-10-24); LinkedIn not opened</t>
  </si>
  <si>
    <t xml:space="preserve">AO-C-157</t>
  </si>
  <si>
    <t xml:space="preserve">Primary Venture Partners</t>
  </si>
  <si>
    <t xml:space="preserve">https://www.primary.vc</t>
  </si>
  <si>
    <t xml:space="preserve">primary.vc</t>
  </si>
  <si>
    <t xml:space="preserve">28</t>
  </si>
  <si>
    <t xml:space="preserve">58.8</t>
  </si>
  <si>
    <t xml:space="preserve">Alexandra</t>
  </si>
  <si>
    <t xml:space="preserve">Lappas</t>
  </si>
  <si>
    <t xml:space="preserve">Office Manager</t>
  </si>
  <si>
    <t xml:space="preserve">https://www.primary.vc/people</t>
  </si>
  <si>
    <t xml:space="preserve">Emma</t>
  </si>
  <si>
    <t xml:space="preserve">Balin</t>
  </si>
  <si>
    <t xml:space="preserve">VP Strategy, Chief of Staff</t>
  </si>
  <si>
    <t xml:space="preserve">Emma Balin</t>
  </si>
  <si>
    <t xml:space="preserve">title_match=target; Operations section, same page (opened 2026-10-24). Other Operations staff on the page: Lily Moran, Receptionist, and five Executive Assistants (none labelled EA to the managing partner).</t>
  </si>
  <si>
    <t xml:space="preserve">386 Park Avenue South</t>
  </si>
  <si>
    <t xml:space="preserve">13-14</t>
  </si>
  <si>
    <t xml:space="preserve">venture capital</t>
  </si>
  <si>
    <t xml:space="preserve">40</t>
  </si>
  <si>
    <t xml:space="preserve">https://www.linkedin.com/company/primary-venture-partners</t>
  </si>
  <si>
    <t xml:space="preserve">find Manuela Montagnana at Criteo on LinkedIn and paste the profile URL into primary_linkedin_url (this also confirms the name: The Org is crowd-edited and marks it Unverified); the source is dated 2024-11-04: check Manuela still holds the role; adjacent title: ask who runs the pantry</t>
  </si>
  <si>
    <t xml:space="preserve">adjacent contact named (Chief People Officer) (crowd-listed on The Org)</t>
  </si>
  <si>
    <t xml:space="preserve">Tuesday estimate 84 to 168 (low confidence), 1,001 to 4,999 staff company-wide, on-site 5 days a week per its profile, occupied at a high-confidence address</t>
  </si>
  <si>
    <t xml:space="preserve">Manuela Montagnana</t>
  </si>
  <si>
    <t xml:space="preserve">2024-11-04</t>
  </si>
  <si>
    <t xml:space="preserve">ny_base=confirmed; title_fit=adjacent (global people lead). The Org position page (opened 2026-10-24, updated 2024-11-04) attaches her to Criteo's New York office. A global executive: ask who runs the New York office.</t>
  </si>
  <si>
    <t xml:space="preserve">B-C-262</t>
  </si>
  <si>
    <t xml:space="preserve">over-500</t>
  </si>
  <si>
    <t xml:space="preserve">https://www.builtinnyc.com/company/criteo/offices</t>
  </si>
  <si>
    <t xml:space="preserve">1001-4999</t>
  </si>
  <si>
    <t xml:space="preserve">https://commercialobserver.com/2024/11/criteo-lease-387-park-avenue-south/</t>
  </si>
  <si>
    <t xml:space="preserve">2024-11-19</t>
  </si>
  <si>
    <t xml:space="preserve">2868 (Built In) staff (whole-company count) x 5% to 100% of them in the New York office (HQ city unknown; share assumed) x 57% (Partnership for NYC, all Manhattan firms; no figure for 500 to 4,999) in on a weekday; space-based for a company headquartered outside New York: 21,000 sf seats 84 to 168 at 250 to 125 sf per person, kept within the headcount math (82 to 1635) (largest square footage the sources mention at this address; if the company holds more space here, intake corrects it) = 84 to 168, central 119; low confidence; estimate until intake replaces it.</t>
  </si>
  <si>
    <t xml:space="preserve">near-miss-over-500</t>
  </si>
  <si>
    <t xml:space="preserve">over-1,000 (1,001 to 4,999)</t>
  </si>
  <si>
    <t xml:space="preserve">21,000 sf</t>
  </si>
  <si>
    <t xml:space="preserve">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</si>
  <si>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(https://www.criteo.com/, opened 2026-10-24); LinkedIn not opened</t>
  </si>
  <si>
    <t xml:space="preserve">AO-C-028</t>
  </si>
  <si>
    <t xml:space="preserve">Valon</t>
  </si>
  <si>
    <t xml:space="preserve">https://valon.ai</t>
  </si>
  <si>
    <t xml:space="preserve">valon.ai</t>
  </si>
  <si>
    <t xml:space="preserve">30</t>
  </si>
  <si>
    <t xml:space="preserve">58.0</t>
  </si>
  <si>
    <t xml:space="preserve">Marisa</t>
  </si>
  <si>
    <t xml:space="preserve">Rackson</t>
  </si>
  <si>
    <t xml:space="preserve">Head of People</t>
  </si>
  <si>
    <t xml:space="preserve">https://www.valon.ai/about</t>
  </si>
  <si>
    <t xml:space="preserve">Ariel</t>
  </si>
  <si>
    <t xml:space="preserve">Brito</t>
  </si>
  <si>
    <t xml:space="preserve">Ariel Brito</t>
  </si>
  <si>
    <t xml:space="preserve">title_match=adjacent; Same page (opened 2026-10-24); city not stated.</t>
  </si>
  <si>
    <t xml:space="preserve">860 Broadway</t>
  </si>
  <si>
    <t xml:space="preserve">fintech (mortgage servicing software)</t>
  </si>
  <si>
    <t xml:space="preserve">529</t>
  </si>
  <si>
    <t xml:space="preserve">https://www.linkedin.com/company/valon-technologies</t>
  </si>
  <si>
    <t xml:space="preserve">find Lilly Santiago at BrainPOP on LinkedIn and paste the profile URL into primary_linkedin_url (this also confirms the name: The Org is crowd-edited and marks it Unverified); check Lilly works from the New York office; adjacent title: ask who runs the pantry</t>
  </si>
  <si>
    <t xml:space="preserve">adjacent contact named (Executive Assistant to Chief Executive Officer/Office Coordinator) (crowd-listed on The Org)</t>
  </si>
  <si>
    <t xml:space="preserve">find Crystal Spence at BrainPOP on LinkedIn and paste the profile URL into backup_linkedin_url (this also confirms the name: The Org is crowd-edited and marks it Unverified); adjacent title: ask who runs the pantry</t>
  </si>
  <si>
    <t xml:space="preserve">adjacent contact named (Operations Lead, Office of CEO) (crowd-listed on The Org)</t>
  </si>
  <si>
    <t xml:space="preserve">Tuesday estimate 75 to 151 (low confidence), under 500 staff company-wide with a named parent (Kirkbi A/S), hybrid (days not stated), occupied at a medium-confidence address</t>
  </si>
  <si>
    <t xml:space="preserve">Lilly Santiago</t>
  </si>
  <si>
    <t xml:space="preserve">2026-02-12</t>
  </si>
  <si>
    <t xml:space="preserve">ny_base=unconfirmed (The Org location says only 'United States', no office attached; BrainPOP HQ is New York); title_fit=family (EA to CEO and office coordinator; The Org shows her reporting to the CEO, Lorin Thomas-Tavel). The Org updated 2026-02-12.</t>
  </si>
  <si>
    <t xml:space="preserve">B-C-098</t>
  </si>
  <si>
    <t xml:space="preserve">https://www.builtinnyc.com/company/brainpop/offices</t>
  </si>
  <si>
    <t xml:space="preserve">Kirkbi A/S</t>
  </si>
  <si>
    <t xml:space="preserve">B-B-048</t>
  </si>
  <si>
    <t xml:space="preserve">https://www.brainpop.com/discover/terms-of-use</t>
  </si>
  <si>
    <t xml:space="preserve">Built In workplace type: Hybrid Workplace; typical time on-site: Flexible</t>
  </si>
  <si>
    <t xml:space="preserve">225 (Built In) staff (whole-company count) x 50% to 100% of them in the New York office (HQ New York; share assumed) x 67% (Partnership for NYC, firms under 500) in on a weekday = 75 to 151, central 106; low confidence; estimate until intake replaces it.</t>
  </si>
  <si>
    <t xml:space="preserve">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</si>
  <si>
    <t xml:space="preserve">AO-C-155</t>
  </si>
  <si>
    <t xml:space="preserve">Primary Wave</t>
  </si>
  <si>
    <t xml:space="preserve">https://www.primarywave.com</t>
  </si>
  <si>
    <t xml:space="preserve">primarywave.com</t>
  </si>
  <si>
    <t xml:space="preserve">32</t>
  </si>
  <si>
    <t xml:space="preserve">57.8</t>
  </si>
  <si>
    <t xml:space="preserve">Sophia</t>
  </si>
  <si>
    <t xml:space="preserve">Popovits</t>
  </si>
  <si>
    <t xml:space="preserve">NY Facilities and Culture Manager</t>
  </si>
  <si>
    <t xml:space="preserve">https://primarywave.com/team/?filter=human-resources</t>
  </si>
  <si>
    <t xml:space="preserve">Shevonne</t>
  </si>
  <si>
    <t xml:space="preserve">James</t>
  </si>
  <si>
    <t xml:space="preserve">Senior Human Resources Manager</t>
  </si>
  <si>
    <t xml:space="preserve">Shevonne James</t>
  </si>
  <si>
    <t xml:space="preserve">title_match=target; Same page (opened 2026-10-24); city not stated. Also on the tab: Mike Chorny, Operations Manager / IT, and Jessica Wilkins, Senior Executive Assistant (executive not named).</t>
  </si>
  <si>
    <t xml:space="preserve">1165 Broadway</t>
  </si>
  <si>
    <t xml:space="preserve">5 (per site; CO 2024: top two floors)</t>
  </si>
  <si>
    <t xml:space="preserve">music publishing and marketing</t>
  </si>
  <si>
    <t xml:space="preserve">109</t>
  </si>
  <si>
    <t xml:space="preserve">find Jessica Lawson at Daily Harvest on LinkedIn and paste the profile URL into primary_linkedin_url (this also confirms the name: The Org is crowd-edited and marks it Unverified); the source is dated 2024-03-04: check Jessica still holds the role; check Jessica works from the New York office; adjacent title: ask who runs the pantry</t>
  </si>
  <si>
    <t xml:space="preserve">adjacent contact named (Chief of Staff) (crowd-listed on The Org)</t>
  </si>
  <si>
    <t xml:space="preserve">Tuesday estimate 89 to 179 (low confidence), under 500 staff company-wide with a named parent (Chobani), on-site 5 days a week per its profile, occupancy-unconfirmed at a low-confidence address</t>
  </si>
  <si>
    <t xml:space="preserve">Jessica Lawson</t>
  </si>
  <si>
    <t xml:space="preserve">2024-03-04</t>
  </si>
  <si>
    <t xml:space="preserve">ny_base=unconfirmed (no location or office on The Org); title_fit=variant (chief of staff). The Org last updated 2024-03-04, so this may be stale: founder to confirm. The Org's Daily Harvest office record is 1115 Broadway; B has 37 West 20th Street (occupancy-unconfirmed).</t>
  </si>
  <si>
    <t xml:space="preserve">B-C-061</t>
  </si>
  <si>
    <t xml:space="preserve">https://www.builtinnyc.com/company/daily-harvest</t>
  </si>
  <si>
    <t xml:space="preserve">Chobani</t>
  </si>
  <si>
    <t xml:space="preserve">B-B-030</t>
  </si>
  <si>
    <t xml:space="preserve">https://www.builtinnyc.com/company/daily-harvest/offices</t>
  </si>
  <si>
    <t xml:space="preserve">https://www.metro-manhattan.com/buildings/37-west-20th-street-office-space-for-lease/</t>
  </si>
  <si>
    <t xml:space="preserve">Built In lists HQ at 37 West 20th Street and an on-site workplace, typical time on-site 5 days a week. Built In shows 267 total emp</t>
  </si>
  <si>
    <t xml:space="preserve">267 (Built In) staff (whole-company count) x 50% to 100% of them in the New York office (HQ New York; share assumed) x 67% (Partnership for NYC, firms under 500) in on a weekday = 89 to 179, central 126; low confidence; estimate until intake replaces it.</t>
  </si>
  <si>
    <t xml:space="preserve">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</si>
  <si>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Org's company record (https://theorg.com/org/daily-harvest, opened 2026-10-24); LinkedIn not opened</t>
  </si>
  <si>
    <t xml:space="preserve">AO-C-095</t>
  </si>
  <si>
    <t xml:space="preserve">Foursquare</t>
  </si>
  <si>
    <t xml:space="preserve">https://foursquare.com/</t>
  </si>
  <si>
    <t xml:space="preserve">foursquare.com</t>
  </si>
  <si>
    <t xml:space="preserve">33</t>
  </si>
  <si>
    <t xml:space="preserve">57.4</t>
  </si>
  <si>
    <t xml:space="preserve">Kristin</t>
  </si>
  <si>
    <t xml:space="preserve">Vera</t>
  </si>
  <si>
    <t xml:space="preserve">Senior Manager, Executive &amp; Office Operations | EA to the CEO</t>
  </si>
  <si>
    <t xml:space="preserve">https://theorg.com/org/foursquare/org-chart/kristin-vera</t>
  </si>
  <si>
    <t xml:space="preserve">Pam</t>
  </si>
  <si>
    <t xml:space="preserve">Thomas</t>
  </si>
  <si>
    <t xml:space="preserve">https://theorg.com/org/foursquare/org-chart/pam-thomas</t>
  </si>
  <si>
    <t xml:space="preserve">Pam Thomas</t>
  </si>
  <si>
    <t xml:space="preserve">title_match=adjacent; theorg.com position page opened 2026-10-24: Chief Of Staff, location New York City (crowd-edited, marked Unverified). A search snippet says Foursquare's own team page lists her as VP, Chief of Staff (snippet-unverified; the rendered page did not show her).</t>
  </si>
  <si>
    <t xml:space="preserve">50 West 23rd Street</t>
  </si>
  <si>
    <t xml:space="preserve">Location technology / software</t>
  </si>
  <si>
    <t xml:space="preserve">https://www.linkedin.com/company/location-foursquare</t>
  </si>
  <si>
    <t xml:space="preserve">find Jillian Cruz at Wellcom Worldwide on LinkedIn and paste the profile URL into primary_linkedin_url (this also confirms the name: The Org is crowd-edited and marks it Unverified); check Jillian works from the New York office; adjacent title: ask who runs the pantry</t>
  </si>
  <si>
    <t xml:space="preserve">adjacent contact named (Executive Assistant to Global CEO) (crowd-listed on The Org)</t>
  </si>
  <si>
    <t xml:space="preserve">Tuesday estimate 113 to 192 (low confidence), under 500 staff company-wide with a named parent (Innocean Worldwide), on-site 5 days a week per its profile, occupancy-unconfirmed at a low-confidence address</t>
  </si>
  <si>
    <t xml:space="preserve">Jillian Cruz</t>
  </si>
  <si>
    <t xml:space="preserve">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</si>
  <si>
    <t xml:space="preserve">B-C-111</t>
  </si>
  <si>
    <t xml:space="preserve">https://www.builtinnyc.com/company/wellcom-worldwide/offices</t>
  </si>
  <si>
    <t xml:space="preserve">Innocean Worldwide</t>
  </si>
  <si>
    <t xml:space="preserve">B-B-056</t>
  </si>
  <si>
    <t xml:space="preserve">16 Madison Square West / 1115 Broadway (Adams &amp; Company)</t>
  </si>
  <si>
    <t xml:space="preserve">https://commercialobserver.com/2024/08/wellcom-worldwide-signs-24k-sf-lease-16-madison-square-west-manhattan/</t>
  </si>
  <si>
    <t xml:space="preserve">2024-08-27</t>
  </si>
  <si>
    <t xml:space="preserve">https://www.adamsre.com/collections/madison-square-park/products/16-madison-square-west</t>
  </si>
  <si>
    <t xml:space="preserve">336 (Built In) staff (whole-company count) x 50% to 100% of them in the New York office (HQ New York; share assumed) x 67% (Partnership for NYC, firms under 500) in on a weekday; capped by 24,005 sf at 125 sf per person (was 113 to 225) (largest square footage the sources mention at this address; if the company holds more space here, intake corrects it) = 113 to 192, central 147; low confidence; estimate until intake replaces it.</t>
  </si>
  <si>
    <t xml:space="preserve">24,005 sf</t>
  </si>
  <si>
    <t xml:space="preserve">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</si>
  <si>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(https://www.wellcomww.com:443/, opened 2026-10-24); LinkedIn not opened</t>
  </si>
  <si>
    <t xml:space="preserve">AO-C-001</t>
  </si>
  <si>
    <t xml:space="preserve">HUMAN Security</t>
  </si>
  <si>
    <t xml:space="preserve">https://www.humansecurity.com</t>
  </si>
  <si>
    <t xml:space="preserve">humansecurity.com</t>
  </si>
  <si>
    <t xml:space="preserve">36</t>
  </si>
  <si>
    <t xml:space="preserve">57.0</t>
  </si>
  <si>
    <t xml:space="preserve">Jackie</t>
  </si>
  <si>
    <t xml:space="preserve">Orris</t>
  </si>
  <si>
    <t xml:space="preserve">https://theorg.com/org/human-security/org-chart/jackie-orris</t>
  </si>
  <si>
    <t xml:space="preserve">841 Broadway</t>
  </si>
  <si>
    <t xml:space="preserve">cybersecurity</t>
  </si>
  <si>
    <t xml:space="preserve">393</t>
  </si>
  <si>
    <t xml:space="preserve">https://www.linkedin.com/company/humansecurityinc</t>
  </si>
  <si>
    <t xml:space="preserve">hybrid-2-or-less</t>
  </si>
  <si>
    <t xml:space="preserve">find Abby Hamilton at TripleLift on LinkedIn and paste the profile URL into primary_linkedin_url; adjacent title: ask who runs the pantry</t>
  </si>
  <si>
    <t xml:space="preserve">adjacent contact named (Chief People Officer)</t>
  </si>
  <si>
    <t xml:space="preserve">Tuesday estimate 112 to 278 (low confidence), under 500 staff company-wide, hybrid 2 days or fewer, occupied at a medium-confidence address</t>
  </si>
  <si>
    <t xml:space="preserve">Abby Hamilton</t>
  </si>
  <si>
    <t xml:space="preserve">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</si>
  <si>
    <t xml:space="preserve">B-C-101</t>
  </si>
  <si>
    <t xml:space="preserve">415</t>
  </si>
  <si>
    <t xml:space="preserve">https://www.builtinnyc.com/company/triplelift/offices</t>
  </si>
  <si>
    <t xml:space="preserve">https://www.reveliolabs.com/companies/triple-lift/employees</t>
  </si>
  <si>
    <t xml:space="preserve">B-B-050</t>
  </si>
  <si>
    <t xml:space="preserve">49-53 West 23rd Street (Adams &amp; Company)</t>
  </si>
  <si>
    <t xml:space="preserve">https://triplelift.com/contact-us/</t>
  </si>
  <si>
    <t xml:space="preserve">https://www.adamsre.com/collections/madison-square-park/products/53-west-23rd</t>
  </si>
  <si>
    <t xml:space="preserve">Built In workplace type: Hybrid Workplace; typical time on-site: 0 days a week; recent job tags: 3 In-Office</t>
  </si>
  <si>
    <t xml:space="preserve">335 (Built In) and 415 (Revelio Labs) staff (whole-company count) x 50% to 100% of them in the New York office (HQ New York; share assumed) x 67% (Partnership for NYC, firms under 500) in on a weekday = 112 to 278, central 176; low confidence; estimate until intake replaces it.</t>
  </si>
  <si>
    <t xml:space="preserve">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</si>
  <si>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linked from the company's own site (https://triplelift.com/, opened 2026-10-24); LinkedIn not opened</t>
  </si>
  <si>
    <t xml:space="preserve">AO-C-196</t>
  </si>
  <si>
    <t xml:space="preserve">Charlie Health</t>
  </si>
  <si>
    <t xml:space="preserve">https://www.charliehealth.com</t>
  </si>
  <si>
    <t xml:space="preserve">charliehealth.com</t>
  </si>
  <si>
    <t xml:space="preserve">38</t>
  </si>
  <si>
    <t xml:space="preserve">56.0</t>
  </si>
  <si>
    <t xml:space="preserve">Levine</t>
  </si>
  <si>
    <t xml:space="preserve">VP of People Operations</t>
  </si>
  <si>
    <t xml:space="preserve">https://theorg.com/org/charlie-health/person/alexandra-levine</t>
  </si>
  <si>
    <t xml:space="preserve">Tyger</t>
  </si>
  <si>
    <t xml:space="preserve">SVP, Operations</t>
  </si>
  <si>
    <t xml:space="preserve">https://theorg.com/org/charlie-health/person/paul-tyger</t>
  </si>
  <si>
    <t xml:space="preserve">Paul Tyger</t>
  </si>
  <si>
    <t xml:space="preserve">2025-11-19</t>
  </si>
  <si>
    <t xml:space="preserve">ny_base=likely; title_fit=adjacent. The Org position page (opened 2026-10-24, updated 2025-11-19), New York area.</t>
  </si>
  <si>
    <t xml:space="preserve">virtual behavioral health</t>
  </si>
  <si>
    <t xml:space="preserve">3000</t>
  </si>
  <si>
    <t xml:space="preserve">https://www.linkedin.com/company/charlie-health</t>
  </si>
  <si>
    <t xml:space="preserve">AO-C-019</t>
  </si>
  <si>
    <t xml:space="preserve">Tuesday estimate 86 to 103 (low confidence), under 500 staff company-wide, on-site 5 days a week per its profile, signed-not-occupied at a medium-confidence address (hold: lease signed, move not confirmed)</t>
  </si>
  <si>
    <t xml:space="preserve">B-C-019</t>
  </si>
  <si>
    <t xml:space="preserve">https://thinkingmachines.ai</t>
  </si>
  <si>
    <t xml:space="preserve">AI research</t>
  </si>
  <si>
    <t xml:space="preserve">91</t>
  </si>
  <si>
    <t xml:space="preserve">153</t>
  </si>
  <si>
    <t xml:space="preserve">https://www.builtinnyc.com/company/thinking-machines-lab</t>
  </si>
  <si>
    <t xml:space="preserve">https://www.reveliolabs.com/companies/thinking-machines-lab/employees</t>
  </si>
  <si>
    <t xml:space="preserve">https://www.linkedin.com/company/thinkingmachinesai</t>
  </si>
  <si>
    <t xml:space="preserve">B-B-007</t>
  </si>
  <si>
    <t xml:space="preserve">79 Fifth Avenue</t>
  </si>
  <si>
    <t xml:space="preserve">https://commercialobserver.com/2026/08/thinking-machines-lab-79-fifth-avenue-lease/</t>
  </si>
  <si>
    <t xml:space="preserve">2026-08-26</t>
  </si>
  <si>
    <t xml:space="preserve">https://www.builtinnyc.com/company/thinking-machines-lab/offices</t>
  </si>
  <si>
    <t xml:space="preserve">91 (Built In) and 153 (Revelio Labs) staff (whole-company count) x 5% to 100% of them in the New York office (HQ outside New York; share assumed) x 67% (Partnership for NYC, firms under 500) in on a weekday; space-based for a company headquartered outside New York: 21,500 sf seats 86 to 172 at 250 to 125 sf per person, kept within the headcount math (3 to 103) (largest square footage the sources mention at this address; if the company holds more space here, intake corrects it) = 86 to 103, central 94; low confidence; estimate until intake replaces it.</t>
  </si>
  <si>
    <t xml:space="preserve">21,500 sf</t>
  </si>
  <si>
    <t xml:space="preserve">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</si>
  <si>
    <t xml:space="preserve">linked from the company's own site (https://thinkingmachines.ai/, opened 2026-10-24); LinkedIn not opened</t>
  </si>
  <si>
    <t xml:space="preserve">AO-C-228</t>
  </si>
  <si>
    <t xml:space="preserve">TileBar</t>
  </si>
  <si>
    <t xml:space="preserve">https://www.tilebar.com/</t>
  </si>
  <si>
    <t xml:space="preserve">tilebar.com</t>
  </si>
  <si>
    <t xml:space="preserve">41</t>
  </si>
  <si>
    <t xml:space="preserve">55.0</t>
  </si>
  <si>
    <t xml:space="preserve">Lindley</t>
  </si>
  <si>
    <t xml:space="preserve">Maglio</t>
  </si>
  <si>
    <t xml:space="preserve">Chief Human Resources Officer</t>
  </si>
  <si>
    <t xml:space="preserve">https://theorg.com/org/tilebar/person/lindley-h-maglio</t>
  </si>
  <si>
    <t xml:space="preserve">Reggy</t>
  </si>
  <si>
    <t xml:space="preserve">Soenarso</t>
  </si>
  <si>
    <t xml:space="preserve">Chief Operations Officer</t>
  </si>
  <si>
    <t xml:space="preserve">https://theorg.com/org/tilebar/person/reggy-soenarso</t>
  </si>
  <si>
    <t xml:space="preserve">Reggy Soenarso</t>
  </si>
  <si>
    <t xml:space="preserve">2026-01-25</t>
  </si>
  <si>
    <t xml:space="preserve">ny_base=likely; title_fit=adjacent. The Org position page (opened 2026-10-24, updated 2026-01-25), New York area.</t>
  </si>
  <si>
    <t xml:space="preserve">3 and 4</t>
  </si>
  <si>
    <t xml:space="preserve">Consumer brand (tile and surfaces) / showroom</t>
  </si>
  <si>
    <t xml:space="preserve">575</t>
  </si>
  <si>
    <t xml:space="preserve">https://www.linkedin.com/company/tilebar</t>
  </si>
  <si>
    <t xml:space="preserve">AO-C-127</t>
  </si>
  <si>
    <t xml:space="preserve">Tuesday estimate 70 to 70 (low confidence), under 500 staff company-wide, on-site 5 days a week per its profile, occupancy-unconfirmed at a low-confidence address</t>
  </si>
  <si>
    <t xml:space="preserve">B-C-127</t>
  </si>
  <si>
    <t xml:space="preserve">https://accessibe.com</t>
  </si>
  <si>
    <t xml:space="preserve">software (web accessibility)</t>
  </si>
  <si>
    <t xml:space="preserve">210</t>
  </si>
  <si>
    <t xml:space="preserve">268</t>
  </si>
  <si>
    <t xml:space="preserve">https://www.builtinnyc.com/company/accessibe/offices</t>
  </si>
  <si>
    <t xml:space="preserve">https://www.reveliolabs.com/companies/accessibe/employees</t>
  </si>
  <si>
    <t xml:space="preserve">https://www.linkedin.com/company/accessibe</t>
  </si>
  <si>
    <t xml:space="preserve">10001</t>
  </si>
  <si>
    <t xml:space="preserve">B-B-063</t>
  </si>
  <si>
    <t xml:space="preserve">1140 Broadway (Williams Equities)</t>
  </si>
  <si>
    <t xml:space="preserve">https://commercialobserver.com/2022/07/acessibe-1140-broadway/</t>
  </si>
  <si>
    <t xml:space="preserve">2022-07-07</t>
  </si>
  <si>
    <t xml:space="preserve">https://www.metro-manhattan.com/buildings/1140-broadway-office-space-for-lease/</t>
  </si>
  <si>
    <t xml:space="preserve">210 (Built In) and 268 (Revelio Labs) staff (whole-company count) x 50% to 100% of them in the New York office (HQ New York; share assumed) x 67% (Partnership for NYC, firms under 500) in on a weekday; capped by 8,700 sf at 125 sf per person (was 70 to 180); central capped at 8,700 sf / 150 sf per person (largest square footage the sources mention at this address; if the company holds more space here, intake corrects it) = 70 to 70, central 70; low confidence; estimate until intake replaces it.</t>
  </si>
  <si>
    <t xml:space="preserve">8,700 sf</t>
  </si>
  <si>
    <t xml:space="preserve">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</si>
  <si>
    <t xml:space="preserve">linked from the company's own site (https://accessibe.com/, opened 2026-10-24); LinkedIn not opened</t>
  </si>
  <si>
    <t xml:space="preserve">AO-C-265</t>
  </si>
  <si>
    <t xml:space="preserve">Prosek Partners</t>
  </si>
  <si>
    <t xml:space="preserve">https://www.prosek.com</t>
  </si>
  <si>
    <t xml:space="preserve">prosek.com</t>
  </si>
  <si>
    <t xml:space="preserve">42</t>
  </si>
  <si>
    <t xml:space="preserve">54.2</t>
  </si>
  <si>
    <t xml:space="preserve">Rachel</t>
  </si>
  <si>
    <t xml:space="preserve">Hartog Lyon</t>
  </si>
  <si>
    <t xml:space="preserve">Vice President, Employee Experience</t>
  </si>
  <si>
    <t xml:space="preserve">https://theorg.com/org/prosek-partners/person/rachel-hartog-lyon</t>
  </si>
  <si>
    <t xml:space="preserve">Taylor</t>
  </si>
  <si>
    <t xml:space="preserve">Jozwiak</t>
  </si>
  <si>
    <t xml:space="preserve">https://theorg.com/org/prosek-partners/person/taylor-jozwiak</t>
  </si>
  <si>
    <t xml:space="preserve">Taylor Jozwiak</t>
  </si>
  <si>
    <t xml:space="preserve">2025-08-15</t>
  </si>
  <si>
    <t xml:space="preserve">ny_base=likely; title_fit=adjacent (executive assistant, principal not stated). The Org position page (opened 2026-10-24, updated 2025-08-15), New York area.</t>
  </si>
  <si>
    <t xml:space="preserve">28 East 28th Street</t>
  </si>
  <si>
    <t xml:space="preserve">communications and marketing agency</t>
  </si>
  <si>
    <t xml:space="preserve">549</t>
  </si>
  <si>
    <t xml:space="preserve">https://www.linkedin.com/company/prosek-partners</t>
  </si>
  <si>
    <t xml:space="preserve">AO-C-105</t>
  </si>
  <si>
    <t xml:space="preserve">Naomi</t>
  </si>
  <si>
    <t xml:space="preserve">Simpson</t>
  </si>
  <si>
    <t xml:space="preserve">https://theorg.com/org/orbital-4/org-chart/naomi-simpson</t>
  </si>
  <si>
    <t xml:space="preserve">find Naomi Simpson at Orbital on LinkedIn and paste the profile URL into primary_linkedin_url (this also confirms the name: The Org is crowd-edited and marks it Unverified); check Naomi works from the New York office; adjacent title: ask who runs the pantry</t>
  </si>
  <si>
    <t xml:space="preserve">Tuesday estimate 32 to 89 (low confidence), under 500 staff company-wide, on-site 5 days a week per its profile, signed-not-occupied at a medium-confidence address (hold: lease signed, move not confirmed)</t>
  </si>
  <si>
    <t xml:space="preserve">Naomi Simpson</t>
  </si>
  <si>
    <t xml:space="preserve">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</si>
  <si>
    <t xml:space="preserve">B-C-105</t>
  </si>
  <si>
    <t xml:space="preserve">https://www.orbital.tech/</t>
  </si>
  <si>
    <t xml:space="preserve">Software (AI for real estate legal due diligence)</t>
  </si>
  <si>
    <t xml:space="preserve">96</t>
  </si>
  <si>
    <t xml:space="preserve">150+</t>
  </si>
  <si>
    <t xml:space="preserve">https://www.builtinnyc.com/company/orbital</t>
  </si>
  <si>
    <t xml:space="preserve">https://www.orbital.tech/about</t>
  </si>
  <si>
    <t xml:space="preserve">https://www.linkedin.com/company/orbital-technology</t>
  </si>
  <si>
    <t xml:space="preserve">B-B-053</t>
  </si>
  <si>
    <t xml:space="preserve">40 West 25th Street (Kaufman Investments / Two Sigma Real Estate)</t>
  </si>
  <si>
    <t xml:space="preserve">https://commercialobserver.com/2026/09/orbital-ai-lease-kaufman-organization-40-west-25th-street/</t>
  </si>
  <si>
    <t xml:space="preserve">2026-09-09</t>
  </si>
  <si>
    <t xml:space="preserve">Built In workplace type: OnSite Workplace; typical time on-site: 5 days a week; recent job tags: 3 Hybrid</t>
  </si>
  <si>
    <t xml:space="preserve">https://www.builtinnyc.com/company/orbital/offices</t>
  </si>
  <si>
    <t xml:space="preserve">96 (Built In) and 150+ (orbital.tech) staff (whole-company count) x 50% to 100% of them in the New York office (HQ New York; share assumed) x 67% (Partnership for NYC, firms under 500) in on a weekday; capped by 11,185 sf at 125 sf per person (was 32 to 100) (largest square footage the sources mention at this address; if the company holds more space here, intake corrects it) = 32 to 89, central 53; low confidence; estimate until intake replaces it.</t>
  </si>
  <si>
    <t xml:space="preserve">11,185 sf</t>
  </si>
  <si>
    <t xml:space="preserve">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</si>
  <si>
    <t xml:space="preserve">linked from the company's own site (https://www.orbital.tech/, opened 2026-10-24); LinkedIn not opened</t>
  </si>
  <si>
    <t xml:space="preserve">AO-C-059</t>
  </si>
  <si>
    <t xml:space="preserve">Christie's International Real Estate Group</t>
  </si>
  <si>
    <t xml:space="preserve">43</t>
  </si>
  <si>
    <t xml:space="preserve">54.0</t>
  </si>
  <si>
    <t xml:space="preserve">True</t>
  </si>
  <si>
    <t xml:space="preserve">Team Leader, Christie's Flatiron Office</t>
  </si>
  <si>
    <t xml:space="preserve">press, event or podcast page</t>
  </si>
  <si>
    <t xml:space="preserve">https://www.mannpublications.com/mannreport/2025/09/15/christies-international-real-estate-group-welcomes-veteran-agent-filippa-edberg-manuel-as-founder-of-the-luxury-advisory-team/</t>
  </si>
  <si>
    <t xml:space="preserve">Brett</t>
  </si>
  <si>
    <t xml:space="preserve">Forman</t>
  </si>
  <si>
    <t xml:space="preserve">Managing Director, Manhattan</t>
  </si>
  <si>
    <t xml:space="preserve">https://commercialobserver.com/2024/08/christies-international-real-estate-group-lease-156-fifth-avenue/</t>
  </si>
  <si>
    <t xml:space="preserve">Brett Forman</t>
  </si>
  <si>
    <t xml:space="preserve">2024-08-21</t>
  </si>
  <si>
    <t xml:space="preserve">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</si>
  <si>
    <t xml:space="preserve">156 Fifth Avenue</t>
  </si>
  <si>
    <t xml:space="preserve">residential real estate brokerage</t>
  </si>
  <si>
    <t xml:space="preserve">75</t>
  </si>
  <si>
    <t xml:space="preserve">find Alexandra Lappas at Primary Venture Partners on LinkedIn and paste the profile URL into primary_linkedin_url</t>
  </si>
  <si>
    <t xml:space="preserve">contact in the target titles named (Office Manager)</t>
  </si>
  <si>
    <t xml:space="preserve">find Emma Balin at Primary Venture Partners on LinkedIn and paste the profile URL into backup_linkedin_url; adjacent title: ask who runs the pantry</t>
  </si>
  <si>
    <t xml:space="preserve">adjacent contact named (VP Strategy, Chief of Staff)</t>
  </si>
  <si>
    <t xml:space="preserve">Tuesday estimate 13 to 204 (low confidence), under 500 staff company-wide, no attendance signal, occupied at a medium-confidence address</t>
  </si>
  <si>
    <t xml:space="preserve">Alexandra Lappas</t>
  </si>
  <si>
    <t xml:space="preserve">title_match=target; Listed under Operations on Primary's People page (opened 2026-10-24). Primary is a New York firm; page does not state each person's city. Note: Primary's Talent team recruits for portfolio companies, so those titles were not used.</t>
  </si>
  <si>
    <t xml:space="preserve">B-C-157</t>
  </si>
  <si>
    <t xml:space="preserve">304</t>
  </si>
  <si>
    <t xml:space="preserve">https://commercialobserver.com/2023/07/primary-vc-sublease-386-park-avenue-south/</t>
  </si>
  <si>
    <t xml:space="preserve">https://www.reveliolabs.com/companies/primary-venture-partners/employees</t>
  </si>
  <si>
    <t xml:space="preserve">B-B-072</t>
  </si>
  <si>
    <t xml:space="preserve">386 Park Avenue South (HSR Corporation)</t>
  </si>
  <si>
    <t xml:space="preserve">https://commercialobserver.com/2026/02/primary-ventures-sigma-computing-leases-386-park-avenue-south/</t>
  </si>
  <si>
    <t xml:space="preserve">2026-02-27</t>
  </si>
  <si>
    <t xml:space="preserve">2023-07-10</t>
  </si>
  <si>
    <t xml:space="preserve">may be under 30</t>
  </si>
  <si>
    <t xml:space="preserve">40 (Commercial Observer) and 304 (Revelio Labs) staff (whole-company count) x 50% to 100% of them in the New York office (HQ New York; share assumed) x 67% (Partnership for NYC, firms under 500) in on a weekday = 13 to 204, central 51; low confidence; estimate until intake replaces it.</t>
  </si>
  <si>
    <t xml:space="preserve">26,252 sf</t>
  </si>
  <si>
    <t xml:space="preserve">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</si>
  <si>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linked from the company's own site (https://www.primary.vc/, opened 2026-10-24); LinkedIn not opened</t>
  </si>
  <si>
    <t xml:space="preserve">AO-C-263</t>
  </si>
  <si>
    <t xml:space="preserve">PMG Worldwide</t>
  </si>
  <si>
    <t xml:space="preserve">https://www.pmg.com</t>
  </si>
  <si>
    <t xml:space="preserve">pmg.com</t>
  </si>
  <si>
    <t xml:space="preserve">47</t>
  </si>
  <si>
    <t xml:space="preserve">53.2</t>
  </si>
  <si>
    <t xml:space="preserve">Tina</t>
  </si>
  <si>
    <t xml:space="preserve">McCarthy</t>
  </si>
  <si>
    <t xml:space="preserve">New York Managing Director</t>
  </si>
  <si>
    <t xml:space="preserve">https://www.pmg.com/insights-and-news/tina-mccarthy-joins-pmg-as-new-york-managing-director</t>
  </si>
  <si>
    <t xml:space="preserve">2-3</t>
  </si>
  <si>
    <t xml:space="preserve">marketing agency</t>
  </si>
  <si>
    <t xml:space="preserve">1000</t>
  </si>
  <si>
    <t xml:space="preserve">https://www.linkedin.com/company/agencypmg</t>
  </si>
  <si>
    <t xml:space="preserve">AO-C-129</t>
  </si>
  <si>
    <t xml:space="preserve">Laura</t>
  </si>
  <si>
    <t xml:space="preserve">Miller</t>
  </si>
  <si>
    <t xml:space="preserve">https://theorg.com/org/activate/org-chart/laura-miller</t>
  </si>
  <si>
    <t xml:space="preserve">find Laura Miller at Activate Consulting on LinkedIn and paste the profile URL into primary_linkedin_url (this also confirms the name: The Org is crowd-edited and marks it Unverified); adjacent title: ask who runs the pantry; Tuesday estimate band under-40: founder's call (set founder_ok_to_queue = Y to queue)</t>
  </si>
  <si>
    <t xml:space="preserve">Frank</t>
  </si>
  <si>
    <t xml:space="preserve">Noto</t>
  </si>
  <si>
    <t xml:space="preserve">Chief Administrative Officer</t>
  </si>
  <si>
    <t xml:space="preserve">https://theorg.com/org/activate/org-chart/frank-noto</t>
  </si>
  <si>
    <t xml:space="preserve">find Frank Noto at Activate Consulting on LinkedIn and paste the profile URL into backup_linkedin_url (this also confirms the name: The Org is crowd-edited and marks it Unverified); adjacent title: ask who runs the pantry; Tuesday estimate band under-40: founder's call (set founder_ok_to_queue = Y to queue)</t>
  </si>
  <si>
    <t xml:space="preserve">adjacent contact named (Chief Administrative Officer) (crowd-listed on The Org)</t>
  </si>
  <si>
    <t xml:space="preserve">Tuesday estimate 25 to 51 (low confidence), under 500 staff company-wide, on-site 5 days a week per its profile, occupied at a high-confidence address</t>
  </si>
  <si>
    <t xml:space="preserve">Laura Miller</t>
  </si>
  <si>
    <t xml:space="preserve">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</si>
  <si>
    <t xml:space="preserve">Frank Noto</t>
  </si>
  <si>
    <t xml:space="preserve">title_match=adjacent; theorg position page opened 2026-10-24: Chief Administrative Officer since January 2017, location New York (crowd-edited, Unverified). Adjacent title: likely owns office spend. theorg also lists an Executive Assistant in New York (executive not named).</t>
  </si>
  <si>
    <t xml:space="preserve">B-C-129</t>
  </si>
  <si>
    <t xml:space="preserve">https://www.activate.com</t>
  </si>
  <si>
    <t xml:space="preserve">management consulting (tech, media, telecom)</t>
  </si>
  <si>
    <t xml:space="preserve">76</t>
  </si>
  <si>
    <t xml:space="preserve">https://www.builtinnyc.com/company/activate-consulting/offices</t>
  </si>
  <si>
    <t xml:space="preserve">https://www.linkedin.com/company/activate_2</t>
  </si>
  <si>
    <t xml:space="preserve">e North, 18th floor' (vanity address of 11 E 26th St, same building), 76 total employees, on-site 5 days a week. Sublet half the added space</t>
  </si>
  <si>
    <t xml:space="preserve">may be under 30;30 to 39 is the founder's call</t>
  </si>
  <si>
    <t xml:space="preserve">76 (Built In) staff (whole-company count) x 50% to 100% of them in the New York office (HQ New York; share assumed) x 67% (Partnership for NYC, firms under 500) in on a weekday = 25 to 51, central 36; low confidence; estimate until intake replaces it.</t>
  </si>
  <si>
    <t xml:space="preserve">24,144 sf</t>
  </si>
  <si>
    <t xml:space="preserve">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</si>
  <si>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(https://www.activate.com/, opened 2026-10-24); LinkedIn not opened</t>
  </si>
  <si>
    <t xml:space="preserve">AO-C-013</t>
  </si>
  <si>
    <t xml:space="preserve">Rockwell Group</t>
  </si>
  <si>
    <t xml:space="preserve">https://www.rockwellgroup.com</t>
  </si>
  <si>
    <t xml:space="preserve">rockwellgroup.com</t>
  </si>
  <si>
    <t xml:space="preserve">49</t>
  </si>
  <si>
    <t xml:space="preserve">52.3</t>
  </si>
  <si>
    <t xml:space="preserve">Yazmin</t>
  </si>
  <si>
    <t xml:space="preserve">Ramirez</t>
  </si>
  <si>
    <t xml:space="preserve">Director of Human Resources</t>
  </si>
  <si>
    <t xml:space="preserve">https://www.rockwellgroup.com/people</t>
  </si>
  <si>
    <t xml:space="preserve">5 Union Square West</t>
  </si>
  <si>
    <t xml:space="preserve">architecture and design</t>
  </si>
  <si>
    <t xml:space="preserve">find Marisa Rackson at Valon on LinkedIn and paste the profile URL into primary_linkedin_url; adjacent title: ask who runs the pantry</t>
  </si>
  <si>
    <t xml:space="preserve">adjacent contact named (Head of People)</t>
  </si>
  <si>
    <t xml:space="preserve">find Ariel Brito at Valon on LinkedIn and paste the profile URL into backup_linkedin_url; adjacent title: ask who runs the pantry</t>
  </si>
  <si>
    <t xml:space="preserve">adjacent contact named (Chief of Staff)</t>
  </si>
  <si>
    <t xml:space="preserve">Tuesday estimate 55 to 111 (low confidence), 501 to 1,000 staff company-wide, hybrid (days not stated), occupied at a high-confidence address</t>
  </si>
  <si>
    <t xml:space="preserve">Marisa Rackson</t>
  </si>
  <si>
    <t xml:space="preserve">title_match=adjacent; Leadership list on Valon's About page (opened 2026-10-24). Valon is headquartered in New York (Built In); the page does not state her city. Senior for a ~500-person firm: ask her who owns the 860 Broadway office pantry.</t>
  </si>
  <si>
    <t xml:space="preserve">B-C-028</t>
  </si>
  <si>
    <t xml:space="preserve">500</t>
  </si>
  <si>
    <t xml:space="preserve">over-500-second-source</t>
  </si>
  <si>
    <t xml:space="preserve">https://www.reveliolabs.com/companies/valon-mortgage/employees</t>
  </si>
  <si>
    <t xml:space="preserve">https://www.builtinnyc.com/company/valon</t>
  </si>
  <si>
    <t xml:space="preserve">501-1000</t>
  </si>
  <si>
    <t xml:space="preserve">B-B-011</t>
  </si>
  <si>
    <t xml:space="preserve">https://commercialobserver.com/2026/08/selldorf-architects-renews-14k-sf-860-broadway-lease-for-10-years/</t>
  </si>
  <si>
    <t xml:space="preserve">2026-08-07</t>
  </si>
  <si>
    <t xml:space="preserve">https://rebusinessonline.com/?p=388206</t>
  </si>
  <si>
    <t xml:space="preserve">2023-12-22</t>
  </si>
  <si>
    <t xml:space="preserve">Built In workplace type: Hybrid Workplace; typical time on-site: Flexible; recent job tags: 2 Hybrid, 1 Remote</t>
  </si>
  <si>
    <t xml:space="preserve">https://www.builtinnyc.com/company/valon/offices</t>
  </si>
  <si>
    <t xml:space="preserve">529 (Revelio Labs) and 500 (Built In) staff (whole-company count) x 50% to 100% of them in the New York office (HQ New York; share assumed) x 57% (Partnership for NYC, all Manhattan firms; no figure for 500 to 4,999) in on a weekday; the headcount math (142 to 302)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</si>
  <si>
    <t xml:space="preserve">just-over-500 (501 to 1,000)</t>
  </si>
  <si>
    <t xml:space="preserve">13,815 sf</t>
  </si>
  <si>
    <t xml:space="preserve">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</si>
  <si>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linked from the company's own site (https://www.valon.ai/, opened 2026-10-24); LinkedIn not opened</t>
  </si>
  <si>
    <t xml:space="preserve">AO-C-075</t>
  </si>
  <si>
    <t xml:space="preserve">Retool</t>
  </si>
  <si>
    <t xml:space="preserve">https://retool.com</t>
  </si>
  <si>
    <t xml:space="preserve">retool.com</t>
  </si>
  <si>
    <t xml:space="preserve">58</t>
  </si>
  <si>
    <t xml:space="preserve">50.1</t>
  </si>
  <si>
    <t xml:space="preserve">Karim</t>
  </si>
  <si>
    <t xml:space="preserve">El Sewedy</t>
  </si>
  <si>
    <t xml:space="preserve">Business Operations</t>
  </si>
  <si>
    <t xml:space="preserve">https://theorg.com/org/retool/person/karim-el-sewedy</t>
  </si>
  <si>
    <t xml:space="preserve">915 Broadway</t>
  </si>
  <si>
    <t xml:space="preserve">software (internal tools platform)</t>
  </si>
  <si>
    <t xml:space="preserve">https://www.linkedin.com/company/tryretool</t>
  </si>
  <si>
    <t xml:space="preserve">AO-C-128</t>
  </si>
  <si>
    <t xml:space="preserve">Tuesday estimate 32 to 64 (low confidence), under 500 staff company-wide with a named parent (DraftKings), on-site 5 days a week per its profile, occupied at a high-confidence address</t>
  </si>
  <si>
    <t xml:space="preserve">B-C-128</t>
  </si>
  <si>
    <t xml:space="preserve">https://simplebet.io</t>
  </si>
  <si>
    <t xml:space="preserve">sports betting technology</t>
  </si>
  <si>
    <t xml:space="preserve">https://www.builtinnyc.com/company/simplebet/offices</t>
  </si>
  <si>
    <t xml:space="preserve">DraftKings</t>
  </si>
  <si>
    <t xml:space="preserve">https://www.linkedin.com/company/simplebet</t>
  </si>
  <si>
    <t xml:space="preserve">B-B-064</t>
  </si>
  <si>
    <t xml:space="preserve">373 Park Avenue South (Olmstead Properties and Vertex)</t>
  </si>
  <si>
    <t xml:space="preserve">https://commercialobserver.com/2025/05/empire-capital-buys-373-381-park-avenue-south/</t>
  </si>
  <si>
    <t xml:space="preserve">95 (Built In) staff (whole-company count) x 50% to 100% of them in the New York office (HQ New York; share assumed) x 67% (Partnership for NYC, firms under 500) in on a weekday = 32 to 64, central 45; low confidence; estimate until intake replaces it.</t>
  </si>
  <si>
    <t xml:space="preserve">8,732 sf</t>
  </si>
  <si>
    <t xml:space="preserve">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</si>
  <si>
    <t xml:space="preserve">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</si>
  <si>
    <t xml:space="preserve">linked from The Org's company record (https://theorg.com/org/simplebet, opened 2026-10-24); LinkedIn not opened</t>
  </si>
  <si>
    <t xml:space="preserve">AO-C-205</t>
  </si>
  <si>
    <t xml:space="preserve">Prophet</t>
  </si>
  <si>
    <t xml:space="preserve">https://www.prophet.com</t>
  </si>
  <si>
    <t xml:space="preserve">prophet.com</t>
  </si>
  <si>
    <t xml:space="preserve">67</t>
  </si>
  <si>
    <t xml:space="preserve">46.2</t>
  </si>
  <si>
    <t xml:space="preserve">Jessie</t>
  </si>
  <si>
    <t xml:space="preserve">Mark</t>
  </si>
  <si>
    <t xml:space="preserve">Vice President, People Operations &amp; Insights</t>
  </si>
  <si>
    <t xml:space="preserve">https://prophet.com/about/leadership/</t>
  </si>
  <si>
    <t xml:space="preserve">115 Fifth Avenue</t>
  </si>
  <si>
    <t xml:space="preserve">brand and marketing consulting</t>
  </si>
  <si>
    <t xml:space="preserve">https://www.linkedin.com/company/prophet</t>
  </si>
  <si>
    <t xml:space="preserve">remote</t>
  </si>
  <si>
    <t xml:space="preserve">find Sophia Popovits at Primary Wave on LinkedIn and paste the profile URL into primary_linkedin_url</t>
  </si>
  <si>
    <t xml:space="preserve">contact in the target titles named (NY Facilities and Culture Manager)</t>
  </si>
  <si>
    <t xml:space="preserve">find Shevonne James at Primary Wave on LinkedIn and paste the profile URL into backup_linkedin_url; adjacent title: ask who runs the pantry</t>
  </si>
  <si>
    <t xml:space="preserve">adjacent contact named (Senior Human Resources Manager)</t>
  </si>
  <si>
    <t xml:space="preserve">Tuesday estimate 37 to 90 (low confidence), under 500 staff company-wide, remote-first signal, occupied at a high-confidence address</t>
  </si>
  <si>
    <t xml:space="preserve">Sophia Popovits</t>
  </si>
  <si>
    <t xml:space="preserve">title_match=target; Human Resources &amp; Operations tab of Primary Wave's team page (opened 2026-10-24). Strong fit: the title names the NY office. Built In calls Primary Wave a Remote Workplace, but a NY facilities role suggests a staffed office; confirm Tuesday headcount on the call.</t>
  </si>
  <si>
    <t xml:space="preserve">B-C-155</t>
  </si>
  <si>
    <t xml:space="preserve">134</t>
  </si>
  <si>
    <t xml:space="preserve">https://www.builtinnyc.com/company/primary-wave/offices</t>
  </si>
  <si>
    <t xml:space="preserve">https://www.reveliolabs.com/companies/primary-wave-entmt/employees</t>
  </si>
  <si>
    <t xml:space="preserve">B-B-071</t>
  </si>
  <si>
    <t xml:space="preserve">1165 Broadway (Thor Equities, bought 2026)</t>
  </si>
  <si>
    <t xml:space="preserve">https://commercialobserver.com/2026/03/thor-equities-buys-1165-broadway/</t>
  </si>
  <si>
    <t xml:space="preserve">2026-03-25</t>
  </si>
  <si>
    <t xml:space="preserve">https://primarywave.com/contact/</t>
  </si>
  <si>
    <t xml:space="preserve">Built In workplace type: Remote Workplace</t>
  </si>
  <si>
    <t xml:space="preserve">109 (Built In) and 134 (Revelio Labs) staff (whole-company count) x 50% to 100% of them in the New York office (HQ New York; share assumed) x 67% (Partnership for NYC, firms under 500) in on a weekday = 37 to 90, central 58; low confidence; estimate until intake replaces it.</t>
  </si>
  <si>
    <t xml:space="preserve">12,884 sf</t>
  </si>
  <si>
    <t xml:space="preserve">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</si>
  <si>
    <t xml:space="preserve">AO-C-005</t>
  </si>
  <si>
    <t xml:space="preserve">Nourish</t>
  </si>
  <si>
    <t xml:space="preserve">https://www.usenourish.com</t>
  </si>
  <si>
    <t xml:space="preserve">usenourish.com</t>
  </si>
  <si>
    <t xml:space="preserve">72</t>
  </si>
  <si>
    <t xml:space="preserve">43.9</t>
  </si>
  <si>
    <t xml:space="preserve">Caskey</t>
  </si>
  <si>
    <t xml:space="preserve">Recruiting Operations Coordinator</t>
  </si>
  <si>
    <t xml:space="preserve">https://theorg.com/org/nourish/person/hannah-caskey</t>
  </si>
  <si>
    <t xml:space="preserve">853 Broadway</t>
  </si>
  <si>
    <t xml:space="preserve">health tech (dietitian telehealth)</t>
  </si>
  <si>
    <t xml:space="preserve">4082</t>
  </si>
  <si>
    <t xml:space="preserve">https://www.linkedin.com/company/nourish</t>
  </si>
  <si>
    <t xml:space="preserve">find Kristin Vera at Foursquare on LinkedIn and paste the profile URL into primary_linkedin_url (this also confirms the name: The Org is crowd-edited and marks it Unverified)</t>
  </si>
  <si>
    <t xml:space="preserve">contact in the target titles named (Senior Manager, Executive &amp; Office Operations | EA to the CEO) (crowd-listed on The Org)</t>
  </si>
  <si>
    <t xml:space="preserve">find Pam Thomas at Foursquare on LinkedIn and paste the profile URL into backup_linkedin_url (this also confirms the name: The Org is crowd-edited and marks it Unverified); adjacent title: ask who runs the pantry</t>
  </si>
  <si>
    <t xml:space="preserve">Tuesday estimate 12 to 288 (low confidence), under 500 staff company-wide with a named parent (Infillion (acquisition announced 2026-09-18)), hybrid (days not stated), occupied at a high-confidence address</t>
  </si>
  <si>
    <t xml:space="preserve">Kristin Vera</t>
  </si>
  <si>
    <t xml:space="preserve">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</si>
  <si>
    <t xml:space="preserve">B-C-095</t>
  </si>
  <si>
    <t xml:space="preserve">430</t>
  </si>
  <si>
    <t xml:space="preserve">https://www.builtinnyc.com/company/foursquare/offices</t>
  </si>
  <si>
    <t xml:space="preserve">https://www.reveliolabs.com/companies/foursquare-labs/employees</t>
  </si>
  <si>
    <t xml:space="preserve">Infillion (acquisition announced 2026-09-18)</t>
  </si>
  <si>
    <t xml:space="preserve">B-B-046</t>
  </si>
  <si>
    <t xml:space="preserve">50 West 23rd Street (Two Trees Management)</t>
  </si>
  <si>
    <t xml:space="preserve">https://nyrej.com/index.php/two-new-leases-signed-at-50-west-23rd-st</t>
  </si>
  <si>
    <t xml:space="preserve">2025-10-14</t>
  </si>
  <si>
    <t xml:space="preserve">350 (Built In) and 430 (Revelio Labs) staff (whole-company count) x 5% to 100% of them in the New York office (HQ city unknown; share assumed) x 67% (Partnership for NYC, firms under 500) in on a weekday = 12 to 288, central 59; low confidence; estimate until intake replaces it.</t>
  </si>
  <si>
    <t xml:space="preserve">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</si>
  <si>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company's own site (https://foursquare.com/, opened 2026-10-24); LinkedIn not opened</t>
  </si>
  <si>
    <t xml:space="preserve">AO-C-102</t>
  </si>
  <si>
    <t xml:space="preserve">Harvey</t>
  </si>
  <si>
    <t xml:space="preserve">https://www.harvey.ai/</t>
  </si>
  <si>
    <t xml:space="preserve">harvey.ai</t>
  </si>
  <si>
    <t xml:space="preserve">74</t>
  </si>
  <si>
    <t xml:space="preserve">43.3</t>
  </si>
  <si>
    <t xml:space="preserve">Quinn</t>
  </si>
  <si>
    <t xml:space="preserve">Ruggles</t>
  </si>
  <si>
    <t xml:space="preserve">Executive Assistant to Founders</t>
  </si>
  <si>
    <t xml:space="preserve">https://theorg.com/org/harvey-1/person/quinn-ruggles</t>
  </si>
  <si>
    <t xml:space="preserve">1 Madison Avenue</t>
  </si>
  <si>
    <t xml:space="preserve">6 plus expansion (185,326 sf total)</t>
  </si>
  <si>
    <t xml:space="preserve">Legal AI software</t>
  </si>
  <si>
    <t xml:space="preserve">1130</t>
  </si>
  <si>
    <t xml:space="preserve">https://www.linkedin.com/company/harvey-ai</t>
  </si>
  <si>
    <t xml:space="preserve">AO-C-197</t>
  </si>
  <si>
    <t xml:space="preserve">Tuesday estimate 138 to 276 (low confidence), 501 to 1,000 staff company-wide, on-site 5 days a week per its profile, occupied at a high-confidence address</t>
  </si>
  <si>
    <t xml:space="preserve">B-C-197</t>
  </si>
  <si>
    <t xml:space="preserve">e-commerce and internet services</t>
  </si>
  <si>
    <t xml:space="preserve">980</t>
  </si>
  <si>
    <t xml:space="preserve">https://www.builtinnyc.com/company/rakuten-advertising</t>
  </si>
  <si>
    <t xml:space="preserve">San Mateo</t>
  </si>
  <si>
    <t xml:space="preserve">https://www.builtinnyc.com/company/rakuten-advertising/offices</t>
  </si>
  <si>
    <t xml:space="preserve">980 (Built In) staff (whole-company count) x 5% to 100% of them in the New York office (HQ outside New York; share assumed) x 57% (Partnership for NYC, all Manhattan firms; no figure for 500 to 4,999) in on a weekday; space-based for a company headquartered outside New York: 34,510 sf seats 138 to 276 at 250 to 125 sf per person, kept within the headcount math (28 to 559) (largest square footage the sources mention at this address; if the company holds more space here, intake corrects it) = 138 to 276, central 195; low confidence; estimate until intake replaces it.</t>
  </si>
  <si>
    <t xml:space="preserve">34,510 sf</t>
  </si>
  <si>
    <t xml:space="preserve">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</si>
  <si>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AO-C-261</t>
  </si>
  <si>
    <t xml:space="preserve">Spring Health</t>
  </si>
  <si>
    <t xml:space="preserve">https://www.springhealth.com</t>
  </si>
  <si>
    <t xml:space="preserve">springhealth.com</t>
  </si>
  <si>
    <t xml:space="preserve">77</t>
  </si>
  <si>
    <t xml:space="preserve">43.0</t>
  </si>
  <si>
    <t xml:space="preserve">Grace</t>
  </si>
  <si>
    <t xml:space="preserve">VP, Chief of Staff</t>
  </si>
  <si>
    <t xml:space="preserve">https://theorg.com/org/spring-health/person/grace-lee</t>
  </si>
  <si>
    <t xml:space="preserve">60 Madison Avenue</t>
  </si>
  <si>
    <t xml:space="preserve">healthtech (mental health benefits)</t>
  </si>
  <si>
    <t xml:space="preserve">1300</t>
  </si>
  <si>
    <t xml:space="preserve">https://www.linkedin.com/company/spring-health</t>
  </si>
  <si>
    <t xml:space="preserve">AO-C-133</t>
  </si>
  <si>
    <t xml:space="preserve">Karen</t>
  </si>
  <si>
    <t xml:space="preserve">Bedell</t>
  </si>
  <si>
    <t xml:space="preserve">VP, People</t>
  </si>
  <si>
    <t xml:space="preserve">https://theorg.com/org/order-negotiatus/org-chart/karen-bedell</t>
  </si>
  <si>
    <t xml:space="preserve">find Karen Bedell at Order.co on LinkedIn and paste the profile URL into primary_linkedin_url (this also confirms the name: The Org is crowd-edited and marks it Unverified); adjacent title: ask who runs the pantry</t>
  </si>
  <si>
    <t xml:space="preserve">adjacent contact named (VP, People) (crowd-listed on The Org)</t>
  </si>
  <si>
    <t xml:space="preserve">Ali</t>
  </si>
  <si>
    <t xml:space="preserve">Sardinia</t>
  </si>
  <si>
    <t xml:space="preserve">https://theorg.com/org/order-negotiatus/org-chart/ali-sardinia</t>
  </si>
  <si>
    <t xml:space="preserve">find Ali Sardinia at Order.co on LinkedIn and paste the profile URL into backup_linkedin_url (this also confirms the name: The Org is crowd-edited and marks it Unverified); adjacent title: ask who runs the pantry</t>
  </si>
  <si>
    <t xml:space="preserve">Tuesday estimate 55 to 97 (low confidence), under 500 staff company-wide, hybrid (days not stated), signed-not-occupied at a medium-confidence address (hold: lease signed, move not confirmed)</t>
  </si>
  <si>
    <t xml:space="preserve">Karen Bedell</t>
  </si>
  <si>
    <t xml:space="preserve">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</si>
  <si>
    <t xml:space="preserve">Ali Sardinia</t>
  </si>
  <si>
    <t xml:space="preserve">title_match=target; theorg position page opened 2026-10-24: Chief of Staff, location New York (crowd-edited, marked Unverified, no bio). An Executive Assistant to the CEO role was open on Built In NYC (teams page opened 2026-10-24).</t>
  </si>
  <si>
    <t xml:space="preserve">B-C-133</t>
  </si>
  <si>
    <t xml:space="preserve">https://www.order.co</t>
  </si>
  <si>
    <t xml:space="preserve">software (B2B procurement)</t>
  </si>
  <si>
    <t xml:space="preserve">https://www.builtinnyc.com/company/orderco/offices</t>
  </si>
  <si>
    <t xml:space="preserve">https://www.linkedin.com/company/order-company</t>
  </si>
  <si>
    <t xml:space="preserve">https://commercialobserver.com/2026/02/order-co-sublease-11-east-26th-street/</t>
  </si>
  <si>
    <t xml:space="preserve">2026-02-05</t>
  </si>
  <si>
    <t xml:space="preserve">165 (Built In) staff (whole-company count) x 50% to 100% of them in the New York office (HQ New York; share assumed) x 67% (Partnership for NYC, firms under 500) in on a weekday; capped by 12,134 sf at 125 sf per person (was 55 to 111) (largest square footage the sources mention at this address; if the company holds more space here, intake corrects it) = 55 to 97, central 73; low confidence; estimate until intake replaces it.</t>
  </si>
  <si>
    <t xml:space="preserve">12,134 sf</t>
  </si>
  <si>
    <t xml:space="preserve">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</si>
  <si>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(https://www.order.co/, opened 2026-10-24); LinkedIn not opened</t>
  </si>
  <si>
    <t xml:space="preserve">AO-C-140</t>
  </si>
  <si>
    <t xml:space="preserve">Collected Strategies</t>
  </si>
  <si>
    <t xml:space="preserve">https://www.collectedstrategies.com</t>
  </si>
  <si>
    <t xml:space="preserve">collectedstrategies.com</t>
  </si>
  <si>
    <t xml:space="preserve">89</t>
  </si>
  <si>
    <t xml:space="preserve">41.0</t>
  </si>
  <si>
    <t xml:space="preserve">Angelo</t>
  </si>
  <si>
    <t xml:space="preserve">Thalassinos</t>
  </si>
  <si>
    <t xml:space="preserve">Vice President, Legal &amp; Operations</t>
  </si>
  <si>
    <t xml:space="preserve">https://theorg.com/org/collected-strategies/person/angelo-thalassinos</t>
  </si>
  <si>
    <t xml:space="preserve">strategic communications</t>
  </si>
  <si>
    <t xml:space="preserve">https://www.linkedin.com/company/collected-strategies</t>
  </si>
  <si>
    <t xml:space="preserve">find Jackie Orris at HUMAN Security on LinkedIn and paste the profile URL into primary_linkedin_url (this also confirms the name: The Org is crowd-edited and marks it Unverified); adjacent title: ask who runs the pantry</t>
  </si>
  <si>
    <t xml:space="preserve">Tuesday estimate 55 to 110 (low confidence), under 500 staff company-wide, hybrid (days not stated), occupancy-unconfirmed at a low-confidence address</t>
  </si>
  <si>
    <t xml:space="preserve">Jackie Orris</t>
  </si>
  <si>
    <t xml:space="preserve">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</si>
  <si>
    <t xml:space="preserve">B-C-001</t>
  </si>
  <si>
    <t xml:space="preserve">https://www.builtinnyc.com/company/human</t>
  </si>
  <si>
    <t xml:space="preserve">B-B-001</t>
  </si>
  <si>
    <t xml:space="preserve">853 Broadway (Union Building)</t>
  </si>
  <si>
    <t xml:space="preserve">https://commercialobserver.com/2024/06/movable-ink-lease-841-broadway/</t>
  </si>
  <si>
    <t xml:space="preserve">2024-06</t>
  </si>
  <si>
    <t xml:space="preserve">https://builtinnyc.com/articles/nyc-tech-headquarters-openings-2023</t>
  </si>
  <si>
    <t xml:space="preserve">2023-03-23</t>
  </si>
  <si>
    <t xml:space="preserve">https://853broadway.sharplaunch.com/</t>
  </si>
  <si>
    <t xml:space="preserve">https://www.builtinnyc.com/company/human/offices</t>
  </si>
  <si>
    <t xml:space="preserve">393 (Built In) staff (whole-company count) x 50% to 100% of them in the New York office (HQ New York; share assumed) x 67% (Partnership for NYC, firms under 500) in on a weekday; the headcount math (132 to 263) is more than 13,809 sf can seat, so the range comes from the space: 55 to 110 at 250 to 125 sf per person (largest square footage the sources mention at this address; if the company holds more space here, intake corrects it) = 55 to 110, central 78; low confidence; estimate until intake replaces it.</t>
  </si>
  <si>
    <t xml:space="preserve">13,809 sf</t>
  </si>
  <si>
    <t xml:space="preserve">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</si>
  <si>
    <t xml:space="preserve">linked from The Org's company record (https://theorg.com/org/human-security, opened 2026-10-24); LinkedIn not opened</t>
  </si>
  <si>
    <t xml:space="preserve">AO-C-163</t>
  </si>
  <si>
    <t xml:space="preserve">Community Healthcare Network (administrative offices)</t>
  </si>
  <si>
    <t xml:space="preserve">https://www.chnnyc.org</t>
  </si>
  <si>
    <t xml:space="preserve">chnnyc.org</t>
  </si>
  <si>
    <t xml:space="preserve">90</t>
  </si>
  <si>
    <t xml:space="preserve">Michelle</t>
  </si>
  <si>
    <t xml:space="preserve">Johnson</t>
  </si>
  <si>
    <t xml:space="preserve">https://theorg.com/org/community-healthcare-network-inc/person/michelle-johnson</t>
  </si>
  <si>
    <t xml:space="preserve">44 West 28th Street</t>
  </si>
  <si>
    <t xml:space="preserve">nonprofit health services (administration)</t>
  </si>
  <si>
    <t xml:space="preserve">https://www.linkedin.com/company/chnnyc</t>
  </si>
  <si>
    <t xml:space="preserve">AO-C-253</t>
  </si>
  <si>
    <t xml:space="preserve">Tuesday estimate 92 to 184 (low confidence), 1,001 to 4,999 staff company-wide, on-site 5 days a week per its profile, occupied at a high-confidence address</t>
  </si>
  <si>
    <t xml:space="preserve">B-C-253</t>
  </si>
  <si>
    <t xml:space="preserve">https://optiver.com</t>
  </si>
  <si>
    <t xml:space="preserve">proprietary trading</t>
  </si>
  <si>
    <t xml:space="preserve">1600</t>
  </si>
  <si>
    <t xml:space="preserve">https://www.builtinnyc.com/company/optiver/offices</t>
  </si>
  <si>
    <t xml:space="preserve">https://www.linkedin.com/company/optiver</t>
  </si>
  <si>
    <t xml:space="preserve">B-B-059</t>
  </si>
  <si>
    <t xml:space="preserve">360 Park Avenue South (BXP)</t>
  </si>
  <si>
    <t xml:space="preserve">https://commercialobserver.com/2025/05/optiver-lease-360-park-avenue-south/</t>
  </si>
  <si>
    <t xml:space="preserve">2025-05-20</t>
  </si>
  <si>
    <t xml:space="preserve">1600 (Built In) staff (whole-company count) x 5% to 100% of them in the New York office (HQ city unknown; share assumed) x 57% (Partnership for NYC, all Manhattan firms; no figure for 500 to 4,999) in on a weekday; space-based for a company headquartered outside New York: 23,038 sf seats 92 to 184 at 250 to 125 sf per person, kept within the headcount math (46 to 912) (largest square footage the sources mention at this address; if the company holds more space here, intake corrects it) = 92 to 184, central 130; low confidence; estimate until intake replaces it.</t>
  </si>
  <si>
    <t xml:space="preserve">23,038 sf</t>
  </si>
  <si>
    <t xml:space="preserve">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</si>
  <si>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(https://www.optiver.com/, opened 2026-10-24); LinkedIn not opened</t>
  </si>
  <si>
    <t xml:space="preserve">AO-C-200</t>
  </si>
  <si>
    <t xml:space="preserve">Ro</t>
  </si>
  <si>
    <t xml:space="preserve">https://ro.co</t>
  </si>
  <si>
    <t xml:space="preserve">ro.co</t>
  </si>
  <si>
    <t xml:space="preserve">39.7</t>
  </si>
  <si>
    <t xml:space="preserve">Amy</t>
  </si>
  <si>
    <t xml:space="preserve">Vezzetti</t>
  </si>
  <si>
    <t xml:space="preserve">https://theorg.com/org/ro/person/amy-vezzetti</t>
  </si>
  <si>
    <t xml:space="preserve">Emily</t>
  </si>
  <si>
    <t xml:space="preserve">Brourman</t>
  </si>
  <si>
    <t xml:space="preserve">Senior Executive Assistant to Co-Founder/CEO and CFO</t>
  </si>
  <si>
    <t xml:space="preserve">https://theorg.com/org/ro/person/emily-brourman</t>
  </si>
  <si>
    <t xml:space="preserve">Emily Brourman</t>
  </si>
  <si>
    <t xml:space="preserve">2023-03-30</t>
  </si>
  <si>
    <t xml:space="preserve">ny_base=likely; title_fit=variant (EA to the CEO). The Org position page (opened 2026-10-24, updated 2023-03-30).</t>
  </si>
  <si>
    <t xml:space="preserve">telehealth</t>
  </si>
  <si>
    <t xml:space="preserve">824</t>
  </si>
  <si>
    <t xml:space="preserve">https://www.linkedin.com/company/ro</t>
  </si>
  <si>
    <t xml:space="preserve">find Alexandra Levine at Charlie Health on LinkedIn and paste the profile URL into primary_linkedin_url (this also confirms the name: The Org is crowd-edited and marks it Unverified)</t>
  </si>
  <si>
    <t xml:space="preserve">contact in the target titles named (VP of People Operations) (crowd-listed on The Org)</t>
  </si>
  <si>
    <t xml:space="preserve">find Paul Tyger at Charlie Health on LinkedIn and paste the profile URL into backup_linkedin_url (this also confirms the name: The Org is crowd-edited and marks it Unverified); adjacent title: ask who runs the pantry</t>
  </si>
  <si>
    <t xml:space="preserve">adjacent contact named (SVP, Operations) (crowd-listed on The Org)</t>
  </si>
  <si>
    <t xml:space="preserve">Tuesday estimate 69 to 138 (low confidence), 1,001 to 4,999 staff company-wide, no attendance signal, occupied at a medium-confidence address</t>
  </si>
  <si>
    <t xml:space="preserve">Alexandra Levine</t>
  </si>
  <si>
    <t xml:space="preserve">2026-09-08</t>
  </si>
  <si>
    <t xml:space="preserve">ny_base=likely; title_fit=family (people operations). The Org position page (opened 2026-10-24, updated 2026-09-08), New York area.</t>
  </si>
  <si>
    <t xml:space="preserve">B-C-196</t>
  </si>
  <si>
    <t xml:space="preserve">https://www.builtinnyc.com/company/charlie-health</t>
  </si>
  <si>
    <t xml:space="preserve">3000 (Built In) staff (whole-company count) x 50% to 100% of them in the New York office (HQ New York; share assumed) x 57% (Partnership for NYC, all Manhattan firms; no figure for 500 to 4,999) in on a weekday; the headcount math (855 to 1710) is more than 17,255 sf can seat, so the range comes from the space: 69 to 138 at 250 to 125 sf per person (largest square footage the sources mention at this address; if the company holds more space here, intake corrects it) = 69 to 138, central 98; low confidence; estimate until intake replaces it.</t>
  </si>
  <si>
    <t xml:space="preserve">17,255 sf</t>
  </si>
  <si>
    <t xml:space="preserve">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</si>
  <si>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(https://www.charliehealth.com/, opened 2026-10-24); LinkedIn not opened</t>
  </si>
  <si>
    <t xml:space="preserve">The Vita Coco Company</t>
  </si>
  <si>
    <t xml:space="preserve">thevitacococompany.com</t>
  </si>
  <si>
    <t xml:space="preserve">66.0</t>
  </si>
  <si>
    <t xml:space="preserve">111 Fifth Avenue</t>
  </si>
  <si>
    <t xml:space="preserve">AO-C-017</t>
  </si>
  <si>
    <t xml:space="preserve">Tuesday estimate 43 to 85 (low confidence), under 500 staff company-wide with a named parent (Chan Zuckerberg Initiative), on-site 5 days a week per its profile, signed-not-occupied at a medium-confidence address (hold: lease signed, move not confirmed)</t>
  </si>
  <si>
    <t xml:space="preserve">B-C-017</t>
  </si>
  <si>
    <t xml:space="preserve">https://biohub.org</t>
  </si>
  <si>
    <t xml:space="preserve">nonprofit biomedical research</t>
  </si>
  <si>
    <t xml:space="preserve">468</t>
  </si>
  <si>
    <t xml:space="preserve">436</t>
  </si>
  <si>
    <t xml:space="preserve">https://www.builtinnyc.com/company/biohub</t>
  </si>
  <si>
    <t xml:space="preserve">https://www.reveliolabs.com/companies/biohub/employees</t>
  </si>
  <si>
    <t xml:space="preserve">Chan Zuckerberg Initiative</t>
  </si>
  <si>
    <t xml:space="preserve">https://www.linkedin.com/company/cz-biohub</t>
  </si>
  <si>
    <t xml:space="preserve">B-B-006</t>
  </si>
  <si>
    <t xml:space="preserve">100-104 Fifth Avenue</t>
  </si>
  <si>
    <t xml:space="preserve">https://commercialobserver.com/2026/08/biohub-fundraise-up-leases-100-104-fifth-avenue/</t>
  </si>
  <si>
    <t xml:space="preserve">Built In workplace type: OnSite Workplace; typical time on-site: 5 days a week; recent job tags: 1 Hybrid, 2 In-Office</t>
  </si>
  <si>
    <t xml:space="preserve">https://www.builtinnyc.com/company/biohub/offices</t>
  </si>
  <si>
    <t xml:space="preserve">468 (Built In) and 436 (Revelio Labs) staff (whole-company count) x 5% to 100% of them in the New York office (HQ outside New York; share assumed) x 67% (Partnership for NYC, firms under 500) in on a weekday; space-based for a company headquartered outside New York: 10,666 sf seats 43 to 85 at 250 to 125 sf per person, kept within the headcount math (15 to 314) (largest square footage the sources mention at this address; if the company holds more space here, intake corrects it) = 43 to 85, central 60; low confidence; estimate until intake replaces it.</t>
  </si>
  <si>
    <t xml:space="preserve">10,666 sf</t>
  </si>
  <si>
    <t xml:space="preserve">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</si>
  <si>
    <t xml:space="preserve">linked from the company's own site (https://biohub.org/, opened 2026-10-24); LinkedIn not opened</t>
  </si>
  <si>
    <t xml:space="preserve">Candid Health</t>
  </si>
  <si>
    <t xml:space="preserve">candidhealth.com</t>
  </si>
  <si>
    <t xml:space="preserve">65.0</t>
  </si>
  <si>
    <t xml:space="preserve">AO-C-051</t>
  </si>
  <si>
    <t xml:space="preserve">Tuesday estimate 96 to 231 (low confidence), under 500 staff company-wide with a named parent (Insider Inc; (majority owner)), on-site 5 days a week per its profile, occupancy-unconfirmed at a low-confidence address</t>
  </si>
  <si>
    <t xml:space="preserve">B-C-051</t>
  </si>
  <si>
    <t xml:space="preserve">https://www.morningbrew.com</t>
  </si>
  <si>
    <t xml:space="preserve">digital media (business newsletters)</t>
  </si>
  <si>
    <t xml:space="preserve">345</t>
  </si>
  <si>
    <t xml:space="preserve">286</t>
  </si>
  <si>
    <t xml:space="preserve">https://www.builtinnyc.com/company/morning-brew</t>
  </si>
  <si>
    <t xml:space="preserve">https://www.reveliolabs.com/companies/morning-brew/employees</t>
  </si>
  <si>
    <t xml:space="preserve">Insider Inc. (majority owner)</t>
  </si>
  <si>
    <t xml:space="preserve">https://www.linkedin.com/company/the-morning-brew</t>
  </si>
  <si>
    <t xml:space="preserve">B-B-022</t>
  </si>
  <si>
    <t xml:space="preserve">Cluett Building (Kaufman Organization)</t>
  </si>
  <si>
    <t xml:space="preserve">https://www.builtinnyc.com/company/morning-brew/offices</t>
  </si>
  <si>
    <t xml:space="preserve">https://commercialobserver.com/2022/02/morning-brew-lease-flatiron-district-22-west-19th-street-kaufman-organization/</t>
  </si>
  <si>
    <t xml:space="preserve">2022-02-24</t>
  </si>
  <si>
    <t xml:space="preserve">Built In workplace type: OnSite Workplace; typical time on-site: 5 days a week; recent job tags: 2 In-Office, 1 Hybrid</t>
  </si>
  <si>
    <t xml:space="preserve">345 (Built In) and 286 (Revelio Labs) staff (whole-company count) x 50% to 100% of them in the New York office (HQ New York; share assumed) x 67% (Partnership for NYC, firms under 500) in on a weekday = 96 to 231, central 149; low confidence; estimate until intake replaces it.</t>
  </si>
  <si>
    <t xml:space="preserve">37,650 sf</t>
  </si>
  <si>
    <t xml:space="preserve">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</si>
  <si>
    <t xml:space="preserve">linked from The Org's company record (https://theorg.com/org/morning-brew, opened 2026-10-24); LinkedIn not opened</t>
  </si>
  <si>
    <t xml:space="preserve">Aterian</t>
  </si>
  <si>
    <t xml:space="preserve">aterian.io</t>
  </si>
  <si>
    <t xml:space="preserve">63.4</t>
  </si>
  <si>
    <t xml:space="preserve">37 East 18th Street</t>
  </si>
  <si>
    <t xml:space="preserve">find Lindley Maglio at TileBar on LinkedIn and paste the profile URL into primary_linkedin_url (this also confirms the name: The Org is crowd-edited and marks it Unverified); adjacent title: ask who runs the pantry</t>
  </si>
  <si>
    <t xml:space="preserve">adjacent contact named (Chief Human Resources Officer) (crowd-listed on The Org)</t>
  </si>
  <si>
    <t xml:space="preserve">find Reggy Soenarso at TileBar on LinkedIn and paste the profile URL into backup_linkedin_url (this also confirms the name: The Org is crowd-edited and marks it Unverified); adjacent title: ask who runs the pantry</t>
  </si>
  <si>
    <t xml:space="preserve">adjacent contact named (Chief Operations Officer) (crowd-listed on The Org)</t>
  </si>
  <si>
    <t xml:space="preserve">Tuesday estimate 136 to 272 (low confidence), 501 to 1,000 staff company-wide, hybrid (days not stated), occupied at a high-confidence address</t>
  </si>
  <si>
    <t xml:space="preserve">Lindley Maglio</t>
  </si>
  <si>
    <t xml:space="preserve">2026-01-23</t>
  </si>
  <si>
    <t xml:space="preserve">ny_base=likely; title_fit=adjacent (people lead). The Org position page (opened 2026-10-24, updated 2026-01-23) lists 'Lindley H Maglio', New York area; TileBar's showroom and office are at this address.</t>
  </si>
  <si>
    <t xml:space="preserve">B-C-228</t>
  </si>
  <si>
    <t xml:space="preserve">https://www.builtinnyc.com/company/tilebar/offices</t>
  </si>
  <si>
    <t xml:space="preserve">Inwood</t>
  </si>
  <si>
    <t xml:space="preserve">https://rebusinessonline.com/tilebar-signs-34000-sf-office-lease-in-manhattans-flatiron-district/</t>
  </si>
  <si>
    <t xml:space="preserve">2025-04-18</t>
  </si>
  <si>
    <t xml:space="preserve">https://commercialobserver.com/2025/10/huge-lease-adams-53-west-23rd-street/</t>
  </si>
  <si>
    <t xml:space="preserve">2025-10-02</t>
  </si>
  <si>
    <t xml:space="preserve">Built In workplace type: Hybrid Workplace; typical time on-site: None</t>
  </si>
  <si>
    <t xml:space="preserve">575 (Built In) staff (whole-company count) x 5% to 100% of them in the New York office (HQ outside New York; share assumed) x 57% (Partnership for NYC, all Manhattan firms; no figure for 500 to 4,999) in on a weekday; space-based for a company headquartered outside New York: 34,000 sf seats 136 to 272 at 250 to 125 sf per person, kept within the headcount math (16 to 328) (largest square footage the sources mention at this address; if the company holds more space here, intake corrects it) = 136 to 272, central 192; low confidence; estimate until intake replaces it.</t>
  </si>
  <si>
    <t xml:space="preserve">34,000 sf</t>
  </si>
  <si>
    <t xml:space="preserve">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</si>
  <si>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linked from the company's own site (https://www.tilebar.com/, opened 2026-10-24); LinkedIn not opened</t>
  </si>
  <si>
    <t xml:space="preserve">Baseten</t>
  </si>
  <si>
    <t xml:space="preserve">baseten.co</t>
  </si>
  <si>
    <t xml:space="preserve">63.0</t>
  </si>
  <si>
    <t xml:space="preserve">18</t>
  </si>
  <si>
    <t xml:space="preserve">find Rachel Hartog Lyon at Prosek Partners on LinkedIn and paste the profile URL into primary_linkedin_url (this also confirms the name: The Org is crowd-edited and marks it Unverified); the source is dated 2025-08-15: check Rachel still holds the role; adjacent title: ask who runs the pantry</t>
  </si>
  <si>
    <t xml:space="preserve">adjacent contact named (Vice President, Employee Experience) (crowd-listed on The Org)</t>
  </si>
  <si>
    <t xml:space="preserve">find Taylor Jozwiak at Prosek Partners on LinkedIn and paste the profile URL into backup_linkedin_url (this also confirms the name: The Org is crowd-edited and marks it Unverified); the source is dated 2025-08-15: check Taylor still holds the role; adjacent title: ask who runs the pantry</t>
  </si>
  <si>
    <t xml:space="preserve">Tuesday estimate 156 to 272 (low confidence), 501 to 1,000 staff company-wide, hybrid (days not stated), occupied at a high-confidence address</t>
  </si>
  <si>
    <t xml:space="preserve">Rachel Hartog Lyon</t>
  </si>
  <si>
    <t xml:space="preserve">ny_base=likely; title_fit=variant (employee experience). The Org position page (opened 2026-10-24, updated 2025-08-15), New York area; Prosek is headquartered in New York.</t>
  </si>
  <si>
    <t xml:space="preserve">B-C-265</t>
  </si>
  <si>
    <t xml:space="preserve">https://www.builtinnyc.com/company/prosek-partners/offices</t>
  </si>
  <si>
    <t xml:space="preserve">https://www.prosek.com/contact-us/</t>
  </si>
  <si>
    <t xml:space="preserve">https://commercialobserver.com/2022/06/communication-firm-prosek-partners-leases-34k-sf-at-28-east-28th-street/</t>
  </si>
  <si>
    <t xml:space="preserve">2022-06-14</t>
  </si>
  <si>
    <t xml:space="preserve">B lists 'security desk' with no lobby source: unknown until the walk</t>
  </si>
  <si>
    <t xml:space="preserve">Built In workplace type: Hybrid Workplace; typical time on-site: None; recent job tags: 3 Hybrid</t>
  </si>
  <si>
    <t xml:space="preserve">549 (Built In) staff (whole-company count) x 50% to 100% of them in the New York office (HQ New York; share assumed) x 57% (Partnership for NYC, all Manhattan firms; no figure for 500 to 4,999) in on a weekday; capped by 34,000 sf at 125 sf per person (was 156 to 313) (largest square footage the sources mention at this address; if the company holds more space here, intake corrects it) = 156 to 272, central 206; low confidence; estimate until intake replaces it.</t>
  </si>
  <si>
    <t xml:space="preserve">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</si>
  <si>
    <t xml:space="preserve">linked from The Org's company record (https://theorg.com/org/prosek-partners, opened 2026-10-24); LinkedIn not opened</t>
  </si>
  <si>
    <t xml:space="preserve">Scale Microgrids</t>
  </si>
  <si>
    <t xml:space="preserve">scalemicrogrids.com</t>
  </si>
  <si>
    <t xml:space="preserve">find Melissa True at Christie's International Real Estate Group on LinkedIn and paste the profile URL into primary_linkedin_url; the source is dated 2025-09-15: check Melissa still holds the role; adjacent title: ask who runs the pantry</t>
  </si>
  <si>
    <t xml:space="preserve">adjacent contact named (Team Leader, Christie's Flatiron Office)</t>
  </si>
  <si>
    <t xml:space="preserve">find Brett Forman at Christie's International Real Estate Group on LinkedIn and paste the profile URL into backup_linkedin_url; the source is dated 2024-08-21: check Brett still holds the role; adjacent title: ask who runs the pantry</t>
  </si>
  <si>
    <t xml:space="preserve">adjacent contact named (Managing Director, Manhattan)</t>
  </si>
  <si>
    <t xml:space="preserve">Tuesday estimate 50 to 50 (medium confidence), company size unknown, no attendance signal, occupancy-unconfirmed at a low-confidence address</t>
  </si>
  <si>
    <t xml:space="preserve">Melissa True</t>
  </si>
  <si>
    <t xml:space="preserve">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</si>
  <si>
    <t xml:space="preserve">B-C-059</t>
  </si>
  <si>
    <t xml:space="preserve">nyc-office</t>
  </si>
  <si>
    <t xml:space="preserve">B-B-029</t>
  </si>
  <si>
    <t xml:space="preserve">Presbyterian Building / Flatiron Suites (HRC)</t>
  </si>
  <si>
    <t xml:space="preserve">75 in the New York office (Commercial Observer) staff (New York office count) x the count is for the New York office x 67% (Partnership for NYC, firms under 500) in on a weekday = 50 to 50, central 50; medium confidence; estimate until intake replaces it.</t>
  </si>
  <si>
    <t xml:space="preserve">8,000 sf</t>
  </si>
  <si>
    <t xml:space="preserve">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</si>
  <si>
    <t xml:space="preserve">Thinking Machines Lab</t>
  </si>
  <si>
    <t xml:space="preserve">thinkingmachines.ai</t>
  </si>
  <si>
    <t xml:space="preserve">25</t>
  </si>
  <si>
    <t xml:space="preserve">60.0</t>
  </si>
  <si>
    <t xml:space="preserve">AO-C-123</t>
  </si>
  <si>
    <t xml:space="preserve">Tuesday estimate 92 to 184 (low confidence), under 500 staff company-wide, hybrid (days not stated), signed-not-occupied at a high-confidence address (hold: lease signed, move not confirmed)</t>
  </si>
  <si>
    <t xml:space="preserve">B-C-123</t>
  </si>
  <si>
    <t xml:space="preserve">https://www.trexquant.com/</t>
  </si>
  <si>
    <t xml:space="preserve">Quantitative investment manager</t>
  </si>
  <si>
    <t xml:space="preserve">340</t>
  </si>
  <si>
    <t xml:space="preserve">https://www.builtinnyc.com/company/trexquant-investment/offices</t>
  </si>
  <si>
    <t xml:space="preserve">https://www.reveliolabs.com/companies/trexquant-management/employees</t>
  </si>
  <si>
    <t xml:space="preserve">Stamford</t>
  </si>
  <si>
    <t xml:space="preserve">https://www.connectcre.com/stories/bxp-secures-230k-sf-of-leases-at-360-park-ave-south/</t>
  </si>
  <si>
    <t xml:space="preserve">2026-03-16</t>
  </si>
  <si>
    <t xml:space="preserve">https://commercialobserver.com/?p=563472</t>
  </si>
  <si>
    <t xml:space="preserve">Built In workplace type: Hybrid Workplace; typical time on-site: Not Specified; recent job tags: 3 In-Office</t>
  </si>
  <si>
    <t xml:space="preserve">67 (Built In) and 340 (Revelio Labs) staff (whole-company count) x 5% to 100% of them in the New York office (HQ outside New York; share assumed) x 67% (Partnership for NYC, firms under 500) in on a weekday; space-based for a company headquartered outside New York: 23,000 sf seats 92 to 184 at 250 to 125 sf per person, kept within the headcount math (2 to 228) (largest square footage the sources mention at this address; if the company holds more space here, intake corrects it) = 92 to 184, central 130; low confidence; estimate until intake replaces it.</t>
  </si>
  <si>
    <t xml:space="preserve">23,000 sf</t>
  </si>
  <si>
    <t xml:space="preserve">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</si>
  <si>
    <t xml:space="preserve">accessiBe</t>
  </si>
  <si>
    <t xml:space="preserve">accessibe.com</t>
  </si>
  <si>
    <t xml:space="preserve">26</t>
  </si>
  <si>
    <t xml:space="preserve">1140 Broadway</t>
  </si>
  <si>
    <t xml:space="preserve">AO-C-215</t>
  </si>
  <si>
    <t xml:space="preserve">Tuesday estimate 52 to 103 (low confidence), 501 to 1,000 staff company-wide, on-site 5 days a week per its profile, occupancy-unconfirmed at a medium-confidence address</t>
  </si>
  <si>
    <t xml:space="preserve">B-C-215</t>
  </si>
  <si>
    <t xml:space="preserve">https://www.angellist.com</t>
  </si>
  <si>
    <t xml:space="preserve">fintech (venture fund infrastructure)</t>
  </si>
  <si>
    <t xml:space="preserve">518</t>
  </si>
  <si>
    <t xml:space="preserve">https://www.builtinnyc.com/company/angellist</t>
  </si>
  <si>
    <t xml:space="preserve">https://www.linkedin.com/company/angellist</t>
  </si>
  <si>
    <t xml:space="preserve">B-B-032</t>
  </si>
  <si>
    <t xml:space="preserve">Gramercy Park Building (Feil Organization)</t>
  </si>
  <si>
    <t xml:space="preserve">https://commercialobserver.com/2025/09/angellist-lease-257-park-avenue-south/</t>
  </si>
  <si>
    <t xml:space="preserve">2025-09-12</t>
  </si>
  <si>
    <t xml:space="preserve">https://www.builtinnyc.com/company/angellist/offices</t>
  </si>
  <si>
    <t xml:space="preserve">518 (Built In) staff (whole-company count) x 5% to 100% of them in the New York office (HQ outside New York; share assumed) x 57% (Partnership for NYC, all Manhattan firms; no figure for 500 to 4,999) in on a weekday; space-based for a company headquartered outside New York: 12,900 sf seats 52 to 103 at 250 to 125 sf per person, kept within the headcount math (15 to 295) (largest square footage the sources mention at this address; if the company holds more space here, intake corrects it) = 52 to 103, central 73; low confidence; estimate until intake replaces it.</t>
  </si>
  <si>
    <t xml:space="preserve">12,900 sf</t>
  </si>
  <si>
    <t xml:space="preserve">Seven-year lease of the full 18th floor (12,900 sf). Built In shows 518 total employees (just over 500), HQ San Francisco, NYC office listed without a street. Near-miss on size.</t>
  </si>
  <si>
    <t xml:space="preserve">linked from the company's own site (https://www.angellist.com/, opened 2026-10-24); LinkedIn not opened</t>
  </si>
  <si>
    <t xml:space="preserve">Orbital</t>
  </si>
  <si>
    <t xml:space="preserve">orbital.tech</t>
  </si>
  <si>
    <t xml:space="preserve">27</t>
  </si>
  <si>
    <t xml:space="preserve">59.5</t>
  </si>
  <si>
    <t xml:space="preserve">40 West 25th Street</t>
  </si>
  <si>
    <t xml:space="preserve">AO-C-072</t>
  </si>
  <si>
    <t xml:space="preserve">no named contact: on the Walk list tab (ask for whoever runs the pantry), or use the company contact form; Tuesday estimate band under-40: founder's call (set founder_ok_to_queue = Y to queue)</t>
  </si>
  <si>
    <t xml:space="preserve">no backup named: back to research; Tuesday estimate band under-40: founder's call (set founder_ok_to_queue = Y to queue)</t>
  </si>
  <si>
    <t xml:space="preserve">Tuesday estimate 22 to 56 (low confidence), under 500 staff company-wide, on-site 5 days a week per its profile, occupied at a high-confidence address</t>
  </si>
  <si>
    <t xml:space="preserve">B-C-072</t>
  </si>
  <si>
    <t xml:space="preserve">https://www.actively.ai</t>
  </si>
  <si>
    <t xml:space="preserve">software (AI sales platform)</t>
  </si>
  <si>
    <t xml:space="preserve">65</t>
  </si>
  <si>
    <t xml:space="preserve">83</t>
  </si>
  <si>
    <t xml:space="preserve">https://www.builtinnyc.com/company/actively-ai</t>
  </si>
  <si>
    <t xml:space="preserve">https://www.reveliolabs.com/companies/actively/employees</t>
  </si>
  <si>
    <t xml:space="preserve">https://www.linkedin.com/company/actively-ai</t>
  </si>
  <si>
    <t xml:space="preserve">B-B-033</t>
  </si>
  <si>
    <t xml:space="preserve">30 West 21st Street (Skyway Development Group)</t>
  </si>
  <si>
    <t xml:space="preserve">https://commercialobserver.com/2025/04/actively-ai-lease-30-west-21st-street/</t>
  </si>
  <si>
    <t xml:space="preserve">2025-04-14</t>
  </si>
  <si>
    <t xml:space="preserve">https://www.actively.ai/</t>
  </si>
  <si>
    <t xml:space="preserve">https://www.builtinnyc.com/company/actively-ai/offices</t>
  </si>
  <si>
    <t xml:space="preserve">65 (Built In) and 83 (Revelio Labs) staff (whole-company count) x 50% to 100% of them in the New York office (HQ New York; share assumed) x 67% (Partnership for NYC, firms under 500) in on a weekday = 22 to 56, central 35; low confidence; estimate until intake replaces it.</t>
  </si>
  <si>
    <t xml:space="preserve">10,722 sf</t>
  </si>
  <si>
    <t xml:space="preserve">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</si>
  <si>
    <t xml:space="preserve">linked from the company's own site (https://www.actively.ai/, opened 2026-10-24); LinkedIn not opened</t>
  </si>
  <si>
    <t xml:space="preserve">Activate Consulting</t>
  </si>
  <si>
    <t xml:space="preserve">activate.com</t>
  </si>
  <si>
    <t xml:space="preserve">29</t>
  </si>
  <si>
    <t xml:space="preserve">58.5</t>
  </si>
  <si>
    <t xml:space="preserve">17-18</t>
  </si>
  <si>
    <t xml:space="preserve">under-40</t>
  </si>
  <si>
    <t xml:space="preserve">find Tina McCarthy at PMG Worldwide on LinkedIn and paste the profile URL into primary_linkedin_url; the source is dated 2022-04-29: check Tina still holds the role; adjacent title: ask who runs the pantry</t>
  </si>
  <si>
    <t xml:space="preserve">adjacent contact named (New York Managing Director)</t>
  </si>
  <si>
    <t xml:space="preserve">Tuesday estimate 155 to 310 (low confidence), 501 to 1,000 staff company-wide, hybrid 3 days, occupied at a high-confidence address</t>
  </si>
  <si>
    <t xml:space="preserve">Tina McCarthy</t>
  </si>
  <si>
    <t xml:space="preserve">2022-04-29</t>
  </si>
  <si>
    <t xml:space="preserve">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</si>
  <si>
    <t xml:space="preserve">B-C-263</t>
  </si>
  <si>
    <t xml:space="preserve">https://www.builtinnyc.com/company/pmg/offices</t>
  </si>
  <si>
    <t xml:space="preserve">Dallas</t>
  </si>
  <si>
    <t xml:space="preserve">https://commercialobserver.com/2026/08/hanover-park-lease-tf-cornerstone-387-park-avenue-south/</t>
  </si>
  <si>
    <t xml:space="preserve">Built In workplace type: Hybrid Workplace; typical time on-site: 3 days a week; recent job tags: 3 In-Office</t>
  </si>
  <si>
    <t xml:space="preserve">1000 (Built In) staff (whole-company count) x 5% to 100% of them in the New York office (HQ outside New York; share assumed) x 57% (Partnership for NYC, all Manhattan firms; no figure for 500 to 4,999) in on a weekday; space-based for a company headquartered outside New York: 38,744 sf seats 155 to 310 at 250 to 125 sf per person, kept within the headcount math (28 to 570) (largest square footage the sources mention at this address; if the company holds more space here, intake corrects it) = 155 to 310, central 219; low confidence; estimate until intake replaces it.</t>
  </si>
  <si>
    <t xml:space="preserve">38,744 sf</t>
  </si>
  <si>
    <t xml:space="preserve">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</si>
  <si>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(https://www.pmg.com/, opened 2026-10-24); LinkedIn not opened</t>
  </si>
  <si>
    <t xml:space="preserve">Simplebet</t>
  </si>
  <si>
    <t xml:space="preserve">simplebet.io</t>
  </si>
  <si>
    <t xml:space="preserve">31</t>
  </si>
  <si>
    <t xml:space="preserve">373 Park Avenue South</t>
  </si>
  <si>
    <t xml:space="preserve">AO-C-109</t>
  </si>
  <si>
    <t xml:space="preserve">Tuesday estimate 9 to 224 (low confidence), under 500 staff company-wide with a named parent (NRG Energy), on-site 5 days a week per its profile, occupied at a medium-confidence address</t>
  </si>
  <si>
    <t xml:space="preserve">B-C-109</t>
  </si>
  <si>
    <t xml:space="preserve">https://www.greenmountainenergy.com/</t>
  </si>
  <si>
    <t xml:space="preserve">Energy retailer (renewable electricity)</t>
  </si>
  <si>
    <t xml:space="preserve">334</t>
  </si>
  <si>
    <t xml:space="preserve">257</t>
  </si>
  <si>
    <t xml:space="preserve">https://www.builtinnyc.com/company/green-mountain-energy/offices</t>
  </si>
  <si>
    <t xml:space="preserve">https://www.reveliolabs.com/companies/green-mountain-energy/employees</t>
  </si>
  <si>
    <t xml:space="preserve">Houston</t>
  </si>
  <si>
    <t xml:space="preserve">NRG Energy</t>
  </si>
  <si>
    <t xml:space="preserve">https://www.linkedin.com/company/green-mountain-energy-company</t>
  </si>
  <si>
    <t xml:space="preserve">https://commercialobserver.com/2026/01/purple-lease-16-madison-square-west/</t>
  </si>
  <si>
    <t xml:space="preserve">2026-01-08</t>
  </si>
  <si>
    <t xml:space="preserve">334 (Built In) and 257 (Revelio Labs) staff (whole-company count) x 5% to 100% of them in the New York office (HQ outside New York; share assumed) x 67% (Partnership for NYC, firms under 500) in on a weekday = 9 to 224, central 45; low confidence; estimate until intake replaces it.</t>
  </si>
  <si>
    <t xml:space="preserve">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</si>
  <si>
    <t xml:space="preserve">linked from the company's own site (https://www.greenmountainenergy.com/, opened 2026-10-24); LinkedIn not opened</t>
  </si>
  <si>
    <t xml:space="preserve">Rakuten USA</t>
  </si>
  <si>
    <t xml:space="preserve">34</t>
  </si>
  <si>
    <t xml:space="preserve">find Yazmin Ramirez at Rockwell Group on LinkedIn and paste the profile URL into primary_linkedin_url; adjacent title: ask who runs the pantry</t>
  </si>
  <si>
    <t xml:space="preserve">adjacent contact named (Director of Human Resources)</t>
  </si>
  <si>
    <t xml:space="preserve">Tuesday estimate 100 to 309 (low confidence), 501 to 1,000 staff company-wide, no attendance signal, occupied at a high-confidence address</t>
  </si>
  <si>
    <t xml:space="preserve">Yazmin Ramirez</t>
  </si>
  <si>
    <t xml:space="preserve">title_match=adjacent; Senior Staff list on Rockwell Group's People page (opened 2026-10-24); the page footer lists the New York office at 5 Union Square West, 8th Floor (HQ). City of this person not stated. HR, not office ops: ask her who runs the studio pantry.</t>
  </si>
  <si>
    <t xml:space="preserve">B-C-013</t>
  </si>
  <si>
    <t xml:space="preserve">542</t>
  </si>
  <si>
    <t xml:space="preserve">https://www.rockwellgroup.com/about</t>
  </si>
  <si>
    <t xml:space="preserve">https://www.reveliolabs.com/companies/rockwell-group/employees</t>
  </si>
  <si>
    <t xml:space="preserve">B-B-003</t>
  </si>
  <si>
    <t xml:space="preserve">Spingler Building (5-9 Union Square West)</t>
  </si>
  <si>
    <t xml:space="preserve">https://commercialobserver.com/2026/05/profound-lease-gfp-5-9-union-square-west/</t>
  </si>
  <si>
    <t xml:space="preserve">2026-05-18</t>
  </si>
  <si>
    <t xml:space="preserve">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</si>
  <si>
    <t xml:space="preserve">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</si>
  <si>
    <t xml:space="preserve">Order.co</t>
  </si>
  <si>
    <t xml:space="preserve">order.co</t>
  </si>
  <si>
    <t xml:space="preserve">35</t>
  </si>
  <si>
    <t xml:space="preserve">AO-C-260</t>
  </si>
  <si>
    <t xml:space="preserve">Tuesday estimate 75 to 150 (low confidence), 501 to 1,000 staff company-wide, no attendance signal, occupied at a high-confidence address</t>
  </si>
  <si>
    <t xml:space="preserve">B-C-260</t>
  </si>
  <si>
    <t xml:space="preserve">https://grimshaw.global</t>
  </si>
  <si>
    <t xml:space="preserve">architecture</t>
  </si>
  <si>
    <t xml:space="preserve">600</t>
  </si>
  <si>
    <t xml:space="preserve">https://en.wikipedia.org/wiki/Grimshaw_Architects</t>
  </si>
  <si>
    <t xml:space="preserve">https://www.linkedin.com/company/grimshaw</t>
  </si>
  <si>
    <t xml:space="preserve">B-B-066</t>
  </si>
  <si>
    <t xml:space="preserve">60 Madison Avenue (Moinian Group)</t>
  </si>
  <si>
    <t xml:space="preserve">https://grimshaw.global/contact/</t>
  </si>
  <si>
    <t xml:space="preserve">https://commercialobserver.com/2022/12/grimshaw-architects-takes-19k-sf-offices-by-madison-square-park/</t>
  </si>
  <si>
    <t xml:space="preserve">2022-12-01</t>
  </si>
  <si>
    <t xml:space="preserve">600 (Wikipedia) staff (whole-company count) x 5% to 100% of them in the New York office (HQ city unknown; share assumed) x 57% (Partnership for NYC, all Manhattan firms; no figure for 500 to 4,999) in on a weekday; space-based for a company headquartered outside New York: 18,800 sf seats 75 to 150 at 250 to 125 sf per person, kept within the headcount math (17 to 342) (largest square footage the sources mention at this address; if the company holds more space here, intake corrects it) = 75 to 150, central 106; low confidence; estimate until intake replaces it.</t>
  </si>
  <si>
    <t xml:space="preserve">18,800 sf</t>
  </si>
  <si>
    <t xml:space="preserve">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</si>
  <si>
    <t xml:space="preserve">linked from The Org's company record (https://theorg.com/org/grimshaw, opened 2026-10-24); LinkedIn not opened</t>
  </si>
  <si>
    <t xml:space="preserve">Optiver</t>
  </si>
  <si>
    <t xml:space="preserve">optiver.com</t>
  </si>
  <si>
    <t xml:space="preserve">37</t>
  </si>
  <si>
    <t xml:space="preserve">360 Park Avenue South</t>
  </si>
  <si>
    <t xml:space="preserve">12 (Suite 1200)</t>
  </si>
  <si>
    <t xml:space="preserve">AO-C-251</t>
  </si>
  <si>
    <t xml:space="preserve">Tuesday estimate 114 to 114 (low confidence), 1,001 to 4,999 staff company-wide, hybrid 3 days, occupied at a high-confidence address</t>
  </si>
  <si>
    <t xml:space="preserve">B-C-251</t>
  </si>
  <si>
    <t xml:space="preserve">https://www.sharkninja.com</t>
  </si>
  <si>
    <t xml:space="preserve">consumer products (home appliances)</t>
  </si>
  <si>
    <t xml:space="preserve">4000</t>
  </si>
  <si>
    <t xml:space="preserve">https://www.builtinnyc.com/company/sharkninja/offices</t>
  </si>
  <si>
    <t xml:space="preserve">Needham</t>
  </si>
  <si>
    <t xml:space="preserve">https://www.linkedin.com/company/sharkninja</t>
  </si>
  <si>
    <t xml:space="preserve">B-B-057</t>
  </si>
  <si>
    <t xml:space="preserve">41 Madison Avenue (Rudin)</t>
  </si>
  <si>
    <t xml:space="preserve">https://www.builtinnyc.com/articles/sharkninja-opens-nyc-office-20251105</t>
  </si>
  <si>
    <t xml:space="preserve">2025-11-05</t>
  </si>
  <si>
    <t xml:space="preserve">https://commercialobserver.com/2025/01/sharkninja-rudin-41-madison-avenue/</t>
  </si>
  <si>
    <t xml:space="preserve">2025-01-30</t>
  </si>
  <si>
    <t xml:space="preserve">https://www.metro-manhattan.com/buildings/41-madison-avenue-forty-one-madison-office-space/</t>
  </si>
  <si>
    <t xml:space="preserve">Built In workplace type: Hybrid Workplace; typical time on-site: Not Specified (box) but policy text: 3 days in the office; recent job tags: 1 In-Office, 2 Remote</t>
  </si>
  <si>
    <t xml:space="preserve">4000 (Built In) staff (whole-company count) x 5% to 100% of them in the New York office (HQ outside New York; share assumed) x 57% (Partnership for NYC, all Manhattan firms; no figure for 500 to 4,999) in on a weekday; space-based for a company headquartered outside New York: 14,296 sf seats 57 to 114 at 250 to 125 sf per person, kept within the headcount math (114 to 2280); central capped at 14,296 sf / 150 sf per person (largest square footage the sources mention at this address; if the company holds more space here, intake corrects it) = 114 to 114, central 114; low confidence; estimate until intake replaces it.</t>
  </si>
  <si>
    <t xml:space="preserve">14,296 sf</t>
  </si>
  <si>
    <t xml:space="preserve">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</si>
  <si>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Org's company record (https://theorg.com/org/sharkninja, opened 2026-10-24); LinkedIn not opened</t>
  </si>
  <si>
    <t xml:space="preserve">Biohub (Chan Zuckerberg Biohub)</t>
  </si>
  <si>
    <t xml:space="preserve">biohub.org</t>
  </si>
  <si>
    <t xml:space="preserve">39</t>
  </si>
  <si>
    <t xml:space="preserve">100 Fifth Avenue</t>
  </si>
  <si>
    <t xml:space="preserve">AO-C-085</t>
  </si>
  <si>
    <t xml:space="preserve">Nafissatou</t>
  </si>
  <si>
    <t xml:space="preserve">Babylas Ndiaye</t>
  </si>
  <si>
    <t xml:space="preserve">Head of People, US</t>
  </si>
  <si>
    <t xml:space="preserve">https://theorg.com/org/empathy/person/nafissatou-babylas-ndiaye</t>
  </si>
  <si>
    <t xml:space="preserve">find Nafissatou Babylas Ndiaye at Empathy on LinkedIn and paste the profile URL into primary_linkedin_url (this also confirms the name: The Org is crowd-edited and marks it Unverified); adjacent title: ask who runs the pantry; Tuesday estimate band under-40: founder's call (set founder_ok_to_queue = Y to queue)</t>
  </si>
  <si>
    <t xml:space="preserve">adjacent contact named (Head of People, US) (crowd-listed on The Org)</t>
  </si>
  <si>
    <t xml:space="preserve">Tuesday estimate 22 to 44 (low confidence), under 500 staff company-wide, hybrid 3 days with Tuesday named as an office day, occupied at a high-confidence address</t>
  </si>
  <si>
    <t xml:space="preserve">Nafissatou Babylas Ndiaye</t>
  </si>
  <si>
    <t xml:space="preserve">2026-09-01</t>
  </si>
  <si>
    <t xml:space="preserve">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</si>
  <si>
    <t xml:space="preserve">B-C-085</t>
  </si>
  <si>
    <t xml:space="preserve">https://www.empathy.com</t>
  </si>
  <si>
    <t xml:space="preserve">software and services (bereavement support, insurtech)</t>
  </si>
  <si>
    <t xml:space="preserve">https://www.builtinnyc.com/company/empathy</t>
  </si>
  <si>
    <t xml:space="preserve">https://www.linkedin.com/company/empathy-com</t>
  </si>
  <si>
    <t xml:space="preserve">B-B-039</t>
  </si>
  <si>
    <t xml:space="preserve">56 West 22nd Street (Kaufman Organization)</t>
  </si>
  <si>
    <t xml:space="preserve">https://www.empathy.com/</t>
  </si>
  <si>
    <t xml:space="preserve">https://commercialobserver.com/2024/03/nyu-langones-empathy-project-takes-6k-sf-in-flatiron-district/</t>
  </si>
  <si>
    <t xml:space="preserve">2024-03-06</t>
  </si>
  <si>
    <t xml:space="preserve">Built In workplace type: Hybrid Workplace; typical time on-site: 3 days a week; recent job tags: 2 Hybrid, 1 Remote</t>
  </si>
  <si>
    <t xml:space="preserve">https://www.builtinnyc.com/company/empathy/offices</t>
  </si>
  <si>
    <t xml:space="preserve">200 (Built In) staff (whole-company count) x 50% to 100% of them in the New York office (HQ New York; share assumed) x 67% (Partnership for NYC, firms under 500) in on a weekday; the headcount math (67 to 134) is more than 5,508 sf can seat, so the range comes from the space: 22 to 44 at 250 to 125 sf per person (largest square footage the sources mention at this address; if the company holds more space here, intake corrects it) = 22 to 44, central 31; low confidence; estimate until intake replaces it.</t>
  </si>
  <si>
    <t xml:space="preserve">5,508 sf</t>
  </si>
  <si>
    <t xml:space="preserve">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</si>
  <si>
    <t xml:space="preserve">linked from the company's own site (https://www.empathy.com/, opened 2026-10-24); LinkedIn not opened</t>
  </si>
  <si>
    <t xml:space="preserve">Morning Brew</t>
  </si>
  <si>
    <t xml:space="preserve">morningbrew.com</t>
  </si>
  <si>
    <t xml:space="preserve">22 West 19th Street</t>
  </si>
  <si>
    <t xml:space="preserve">3-4</t>
  </si>
  <si>
    <t xml:space="preserve">AO-C-267</t>
  </si>
  <si>
    <t xml:space="preserve">Tuesday estimate 39 to 336 (low confidence), 1,001 to 4,999 staff company-wide, on-site 5 days a week per its profile, occupied at a medium-confidence address</t>
  </si>
  <si>
    <t xml:space="preserve">B-C-267</t>
  </si>
  <si>
    <t xml:space="preserve">https://www.wearemiq.com</t>
  </si>
  <si>
    <t xml:space="preserve">adtech (programmatic media)</t>
  </si>
  <si>
    <t xml:space="preserve">1385</t>
  </si>
  <si>
    <t xml:space="preserve">https://www.builtinnyc.com/company/miq-digital/offices</t>
  </si>
  <si>
    <t xml:space="preserve">https://www.linkedin.com/company/miq-digital</t>
  </si>
  <si>
    <t xml:space="preserve">B-B-077</t>
  </si>
  <si>
    <t xml:space="preserve">261 Fifth Avenue (Feil Organization)</t>
  </si>
  <si>
    <t xml:space="preserve">https://nyrej.com/print/57401</t>
  </si>
  <si>
    <t xml:space="preserve">2026-04-14</t>
  </si>
  <si>
    <t xml:space="preserve">https://www.metro-manhattan.com/buildings/261-fifth-avenue-office-space-for-lease/</t>
  </si>
  <si>
    <t xml:space="preserve">Built In workplace type: OnSite Workplace</t>
  </si>
  <si>
    <t xml:space="preserve">1385 (Built In) staff (whole-company count) x 5% to 100% of them in the New York office (HQ city unknown; share assumed) x 57% (Partnership for NYC, all Manhattan firms; no figure for 500 to 4,999) in on a weekday; capped by 42,000 sf at 125 sf per person (was 39 to 789) (largest square footage the sources mention at this address; if the company holds more space here, intake corrects it) = 39 to 336, central 114; low confidence; estimate until intake replaces it.</t>
  </si>
  <si>
    <t xml:space="preserve">23,400 sf;42,000 sf</t>
  </si>
  <si>
    <t xml:space="preserve">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</si>
  <si>
    <t xml:space="preserve">linked from the company's own site (https://www.wearemiq.com/, opened 2026-10-24); LinkedIn not opened</t>
  </si>
  <si>
    <t xml:space="preserve">Trexquant</t>
  </si>
  <si>
    <t xml:space="preserve">trexquant.com</t>
  </si>
  <si>
    <t xml:space="preserve">44</t>
  </si>
  <si>
    <t xml:space="preserve">AO-C-216</t>
  </si>
  <si>
    <t xml:space="preserve">Tuesday estimate 18 to 367 (low confidence), 501 to 1,000 staff company-wide, on-site 5 days a week per its profile, occupied at a high-confidence address</t>
  </si>
  <si>
    <t xml:space="preserve">B-C-216</t>
  </si>
  <si>
    <t xml:space="preserve">https://www.reaktor.com</t>
  </si>
  <si>
    <t xml:space="preserve">software and design consultancy</t>
  </si>
  <si>
    <t xml:space="preserve">644</t>
  </si>
  <si>
    <t xml:space="preserve">https://www.builtinnyc.com/company/reaktor</t>
  </si>
  <si>
    <t xml:space="preserve">https://www.linkedin.com/company/reaktor_</t>
  </si>
  <si>
    <t xml:space="preserve">https://www.builtinnyc.com/company/reaktor/offices</t>
  </si>
  <si>
    <t xml:space="preserve">644 (Built In) staff (whole-company count) x 5% to 100% of them in the New York office (HQ city unknown; share assumed) x 57% (Partnership for NYC, all Manhattan firms; no figure for 500 to 4,999) in on a weekday = 18 to 367, central 81; low confidence; estimate until intake replaces it.</t>
  </si>
  <si>
    <t xml:space="preserve">Built In lists New York office at 30 W 21st Street, 14th floor; CO Apr 2025 names software company Reaktor as a tenant. Built In shows 644 total employees (Helsinki-based); NYC office headcount not sourced.</t>
  </si>
  <si>
    <t xml:space="preserve">linked from the company's own site (https://www.reaktor.com/, opened 2026-10-24); LinkedIn not opened</t>
  </si>
  <si>
    <t xml:space="preserve">AngelList</t>
  </si>
  <si>
    <t xml:space="preserve">angellist.com</t>
  </si>
  <si>
    <t xml:space="preserve">45</t>
  </si>
  <si>
    <t xml:space="preserve">257 Park Avenue South</t>
  </si>
  <si>
    <t xml:space="preserve">AO-C-191</t>
  </si>
  <si>
    <t xml:space="preserve">Tuesday estimate 55 to 111 (low confidence), 501 to 1,000 staff company-wide, hybrid (days not stated), occupied at a medium-confidence address</t>
  </si>
  <si>
    <t xml:space="preserve">B-C-191</t>
  </si>
  <si>
    <t xml:space="preserve">https://corp.kaltura.com</t>
  </si>
  <si>
    <t xml:space="preserve">video software</t>
  </si>
  <si>
    <t xml:space="preserve">730</t>
  </si>
  <si>
    <t xml:space="preserve">https://www.builtinnyc.com/company/kaltura-inc</t>
  </si>
  <si>
    <t xml:space="preserve">https://www.linkedin.com/company/kaltura</t>
  </si>
  <si>
    <t xml:space="preserve">https://commercialobserver.com/2022/01/kaltura-lease-860-broadway-gordon-property-group/</t>
  </si>
  <si>
    <t xml:space="preserve">2022-01</t>
  </si>
  <si>
    <t xml:space="preserve">Built In workplace type: Hybrid Workplace; typical time on-site: Flexible; recent job tags: 3 Remote</t>
  </si>
  <si>
    <t xml:space="preserve">https://www.builtinnyc.com/company/kaltura-inc/offices</t>
  </si>
  <si>
    <t xml:space="preserve">730 (Built In) staff (whole-company count) x 50% to 100% of them in the New York office (HQ New York; share assumed) x 57% (Partnership for NYC, all Manhattan firms; no figure for 500 to 4,999) in on a weekday; the headcount math (208 to 416)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</si>
  <si>
    <t xml:space="preserve">https://commercialobserver.com/2022/01/kaltura-lease-860-broadway-gordon-property-group/ (opened 2026-10-24): '...reprints 860 Broadway. Photo: JLL Video platform tech company Kaltura has snagged 13,815 square feet for its new New York headquarters at 860 Broadway in the Fl'</t>
  </si>
  <si>
    <t xml:space="preserve">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</si>
  <si>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linked from the company's own site (https://corp.kaltura.com/, opened 2026-10-24); LinkedIn not opened</t>
  </si>
  <si>
    <t xml:space="preserve">Actively AI</t>
  </si>
  <si>
    <t xml:space="preserve">actively.ai</t>
  </si>
  <si>
    <t xml:space="preserve">46</t>
  </si>
  <si>
    <t xml:space="preserve">30 West 21st Street</t>
  </si>
  <si>
    <t xml:space="preserve">9-10</t>
  </si>
  <si>
    <t xml:space="preserve">AO-C-158</t>
  </si>
  <si>
    <t xml:space="preserve">Tuesday estimate 105 to 210 (low confidence), 501 to 1,000 staff company-wide, on-site 5 days a week per its profile, signed-not-occupied at a medium-confidence address (hold: lease signed, move not confirmed)</t>
  </si>
  <si>
    <t xml:space="preserve">B-C-158</t>
  </si>
  <si>
    <t xml:space="preserve">https://www.sigmacomputing.com</t>
  </si>
  <si>
    <t xml:space="preserve">software (cloud analytics)</t>
  </si>
  <si>
    <t xml:space="preserve">964</t>
  </si>
  <si>
    <t xml:space="preserve">329</t>
  </si>
  <si>
    <t xml:space="preserve">https://www.reveliolabs.com/companies/sigma-computing/employees</t>
  </si>
  <si>
    <t xml:space="preserve">https://www.builtinnyc.com/company/sigma-computing</t>
  </si>
  <si>
    <t xml:space="preserve">https://www.linkedin.com/company/sigmacomputing</t>
  </si>
  <si>
    <t xml:space="preserve">hows 329 total employees, HQ San Francisco, a New York office without street address, NYC jobs marked In-Office. | Assembly 2026-10-24: Revie</t>
  </si>
  <si>
    <t xml:space="preserve">https://www.builtinnyc.com/company/sigma-computing/offices</t>
  </si>
  <si>
    <t xml:space="preserve">2026-08-31</t>
  </si>
  <si>
    <t xml:space="preserve">964 (Revelio Labs) and 329 (Built In) staff (whole-company count) x 5% to 100% of them in the New York office (HQ outside New York; share assumed) x 57% (Partnership for NYC, all Manhattan firms; no figure for 500 to 4,999) in on a weekday; space-based for a company headquartered outside New York: 26,252 sf seats 105 to 210 at 250 to 125 sf per person, kept within the headcount math (9 to 549) (largest square footage the sources mention at this address; if the company holds more space here, intake corrects it) = 105 to 210, central 148; low confidence; estimate until intake replaces it.</t>
  </si>
  <si>
    <t xml:space="preserve">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</si>
  <si>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linked from the company's own site (https://www.sigmacomputing.com/, opened 2026-10-24); LinkedIn not opened</t>
  </si>
  <si>
    <t xml:space="preserve">Green Mountain Energy</t>
  </si>
  <si>
    <t xml:space="preserve">greenmountainenergy.com</t>
  </si>
  <si>
    <t xml:space="preserve">48</t>
  </si>
  <si>
    <t xml:space="preserve">52.4</t>
  </si>
  <si>
    <t xml:space="preserve">grp-C030-C151</t>
  </si>
  <si>
    <t xml:space="preserve">Miranda</t>
  </si>
  <si>
    <t xml:space="preserve">https://theorg.com/org/prepared/org-chart/miranda-lee</t>
  </si>
  <si>
    <t xml:space="preserve">find Miranda Lee at Prepared 911 on LinkedIn and paste the profile URL into primary_linkedin_url (this also confirms the name: The Org is crowd-edited and marks it Unverified); the source is dated 2025-09-23: check Miranda still holds the role; adjacent title: ask who runs the pantry; Tuesday estimate band under-40: founder's call (set founder_ok_to_queue = Y to queue)</t>
  </si>
  <si>
    <t xml:space="preserve">Tuesday estimate 26 to 57 (low confidence), under 500 staff company-wide with a named parent (Axon Enterprise), on-site 5 days a week per its profile, occupancy-unconfirmed at a medium-confidence address</t>
  </si>
  <si>
    <t xml:space="preserve">Miranda Lee</t>
  </si>
  <si>
    <t xml:space="preserve">2025-09-23</t>
  </si>
  <si>
    <t xml:space="preserve">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</si>
  <si>
    <t xml:space="preserve">B-C-030</t>
  </si>
  <si>
    <t xml:space="preserve">https://www.prepared911.com</t>
  </si>
  <si>
    <t xml:space="preserve">public safety software (AI for 911 centers)</t>
  </si>
  <si>
    <t xml:space="preserve">135</t>
  </si>
  <si>
    <t xml:space="preserve">https://www.builtinnyc.com/company/prepared</t>
  </si>
  <si>
    <t xml:space="preserve">https://www.reveliolabs.com/companies/prepared/employees</t>
  </si>
  <si>
    <t xml:space="preserve">Axon Enterprise</t>
  </si>
  <si>
    <t xml:space="preserve">https://www.linkedin.com/company/prepared911</t>
  </si>
  <si>
    <t xml:space="preserve">B-B-012</t>
  </si>
  <si>
    <t xml:space="preserve">101 Fifth Avenue</t>
  </si>
  <si>
    <t xml:space="preserve">https://commercialobserver.com/2025/08/prepared-911-101-fifth-avenue/</t>
  </si>
  <si>
    <t xml:space="preserve">2025-08-04</t>
  </si>
  <si>
    <t xml:space="preserve">https://www.builtinnyc.com/company/prepared/offices</t>
  </si>
  <si>
    <t xml:space="preserve">77 (Built In) and 135 (Revelio Labs) staff (whole-company count) x 50% to 100% of them in the New York office (HQ New York; share assumed) x 67% (Partnership for NYC, firms under 500) in on a weekday; capped by 7,080 sf at 125 sf per person (was 26 to 90) (largest square footage the sources mention at this address; if the company holds more space here, intake corrects it) = 26 to 57, central 38; low confidence; estimate until intake replaces it.</t>
  </si>
  <si>
    <t xml:space="preserve">7,080 sf</t>
  </si>
  <si>
    <t xml:space="preserve">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</si>
  <si>
    <t xml:space="preserve">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</si>
  <si>
    <t xml:space="preserve">linked from The Org's company record (https://theorg.com/org/prepared911, opened 2026-10-24); LinkedIn not opened</t>
  </si>
  <si>
    <t xml:space="preserve">parent 'axon enterprise' shared with AO-C-151</t>
  </si>
  <si>
    <t xml:space="preserve">Grimshaw (New York studio)</t>
  </si>
  <si>
    <t xml:space="preserve">grimshaw.global</t>
  </si>
  <si>
    <t xml:space="preserve">50</t>
  </si>
  <si>
    <t xml:space="preserve">52.0</t>
  </si>
  <si>
    <t xml:space="preserve">find Karim El Sewedy at Retool on LinkedIn and paste the profile URL into primary_linkedin_url (this also confirms the name: The Org is crowd-edited and marks it Unverified); the source is dated 2024-11-17: check Karim still holds the role; adjacent title: ask who runs the pantry</t>
  </si>
  <si>
    <t xml:space="preserve">adjacent contact named (Business Operations) (crowd-listed on The Org)</t>
  </si>
  <si>
    <t xml:space="preserve">Tuesday estimate 12 to 249 (low confidence), under 500 staff company-wide, hybrid 3 days, occupancy-unconfirmed at a low-confidence address</t>
  </si>
  <si>
    <t xml:space="preserve">Karim El Sewedy</t>
  </si>
  <si>
    <t xml:space="preserve">2024-11-17</t>
  </si>
  <si>
    <t xml:space="preserve">ny_base=confirmed; title_fit=adjacent. The Org position page (opened 2026-10-24, updated 2024-11-17) attaches him to Retool's New York office. No office or people title in New York found.</t>
  </si>
  <si>
    <t xml:space="preserve">B-C-075</t>
  </si>
  <si>
    <t xml:space="preserve">372</t>
  </si>
  <si>
    <t xml:space="preserve">https://www.builtinnyc.com/company/retool</t>
  </si>
  <si>
    <t xml:space="preserve">https://www.reveliolabs.com/companies/retool/employees</t>
  </si>
  <si>
    <t xml:space="preserve">B-B-034</t>
  </si>
  <si>
    <t xml:space="preserve">915 Broadway (ABS Partners)</t>
  </si>
  <si>
    <t xml:space="preserve">https://www.builtinnyc.com/company/retool/offices</t>
  </si>
  <si>
    <t xml:space="preserve">https://www.metro-manhattan.com/buildings/915-broadway-office-space-for-lease/</t>
  </si>
  <si>
    <t xml:space="preserve">350 (Built In) and 372 (Revelio Labs) staff (whole-company count) x 5% to 100% of them in the New York office (HQ outside New York; share assumed) x 67% (Partnership for NYC, firms under 500) in on a weekday = 12 to 249, central 55; low confidence; estimate until intake replaces it.</t>
  </si>
  <si>
    <t xml:space="preserve">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</si>
  <si>
    <t xml:space="preserve">linked from the company's own site (https://retool.com/, opened 2026-10-24); LinkedIn not opened</t>
  </si>
  <si>
    <t xml:space="preserve">SharkNinja</t>
  </si>
  <si>
    <t xml:space="preserve">sharkninja.com</t>
  </si>
  <si>
    <t xml:space="preserve">51</t>
  </si>
  <si>
    <t xml:space="preserve">41 Madison Avenue</t>
  </si>
  <si>
    <t xml:space="preserve">AO-C-106</t>
  </si>
  <si>
    <t xml:space="preserve">Executive Assistant To Sallie Krawcheck</t>
  </si>
  <si>
    <t xml:space="preserve">https://theorg.com/org/ellevest/person/alexandra-s</t>
  </si>
  <si>
    <t xml:space="preserve">find Alexandra at Ellevest on LinkedIn and paste the profile URL into primary_linkedin_url (this also confirms the name: The Org is crowd-edited and marks it Unverified); the source is dated 2025-05-16: check Alexandra still holds the role; adjacent title: ask who runs the pantry; Tuesday estimate band under-40: founder's call (set founder_ok_to_queue = Y to queue)</t>
  </si>
  <si>
    <t xml:space="preserve">adjacent contact named (Executive Assistant To Sallie Krawcheck) (crowd-listed on The Org)</t>
  </si>
  <si>
    <t xml:space="preserve">Tuesday estimate 13 to 86 (low confidence), under 500 staff company-wide, on-site 5 days a week per its profile, occupancy-unconfirmed at a low-confidence address</t>
  </si>
  <si>
    <t xml:space="preserve">2025-05-16</t>
  </si>
  <si>
    <t xml:space="preserve">ny_base=likely; title_fit=adjacent (EA to the CEO by name; surname shown only as 'S.'). The Org position page (opened 2026-10-24, updated 2025-05-16); Ellevest is a New York firm.</t>
  </si>
  <si>
    <t xml:space="preserve">B-C-106</t>
  </si>
  <si>
    <t xml:space="preserve">https://www.ellevest.com/</t>
  </si>
  <si>
    <t xml:space="preserve">Fintech / wealth management</t>
  </si>
  <si>
    <t xml:space="preserve">129</t>
  </si>
  <si>
    <t xml:space="preserve">https://www.builtinnyc.com/company/ellevest/offices</t>
  </si>
  <si>
    <t xml:space="preserve">https://www.reveliolabs.com/companies/ellevest/employees</t>
  </si>
  <si>
    <t xml:space="preserve">https://www.linkedin.com/company/ellevest</t>
  </si>
  <si>
    <t xml:space="preserve">B-B-054</t>
  </si>
  <si>
    <t xml:space="preserve">48 West 25th Street (Kaufman Organization; part of former Savanna 'Madison Square Collection')</t>
  </si>
  <si>
    <t xml:space="preserve">129 (Built In) and 38 (Revelio Labs) staff (whole-company count) x 50% to 100% of them in the New York office (HQ New York; share assumed) x 67% (Partnership for NYC, firms under 500) in on a weekday = 13 to 86, central 33; low confidence; estimate until intake replaces it.</t>
  </si>
  <si>
    <t xml:space="preserve">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</si>
  <si>
    <t xml:space="preserve">linked from the company's own site (https://www.ellevest.com/, opened 2026-10-24); LinkedIn not opened</t>
  </si>
  <si>
    <t xml:space="preserve">Empathy</t>
  </si>
  <si>
    <t xml:space="preserve">empathy.com</t>
  </si>
  <si>
    <t xml:space="preserve">52</t>
  </si>
  <si>
    <t xml:space="preserve">51.4</t>
  </si>
  <si>
    <t xml:space="preserve">56 West 22nd Street</t>
  </si>
  <si>
    <t xml:space="preserve">PH</t>
  </si>
  <si>
    <t xml:space="preserve">AO-C-007</t>
  </si>
  <si>
    <t xml:space="preserve">Tuesday estimate 28 to 56 (low confidence), under 500 staff company-wide, on-site 5 days a week per its profile, occupancy-unconfirmed at a medium-confidence address</t>
  </si>
  <si>
    <t xml:space="preserve">B-C-007</t>
  </si>
  <si>
    <t xml:space="preserve">https://personetics.com</t>
  </si>
  <si>
    <t xml:space="preserve">fintech software (banking AI)</t>
  </si>
  <si>
    <t xml:space="preserve">371</t>
  </si>
  <si>
    <t xml:space="preserve">https://www.builtinnyc.com/company/personetics</t>
  </si>
  <si>
    <t xml:space="preserve">https://www.reveliolabs.com/companies/personetics/employees</t>
  </si>
  <si>
    <t xml:space="preserve">https://www.linkedin.com/company/personetics</t>
  </si>
  <si>
    <t xml:space="preserve">https://nyrej.com/print/54591</t>
  </si>
  <si>
    <t xml:space="preserve">2025-04-08</t>
  </si>
  <si>
    <t xml:space="preserve">https://www.builtinnyc.com/company/personetics/offices</t>
  </si>
  <si>
    <t xml:space="preserve">371 (Built In) and 336 (Revelio Labs) staff (whole-company count) x 50% to 100% of them in the New York office (HQ New York; share assumed) x 67% (Partnership for NYC, firms under 500) in on a weekday; the headcount math (113 to 249) is more than 7,004 sf can seat, so the range comes from the space: 28 to 56 at 250 to 125 sf per person (largest square footage the sources mention at this address; if the company holds more space here, intake corrects it) = 28 to 56, central 40; low confidence; estimate until intake replaces it.</t>
  </si>
  <si>
    <t xml:space="preserve">7,004 sf</t>
  </si>
  <si>
    <t xml:space="preserve">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</si>
  <si>
    <t xml:space="preserve">linked from the company's own site (https://personetics.com/, opened 2026-10-24); LinkedIn not opened</t>
  </si>
  <si>
    <t xml:space="preserve">MiQ Digital USA</t>
  </si>
  <si>
    <t xml:space="preserve">wearemiq.com</t>
  </si>
  <si>
    <t xml:space="preserve">53</t>
  </si>
  <si>
    <t xml:space="preserve">51.3</t>
  </si>
  <si>
    <t xml:space="preserve">261 Fifth Avenue</t>
  </si>
  <si>
    <t xml:space="preserve">25-26 now; moving to 19-21</t>
  </si>
  <si>
    <t xml:space="preserve">AO-C-056</t>
  </si>
  <si>
    <t xml:space="preserve">Tuesday estimate 48 to 96 (low confidence), under 500 staff company-wide, hybrid 2 days or fewer, signed-not-occupied at a medium-confidence address (hold: lease signed, move not confirmed)</t>
  </si>
  <si>
    <t xml:space="preserve">B-C-056</t>
  </si>
  <si>
    <t xml:space="preserve">https://hex.tech</t>
  </si>
  <si>
    <t xml:space="preserve">software (data analytics / AI)</t>
  </si>
  <si>
    <t xml:space="preserve">160</t>
  </si>
  <si>
    <t xml:space="preserve">232</t>
  </si>
  <si>
    <t xml:space="preserve">https://www.builtinnyc.com/company/hex</t>
  </si>
  <si>
    <t xml:space="preserve">https://www.reveliolabs.com/companies/hex/employees</t>
  </si>
  <si>
    <t xml:space="preserve">https://www.linkedin.com/company/hex-technologies</t>
  </si>
  <si>
    <t xml:space="preserve">B-B-028</t>
  </si>
  <si>
    <t xml:space="preserve">250 Park Avenue South (Feil Organization)</t>
  </si>
  <si>
    <t xml:space="preserve">https://commercialobserver.com/2026/01/hex-technologies-lease-feil-250-park-avenue-south/</t>
  </si>
  <si>
    <t xml:space="preserve">2026-01-09</t>
  </si>
  <si>
    <t xml:space="preserve">https://nyrej.com/print/57161</t>
  </si>
  <si>
    <t xml:space="preserve">2026-03-10</t>
  </si>
  <si>
    <t xml:space="preserve">Built In workplace type: Hybrid Workplace; typical time on-site: Flexible (box) but policy text: 2 to 3 days in person (lower figure used); recent job tags: 1 Remote, 2 Hybrid</t>
  </si>
  <si>
    <t xml:space="preserve">https://www.builtinnyc.com/company/hex/offices</t>
  </si>
  <si>
    <t xml:space="preserve">160 (Built In) and 232 (Revelio Labs) staff (whole-company count) x 5% to 100% of them in the New York office (HQ outside New York; share assumed) x 67% (Partnership for NYC, firms under 500) in on a weekday; space-based for a company headquartered outside New York: 12,000 sf seats 48 to 96 at 250 to 125 sf per person, kept within the headcount math (5 to 155) (largest square footage the sources mention at this address; if the company holds more space here, intake corrects it) = 48 to 96, central 68; low confidence; estimate until intake replaces it.</t>
  </si>
  <si>
    <t xml:space="preserve">12,000 sf</t>
  </si>
  <si>
    <t xml:space="preserve">https://commercialobserver.com/2026/01/hex-technologies-lease-feil-250-park-avenue-south/ (opened 2026-10-24): '...ch helps its users work with data and analytics, has signed a five-year lease for 12,000 square feet on the entire seventh floor of The Feil Organization ’s 250'</t>
  </si>
  <si>
    <t xml:space="preserve">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</si>
  <si>
    <t xml:space="preserve">linked from the company's own site (https://hex.tech/, opened 2026-10-24); LinkedIn not opened</t>
  </si>
  <si>
    <t xml:space="preserve">Reaktor</t>
  </si>
  <si>
    <t xml:space="preserve">reaktor.com</t>
  </si>
  <si>
    <t xml:space="preserve">54</t>
  </si>
  <si>
    <t xml:space="preserve">51.2</t>
  </si>
  <si>
    <t xml:space="preserve">AO-C-259</t>
  </si>
  <si>
    <t xml:space="preserve">Tuesday estimate 59 to 97 (low confidence), 1,001 to 4,999 staff company-wide, on-site 5 days a week per its profile, occupancy-unconfirmed at a medium-confidence address</t>
  </si>
  <si>
    <t xml:space="preserve">B-C-259</t>
  </si>
  <si>
    <t xml:space="preserve">https://www.lutron.com</t>
  </si>
  <si>
    <t xml:space="preserve">lighting controls manufacturer</t>
  </si>
  <si>
    <t xml:space="preserve">2063</t>
  </si>
  <si>
    <t xml:space="preserve">https://www.builtinnyc.com/company/lutron-electronics/offices</t>
  </si>
  <si>
    <t xml:space="preserve">Coopersburg</t>
  </si>
  <si>
    <t xml:space="preserve">https://www.linkedin.com/company/lutron-electronics</t>
  </si>
  <si>
    <t xml:space="preserve">https://commercialobserver.com/2025/10/lutron-electronics-office-lease-11-east-26th-street/</t>
  </si>
  <si>
    <t xml:space="preserve">2025-10-22</t>
  </si>
  <si>
    <t xml:space="preserve">2063 (Built In) staff (whole-company count) x 5% to 100% of them in the New York office (HQ outside New York; share assumed) x 57% (Partnership for NYC, all Manhattan firms; no figure for 500 to 4,999) in on a weekday; space-based for a company headquartered outside New York: 12,074 sf seats 48 to 97 at 250 to 125 sf per person, kept within the headcount math (59 to 1176) (largest square footage the sources mention at this address; if the company holds more space here, intake corrects it) = 59 to 97, central 76; low confidence; estimate until intake replaces it.</t>
  </si>
  <si>
    <t xml:space="preserve">12,074 sf</t>
  </si>
  <si>
    <t xml:space="preserve">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</si>
  <si>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Org's company record (https://theorg.com/org/lutron, opened 2026-10-24); LinkedIn not opened</t>
  </si>
  <si>
    <t xml:space="preserve">Kaltura</t>
  </si>
  <si>
    <t xml:space="preserve">corp.kaltura.com</t>
  </si>
  <si>
    <t xml:space="preserve">55</t>
  </si>
  <si>
    <t xml:space="preserve">51.0</t>
  </si>
  <si>
    <t xml:space="preserve">AO-C-020</t>
  </si>
  <si>
    <t xml:space="preserve">Tuesday estimate 40 to 80 (low confidence), 1,001 to 4,999 staff company-wide, on-site 5 days a week per its profile, occupancy-unconfirmed at a medium-confidence address</t>
  </si>
  <si>
    <t xml:space="preserve">B-C-020</t>
  </si>
  <si>
    <t xml:space="preserve">https://mercury.com</t>
  </si>
  <si>
    <t xml:space="preserve">fintech (business banking)</t>
  </si>
  <si>
    <t xml:space="preserve">1279</t>
  </si>
  <si>
    <t xml:space="preserve">https://www.reveliolabs.com/companies/mercury/employees</t>
  </si>
  <si>
    <t xml:space="preserve">https://www.builtinnyc.com/company/mercury</t>
  </si>
  <si>
    <t xml:space="preserve">https://www.linkedin.com/company/mercuryhq</t>
  </si>
  <si>
    <t xml:space="preserve">https://www.builtinnyc.com/company/mercury/offices</t>
  </si>
  <si>
    <t xml:space="preserve">1279 (Revelio Labs) and 150 (Built In) staff (whole-company count) x 5% to 100% of them in the New York office (HQ outside New York; share assumed) x 57% (Partnership for NYC, all Manhattan firms; no figure for 500 to 4,999) in on a weekday; space-based for a company headquartered outside New York: 10,000 sf seats 40 to 80 at 250 to 125 sf per person, kept within the headcount math (4 to 729) (largest square footage the sources mention at this address; if the company holds more space here, intake corrects it) = 40 to 80, central 57; low confidence; estimate until intake replaces it.</t>
  </si>
  <si>
    <t xml:space="preserve">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</si>
  <si>
    <t xml:space="preserve">linked from the company's own site (https://mercury.com/, opened 2026-10-24); LinkedIn not opened</t>
  </si>
  <si>
    <t xml:space="preserve">Sigma Computing</t>
  </si>
  <si>
    <t xml:space="preserve">sigmacomputing.com</t>
  </si>
  <si>
    <t xml:space="preserve">56</t>
  </si>
  <si>
    <t xml:space="preserve">5-6</t>
  </si>
  <si>
    <t xml:space="preserve">AO-C-207</t>
  </si>
  <si>
    <t xml:space="preserve">Tuesday estimate 46 to 92 (low confidence), 501 to 1,000 staff company-wide, no attendance signal, occupied at a medium-confidence address</t>
  </si>
  <si>
    <t xml:space="preserve">B-C-207</t>
  </si>
  <si>
    <t xml:space="preserve">https://www.zgf.com</t>
  </si>
  <si>
    <t xml:space="preserve">750</t>
  </si>
  <si>
    <t xml:space="preserve">https://en.wikipedia.org/wiki/ZGF_Architects</t>
  </si>
  <si>
    <t xml:space="preserve">https://www.linkedin.com/company/zgf-architects</t>
  </si>
  <si>
    <t xml:space="preserve">B-B-025</t>
  </si>
  <si>
    <t xml:space="preserve">39 West 19th Street (Rosen family)</t>
  </si>
  <si>
    <t xml:space="preserve">https://www.zgf.com/contact</t>
  </si>
  <si>
    <t xml:space="preserve">https://commercialobserver.com/2020/01/zgf-architects-lease-39-west-19th-street-rosen-family/</t>
  </si>
  <si>
    <t xml:space="preserve">2020-01-10</t>
  </si>
  <si>
    <t xml:space="preserve">750 (Wikipedia) staff (whole-company count) x 5% to 100% of them in the New York office (HQ city unknown; share assumed) x 57% (Partnership for NYC, all Manhattan firms; no figure for 500 to 4,999) in on a weekday; space-based for a company headquartered outside New York: 11,502 sf seats 46 to 92 at 250 to 125 sf per person, kept within the headcount math (21 to 427) (largest square footage the sources mention at this address; if the company holds more space here, intake corrects it) = 46 to 92, central 65; low confidence; estimate until intake replaces it.</t>
  </si>
  <si>
    <t xml:space="preserve">11,502 sf</t>
  </si>
  <si>
    <t xml:space="preserve">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</si>
  <si>
    <t xml:space="preserve">linked from the company's own site (https://www.zgf.com/, opened 2026-10-24); LinkedIn not opened</t>
  </si>
  <si>
    <t xml:space="preserve">AO-C-030</t>
  </si>
  <si>
    <t xml:space="preserve">Prepared 911</t>
  </si>
  <si>
    <t xml:space="preserve">prepared911.com</t>
  </si>
  <si>
    <t xml:space="preserve">57</t>
  </si>
  <si>
    <t xml:space="preserve">50.3</t>
  </si>
  <si>
    <t xml:space="preserve">one full floor (not named)</t>
  </si>
  <si>
    <t xml:space="preserve">hybrid-4</t>
  </si>
  <si>
    <t xml:space="preserve">AO-C-046</t>
  </si>
  <si>
    <t xml:space="preserve">Tuesday estimate band under-40: founder's call (set founder_ok_to_queue = Y to queue)</t>
  </si>
  <si>
    <t xml:space="preserve">Tuesday estimate 21 to 66 (low confidence), under 500 staff company-wide, hybrid 4 days with Tuesday named as an office day, occupancy-unconfirmed at a medium-confidence address</t>
  </si>
  <si>
    <t xml:space="preserve">B-C-046</t>
  </si>
  <si>
    <t xml:space="preserve">https://radar.com</t>
  </si>
  <si>
    <t xml:space="preserve">location data software</t>
  </si>
  <si>
    <t xml:space="preserve">64</t>
  </si>
  <si>
    <t xml:space="preserve">99</t>
  </si>
  <si>
    <t xml:space="preserve">https://www.builtinnyc.com/company/radar</t>
  </si>
  <si>
    <t xml:space="preserve">https://www.reveliolabs.com/companies/radar-labs/employees</t>
  </si>
  <si>
    <t xml:space="preserve">https://www.linkedin.com/company/radarlabs</t>
  </si>
  <si>
    <t xml:space="preserve">https://commercialobserver.com/2026/04/adyen-lease-111-115-fifth-avenue/</t>
  </si>
  <si>
    <t xml:space="preserve">2026-04-07</t>
  </si>
  <si>
    <t xml:space="preserve">Built In workplace type: OnSite Workplace; typical time on-site: 5 days a week (box) but policy text: Monday to Thursday in office; recent job tags: 3 In-Office</t>
  </si>
  <si>
    <t xml:space="preserve">https://www.builtinnyc.com/company/radar/offices</t>
  </si>
  <si>
    <t xml:space="preserve">64 (Built In) and 99 (Revelio Labs) staff (whole-company count) x 50% to 100% of them in the New York office (HQ New York; share assumed) x 67% (Partnership for NYC, firms under 500) in on a weekday = 21 to 66, central 37; low confidence; estimate until intake replaces it.</t>
  </si>
  <si>
    <t xml:space="preserve">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</si>
  <si>
    <t xml:space="preserve">linked from the company's own site (https://radar.com/, opened 2026-10-24); LinkedIn not opened</t>
  </si>
  <si>
    <t xml:space="preserve">Ellevest</t>
  </si>
  <si>
    <t xml:space="preserve">ellevest.com</t>
  </si>
  <si>
    <t xml:space="preserve">59</t>
  </si>
  <si>
    <t xml:space="preserve">48 West 25th Street</t>
  </si>
  <si>
    <t xml:space="preserve">AO-C-079</t>
  </si>
  <si>
    <t xml:space="preserve">Tuesday estimate 6 to 154 (low confidence), under 500 staff company-wide, hybrid 3 days, occupied at a medium-confidence address</t>
  </si>
  <si>
    <t xml:space="preserve">B-C-079</t>
  </si>
  <si>
    <t xml:space="preserve">https://playplay.com</t>
  </si>
  <si>
    <t xml:space="preserve">software (video creation)</t>
  </si>
  <si>
    <t xml:space="preserve">230</t>
  </si>
  <si>
    <t xml:space="preserve">181</t>
  </si>
  <si>
    <t xml:space="preserve">https://www.builtinnyc.com/company/playplay</t>
  </si>
  <si>
    <t xml:space="preserve">https://www.reveliolabs.com/companies/playplay/employees</t>
  </si>
  <si>
    <t xml:space="preserve">Paris</t>
  </si>
  <si>
    <t xml:space="preserve">https://www.linkedin.com/company/playplay</t>
  </si>
  <si>
    <t xml:space="preserve">B-B-036</t>
  </si>
  <si>
    <t xml:space="preserve">53-55 West 21st Street (Moinian Group)</t>
  </si>
  <si>
    <t xml:space="preserve">https://commercialobserver.com/2025/05/instant-lease-moinian-53-55-west-21st-street/</t>
  </si>
  <si>
    <t xml:space="preserve">2025-05-14</t>
  </si>
  <si>
    <t xml:space="preserve">Built In workplace type: OnSite Workplace; typical time on-site: 5 days a week (box) but policy text: 3 days in the office</t>
  </si>
  <si>
    <t xml:space="preserve">https://www.builtinnyc.com/company/playplay/offices</t>
  </si>
  <si>
    <t xml:space="preserve">230 (Built In) and 181 (Revelio Labs) staff (whole-company count) x 5% to 100% of them in the New York office (HQ outside New York; share assumed) x 67% (Partnership for NYC, firms under 500) in on a weekday = 6 to 154, central 30; low confidence; estimate until intake replaces it.</t>
  </si>
  <si>
    <t xml:space="preserve">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</si>
  <si>
    <t xml:space="preserve">linked from the company's own site (https://playplay.com/, opened 2026-10-24); LinkedIn not opened</t>
  </si>
  <si>
    <t xml:space="preserve">Personetics</t>
  </si>
  <si>
    <t xml:space="preserve">personetics.com</t>
  </si>
  <si>
    <t xml:space="preserve">60</t>
  </si>
  <si>
    <t xml:space="preserve">find Jessie Mark at Prophet on LinkedIn and paste the profile URL into primary_linkedin_url; check Jessie works from the New York office; adjacent title: ask who runs the pantry</t>
  </si>
  <si>
    <t xml:space="preserve">adjacent contact named (Vice President, People Operations &amp; Insights)</t>
  </si>
  <si>
    <t xml:space="preserve">Tuesday estimate 28 to 570 (low confidence), 501 to 1,000 staff company-wide, hybrid (days not stated), occupied at a medium-confidence address</t>
  </si>
  <si>
    <t xml:space="preserve">Jessie Mark</t>
  </si>
  <si>
    <t xml:space="preserve">ny_base=unconfirmed; title_fit=family (people operations) but no New York base shown. Prophet's own leadership page (opened 2026-10-24) lists 'Jessie Mark | Vice President, People Operations &amp; Insights' with no city.</t>
  </si>
  <si>
    <t xml:space="preserve">B-C-205</t>
  </si>
  <si>
    <t xml:space="preserve">https://www.builtinnyc.com/company/prophet</t>
  </si>
  <si>
    <t xml:space="preserve">Built In workplace type: Hybrid Workplace; typical time on-site: Not Specified; recent job tags: 2 In-Office</t>
  </si>
  <si>
    <t xml:space="preserve">https://www.builtinnyc.com/company/prophet/offices</t>
  </si>
  <si>
    <t xml:space="preserve">1000 (Built In) staff (whole-company count) x 5% to 100% of them in the New York office (HQ city unknown; share assumed) x 57% (Partnership for NYC, all Manhattan firms; no figure for 500 to 4,999) in on a weekday = 28 to 570, central 126; low confidence; estimate until intake replaces it.</t>
  </si>
  <si>
    <t xml:space="preserve">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</si>
  <si>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linked from the company's own site (https://prophet.com/, opened 2026-10-24); LinkedIn not opened</t>
  </si>
  <si>
    <t xml:space="preserve">Hex Technologies</t>
  </si>
  <si>
    <t xml:space="preserve">hex.tech</t>
  </si>
  <si>
    <t xml:space="preserve">61</t>
  </si>
  <si>
    <t xml:space="preserve">50.0</t>
  </si>
  <si>
    <t xml:space="preserve">250 Park Avenue South</t>
  </si>
  <si>
    <t xml:space="preserve">AO-C-124</t>
  </si>
  <si>
    <t xml:space="preserve">Tuesday estimate 8 to 224 (low confidence), under 500 staff company-wide, hybrid 2 days or fewer, occupied at a medium-confidence address</t>
  </si>
  <si>
    <t xml:space="preserve">B-C-124</t>
  </si>
  <si>
    <t xml:space="preserve">https://www.at-bay.com/</t>
  </si>
  <si>
    <t xml:space="preserve">Cyber insurance / insurtech</t>
  </si>
  <si>
    <t xml:space="preserve">https://www.builtinnyc.com/company/at-bay/offices</t>
  </si>
  <si>
    <t xml:space="preserve">https://www.reveliolabs.com/companies/at-bay/employees</t>
  </si>
  <si>
    <t xml:space="preserve">Mountain View</t>
  </si>
  <si>
    <t xml:space="preserve">https://www.linkedin.com/company/at-bay</t>
  </si>
  <si>
    <t xml:space="preserve">B-B-060</t>
  </si>
  <si>
    <t xml:space="preserve">220 Fifth Avenue</t>
  </si>
  <si>
    <t xml:space="preserve">https://www.at-bay.com/about/</t>
  </si>
  <si>
    <t xml:space="preserve">Built In workplace type: Hybrid Workplace; typical time on-site: 2 days a week; recent job tags: 2 Remote, 1 Hybrid</t>
  </si>
  <si>
    <t xml:space="preserve">230 (Built In) and 335 (Revelio Labs) staff (whole-company count) x 5% to 100% of them in the New York office (HQ outside New York; share assumed) x 67% (Partnership for NYC, firms under 500) in on a weekday = 8 to 224, central 42; low confidence; estimate until intake replaces it.</t>
  </si>
  <si>
    <t xml:space="preserve">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</si>
  <si>
    <t xml:space="preserve">linked from the company's own site (https://www.at-bay.com/, opened 2026-10-24); LinkedIn not opened</t>
  </si>
  <si>
    <t xml:space="preserve">Lutron Electronics</t>
  </si>
  <si>
    <t xml:space="preserve">lutron.com</t>
  </si>
  <si>
    <t xml:space="preserve">62</t>
  </si>
  <si>
    <t xml:space="preserve">AO-C-169</t>
  </si>
  <si>
    <t xml:space="preserve">address conflict in B's sources: check the lobby directory before outreach (B)</t>
  </si>
  <si>
    <t xml:space="preserve">Tuesday estimate 59 to 80 (low confidence), under 500 staff company-wide, hybrid 2 days or fewer, occupancy-unconfirmed at a low-confidence address (hold: address conflict in B's sources)</t>
  </si>
  <si>
    <t xml:space="preserve">B-C-169</t>
  </si>
  <si>
    <t xml:space="preserve">https://www.pumpkin.care</t>
  </si>
  <si>
    <t xml:space="preserve">insurtech (pet insurance)</t>
  </si>
  <si>
    <t xml:space="preserve">175</t>
  </si>
  <si>
    <t xml:space="preserve">https://www.builtinnyc.com/company/pumpkin/offices</t>
  </si>
  <si>
    <t xml:space="preserve">https://www.linkedin.com/company/pumpkinpets</t>
  </si>
  <si>
    <t xml:space="preserve">B-B-079</t>
  </si>
  <si>
    <t xml:space="preserve">432 Park Avenue South (Samco Properties)</t>
  </si>
  <si>
    <t xml:space="preserve">https://commercialobserver.com/2023/01/pumpkin-pet-insurance-takes-10k-sf-at-432-park-avenue/</t>
  </si>
  <si>
    <t xml:space="preserve">2023-01-06</t>
  </si>
  <si>
    <t xml:space="preserve">Built In workplace type: Hybrid Workplace; typical time on-site: Flexible (box) but policy text: 2 to 3 days in person (lower figure used)</t>
  </si>
  <si>
    <t xml:space="preserve">175 (Built In) staff (whole-company count) x 50% to 100% of them in the New York office (HQ New York; share assumed) x 67% (Partnership for NYC, firms under 500) in on a weekday; capped by 10,000 sf at 125 sf per person (was 59 to 117); central capped at 10,000 sf / 150 sf per person (largest square footage the sources mention at this address; if the company holds more space here, intake corrects it) = 59 to 80, central 67; low confidence; estimate until intake replaces it.</t>
  </si>
  <si>
    <t xml:space="preserve">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</si>
  <si>
    <t xml:space="preserve">linked from the company's own site (https://www.pumpkin.care/, opened 2026-10-24); LinkedIn not opened</t>
  </si>
  <si>
    <t xml:space="preserve">Mercury</t>
  </si>
  <si>
    <t xml:space="preserve">mercury.com</t>
  </si>
  <si>
    <t xml:space="preserve">63</t>
  </si>
  <si>
    <t xml:space="preserve">AO-C-198</t>
  </si>
  <si>
    <t xml:space="preserve">Tuesday estimate 53 to 106 (low confidence), 5,000+ staff company-wide, no attendance signal, occupied at a medium-confidence address</t>
  </si>
  <si>
    <t xml:space="preserve">B-C-198</t>
  </si>
  <si>
    <t xml:space="preserve">https://www.airbnb.com</t>
  </si>
  <si>
    <t xml:space="preserve">travel marketplace</t>
  </si>
  <si>
    <t xml:space="preserve">14622</t>
  </si>
  <si>
    <t xml:space="preserve">https://www.builtinnyc.com/company/airbnb</t>
  </si>
  <si>
    <t xml:space="preserve">5000+</t>
  </si>
  <si>
    <t xml:space="preserve">https://www.linkedin.com/company/airbnb</t>
  </si>
  <si>
    <t xml:space="preserve">B-B-017</t>
  </si>
  <si>
    <t xml:space="preserve">130 Fifth Avenue (Olnick Organization)</t>
  </si>
  <si>
    <t xml:space="preserve">https://commercialobserver.com/2024/12/airbnb-lease-130-fifth-avenue/</t>
  </si>
  <si>
    <t xml:space="preserve">2024-12-02</t>
  </si>
  <si>
    <t xml:space="preserve">https://commercialobserver.com/2026/07/airbnb-buys-281-park-avenue-south-office/</t>
  </si>
  <si>
    <t xml:space="preserve">2026-07-09</t>
  </si>
  <si>
    <t xml:space="preserve">14622 (Built In) staff (whole-company count) x 5% to 100% of them in the New York office (HQ outside New York; share assumed) x 46% (Partnership for NYC, firms over 5,000) in on a weekday; space-based for a company headquartered outside New York: 13,300 sf seats 53 to 106 at 250 to 125 sf per person, kept within the headcount math (336 to 6726) (largest square footage the sources mention at this address; if the company holds more space here, intake corrects it) = 53 to 106, central 75; low confidence; estimate until intake replaces it.</t>
  </si>
  <si>
    <t xml:space="preserve">not-near (5,000 or more)</t>
  </si>
  <si>
    <t xml:space="preserve">13,300 sf</t>
  </si>
  <si>
    <t xml:space="preserve">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</si>
  <si>
    <t xml:space="preserve">linked from The Org's company record (https://theorg.com/org/airbnb, opened 2026-10-24); LinkedIn not opened</t>
  </si>
  <si>
    <t xml:space="preserve">ZGF Architects</t>
  </si>
  <si>
    <t xml:space="preserve">zgf.com</t>
  </si>
  <si>
    <t xml:space="preserve">39 West 19th Street</t>
  </si>
  <si>
    <t xml:space="preserve">AO-C-250</t>
  </si>
  <si>
    <t xml:space="preserve">Tuesday estimate 111 to 222 (low confidence), 5,000+ staff company-wide, no attendance signal, occupied at a medium-confidence address</t>
  </si>
  <si>
    <t xml:space="preserve">B-C-250</t>
  </si>
  <si>
    <t xml:space="preserve">https://www.mphasis.com</t>
  </si>
  <si>
    <t xml:space="preserve">IT services</t>
  </si>
  <si>
    <t xml:space="preserve">37500</t>
  </si>
  <si>
    <t xml:space="preserve">https://www.builtinnyc.com/company/mphasis/offices</t>
  </si>
  <si>
    <t xml:space="preserve">https://www.linkedin.com/company/mphasis</t>
  </si>
  <si>
    <t xml:space="preserve">https://commercialobserver.com/2026/10/mphasis-lease-expansion-rudin-41-madison-avenue/</t>
  </si>
  <si>
    <t xml:space="preserve">2026-10-22</t>
  </si>
  <si>
    <t xml:space="preserve">37500 (Built In) staff (whole-company count) x 5% to 100% of them in the New York office (HQ city unknown; share assumed) x 46% (Partnership for NYC, firms over 5,000) in on a weekday; space-based for a company headquartered outside New York: 27,709 sf seats 111 to 222 at 250 to 125 sf per person, kept within the headcount math (862 to 17250) (largest square footage the sources mention at this address; if the company holds more space here, intake corrects it) = 111 to 222, central 157; low confidence; estimate until intake replaces it.</t>
  </si>
  <si>
    <t xml:space="preserve">27,709 sf</t>
  </si>
  <si>
    <t xml:space="preserve">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</si>
  <si>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(https://www.mphasis.com/home.html, opened 2026-10-24); LinkedIn not opened</t>
  </si>
  <si>
    <t xml:space="preserve">Radar</t>
  </si>
  <si>
    <t xml:space="preserve">radar.com</t>
  </si>
  <si>
    <t xml:space="preserve">48.9</t>
  </si>
  <si>
    <t xml:space="preserve">find Hannah Caskey at Nourish on LinkedIn and paste the profile URL into primary_linkedin_url (this also confirms the name: The Org is crowd-edited and marks it Unverified); adjacent title: ask who runs the pantry</t>
  </si>
  <si>
    <t xml:space="preserve">adjacent contact named (Recruiting Operations Coordinator) (crowd-listed on The Org)</t>
  </si>
  <si>
    <t xml:space="preserve">Tuesday estimate 30 to 61 (low confidence), 1,001 to 4,999 staff company-wide, hybrid (days not stated), occupied at a high-confidence address</t>
  </si>
  <si>
    <t xml:space="preserve">Hannah Caskey</t>
  </si>
  <si>
    <t xml:space="preserve">ny_base=likely; title_fit=adjacent (people team). The Org position page (opened 2026-10-24, updated 2026-09-21), New York area.</t>
  </si>
  <si>
    <t xml:space="preserve">B-C-005</t>
  </si>
  <si>
    <t xml:space="preserve">315</t>
  </si>
  <si>
    <t xml:space="preserve">https://www.reveliolabs.com/companies/nourish/employees</t>
  </si>
  <si>
    <t xml:space="preserve">https://www.builtinnyc.com/company/nourish</t>
  </si>
  <si>
    <t xml:space="preserve">https://commercialobserver.com/2025/02/nourish-lease-853-broadway/</t>
  </si>
  <si>
    <t xml:space="preserve">2025-02</t>
  </si>
  <si>
    <t xml:space="preserve">https://www.builtinnyc.com/company/nourish/offices</t>
  </si>
  <si>
    <t xml:space="preserve">4082 (Revelio Labs) and 315 (Built In) staff (whole-company count) x 50% to 100% of them in the New York office (HQ New York; share assumed) x 57% (Partnership for NYC, all Manhattan firms; no figure for 500 to 4,999) in on a weekday; the headcount math (90 to 2327) is more than 7,563 sf can seat, so the range comes from the space: 30 to 61 at 250 to 125 sf per person (largest square footage the sources mention at this address; if the company holds more space here, intake corrects it) = 30 to 61, central 43; low confidence; estimate until intake replaces it.</t>
  </si>
  <si>
    <t xml:space="preserve">7,563 sf</t>
  </si>
  <si>
    <t xml:space="preserve">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</si>
  <si>
    <t xml:space="preserve">linked from the company's own site (https://www.nourish.com/, opened 2026-10-24); LinkedIn not opened</t>
  </si>
  <si>
    <t xml:space="preserve">PlayPlay</t>
  </si>
  <si>
    <t xml:space="preserve">playplay.com</t>
  </si>
  <si>
    <t xml:space="preserve">66</t>
  </si>
  <si>
    <t xml:space="preserve">48.4</t>
  </si>
  <si>
    <t xml:space="preserve">53 West 21st Street</t>
  </si>
  <si>
    <t xml:space="preserve">AO-C-240</t>
  </si>
  <si>
    <t xml:space="preserve">Tuesday estimate band 251-500: founder's call (set founder_ok_to_queue = Y to queue)</t>
  </si>
  <si>
    <t xml:space="preserve">no backup named: back to research; Tuesday estimate band 251-500: founder's call (set founder_ok_to_queue = Y to queue)</t>
  </si>
  <si>
    <t xml:space="preserve">Tuesday estimate 63 to 1256 (low confidence), 1,001 to 4,999 staff company-wide, on-site 5 days a week per its profile, occupied at a high-confidence address</t>
  </si>
  <si>
    <t xml:space="preserve">B-C-240</t>
  </si>
  <si>
    <t xml:space="preserve">https://pitchbook.com/</t>
  </si>
  <si>
    <t xml:space="preserve">Financial data / software</t>
  </si>
  <si>
    <t xml:space="preserve">2203</t>
  </si>
  <si>
    <t xml:space="preserve">https://www.builtinnyc.com/company/pitchbook/offices</t>
  </si>
  <si>
    <t xml:space="preserve">Seattle</t>
  </si>
  <si>
    <t xml:space="preserve">https://www.linkedin.com/company/pitchbook</t>
  </si>
  <si>
    <t xml:space="preserve">https://commercialobserver.com/2026/02/bluefish-lease-315-park-avenue-south/</t>
  </si>
  <si>
    <t xml:space="preserve">2203 (Built In) staff (whole-company count) x 5% to 100% of them in the New York office (HQ outside New York; share assumed) x 57% (Partnership for NYC, all Manhattan firms; no figure for 500 to 4,999) in on a weekday = 63 to 1256, central 281; low confidence; estimate until intake replaces it.</t>
  </si>
  <si>
    <t xml:space="preserve">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</si>
  <si>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linked from The Org's company record (https://theorg.com/org/pitchbook, opened 2026-10-24); LinkedIn not opened</t>
  </si>
  <si>
    <t xml:space="preserve">At-Bay</t>
  </si>
  <si>
    <t xml:space="preserve">at-bay.com</t>
  </si>
  <si>
    <t xml:space="preserve">68</t>
  </si>
  <si>
    <t xml:space="preserve">45.9</t>
  </si>
  <si>
    <t xml:space="preserve">find Quinn Ruggles at Harvey on LinkedIn and paste the profile URL into primary_linkedin_url (this also confirms the name: The Org is crowd-edited and marks it Unverified); adjacent title: ask who runs the pantry</t>
  </si>
  <si>
    <t xml:space="preserve">adjacent contact named (Executive Assistant to Founders) (crowd-listed on The Org)</t>
  </si>
  <si>
    <t xml:space="preserve">Tuesday estimate 11 to 644 (low confidence), 1,001 to 4,999 staff company-wide, on-site 5 days a week per its profile, occupancy-unconfirmed at a high-confidence address</t>
  </si>
  <si>
    <t xml:space="preserve">Quinn Ruggles</t>
  </si>
  <si>
    <t xml:space="preserve">2026-07-03</t>
  </si>
  <si>
    <t xml:space="preserve">ny_base=confirmed; title_fit=variant (EA to the founders, one of whom is the CEO). The Org position page (opened 2026-10-24, updated 2026-07-03) attaches her to Harvey's New York office.</t>
  </si>
  <si>
    <t xml:space="preserve">B-C-102</t>
  </si>
  <si>
    <t xml:space="preserve">373</t>
  </si>
  <si>
    <t xml:space="preserve">https://www.reveliolabs.com/companies/harvey-ai/employees</t>
  </si>
  <si>
    <t xml:space="preserve">https://www.builtinnyc.com/company/harvey/offices</t>
  </si>
  <si>
    <t xml:space="preserve">https://commercialobserver.com/2026/03/harvey-ai-expansion-lease-sl-green-one-madison-avenue/</t>
  </si>
  <si>
    <t xml:space="preserve">https://flatironnomad.nyc/newsletter/april-23-2026-flatiron-nomad-economic-development-snapshot-q1-2026/</t>
  </si>
  <si>
    <t xml:space="preserve">2026-04-23</t>
  </si>
  <si>
    <t xml:space="preserve">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</si>
  <si>
    <t xml:space="preserve">92,663 sf;185,326 sf;34,100 sf</t>
  </si>
  <si>
    <t xml:space="preserve">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</si>
  <si>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(https://www.harvey.ai/, opened 2026-10-24); LinkedIn not opened</t>
  </si>
  <si>
    <t xml:space="preserve">Pumpkin Pet Insurance</t>
  </si>
  <si>
    <t xml:space="preserve">pumpkin.care</t>
  </si>
  <si>
    <t xml:space="preserve">69</t>
  </si>
  <si>
    <t xml:space="preserve">45.0</t>
  </si>
  <si>
    <t xml:space="preserve">432 Park Avenue South</t>
  </si>
  <si>
    <t xml:space="preserve">Tami</t>
  </si>
  <si>
    <t xml:space="preserve">Golan</t>
  </si>
  <si>
    <t xml:space="preserve">https://carbyne.com/company/our-team/</t>
  </si>
  <si>
    <t xml:space="preserve">find Tami Golan at Carbyne on LinkedIn and paste the profile URL into primary_linkedin_url; check Tami works from the New York office; adjacent title: ask who runs the pantry; Tuesday estimate band under-40: founder's call (set founder_ok_to_queue = Y to queue)</t>
  </si>
  <si>
    <t xml:space="preserve">Daniel</t>
  </si>
  <si>
    <t xml:space="preserve">Limon</t>
  </si>
  <si>
    <t xml:space="preserve">find Daniel Limon at Carbyne on LinkedIn and paste the profile URL into backup_linkedin_url; check Daniel works from the New York office; adjacent title: ask who runs the pantry; Tuesday estimate band under-40: founder's call (set founder_ok_to_queue = Y to queue)</t>
  </si>
  <si>
    <t xml:space="preserve">Tuesday estimate 23 to 46 (low confidence), under 500 staff company-wide with a named parent (Axon Enterprise), hybrid (days not stated), occupied at a high-confidence address</t>
  </si>
  <si>
    <t xml:space="preserve">Tami Golan</t>
  </si>
  <si>
    <t xml:space="preserve">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 | Stage 3 fix: Review round 1: Carbyne's own team page (opened 2026-10-24) lists 'Tami Golan | Chief People Officer', so the name no longer rests on The Org alone</t>
  </si>
  <si>
    <t xml:space="preserve">Daniel Limon</t>
  </si>
  <si>
    <t xml:space="preserve">ny_base=unconfirmed; title_fit=adjacent. Carbyne's own team page (opened 2026-10-24) lists 'Daniel Limon | Chief of Staff'; the page gives no city and Carbyne also staffs Israel.</t>
  </si>
  <si>
    <t xml:space="preserve">B-C-151</t>
  </si>
  <si>
    <t xml:space="preserve">https://carbyne.com</t>
  </si>
  <si>
    <t xml:space="preserve">public safety software (emergency communications)</t>
  </si>
  <si>
    <t xml:space="preserve">180</t>
  </si>
  <si>
    <t xml:space="preserve">146</t>
  </si>
  <si>
    <t xml:space="preserve">https://www.builtinnyc.com/company/carbyne/offices</t>
  </si>
  <si>
    <t xml:space="preserve">https://www.reveliolabs.com/companies/carbyne/employees</t>
  </si>
  <si>
    <t xml:space="preserve">https://www.linkedin.com/company/carbyne</t>
  </si>
  <si>
    <t xml:space="preserve">B-B-069</t>
  </si>
  <si>
    <t xml:space="preserve">45 West 27th Street</t>
  </si>
  <si>
    <t xml:space="preserve">https://carbyne.com/company/about-us/</t>
  </si>
  <si>
    <t xml:space="preserve">https://www.connectcre.com/stories/software-company-carbyne-911-inks-downtown-lease/</t>
  </si>
  <si>
    <t xml:space="preserve">2023-08-18</t>
  </si>
  <si>
    <t xml:space="preserve">180 (Built In) and 146 (Revelio Labs) staff (whole-company count) x 50% to 100% of them in the New York office (HQ New York; share assumed) x 67% (Partnership for NYC, firms under 500) in on a weekday; the headcount math (49 to 121) is more than 5,702 sf can seat, so the range comes from the space: 23 to 46 at 250 to 125 sf per person (largest square footage the sources mention at this address; if the company holds more space here, intake corrects it) = 23 to 46, central 33; low confidence; estimate until intake replaces it.</t>
  </si>
  <si>
    <t xml:space="preserve">5,700 sf;5,702 sf</t>
  </si>
  <si>
    <t xml:space="preserve">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</si>
  <si>
    <t xml:space="preserve">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</si>
  <si>
    <t xml:space="preserve">linked from the company's own site (https://carbyne.com/, opened 2026-10-24); LinkedIn not opened</t>
  </si>
  <si>
    <t xml:space="preserve">parent 'axon enterprise' shared with AO-C-030</t>
  </si>
  <si>
    <t xml:space="preserve">Airbnb</t>
  </si>
  <si>
    <t xml:space="preserve">airbnb.com</t>
  </si>
  <si>
    <t xml:space="preserve">70</t>
  </si>
  <si>
    <t xml:space="preserve">44.0</t>
  </si>
  <si>
    <t xml:space="preserve">130 Fifth Avenue</t>
  </si>
  <si>
    <t xml:space="preserve">AO-C-227</t>
  </si>
  <si>
    <t xml:space="preserve">Adrienne</t>
  </si>
  <si>
    <t xml:space="preserve">Imbriaco</t>
  </si>
  <si>
    <t xml:space="preserve">Chief Talent Officer</t>
  </si>
  <si>
    <t xml:space="preserve">https://theorg.com/org/huge/person/adrienne-imbriaco</t>
  </si>
  <si>
    <t xml:space="preserve">find Adrienne Imbriaco at Huge on LinkedIn and paste the profile URL into primary_linkedin_url (this also confirms the name: The Org is crowd-edited and marks it Unverified); the source is dated 2025-05-07: check Adrienne still holds the role; adjacent title: ask who runs the pantry</t>
  </si>
  <si>
    <t xml:space="preserve">adjacent contact named (Chief Talent Officer) (crowd-listed on The Org)</t>
  </si>
  <si>
    <t xml:space="preserve">Tuesday estimate 68 to 135 (low confidence), 1,001 to 4,999 staff company-wide, no attendance signal, signed-not-occupied at a medium-confidence address (hold: lease signed, move not confirmed)</t>
  </si>
  <si>
    <t xml:space="preserve">Adrienne Imbriaco</t>
  </si>
  <si>
    <t xml:space="preserve">2025-05-07</t>
  </si>
  <si>
    <t xml:space="preserve">ny_base=likely; title_fit=adjacent (talent lead). The Org position page (opened 2026-10-24, updated 2025-05-07); Huge is a New York agency and the page gives no city.</t>
  </si>
  <si>
    <t xml:space="preserve">B-C-227</t>
  </si>
  <si>
    <t xml:space="preserve">https://www.hugeinc.com/</t>
  </si>
  <si>
    <t xml:space="preserve">Design and technology agency</t>
  </si>
  <si>
    <t xml:space="preserve">1430</t>
  </si>
  <si>
    <t xml:space="preserve">https://www.builtinnyc.com/company/huge/offices</t>
  </si>
  <si>
    <t xml:space="preserve">https://www.linkedin.com/company/hugeinc</t>
  </si>
  <si>
    <t xml:space="preserve">https://flatironnomad.nyc/2025/11/05/october-news-roundup-6/</t>
  </si>
  <si>
    <t xml:space="preserve">1430 (Built In) staff (whole-company count) x 50% to 100% of them in the New York office (HQ New York; share assumed) x 57% (Partnership for NYC, all Manhattan firms; no figure for 500 to 4,999) in on a weekday; the headcount math (408 to 815) is more than 16,909 sf can seat, so the range comes from the space: 68 to 135 at 250 to 125 sf per person (largest square footage the sources mention at this address; if the company holds more space here, intake corrects it) = 68 to 135, central 96; low confidence; estimate until intake replaces it.</t>
  </si>
  <si>
    <t xml:space="preserve">16,909 sf</t>
  </si>
  <si>
    <t xml:space="preserve">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</si>
  <si>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linked from the company's own site (https://www.hugeinc.com/, opened 2026-10-24); LinkedIn not opened</t>
  </si>
  <si>
    <t xml:space="preserve">Mphasis</t>
  </si>
  <si>
    <t xml:space="preserve">mphasis.com</t>
  </si>
  <si>
    <t xml:space="preserve">71</t>
  </si>
  <si>
    <t xml:space="preserve">35-36</t>
  </si>
  <si>
    <t xml:space="preserve">find Grace Lee at Spring Health on LinkedIn and paste the profile URL into primary_linkedin_url (this also confirms the name: The Org is crowd-edited and marks it Unverified); the source is dated 2025-05-18: check Grace still holds the role; adjacent title: ask who runs the pantry</t>
  </si>
  <si>
    <t xml:space="preserve">adjacent contact named (VP, Chief of Staff) (crowd-listed on The Org)</t>
  </si>
  <si>
    <t xml:space="preserve">Tuesday estimate 120 to 240 (low confidence), 1,001 to 4,999 staff company-wide, no attendance signal, occupancy-unconfirmed at a low-confidence address</t>
  </si>
  <si>
    <t xml:space="preserve">Grace Lee</t>
  </si>
  <si>
    <t xml:space="preserve">2025-05-18</t>
  </si>
  <si>
    <t xml:space="preserve">ny_base=likely; title_fit=adjacent (chief of staff at a large firm). The Org position page (opened 2026-10-24, updated 2025-05-18), New York area.</t>
  </si>
  <si>
    <t xml:space="preserve">B-C-261</t>
  </si>
  <si>
    <t xml:space="preserve">https://www.builtinnyc.com/company/spring-health/offices</t>
  </si>
  <si>
    <t xml:space="preserve">https://commercialobserver.com/2022/08/spring-health-takes-30k-sf-60-madison-office-vacated-by-knotel/</t>
  </si>
  <si>
    <t xml:space="preserve">2022-08-04</t>
  </si>
  <si>
    <t xml:space="preserve">1300 (Built In) staff (whole-company count) x 50% to 100% of them in the New York office (HQ New York; share assumed) x 57% (Partnership for NYC, all Manhattan firms; no figure for 500 to 4,999) in on a weekday; the headcount math (370 to 741) is more than 30,000 sf can seat, so the range comes from the space: 120 to 240 at 250 to 125 sf per person (largest square footage the sources mention at this address; if the company holds more space here, intake corrects it) = 120 to 240, central 170; low confidence; estimate until intake replaces it.</t>
  </si>
  <si>
    <t xml:space="preserve">30,000 sf</t>
  </si>
  <si>
    <t xml:space="preserve">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</si>
  <si>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(https://www.springhealth.com/, opened 2026-10-24); LinkedIn not opened</t>
  </si>
  <si>
    <t xml:space="preserve">PitchBook</t>
  </si>
  <si>
    <t xml:space="preserve">pitchbook.com</t>
  </si>
  <si>
    <t xml:space="preserve">73</t>
  </si>
  <si>
    <t xml:space="preserve">43.5</t>
  </si>
  <si>
    <t xml:space="preserve">315 Park Avenue South</t>
  </si>
  <si>
    <t xml:space="preserve">AO-C-179</t>
  </si>
  <si>
    <t xml:space="preserve">Tuesday estimate 56 to 112 (low confidence), 501 to 1,000 staff company-wide, hybrid (days not stated), occupancy-unconfirmed at a low-confidence address</t>
  </si>
  <si>
    <t xml:space="preserve">B-C-179</t>
  </si>
  <si>
    <t xml:space="preserve">https://movableink.com</t>
  </si>
  <si>
    <t xml:space="preserve">marketing tech (email personalization)</t>
  </si>
  <si>
    <t xml:space="preserve">https://www.builtinnyc.com/company/movable-ink</t>
  </si>
  <si>
    <t xml:space="preserve">https://www.linkedin.com/company/movable-ink</t>
  </si>
  <si>
    <t xml:space="preserve">https://www.builtinnyc.com/company/movable-ink/offices</t>
  </si>
  <si>
    <t xml:space="preserve">600 (Built In) staff (whole-company count) x 50% to 100% of them in the New York office (HQ New York; share assumed) x 57% (Partnership for NYC, all Manhattan firms; no figure for 500 to 4,999) in on a weekday; the headcount math (171 to 342) is more than 14,000 sf can seat, so the range comes from the space: 56 to 112 at 250 to 125 sf per person (largest square footage the sources mention at this address; if the company holds more space here, intake corrects it) = 56 to 112, central 79; low confidence; estimate until intake replaces it.</t>
  </si>
  <si>
    <t xml:space="preserve">14,000 sf</t>
  </si>
  <si>
    <t xml:space="preserve">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</si>
  <si>
    <t xml:space="preserve">linked from the company's own site (https://movableink.com/, opened 2026-10-24); LinkedIn not opened</t>
  </si>
  <si>
    <t xml:space="preserve">AO-C-151</t>
  </si>
  <si>
    <t xml:space="preserve">Carbyne</t>
  </si>
  <si>
    <t xml:space="preserve">carbyne.com</t>
  </si>
  <si>
    <t xml:space="preserve">AO-C-103</t>
  </si>
  <si>
    <t xml:space="preserve">Tuesday estimate 27 to 405 (low confidence), 501 to 1,000 staff company-wide, on-site 5 days a week per its profile, signed-not-occupied at a medium-confidence address (hold: lease signed, move not confirmed)</t>
  </si>
  <si>
    <t xml:space="preserve">B-C-103</t>
  </si>
  <si>
    <t xml:space="preserve">https://www.clay.com/</t>
  </si>
  <si>
    <t xml:space="preserve">Software (AI sales / go-to-market)</t>
  </si>
  <si>
    <t xml:space="preserve">710</t>
  </si>
  <si>
    <t xml:space="preserve">93</t>
  </si>
  <si>
    <t xml:space="preserve">https://www.reveliolabs.com/companies/clay-labs/employees</t>
  </si>
  <si>
    <t xml:space="preserve">https://www.builtinnyc.com/company/clay/offices</t>
  </si>
  <si>
    <t xml:space="preserve">https://www.linkedin.com/company/grow-with-clay</t>
  </si>
  <si>
    <t xml:space="preserve">B-B-052</t>
  </si>
  <si>
    <t xml:space="preserve">11 Madison Avenue (SL Green); Sony Music uses 25 Madison Ave entrance</t>
  </si>
  <si>
    <t xml:space="preserve">https://commercialobserver.com/2026/03/clay-ai-lease-sl-green-11-madison-avenue/</t>
  </si>
  <si>
    <t xml:space="preserve">https://www.metro-manhattan.com/neighborhoods/midtown-south/flatiron/</t>
  </si>
  <si>
    <t xml:space="preserve">2026-06</t>
  </si>
  <si>
    <t xml:space="preserve">loading dock</t>
  </si>
  <si>
    <t xml:space="preserve">https://en.wikipedia.org/wiki/11_Madison_Avenue</t>
  </si>
  <si>
    <t xml:space="preserve">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</si>
  <si>
    <t xml:space="preserve">163,095 sf;202,875 sf</t>
  </si>
  <si>
    <t xml:space="preserve">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</si>
  <si>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(https://www.clay.com/, opened 2026-10-24); LinkedIn not opened</t>
  </si>
  <si>
    <t xml:space="preserve">Huge</t>
  </si>
  <si>
    <t xml:space="preserve">hugeinc.com</t>
  </si>
  <si>
    <t xml:space="preserve">AO-C-032</t>
  </si>
  <si>
    <t xml:space="preserve">Tuesday estimate 1 to 88 (low confidence), under 500 staff company-wide, on-site 5 days a week per its profile, occupancy-unconfirmed at a medium-confidence address</t>
  </si>
  <si>
    <t xml:space="preserve">B-C-032</t>
  </si>
  <si>
    <t xml:space="preserve">https://roboflow.com</t>
  </si>
  <si>
    <t xml:space="preserve">computer vision software</t>
  </si>
  <si>
    <t xml:space="preserve">132</t>
  </si>
  <si>
    <t xml:space="preserve">https://www.builtinnyc.com/company/roboflow</t>
  </si>
  <si>
    <t xml:space="preserve">https://www.reveliolabs.com/companies/roboflow/employees</t>
  </si>
  <si>
    <t xml:space="preserve">https://www.linkedin.com/company/roboflow-ai</t>
  </si>
  <si>
    <t xml:space="preserve">B-B-015</t>
  </si>
  <si>
    <t xml:space="preserve">10 West 18th Street</t>
  </si>
  <si>
    <t xml:space="preserve">https://www.mannpublications.com/mannreport/2025/08/25/moinian-signs-33000sf-across-flatiron-portfolio/</t>
  </si>
  <si>
    <t xml:space="preserve">2025-08-25</t>
  </si>
  <si>
    <t xml:space="preserve">https://www.builtinnyc.com/company/roboflow/offices</t>
  </si>
  <si>
    <t xml:space="preserve">may be under 30;central estimate under 30</t>
  </si>
  <si>
    <t xml:space="preserve">44 (Built In) and 132 (Revelio Labs) staff (whole-company count) x 5% to 100% of them in the New York office (HQ outside New York; share assumed) x 67% (Partnership for NYC, firms under 500) in on a weekday = 1 to 88, central 9; low confidence; estimate until intake replaces it.</t>
  </si>
  <si>
    <t xml:space="preserve">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</si>
  <si>
    <t xml:space="preserve">linked from the company's own site (https://roboflow.com/, opened 2026-10-24); LinkedIn not opened</t>
  </si>
  <si>
    <t xml:space="preserve">Movable Ink</t>
  </si>
  <si>
    <t xml:space="preserve">movableink.com</t>
  </si>
  <si>
    <t xml:space="preserve">78</t>
  </si>
  <si>
    <t xml:space="preserve">AO-C-185</t>
  </si>
  <si>
    <t xml:space="preserve">Tuesday estimate 80 to 160 (low confidence), 1,001 to 4,999 staff company-wide, hybrid (days not stated), occupancy-unconfirmed at a medium-confidence address</t>
  </si>
  <si>
    <t xml:space="preserve">B-C-185</t>
  </si>
  <si>
    <t xml:space="preserve">https://www.faire.com</t>
  </si>
  <si>
    <t xml:space="preserve">B2B wholesale marketplace</t>
  </si>
  <si>
    <t xml:space="preserve">1200</t>
  </si>
  <si>
    <t xml:space="preserve">https://www.builtinnyc.com/company/faire</t>
  </si>
  <si>
    <t xml:space="preserve">https://www.linkedin.com/company/fairewholesale</t>
  </si>
  <si>
    <t xml:space="preserve">https://www.builtinnyc.com/company/faire/offices</t>
  </si>
  <si>
    <t xml:space="preserve">1200 (Built In) staff (whole-company count) x 5% to 100% of them in the New York office (HQ outside New York; share assumed) x 57% (Partnership for NYC, all Manhattan firms; no figure for 500 to 4,999) in on a weekday; space-based for a company headquartered outside New York: 20,000 sf seats 80 to 160 at 250 to 125 sf per person, kept within the headcount math (34 to 684) (largest square footage the sources mention at this address; if the company holds more space here, intake corrects it) = 80 to 160, central 113; low confidence; estimate until intake replaces it.</t>
  </si>
  <si>
    <t xml:space="preserve">20,000 sf</t>
  </si>
  <si>
    <t xml:space="preserve">Near-miss: over 500. Built In NYC: 1,200 total employees, HQ San Francisco. CO 2025-03-27: about 20,000 sf on floors 9 and 12; article says the NYC office had about 50 employees when it opened in Greenwich Village in 2022 (old, not used for band).</t>
  </si>
  <si>
    <t xml:space="preserve">linked from The Org's company record (https://theorg.com/org/faire, opened 2026-10-24); LinkedIn not opened</t>
  </si>
  <si>
    <t xml:space="preserve">Clay</t>
  </si>
  <si>
    <t xml:space="preserve">clay.com</t>
  </si>
  <si>
    <t xml:space="preserve">79</t>
  </si>
  <si>
    <t xml:space="preserve">42.9</t>
  </si>
  <si>
    <t xml:space="preserve">11 Madison Avenue</t>
  </si>
  <si>
    <t xml:space="preserve">14, 16 and part of 15</t>
  </si>
  <si>
    <t xml:space="preserve">AO-C-254</t>
  </si>
  <si>
    <t xml:space="preserve">Tuesday estimate 92 to 184 (low confidence), 1,001 to 4,999 staff company-wide, hybrid (days not stated), occupancy-unconfirmed at a medium-confidence address</t>
  </si>
  <si>
    <t xml:space="preserve">B-C-254</t>
  </si>
  <si>
    <t xml:space="preserve">https://www.grammarly.com/</t>
  </si>
  <si>
    <t xml:space="preserve">Software (AI writing assistant)</t>
  </si>
  <si>
    <t xml:space="preserve">1500</t>
  </si>
  <si>
    <t xml:space="preserve">https://www.builtinnyc.com/company/superhuman-1/offices</t>
  </si>
  <si>
    <t xml:space="preserve">https://www.linkedin.com/company/grammarly</t>
  </si>
  <si>
    <t xml:space="preserve">https://commercialobserver.com/2025/09/grammarly-bxps-360-park-avenue-south/</t>
  </si>
  <si>
    <t xml:space="preserve">2025-09-02</t>
  </si>
  <si>
    <t xml:space="preserve">https://commercialobserver.com/2026/01/betches-coming-360-park-avenue-south/</t>
  </si>
  <si>
    <t xml:space="preserve">2026-01-22</t>
  </si>
  <si>
    <t xml:space="preserve">1500 (Built In) staff (whole-company count) x 5% to 100% of them in the New York office (HQ outside New York; share assumed) x 57% (Partnership for NYC, all Manhattan firms; no figure for 500 to 4,999) in on a weekday; space-based for a company headquartered outside New York: 23,038 sf seats 92 to 184 at 250 to 125 sf per person, kept within the headcount math (43 to 855) (largest square footage the sources mention at this address; if the company holds more space here, intake corrects it) = 92 to 184, central 130; low confidence; estimate until intake replaces it.</t>
  </si>
  <si>
    <t xml:space="preserve">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</si>
  <si>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(https://www.grammarly.com/, opened 2026-10-24); LinkedIn not opened</t>
  </si>
  <si>
    <t xml:space="preserve">Roboflow</t>
  </si>
  <si>
    <t xml:space="preserve">roboflow.com</t>
  </si>
  <si>
    <t xml:space="preserve">80</t>
  </si>
  <si>
    <t xml:space="preserve">42.4</t>
  </si>
  <si>
    <t xml:space="preserve">AO-C-219</t>
  </si>
  <si>
    <t xml:space="preserve">Tuesday estimate 31 to 312 (low confidence), 1,001 to 4,999 staff company-wide, on-site 5 days a week per its profile, occupancy-unconfirmed at a low-confidence address</t>
  </si>
  <si>
    <t xml:space="preserve">B-C-219</t>
  </si>
  <si>
    <t xml:space="preserve">https://www.elfcosmetics.com</t>
  </si>
  <si>
    <t xml:space="preserve">cosmetics brand (NYC office)</t>
  </si>
  <si>
    <t xml:space="preserve">1096</t>
  </si>
  <si>
    <t xml:space="preserve">https://www.builtinnyc.com/company/elf-beauty</t>
  </si>
  <si>
    <t xml:space="preserve">Oakland</t>
  </si>
  <si>
    <t xml:space="preserve">https://www.linkedin.com/company/e-l-f-beauty</t>
  </si>
  <si>
    <t xml:space="preserve">B-B-041</t>
  </si>
  <si>
    <t xml:space="preserve">16 West 22nd Street (Meysar Realty / GFP)</t>
  </si>
  <si>
    <t xml:space="preserve">https://commercialobserver.com/2024/08/elf-beauty-lease-gfp-real-estate-16-west-22nd-street/</t>
  </si>
  <si>
    <t xml:space="preserve">Built In workplace type: OnSite Workplace; typical time on-site: 5 days a week; recent job tags: 2 Hybrid, 1 Remote</t>
  </si>
  <si>
    <t xml:space="preserve">https://www.builtinnyc.com/company/elf-beauty/offices</t>
  </si>
  <si>
    <t xml:space="preserve">1096 (Built In) staff (whole-company count) x 5% to 100% of them in the New York office (HQ outside New York; share assumed) x 57% (Partnership for NYC, all Manhattan firms; no figure for 500 to 4,999) in on a weekday; capped by 39,000 sf at 125 sf per person (was 31 to 625) (largest square footage the sources mention at this address; if the company holds more space here, intake corrects it) = 31 to 312, central 98; low confidence; estimate until intake replaces it.</t>
  </si>
  <si>
    <t xml:space="preserve">26,000 sf;39,000 sf</t>
  </si>
  <si>
    <t xml:space="preserve">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</si>
  <si>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(https://www.elfcosmetics.com/, opened 2026-10-24); LinkedIn not opened</t>
  </si>
  <si>
    <t xml:space="preserve">Faire</t>
  </si>
  <si>
    <t xml:space="preserve">faire.com</t>
  </si>
  <si>
    <t xml:space="preserve">81</t>
  </si>
  <si>
    <t xml:space="preserve">42.0</t>
  </si>
  <si>
    <t xml:space="preserve">9; 12</t>
  </si>
  <si>
    <t xml:space="preserve">AO-C-044</t>
  </si>
  <si>
    <t xml:space="preserve">Alex</t>
  </si>
  <si>
    <t xml:space="preserve">Fujinaka</t>
  </si>
  <si>
    <t xml:space="preserve">https://galvanizeclimate.com/team</t>
  </si>
  <si>
    <t xml:space="preserve">find Alex Fujinaka at Galvanize Climate Solutions on LinkedIn and paste the profile URL into primary_linkedin_url; check Alex works from the New York office; adjacent title: ask who runs the pantry; Tuesday estimate band under-40: founder's call (set founder_ok_to_queue = Y to queue)</t>
  </si>
  <si>
    <t xml:space="preserve">Tuesday estimate 2 to 49 (low confidence), under 500 staff company-wide, on-site 5 days a week per its profile, signed-not-occupied at a medium-confidence address (hold: lease signed, move not confirmed)</t>
  </si>
  <si>
    <t xml:space="preserve">Alex Fujinaka</t>
  </si>
  <si>
    <t xml:space="preserve">ny_base=unconfirmed; title_fit=adjacent. Galvanize's own team page (opened 2026-10-24) lists 'Alex Fujinaka | Chief of Staff' and gives no city; Galvanize is headquartered in San Francisco.</t>
  </si>
  <si>
    <t xml:space="preserve">B-C-044</t>
  </si>
  <si>
    <t xml:space="preserve">https://galvanizeclimate.com</t>
  </si>
  <si>
    <t xml:space="preserve">climate investment</t>
  </si>
  <si>
    <t xml:space="preserve">https://www.builtinnyc.com/company/galvanize-climate-solutions</t>
  </si>
  <si>
    <t xml:space="preserve">https://www.linkedin.com/company/galvanizeclimatesolutions</t>
  </si>
  <si>
    <t xml:space="preserve">Built In workplace type: OnSite Workplace; typical time on-site: 5 days a week; recent job tags: 2 In-Office</t>
  </si>
  <si>
    <t xml:space="preserve">https://www.builtinnyc.com/company/galvanize-climate-solutions/offices</t>
  </si>
  <si>
    <t xml:space="preserve">73 (Built In) staff (whole-company count) x 5% to 100% of them in the New York office (HQ outside New York; share assumed) x 67% (Partnership for NYC, firms under 500) in on a weekday; 20,000 sf seats more than the whole company's in-office staff, so the space does not narrow the share in New York (largest square footage the sources mention at this address; if the company holds more space here, intake corrects it) = 2 to 49, central 10; low confidence; estimate until intake replaces it.</t>
  </si>
  <si>
    <t xml:space="preserve">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</si>
  <si>
    <t xml:space="preserve">linked from the company's own site (https://galvanizeclimate.com/, opened 2026-10-24); LinkedIn not opened</t>
  </si>
  <si>
    <t xml:space="preserve">Superhuman (formerly Grammarly)</t>
  </si>
  <si>
    <t xml:space="preserve">grammarly.com</t>
  </si>
  <si>
    <t xml:space="preserve">82</t>
  </si>
  <si>
    <t xml:space="preserve">one full floor (23,038 sf)</t>
  </si>
  <si>
    <t xml:space="preserve">AO-C-003</t>
  </si>
  <si>
    <t xml:space="preserve">Tuesday estimate 11 to 63 (low confidence), under 500 staff company-wide, on-site 5 days a week per its profile, occupancy-unconfirmed at a low-confidence address</t>
  </si>
  <si>
    <t xml:space="preserve">B-C-003</t>
  </si>
  <si>
    <t xml:space="preserve">nonprofit media (streaming and production)</t>
  </si>
  <si>
    <t xml:space="preserve">https://www.builtinnyc.com/company/first-look-media</t>
  </si>
  <si>
    <t xml:space="preserve">https://www.reveliolabs.com/companies/first-look-media/employees</t>
  </si>
  <si>
    <t xml:space="preserve">https://rebusinessonline.com/first-look-media-signs-7896-sf-office-lease-at-853-broadway-in-manhattan/</t>
  </si>
  <si>
    <t xml:space="preserve">2023-06-07</t>
  </si>
  <si>
    <t xml:space="preserve">https://www.builtinnyc.com/company/first-look-media/offices</t>
  </si>
  <si>
    <t xml:space="preserve">129 (Built In) and 32 (Revelio Labs) staff (whole-company count) x 50% to 100% of them in the New York office (HQ New York; share assumed) x 67% (Partnership for NYC, firms under 500) in on a weekday; capped by 7,896 sf at 125 sf per person (was 11 to 86) (largest square footage the sources mention at this address; if the company holds more space here, intake corrects it) = 11 to 63, central 26; low confidence; estimate until intake replaces it.</t>
  </si>
  <si>
    <t xml:space="preserve">7,896 sf</t>
  </si>
  <si>
    <t xml:space="preserve">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</si>
  <si>
    <t xml:space="preserve">e.l.f. Beauty</t>
  </si>
  <si>
    <t xml:space="preserve">elfcosmetics.com</t>
  </si>
  <si>
    <t xml:space="preserve">41.8</t>
  </si>
  <si>
    <t xml:space="preserve">16 West 22nd Street</t>
  </si>
  <si>
    <t xml:space="preserve">AO-C-217</t>
  </si>
  <si>
    <t xml:space="preserve">Tuesday estimate 26 to 513 (low confidence), 501 to 1,000 staff company-wide, on-site 5 days a week per its profile, occupancy-unconfirmed at a low-confidence address</t>
  </si>
  <si>
    <t xml:space="preserve">B-C-217</t>
  </si>
  <si>
    <t xml:space="preserve">https://www.airtable.com</t>
  </si>
  <si>
    <t xml:space="preserve">software (no-code database)</t>
  </si>
  <si>
    <t xml:space="preserve">900</t>
  </si>
  <si>
    <t xml:space="preserve">https://www.builtinnyc.com/company/airtable</t>
  </si>
  <si>
    <t xml:space="preserve">https://www.linkedin.com/company/airtable</t>
  </si>
  <si>
    <t xml:space="preserve">https://www.builtinnyc.com/company/airtable/offices</t>
  </si>
  <si>
    <t xml:space="preserve">Built In workplace type: OnSite Workplace; typical time on-site: 5 days a week; recent job tags: 3 Remote</t>
  </si>
  <si>
    <t xml:space="preserve">900 (Built In) staff (whole-company count) x 5% to 100% of them in the New York office (HQ outside New York; share assumed) x 57% (Partnership for NYC, all Manhattan firms; no figure for 500 to 4,999) in on a weekday = 26 to 513, central 115; low confidence; estimate until intake replaces it.</t>
  </si>
  <si>
    <t xml:space="preserve">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</si>
  <si>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(https://www.airtable.com/, opened 2026-10-24); LinkedIn not opened</t>
  </si>
  <si>
    <t xml:space="preserve">Galvanize Climate Solutions</t>
  </si>
  <si>
    <t xml:space="preserve">galvanizeclimate.com</t>
  </si>
  <si>
    <t xml:space="preserve">84</t>
  </si>
  <si>
    <t xml:space="preserve">41.6</t>
  </si>
  <si>
    <t xml:space="preserve">AO-C-180</t>
  </si>
  <si>
    <t xml:space="preserve">Dayneen</t>
  </si>
  <si>
    <t xml:space="preserve">Caldwell</t>
  </si>
  <si>
    <t xml:space="preserve">Chief People &amp; Culture Officer</t>
  </si>
  <si>
    <t xml:space="preserve">https://robinhood.org/about/staff/</t>
  </si>
  <si>
    <t xml:space="preserve">find Dayneen Caldwell at Robin Hood on LinkedIn and paste the profile URL into primary_linkedin_url; adjacent title: ask who runs the pantry; Tuesday estimate band 251-500: founder's call (set founder_ok_to_queue = Y to queue)</t>
  </si>
  <si>
    <t xml:space="preserve">adjacent contact named (Chief People &amp; Culture Officer)</t>
  </si>
  <si>
    <t xml:space="preserve">Iris</t>
  </si>
  <si>
    <t xml:space="preserve">Executive Assistant to the CEO</t>
  </si>
  <si>
    <t xml:space="preserve">https://theorg.com/org/robin-hood/person/iris-lee</t>
  </si>
  <si>
    <t xml:space="preserve">find Iris Lee at Robin Hood on LinkedIn and paste the profile URL into backup_linkedin_url (this also confirms the name: The Org is crowd-edited and marks it Unverified); the source is dated 2024-12-09: check Iris still holds the role; Tuesday estimate band 251-500: founder's call (set founder_ok_to_queue = Y to queue)</t>
  </si>
  <si>
    <t xml:space="preserve">contact in the target titles named (Executive Assistant to the CEO) (crowd-listed on The Org)</t>
  </si>
  <si>
    <t xml:space="preserve">Tuesday estimate 188 to 376 (low confidence), 501 to 1,000 staff company-wide, on-site 5 days a week per its profile, signed-not-occupied at a medium-confidence address (hold: lease signed, move not confirmed)</t>
  </si>
  <si>
    <t xml:space="preserve">Dayneen Caldwell</t>
  </si>
  <si>
    <t xml:space="preserve">ny_base=confirmed; title_fit=adjacent (people lead). Robin Hood's own staff page (opened 2026-10-24) lists 'Dayneen Caldwell | Chief People &amp; Culture Officer'; Robin Hood is a New York City foundation. (The Org lists a different person in that role; the employer's page wins.)</t>
  </si>
  <si>
    <t xml:space="preserve">Iris Lee</t>
  </si>
  <si>
    <t xml:space="preserve">2024-12-09</t>
  </si>
  <si>
    <t xml:space="preserve">ny_base=likely; title_fit=family (EA to the CEO). The Org position page (opened 2026-10-24, updated 2024-12-09), New York area.</t>
  </si>
  <si>
    <t xml:space="preserve">B-C-180</t>
  </si>
  <si>
    <t xml:space="preserve">https://www.robinhood.org</t>
  </si>
  <si>
    <t xml:space="preserve">nonprofit (anti-poverty philanthropy)</t>
  </si>
  <si>
    <t xml:space="preserve">659</t>
  </si>
  <si>
    <t xml:space="preserve">https://www.builtinnyc.com/company/robin-hood</t>
  </si>
  <si>
    <t xml:space="preserve">https://www.linkedin.com/company/robin-hood</t>
  </si>
  <si>
    <t xml:space="preserve">https://rebusinessonline.com/robin-hood-signs-53000-sf-office-lease-at-841-broadway-in-manhattan/</t>
  </si>
  <si>
    <t xml:space="preserve">2026-06-22</t>
  </si>
  <si>
    <t xml:space="preserve">https://commercialobserver.com/2026/04/nonprofit-robin-hood-lease-841-broadway/</t>
  </si>
  <si>
    <t xml:space="preserve">2026-04-08</t>
  </si>
  <si>
    <t xml:space="preserve">https://www.builtinnyc.com/company/robin-hood/offices</t>
  </si>
  <si>
    <t xml:space="preserve">659 (Built In) staff (whole-company count) x 50% to 100% of them in the New York office (HQ New York; share assumed) x 57% (Partnership for NYC, all Manhattan firms; no figure for 500 to 4,999) in on a weekday = 188 to 376, central 266; low confidence; estimate until intake replaces it.</t>
  </si>
  <si>
    <t xml:space="preserve">53,000 sf</t>
  </si>
  <si>
    <t xml:space="preserve">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</si>
  <si>
    <t xml:space="preserve">linked from the company's own site (https://robinhood.org/, opened 2026-10-24); LinkedIn not opened</t>
  </si>
  <si>
    <t xml:space="preserve">First Look Media</t>
  </si>
  <si>
    <t xml:space="preserve">85</t>
  </si>
  <si>
    <t xml:space="preserve">41.5</t>
  </si>
  <si>
    <t xml:space="preserve">AO-C-186</t>
  </si>
  <si>
    <t xml:space="preserve">Tuesday estimate 26 to 527 (low confidence), 501 to 1,000 staff company-wide, on-site 5 days a week per its profile, occupancy-unconfirmed at a low-confidence address</t>
  </si>
  <si>
    <t xml:space="preserve">B-C-186</t>
  </si>
  <si>
    <t xml:space="preserve">https://www.similarweb.com</t>
  </si>
  <si>
    <t xml:space="preserve">software (digital market data)</t>
  </si>
  <si>
    <t xml:space="preserve">925</t>
  </si>
  <si>
    <t xml:space="preserve">https://www.builtinnyc.com/company/similarweb</t>
  </si>
  <si>
    <t xml:space="preserve">https://www.linkedin.com/company/similarweb</t>
  </si>
  <si>
    <t xml:space="preserve">https://www.builtinnyc.com/company/similarweb/offices</t>
  </si>
  <si>
    <t xml:space="preserve">925 (Built In) staff (whole-company count) x 5% to 100% of them in the New York office (HQ city unknown; share assumed) x 57% (Partnership for NYC, all Manhattan firms; no figure for 500 to 4,999) in on a weekday = 26 to 527, central 117; low confidence; estimate until intake replaces it.</t>
  </si>
  <si>
    <t xml:space="preserve">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</si>
  <si>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(https://www.similarweb.com/, opened 2026-10-24); LinkedIn not opened</t>
  </si>
  <si>
    <t xml:space="preserve">Airtable</t>
  </si>
  <si>
    <t xml:space="preserve">airtable.com</t>
  </si>
  <si>
    <t xml:space="preserve">86</t>
  </si>
  <si>
    <t xml:space="preserve">41.4</t>
  </si>
  <si>
    <t xml:space="preserve">35 East 21st Street</t>
  </si>
  <si>
    <t xml:space="preserve">find Angelo Thalassinos at Collected Strategies on LinkedIn and paste the profile URL into primary_linkedin_url (this also confirms the name: The Org is crowd-edited and marks it Unverified); adjacent title: ask who runs the pantry</t>
  </si>
  <si>
    <t xml:space="preserve">adjacent contact named (Vice President, Legal &amp; Operations) (crowd-listed on The Org)</t>
  </si>
  <si>
    <t xml:space="preserve">Tuesday headcount unknown (no sourced count), company size unknown, no attendance signal, occupied at a high-confidence address</t>
  </si>
  <si>
    <t xml:space="preserve">Angelo Thalassinos</t>
  </si>
  <si>
    <t xml:space="preserve">2026-07-10</t>
  </si>
  <si>
    <t xml:space="preserve">ny_base=likely; title_fit=adjacent (operations lead). The Org position page (opened 2026-10-24, updated 2026-07-10), New York area.</t>
  </si>
  <si>
    <t xml:space="preserve">B-C-140</t>
  </si>
  <si>
    <t xml:space="preserve">no-count</t>
  </si>
  <si>
    <t xml:space="preserve">https://commercialobserver.com/2025/08/comms-firm-collected-strategies-takes-10k-sf-moinians-60-madison/</t>
  </si>
  <si>
    <t xml:space="preserve">2025-08-07</t>
  </si>
  <si>
    <t xml:space="preserve">https://www.collectedstrategies.com/</t>
  </si>
  <si>
    <t xml:space="preserve">No sourced headcount, so no Tuesday estimate; ask the Tuesday count at intake.</t>
  </si>
  <si>
    <t xml:space="preserve">CO 2025-08: 10,000 SF partial 10th floor, doubling its footprint, moving from 121 East 24th Street. Homepage lists 60 Madison Ave, 10th Floor. Headcount not found.</t>
  </si>
  <si>
    <t xml:space="preserve">linked from the company's own site (https://www.collectedstrategies.com/, opened 2026-10-24); LinkedIn not opened</t>
  </si>
  <si>
    <t xml:space="preserve">Robin Hood</t>
  </si>
  <si>
    <t xml:space="preserve">robinhood.org</t>
  </si>
  <si>
    <t xml:space="preserve">87</t>
  </si>
  <si>
    <t xml:space="preserve">41.3</t>
  </si>
  <si>
    <t xml:space="preserve">5-8</t>
  </si>
  <si>
    <t xml:space="preserve">find Michelle Johnson at Community Healthcare Network (administrative offices) on LinkedIn and paste the profile URL into primary_linkedin_url (this also confirms the name: The Org is crowd-edited and marks it Unverified); adjacent title: ask who runs the pantry</t>
  </si>
  <si>
    <t xml:space="preserve">Michelle Johnson</t>
  </si>
  <si>
    <t xml:space="preserve">2026-09-04</t>
  </si>
  <si>
    <t xml:space="preserve">ny_base=likely; title_fit=adjacent (people lead). The Org position page (opened 2026-10-24, updated 2026-09-04), New York area.</t>
  </si>
  <si>
    <t xml:space="preserve">B-C-163</t>
  </si>
  <si>
    <t xml:space="preserve">B-B-075</t>
  </si>
  <si>
    <t xml:space="preserve">44 West 28th Street (Stellar Management)</t>
  </si>
  <si>
    <t xml:space="preserve">https://commercialobserver.com/2025/02/community-healthcare-network-lease-44-west-28th-street/</t>
  </si>
  <si>
    <t xml:space="preserve">2025-02-04</t>
  </si>
  <si>
    <t xml:space="preserve">https://www.chnnyc.org/contact/</t>
  </si>
  <si>
    <t xml:space="preserve">12,083 sf</t>
  </si>
  <si>
    <t xml:space="preserve">10-year 12,083 SF lease on full 5th floor for administrative offices (not a clinic), per CO 2025-02-04. CHN contact page lists Admin Office Address 44 W 28th Street, 5th Floor. Headcount not found.</t>
  </si>
  <si>
    <t xml:space="preserve">linked from the company's own site (https://www.chnnyc.org/, opened 2026-10-24); LinkedIn not opened</t>
  </si>
  <si>
    <t xml:space="preserve">Similarweb</t>
  </si>
  <si>
    <t xml:space="preserve">similarweb.com</t>
  </si>
  <si>
    <t xml:space="preserve">88</t>
  </si>
  <si>
    <t xml:space="preserve">41.2</t>
  </si>
  <si>
    <t xml:space="preserve">50 West 17th Street</t>
  </si>
  <si>
    <t xml:space="preserve">AO-C-252</t>
  </si>
  <si>
    <t xml:space="preserve">Tuesday estimate 92 to 184 (low confidence), 5,000+ staff company-wide, no attendance signal, occupancy-unconfirmed at a high-confidence address</t>
  </si>
  <si>
    <t xml:space="preserve">B-C-252</t>
  </si>
  <si>
    <t xml:space="preserve">https://www.marriott.com/</t>
  </si>
  <si>
    <t xml:space="preserve">Hospitality (corporate office)</t>
  </si>
  <si>
    <t xml:space="preserve">418000</t>
  </si>
  <si>
    <t xml:space="preserve">https://en.wikipedia.org/wiki/Marriott_International</t>
  </si>
  <si>
    <t xml:space="preserve">https://www.linkedin.com/company/marriott-international</t>
  </si>
  <si>
    <t xml:space="preserve">https://commercialobserver.com/2026/09/rogo-technologies-360-park-avenue-south-lease-expansion/</t>
  </si>
  <si>
    <t xml:space="preserve">2026-09-22</t>
  </si>
  <si>
    <t xml:space="preserve">418000 (Wikipedia) staff (whole-company count) x 5% to 100% of them in the New York office (HQ city unknown; share assumed) x 46% (Partnership for NYC, firms over 5,000) in on a weekday; space-based for a company headquartered outside New York: 23,000 sf seats 92 to 184 at 250 to 125 sf per person, kept within the headcount math (9614 to 192280) (largest square footage the sources mention at this address; if the company holds more space here, intake corrects it) = 92 to 184, central 130; low confidence; estimate until intake replaces it.</t>
  </si>
  <si>
    <t xml:space="preserve">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</si>
  <si>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Org's company record (https://theorg.com/org/marriott-international, opened 2026-10-24); LinkedIn not opened</t>
  </si>
  <si>
    <t xml:space="preserve">Marriott International (Luxury Group NYC office)</t>
  </si>
  <si>
    <t xml:space="preserve">marriott.com</t>
  </si>
  <si>
    <t xml:space="preserve">AO-C-042</t>
  </si>
  <si>
    <t xml:space="preserve">Tuesday estimate 22 to 60 (low confidence), under 500 staff company-wide, hybrid (days not stated) with Tuesday named as an office day, occupancy-unconfirmed at a low-confidence address</t>
  </si>
  <si>
    <t xml:space="preserve">B-C-042</t>
  </si>
  <si>
    <t xml:space="preserve">https://vidmob.com</t>
  </si>
  <si>
    <t xml:space="preserve">software (creative analytics, adtech)</t>
  </si>
  <si>
    <t xml:space="preserve">https://www.builtinnyc.com/company/vidmob</t>
  </si>
  <si>
    <t xml:space="preserve">https://www.reveliolabs.com/companies/vidmob/employees</t>
  </si>
  <si>
    <t xml:space="preserve">https://www.linkedin.com/company/vidmob</t>
  </si>
  <si>
    <t xml:space="preserve">Built In workplace type: Hybrid Workplace; typical time on-site: Flexible; recent job tags: 1 Hybrid, 1 Remote</t>
  </si>
  <si>
    <t xml:space="preserve">https://www.builtinnyc.com/company/vidmob/offices</t>
  </si>
  <si>
    <t xml:space="preserve">67 (Built In) and 90 (Revelio Labs) staff (whole-company count) x 50% to 100% of them in the New York office (HQ New York; share assumed) x 67% (Partnership for NYC, firms under 500) in on a weekday = 22 to 60, central 36; low confidence; estimate until intake replaces it.</t>
  </si>
  <si>
    <t xml:space="preserve">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</si>
  <si>
    <t xml:space="preserve">linked from the company's own site (https://vidmob.com/, opened 2026-10-24); LinkedIn not opened</t>
  </si>
  <si>
    <t xml:space="preserve">VidMob</t>
  </si>
  <si>
    <t xml:space="preserve">vidmob.com</t>
  </si>
  <si>
    <t xml:space="preserve">92</t>
  </si>
  <si>
    <t xml:space="preserve">40.1</t>
  </si>
  <si>
    <t xml:space="preserve">AO-C-090</t>
  </si>
  <si>
    <t xml:space="preserve">Tuesday estimate 67 to 80 (low confidence), under 500 staff company-wide, remote-first signal, occupancy-unconfirmed at a low-confidence address</t>
  </si>
  <si>
    <t xml:space="preserve">B-C-090</t>
  </si>
  <si>
    <t xml:space="preserve">https://www.hungryroot.com</t>
  </si>
  <si>
    <t xml:space="preserve">food delivery (grocery and meal kits)</t>
  </si>
  <si>
    <t xml:space="preserve">326</t>
  </si>
  <si>
    <t xml:space="preserve">https://www.builtinnyc.com/company/hungryroot</t>
  </si>
  <si>
    <t xml:space="preserve">https://www.reveliolabs.com/companies/hungryroot/employees</t>
  </si>
  <si>
    <t xml:space="preserve">https://www.linkedin.com/company/hungryroot</t>
  </si>
  <si>
    <t xml:space="preserve">B-B-043</t>
  </si>
  <si>
    <t xml:space="preserve">7 West 22nd Street</t>
  </si>
  <si>
    <t xml:space="preserve">https://commercialobserver.com/2019/11/hungryroot-lease-7-west-22nd-street/</t>
  </si>
  <si>
    <t xml:space="preserve">2019-11-25</t>
  </si>
  <si>
    <t xml:space="preserve">Built In workplace type: Remote Workplace; recent job tags: 3 Remote</t>
  </si>
  <si>
    <t xml:space="preserve">https://www.builtinnyc.com/company/hungryroot/offices</t>
  </si>
  <si>
    <t xml:space="preserve">200 (Built In) and 326 (Revelio Labs) staff (whole-company count) x 50% to 100% of them in the New York office (HQ New York; share assumed) x 67% (Partnership for NYC, firms under 500) in on a weekday; capped by 10,000 sf at 125 sf per person (was 67 to 218); central capped at 10,000 sf / 150 sf per person (largest square footage the sources mention at this address; if the company holds more space here, intake corrects it) = 67 to 80, central 67; low confidence; estimate until intake replaces it.</t>
  </si>
  <si>
    <t xml:space="preserve">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</si>
  <si>
    <t xml:space="preserve">linked from The Org's company record (https://theorg.com/org/hungryroot, opened 2026-10-24); LinkedIn not opened</t>
  </si>
  <si>
    <t xml:space="preserve">Hungryroot</t>
  </si>
  <si>
    <t xml:space="preserve">hungryroot.com</t>
  </si>
  <si>
    <t xml:space="preserve">40.0</t>
  </si>
  <si>
    <t xml:space="preserve">AO-C-153</t>
  </si>
  <si>
    <t xml:space="preserve">Tuesday estimate 24 to 47 (low confidence), 501 to 1,000 staff company-wide, on-site 5 days a week per its profile, occupied at a medium-confidence address</t>
  </si>
  <si>
    <t xml:space="preserve">B-C-153</t>
  </si>
  <si>
    <t xml:space="preserve">https://www.seedtag.com</t>
  </si>
  <si>
    <t xml:space="preserve">adtech (contextual advertising)</t>
  </si>
  <si>
    <t xml:space="preserve">819</t>
  </si>
  <si>
    <t xml:space="preserve">446</t>
  </si>
  <si>
    <t xml:space="preserve">https://www.reveliolabs.com/companies/seedtag-advertising/employees</t>
  </si>
  <si>
    <t xml:space="preserve">https://www.builtinnyc.com/company/seedtag/offices</t>
  </si>
  <si>
    <t xml:space="preserve">Madrid</t>
  </si>
  <si>
    <t xml:space="preserve">https://www.linkedin.com/company/seedtag</t>
  </si>
  <si>
    <t xml:space="preserve">B-B-070</t>
  </si>
  <si>
    <t xml:space="preserve">15 West 27th Street (Kaufman Organization)</t>
  </si>
  <si>
    <t xml:space="preserve">https://www.seedtag.com/contact</t>
  </si>
  <si>
    <t xml:space="preserve">https://commercialobserver.com/2023/03/kaufman-organization-seedtag-advertising-15-west-27th-street/</t>
  </si>
  <si>
    <t xml:space="preserve">2023-03-28</t>
  </si>
  <si>
    <t xml:space="preserve">819 (Revelio Labs) and 446 (Built In) staff (whole-company count) x 5% to 100% of them in the New York office (HQ outside New York; share assumed) x 57% (Partnership for NYC, all Manhattan firms; no figure for 500 to 4,999) in on a weekday; space-based for a company headquartered outside New York: 5,909 sf seats 24 to 47 at 250 to 125 sf per person, kept within the headcount math (13 to 467) (largest square footage the sources mention at this address; if the company holds more space here, intake corrects it) = 24 to 47, central 34; low confidence; estimate until intake replaces it.</t>
  </si>
  <si>
    <t xml:space="preserve">5,909 sf</t>
  </si>
  <si>
    <t xml:space="preserve">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</si>
  <si>
    <t xml:space="preserve">linked from the company's own site (https://www.seedtag.com/, opened 2026-10-24); LinkedIn not opened</t>
  </si>
  <si>
    <t xml:space="preserve">Seedtag</t>
  </si>
  <si>
    <t xml:space="preserve">seedtag.com</t>
  </si>
  <si>
    <t xml:space="preserve">15 West 27th Street</t>
  </si>
  <si>
    <t xml:space="preserve">find Amy Vezzetti at Ro on LinkedIn and paste the profile URL into primary_linkedin_url (this also confirms the name: The Org is crowd-edited and marks it Unverified); adjacent title: ask who runs the pantry</t>
  </si>
  <si>
    <t xml:space="preserve">find Emily Brourman at Ro on LinkedIn and paste the profile URL into backup_linkedin_url (this also confirms the name: The Org is crowd-edited and marks it Unverified); the source is dated 2023-03-30: check Emily still holds the role; adjacent title: ask who runs the pantry</t>
  </si>
  <si>
    <t xml:space="preserve">adjacent contact named (Senior Executive Assistant to Co-Founder/CEO and CFO) (crowd-listed on The Org)</t>
  </si>
  <si>
    <t xml:space="preserve">Tuesday estimate 235 to 281 (low confidence), 501 to 1,000 staff company-wide, hybrid 2 days or fewer, occupied at a high-confidence address</t>
  </si>
  <si>
    <t xml:space="preserve">Amy Vezzetti</t>
  </si>
  <si>
    <t xml:space="preserve">B-C-200</t>
  </si>
  <si>
    <t xml:space="preserve">https://www.builtinnyc.com/company/ro</t>
  </si>
  <si>
    <t xml:space="preserve">https://www.builtinnyc.com/company/ro/offices</t>
  </si>
  <si>
    <t xml:space="preserve">Built In workplace type: Hybrid Workplace; typical time on-site: 2 days a week</t>
  </si>
  <si>
    <t xml:space="preserve">824 (Built In) staff (whole-company count) x 50% to 100% of them in the New York office (HQ New York; share assumed) x 57% (Partnership for NYC, all Manhattan firms; no figure for 500 to 4,999) in on a weekday; capped by 35,156 sf at 125 sf per person (was 235 to 470); central capped at 35,156 sf / 150 sf per person (largest square footage the sources mention at this address; if the company holds more space here, intake corrects it) = 235 to 281, central 235; low confidence; estimate until intake replaces it.</t>
  </si>
  <si>
    <t xml:space="preserve">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</si>
  <si>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linked from The Org's company record (https://theorg.com/org/ro, opened 2026-10-24); LinkedIn not opened</t>
  </si>
  <si>
    <t xml:space="preserve">AO-C-224</t>
  </si>
  <si>
    <t xml:space="preserve">Trustpilot</t>
  </si>
  <si>
    <t xml:space="preserve">https://www.trustpilot.com/</t>
  </si>
  <si>
    <t xml:space="preserve">trustpilot.com</t>
  </si>
  <si>
    <t xml:space="preserve">39.3</t>
  </si>
  <si>
    <t xml:space="preserve">Consumer review platform</t>
  </si>
  <si>
    <t xml:space="preserve">950</t>
  </si>
  <si>
    <t xml:space="preserve">https://www.linkedin.com/company/trustpilot</t>
  </si>
  <si>
    <t xml:space="preserve">Tuesday estimate 27 to 542 (low confidence), 501 to 1,000 staff company-wide, hybrid 2 days or fewer, occupied at a medium-confidence address</t>
  </si>
  <si>
    <t xml:space="preserve">B-C-224</t>
  </si>
  <si>
    <t xml:space="preserve">https://www.builtinnyc.com/company/trustpilot/offices</t>
  </si>
  <si>
    <t xml:space="preserve">950 (Built In) staff (whole-company count) x 5% to 100% of them in the New York office (HQ city unknown; share assumed) x 57% (Partnership for NYC, all Manhattan firms; no figure for 500 to 4,999) in on a weekday = 27 to 542, central 121; low confidence; estimate until intake replaces it.</t>
  </si>
  <si>
    <t xml:space="preserve">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</si>
  <si>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Org's company record (https://theorg.com/org/trustpilot, opened 2026-10-24); LinkedIn not opened</t>
  </si>
  <si>
    <t xml:space="preserve">AO-C-249</t>
  </si>
  <si>
    <t xml:space="preserve">Persona</t>
  </si>
  <si>
    <t xml:space="preserve">https://withpersona.com/</t>
  </si>
  <si>
    <t xml:space="preserve">withpersona.com</t>
  </si>
  <si>
    <t xml:space="preserve">97</t>
  </si>
  <si>
    <t xml:space="preserve">41 West 25th Street</t>
  </si>
  <si>
    <t xml:space="preserve">Software (identity verification)</t>
  </si>
  <si>
    <t xml:space="preserve">https://www.linkedin.com/company/persona-identities</t>
  </si>
  <si>
    <t xml:space="preserve">Tuesday estimate 17 to 342 (low confidence), 501 to 1,000 staff company-wide, hybrid 3 days with Tuesday named as an office day, occupancy-unconfirmed at a low-confidence address</t>
  </si>
  <si>
    <t xml:space="preserve">B-C-249</t>
  </si>
  <si>
    <t xml:space="preserve">https://www.builtinnyc.com/company/persona/offices</t>
  </si>
  <si>
    <t xml:space="preserve">Built In workplace type: Hybrid Workplace; typical time on-site: 3 days a week; recent job tags: 1 Hybrid, 1 Remote, 1 In-Office</t>
  </si>
  <si>
    <t xml:space="preserve">600 (Built In) staff (whole-company count) x 5% to 100% of them in the New York office (HQ outside New York; share assumed) x 57% (Partnership for NYC, all Manhattan firms; no figure for 500 to 4,999) in on a weekday = 17 to 342, central 76; low confidence; estimate until intake replaces it.</t>
  </si>
  <si>
    <t xml:space="preserve">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</si>
  <si>
    <t xml:space="preserve">linked from The Org's company record (https://theorg.com/org/withpersona, opened 2026-10-24); LinkedIn not opened</t>
  </si>
  <si>
    <t xml:space="preserve">AO-C-099</t>
  </si>
  <si>
    <t xml:space="preserve">Chalk</t>
  </si>
  <si>
    <t xml:space="preserve">https://chalk.ai/</t>
  </si>
  <si>
    <t xml:space="preserve">chalk.ai</t>
  </si>
  <si>
    <t xml:space="preserve">98</t>
  </si>
  <si>
    <t xml:space="preserve">39.2</t>
  </si>
  <si>
    <t xml:space="preserve">43 West 23rd Street</t>
  </si>
  <si>
    <t xml:space="preserve">Software (data platform for AI)</t>
  </si>
  <si>
    <t xml:space="preserve">https://www.linkedin.com/company/chalkai</t>
  </si>
  <si>
    <t xml:space="preserve">Tuesday estimate 1 to 84 (low confidence), under 500 staff company-wide, on-site 5 days a week per its profile, signed-not-occupied at a medium-confidence address (hold: lease signed, move not confirmed)</t>
  </si>
  <si>
    <t xml:space="preserve">B-C-099</t>
  </si>
  <si>
    <t xml:space="preserve">126</t>
  </si>
  <si>
    <t xml:space="preserve">https://www.builtinnyc.com/company/chalk/offices</t>
  </si>
  <si>
    <t xml:space="preserve">https://www.reveliolabs.com/companies/chalk-ai/employees</t>
  </si>
  <si>
    <t xml:space="preserve">B-B-049</t>
  </si>
  <si>
    <t xml:space="preserve">43 West 23rd Street (Castro Properties)</t>
  </si>
  <si>
    <t xml:space="preserve">https://commercialobserver.com/2026/07/chalk-ai-lease-flatiron-43-west-23rd-street/</t>
  </si>
  <si>
    <t xml:space="preserve">2026-07</t>
  </si>
  <si>
    <t xml:space="preserve">40 (Built In) and 126 (Revelio Labs) staff (whole-company count) x 5% to 100% of them in the New York office (HQ outside New York; share assumed) x 67% (Partnership for NYC, firms under 500) in on a weekday; 26,607 sf seats more than the whole company's in-office staff, so the space does not narrow the share in New York (largest square footage the sources mention at this address; if the company holds more space here, intake corrects it) = 1 to 84, central 9; low confidence; estimate until intake replaces it.</t>
  </si>
  <si>
    <t xml:space="preserve">26,607 sf</t>
  </si>
  <si>
    <t xml:space="preserve">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</si>
  <si>
    <t xml:space="preserve">linked from the company's own site (https://chalk.ai/, opened 2026-10-24); LinkedIn not opened</t>
  </si>
  <si>
    <t xml:space="preserve">AO-C-084</t>
  </si>
  <si>
    <t xml:space="preserve">Synthesia</t>
  </si>
  <si>
    <t xml:space="preserve">https://www.synthesia.io</t>
  </si>
  <si>
    <t xml:space="preserve">synthesia.io</t>
  </si>
  <si>
    <t xml:space="preserve">39.1</t>
  </si>
  <si>
    <t xml:space="preserve">software (AI video)</t>
  </si>
  <si>
    <t xml:space="preserve">774</t>
  </si>
  <si>
    <t xml:space="preserve">https://www.linkedin.com/company/synthesia-technologies</t>
  </si>
  <si>
    <t xml:space="preserve">Tuesday estimate 12 to 400 (low confidence), 501 to 1,000 staff company-wide, on-site 5 days a week per its profile, signed-not-occupied at a medium-confidence address (hold: lease signed, move not confirmed)</t>
  </si>
  <si>
    <t xml:space="preserve">B-C-084</t>
  </si>
  <si>
    <t xml:space="preserve">428</t>
  </si>
  <si>
    <t xml:space="preserve">https://www.reveliolabs.com/companies/synthesia/employees</t>
  </si>
  <si>
    <t xml:space="preserve">https://www.builtinnyc.com/company/synthesia</t>
  </si>
  <si>
    <t xml:space="preserve">https://commercialobserver.com/2026/10/synthesia-lease-gfp-675-avenue-of-the-americas/</t>
  </si>
  <si>
    <t xml:space="preserve">2026-10-08</t>
  </si>
  <si>
    <t xml:space="preserve">https://www.builtinnyc.com/company/synthesia/offices</t>
  </si>
  <si>
    <t xml:space="preserve">774 (Revelio Labs) and 428 (Built In) staff (whole-company count) x 5% to 100% of them in the New York office (HQ outside New York; share assumed) x 57% (Partnership for NYC, all Manhattan firms; no figure for 500 to 4,999) in on a weekday; capped by 50,000 sf at 125 sf per person (was 12 to 441) (largest square footage the sources mention at this address; if the company holds more space here, intake corrects it) = 12 to 400, central 69; low confidence; estimate until intake replaces it.</t>
  </si>
  <si>
    <t xml:space="preserve">50,000 sf;13,600 sf;6,490 sf</t>
  </si>
  <si>
    <t xml:space="preserve">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</si>
  <si>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linked from the company's own site (https://www.synthesia.io/, opened 2026-10-24); LinkedIn not opened</t>
  </si>
  <si>
    <t xml:space="preserve">AO-C-218</t>
  </si>
  <si>
    <t xml:space="preserve">M&amp;C Saatchi Group (New York)</t>
  </si>
  <si>
    <t xml:space="preserve">https://www.mcsaatchi.com/</t>
  </si>
  <si>
    <t xml:space="preserve">mcsaatchi.com</t>
  </si>
  <si>
    <t xml:space="preserve">100</t>
  </si>
  <si>
    <t xml:space="preserve">39.0</t>
  </si>
  <si>
    <t xml:space="preserve">Advertising / creative agency</t>
  </si>
  <si>
    <t xml:space="preserve">2003</t>
  </si>
  <si>
    <t xml:space="preserve">https://www.linkedin.com/company/53438743</t>
  </si>
  <si>
    <t xml:space="preserve">Tuesday estimate 57 to 104 (low confidence), 1,001 to 4,999 staff company-wide, hybrid (days not stated), occupancy-unconfirmed at a low-confidence address</t>
  </si>
  <si>
    <t xml:space="preserve">B-C-218</t>
  </si>
  <si>
    <t xml:space="preserve">https://en.wikipedia.org/wiki/M%26C_Saatchi</t>
  </si>
  <si>
    <t xml:space="preserve">https://www.builtinnyc.com/company/m-c-saatchi-group/offices</t>
  </si>
  <si>
    <t xml:space="preserve">https://flatironnomad.nyc/2024/01/03/december-news-roundup-4/</t>
  </si>
  <si>
    <t xml:space="preserve">2024-01-03</t>
  </si>
  <si>
    <t xml:space="preserve">Built In workplace type: Hybrid Workplace; typical time on-site: None; recent job tags: 2 Hybrid, 1 In-Office</t>
  </si>
  <si>
    <t xml:space="preserve">2003 (Wikipedia) staff (whole-company count) x 5% to 100% of them in the New York office (HQ city unknown; share assumed) x 57% (Partnership for NYC, all Manhattan firms; no figure for 500 to 4,999) in on a weekday; space-based for a company headquartered outside New York: 13,000 sf seats 52 to 104 at 250 to 125 sf per person, kept within the headcount math (57 to 1142) (largest square footage the sources mention at this address; if the company holds more space here, intake corrects it) = 57 to 104, central 77; low confidence; estimate until intake replaces it.</t>
  </si>
  <si>
    <t xml:space="preserve">13,000 sf</t>
  </si>
  <si>
    <t xml:space="preserve">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</si>
  <si>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(https://mcsaatchi.com/, opened 2026-10-24); LinkedIn not opened</t>
  </si>
  <si>
    <t xml:space="preserve">AO-C-094</t>
  </si>
  <si>
    <t xml:space="preserve">BMF (We Are BMF)</t>
  </si>
  <si>
    <t xml:space="preserve">https://wearebmf.com/</t>
  </si>
  <si>
    <t xml:space="preserve">wearebmf.com</t>
  </si>
  <si>
    <t xml:space="preserve">101</t>
  </si>
  <si>
    <t xml:space="preserve">38.6</t>
  </si>
  <si>
    <t xml:space="preserve">Marketing / experiential agency</t>
  </si>
  <si>
    <t xml:space="preserve">https://www.linkedin.com/company/wearebmf</t>
  </si>
  <si>
    <t xml:space="preserve">Tuesday estimate 23 to 47 (low confidence), under 500 staff company-wide, hybrid 2 days or fewer, occupied at a medium-confidence address</t>
  </si>
  <si>
    <t xml:space="preserve">B-C-094</t>
  </si>
  <si>
    <t xml:space="preserve">https://www.builtinnyc.com/company/bmf/offices</t>
  </si>
  <si>
    <t xml:space="preserve">https://commercialobserver.com/?p=544473</t>
  </si>
  <si>
    <t xml:space="preserve">2025-09-09</t>
  </si>
  <si>
    <t xml:space="preserve">70 (Built In) staff (whole-company count) x 50% to 100% of them in the New York office (HQ New York; share assumed) x 67% (Partnership for NYC, firms under 500) in on a weekday = 23 to 47, central 33; low confidence; estimate until intake replaces it.</t>
  </si>
  <si>
    <t xml:space="preserve">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</si>
  <si>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company's own site (https://wearebmf.com/, opened 2026-10-24); LinkedIn not opened</t>
  </si>
  <si>
    <t xml:space="preserve">AO-C-225</t>
  </si>
  <si>
    <t xml:space="preserve">Ramp</t>
  </si>
  <si>
    <t xml:space="preserve">https://ramp.com/</t>
  </si>
  <si>
    <t xml:space="preserve">ramp.com</t>
  </si>
  <si>
    <t xml:space="preserve">102</t>
  </si>
  <si>
    <t xml:space="preserve">38.3</t>
  </si>
  <si>
    <t xml:space="preserve">28 West 23rd Street</t>
  </si>
  <si>
    <t xml:space="preserve">multiple (285,300 sf)</t>
  </si>
  <si>
    <t xml:space="preserve">Fintech (corporate cards and spend)</t>
  </si>
  <si>
    <t xml:space="preserve">https://www.linkedin.com/company/ramp</t>
  </si>
  <si>
    <t xml:space="preserve">Tuesday estimate 34 to 684 (low confidence), 1,001 to 4,999 staff company-wide, no attendance signal, occupied at a high-confidence address</t>
  </si>
  <si>
    <t xml:space="preserve">B-C-225</t>
  </si>
  <si>
    <t xml:space="preserve">https://en.wikipedia.org/wiki/Ramp_(company)</t>
  </si>
  <si>
    <t xml:space="preserve">https://commercialobserver.com/2026/04/manhattan-office-leasing-2026-class-a/</t>
  </si>
  <si>
    <t xml:space="preserve">2026-04</t>
  </si>
  <si>
    <t xml:space="preserve">1200 (Wikipedia) staff (whole-company count) x 5% to 100% of them in the New York office (HQ city unknown; share assumed) x 57% (Partnership for NYC, all Manhattan firms; no figure for 500 to 4,999) in on a weekday; 285,303 sf seats more than the whole company's in-office staff, so the space does not narrow the share in New York (largest square footage the sources mention at this address; if the company holds more space here, intake corrects it) = 34 to 684, central 152; low confidence; estimate until intake replaces it.</t>
  </si>
  <si>
    <t xml:space="preserve">285,303 sf</t>
  </si>
  <si>
    <t xml:space="preserve">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</si>
  <si>
    <t xml:space="preserve">linked from the company's own site (https://ramp.com/, opened 2026-10-24); LinkedIn not opened</t>
  </si>
  <si>
    <t xml:space="preserve">AO-C-270</t>
  </si>
  <si>
    <t xml:space="preserve">The Knot Worldwide</t>
  </si>
  <si>
    <t xml:space="preserve">103</t>
  </si>
  <si>
    <t xml:space="preserve">38.0</t>
  </si>
  <si>
    <t xml:space="preserve">295 Fifth Avenue</t>
  </si>
  <si>
    <t xml:space="preserve">consumer internet (wedding and event planning)</t>
  </si>
  <si>
    <t xml:space="preserve">1933</t>
  </si>
  <si>
    <t xml:space="preserve">Tuesday estimate 124 to 248 (low confidence), 1,001 to 4,999 staff company-wide, no attendance signal, signed-not-occupied at a medium-confidence address (hold: lease signed, move not confirmed)</t>
  </si>
  <si>
    <t xml:space="preserve">B-C-270</t>
  </si>
  <si>
    <t xml:space="preserve">https://www.builtinnyc.com/company/the-knot-worldwide/offices</t>
  </si>
  <si>
    <t xml:space="preserve">B-B-082</t>
  </si>
  <si>
    <t xml:space="preserve">Textile Building, 295 Fifth Avenue (Tribeca Investment Group, PGIM Real Estate, Meadow Partners)</t>
  </si>
  <si>
    <t xml:space="preserve">https://commercialobserver.com/2025/11/the-knot-settle-down-295-fifth-avenue/</t>
  </si>
  <si>
    <t xml:space="preserve">2025-11-07</t>
  </si>
  <si>
    <t xml:space="preserve">1933 (Built In) staff (whole-company count) x 50% to 100% of them in the New York office (HQ New York; share assumed) x 57% (Partnership for NYC, all Manhattan firms; no figure for 500 to 4,999) in on a weekday; the headcount math (551 to 1102) is more than 31,000 sf can seat, so the range comes from the space: 124 to 248 at 250 to 125 sf per person (largest square footage the sources mention at this address; if the company holds more space here, intake corrects it) = 124 to 248, central 175; low confidence; estimate until intake replaces it.</t>
  </si>
  <si>
    <t xml:space="preserve">24,000 sf;31,000 sf</t>
  </si>
  <si>
    <t xml:space="preserve">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</si>
  <si>
    <t xml:space="preserve">AO-C-190</t>
  </si>
  <si>
    <t xml:space="preserve">U.S. News &amp; World Report</t>
  </si>
  <si>
    <t xml:space="preserve">104</t>
  </si>
  <si>
    <t xml:space="preserve">120 Fifth Avenue</t>
  </si>
  <si>
    <t xml:space="preserve">media and rankings</t>
  </si>
  <si>
    <t xml:space="preserve">moving out of this address: confirm where the office will be before outreach (B)</t>
  </si>
  <si>
    <t xml:space="preserve">Tuesday estimate 41 to 82 (low confidence), 501 to 1,000 staff company-wide, hybrid (days not stated), moving-out at a low-confidence address (hold: moving out of this address)</t>
  </si>
  <si>
    <t xml:space="preserve">B-C-190</t>
  </si>
  <si>
    <t xml:space="preserve">https://www.builtinnyc.com/company/us-news-world-report</t>
  </si>
  <si>
    <t xml:space="preserve">Washington</t>
  </si>
  <si>
    <t xml:space="preserve">B-B-010</t>
  </si>
  <si>
    <t xml:space="preserve">https://commercialobserver.com/2026/10/eagle-ai-lease-office-120-fifth-avenue/</t>
  </si>
  <si>
    <t xml:space="preserve">2026-10-19</t>
  </si>
  <si>
    <t xml:space="preserve">https://www.builtinnyc.com/company/us-news-world-report/offices</t>
  </si>
  <si>
    <t xml:space="preserve">542 (Built In) staff (whole-company count) x 5% to 100% of them in the New York office (HQ outside New York; share assumed) x 57% (Partnership for NYC, all Manhattan firms; no figure for 500 to 4,999) in on a weekday; space-based for a company headquartered outside New York: 10,236 sf seats 41 to 82 at 250 to 125 sf per person, kept within the headcount math (15 to 309) (largest square footage the sources mention at this address; if the company holds more space here, intake corrects it) = 41 to 82, central 58; low confidence; estimate until intake replaces it.</t>
  </si>
  <si>
    <t xml:space="preserve">10,236 sf</t>
  </si>
  <si>
    <t xml:space="preserve">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</si>
  <si>
    <t xml:space="preserve">AO-C-255</t>
  </si>
  <si>
    <t xml:space="preserve">Vercel</t>
  </si>
  <si>
    <t xml:space="preserve">https://vercel.com/</t>
  </si>
  <si>
    <t xml:space="preserve">vercel.com</t>
  </si>
  <si>
    <t xml:space="preserve">105</t>
  </si>
  <si>
    <t xml:space="preserve">37.4</t>
  </si>
  <si>
    <t xml:space="preserve">9 plus expansion (46,076 sf)</t>
  </si>
  <si>
    <t xml:space="preserve">Software (web development platform)</t>
  </si>
  <si>
    <t xml:space="preserve">550</t>
  </si>
  <si>
    <t xml:space="preserve">https://www.linkedin.com/company/vercel</t>
  </si>
  <si>
    <t xml:space="preserve">Tuesday estimate 16 to 314 (low confidence), 501 to 1,000 staff company-wide, no attendance signal, occupancy-unconfirmed at a high-confidence address</t>
  </si>
  <si>
    <t xml:space="preserve">B-C-255</t>
  </si>
  <si>
    <t xml:space="preserve">https://en.wikipedia.org/wiki/Vercel</t>
  </si>
  <si>
    <t xml:space="preserve">550 (Wikipedia) staff (whole-company count) x 5% to 100% of them in the New York office (HQ city unknown; share assumed) x 57% (Partnership for NYC, all Manhattan firms; no figure for 500 to 4,999) in on a weekday = 16 to 314, central 71; low confidence; estimate until intake replaces it.</t>
  </si>
  <si>
    <t xml:space="preserve">23,000 sf;46,076 sf</t>
  </si>
  <si>
    <t xml:space="preserve">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</si>
  <si>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(https://vercel.com/, opened 2026-10-24); LinkedIn not opened</t>
  </si>
  <si>
    <t xml:space="preserve">AO-C-027</t>
  </si>
  <si>
    <t xml:space="preserve">Selldorf Architects</t>
  </si>
  <si>
    <t xml:space="preserve">https://www.selldorf.com</t>
  </si>
  <si>
    <t xml:space="preserve">selldorf.com</t>
  </si>
  <si>
    <t xml:space="preserve">106</t>
  </si>
  <si>
    <t xml:space="preserve">https://www.linkedin.com/company/selldorf-architects</t>
  </si>
  <si>
    <t xml:space="preserve">Tuesday estimate 22 to 44 (low confidence), under 500 staff company-wide, no attendance signal, occupied at a medium-confidence address</t>
  </si>
  <si>
    <t xml:space="preserve">B-C-027</t>
  </si>
  <si>
    <t xml:space="preserve">https://en.wikipedia.org/wiki/Selldorf_Architects</t>
  </si>
  <si>
    <t xml:space="preserve">https://www.connectcre.com/stories/selldorf-architects-signs-long-term-renewal-at-860-broadway/</t>
  </si>
  <si>
    <t xml:space="preserve">65 (Wikipedia) staff (whole-company count) x 50% to 100% of them in the New York office (HQ New York; share assumed) x 67% (Partnership for NYC, firms under 500) in on a weekday = 22 to 44, central 31; low confidence; estimate until intake replaces it.</t>
  </si>
  <si>
    <t xml:space="preserve">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</si>
  <si>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linked from the company's own site (https://www.selldorf.com/, opened 2026-10-24); LinkedIn not opened</t>
  </si>
  <si>
    <t xml:space="preserve">AO-C-010</t>
  </si>
  <si>
    <t xml:space="preserve">GameChanger</t>
  </si>
  <si>
    <t xml:space="preserve">https://gc.com</t>
  </si>
  <si>
    <t xml:space="preserve">gc.com</t>
  </si>
  <si>
    <t xml:space="preserve">107</t>
  </si>
  <si>
    <t xml:space="preserve">37.0</t>
  </si>
  <si>
    <t xml:space="preserve">sports tech (youth sports streaming and scorekeeping)</t>
  </si>
  <si>
    <t xml:space="preserve">667</t>
  </si>
  <si>
    <t xml:space="preserve">Tuesday estimate 74 to 205 (low confidence), 501 to 1,000 staff company-wide with a named parent (Dick's Sporting Goods), remote-first signal, occupied at a high-confidence address</t>
  </si>
  <si>
    <t xml:space="preserve">B-C-010</t>
  </si>
  <si>
    <t xml:space="preserve">260</t>
  </si>
  <si>
    <t xml:space="preserve">https://www.reveliolabs.com/companies/gamechanger-media/employees</t>
  </si>
  <si>
    <t xml:space="preserve">https://www.builtinnyc.com/company/gamechanger</t>
  </si>
  <si>
    <t xml:space="preserve">Dick's Sporting Goods</t>
  </si>
  <si>
    <t xml:space="preserve">https://gc.com/about</t>
  </si>
  <si>
    <t xml:space="preserve">https://commercialobserver.com/2024/08/senator-investment-group-lease-zero-irving/</t>
  </si>
  <si>
    <t xml:space="preserve">2024-08</t>
  </si>
  <si>
    <t xml:space="preserve">Built In workplace type: Remote Workplace; recent job tags: 1 Hybrid, 2 Remote</t>
  </si>
  <si>
    <t xml:space="preserve">https://www.builtinnyc.com/company/gamechanger/offices</t>
  </si>
  <si>
    <t xml:space="preserve">667 (Revelio Labs) and 260 (Built In) staff (whole-company count) x 50% to 100% of them in the New York office (HQ New York; share assumed) x 57% (Partnership for NYC, all Manhattan firms; no figure for 500 to 4,999) in on a weekday; capped by 25,600 sf at 125 sf per person (was 74 to 380) (largest square footage the sources mention at this address; if the company holds more space here, intake corrects it) = 74 to 205, central 123; low confidence; estimate until intake replaces it.</t>
  </si>
  <si>
    <t xml:space="preserve">25,600 sf</t>
  </si>
  <si>
    <t xml:space="preserve">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</si>
  <si>
    <t xml:space="preserve">AO-C-014</t>
  </si>
  <si>
    <t xml:space="preserve">Mirage (formerly Captions)</t>
  </si>
  <si>
    <t xml:space="preserve">https://www.captions.ai</t>
  </si>
  <si>
    <t xml:space="preserve">captions.ai</t>
  </si>
  <si>
    <t xml:space="preserve">108</t>
  </si>
  <si>
    <t xml:space="preserve">71 Fifth Avenue</t>
  </si>
  <si>
    <t xml:space="preserve">AI video software</t>
  </si>
  <si>
    <t xml:space="preserve">https://www.linkedin.com/company/trymirage</t>
  </si>
  <si>
    <t xml:space="preserve">Tuesday estimate 3 to 50 (low confidence), under 500 staff company-wide, on-site 5 days a week per its profile, occupancy-unconfirmed at a low-confidence address</t>
  </si>
  <si>
    <t xml:space="preserve">B-C-014</t>
  </si>
  <si>
    <t xml:space="preserve">https://www.builtinnyc.com/company/captions</t>
  </si>
  <si>
    <t xml:space="preserve">B-B-004</t>
  </si>
  <si>
    <t xml:space="preserve">https://rebusinessonline.com/?p=393709</t>
  </si>
  <si>
    <t xml:space="preserve">2024-03-01</t>
  </si>
  <si>
    <t xml:space="preserve">https://www.builtinnyc.com/company/captions/offices</t>
  </si>
  <si>
    <t xml:space="preserve">75 (Built In) staff (whole-company count) x 5% to 100% of them in the New York office (HQ city unknown; share assumed) x 67% (Partnership for NYC, firms under 500) in on a weekday; 15,202 sf seats more than the whole company's in-office staff, so the space does not narrow the share in New York (largest square footage the sources mention at this address; if the company holds more space here, intake corrects it) = 3 to 50, central 12; low confidence; estimate until intake replaces it.</t>
  </si>
  <si>
    <t xml:space="preserve">15,202 sf</t>
  </si>
  <si>
    <t xml:space="preserve">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</si>
  <si>
    <t xml:space="preserve">linked from the company's own site (https://captions.ai/, opened 2026-10-24); LinkedIn not opened</t>
  </si>
  <si>
    <t xml:space="preserve">AO-C-135</t>
  </si>
  <si>
    <t xml:space="preserve">https://sierra.ai</t>
  </si>
  <si>
    <t xml:space="preserve">sierra.ai</t>
  </si>
  <si>
    <t xml:space="preserve">36.3</t>
  </si>
  <si>
    <t xml:space="preserve">software (AI customer agents)</t>
  </si>
  <si>
    <t xml:space="preserve">756</t>
  </si>
  <si>
    <t xml:space="preserve">https://www.linkedin.com/company/sierra</t>
  </si>
  <si>
    <t xml:space="preserve">Tuesday estimate 5 to 431 (low confidence), 501 to 1,000 staff company-wide, on-site 5 days a week per its profile, signed-not-occupied at a medium-confidence address (hold: lease signed, move not confirmed)</t>
  </si>
  <si>
    <t xml:space="preserve">B-C-135</t>
  </si>
  <si>
    <t xml:space="preserve">162</t>
  </si>
  <si>
    <t xml:space="preserve">https://www.reveliolabs.com/companies/sierra/employees</t>
  </si>
  <si>
    <t xml:space="preserve">https://www.builtinnyc.com/company/sierra/offices</t>
  </si>
  <si>
    <t xml:space="preserve">https://commercialobserver.com/2026/05/sierra-lease-rockrose-11-east-26th-street/</t>
  </si>
  <si>
    <t xml:space="preserve">2026-05-01</t>
  </si>
  <si>
    <t xml:space="preserve">https://commercialobserver.com/2026/09/vestal-point-capital-lease-rockrose-development-11-east-26th-street/</t>
  </si>
  <si>
    <t xml:space="preserve">2026-09-02</t>
  </si>
  <si>
    <t xml:space="preserve">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</si>
  <si>
    <t xml:space="preserve">94,145 sf;14,563 sf;94,000 sf</t>
  </si>
  <si>
    <t xml:space="preserve">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</si>
  <si>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(https://sierra.ai/, opened 2026-10-24); LinkedIn not opened</t>
  </si>
  <si>
    <t xml:space="preserve">AO-C-195</t>
  </si>
  <si>
    <t xml:space="preserve">eBay</t>
  </si>
  <si>
    <t xml:space="preserve">https://www.ebay.com</t>
  </si>
  <si>
    <t xml:space="preserve">ebay.com</t>
  </si>
  <si>
    <t xml:space="preserve">110</t>
  </si>
  <si>
    <t xml:space="preserve">36.0</t>
  </si>
  <si>
    <t xml:space="preserve">122 Fifth Avenue</t>
  </si>
  <si>
    <t xml:space="preserve">e-commerce</t>
  </si>
  <si>
    <t xml:space="preserve">26035</t>
  </si>
  <si>
    <t xml:space="preserve">https://www.linkedin.com/company/ebay</t>
  </si>
  <si>
    <t xml:space="preserve">Tuesday estimate 112 to 223 (low confidence), 5,000+ staff company-wide, no attendance signal, signed-not-occupied at a medium-confidence address (hold: lease signed, move not confirmed)</t>
  </si>
  <si>
    <t xml:space="preserve">B-C-195</t>
  </si>
  <si>
    <t xml:space="preserve">https://www.builtinnyc.com/company/ebay</t>
  </si>
  <si>
    <t xml:space="preserve">San Jose</t>
  </si>
  <si>
    <t xml:space="preserve">https://commercialobserver.com/2026/06/ebay-lease-bromley-companies-122-fifth-avenue/</t>
  </si>
  <si>
    <t xml:space="preserve">2026-06-02</t>
  </si>
  <si>
    <t xml:space="preserve">26035 (Built In) staff (whole-company count) x 5% to 100% of them in the New York office (HQ outside New York; share assumed) x 46% (Partnership for NYC, firms over 5,000) in on a weekday; space-based for a company headquartered outside New York: 27,902 sf seats 112 to 223 at 250 to 125 sf per person, kept within the headcount math (599 to 11976) (largest square footage the sources mention at this address; if the company holds more space here, intake corrects it) = 112 to 223, central 158; low confidence; estimate until intake replaces it.</t>
  </si>
  <si>
    <t xml:space="preserve">27,902 sf</t>
  </si>
  <si>
    <t xml:space="preserve">Near-miss: over 500 (Built In: 26,035 total employees). CO 2026-06-02: eight-year 27,902 sf lease on the entire 2nd floor, relocating from 625 Avenue of the Americas; move-in timing not stated.</t>
  </si>
  <si>
    <t xml:space="preserve">linked from The Org's company record (https://theorg.com/org/ebay, opened 2026-10-24); LinkedIn not opened</t>
  </si>
  <si>
    <t xml:space="preserve">AO-C-016</t>
  </si>
  <si>
    <t xml:space="preserve">Battery Ventures</t>
  </si>
  <si>
    <t xml:space="preserve">https://www.battery.com</t>
  </si>
  <si>
    <t xml:space="preserve">battery.com</t>
  </si>
  <si>
    <t xml:space="preserve">111</t>
  </si>
  <si>
    <t xml:space="preserve">https://www.linkedin.com/company/battery-ventures</t>
  </si>
  <si>
    <t xml:space="preserve">B-C-016</t>
  </si>
  <si>
    <t xml:space="preserve">https://www.battery.com/contact/</t>
  </si>
  <si>
    <t xml:space="preserve">10,600 sf</t>
  </si>
  <si>
    <t xml:space="preserve">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</si>
  <si>
    <t xml:space="preserve">linked from the company's own site (https://www.battery.com/, opened 2026-10-24); LinkedIn not opened</t>
  </si>
  <si>
    <t xml:space="preserve">AO-W-013</t>
  </si>
  <si>
    <t xml:space="preserve">Cure, 345 Park Avenue South</t>
  </si>
  <si>
    <t xml:space="preserve">https://wewillcure.com</t>
  </si>
  <si>
    <t xml:space="preserve">wewillcure.com</t>
  </si>
  <si>
    <t xml:space="preserve">112</t>
  </si>
  <si>
    <t xml:space="preserve">345 Park Avenue South, New York, NY 10010</t>
  </si>
  <si>
    <t xml:space="preserve">coworking operator</t>
  </si>
  <si>
    <t xml:space="preserve">https://www.linkedin.com/company/citizens-united-reciprocal-exchange</t>
  </si>
  <si>
    <t xml:space="preserve">Tuesday headcount unknown (no sourced count), coworking operator site (one office if it controls the pantry), no attendance signal, open at a high-confidence address</t>
  </si>
  <si>
    <t xml:space="preserve">coworking-operator</t>
  </si>
  <si>
    <t xml:space="preserve">B-W-013</t>
  </si>
  <si>
    <t xml:space="preserve">n/a (operator site)</t>
  </si>
  <si>
    <t xml:space="preserve">Cure (Cure Experience Services, LLC; Deerfield-affiliated)</t>
  </si>
  <si>
    <t xml:space="preserve">B-B-058</t>
  </si>
  <si>
    <t xml:space="preserve">345 Park Avenue South (Deerfield Management; home of Cure)</t>
  </si>
  <si>
    <t xml:space="preserve">https://wewillcure.com/community/residents</t>
  </si>
  <si>
    <t xml:space="preserve">operator-site</t>
  </si>
  <si>
    <t xml:space="preserve">https://en.wikipedia.org/wiki/Deerfield_Management</t>
  </si>
  <si>
    <t xml:space="preserve">operator</t>
  </si>
  <si>
    <t xml:space="preserve">Coworking site: member headcount not sourced; treat as one office if the operator controls the pantry and ask the Tuesday count at intake.</t>
  </si>
  <si>
    <t xml:space="preserve">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</si>
  <si>
    <t xml:space="preserve">linked from The Org's company record (https://theorg.com/org/cure, opened 2026-10-24); LinkedIn not opened</t>
  </si>
  <si>
    <t xml:space="preserve">AO-C-053</t>
  </si>
  <si>
    <t xml:space="preserve">Extend AI</t>
  </si>
  <si>
    <t xml:space="preserve">https://www.extend.ai</t>
  </si>
  <si>
    <t xml:space="preserve">extend.ai</t>
  </si>
  <si>
    <t xml:space="preserve">113</t>
  </si>
  <si>
    <t xml:space="preserve">119 Fifth Avenue</t>
  </si>
  <si>
    <t xml:space="preserve">software (AI document processing)</t>
  </si>
  <si>
    <t xml:space="preserve">https://www.linkedin.com/company/extend-app</t>
  </si>
  <si>
    <t xml:space="preserve">B-C-053</t>
  </si>
  <si>
    <t xml:space="preserve">B-B-024</t>
  </si>
  <si>
    <t xml:space="preserve">https://commercialobserver.com/2026/08/extend-ai-lease-119-fifth-avenue/</t>
  </si>
  <si>
    <t xml:space="preserve">https://www.extend.ai/</t>
  </si>
  <si>
    <t xml:space="preserve">8,750 sf</t>
  </si>
  <si>
    <t xml:space="preserve">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</si>
  <si>
    <t xml:space="preserve">linked from the company's own site (https://www.extend.ai/, opened 2026-10-24); LinkedIn not opened</t>
  </si>
  <si>
    <t xml:space="preserve">AO-C-165</t>
  </si>
  <si>
    <t xml:space="preserve">FCA (architecture and design)</t>
  </si>
  <si>
    <t xml:space="preserve">https://www.fcarchitects.com</t>
  </si>
  <si>
    <t xml:space="preserve">fcarchitects.com</t>
  </si>
  <si>
    <t xml:space="preserve">114</t>
  </si>
  <si>
    <t xml:space="preserve">4 (Suite 408)</t>
  </si>
  <si>
    <t xml:space="preserve">architecture and interior design</t>
  </si>
  <si>
    <t xml:space="preserve">B-C-165</t>
  </si>
  <si>
    <t xml:space="preserve">Philadelphia</t>
  </si>
  <si>
    <t xml:space="preserve">https://commercialobserver.com/2025/02/fca-lease-261-fifth-avenue/</t>
  </si>
  <si>
    <t xml:space="preserve">2025-02-25</t>
  </si>
  <si>
    <t xml:space="preserve">https://www.fcarchitects.com/contact</t>
  </si>
  <si>
    <t xml:space="preserve">6,015 sf</t>
  </si>
  <si>
    <t xml:space="preserve">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</si>
  <si>
    <t xml:space="preserve">AO-C-141</t>
  </si>
  <si>
    <t xml:space="preserve">Full Picture</t>
  </si>
  <si>
    <t xml:space="preserve">https://www.fullpicture.com</t>
  </si>
  <si>
    <t xml:space="preserve">fullpicture.com</t>
  </si>
  <si>
    <t xml:space="preserve">115</t>
  </si>
  <si>
    <t xml:space="preserve">6 per site (CO: part of 11)</t>
  </si>
  <si>
    <t xml:space="preserve">communications and brand strategy agency</t>
  </si>
  <si>
    <t xml:space="preserve">B-C-141</t>
  </si>
  <si>
    <t xml:space="preserve">https://commercialobserver.com/2026/06/moinian-group-tenex-labs-lease-60-madison-avenue/</t>
  </si>
  <si>
    <t xml:space="preserve">https://www.fullpicture.com/</t>
  </si>
  <si>
    <t xml:space="preserve">CO 2026-06-22: 8,000 SF on part of floor 11, relocating from its NYC HQ at 79 Madison Ave. Homepage now lists NEW YORK HQ 60 Madison Ave, 6th Fl, so the move appears done (floor differs from CO; founder to confirm). Also has an LA HQ. Headcount not found.</t>
  </si>
  <si>
    <t xml:space="preserve">AO-W-007</t>
  </si>
  <si>
    <t xml:space="preserve">Industrious 156 5th Ave</t>
  </si>
  <si>
    <t xml:space="preserve">https://www.industriousoffice.com</t>
  </si>
  <si>
    <t xml:space="preserve">industriousoffice.com</t>
  </si>
  <si>
    <t xml:space="preserve">116</t>
  </si>
  <si>
    <t xml:space="preserve">156 Fifth Avenue, 4th Floor, New York, NY 10010</t>
  </si>
  <si>
    <t xml:space="preserve">4th Floor</t>
  </si>
  <si>
    <t xml:space="preserve">grp-W003-W005-W007-W008-W014-W016-W027</t>
  </si>
  <si>
    <t xml:space="preserve">B-W-007</t>
  </si>
  <si>
    <t xml:space="preserve">Industrious</t>
  </si>
  <si>
    <t xml:space="preserve">https://www.industriousoffice.com/m/new-york-city</t>
  </si>
  <si>
    <t xml:space="preserve">https://commercialobserver.com/2026/03/industrious-leases-110-east-42nd-street/</t>
  </si>
  <si>
    <t xml:space="preserve">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</si>
  <si>
    <t xml:space="preserve">parent 'industrious' shared with AO-W-016, AO-W-008, AO-W-014, AO-W-005, AO-W-003, AO-W-027</t>
  </si>
  <si>
    <t xml:space="preserve">AO-W-016</t>
  </si>
  <si>
    <t xml:space="preserve">Industrious 386 Park Ave S</t>
  </si>
  <si>
    <t xml:space="preserve">117</t>
  </si>
  <si>
    <t xml:space="preserve">386 Park Avenue South, 18th Floor, New York, NY 10016</t>
  </si>
  <si>
    <t xml:space="preserve">18th Floor</t>
  </si>
  <si>
    <t xml:space="preserve">B-W-016</t>
  </si>
  <si>
    <t xml:space="preserve">https://commercialobserver.com/2026/02/industrious-lease-386-park-avenue-south/</t>
  </si>
  <si>
    <t xml:space="preserve">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</si>
  <si>
    <t xml:space="preserve">parent 'industrious' shared with AO-W-007, AO-W-008, AO-W-014, AO-W-005, AO-W-003, AO-W-027</t>
  </si>
  <si>
    <t xml:space="preserve">AO-W-008</t>
  </si>
  <si>
    <t xml:space="preserve">Industrious 902 Broadway</t>
  </si>
  <si>
    <t xml:space="preserve">118</t>
  </si>
  <si>
    <t xml:space="preserve">902 Broadway, 7th Floor, New York, NY 10010</t>
  </si>
  <si>
    <t xml:space="preserve">7th Floor</t>
  </si>
  <si>
    <t xml:space="preserve">B-W-008</t>
  </si>
  <si>
    <t xml:space="preserve">B-B-031</t>
  </si>
  <si>
    <t xml:space="preserve">902 Broadway (Rosen family / Koeppel Rosen)</t>
  </si>
  <si>
    <t xml:space="preserve">https://www.connectcre.com/stories/industrious-commits-to-full-floor-space-in-flatiron-district/</t>
  </si>
  <si>
    <t xml:space="preserve">https://www.metro-manhattan.com/buildings/902-broadway/</t>
  </si>
  <si>
    <t xml:space="preserve">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</si>
  <si>
    <t xml:space="preserve">parent 'industrious' shared with AO-W-007, AO-W-016, AO-W-014, AO-W-005, AO-W-003, AO-W-027</t>
  </si>
  <si>
    <t xml:space="preserve">AO-W-014</t>
  </si>
  <si>
    <t xml:space="preserve">Industrious NoMad</t>
  </si>
  <si>
    <t xml:space="preserve">119</t>
  </si>
  <si>
    <t xml:space="preserve">776A Sixth Avenue, New York, NY 10001</t>
  </si>
  <si>
    <t xml:space="preserve">B-W-014</t>
  </si>
  <si>
    <t xml:space="preserve">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</si>
  <si>
    <t xml:space="preserve">parent 'industrious' shared with AO-W-007, AO-W-016, AO-W-008, AO-W-005, AO-W-003, AO-W-027</t>
  </si>
  <si>
    <t xml:space="preserve">AO-W-005</t>
  </si>
  <si>
    <t xml:space="preserve">Industrious Union Square on Park</t>
  </si>
  <si>
    <t xml:space="preserve">120</t>
  </si>
  <si>
    <t xml:space="preserve">215 Park Avenue South, 11th Floor, New York, NY 10003</t>
  </si>
  <si>
    <t xml:space="preserve">11th Floor</t>
  </si>
  <si>
    <t xml:space="preserve">B-W-005</t>
  </si>
  <si>
    <t xml:space="preserve">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</si>
  <si>
    <t xml:space="preserve">parent 'industrious' shared with AO-W-007, AO-W-016, AO-W-008, AO-W-014, AO-W-003, AO-W-027</t>
  </si>
  <si>
    <t xml:space="preserve">AO-C-170</t>
  </si>
  <si>
    <t xml:space="preserve">Innovant</t>
  </si>
  <si>
    <t xml:space="preserve">https://innovant.com</t>
  </si>
  <si>
    <t xml:space="preserve">innovant.com</t>
  </si>
  <si>
    <t xml:space="preserve">121</t>
  </si>
  <si>
    <t xml:space="preserve">office furniture manufacturer (showroom and offices)</t>
  </si>
  <si>
    <t xml:space="preserve">https://www.linkedin.com/company/innovant</t>
  </si>
  <si>
    <t xml:space="preserve">B-C-170</t>
  </si>
  <si>
    <t xml:space="preserve">https://commercialobserver.com/2023/06/innovant-440-park-avenue-south-nomad/</t>
  </si>
  <si>
    <t xml:space="preserve">2023-06-23</t>
  </si>
  <si>
    <t xml:space="preserve">https://innovant.com/contact-us/</t>
  </si>
  <si>
    <t xml:space="preserve">11,120 sf</t>
  </si>
  <si>
    <t xml:space="preserve">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</si>
  <si>
    <t xml:space="preserve">linked from the company's own site (https://innovant.com/, opened 2026-10-24); LinkedIn not opened</t>
  </si>
  <si>
    <t xml:space="preserve">AO-C-029</t>
  </si>
  <si>
    <t xml:space="preserve">LUMA Partners</t>
  </si>
  <si>
    <t xml:space="preserve">https://www.lumapartners.com</t>
  </si>
  <si>
    <t xml:space="preserve">lumapartners.com</t>
  </si>
  <si>
    <t xml:space="preserve">investment banking (digital media and marketing tech)</t>
  </si>
  <si>
    <t xml:space="preserve">https://www.linkedin.com/company/luma-partners-llc</t>
  </si>
  <si>
    <t xml:space="preserve">B-C-029</t>
  </si>
  <si>
    <t xml:space="preserve">https://www.lumapartners.com/contact</t>
  </si>
  <si>
    <t xml:space="preserve">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</si>
  <si>
    <t xml:space="preserve">linked from the company's own site (https://lumapartners.com/, opened 2026-10-24); LinkedIn not opened</t>
  </si>
  <si>
    <t xml:space="preserve">AO-C-148</t>
  </si>
  <si>
    <t xml:space="preserve">Lee &amp; Low Books</t>
  </si>
  <si>
    <t xml:space="preserve">https://www.leeandlow.com</t>
  </si>
  <si>
    <t xml:space="preserve">leeandlow.com</t>
  </si>
  <si>
    <t xml:space="preserve">123</t>
  </si>
  <si>
    <t xml:space="preserve">381 Park Avenue South</t>
  </si>
  <si>
    <t xml:space="preserve">14 (Room 1401)</t>
  </si>
  <si>
    <t xml:space="preserve">book publishing (children's)</t>
  </si>
  <si>
    <t xml:space="preserve">https://www.linkedin.com/company/lee-low-books</t>
  </si>
  <si>
    <t xml:space="preserve">B-C-148</t>
  </si>
  <si>
    <t xml:space="preserve">B-B-068</t>
  </si>
  <si>
    <t xml:space="preserve">381 Park Avenue South (Olmstead Properties and Vertex)</t>
  </si>
  <si>
    <t xml:space="preserve">https://www.leeandlow.com/about/</t>
  </si>
  <si>
    <t xml:space="preserve">https://commercialobserver.com/2024/04/publisher-lee-low-moving-offices-to-6k-sf-at-381-park-avenue-south/</t>
  </si>
  <si>
    <t xml:space="preserve">2024-04-25</t>
  </si>
  <si>
    <t xml:space="preserve">5,844 sf</t>
  </si>
  <si>
    <t xml:space="preserve">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</si>
  <si>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(https://www.leeandlow.com/, opened 2026-10-24); LinkedIn not opened</t>
  </si>
  <si>
    <t xml:space="preserve">AO-C-004</t>
  </si>
  <si>
    <t xml:space="preserve">Lepercq de Neuflize &amp; Co.</t>
  </si>
  <si>
    <t xml:space="preserve">https://www.lepercq.com</t>
  </si>
  <si>
    <t xml:space="preserve">lepercq.com</t>
  </si>
  <si>
    <t xml:space="preserve">124</t>
  </si>
  <si>
    <t xml:space="preserve">investment management</t>
  </si>
  <si>
    <t xml:space="preserve">B-C-004</t>
  </si>
  <si>
    <t xml:space="preserve">https://www.lepercq.com/</t>
  </si>
  <si>
    <t xml:space="preserve">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</si>
  <si>
    <t xml:space="preserve">AO-W-010</t>
  </si>
  <si>
    <t xml:space="preserve">NeueHouse Madison Square</t>
  </si>
  <si>
    <t xml:space="preserve">https://www.neuehouse.com</t>
  </si>
  <si>
    <t xml:space="preserve">neuehouse.com</t>
  </si>
  <si>
    <t xml:space="preserve">125</t>
  </si>
  <si>
    <t xml:space="preserve">110 East 25th Street, New York, NY 10010</t>
  </si>
  <si>
    <t xml:space="preserve">B-W-010</t>
  </si>
  <si>
    <t xml:space="preserve">Convene Hospitality Group (NeueHouse)</t>
  </si>
  <si>
    <t xml:space="preserve">B-B-055</t>
  </si>
  <si>
    <t xml:space="preserve">104 East 25th Street (Williams Equities; NeueHouse Madison Square)</t>
  </si>
  <si>
    <t xml:space="preserve">https://nyrej.com/print/57154</t>
  </si>
  <si>
    <t xml:space="preserve">https://www.neuehouse.com/private-events/madison-square/</t>
  </si>
  <si>
    <t xml:space="preserve">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</si>
  <si>
    <t xml:space="preserve">AO-C-125</t>
  </si>
  <si>
    <t xml:space="preserve">OTTO Brand Lab</t>
  </si>
  <si>
    <t xml:space="preserve">https://ottobrandlab.com</t>
  </si>
  <si>
    <t xml:space="preserve">ottobrandlab.com</t>
  </si>
  <si>
    <t xml:space="preserve">25 West 26th Street</t>
  </si>
  <si>
    <t xml:space="preserve">brand strategy agency</t>
  </si>
  <si>
    <t xml:space="preserve">https://www.linkedin.com/company/ottobrandlab</t>
  </si>
  <si>
    <t xml:space="preserve">B-C-125</t>
  </si>
  <si>
    <t xml:space="preserve">B-B-061</t>
  </si>
  <si>
    <t xml:space="preserve">https://ottobrandlab.com/contact</t>
  </si>
  <si>
    <t xml:space="preserve">https://commercialobserver.com/2022/10/otto-brand-labs-takes-5k-sf-at-25-west-26th-street/</t>
  </si>
  <si>
    <t xml:space="preserve">2022-10-02</t>
  </si>
  <si>
    <t xml:space="preserve">5,000 sf</t>
  </si>
  <si>
    <t xml:space="preserve">Contact page lists main location 25 W 26th St, 7th Fl. CO 2022: 5,000 SF top floor. Headcount not sourced (no Built In total, no company figure); founder to confirm at intake.</t>
  </si>
  <si>
    <t xml:space="preserve">linked from the company's own site (https://ottobrandlab.com/, opened 2026-10-24); LinkedIn not opened</t>
  </si>
  <si>
    <t xml:space="preserve">AO-C-057</t>
  </si>
  <si>
    <t xml:space="preserve">Pentagram</t>
  </si>
  <si>
    <t xml:space="preserve">https://www.pentagram.com</t>
  </si>
  <si>
    <t xml:space="preserve">pentagram.com</t>
  </si>
  <si>
    <t xml:space="preserve">127</t>
  </si>
  <si>
    <t xml:space="preserve">design consultancy</t>
  </si>
  <si>
    <t xml:space="preserve">https://www.linkedin.com/company/pentagram</t>
  </si>
  <si>
    <t xml:space="preserve">B-C-057</t>
  </si>
  <si>
    <t xml:space="preserve">https://www.pentagram.com/contact</t>
  </si>
  <si>
    <t xml:space="preserve">Contact page lists Pentagram New York at 250 Park Avenue South; CO names Pentagram Design as a current tenant. Global firm with several offices; no sourced headcount found.</t>
  </si>
  <si>
    <t xml:space="preserve">linked from the company's own site (https://www.pentagram.com/, opened 2026-10-24); LinkedIn not opened</t>
  </si>
  <si>
    <t xml:space="preserve">AO-C-071</t>
  </si>
  <si>
    <t xml:space="preserve">Phipps Houses</t>
  </si>
  <si>
    <t xml:space="preserve">https://www.phippsny.org</t>
  </si>
  <si>
    <t xml:space="preserve">phippsny.org</t>
  </si>
  <si>
    <t xml:space="preserve">128</t>
  </si>
  <si>
    <t xml:space="preserve">11-12, 15</t>
  </si>
  <si>
    <t xml:space="preserve">nonprofit affordable housing developer</t>
  </si>
  <si>
    <t xml:space="preserve">B-C-071</t>
  </si>
  <si>
    <t xml:space="preserve">https://www.phippsny.org/contact-us/</t>
  </si>
  <si>
    <t xml:space="preserve">https://commercialobserver.com/2024/07/phipps-houses-feil-organization-257-park-avenue-south/</t>
  </si>
  <si>
    <t xml:space="preserve">2024-07-31</t>
  </si>
  <si>
    <t xml:space="preserve">38,862 sf</t>
  </si>
  <si>
    <t xml:space="preserve">Contact page lists 257 Park Avenue South, 12th Floor; CO July 2024 reported a 32-year, 38,862 sf HQ lease on floors 11, 12 and 15 (relocated from 902 Broadway). Headcount not sourced.</t>
  </si>
  <si>
    <t xml:space="preserve">AO-C-115</t>
  </si>
  <si>
    <t xml:space="preserve">Polar Asset Management Partners</t>
  </si>
  <si>
    <t xml:space="preserve">https://polaramp.com</t>
  </si>
  <si>
    <t xml:space="preserve">polaramp.com</t>
  </si>
  <si>
    <t xml:space="preserve">36 (per site); moving to 33</t>
  </si>
  <si>
    <t xml:space="preserve">alternative asset management</t>
  </si>
  <si>
    <t xml:space="preserve">https://www.linkedin.com/company/polar-asset-management-partners</t>
  </si>
  <si>
    <t xml:space="preserve">B-C-115</t>
  </si>
  <si>
    <t xml:space="preserve">https://commercialobserver.com/2026/05/polar-asset-management-partners-lease-rudin-41-madison-avenue/</t>
  </si>
  <si>
    <t xml:space="preserve">2026-05-04</t>
  </si>
  <si>
    <t xml:space="preserve">https://polaramp.com/contact</t>
  </si>
  <si>
    <t xml:space="preserve">9,848 sf;13,357 sf</t>
  </si>
  <si>
    <t xml:space="preserve">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</si>
  <si>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(https://polaramp.com/, opened 2026-10-24); LinkedIn not opened</t>
  </si>
  <si>
    <t xml:space="preserve">AO-C-122</t>
  </si>
  <si>
    <t xml:space="preserve">Rogo</t>
  </si>
  <si>
    <t xml:space="preserve">https://rogo.com/</t>
  </si>
  <si>
    <t xml:space="preserve">rogo.com</t>
  </si>
  <si>
    <t xml:space="preserve">130</t>
  </si>
  <si>
    <t xml:space="preserve">7 plus second full floor (46,000 sf)</t>
  </si>
  <si>
    <t xml:space="preserve">Software (AI for financial services)</t>
  </si>
  <si>
    <t xml:space="preserve">https://www.linkedin.com/company/rogoai</t>
  </si>
  <si>
    <t xml:space="preserve">B-C-122</t>
  </si>
  <si>
    <t xml:space="preserve">https://rogo.com/legal/privacy-policy</t>
  </si>
  <si>
    <t xml:space="preserve">46,000 sf</t>
  </si>
  <si>
    <t xml:space="preserve">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</si>
  <si>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(https://rogo.com/, opened 2026-10-24); LinkedIn not opened</t>
  </si>
  <si>
    <t xml:space="preserve">AO-C-043</t>
  </si>
  <si>
    <t xml:space="preserve">SEIU 32BJ and 32BJ Benefit Funds</t>
  </si>
  <si>
    <t xml:space="preserve">https://www.seiu32bj.org</t>
  </si>
  <si>
    <t xml:space="preserve">seiu32bj.org</t>
  </si>
  <si>
    <t xml:space="preserve">131</t>
  </si>
  <si>
    <t xml:space="preserve">25 West 18th Street</t>
  </si>
  <si>
    <t xml:space="preserve">labor union (headquarters)</t>
  </si>
  <si>
    <t xml:space="preserve">B-C-043</t>
  </si>
  <si>
    <t xml:space="preserve">B-B-021</t>
  </si>
  <si>
    <t xml:space="preserve">Siegel-Cooper Building (RXR / Hudson Bay)</t>
  </si>
  <si>
    <t xml:space="preserve">https://www.seiu32bj.org/contact-us/</t>
  </si>
  <si>
    <t xml:space="preserve">https://32bjfunds.org/contact-us/</t>
  </si>
  <si>
    <t xml:space="preserve">https://www.metro-manhattan.com/buildings/620-avenue-of-the-americas/</t>
  </si>
  <si>
    <t xml:space="preserve">245,000 sf</t>
  </si>
  <si>
    <t xml:space="preserve">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</si>
  <si>
    <t xml:space="preserve">AO-C-145</t>
  </si>
  <si>
    <t xml:space="preserve">SL Home Fashions</t>
  </si>
  <si>
    <t xml:space="preserve">https://slhomefashions.com</t>
  </si>
  <si>
    <t xml:space="preserve">slhomefashions.com</t>
  </si>
  <si>
    <t xml:space="preserve">230 Fifth Avenue</t>
  </si>
  <si>
    <t xml:space="preserve">14 (Suite 1411)</t>
  </si>
  <si>
    <t xml:space="preserve">home textiles (office and showroom)</t>
  </si>
  <si>
    <t xml:space="preserve">B-C-145</t>
  </si>
  <si>
    <t xml:space="preserve">Vernon, CA</t>
  </si>
  <si>
    <t xml:space="preserve">B-B-067</t>
  </si>
  <si>
    <t xml:space="preserve">230 Fifth Avenue (New York MarketCenter, GFP Real Estate)</t>
  </si>
  <si>
    <t xml:space="preserve">https://commercialobserver.com/2024/10/sl-home-fashions-lease-230-fifth-avenue/</t>
  </si>
  <si>
    <t xml:space="preserve">2024-10-09</t>
  </si>
  <si>
    <t xml:space="preserve">https://slhomefashions.com/contact/</t>
  </si>
  <si>
    <t xml:space="preserve">10,176 sf</t>
  </si>
  <si>
    <t xml:space="preserve">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</si>
  <si>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AO-C-011</t>
  </si>
  <si>
    <t xml:space="preserve">Senator Investment Group</t>
  </si>
  <si>
    <t xml:space="preserve">https://www.senatorlp.com</t>
  </si>
  <si>
    <t xml:space="preserve">senatorlp.com</t>
  </si>
  <si>
    <t xml:space="preserve">133</t>
  </si>
  <si>
    <t xml:space="preserve">investment management (hedge fund)</t>
  </si>
  <si>
    <t xml:space="preserve">https://www.linkedin.com/company/senator-investment-group-lp</t>
  </si>
  <si>
    <t xml:space="preserve">B-C-011</t>
  </si>
  <si>
    <t xml:space="preserve">https://www.senatorlp.com/</t>
  </si>
  <si>
    <t xml:space="preserve">12,455 sf;240,000 sf</t>
  </si>
  <si>
    <t xml:space="preserve">Site: '124 E. 14th Street 20th Floor New York, NY 10003'. CO 2024-08: 12,455 sf lease that filled the 240,000 sf building. Headcount not found. Margin: south side of 14th between Irving Pl and Third Ave.</t>
  </si>
  <si>
    <t xml:space="preserve">linked from the company's own site (https://www.senatorlp.com/, opened 2026-10-24); LinkedIn not opened</t>
  </si>
  <si>
    <t xml:space="preserve">AO-C-116</t>
  </si>
  <si>
    <t xml:space="preserve">TenBerke (formerly Deborah Berke Partners)</t>
  </si>
  <si>
    <t xml:space="preserve">https://tenberke.com</t>
  </si>
  <si>
    <t xml:space="preserve">tenberke.com</t>
  </si>
  <si>
    <t xml:space="preserve">B-C-116</t>
  </si>
  <si>
    <t xml:space="preserve">https://tenberke.com/contact/</t>
  </si>
  <si>
    <t xml:space="preserve">https://commercialobserver.com/2022/12/deborah-berke-takes-13k-sf-at-41-madison-avenue/</t>
  </si>
  <si>
    <t xml:space="preserve">13,331 sf</t>
  </si>
  <si>
    <t xml:space="preserve">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</si>
  <si>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AO-W-006</t>
  </si>
  <si>
    <t xml:space="preserve">The Malin Flatiron</t>
  </si>
  <si>
    <t xml:space="preserve">895 Broadway, 5th Floor, New York, NY 10003</t>
  </si>
  <si>
    <t xml:space="preserve">5th Floor</t>
  </si>
  <si>
    <t xml:space="preserve">grp-W006-W017</t>
  </si>
  <si>
    <t xml:space="preserve">B-W-006</t>
  </si>
  <si>
    <t xml:space="preserve">The Malin</t>
  </si>
  <si>
    <t xml:space="preserve">B-B-027</t>
  </si>
  <si>
    <t xml:space="preserve">Equinox Building</t>
  </si>
  <si>
    <t xml:space="preserve">https://rebusinessonline.com/the-malin-opens-32700-sf-coworking-space-in-manhattans-flatiron-district/</t>
  </si>
  <si>
    <t xml:space="preserve">2025-06-19</t>
  </si>
  <si>
    <t xml:space="preserve">https://commercialobserver.com/2024/11/the-malin-lease-895-broadway</t>
  </si>
  <si>
    <t xml:space="preserve">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</si>
  <si>
    <t xml:space="preserve">parent 'the malin' shared with AO-W-017</t>
  </si>
  <si>
    <t xml:space="preserve">AO-W-017</t>
  </si>
  <si>
    <t xml:space="preserve">The Malin NoMad</t>
  </si>
  <si>
    <t xml:space="preserve">136</t>
  </si>
  <si>
    <t xml:space="preserve">387 Park Avenue South, 5th Floor, New York, NY 10016</t>
  </si>
  <si>
    <t xml:space="preserve">B-W-017</t>
  </si>
  <si>
    <t xml:space="preserve">2024-11-18</t>
  </si>
  <si>
    <t xml:space="preserve">https://api.deskpass.com/api/spaces/the-malin-nomad</t>
  </si>
  <si>
    <t xml:space="preserve">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</si>
  <si>
    <t xml:space="preserve">parent 'the malin' shared with AO-W-006</t>
  </si>
  <si>
    <t xml:space="preserve">AO-C-008</t>
  </si>
  <si>
    <t xml:space="preserve">Union Square Hospitality Group</t>
  </si>
  <si>
    <t xml:space="preserve">https://www.ushg.com</t>
  </si>
  <si>
    <t xml:space="preserve">ushg.com</t>
  </si>
  <si>
    <t xml:space="preserve">137</t>
  </si>
  <si>
    <t xml:space="preserve">hospitality (restaurant group corporate office)</t>
  </si>
  <si>
    <t xml:space="preserve">https://www.linkedin.com/company/union-square-hospitality-group</t>
  </si>
  <si>
    <t xml:space="preserve">B-C-008</t>
  </si>
  <si>
    <t xml:space="preserve">https://www.ushg.com/contact</t>
  </si>
  <si>
    <t xml:space="preserve">https://commercialobserver.com/2018/02/danny-meyers-union-square-hospitality-moving-within-union-square/</t>
  </si>
  <si>
    <t xml:space="preserve">2018-02</t>
  </si>
  <si>
    <t xml:space="preserve">15,000 sf</t>
  </si>
  <si>
    <t xml:space="preserve">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</si>
  <si>
    <t xml:space="preserve">linked from the company's own site (https://www.ushg.com/, opened 2026-10-24); LinkedIn not opened</t>
  </si>
  <si>
    <t xml:space="preserve">AO-C-073</t>
  </si>
  <si>
    <t xml:space="preserve">Vivaldi</t>
  </si>
  <si>
    <t xml:space="preserve">https://vivaldigroup.com</t>
  </si>
  <si>
    <t xml:space="preserve">vivaldigroup.com</t>
  </si>
  <si>
    <t xml:space="preserve">138</t>
  </si>
  <si>
    <t xml:space="preserve">brand and business strategy consultancy</t>
  </si>
  <si>
    <t xml:space="preserve">https://www.linkedin.com/company/vivaldi-group</t>
  </si>
  <si>
    <t xml:space="preserve">B-C-073</t>
  </si>
  <si>
    <t xml:space="preserve">https://vivaldigroup.com/contact/</t>
  </si>
  <si>
    <t xml:space="preserve">Contact page lists 30 West 21st Street, 12th Floor. CO calls it advertising agency Vivaldi, a tenant of the building.</t>
  </si>
  <si>
    <t xml:space="preserve">linked from the company's own site (https://vivaldigroup.com/, opened 2026-10-24); LinkedIn not opened</t>
  </si>
  <si>
    <t xml:space="preserve">AO-C-138</t>
  </si>
  <si>
    <t xml:space="preserve">Warren Equity Partners</t>
  </si>
  <si>
    <t xml:space="preserve">https://warrenequity.com</t>
  </si>
  <si>
    <t xml:space="preserve">warrenequity.com</t>
  </si>
  <si>
    <t xml:space="preserve">139</t>
  </si>
  <si>
    <t xml:space="preserve">19-20</t>
  </si>
  <si>
    <t xml:space="preserve">https://www.linkedin.com/company/warren-equity-partners</t>
  </si>
  <si>
    <t xml:space="preserve">B-C-138</t>
  </si>
  <si>
    <t xml:space="preserve">Jacksonville Beach, FL</t>
  </si>
  <si>
    <t xml:space="preserve">https://commercialobserver.com/2025/06/warren-equity-partners-moving-nyc-hq-to-11-east-26th-street-in-24k-sf-lease/</t>
  </si>
  <si>
    <t xml:space="preserve">2025-06-25</t>
  </si>
  <si>
    <t xml:space="preserve">https://warrenequity.com/contact-us/</t>
  </si>
  <si>
    <t xml:space="preserve">24,199 sf</t>
  </si>
  <si>
    <t xml:space="preserve">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</si>
  <si>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(https://warrenequity.com/, opened 2026-10-24); LinkedIn not opened</t>
  </si>
  <si>
    <t xml:space="preserve">AO-C-187</t>
  </si>
  <si>
    <t xml:space="preserve">Acxiom</t>
  </si>
  <si>
    <t xml:space="preserve">https://www.acxiom.com</t>
  </si>
  <si>
    <t xml:space="preserve">acxiom.com</t>
  </si>
  <si>
    <t xml:space="preserve">140</t>
  </si>
  <si>
    <t xml:space="preserve">35.6</t>
  </si>
  <si>
    <t xml:space="preserve">114 Fifth Avenue</t>
  </si>
  <si>
    <t xml:space="preserve">marketing data and technology</t>
  </si>
  <si>
    <t xml:space="preserve">4482</t>
  </si>
  <si>
    <t xml:space="preserve">https://www.linkedin.com/company/acxiom</t>
  </si>
  <si>
    <t xml:space="preserve">Tuesday estimate band over-500: founder's call (set founder_ok_to_queue = Y to queue)</t>
  </si>
  <si>
    <t xml:space="preserve">no backup named: back to research; Tuesday estimate band over-500: founder's call (set founder_ok_to_queue = Y to queue)</t>
  </si>
  <si>
    <t xml:space="preserve">Tuesday estimate 128 to 2555 (low confidence), 1,001 to 4,999 staff company-wide, on-site 5 days a week per its profile, occupied at a medium-confidence address</t>
  </si>
  <si>
    <t xml:space="preserve">B-C-187</t>
  </si>
  <si>
    <t xml:space="preserve">https://www.builtinnyc.com/company/acxiom</t>
  </si>
  <si>
    <t xml:space="preserve">Conway</t>
  </si>
  <si>
    <t xml:space="preserve">B-B-009</t>
  </si>
  <si>
    <t xml:space="preserve">https://commercialobserver.com/2025/02/capital-one-expansion-114-fifth-avenue/</t>
  </si>
  <si>
    <t xml:space="preserve">Built In workplace type: OnSite Workplace; typical time on-site: 5 days a week; recent job tags: 1 In-Office</t>
  </si>
  <si>
    <t xml:space="preserve">https://www.builtinnyc.com/company/acxiom/offices</t>
  </si>
  <si>
    <t xml:space="preserve">4482 (Built In) staff (whole-company count) x 5% to 100% of them in the New York office (HQ outside New York; share assumed) x 57% (Partnership for NYC, all Manhattan firms; no figure for 500 to 4,999) in on a weekday = 128 to 2555, central 572; low confidence; estimate until intake replaces it.</t>
  </si>
  <si>
    <t xml:space="preserve">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</si>
  <si>
    <t xml:space="preserve">linked from the company's own site (https://www.acxiom.com/, opened 2026-10-24); LinkedIn not opened</t>
  </si>
  <si>
    <t xml:space="preserve">AO-C-184</t>
  </si>
  <si>
    <t xml:space="preserve">Hulu</t>
  </si>
  <si>
    <t xml:space="preserve">https://www.hulu.com</t>
  </si>
  <si>
    <t xml:space="preserve">hulu.com</t>
  </si>
  <si>
    <t xml:space="preserve">141</t>
  </si>
  <si>
    <t xml:space="preserve">35.4</t>
  </si>
  <si>
    <t xml:space="preserve">streaming media</t>
  </si>
  <si>
    <t xml:space="preserve">2844</t>
  </si>
  <si>
    <t xml:space="preserve">Tuesday estimate 81 to 1621 (low confidence), 1,001 to 4,999 staff company-wide with a named parent (Disney), on-site 5 days a week per its profile, occupied at a medium-confidence address</t>
  </si>
  <si>
    <t xml:space="preserve">B-C-184</t>
  </si>
  <si>
    <t xml:space="preserve">https://www.builtinnyc.com/company/hulu</t>
  </si>
  <si>
    <t xml:space="preserve">Santa Monica</t>
  </si>
  <si>
    <t xml:space="preserve">Disney</t>
  </si>
  <si>
    <t xml:space="preserve">https://www.builtinnyc.com/company/hulu/offices</t>
  </si>
  <si>
    <t xml:space="preserve">2844 (Built In) staff (whole-company count) x 5% to 100% of them in the New York office (HQ outside New York; share assumed) x 57% (Partnership for NYC, all Manhattan firms; no figure for 500 to 4,999) in on a weekday = 81 to 1621, central 362; low confidence; estimate until intake replaces it.</t>
  </si>
  <si>
    <t xml:space="preserve">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</si>
  <si>
    <t xml:space="preserve">AO-C-221</t>
  </si>
  <si>
    <t xml:space="preserve">BuzzFeed</t>
  </si>
  <si>
    <t xml:space="preserve">https://www.buzzfeed.com/</t>
  </si>
  <si>
    <t xml:space="preserve">buzzfeed.com</t>
  </si>
  <si>
    <t xml:space="preserve">142</t>
  </si>
  <si>
    <t xml:space="preserve">35.1</t>
  </si>
  <si>
    <t xml:space="preserve">5 (part) and 6</t>
  </si>
  <si>
    <t xml:space="preserve">Digital media</t>
  </si>
  <si>
    <t xml:space="preserve">1789</t>
  </si>
  <si>
    <t xml:space="preserve">https://www.linkedin.com/company/buzzfeed</t>
  </si>
  <si>
    <t xml:space="preserve">Tuesday estimate 169 to 338 (low confidence), 1,001 to 4,999 staff company-wide, no attendance signal, occupied at a medium-confidence address</t>
  </si>
  <si>
    <t xml:space="preserve">B-C-221</t>
  </si>
  <si>
    <t xml:space="preserve">https://www.builtinnyc.com/company/buzzfeed/offices</t>
  </si>
  <si>
    <t xml:space="preserve">https://commercialobserver.com/2025/03/buzfeed-lease-50-west-23rd-street/</t>
  </si>
  <si>
    <t xml:space="preserve">2025-03-26</t>
  </si>
  <si>
    <t xml:space="preserve">1789 (Built In) staff (whole-company count) x 50% to 100% of them in the New York office (HQ New York; share assumed) x 57% (Partnership for NYC, all Manhattan firms; no figure for 500 to 4,999) in on a weekday; the headcount math (510 to 1020) is more than 42,210 sf can seat, so the range comes from the space: 169 to 338 at 250 to 125 sf per person (largest square footage the sources mention at this address; if the company holds more space here, intake corrects it) = 169 to 338, central 239; low confidence; estimate until intake replaces it.</t>
  </si>
  <si>
    <t xml:space="preserve">42,210 sf;11,000 sf</t>
  </si>
  <si>
    <t xml:space="preserve">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</si>
  <si>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Org's company record (https://theorg.com/org/buzzfeed, opened 2026-10-24); LinkedIn not opened</t>
  </si>
  <si>
    <t xml:space="preserve">AO-C-025</t>
  </si>
  <si>
    <t xml:space="preserve">Kharon</t>
  </si>
  <si>
    <t xml:space="preserve">https://www.kharon.com</t>
  </si>
  <si>
    <t xml:space="preserve">kharon.com</t>
  </si>
  <si>
    <t xml:space="preserve">143</t>
  </si>
  <si>
    <t xml:space="preserve">34.5</t>
  </si>
  <si>
    <t xml:space="preserve">risk intelligence software (sanctions and financial crime)</t>
  </si>
  <si>
    <t xml:space="preserve">https://www.linkedin.com/company/kharondata</t>
  </si>
  <si>
    <t xml:space="preserve">Tuesday estimate 26 to 44 (low confidence), under 500 staff company-wide, hybrid (days not stated), occupancy-unconfirmed at a medium-confidence address</t>
  </si>
  <si>
    <t xml:space="preserve">B-C-025</t>
  </si>
  <si>
    <t xml:space="preserve">https://www.builtinnyc.com/company/kharon</t>
  </si>
  <si>
    <t xml:space="preserve">Los Angeles</t>
  </si>
  <si>
    <t xml:space="preserve">https://www.builtinnyc.com/company/kharon/offices</t>
  </si>
  <si>
    <t xml:space="preserve">65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(2 to 44) (largest square footage the sources mention at this address; if the company holds more space here, intake corrects it) = 26 to 44, central 34; low confidence; estimate until intake replaces it.</t>
  </si>
  <si>
    <t xml:space="preserve">6,500 sf</t>
  </si>
  <si>
    <t xml:space="preserve">CO 2026-10-19: Kharon took 6,500 sf at 120 Fifth Ave in August 2026 (Bromley prebuilt full floors). Built In NYC: 65 total employees, HQ Los Angeles, so the band describes the whole company; NYC headcount not sourced.</t>
  </si>
  <si>
    <t xml:space="preserve">linked from the company's own site (https://www.kharon.com/, opened 2026-10-24); LinkedIn not opened</t>
  </si>
  <si>
    <t xml:space="preserve">AO-C-222</t>
  </si>
  <si>
    <t xml:space="preserve">Instacart</t>
  </si>
  <si>
    <t xml:space="preserve">https://www.instacart.com/</t>
  </si>
  <si>
    <t xml:space="preserve">instacart.com</t>
  </si>
  <si>
    <t xml:space="preserve">144</t>
  </si>
  <si>
    <t xml:space="preserve">34.0</t>
  </si>
  <si>
    <t xml:space="preserve">Grocery delivery technology</t>
  </si>
  <si>
    <t xml:space="preserve">Tuesday estimate 85 to 209 (low confidence), 1,001 to 4,999 staff company-wide, hybrid (days not stated), moving-out at a low-confidence address (hold: moving out of this address)</t>
  </si>
  <si>
    <t xml:space="preserve">B-C-222</t>
  </si>
  <si>
    <t xml:space="preserve">https://www.builtinnyc.com/company/instacart/offices</t>
  </si>
  <si>
    <t xml:space="preserve">https://commercialobserver.com/2026/07/instacart-lease-esrt-111-west-33rd-street/</t>
  </si>
  <si>
    <t xml:space="preserve">2026-07-20</t>
  </si>
  <si>
    <t xml:space="preserve">3000 (Built In) staff (whole-company count) x 5% to 100% of them in the New York office (HQ outside New York; share assumed) x 57% (Partnership for NYC, all Manhattan firms; no figure for 500 to 4,999) in on a weekday; capped by 26,134 sf at 125 sf per person (was 85 to 1710) (largest square footage the sources mention at this address; if the company holds more space here, intake corrects it) = 85 to 209, central 133; low confidence; estimate until intake replaces it.</t>
  </si>
  <si>
    <t xml:space="preserve">21,000 sf;26,134 sf</t>
  </si>
  <si>
    <t xml:space="preserve">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</si>
  <si>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AO-C-002</t>
  </si>
  <si>
    <t xml:space="preserve">Casa Komos Brand Group</t>
  </si>
  <si>
    <t xml:space="preserve">145</t>
  </si>
  <si>
    <t xml:space="preserve">2; part of 9</t>
  </si>
  <si>
    <t xml:space="preserve">consumer beverage brand (tequila)</t>
  </si>
  <si>
    <t xml:space="preserve">Tuesday headcount unknown (no sourced count), company size unknown, no attendance signal, occupied at a medium-confidence address</t>
  </si>
  <si>
    <t xml:space="preserve">B-C-002</t>
  </si>
  <si>
    <t xml:space="preserve">https://commercialobserver.com/2026/01/perplexity-lease-841-broadway-union-square/</t>
  </si>
  <si>
    <t xml:space="preserve">https://commercialobserver.com/2024/02/tequila-brand-casa-komos-moving-offices-to-10k-sf-at-853-broadway/</t>
  </si>
  <si>
    <t xml:space="preserve">2024-02</t>
  </si>
  <si>
    <t xml:space="preserve">10,300 sf</t>
  </si>
  <si>
    <t xml:space="preserve">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</si>
  <si>
    <t xml:space="preserve">AO-C-154</t>
  </si>
  <si>
    <t xml:space="preserve">Christian Louboutin</t>
  </si>
  <si>
    <t xml:space="preserve">https://us.christianlouboutin.com</t>
  </si>
  <si>
    <t xml:space="preserve">us.christianlouboutin.com</t>
  </si>
  <si>
    <t xml:space="preserve">luxury footwear brand (office)</t>
  </si>
  <si>
    <t xml:space="preserve">https://www.linkedin.com/company/christian-louboutin</t>
  </si>
  <si>
    <t xml:space="preserve">B-C-154</t>
  </si>
  <si>
    <t xml:space="preserve">58,000 sf</t>
  </si>
  <si>
    <t xml:space="preserve">CO names it a current tenant of the 58,000 SF office and retail building at Broadway and 27th St. Use (office or showroom) and headcount not sourced.</t>
  </si>
  <si>
    <t xml:space="preserve">linked from the company's own site (https://us.christianlouboutin.com/us_en/, opened 2026-10-24); LinkedIn not opened</t>
  </si>
  <si>
    <t xml:space="preserve">AO-W-001</t>
  </si>
  <si>
    <t xml:space="preserve">Civic Hall, Union Square (Zero Irving)</t>
  </si>
  <si>
    <t xml:space="preserve">https://civichall.org</t>
  </si>
  <si>
    <t xml:space="preserve">civichall.org</t>
  </si>
  <si>
    <t xml:space="preserve">147</t>
  </si>
  <si>
    <t xml:space="preserve">124 East 14th Street, New York, NY 10003</t>
  </si>
  <si>
    <t xml:space="preserve">Tuesday headcount unknown (no sourced count), coworking operator site (one office if it controls the pantry), no attendance signal, open at a medium-confidence address</t>
  </si>
  <si>
    <t xml:space="preserve">B-W-001</t>
  </si>
  <si>
    <t xml:space="preserve">Civic Hall</t>
  </si>
  <si>
    <t xml:space="preserve">https://civichall.org/contact-us/</t>
  </si>
  <si>
    <t xml:space="preserve">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</si>
  <si>
    <t xml:space="preserve">AO-C-077</t>
  </si>
  <si>
    <t xml:space="preserve">Cobalt Service Partners</t>
  </si>
  <si>
    <t xml:space="preserve">https://www.cobaltsp.com</t>
  </si>
  <si>
    <t xml:space="preserve">cobaltsp.com</t>
  </si>
  <si>
    <t xml:space="preserve">148</t>
  </si>
  <si>
    <t xml:space="preserve">private equity (industrial services)</t>
  </si>
  <si>
    <t xml:space="preserve">https://www.linkedin.com/company/cobalt-sp</t>
  </si>
  <si>
    <t xml:space="preserve">B-C-077</t>
  </si>
  <si>
    <t xml:space="preserve">https://commercialobserver.com/2025/02/cobalt-service-partners-lease-40-west-17th-street/</t>
  </si>
  <si>
    <t xml:space="preserve">2025-02-06</t>
  </si>
  <si>
    <t xml:space="preserve">5,000 sf;1,500 sf</t>
  </si>
  <si>
    <t xml:space="preserve">Five-year, 5,000 sf lease, relocating from 1,500 sf at 40 W 17th St. A later CO article (same publisher) lists it as a current tenant. Company site shows no address. Headcount not sourced; founder to confirm at intake.</t>
  </si>
  <si>
    <t xml:space="preserve">linked from the company's own site (https://www.cobaltsp.com/, opened 2026-10-24); LinkedIn not opened</t>
  </si>
  <si>
    <t xml:space="preserve">AO-C-022</t>
  </si>
  <si>
    <t xml:space="preserve">Delos Capital</t>
  </si>
  <si>
    <t xml:space="preserve">149</t>
  </si>
  <si>
    <t xml:space="preserve">private investment</t>
  </si>
  <si>
    <t xml:space="preserve">B-C-022</t>
  </si>
  <si>
    <t xml:space="preserve">CO 2026-10-19 lists Delos Capital as an existing tenant. Headcount not sourced; founder to confirm at intake.</t>
  </si>
  <si>
    <t xml:space="preserve">AO-C-144</t>
  </si>
  <si>
    <t xml:space="preserve">EnVogue International</t>
  </si>
  <si>
    <t xml:space="preserve">home goods (office and showroom)</t>
  </si>
  <si>
    <t xml:space="preserve">B-C-144</t>
  </si>
  <si>
    <t xml:space="preserve">https://commercialobserver.com/2025/04/envogue-international-lease-230-fifth-avenue/</t>
  </si>
  <si>
    <t xml:space="preserve">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</si>
  <si>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AO-C-088</t>
  </si>
  <si>
    <t xml:space="preserve">Heard City</t>
  </si>
  <si>
    <t xml:space="preserve">https://www.heardcity.com</t>
  </si>
  <si>
    <t xml:space="preserve">heardcity.com</t>
  </si>
  <si>
    <t xml:space="preserve">151</t>
  </si>
  <si>
    <t xml:space="preserve">audio post-production studio</t>
  </si>
  <si>
    <t xml:space="preserve">https://www.linkedin.com/company/heard-city</t>
  </si>
  <si>
    <t xml:space="preserve">B-C-088</t>
  </si>
  <si>
    <t xml:space="preserve">https://www.heardcity.com/contact</t>
  </si>
  <si>
    <t xml:space="preserve">https://commercialobserver.com/2022/02/recording-studio-heard-city-re-ups-13k-sf-lease-in-flatiron-district/</t>
  </si>
  <si>
    <t xml:space="preserve">2022-02-25</t>
  </si>
  <si>
    <t xml:space="preserve">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</si>
  <si>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(https://www.heardcity.com/, opened 2026-10-24); LinkedIn not opened</t>
  </si>
  <si>
    <t xml:space="preserve">AO-C-131</t>
  </si>
  <si>
    <t xml:space="preserve">Holocene Advisors</t>
  </si>
  <si>
    <t xml:space="preserve">https://www.holocene.com</t>
  </si>
  <si>
    <t xml:space="preserve">holocene.com</t>
  </si>
  <si>
    <t xml:space="preserve">152</t>
  </si>
  <si>
    <t xml:space="preserve">B-C-131</t>
  </si>
  <si>
    <t xml:space="preserve">https://commercialobserver.com/2025/03/reckoner-capital-management-lease-11-east-26th-street/</t>
  </si>
  <si>
    <t xml:space="preserve">2025-03-12</t>
  </si>
  <si>
    <t xml:space="preserve">31,000 sf</t>
  </si>
  <si>
    <t xml:space="preserve">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</si>
  <si>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AO-C-121</t>
  </si>
  <si>
    <t xml:space="preserve">ICONIQ Capital</t>
  </si>
  <si>
    <t xml:space="preserve">https://www.iconiq.com</t>
  </si>
  <si>
    <t xml:space="preserve">iconiq.com</t>
  </si>
  <si>
    <t xml:space="preserve">wealth management and venture capital</t>
  </si>
  <si>
    <t xml:space="preserve">https://www.linkedin.com/company/iconiq-capital-llc</t>
  </si>
  <si>
    <t xml:space="preserve">B-C-121</t>
  </si>
  <si>
    <t xml:space="preserve">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</si>
  <si>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(https://www.iconiq.com/, opened 2026-10-24); LinkedIn not opened</t>
  </si>
  <si>
    <t xml:space="preserve">AO-C-067</t>
  </si>
  <si>
    <t xml:space="preserve">ISAIA</t>
  </si>
  <si>
    <t xml:space="preserve">https://www.isaia.it</t>
  </si>
  <si>
    <t xml:space="preserve">isaia.it</t>
  </si>
  <si>
    <t xml:space="preserve">154</t>
  </si>
  <si>
    <t xml:space="preserve">luxury menswear brand (U.S. showroom and office)</t>
  </si>
  <si>
    <t xml:space="preserve">https://www.linkedin.com/company/isaia</t>
  </si>
  <si>
    <t xml:space="preserve">B-C-067</t>
  </si>
  <si>
    <t xml:space="preserve">https://commercialobserver.com/2026/07/isaia-lease-feil-257-park-avenue-south/</t>
  </si>
  <si>
    <t xml:space="preserve">2026-07-21</t>
  </si>
  <si>
    <t xml:space="preserve">10-year renewal of 13,000 sf corporate showroom on the 10th floor. Mainly a showroom; onsite staff count unknown.</t>
  </si>
  <si>
    <t xml:space="preserve">linked from the company's own site (https://www.isaia.it/, opened 2026-10-24); LinkedIn not opened</t>
  </si>
  <si>
    <t xml:space="preserve">AO-W-003</t>
  </si>
  <si>
    <t xml:space="preserve">Industrious Union Square on Broadway</t>
  </si>
  <si>
    <t xml:space="preserve">155</t>
  </si>
  <si>
    <t xml:space="preserve">860 Broadway, 6th Floor, New York, NY 10003</t>
  </si>
  <si>
    <t xml:space="preserve">6th Floor</t>
  </si>
  <si>
    <t xml:space="preserve">B-W-003</t>
  </si>
  <si>
    <t xml:space="preserve">https://www.deskpass.com/us-en/ny/new-york-city</t>
  </si>
  <si>
    <t xml:space="preserve">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</si>
  <si>
    <t xml:space="preserve">parent 'industrious' shared with AO-W-007, AO-W-016, AO-W-008, AO-W-014, AO-W-005, AO-W-027</t>
  </si>
  <si>
    <t xml:space="preserve">AO-C-161</t>
  </si>
  <si>
    <t xml:space="preserve">Institute for Integrative Nutrition</t>
  </si>
  <si>
    <t xml:space="preserve">156</t>
  </si>
  <si>
    <t xml:space="preserve">245 Fifth Avenue</t>
  </si>
  <si>
    <t xml:space="preserve">online education (health coaching)</t>
  </si>
  <si>
    <t xml:space="preserve">B-C-161</t>
  </si>
  <si>
    <t xml:space="preserve">B-B-074</t>
  </si>
  <si>
    <t xml:space="preserve">245 Fifth Avenue (Moinian Group)</t>
  </si>
  <si>
    <t xml:space="preserve">https://commercialobserver.com/2025/03/institute-of-integrative-nutrition-moinian-group-245-fifth-avenue/</t>
  </si>
  <si>
    <t xml:space="preserve">2025-03-03</t>
  </si>
  <si>
    <t xml:space="preserve">https://www.metro-manhattan.com/buildings/245-fifth-avenue-office-space-for-lease/</t>
  </si>
  <si>
    <t xml:space="preserve">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</si>
  <si>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AO-C-100</t>
  </si>
  <si>
    <t xml:space="preserve">LaForce</t>
  </si>
  <si>
    <t xml:space="preserve">https://www.laforce.com/</t>
  </si>
  <si>
    <t xml:space="preserve">laforce.com</t>
  </si>
  <si>
    <t xml:space="preserve">Public relations / communications agency</t>
  </si>
  <si>
    <t xml:space="preserve">B-C-100</t>
  </si>
  <si>
    <t xml:space="preserve">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</si>
  <si>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AO-C-045</t>
  </si>
  <si>
    <t xml:space="preserve">LoveShackFancy</t>
  </si>
  <si>
    <t xml:space="preserve">https://www.loveshackfancy.com</t>
  </si>
  <si>
    <t xml:space="preserve">loveshackfancy.com</t>
  </si>
  <si>
    <t xml:space="preserve">158</t>
  </si>
  <si>
    <t xml:space="preserve">fashion brand</t>
  </si>
  <si>
    <t xml:space="preserve">https://www.linkedin.com/company/loveshackfancy</t>
  </si>
  <si>
    <t xml:space="preserve">B-C-045</t>
  </si>
  <si>
    <t xml:space="preserve">https://commercialobserver.com/2025/04/radar-labs-lease-111-fifth-avenue/</t>
  </si>
  <si>
    <t xml:space="preserve">2025-04-17</t>
  </si>
  <si>
    <t xml:space="preserve">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</si>
  <si>
    <t xml:space="preserve">linked from the company's own site (https://www.loveshackfancy.com/, opened 2026-10-24); LinkedIn not opened</t>
  </si>
  <si>
    <t xml:space="preserve">AO-W-021</t>
  </si>
  <si>
    <t xml:space="preserve">Luminary</t>
  </si>
  <si>
    <t xml:space="preserve">https://www.weareluminary.com</t>
  </si>
  <si>
    <t xml:space="preserve">weareluminary.com</t>
  </si>
  <si>
    <t xml:space="preserve">159</t>
  </si>
  <si>
    <t xml:space="preserve">1204 Broadway, 4th Floor, New York, NY 10001</t>
  </si>
  <si>
    <t xml:space="preserve">B-W-021</t>
  </si>
  <si>
    <t xml:space="preserve">https://www.weareluminary.com/home</t>
  </si>
  <si>
    <t xml:space="preserve">https://api.deskpass.com/api/spaces/luminary</t>
  </si>
  <si>
    <t xml:space="preserve">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</si>
  <si>
    <t xml:space="preserve">AO-C-104</t>
  </si>
  <si>
    <t xml:space="preserve">Madison Square Park Conservancy</t>
  </si>
  <si>
    <t xml:space="preserve">https://madisonsquarepark.org/</t>
  </si>
  <si>
    <t xml:space="preserve">madisonsquarepark.org</t>
  </si>
  <si>
    <t xml:space="preserve">Nonprofit (public park conservancy)</t>
  </si>
  <si>
    <t xml:space="preserve">https://www.linkedin.com/company/madison-square-park-conservancy</t>
  </si>
  <si>
    <t xml:space="preserve">B-C-104</t>
  </si>
  <si>
    <t xml:space="preserve">https://madisonsquarepark.org/park/contact/</t>
  </si>
  <si>
    <t xml:space="preserve">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</si>
  <si>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(https://madisonsquarepark.org/, opened 2026-10-24); LinkedIn not opened</t>
  </si>
  <si>
    <t xml:space="preserve">AO-C-107</t>
  </si>
  <si>
    <t xml:space="preserve">MediaCo Holding (HOT 97, WBLS)</t>
  </si>
  <si>
    <t xml:space="preserve">https://www.mediacoholding.com/</t>
  </si>
  <si>
    <t xml:space="preserve">mediacoholding.com</t>
  </si>
  <si>
    <t xml:space="preserve">161</t>
  </si>
  <si>
    <t xml:space="preserve">Media (radio and digital)</t>
  </si>
  <si>
    <t xml:space="preserve">B-C-107</t>
  </si>
  <si>
    <t xml:space="preserve">https://commercialobserver.com/2026/08/sapien-ai-lease-kaufman-organization-48-west-25th-street/</t>
  </si>
  <si>
    <t xml:space="preserve">2026-08-03</t>
  </si>
  <si>
    <t xml:space="preserve">25,000 sf</t>
  </si>
  <si>
    <t xml:space="preserve">CO Aug 2026: MediaCo Holding, parent of HOT 97 and WBLS, signed a 16-year, 25,000 sf lease at 48 W 25th St in 2023 (one of the most recent tenants before the Kaufman purchase). CO Jan 2023 headline (seen on CO tag page) reported the relocation. Headcount not found in an opened source.</t>
  </si>
  <si>
    <t xml:space="preserve">AO-C-132</t>
  </si>
  <si>
    <t xml:space="preserve">Mega 97.9 (radio station)</t>
  </si>
  <si>
    <t xml:space="preserve">media (radio)</t>
  </si>
  <si>
    <t xml:space="preserve">B-C-132</t>
  </si>
  <si>
    <t xml:space="preserve">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</si>
  <si>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AO-W-023</t>
  </si>
  <si>
    <t xml:space="preserve">Nomadworks 1216 Broadway</t>
  </si>
  <si>
    <t xml:space="preserve">https://nomadworks.com</t>
  </si>
  <si>
    <t xml:space="preserve">nomadworks.com</t>
  </si>
  <si>
    <t xml:space="preserve">163</t>
  </si>
  <si>
    <t xml:space="preserve">1216 Broadway, Floor 2, New York, NY 10001</t>
  </si>
  <si>
    <t xml:space="preserve">Floor 2</t>
  </si>
  <si>
    <t xml:space="preserve">B-W-023</t>
  </si>
  <si>
    <t xml:space="preserve">Nomadworks</t>
  </si>
  <si>
    <t xml:space="preserve">https://nomadworks.com/</t>
  </si>
  <si>
    <t xml:space="preserve">https://api.deskpass.com/api/spaces/nomadworks</t>
  </si>
  <si>
    <t xml:space="preserve">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</si>
  <si>
    <t xml:space="preserve">AO-W-022</t>
  </si>
  <si>
    <t xml:space="preserve">Sage Workspace</t>
  </si>
  <si>
    <t xml:space="preserve">https://www.sageworkspace.com</t>
  </si>
  <si>
    <t xml:space="preserve">sageworkspace.com</t>
  </si>
  <si>
    <t xml:space="preserve">164</t>
  </si>
  <si>
    <t xml:space="preserve">276 Fifth Avenue, Suite 704, New York, NY 10001</t>
  </si>
  <si>
    <t xml:space="preserve">Suite 704</t>
  </si>
  <si>
    <t xml:space="preserve">B-W-022</t>
  </si>
  <si>
    <t xml:space="preserve">SaGE Workspace</t>
  </si>
  <si>
    <t xml:space="preserve">https://www.sageworkspace.com/</t>
  </si>
  <si>
    <t xml:space="preserve">https://api.deskpass.com/api/spaces/sage-workspace</t>
  </si>
  <si>
    <t xml:space="preserve">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</si>
  <si>
    <t xml:space="preserve">AO-W-011</t>
  </si>
  <si>
    <t xml:space="preserve">Select Office Suites Flatiron</t>
  </si>
  <si>
    <t xml:space="preserve">https://www.selectofficesuites.com</t>
  </si>
  <si>
    <t xml:space="preserve">selectofficesuites.com</t>
  </si>
  <si>
    <t xml:space="preserve">1115 Broadway (16 Madison Square West), Floors 9-12, New York, NY 10010</t>
  </si>
  <si>
    <t xml:space="preserve">Floors 9-12</t>
  </si>
  <si>
    <t xml:space="preserve">B-W-011</t>
  </si>
  <si>
    <t xml:space="preserve">Select Office Suites</t>
  </si>
  <si>
    <t xml:space="preserve">https://www.selectofficesuites.com/office-space-for-rent-flatiron-district-new-york-city/</t>
  </si>
  <si>
    <t xml:space="preserve">https://liquidspace.com/US/NY/new-york/select-office-suites-flatiron</t>
  </si>
  <si>
    <t xml:space="preserve">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</si>
  <si>
    <t xml:space="preserve">AO-C-039</t>
  </si>
  <si>
    <t xml:space="preserve">Stone Source</t>
  </si>
  <si>
    <t xml:space="preserve">architectural stone and tile supplier</t>
  </si>
  <si>
    <t xml:space="preserve">B-C-039</t>
  </si>
  <si>
    <t xml:space="preserve">19,092 sf</t>
  </si>
  <si>
    <t xml:space="preserve">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</si>
  <si>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AO-C-087</t>
  </si>
  <si>
    <t xml:space="preserve">The Information</t>
  </si>
  <si>
    <t xml:space="preserve">https://www.theinformation.com</t>
  </si>
  <si>
    <t xml:space="preserve">theinformation.com</t>
  </si>
  <si>
    <t xml:space="preserve">167</t>
  </si>
  <si>
    <t xml:space="preserve">20 West 22nd Street</t>
  </si>
  <si>
    <t xml:space="preserve">10 (Suite 1006)</t>
  </si>
  <si>
    <t xml:space="preserve">digital media (tech news)</t>
  </si>
  <si>
    <t xml:space="preserve">https://www.linkedin.com/company/theinformation</t>
  </si>
  <si>
    <t xml:space="preserve">B-C-087</t>
  </si>
  <si>
    <t xml:space="preserve">B-B-040</t>
  </si>
  <si>
    <t xml:space="preserve">20 West 22nd Street (ABS Partners, managing agent)</t>
  </si>
  <si>
    <t xml:space="preserve">https://www.theinformation.com/about</t>
  </si>
  <si>
    <t xml:space="preserve">https://commercialobserver.com/2022/06/the-information-20-west-22nd-street/</t>
  </si>
  <si>
    <t xml:space="preserve">2022-06-15</t>
  </si>
  <si>
    <t xml:space="preserve">5,830 sf</t>
  </si>
  <si>
    <t xml:space="preserve">About page lists the East Coast Bureau at 20 West 22nd Street, Suite 1006. CO 2022: 5,830 sf on part of the 10th floor. San Francisco HQ; NYC bureau headcount not sourced.</t>
  </si>
  <si>
    <t xml:space="preserve">linked from the company's own site (https://www.theinformation.com/, opened 2026-10-24); LinkedIn not opened</t>
  </si>
  <si>
    <t xml:space="preserve">AO-W-015</t>
  </si>
  <si>
    <t xml:space="preserve">The Yard: Flatiron South</t>
  </si>
  <si>
    <t xml:space="preserve">https://theyard.com</t>
  </si>
  <si>
    <t xml:space="preserve">theyard.com</t>
  </si>
  <si>
    <t xml:space="preserve">168</t>
  </si>
  <si>
    <t xml:space="preserve">234 Fifth Avenue, 2nd Floor, New York, NY 10001</t>
  </si>
  <si>
    <t xml:space="preserve">2nd Floor</t>
  </si>
  <si>
    <t xml:space="preserve">B-W-015</t>
  </si>
  <si>
    <t xml:space="preserve">The Yard</t>
  </si>
  <si>
    <t xml:space="preserve">https://theyard.com/the-yard-new-york-city/</t>
  </si>
  <si>
    <t xml:space="preserve">https://www.deskpass.com/us-en/ny/new-york-city/coworking-space/nomad</t>
  </si>
  <si>
    <t xml:space="preserve">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</si>
  <si>
    <t xml:space="preserve">AO-C-080</t>
  </si>
  <si>
    <t xml:space="preserve">Varley</t>
  </si>
  <si>
    <t xml:space="preserve">https://www.varley.com</t>
  </si>
  <si>
    <t xml:space="preserve">varley.com</t>
  </si>
  <si>
    <t xml:space="preserve">169</t>
  </si>
  <si>
    <t xml:space="preserve">155 Fifth Avenue</t>
  </si>
  <si>
    <t xml:space="preserve">fashion brand (offices)</t>
  </si>
  <si>
    <t xml:space="preserve">B-C-080</t>
  </si>
  <si>
    <t xml:space="preserve">B-B-037</t>
  </si>
  <si>
    <t xml:space="preserve">Scribner Building</t>
  </si>
  <si>
    <t xml:space="preserve">https://commercialobserver.com/2025/04/vitesse-psp-lease-155-fifth-avenue/</t>
  </si>
  <si>
    <t xml:space="preserve">2025-04-25</t>
  </si>
  <si>
    <t xml:space="preserve">CO lists 'the offices of fashion retailer Varley' as the only other tenant at 155 Fifth. Contact page opened shows no address.</t>
  </si>
  <si>
    <t xml:space="preserve">AO-C-026</t>
  </si>
  <si>
    <t xml:space="preserve">Walleye Financial</t>
  </si>
  <si>
    <t xml:space="preserve">investment firm</t>
  </si>
  <si>
    <t xml:space="preserve">B-C-026</t>
  </si>
  <si>
    <t xml:space="preserve">Named 'investment firm Walleye Financial' in CO 2026-10-19. Not confirmed whether this is the same firm as Walleye Capital (Built In: 181 employees, HQ Plymouth MN); headcount left unknown.</t>
  </si>
  <si>
    <t xml:space="preserve">AO-W-004</t>
  </si>
  <si>
    <t xml:space="preserve">WeWork 18 West 18th Street</t>
  </si>
  <si>
    <t xml:space="preserve">https://www.wework.com</t>
  </si>
  <si>
    <t xml:space="preserve">wework.com</t>
  </si>
  <si>
    <t xml:space="preserve">171</t>
  </si>
  <si>
    <t xml:space="preserve">18 West 18th Street, New York, NY 10011</t>
  </si>
  <si>
    <t xml:space="preserve">grp-W004-W018-W020-W024-W026-W029</t>
  </si>
  <si>
    <t xml:space="preserve">B-W-004</t>
  </si>
  <si>
    <t xml:space="preserve">WeWork</t>
  </si>
  <si>
    <t xml:space="preserve">B-B-014</t>
  </si>
  <si>
    <t xml:space="preserve">18 West 18th Street</t>
  </si>
  <si>
    <t xml:space="preserve">https://www.wework.com/buildings/18-west-18th-street--new-york-city--NY</t>
  </si>
  <si>
    <t xml:space="preserve">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</si>
  <si>
    <t xml:space="preserve">parent 'wework' shared with AO-W-024, AO-W-018, AO-W-029, AO-W-026, AO-W-020</t>
  </si>
  <si>
    <t xml:space="preserve">AO-W-024</t>
  </si>
  <si>
    <t xml:space="preserve">WeWork 450 Park Ave S</t>
  </si>
  <si>
    <t xml:space="preserve">172</t>
  </si>
  <si>
    <t xml:space="preserve">450 Park Avenue South, New York, NY 10016</t>
  </si>
  <si>
    <t xml:space="preserve">B-W-024</t>
  </si>
  <si>
    <t xml:space="preserve">B-B-081</t>
  </si>
  <si>
    <t xml:space="preserve">450 Park Avenue South</t>
  </si>
  <si>
    <t xml:space="preserve">https://www.wework.com/buildings/450-park-ave-s--new-york-city--NY</t>
  </si>
  <si>
    <t xml:space="preserve">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</si>
  <si>
    <t xml:space="preserve">parent 'wework' shared with AO-W-004, AO-W-018, AO-W-029, AO-W-026, AO-W-020</t>
  </si>
  <si>
    <t xml:space="preserve">AO-C-064</t>
  </si>
  <si>
    <t xml:space="preserve">William Grant &amp; Sons</t>
  </si>
  <si>
    <t xml:space="preserve">https://www.williamgrant.com</t>
  </si>
  <si>
    <t xml:space="preserve">williamgrant.com</t>
  </si>
  <si>
    <t xml:space="preserve">173</t>
  </si>
  <si>
    <t xml:space="preserve">902 Broadway</t>
  </si>
  <si>
    <t xml:space="preserve">spirits company (U.S. office)</t>
  </si>
  <si>
    <t xml:space="preserve">B-C-064</t>
  </si>
  <si>
    <t xml:space="preserve">https://commercialobserver.com/2024/12/william-grant-sons-lease-902-broadway/</t>
  </si>
  <si>
    <t xml:space="preserve">2024-12-03</t>
  </si>
  <si>
    <t xml:space="preserve">https://commercialobserver.com/2026/03/hudson-companies-broadway-builders-lease-902-broadway/</t>
  </si>
  <si>
    <t xml:space="preserve">2026-03-24</t>
  </si>
  <si>
    <t xml:space="preserve">27,160 sf</t>
  </si>
  <si>
    <t xml:space="preserve">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</si>
  <si>
    <t xml:space="preserve">AO-C-223</t>
  </si>
  <si>
    <t xml:space="preserve">MSQ Partners</t>
  </si>
  <si>
    <t xml:space="preserve">https://www.msqpartners.com/</t>
  </si>
  <si>
    <t xml:space="preserve">msqpartners.com</t>
  </si>
  <si>
    <t xml:space="preserve">174</t>
  </si>
  <si>
    <t xml:space="preserve">33.7</t>
  </si>
  <si>
    <t xml:space="preserve">8 and part of 7</t>
  </si>
  <si>
    <t xml:space="preserve">Marketing / creative agency</t>
  </si>
  <si>
    <t xml:space="preserve">1850</t>
  </si>
  <si>
    <t xml:space="preserve">https://www.linkedin.com/company/msq-partners</t>
  </si>
  <si>
    <t xml:space="preserve">Tuesday estimate 153 to 306 (low confidence), 1,001 to 4,999 staff company-wide, no attendance signal, occupancy-unconfirmed at a medium-confidence address</t>
  </si>
  <si>
    <t xml:space="preserve">B-C-223</t>
  </si>
  <si>
    <t xml:space="preserve">https://www.msqpartners.com/about</t>
  </si>
  <si>
    <t xml:space="preserve">1850 (msqpartners.com) staff (whole-company count) x 5% to 100% of them in the New York office (HQ city unknown; share assumed) x 57% (Partnership for NYC, all Manhattan firms; no figure for 500 to 4,999) in on a weekday; space-based for a company headquartered outside New York: 38,273 sf seats 153 to 306 at 250 to 125 sf per person, kept within the headcount math (53 to 1054) (largest square footage the sources mention at this address; if the company holds more space here, intake corrects it) = 153 to 306, central 216; low confidence; estimate until intake replaces it.</t>
  </si>
  <si>
    <t xml:space="preserve">38,273 sf</t>
  </si>
  <si>
    <t xml:space="preserve">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</si>
  <si>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company's own site (https://www.msqpartners.com/, opened 2026-10-24); LinkedIn not opened</t>
  </si>
  <si>
    <t xml:space="preserve">AO-C-258</t>
  </si>
  <si>
    <t xml:space="preserve">Jump Trading</t>
  </si>
  <si>
    <t xml:space="preserve">https://www.jumptrading.com</t>
  </si>
  <si>
    <t xml:space="preserve">jumptrading.com</t>
  </si>
  <si>
    <t xml:space="preserve">33.3</t>
  </si>
  <si>
    <t xml:space="preserve">2000</t>
  </si>
  <si>
    <t xml:space="preserve">https://www.linkedin.com/company/jump-trading</t>
  </si>
  <si>
    <t xml:space="preserve">Tuesday estimate 57 to 1140 (low confidence), 1,001 to 4,999 staff company-wide, no attendance signal, occupied at a medium-confidence address</t>
  </si>
  <si>
    <t xml:space="preserve">B-C-258</t>
  </si>
  <si>
    <t xml:space="preserve">https://en.wikipedia.org/wiki/Jump_Trading</t>
  </si>
  <si>
    <t xml:space="preserve">2000 (Wikipedia) staff (whole-company count) x 5% to 100% of them in the New York office (HQ city unknown; share assumed) x 57% (Partnership for NYC, all Manhattan firms; no figure for 500 to 4,999) in on a weekday = 57 to 1140, central 255; low confidence; estimate until intake replaces it.</t>
  </si>
  <si>
    <t xml:space="preserve">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</si>
  <si>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(https://www.jumptrading.com/, opened 2026-10-24); LinkedIn not opened</t>
  </si>
  <si>
    <t xml:space="preserve">AO-C-246</t>
  </si>
  <si>
    <t xml:space="preserve">Tempus AI</t>
  </si>
  <si>
    <t xml:space="preserve">new</t>
  </si>
  <si>
    <t xml:space="preserve">office</t>
  </si>
  <si>
    <t xml:space="preserve">occupancy-unconfirmed</t>
  </si>
  <si>
    <t xml:space="preserve">Tuesday estimate 158 to 317 (low confidence), 1,001 to 4,999 staff company-wide, no attendance signal, occupancy-unconfirmed at a medium-confidence address</t>
  </si>
  <si>
    <t xml:space="preserve">B-C-246</t>
  </si>
  <si>
    <t xml:space="preserve">https://www.tempus.com/</t>
  </si>
  <si>
    <t xml:space="preserve">Healthcare technology / AI</t>
  </si>
  <si>
    <t xml:space="preserve">2300</t>
  </si>
  <si>
    <t xml:space="preserve">https://en.wikipedia.org/wiki/Tempus_AI</t>
  </si>
  <si>
    <t xml:space="preserve">https://www.linkedin.com/company/4tempus</t>
  </si>
  <si>
    <t xml:space="preserve">https://commercialobserver.com/2026/07/ai-firm-legora-takes-98k-sl-greens-11-madison-avenue/</t>
  </si>
  <si>
    <t xml:space="preserve">2026-07-23</t>
  </si>
  <si>
    <t xml:space="preserve">2300 (Wikipedia) staff (whole-company count) x 5% to 100% of them in the New York office (HQ city unknown; share assumed) x 57% (Partnership for NYC, all Manhattan firms; no figure for 500 to 4,999) in on a weekday; space-based for a company headquartered outside New York: 39,565 sf seats 158 to 317 at 250 to 125 sf per person, kept within the headcount math (66 to 1311) (largest square footage the sources mention at this address; if the company holds more space here, intake corrects it) = 158 to 317, central 224; low confidence; estimate until intake replaces it.</t>
  </si>
  <si>
    <t xml:space="preserve">39,565 sf</t>
  </si>
  <si>
    <t xml:space="preserve">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</si>
  <si>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Org's company record (https://theorg.com/org/tempus, opened 2026-10-24); LinkedIn not opened</t>
  </si>
  <si>
    <t xml:space="preserve">AO-C-266</t>
  </si>
  <si>
    <t xml:space="preserve">Lockton Re</t>
  </si>
  <si>
    <t xml:space="preserve">https://commercialobserver.com/2023/07/lockton-re-relocating-to-19k-sf-at-261-fifth-avenue/</t>
  </si>
  <si>
    <t xml:space="preserve">Tuesday estimate 77 to 155 (low confidence), 5,000+ staff company-wide with a named parent (Lockton Companies), no attendance signal, occupancy-unconfirmed at a low-confidence address</t>
  </si>
  <si>
    <t xml:space="preserve">B-C-266</t>
  </si>
  <si>
    <t xml:space="preserve">https://global.lockton.com/re/en</t>
  </si>
  <si>
    <t xml:space="preserve">reinsurance brokerage</t>
  </si>
  <si>
    <t xml:space="preserve">13100</t>
  </si>
  <si>
    <t xml:space="preserve">https://en.wikipedia.org/wiki/Lockton_Companies</t>
  </si>
  <si>
    <t xml:space="preserve">Lockton Companies</t>
  </si>
  <si>
    <t xml:space="preserve">https://www.linkedin.com/company/locktonre</t>
  </si>
  <si>
    <t xml:space="preserve">2023-07</t>
  </si>
  <si>
    <t xml:space="preserve">https://rebusinessonline.com/lockton-re-signs-19326-sf-office-lease-in-manhattans-nomad-district/</t>
  </si>
  <si>
    <t xml:space="preserve">2023-07-17</t>
  </si>
  <si>
    <t xml:space="preserve">13100 (Wikipedia) staff (whole-company count) x 5% to 100% of them in the New York office (HQ city unknown; share assumed) x 46% (Partnership for NYC, firms over 5,000) in on a weekday; space-based for a company headquartered outside New York: 19,326 sf seats 77 to 155 at 250 to 125 sf per person, kept within the headcount math (301 to 6026) (largest square footage the sources mention at this address; if the company holds more space here, intake corrects it) = 77 to 155, central 109; low confidence; estimate until intake replaces it.</t>
  </si>
  <si>
    <t xml:space="preserve">19,326 sf</t>
  </si>
  <si>
    <t xml:space="preserve">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</si>
  <si>
    <t xml:space="preserve">linked from the company's own site (https://global.lockton.com/re/en, opened 2026-10-24); LinkedIn not opened</t>
  </si>
  <si>
    <t xml:space="preserve">AO-C-040</t>
  </si>
  <si>
    <t xml:space="preserve">Farmacy Beauty</t>
  </si>
  <si>
    <t xml:space="preserve">https://www.farmacybeauty.com/pages/contact-us</t>
  </si>
  <si>
    <t xml:space="preserve">occupied</t>
  </si>
  <si>
    <t xml:space="preserve">Tuesday headcount unknown (no sourced count), company size unknown with a named parent (Procter &amp; Gamble), no attendance signal, occupied at a high-confidence address</t>
  </si>
  <si>
    <t xml:space="preserve">B-C-040</t>
  </si>
  <si>
    <t xml:space="preserve">https://www.farmacybeauty.com</t>
  </si>
  <si>
    <t xml:space="preserve">skincare brand</t>
  </si>
  <si>
    <t xml:space="preserve">Procter &amp; Gamble</t>
  </si>
  <si>
    <t xml:space="preserve">https://www.linkedin.com/company/farmacy-beauty</t>
  </si>
  <si>
    <t xml:space="preserve">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</si>
  <si>
    <t xml:space="preserve">linked from the company's own site (https://www.farmacybeauty.com/, opened 2026-10-24); LinkedIn not opened</t>
  </si>
  <si>
    <t xml:space="preserve">AO-C-006</t>
  </si>
  <si>
    <t xml:space="preserve">Perplexity</t>
  </si>
  <si>
    <t xml:space="preserve">New or renewed lease at 853 Broadway reported 2026-03-05</t>
  </si>
  <si>
    <t xml:space="preserve">https://nyrej.com/perplexity-expands-presence-at-841-853-broadway</t>
  </si>
  <si>
    <t xml:space="preserve">2026-03-05</t>
  </si>
  <si>
    <t xml:space="preserve">4 (plus 4th floor of adjoining 841 Broadway)</t>
  </si>
  <si>
    <t xml:space="preserve">Tuesday headcount unknown (no sourced count), company size unknown, no attendance signal, occupancy-unconfirmed at a high-confidence address</t>
  </si>
  <si>
    <t xml:space="preserve">B-C-006</t>
  </si>
  <si>
    <t xml:space="preserve">https://www.perplexity.ai</t>
  </si>
  <si>
    <t xml:space="preserve">AI search</t>
  </si>
  <si>
    <t xml:space="preserve">22,000 sf;14,000 sf;8,000 sf</t>
  </si>
  <si>
    <t xml:space="preserve">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</si>
  <si>
    <t xml:space="preserve">AO-C-210</t>
  </si>
  <si>
    <t xml:space="preserve">dsm-firmenich</t>
  </si>
  <si>
    <t xml:space="preserve">https://commercialobserver.com/2026/09/stash-financial-lease-641-avenue-of-the-americas/</t>
  </si>
  <si>
    <t xml:space="preserve">641 Avenue of the Americas</t>
  </si>
  <si>
    <t xml:space="preserve">Tuesday estimate 180 to 360 (low confidence), 5,000+ staff company-wide, no attendance signal, occupied at a medium-confidence address</t>
  </si>
  <si>
    <t xml:space="preserve">B-C-210</t>
  </si>
  <si>
    <t xml:space="preserve">https://www.dsm-firmenich.com</t>
  </si>
  <si>
    <t xml:space="preserve">fragrance and nutrition ingredients</t>
  </si>
  <si>
    <t xml:space="preserve">30000</t>
  </si>
  <si>
    <t xml:space="preserve">https://en.wikipedia.org/wiki/DSM-Firmenich</t>
  </si>
  <si>
    <t xml:space="preserve">https://www.linkedin.com/company/dsm-firmenich</t>
  </si>
  <si>
    <t xml:space="preserve">B-B-026</t>
  </si>
  <si>
    <t xml:space="preserve">635-641 Avenue of the Americas (Spear Street Capital)</t>
  </si>
  <si>
    <t xml:space="preserve">https://commercialobserver.com/2024/10/dsm-firmenich-lease-641-avenue-of-the-americas/</t>
  </si>
  <si>
    <t xml:space="preserve">2024-10-17</t>
  </si>
  <si>
    <t xml:space="preserve">30000 (Wikipedia) staff (whole-company count) x 5% to 100% of them in the New York office (HQ city unknown; share assumed) x 46% (Partnership for NYC, firms over 5,000) in on a weekday; space-based for a company headquartered outside New York: 45,000 sf seats 180 to 360 at 250 to 125 sf per person, kept within the headcount math (690 to 13800) (largest square footage the sources mention at this address; if the company holds more space here, intake corrects it) = 180 to 360, central 255; low confidence; estimate until intake replaces it.</t>
  </si>
  <si>
    <t xml:space="preserve">45,000 sf</t>
  </si>
  <si>
    <t xml:space="preserve">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</si>
  <si>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linked from the company's own site (https://www.dsm-firmenich.com/en/home.html, opened 2026-10-24); LinkedIn not opened</t>
  </si>
  <si>
    <t xml:space="preserve">AO-C-041</t>
  </si>
  <si>
    <t xml:space="preserve">Fresh (LVMH)</t>
  </si>
  <si>
    <t xml:space="preserve">Tuesday headcount unknown (no sourced count), company size unknown with a named parent (LVMH), no attendance signal, occupied at a medium-confidence address</t>
  </si>
  <si>
    <t xml:space="preserve">B-C-041</t>
  </si>
  <si>
    <t xml:space="preserve">https://www.fresh.com</t>
  </si>
  <si>
    <t xml:space="preserve">cosmetics brand</t>
  </si>
  <si>
    <t xml:space="preserve">LVMH</t>
  </si>
  <si>
    <t xml:space="preserve">26,600 sf</t>
  </si>
  <si>
    <t xml:space="preserve">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</si>
  <si>
    <t xml:space="preserve">AO-C-015</t>
  </si>
  <si>
    <t xml:space="preserve">Gresham Investment Management</t>
  </si>
  <si>
    <t xml:space="preserve">https://www.greshamllc.com/contact</t>
  </si>
  <si>
    <t xml:space="preserve">19 Union Square West</t>
  </si>
  <si>
    <t xml:space="preserve">Tuesday headcount unknown (no sourced count), company size unknown with a named parent (Nuveen), no attendance signal, occupied at a medium-confidence address</t>
  </si>
  <si>
    <t xml:space="preserve">B-C-015</t>
  </si>
  <si>
    <t xml:space="preserve">https://www.greshamllc.com</t>
  </si>
  <si>
    <t xml:space="preserve">investment management (commodities)</t>
  </si>
  <si>
    <t xml:space="preserve">Nuveen</t>
  </si>
  <si>
    <t xml:space="preserve">B-B-005</t>
  </si>
  <si>
    <t xml:space="preserve">https://www.mannpublications.com/mannreport/2024/06/10/hedge-fund-manager-relocates-to-19-union-square-west/</t>
  </si>
  <si>
    <t xml:space="preserve">2024-06-10</t>
  </si>
  <si>
    <t xml:space="preserve">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</si>
  <si>
    <t xml:space="preserve">AO-C-093</t>
  </si>
  <si>
    <t xml:space="preserve">Kodansha USA</t>
  </si>
  <si>
    <t xml:space="preserve">https://kodansha.us/privacy-policy/</t>
  </si>
  <si>
    <t xml:space="preserve">25 East 22nd Street</t>
  </si>
  <si>
    <t xml:space="preserve">building owner-occupant</t>
  </si>
  <si>
    <t xml:space="preserve">Tuesday headcount unknown (no sourced count), company size unknown with a named parent (Kodansha), no attendance signal, occupied at a medium-confidence address</t>
  </si>
  <si>
    <t xml:space="preserve">B-C-093</t>
  </si>
  <si>
    <t xml:space="preserve">https://kodansha.us/</t>
  </si>
  <si>
    <t xml:space="preserve">Publishing (manga and books)</t>
  </si>
  <si>
    <t xml:space="preserve">Kodansha</t>
  </si>
  <si>
    <t xml:space="preserve">B-B-045</t>
  </si>
  <si>
    <t xml:space="preserve">25 East 22nd Street (owner-occupied by Kodansha)</t>
  </si>
  <si>
    <t xml:space="preserve">https://flatironnomad.nyc/2024/02/07/january-news-roundup-5/</t>
  </si>
  <si>
    <t xml:space="preserve">2024-02-07</t>
  </si>
  <si>
    <t xml:space="preserve">17,000 sf</t>
  </si>
  <si>
    <t xml:space="preserve">Kodansha USA privacy policy (live) gives 25 East 22nd Street, New York, NY 10010. FNP Feb 2024 roundup (citing Crain's) reports Kodansha bought the six-story, 17,000 sf building. Headcount not found in an opened source.</t>
  </si>
  <si>
    <t xml:space="preserve">AO-C-036</t>
  </si>
  <si>
    <t xml:space="preserve">Matador Content</t>
  </si>
  <si>
    <t xml:space="preserve">Tuesday headcount unknown (no sourced count), company size unknown with a named parent (Boat Rocker Media), no attendance signal, occupied at a medium-confidence address</t>
  </si>
  <si>
    <t xml:space="preserve">B-C-036</t>
  </si>
  <si>
    <t xml:space="preserve">TV and film production</t>
  </si>
  <si>
    <t xml:space="preserve">Boat Rocker Media</t>
  </si>
  <si>
    <t xml:space="preserve">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</si>
  <si>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AO-C-232</t>
  </si>
  <si>
    <t xml:space="preserve">TKO Group Holdings</t>
  </si>
  <si>
    <t xml:space="preserve">https://tkogrp.com/privacy-policy/</t>
  </si>
  <si>
    <t xml:space="preserve">200 Fifth Avenue</t>
  </si>
  <si>
    <t xml:space="preserve">Tuesday estimate 114 to 2280 (low confidence), 1,001 to 4,999 staff company-wide, no attendance signal, occupied at a high-confidence address</t>
  </si>
  <si>
    <t xml:space="preserve">B-C-232</t>
  </si>
  <si>
    <t xml:space="preserve">https://tkogrp.com/</t>
  </si>
  <si>
    <t xml:space="preserve">Sports entertainment (WWE, UFC parent)</t>
  </si>
  <si>
    <t xml:space="preserve">https://en.wikipedia.org/wiki/TKO_Group_Holdings</t>
  </si>
  <si>
    <t xml:space="preserve">https://www.linkedin.com/company/96878012</t>
  </si>
  <si>
    <t xml:space="preserve">https://en.wikipedia.org/wiki/200_Fifth_Avenue</t>
  </si>
  <si>
    <t xml:space="preserve">4000 (Wikipedia) staff (whole-company count) x 5% to 100% of them in the New York office (HQ city unknown; share assumed) x 57% (Partnership for NYC, all Manhattan firms; no figure for 500 to 4,999) in on a weekday = 114 to 2280, central 510; low confidence; estimate until intake replaces it.</t>
  </si>
  <si>
    <t xml:space="preserve">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</si>
  <si>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linked from the company's own site (https://tkogrp.com/, opened 2026-10-24); LinkedIn not opened</t>
  </si>
  <si>
    <t xml:space="preserve">AO-C-166</t>
  </si>
  <si>
    <t xml:space="preserve">Atlantic Vantage Point (AVP, formerly AXA Venture Partners)</t>
  </si>
  <si>
    <t xml:space="preserve">https://commercialobserver.com/2025/09/investment-firm-atlantic-vantage-point-takes-8k-sf-at-99-madison-avenue/</t>
  </si>
  <si>
    <t xml:space="preserve">99 Madison Avenue</t>
  </si>
  <si>
    <t xml:space="preserve">Tuesday headcount unknown (no sourced count), company size unknown, no attendance signal, occupancy-unconfirmed at a medium-confidence address</t>
  </si>
  <si>
    <t xml:space="preserve">B-C-166</t>
  </si>
  <si>
    <t xml:space="preserve">https://www.avp.vc</t>
  </si>
  <si>
    <t xml:space="preserve">venture capital and growth equity</t>
  </si>
  <si>
    <t xml:space="preserve">B-B-078</t>
  </si>
  <si>
    <t xml:space="preserve">99 Madison Avenue (Windsor Management)</t>
  </si>
  <si>
    <t xml:space="preserve">2025-09-22</t>
  </si>
  <si>
    <t xml:space="preserve">8,264 sf</t>
  </si>
  <si>
    <t xml:space="preserve">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</si>
  <si>
    <t xml:space="preserve">AO-C-112</t>
  </si>
  <si>
    <t xml:space="preserve">BrightTower</t>
  </si>
  <si>
    <t xml:space="preserve">New or renewed lease at 41 Madison Avenue reported 2026-03-09</t>
  </si>
  <si>
    <t xml:space="preserve">https://commercialobserver.com/2026/03/brighttower-lease-rudin-41-madison-avenue/</t>
  </si>
  <si>
    <t xml:space="preserve">B-C-112</t>
  </si>
  <si>
    <t xml:space="preserve">https://brighttower.com</t>
  </si>
  <si>
    <t xml:space="preserve">investment banking (M&amp;A advisory)</t>
  </si>
  <si>
    <t xml:space="preserve">https://www.linkedin.com/company/brighttower</t>
  </si>
  <si>
    <t xml:space="preserve">13,857 sf</t>
  </si>
  <si>
    <t xml:space="preserve">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</si>
  <si>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(https://brighttower.com/, opened 2026-10-24); LinkedIn not opened</t>
  </si>
  <si>
    <t xml:space="preserve">AO-C-167</t>
  </si>
  <si>
    <t xml:space="preserve">Davies Group</t>
  </si>
  <si>
    <t xml:space="preserve">New or renewed lease at 99 Madison Avenue reported 2025-11-04</t>
  </si>
  <si>
    <t xml:space="preserve">https://commercialobserver.com/2025/11/davies-group-lease-99-madison-avenue/</t>
  </si>
  <si>
    <t xml:space="preserve">2025-11-04</t>
  </si>
  <si>
    <t xml:space="preserve">B-C-167</t>
  </si>
  <si>
    <t xml:space="preserve">professional services and technology (insurance claims and consulting)</t>
  </si>
  <si>
    <t xml:space="preserve">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</si>
  <si>
    <t xml:space="preserve">AO-C-076</t>
  </si>
  <si>
    <t xml:space="preserve">Euclidean Capital</t>
  </si>
  <si>
    <t xml:space="preserve">https://commercialobserver.com/2025/01/euclidean-capital-lease-149-fifth-avenue/</t>
  </si>
  <si>
    <t xml:space="preserve">149 Fifth Avenue</t>
  </si>
  <si>
    <t xml:space="preserve">B-C-076</t>
  </si>
  <si>
    <t xml:space="preserve">investment management (family office)</t>
  </si>
  <si>
    <t xml:space="preserve">B-B-035</t>
  </si>
  <si>
    <t xml:space="preserve">2025-01-08</t>
  </si>
  <si>
    <t xml:space="preserve">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</si>
  <si>
    <t xml:space="preserve">AO-C-092</t>
  </si>
  <si>
    <t xml:space="preserve">Flexible Finance (Flex)</t>
  </si>
  <si>
    <t xml:space="preserve">top three floors</t>
  </si>
  <si>
    <t xml:space="preserve">B-C-092</t>
  </si>
  <si>
    <t xml:space="preserve">fintech (flexible rent payments)</t>
  </si>
  <si>
    <t xml:space="preserve">https://therealdeal.com/new-york/2025/09/02/top-office-leases-nyc-in-august-2025/</t>
  </si>
  <si>
    <t xml:space="preserve">41,000 sf</t>
  </si>
  <si>
    <t xml:space="preserve">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</si>
  <si>
    <t xml:space="preserve">AO-C-024</t>
  </si>
  <si>
    <t xml:space="preserve">Iterative Scopes</t>
  </si>
  <si>
    <t xml:space="preserve">B-C-024</t>
  </si>
  <si>
    <t xml:space="preserve">AI health care (gastroenterology software)</t>
  </si>
  <si>
    <t xml:space="preserve">CO 2026-10-19: took 6,500 sf at 120 Fifth Ave in April 2026. Website and headcount not confirmed.</t>
  </si>
  <si>
    <t xml:space="preserve">AO-C-062</t>
  </si>
  <si>
    <t xml:space="preserve">Manifest Law</t>
  </si>
  <si>
    <t xml:space="preserve">New or renewed lease at 902 Broadway reported 2026-08-06</t>
  </si>
  <si>
    <t xml:space="preserve">https://commercialobserver.com/2026/08/manifest-law-sublease-koeppel-rosen-902-broadway/</t>
  </si>
  <si>
    <t xml:space="preserve">2026-08-06</t>
  </si>
  <si>
    <t xml:space="preserve">B-C-062</t>
  </si>
  <si>
    <t xml:space="preserve">https://www.manifestlaw.com</t>
  </si>
  <si>
    <t xml:space="preserve">law firm (immigration, tech-enabled)</t>
  </si>
  <si>
    <t xml:space="preserve">18,200 sf</t>
  </si>
  <si>
    <t xml:space="preserve">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</si>
  <si>
    <t xml:space="preserve">AO-C-156</t>
  </si>
  <si>
    <t xml:space="preserve">Modern FL</t>
  </si>
  <si>
    <t xml:space="preserve">B-C-156</t>
  </si>
  <si>
    <t xml:space="preserve">furniture and lighting</t>
  </si>
  <si>
    <t xml:space="preserve">13,121 sf</t>
  </si>
  <si>
    <t xml:space="preserve">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</si>
  <si>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AO-C-049</t>
  </si>
  <si>
    <t xml:space="preserve">Phia</t>
  </si>
  <si>
    <t xml:space="preserve">New or renewed lease at 37 East 18th Street reported 2026-06-03</t>
  </si>
  <si>
    <t xml:space="preserve">penthouse</t>
  </si>
  <si>
    <t xml:space="preserve">B-C-049</t>
  </si>
  <si>
    <t xml:space="preserve">https://phia.com</t>
  </si>
  <si>
    <t xml:space="preserve">AI shopping assistant (consumer tech)</t>
  </si>
  <si>
    <t xml:space="preserve">https://www.linkedin.com/company/phia-co</t>
  </si>
  <si>
    <t xml:space="preserve">8,900 sf</t>
  </si>
  <si>
    <t xml:space="preserve">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</si>
  <si>
    <t xml:space="preserve">linked from the company's own site (https://phia.com/, opened 2026-10-24); LinkedIn not opened</t>
  </si>
  <si>
    <t xml:space="preserve">AO-C-110</t>
  </si>
  <si>
    <t xml:space="preserve">Purple (PR)</t>
  </si>
  <si>
    <t xml:space="preserve">New or renewed lease at 16 Madison Square West reported 2026-01-08</t>
  </si>
  <si>
    <t xml:space="preserve">full floor (number not stated)</t>
  </si>
  <si>
    <t xml:space="preserve">B-C-110</t>
  </si>
  <si>
    <t xml:space="preserve">https://purplepr.com/</t>
  </si>
  <si>
    <t xml:space="preserve">Public relations / lifestyle communications</t>
  </si>
  <si>
    <t xml:space="preserve">https://flatironnomad.nyc/2026/02/18/january-news-roundup-7/</t>
  </si>
  <si>
    <t xml:space="preserve">24,000 sf</t>
  </si>
  <si>
    <t xml:space="preserve">CO Jan 2026: 10-yr lease, about 24,000 sf full floor, relocating from 322 Eighth Ave. London-based with offices in LA, Miami, Hong Kong. Move-in date not stated. FNP roundup repeats the CO report. Not the mattress company Purple.</t>
  </si>
  <si>
    <t xml:space="preserve">AO-C-134</t>
  </si>
  <si>
    <t xml:space="preserve">Reckoner Capital Management</t>
  </si>
  <si>
    <t xml:space="preserve">B-C-134</t>
  </si>
  <si>
    <t xml:space="preserve">https://reckoner.com</t>
  </si>
  <si>
    <t xml:space="preserve">asset management (alternative credit)</t>
  </si>
  <si>
    <t xml:space="preserve">https://www.linkedin.com/company/reckonercap</t>
  </si>
  <si>
    <t xml:space="preserve">12,124 sf</t>
  </si>
  <si>
    <t xml:space="preserve">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</si>
  <si>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(https://reckoner.com/, opened 2026-10-24); LinkedIn not opened</t>
  </si>
  <si>
    <t xml:space="preserve">AO-C-149</t>
  </si>
  <si>
    <t xml:space="preserve">SWA Group</t>
  </si>
  <si>
    <t xml:space="preserve">https://commercialobserver.com/2026/08/swa-group-lease-381-park-avenue-south/</t>
  </si>
  <si>
    <t xml:space="preserve">12 (part)</t>
  </si>
  <si>
    <t xml:space="preserve">B-C-149</t>
  </si>
  <si>
    <t xml:space="preserve">landscape architecture and urban design</t>
  </si>
  <si>
    <t xml:space="preserve">2026-08-11</t>
  </si>
  <si>
    <t xml:space="preserve">5,789 sf</t>
  </si>
  <si>
    <t xml:space="preserve">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</si>
  <si>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AO-C-117</t>
  </si>
  <si>
    <t xml:space="preserve">Urban Atelier Group</t>
  </si>
  <si>
    <t xml:space="preserve">https://commercialobserver.com/2024/11/urban-atelier-group-lease-41-madison-avenue/</t>
  </si>
  <si>
    <t xml:space="preserve">12-13</t>
  </si>
  <si>
    <t xml:space="preserve">B-C-117</t>
  </si>
  <si>
    <t xml:space="preserve">construction management and design-build</t>
  </si>
  <si>
    <t xml:space="preserve">25,268 sf</t>
  </si>
  <si>
    <t xml:space="preserve">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</si>
  <si>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AO-C-081</t>
  </si>
  <si>
    <t xml:space="preserve">Vitesse PSP</t>
  </si>
  <si>
    <t xml:space="preserve">B-C-081</t>
  </si>
  <si>
    <t xml:space="preserve">https://www.vitesse.io</t>
  </si>
  <si>
    <t xml:space="preserve">fintech (payments and treasury)</t>
  </si>
  <si>
    <t xml:space="preserve">https://www.linkedin.com/company/vitesse-psp</t>
  </si>
  <si>
    <t xml:space="preserve">5,200 sf</t>
  </si>
  <si>
    <t xml:space="preserve">5,200 sf lease (CO citing Crain's). London-based; NYC headcount not sourced.</t>
  </si>
  <si>
    <t xml:space="preserve">linked from the company's own site (https://www.vitesse.io/, opened 2026-10-24); LinkedIn not opened</t>
  </si>
  <si>
    <t xml:space="preserve">AO-W-018</t>
  </si>
  <si>
    <t xml:space="preserve">WeWork 245 5th Ave</t>
  </si>
  <si>
    <t xml:space="preserve">https://www.wework.com/buildings/245-5th-ave--new-york-city--NY</t>
  </si>
  <si>
    <t xml:space="preserve">245 Fifth Avenue, New York, NY 10016</t>
  </si>
  <si>
    <t xml:space="preserve">open-unverified</t>
  </si>
  <si>
    <t xml:space="preserve">Tuesday headcount unknown (no sourced count), coworking operator site (one office if it controls the pantry), no attendance signal, open-unverified at a medium-confidence address</t>
  </si>
  <si>
    <t xml:space="preserve">B-W-018</t>
  </si>
  <si>
    <t xml:space="preserve">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</si>
  <si>
    <t xml:space="preserve">parent 'wework' shared with AO-W-004, AO-W-024, AO-W-029, AO-W-026, AO-W-020</t>
  </si>
  <si>
    <t xml:space="preserve">AO-C-234</t>
  </si>
  <si>
    <t xml:space="preserve">Coinbase</t>
  </si>
  <si>
    <t xml:space="preserve">https://slgreen.com/sl-green-signs-new-64000-square-foot-lease-with-sigma-computing-at-one-madison-avenue/</t>
  </si>
  <si>
    <t xml:space="preserve">Tuesday estimate 108 to 2150 (low confidence), 1,001 to 4,999 staff company-wide, no attendance signal, occupied at a medium-confidence address</t>
  </si>
  <si>
    <t xml:space="preserve">B-C-234</t>
  </si>
  <si>
    <t xml:space="preserve">https://www.coinbase.com/</t>
  </si>
  <si>
    <t xml:space="preserve">Crypto exchange / fintech</t>
  </si>
  <si>
    <t xml:space="preserve">3772</t>
  </si>
  <si>
    <t xml:space="preserve">https://en.wikipedia.org/wiki/Coinbase</t>
  </si>
  <si>
    <t xml:space="preserve">2025-07-16</t>
  </si>
  <si>
    <t xml:space="preserve">press-release</t>
  </si>
  <si>
    <t xml:space="preserve">3772 (Wikipedia) staff (whole-company count) x 5% to 100% of them in the New York office (HQ city unknown; share assumed) x 57% (Partnership for NYC, all Manhattan firms; no figure for 500 to 4,999) in on a weekday = 108 to 2150, central 482; low confidence; estimate until intake replaces it.</t>
  </si>
  <si>
    <t xml:space="preserve">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</si>
  <si>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AO-C-119</t>
  </si>
  <si>
    <t xml:space="preserve">Betches Media</t>
  </si>
  <si>
    <t xml:space="preserve">New or renewed lease at 360 Park Avenue South reported 2026-01-22</t>
  </si>
  <si>
    <t xml:space="preserve">signed-not-occupied</t>
  </si>
  <si>
    <t xml:space="preserve">Tuesday headcount unknown (no sourced count), company size unknown, no attendance signal, signed-not-occupied at a high-confidence address (hold: lease signed, move not confirmed)</t>
  </si>
  <si>
    <t xml:space="preserve">B-C-119</t>
  </si>
  <si>
    <t xml:space="preserve">https://betches.com/</t>
  </si>
  <si>
    <t xml:space="preserve">Digital media (women's humor and lifestyle brand)</t>
  </si>
  <si>
    <t xml:space="preserve">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</si>
  <si>
    <t xml:space="preserve">AO-C-189</t>
  </si>
  <si>
    <t xml:space="preserve">Chainalysis</t>
  </si>
  <si>
    <t xml:space="preserve">https://commercialobserver.com/2022/01/chainalysis-78k-sf-114-fifth-avenue/</t>
  </si>
  <si>
    <t xml:space="preserve">4 floors (not named)</t>
  </si>
  <si>
    <t xml:space="preserve">Tuesday estimate 199 to 399 (low confidence), 501 to 1,000 staff company-wide, hybrid (days not stated), occupancy-unconfirmed at a low-confidence address</t>
  </si>
  <si>
    <t xml:space="preserve">B-C-189</t>
  </si>
  <si>
    <t xml:space="preserve">https://www.chainalysis.com</t>
  </si>
  <si>
    <t xml:space="preserve">blockchain data and compliance software</t>
  </si>
  <si>
    <t xml:space="preserve">700</t>
  </si>
  <si>
    <t xml:space="preserve">https://www.builtinnyc.com/company/chainalysis</t>
  </si>
  <si>
    <t xml:space="preserve">https://www.linkedin.com/company/chainalysis</t>
  </si>
  <si>
    <t xml:space="preserve">https://www.builtinnyc.com/company/chainalysis/offices</t>
  </si>
  <si>
    <t xml:space="preserve">700 (Built In) staff (whole-company count) x 50% to 100% of them in the New York office (HQ New York; share assumed) x 57% (Partnership for NYC, all Manhattan firms; no figure for 500 to 4,999) in on a weekday = 199 to 399, central 282; low confidence; estimate until intake replaces it.</t>
  </si>
  <si>
    <t xml:space="preserve">77,608 sf</t>
  </si>
  <si>
    <t xml:space="preserve">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</si>
  <si>
    <t xml:space="preserve">linked from the company's own site (https://www.chainalysis.com/, opened 2026-10-24); LinkedIn not opened</t>
  </si>
  <si>
    <t xml:space="preserve">AO-C-139</t>
  </si>
  <si>
    <t xml:space="preserve">Arca Financial Group</t>
  </si>
  <si>
    <t xml:space="preserve">New or renewed lease at 60 Madison Avenue reported 2026-08-27</t>
  </si>
  <si>
    <t xml:space="preserve">https://commercialobserver.com/2026/08/arca-financial-lease-60-madison-avenue-moinian/</t>
  </si>
  <si>
    <t xml:space="preserve">2026-08-27</t>
  </si>
  <si>
    <t xml:space="preserve">Tuesday headcount unknown (no sourced count), company size unknown, no attendance signal, signed-not-occupied at a medium-confidence address (hold: lease signed, move not confirmed)</t>
  </si>
  <si>
    <t xml:space="preserve">B-C-139</t>
  </si>
  <si>
    <t xml:space="preserve">wealth management</t>
  </si>
  <si>
    <t xml:space="preserve">7,500 sf</t>
  </si>
  <si>
    <t xml:space="preserve">Five-year 7,500 SF prebuilt on floor 10, signed Aug 2026; 'moving into a new office'. Headcount not sourced; founder to confirm at intake.</t>
  </si>
  <si>
    <t xml:space="preserve">AO-C-065</t>
  </si>
  <si>
    <t xml:space="preserve">Argentic Investment Management</t>
  </si>
  <si>
    <t xml:space="preserve">New or renewed lease at 257 Park Avenue South reported 2026-04-20</t>
  </si>
  <si>
    <t xml:space="preserve">https://commercialobserver.com/2026/04/argentic-investment-management-lease-257-park-avenue-south/</t>
  </si>
  <si>
    <t xml:space="preserve">2026-04-20</t>
  </si>
  <si>
    <t xml:space="preserve">B-C-065</t>
  </si>
  <si>
    <t xml:space="preserve">https://www.argentic.com</t>
  </si>
  <si>
    <t xml:space="preserve">commercial real estate finance</t>
  </si>
  <si>
    <t xml:space="preserve">https://rebusinessonline.com/argentic-investment-management-signs-13000-sf-office-lease-in-manhattans-flatiron-district/</t>
  </si>
  <si>
    <t xml:space="preserve">2026-07-02</t>
  </si>
  <si>
    <t xml:space="preserve">Long-term lease of the full 20th floor (13,000 sf). Company contact page opened 2026-10-23 still lists 31 W. 27th Street, 12th Floor; move date unknown.</t>
  </si>
  <si>
    <t xml:space="preserve">AO-C-023</t>
  </si>
  <si>
    <t xml:space="preserve">Eagle AI</t>
  </si>
  <si>
    <t xml:space="preserve">New or renewed lease at 120 Fifth Avenue reported 2026-10-19</t>
  </si>
  <si>
    <t xml:space="preserve">B-C-023</t>
  </si>
  <si>
    <t xml:space="preserve">AI solutions</t>
  </si>
  <si>
    <t xml:space="preserve">CO 2026-10-19: 6,500 sf full floor signed September 2026; CO says its website lists 5 Penn Plaza, so this is a relocation that may not have happened yet. Confirm move-in date before outreach.</t>
  </si>
  <si>
    <t xml:space="preserve">AO-C-018</t>
  </si>
  <si>
    <t xml:space="preserve">Fundraise Up</t>
  </si>
  <si>
    <t xml:space="preserve">New or renewed lease at 100 Fifth Avenue reported 2026-08-26</t>
  </si>
  <si>
    <t xml:space="preserve">B-C-018</t>
  </si>
  <si>
    <t xml:space="preserve">https://fundraiseup.com</t>
  </si>
  <si>
    <t xml:space="preserve">nonprofit fundraising software</t>
  </si>
  <si>
    <t xml:space="preserve">https://www.linkedin.com/company/fundraiseup</t>
  </si>
  <si>
    <t xml:space="preserve">9,522 sf</t>
  </si>
  <si>
    <t xml:space="preserve">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</si>
  <si>
    <t xml:space="preserve">linked from the company's own site (https://fundraiseup.com/, opened 2026-10-24); LinkedIn not opened</t>
  </si>
  <si>
    <t xml:space="preserve">AO-C-142</t>
  </si>
  <si>
    <t xml:space="preserve">GovWell Technologies</t>
  </si>
  <si>
    <t xml:space="preserve">B-C-142</t>
  </si>
  <si>
    <t xml:space="preserve">software (AI for government)</t>
  </si>
  <si>
    <t xml:space="preserve">17,500 sf</t>
  </si>
  <si>
    <t xml:space="preserve">17,500 SF full 8th floor, apparent relocation from 25 West 36th Street. Built In profile (govwell) shows HQ New York, no street or headcount.</t>
  </si>
  <si>
    <t xml:space="preserve">AO-C-120</t>
  </si>
  <si>
    <t xml:space="preserve">Hunter Point Capital</t>
  </si>
  <si>
    <t xml:space="preserve">B-C-120</t>
  </si>
  <si>
    <t xml:space="preserve">https://www.hunterpointcapital.com/</t>
  </si>
  <si>
    <t xml:space="preserve">Investment firm (GP stakes / asset management)</t>
  </si>
  <si>
    <t xml:space="preserve">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</si>
  <si>
    <t xml:space="preserve">AO-C-168</t>
  </si>
  <si>
    <t xml:space="preserve">Mediaplus Group (North America)</t>
  </si>
  <si>
    <t xml:space="preserve">New or renewed lease at 432 Park Avenue South reported 2026-06-08</t>
  </si>
  <si>
    <t xml:space="preserve">https://commercialobserver.com/2026/06/mediaplus-group-lease-432-park-avenue-south/</t>
  </si>
  <si>
    <t xml:space="preserve">2026-06-08</t>
  </si>
  <si>
    <t xml:space="preserve">B-C-168</t>
  </si>
  <si>
    <t xml:space="preserve">media agency</t>
  </si>
  <si>
    <t xml:space="preserve">9,800 sf</t>
  </si>
  <si>
    <t xml:space="preserve">10-year 9,800 SF lease, full 11th floor, turnkey; relocating and doubling from 490 Broadway. Media arm of Serviceplan Group. Move date not stated. Headcount not found.</t>
  </si>
  <si>
    <t xml:space="preserve">AO-C-068</t>
  </si>
  <si>
    <t xml:space="preserve">Options Group</t>
  </si>
  <si>
    <t xml:space="preserve">B-C-068</t>
  </si>
  <si>
    <t xml:space="preserve">https://www.optionsgroup.com</t>
  </si>
  <si>
    <t xml:space="preserve">executive search and consulting</t>
  </si>
  <si>
    <t xml:space="preserve">https://www.linkedin.com/company/options-group</t>
  </si>
  <si>
    <t xml:space="preserve">12,600 sf</t>
  </si>
  <si>
    <t xml:space="preserve">13-year lease for the full 7th floor (12,600 sf). Company contact page opened 2026-10-23 still lists 121 East 18th Street (margin, east of Park Ave S), so move status unconfirmed; either way it is in or next to this slice.</t>
  </si>
  <si>
    <t xml:space="preserve">linked from the company's own site (https://www.optionsgroup.com/, opened 2026-10-24); LinkedIn not opened</t>
  </si>
  <si>
    <t xml:space="preserve">AO-C-012</t>
  </si>
  <si>
    <t xml:space="preserve">Profound</t>
  </si>
  <si>
    <t xml:space="preserve">New or renewed lease at 5 Union Square West reported 2026-05-18</t>
  </si>
  <si>
    <t xml:space="preserve">2 full floors (not named)</t>
  </si>
  <si>
    <t xml:space="preserve">B-C-012</t>
  </si>
  <si>
    <t xml:space="preserve">https://www.tryprofound.com</t>
  </si>
  <si>
    <t xml:space="preserve">marketing tech (AI search analytics)</t>
  </si>
  <si>
    <t xml:space="preserve">https://fortune.com/2026/02/24/exclusive-as-ai-threatens-search-profound-raises-96-million-to-help-brands-stay-visible/</t>
  </si>
  <si>
    <t xml:space="preserve">https://www.linkedin.com/company/tryprofound</t>
  </si>
  <si>
    <t xml:space="preserve">30,000 sf;7,500 sf</t>
  </si>
  <si>
    <t xml:space="preserve">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</si>
  <si>
    <t xml:space="preserve">linked from the company's own site (https://www.tryprofound.com/, opened 2026-10-24); LinkedIn not opened</t>
  </si>
  <si>
    <t xml:space="preserve">AO-C-108</t>
  </si>
  <si>
    <t xml:space="preserve">Sapien AI</t>
  </si>
  <si>
    <t xml:space="preserve">New or renewed lease at 48 West 25th Street reported 2026-08-03</t>
  </si>
  <si>
    <t xml:space="preserve">B-C-108</t>
  </si>
  <si>
    <t xml:space="preserve">Software (AI financial and operations analytics)</t>
  </si>
  <si>
    <t xml:space="preserve">https://flatironnomad.nyc/2026/09/02/august-news-roundup-7/</t>
  </si>
  <si>
    <t xml:space="preserve">10,500 sf</t>
  </si>
  <si>
    <t xml:space="preserve">CO Aug 2026: about 10,500 sf, entire 5th floor, relocating from 184 Fifth Avenue. FNP roundup repeats the CO report. Website and headcount not confirmed (Built In 'sapien' profile is a 5-person Berkeley firm; not used, as nothing ties it to this company).</t>
  </si>
  <si>
    <t xml:space="preserve">AO-C-143</t>
  </si>
  <si>
    <t xml:space="preserve">Tenex Labs</t>
  </si>
  <si>
    <t xml:space="preserve">New or renewed lease at 60 Madison Avenue reported 2026-06-22</t>
  </si>
  <si>
    <t xml:space="preserve">12 and penthouse</t>
  </si>
  <si>
    <t xml:space="preserve">B-C-143</t>
  </si>
  <si>
    <t xml:space="preserve">software (web development)</t>
  </si>
  <si>
    <t xml:space="preserve">25,000 SF on the full 12th floor and penthouse; prior location unclear; move-in date not stated. Headcount not found.</t>
  </si>
  <si>
    <t xml:space="preserve">AO-C-063</t>
  </si>
  <si>
    <t xml:space="preserve">The Hudson Companies and Broadway Builders</t>
  </si>
  <si>
    <t xml:space="preserve">New or renewed lease at 902 Broadway reported 2026-03-24</t>
  </si>
  <si>
    <t xml:space="preserve">B-C-063</t>
  </si>
  <si>
    <t xml:space="preserve">https://www.hudsoninc.com</t>
  </si>
  <si>
    <t xml:space="preserve">real estate development</t>
  </si>
  <si>
    <t xml:space="preserve">https://www.linkedin.com/company/the-hudson-companies-inc-</t>
  </si>
  <si>
    <t xml:space="preserve">https://rebusinessonline.com/hudson-cos-broadway-builders-sign-18200-sf-office-lease-in-manhattans-flatiron-district/</t>
  </si>
  <si>
    <t xml:space="preserve">2026-06-09</t>
  </si>
  <si>
    <t xml:space="preserve">https://commercialobserver.com/2026/03/hudson-companies-broadway-builders-lease-902-broadway/ (opened 2026-10-24): '...m Hudson Companies and its affiliate Broadway Builders have signed a new 11-year, 18,200-square-foot lease at the Rosen family’s 902 Broadway , Commercial Obser'</t>
  </si>
  <si>
    <t xml:space="preserve">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</si>
  <si>
    <t xml:space="preserve">linked from the company's own site (https://www.hudsoninc.com/, opened 2026-10-24); LinkedIn not opened</t>
  </si>
  <si>
    <t xml:space="preserve">AO-C-058</t>
  </si>
  <si>
    <t xml:space="preserve">Wilson Daniels</t>
  </si>
  <si>
    <t xml:space="preserve">https://commercialobserver.com/2025/06/wilson-daniels-lease-250-park-avenue-south/</t>
  </si>
  <si>
    <t xml:space="preserve">B-C-058</t>
  </si>
  <si>
    <t xml:space="preserve">https://www.wilsondaniels.com</t>
  </si>
  <si>
    <t xml:space="preserve">wine import and marketing (consumer brand)</t>
  </si>
  <si>
    <t xml:space="preserve">https://www.linkedin.com/company/wilsondaniels</t>
  </si>
  <si>
    <t xml:space="preserve">2025-06-05</t>
  </si>
  <si>
    <t xml:space="preserve">10-year lease for the full 8th floor (12,000 sf). CO Jan 2026 names it as a current tenant (same publisher). Company contact page opened 2026-10-23 still lists 19 West 24th St, 7th Floor, so occupancy is unconfirmed. Alcohol company: note for brand-fit, not office-fit.</t>
  </si>
  <si>
    <t xml:space="preserve">linked from the company's own site (https://wilsondaniels.com/, opened 2026-10-24); LinkedIn not opened</t>
  </si>
  <si>
    <t xml:space="preserve">AO-C-066</t>
  </si>
  <si>
    <t xml:space="preserve">Beachwold Residential</t>
  </si>
  <si>
    <t xml:space="preserve">https://commercialobserver.com/2022/07/paul-smith-beachwold-residential-sign-for-full-floors-at-257-park-avenue-south/</t>
  </si>
  <si>
    <t xml:space="preserve">Tuesday headcount unknown (no sourced count), company size unknown, no attendance signal, occupancy-unconfirmed at a low-confidence address</t>
  </si>
  <si>
    <t xml:space="preserve">B-C-066</t>
  </si>
  <si>
    <t xml:space="preserve">https://www.beachwold.com</t>
  </si>
  <si>
    <t xml:space="preserve">real estate (multifamily owner/operator)</t>
  </si>
  <si>
    <t xml:space="preserve">https://www.linkedin.com/company/beachwold-residential-llc</t>
  </si>
  <si>
    <t xml:space="preserve">2022-07-06</t>
  </si>
  <si>
    <t xml:space="preserve">12,637 sf</t>
  </si>
  <si>
    <t xml:space="preserve">HQ move to the full 13th floor (12,637 sf) in 2022 from 192 Lexington Ave. Not re-confirmed (company contact page returned 404).</t>
  </si>
  <si>
    <t xml:space="preserve">linked from the company's own site (https://www.beachwold.com/, opened 2026-10-24); LinkedIn not opened</t>
  </si>
  <si>
    <t xml:space="preserve">AO-C-164</t>
  </si>
  <si>
    <t xml:space="preserve">Biologique Recherche (US)</t>
  </si>
  <si>
    <t xml:space="preserve">https://commercialobserver.com/2023/01/beauty-pr-firm-french-skin-care-manufacturer-ink-deals-at-261-fifth-ave/</t>
  </si>
  <si>
    <t xml:space="preserve">B-C-164</t>
  </si>
  <si>
    <t xml:space="preserve">skin care brand</t>
  </si>
  <si>
    <t xml:space="preserve">2023-01-24</t>
  </si>
  <si>
    <t xml:space="preserve">6,290 sf</t>
  </si>
  <si>
    <t xml:space="preserve">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</si>
  <si>
    <t xml:space="preserve">AO-C-146</t>
  </si>
  <si>
    <t xml:space="preserve">Caudalie (US headquarters)</t>
  </si>
  <si>
    <t xml:space="preserve">https://commercialobserver.com/2024/01/skin-care-brand-caudalie-signs-14k-sf-lease-at-381-park-avenue-south/</t>
  </si>
  <si>
    <t xml:space="preserve">B-C-146</t>
  </si>
  <si>
    <t xml:space="preserve">https://us.caudalie.com</t>
  </si>
  <si>
    <t xml:space="preserve">https://www.linkedin.com/company/caudalie</t>
  </si>
  <si>
    <t xml:space="preserve">2024-01-11</t>
  </si>
  <si>
    <t xml:space="preserve">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</si>
  <si>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(https://us.caudalie.com/, opened 2026-10-24); LinkedIn not opened</t>
  </si>
  <si>
    <t xml:space="preserve">AO-C-113</t>
  </si>
  <si>
    <t xml:space="preserve">Clarick Gueron Reisbaum</t>
  </si>
  <si>
    <t xml:space="preserve">https://commercialobserver.com/2024/06/law-firm-clarick-gueron-reisbaum-signs-13k-sf-lease-at-rudins-41-madison-avenue/</t>
  </si>
  <si>
    <t xml:space="preserve">B-C-113</t>
  </si>
  <si>
    <t xml:space="preserve">law firm (commercial litigation)</t>
  </si>
  <si>
    <t xml:space="preserve">2024-06-24</t>
  </si>
  <si>
    <t xml:space="preserve">13,394 sf</t>
  </si>
  <si>
    <t xml:space="preserve">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</si>
  <si>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AO-C-147</t>
  </si>
  <si>
    <t xml:space="preserve">Eton (US office and showroom)</t>
  </si>
  <si>
    <t xml:space="preserve">https://commercialobserver.com/2024/03/mens-clothing-company-eton-signs-5k-sf-lease-at-381-park-avenue-south/</t>
  </si>
  <si>
    <t xml:space="preserve">B-C-147</t>
  </si>
  <si>
    <t xml:space="preserve">https://www.etonshirts.com</t>
  </si>
  <si>
    <t xml:space="preserve">menswear brand</t>
  </si>
  <si>
    <t xml:space="preserve">https://www.linkedin.com/company/eton-of-sweden</t>
  </si>
  <si>
    <t xml:space="preserve">2024-03-20</t>
  </si>
  <si>
    <t xml:space="preserve">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</si>
  <si>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(https://www.etonshirts.com/us/en, opened 2026-10-24); LinkedIn not opened</t>
  </si>
  <si>
    <t xml:space="preserve">AO-C-126</t>
  </si>
  <si>
    <t xml:space="preserve">Idesco</t>
  </si>
  <si>
    <t xml:space="preserve">https://commercialobserver.com/2023/10/idesco-renewal-37-west-26th-street/</t>
  </si>
  <si>
    <t xml:space="preserve">37 West 26th Street</t>
  </si>
  <si>
    <t xml:space="preserve">B-C-126</t>
  </si>
  <si>
    <t xml:space="preserve">ID card and security systems</t>
  </si>
  <si>
    <t xml:space="preserve">B-B-062</t>
  </si>
  <si>
    <t xml:space="preserve">2023-10-12</t>
  </si>
  <si>
    <t xml:space="preserve">7,260 sf</t>
  </si>
  <si>
    <t xml:space="preserve">Seven-year renewal of 7,260 SF on floor 10 (at the building since at least 1987). Older source, not reconfirmed; size unknown.</t>
  </si>
  <si>
    <t xml:space="preserve">AO-C-114</t>
  </si>
  <si>
    <t xml:space="preserve">Kensington Vanguard National Land Services</t>
  </si>
  <si>
    <t xml:space="preserve">https://commercialobserver.com/2023/11/law-firm-kensington-vanguard-signs-13k-sf-lease-at-41-madison/</t>
  </si>
  <si>
    <t xml:space="preserve">B-C-114</t>
  </si>
  <si>
    <t xml:space="preserve">https://www.kvnational.com</t>
  </si>
  <si>
    <t xml:space="preserve">title insurance</t>
  </si>
  <si>
    <t xml:space="preserve">https://www.linkedin.com/company/kensington-vanguard-national-land-services-llc-</t>
  </si>
  <si>
    <t xml:space="preserve">2023-11-01</t>
  </si>
  <si>
    <t xml:space="preserve">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</si>
  <si>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(https://www.kvnational.com/, opened 2026-10-24); LinkedIn not opened</t>
  </si>
  <si>
    <t xml:space="preserve">AO-C-054</t>
  </si>
  <si>
    <t xml:space="preserve">Left/Right</t>
  </si>
  <si>
    <t xml:space="preserve">https://commercialobserver.com/2019/10/left-right-lease-39-west-19th-street-rosen-family/</t>
  </si>
  <si>
    <t xml:space="preserve">7, 9-10</t>
  </si>
  <si>
    <t xml:space="preserve">B-C-054</t>
  </si>
  <si>
    <t xml:space="preserve">TV and documentary production</t>
  </si>
  <si>
    <t xml:space="preserve">2019-10-28</t>
  </si>
  <si>
    <t xml:space="preserve">10-year renewal (2019) of 34,000 sf on floors 7, 9 and 10 with production and editing space. Not re-confirmed.</t>
  </si>
  <si>
    <t xml:space="preserve">AO-C-069</t>
  </si>
  <si>
    <t xml:space="preserve">Paul Smith</t>
  </si>
  <si>
    <t xml:space="preserve">B-C-069</t>
  </si>
  <si>
    <t xml:space="preserve">https://www.paulsmith.com</t>
  </si>
  <si>
    <t xml:space="preserve">fashion brand (U.S. showroom and office)</t>
  </si>
  <si>
    <t xml:space="preserve">https://www.linkedin.com/company/56108</t>
  </si>
  <si>
    <t xml:space="preserve">12,617 sf</t>
  </si>
  <si>
    <t xml:space="preserve">Full 5th floor (12,617 sf) for showroom and office, 2022. Not re-confirmed; the brand's site contact page shows no office address.</t>
  </si>
  <si>
    <t xml:space="preserve">linked from the company's own site (https://www.paulsmith.com/, opened 2026-10-24); LinkedIn not opened</t>
  </si>
  <si>
    <t xml:space="preserve">AO-C-070</t>
  </si>
  <si>
    <t xml:space="preserve">Pei Architects</t>
  </si>
  <si>
    <t xml:space="preserve">https://commercialobserver.com/2024/04/pei-architects-renewals-13k-sf-at-257-park-avenue-south/</t>
  </si>
  <si>
    <t xml:space="preserve">B-C-070</t>
  </si>
  <si>
    <t xml:space="preserve">2024-04-15</t>
  </si>
  <si>
    <t xml:space="preserve">10-year renewal (2024) of 12,617 sf on the 19th floor, its primary HQ. Source predates 2024-10-23; company site (pei-architects.com) did not load. Headcount not sourced.</t>
  </si>
  <si>
    <t xml:space="preserve">AO-C-086</t>
  </si>
  <si>
    <t xml:space="preserve">Sharma Brands</t>
  </si>
  <si>
    <t xml:space="preserve">https://commercialobserver.com/2022/11/sharma-brands-leases-6k-sf-at-56-west-22nd-street/</t>
  </si>
  <si>
    <t xml:space="preserve">B-C-086</t>
  </si>
  <si>
    <t xml:space="preserve">https://sharmabrands.com</t>
  </si>
  <si>
    <t xml:space="preserve">brand strategy agency / brand holding company</t>
  </si>
  <si>
    <t xml:space="preserve">2022-11-29</t>
  </si>
  <si>
    <t xml:space="preserve">Five-year lease (2022) of the full 11th floor (5,508 sf), shared with portfolio company 1180 Media. Not re-confirmed; site shows no address.</t>
  </si>
  <si>
    <t xml:space="preserve">AO-C-089</t>
  </si>
  <si>
    <t xml:space="preserve">Sussex Publishers (Psychology Today)</t>
  </si>
  <si>
    <t xml:space="preserve">https://commercialobserver.com/2023/11/psychology-today-16-west-22nd-street-lease-relocation/</t>
  </si>
  <si>
    <t xml:space="preserve">B-C-089</t>
  </si>
  <si>
    <t xml:space="preserve">https://www.psychologytoday.com</t>
  </si>
  <si>
    <t xml:space="preserve">publishing / digital media</t>
  </si>
  <si>
    <t xml:space="preserve">https://www.linkedin.com/company/psychology-today</t>
  </si>
  <si>
    <t xml:space="preserve">2023-11-27</t>
  </si>
  <si>
    <t xml:space="preserve">3,285 sf</t>
  </si>
  <si>
    <t xml:space="preserve">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</si>
  <si>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(https://www.psychologytoday.com/us, opened 2026-10-24); LinkedIn not opened</t>
  </si>
  <si>
    <t xml:space="preserve">AO-C-150</t>
  </si>
  <si>
    <t xml:space="preserve">The Corcoran Group</t>
  </si>
  <si>
    <t xml:space="preserve">New or renewed lease at 381 Park Avenue South reported 2026-04-01</t>
  </si>
  <si>
    <t xml:space="preserve">https://commercialobserver.com/2026/04/corcoran-group-lease-381-park-avenue-south/</t>
  </si>
  <si>
    <t xml:space="preserve">2026-04-01</t>
  </si>
  <si>
    <t xml:space="preserve">Tuesday headcount unknown (no sourced count), company size unknown with a named parent (Compass, Inc.), no attendance signal, occupancy-unconfirmed at a medium-confidence address</t>
  </si>
  <si>
    <t xml:space="preserve">B-C-150</t>
  </si>
  <si>
    <t xml:space="preserve">https://www.corcoran.com</t>
  </si>
  <si>
    <t xml:space="preserve">Compass, Inc.</t>
  </si>
  <si>
    <t xml:space="preserve">https://www.linkedin.com/company/the-corcoran-group</t>
  </si>
  <si>
    <t xml:space="preserve">14,710 sf</t>
  </si>
  <si>
    <t xml:space="preserve">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</si>
  <si>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(https://www.corcoran.com/, opened 2026-10-24); LinkedIn not opened</t>
  </si>
  <si>
    <t xml:space="preserve">AO-C-268</t>
  </si>
  <si>
    <t xml:space="preserve">Bridgewater Associates (first Manhattan office)</t>
  </si>
  <si>
    <t xml:space="preserve">https://commercialobserver.com/2024/09/bridgewater-associates-lease-295-fifth-avenue/</t>
  </si>
  <si>
    <t xml:space="preserve">Tuesday estimate 240 to 480 (low confidence), 1,001 to 4,999 staff company-wide, on-site 5 days a week per its profile, occupancy-unconfirmed at a low-confidence address</t>
  </si>
  <si>
    <t xml:space="preserve">B-C-268</t>
  </si>
  <si>
    <t xml:space="preserve">hedge fund</t>
  </si>
  <si>
    <t xml:space="preserve">1596</t>
  </si>
  <si>
    <t xml:space="preserve">https://www.builtinnyc.com/company/bridgewater-associates/offices</t>
  </si>
  <si>
    <t xml:space="preserve">Westport</t>
  </si>
  <si>
    <t xml:space="preserve">2024-09-30</t>
  </si>
  <si>
    <t xml:space="preserve">1596 (Built In) staff (whole-company count) x 5% to 100% of them in the New York office (HQ outside New York; share assumed) x 57% (Partnership for NYC, all Manhattan firms; no figure for 500 to 4,999) in on a weekday; space-based for a company headquartered outside New York: 60,000 sf seats 240 to 480 at 250 to 125 sf per person, kept within the headcount math (45 to 910) (largest square footage the sources mention at this address; if the company holds more space here, intake corrects it) = 240 to 480, central 339; low confidence; estimate until intake replaces it.</t>
  </si>
  <si>
    <t xml:space="preserve">60,000 sf</t>
  </si>
  <si>
    <t xml:space="preserve">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</si>
  <si>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AO-C-182</t>
  </si>
  <si>
    <t xml:space="preserve">Adyen</t>
  </si>
  <si>
    <t xml:space="preserve">https://www.adyen.com/offices</t>
  </si>
  <si>
    <t xml:space="preserve">moving-out</t>
  </si>
  <si>
    <t xml:space="preserve">Tuesday estimate 136 to 720 (low confidence), 1,001 to 4,999 staff company-wide, hybrid (days not stated), moving-out at a high-confidence address (hold: moving out of this address)</t>
  </si>
  <si>
    <t xml:space="preserve">B-C-182</t>
  </si>
  <si>
    <t xml:space="preserve">https://www.adyen.com</t>
  </si>
  <si>
    <t xml:space="preserve">payments</t>
  </si>
  <si>
    <t xml:space="preserve">4771</t>
  </si>
  <si>
    <t xml:space="preserve">https://www.builtinnyc.com/company/adyen</t>
  </si>
  <si>
    <t xml:space="preserve">https://www.linkedin.com/company/adyen</t>
  </si>
  <si>
    <t xml:space="preserve">https://www.connectcre.com/stories/ayden-doubles-footprint-of-union-square-offices/</t>
  </si>
  <si>
    <t xml:space="preserve">2021-09-02</t>
  </si>
  <si>
    <t xml:space="preserve">https://www.builtinnyc.com/company/adyen/offices</t>
  </si>
  <si>
    <t xml:space="preserve">4771 (Built In) staff (whole-company count) x 5% to 100% of them in the New York office (HQ city unknown; share assumed) x 57% (Partnership for NYC, all Manhattan firms; no figure for 500 to 4,999) in on a weekday; capped by 90,000 sf at 125 sf per person (was 136 to 2719) (largest square footage the sources mention at this address; if the company holds more space here, intake corrects it) = 136 to 720, central 313; low confidence; estimate until intake replaces it.</t>
  </si>
  <si>
    <t xml:space="preserve">30,415 sf;90,000 sf</t>
  </si>
  <si>
    <t xml:space="preserve">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</si>
  <si>
    <t xml:space="preserve">linked from the company's own site (https://www.adyen.com/, opened 2026-10-24); LinkedIn not opened</t>
  </si>
  <si>
    <t xml:space="preserve">AO-C-136</t>
  </si>
  <si>
    <t xml:space="preserve">Suvretta Capital Management</t>
  </si>
  <si>
    <t xml:space="preserve">https://commercialobserver.com/2025/05/suvretta-capital-managment-lease-11-east-26th-street/</t>
  </si>
  <si>
    <t xml:space="preserve">Tuesday headcount unknown (no sourced count), company size unknown, no attendance signal, signed-not-occupied at a low-confidence address (hold: lease signed, move not confirmed)</t>
  </si>
  <si>
    <t xml:space="preserve">B-C-136</t>
  </si>
  <si>
    <t xml:space="preserve">https://www.suvcap.com</t>
  </si>
  <si>
    <t xml:space="preserve">2025-05-27</t>
  </si>
  <si>
    <t xml:space="preserve">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</si>
  <si>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AO-C-137</t>
  </si>
  <si>
    <t xml:space="preserve">Vestal Point Capital</t>
  </si>
  <si>
    <t xml:space="preserve">New or renewed lease at 11 East 26th Street reported 2026-09-02</t>
  </si>
  <si>
    <t xml:space="preserve">B-C-137</t>
  </si>
  <si>
    <t xml:space="preserve">12,139 sf</t>
  </si>
  <si>
    <t xml:space="preserve">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</si>
  <si>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AO-C-118</t>
  </si>
  <si>
    <t xml:space="preserve">Zip (digital banking)</t>
  </si>
  <si>
    <t xml:space="preserve">https://commercialobserver.com/2026/09/zip-lease-rudin-41-madison-avenue/</t>
  </si>
  <si>
    <t xml:space="preserve">18 (from April 2027)</t>
  </si>
  <si>
    <t xml:space="preserve">B-C-118</t>
  </si>
  <si>
    <t xml:space="preserve">fintech (credit and payments)</t>
  </si>
  <si>
    <t xml:space="preserve">2026-09-17</t>
  </si>
  <si>
    <t xml:space="preserve">2027-04</t>
  </si>
  <si>
    <t xml:space="preserve">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</si>
  <si>
    <t xml:space="preserve">AO-C-201</t>
  </si>
  <si>
    <t xml:space="preserve">Cole Haan</t>
  </si>
  <si>
    <t xml:space="preserve">https://commercialobserver.com/2024/09/cole-haan-32bj-lease-620-avenue-of-the-americas/</t>
  </si>
  <si>
    <t xml:space="preserve">620 Avenue of the Americas</t>
  </si>
  <si>
    <t xml:space="preserve">Tuesday estimate 249 to 498 (low confidence), 1,001 to 4,999 staff company-wide, on-site 5 days a week per its profile, occupancy-unconfirmed at a low-confidence address</t>
  </si>
  <si>
    <t xml:space="preserve">B-C-201</t>
  </si>
  <si>
    <t xml:space="preserve">https://www.colehaan.com</t>
  </si>
  <si>
    <t xml:space="preserve">footwear brand (NYC office)</t>
  </si>
  <si>
    <t xml:space="preserve">1618</t>
  </si>
  <si>
    <t xml:space="preserve">https://www.builtinnyc.com/company/cole-haan</t>
  </si>
  <si>
    <t xml:space="preserve">Greenland</t>
  </si>
  <si>
    <t xml:space="preserve">https://www.linkedin.com/company/cole-haan</t>
  </si>
  <si>
    <t xml:space="preserve">2024-09-24</t>
  </si>
  <si>
    <t xml:space="preserve">https://www.builtinnyc.com/company/cole-haan/offices</t>
  </si>
  <si>
    <t xml:space="preserve">1618 (Built In) staff (whole-company count) x 5% to 100% of them in the New York office (HQ outside New York; share assumed) x 57% (Partnership for NYC, all Manhattan firms; no figure for 500 to 4,999) in on a weekday; space-based for a company headquartered outside New York: 62,262 sf seats 249 to 498 at 250 to 125 sf per person, kept within the headcount math (46 to 922) (largest square footage the sources mention at this address; if the company holds more space here, intake corrects it) = 249 to 498, central 352; low confidence; estimate until intake replaces it.</t>
  </si>
  <si>
    <t xml:space="preserve">62,262 sf</t>
  </si>
  <si>
    <t xml:space="preserve">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</si>
  <si>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linked from the company's own site (https://www.colehaan.com/, opened 2026-10-24); LinkedIn not opened</t>
  </si>
  <si>
    <t xml:space="preserve">AO-C-162</t>
  </si>
  <si>
    <t xml:space="preserve">MCM Worldwide</t>
  </si>
  <si>
    <t xml:space="preserve">https://commercialobserver.com/2025/11/mcm-lease-245-fifth-avenue/</t>
  </si>
  <si>
    <t xml:space="preserve">Tuesday headcount unknown (no sourced count), company size unknown with a named parent (Sungjoo Group), no attendance signal, signed-not-occupied at a medium-confidence address (hold: lease signed, move not confirmed)</t>
  </si>
  <si>
    <t xml:space="preserve">B-C-162</t>
  </si>
  <si>
    <t xml:space="preserve">https://us.mcmworldwide.com</t>
  </si>
  <si>
    <t xml:space="preserve">luxury leather goods (brand HQ office)</t>
  </si>
  <si>
    <t xml:space="preserve">Sungjoo Group</t>
  </si>
  <si>
    <t xml:space="preserve">2025-11-10</t>
  </si>
  <si>
    <t xml:space="preserve">9,000 sf</t>
  </si>
  <si>
    <t xml:space="preserve">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</si>
  <si>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AO-C-152</t>
  </si>
  <si>
    <t xml:space="preserve">Everlast Worldwide (US headquarters)</t>
  </si>
  <si>
    <t xml:space="preserve">https://commercialobserver.com/2023/12/boxing-equipment-maker-everlast-signs-office-lease-15-west-27th-street/</t>
  </si>
  <si>
    <t xml:space="preserve">Tuesday headcount unknown (no sourced count), company size unknown with a named parent (Frasers Group), no attendance signal, occupancy-unconfirmed at a low-confidence address</t>
  </si>
  <si>
    <t xml:space="preserve">B-C-152</t>
  </si>
  <si>
    <t xml:space="preserve">https://www.everlast.com</t>
  </si>
  <si>
    <t xml:space="preserve">sporting goods brand</t>
  </si>
  <si>
    <t xml:space="preserve">Frasers Group</t>
  </si>
  <si>
    <t xml:space="preserve">2023-12-14</t>
  </si>
  <si>
    <t xml:space="preserve">5,900 sf</t>
  </si>
  <si>
    <t xml:space="preserve">CO 2023: one-year deal for 5,900 SF on full 2nd floor for its US HQ. Term was one year, so the lease as reported has ended; not reconfirmed.</t>
  </si>
  <si>
    <t xml:space="preserve">AO-C-074</t>
  </si>
  <si>
    <t xml:space="preserve">General Assembly</t>
  </si>
  <si>
    <t xml:space="preserve">https://commercialobserver.com/2021/04/tech-educator-general-assembly-renews-at-915-broadway/</t>
  </si>
  <si>
    <t xml:space="preserve">2-4</t>
  </si>
  <si>
    <t xml:space="preserve">Tuesday headcount unknown (no sourced count), company size unknown with a named parent (The Adecco Group), no attendance signal, occupancy-unconfirmed at a low-confidence address</t>
  </si>
  <si>
    <t xml:space="preserve">B-C-074</t>
  </si>
  <si>
    <t xml:space="preserve">tech education</t>
  </si>
  <si>
    <t xml:space="preserve">The Adecco Group</t>
  </si>
  <si>
    <t xml:space="preserve">2021-04-15</t>
  </si>
  <si>
    <t xml:space="preserve">2025-10-29</t>
  </si>
  <si>
    <t xml:space="preserve">40,158 sf</t>
  </si>
  <si>
    <t xml:space="preserve">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</si>
  <si>
    <t xml:space="preserve">AO-C-248</t>
  </si>
  <si>
    <t xml:space="preserve">WME</t>
  </si>
  <si>
    <t xml:space="preserve">https://slgreen.com/?p=12833</t>
  </si>
  <si>
    <t xml:space="preserve">Tuesday estimate 230 to 4600 (low confidence), 5,000+ staff company-wide, no attendance signal, occupied at a high-confidence address</t>
  </si>
  <si>
    <t xml:space="preserve">B-C-248</t>
  </si>
  <si>
    <t xml:space="preserve">https://www.wmeagency.com/</t>
  </si>
  <si>
    <t xml:space="preserve">Talent agency / entertainment</t>
  </si>
  <si>
    <t xml:space="preserve">10000</t>
  </si>
  <si>
    <t xml:space="preserve">https://en.wikipedia.org/wiki/William_Morris_Endeavor</t>
  </si>
  <si>
    <t xml:space="preserve">https://www.linkedin.com/company/william-morris-endeavor</t>
  </si>
  <si>
    <t xml:space="preserve">2026-07-22</t>
  </si>
  <si>
    <t xml:space="preserve">10000 (Wikipedia) staff (whole-company count) x 5% to 100% of them in the New York office (HQ city unknown; share assumed) x 46% (Partnership for NYC, firms over 5,000) in on a weekday = 230 to 4600, central 1029; low confidence; estimate until intake replaces it.</t>
  </si>
  <si>
    <t xml:space="preserve">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</si>
  <si>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(https://www.wmeagency.com/, opened 2026-10-24); LinkedIn not opened</t>
  </si>
  <si>
    <t xml:space="preserve">AO-C-269</t>
  </si>
  <si>
    <t xml:space="preserve">Octus (formerly Reorg)</t>
  </si>
  <si>
    <t xml:space="preserve">https://commercialobserver.com/2025/03/octus-lease-295-fifth-avenue/</t>
  </si>
  <si>
    <t xml:space="preserve">Tuesday estimate 230 to 344 (low confidence), 501 to 1,000 staff company-wide, hybrid 2 days or fewer, signed-not-occupied at a medium-confidence address (hold: lease signed, move not confirmed)</t>
  </si>
  <si>
    <t xml:space="preserve">B-C-269</t>
  </si>
  <si>
    <t xml:space="preserve">https://octus.com</t>
  </si>
  <si>
    <t xml:space="preserve">credit data and intelligence</t>
  </si>
  <si>
    <t xml:space="preserve">808</t>
  </si>
  <si>
    <t xml:space="preserve">https://www.builtinnyc.com/company/octus/offices</t>
  </si>
  <si>
    <t xml:space="preserve">https://www.linkedin.com/company/octus-credit1</t>
  </si>
  <si>
    <t xml:space="preserve">2025-03-31</t>
  </si>
  <si>
    <t xml:space="preserve">808 (Built In) staff (whole-company count) x 50% to 100% of them in the New York office (HQ New York; share assumed) x 57% (Partnership for NYC, all Manhattan firms; no figure for 500 to 4,999) in on a weekday; capped by 43,000 sf at 125 sf per person (was 230 to 461) (largest square footage the sources mention at this address; if the company holds more space here, intake corrects it) = 230 to 344, central 281; low confidence; estimate until intake replaces it.</t>
  </si>
  <si>
    <t xml:space="preserve">43,000 sf</t>
  </si>
  <si>
    <t xml:space="preserve">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</si>
  <si>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linked from the company's own site (https://octus.com/, opened 2026-10-24); LinkedIn not opened</t>
  </si>
  <si>
    <t xml:space="preserve">AO-C-183</t>
  </si>
  <si>
    <t xml:space="preserve">Capgemini America</t>
  </si>
  <si>
    <t xml:space="preserve">Tuesday estimate 172 to 344 (low confidence), 5,000+ staff company-wide, no attendance signal, moving-out at a low-confidence address (hold: moving out of this address)</t>
  </si>
  <si>
    <t xml:space="preserve">B-C-183</t>
  </si>
  <si>
    <t xml:space="preserve">https://www.capgemini.com/us-en/</t>
  </si>
  <si>
    <t xml:space="preserve">IT consulting</t>
  </si>
  <si>
    <t xml:space="preserve">340000</t>
  </si>
  <si>
    <t xml:space="preserve">https://www.builtinnyc.com/company/capgemini</t>
  </si>
  <si>
    <t xml:space="preserve">https://www.linkedin.com/company/capgemini</t>
  </si>
  <si>
    <t xml:space="preserve">340000 (Built In) staff (whole-company count) x 5% to 100% of them in the New York office (HQ city unknown; share assumed) x 46% (Partnership for NYC, firms over 5,000) in on a weekday; space-based for a company headquartered outside New York: 43,000 sf seats 172 to 344 at 250 to 125 sf per person, kept within the headcount math (7820 to 156400) (largest square footage the sources mention at this address; if the company holds more space here, intake corrects it) = 172 to 344, central 243; low confidence; estimate until intake replaces it.</t>
  </si>
  <si>
    <t xml:space="preserve">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</si>
  <si>
    <t xml:space="preserve">linked from the company's own site (https://www.capgemini.com/us-en/, opened 2026-10-24); LinkedIn not opened</t>
  </si>
  <si>
    <t xml:space="preserve">AO-C-257</t>
  </si>
  <si>
    <t xml:space="preserve">Kohler Co. (NYC office)</t>
  </si>
  <si>
    <t xml:space="preserve">https://commercialobserver.com/2023/04/kohler-lease-1140-broadway/</t>
  </si>
  <si>
    <t xml:space="preserve">Tuesday estimate 19 to 38 (low confidence), 5,000+ staff company-wide, no attendance signal, occupancy-unconfirmed at a low-confidence address</t>
  </si>
  <si>
    <t xml:space="preserve">B-C-257</t>
  </si>
  <si>
    <t xml:space="preserve">https://www.kohler.com</t>
  </si>
  <si>
    <t xml:space="preserve">kitchen and bath manufacturer (office)</t>
  </si>
  <si>
    <t xml:space="preserve">40000</t>
  </si>
  <si>
    <t xml:space="preserve">https://en.wikipedia.org/wiki/Kohler_Co.</t>
  </si>
  <si>
    <t xml:space="preserve">2023-04-04</t>
  </si>
  <si>
    <t xml:space="preserve">40000 (Wikipedia) staff (whole-company count) x 5% to 100% of them in the New York office (HQ city unknown; share assumed) x 46% (Partnership for NYC, firms over 5,000) in on a weekday; space-based for a company headquartered outside New York: 4,713 sf seats 19 to 38 at 250 to 125 sf per person, kept within the headcount math (920 to 18400) (largest square footage the sources mention at this address; if the company holds more space here, intake corrects it) = 19 to 38, central 27; low confidence; estimate until intake replaces it.</t>
  </si>
  <si>
    <t xml:space="preserve">4,713 sf</t>
  </si>
  <si>
    <t xml:space="preserve">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</si>
  <si>
    <t xml:space="preserve">AO-C-212</t>
  </si>
  <si>
    <t xml:space="preserve">MillerKnoll</t>
  </si>
  <si>
    <t xml:space="preserve">https://commercialobserver.com/2023/05/office-furniture-giant-millerknoll-adds-15k-sf-to-251-park-avenue-south-footprint/</t>
  </si>
  <si>
    <t xml:space="preserve">251 Park Avenue South</t>
  </si>
  <si>
    <t xml:space="preserve">incl. 6-7</t>
  </si>
  <si>
    <t xml:space="preserve">Tuesday estimate 240 to 480 (low confidence), 5,000+ staff company-wide, remote-first signal, occupancy-unconfirmed at a low-confidence address</t>
  </si>
  <si>
    <t xml:space="preserve">B-C-212</t>
  </si>
  <si>
    <t xml:space="preserve">https://www.millerknoll.com</t>
  </si>
  <si>
    <t xml:space="preserve">office furniture (showroom and office)</t>
  </si>
  <si>
    <t xml:space="preserve">9522</t>
  </si>
  <si>
    <t xml:space="preserve">https://www.builtinnyc.com/company/millerknoll</t>
  </si>
  <si>
    <t xml:space="preserve">Zeeland</t>
  </si>
  <si>
    <t xml:space="preserve">https://www.linkedin.com/company/millerknoll</t>
  </si>
  <si>
    <t xml:space="preserve">2023-05-08</t>
  </si>
  <si>
    <t xml:space="preserve">Built In workplace type: Remote Workplace; recent job tags: 1 Remote</t>
  </si>
  <si>
    <t xml:space="preserve">https://www.builtinnyc.com/company/millerknoll/offices</t>
  </si>
  <si>
    <t xml:space="preserve">9522 (Built In) staff (whole-company count) x 5% to 100% of them in the New York office (HQ outside New York; share assumed) x 46% (Partnership for NYC, firms over 5,000) in on a weekday; space-based for a company headquartered outside New York: 60,000 sf seats 240 to 480 at 250 to 125 sf per person, kept within the headcount math (219 to 4380) (largest square footage the sources mention at this address; if the company holds more space here, intake corrects it) = 240 to 480, central 339; low confidence; estimate until intake replaces it.</t>
  </si>
  <si>
    <t xml:space="preserve">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</si>
  <si>
    <t xml:space="preserve">linked from the company's own site (https://www.millerknoll.com/, opened 2026-10-24); LinkedIn not opened</t>
  </si>
  <si>
    <t xml:space="preserve">AO-C-271</t>
  </si>
  <si>
    <t xml:space="preserve">RepRally</t>
  </si>
  <si>
    <t xml:space="preserve">https://www.reprally.com/company/msa</t>
  </si>
  <si>
    <t xml:space="preserve">137 East 25th Street</t>
  </si>
  <si>
    <t xml:space="preserve">Gated out: outside the cluster (1.7 blocks outside the line).</t>
  </si>
  <si>
    <t xml:space="preserve">fail</t>
  </si>
  <si>
    <t xml:space="preserve">outside the cluster (1.7 blocks outside the line)</t>
  </si>
  <si>
    <t xml:space="preserve">B-C-271</t>
  </si>
  <si>
    <t xml:space="preserve">https://www.reprally.com/</t>
  </si>
  <si>
    <t xml:space="preserve">B2B wholesale platform for independent retailers (snacks, candy, beverages)</t>
  </si>
  <si>
    <t xml:space="preserve">https://www.builtinnyc.com/company/reprally/offices</t>
  </si>
  <si>
    <t xml:space="preserve">https://www.linkedin.com/company/reprally</t>
  </si>
  <si>
    <t xml:space="preserve">https://commercialobserver.com/2025/09/reprally-lease-137-east-25th-street/</t>
  </si>
  <si>
    <t xml:space="preserve">120 (Built In) staff (whole-company count) x 50% to 100% of them in the New York office (HQ New York; share assumed) x 67% (Partnership for NYC, firms under 500) in on a weekday; capped by 8,308 sf at 125 sf per person (was 40 to 80) (largest square footage the sources mention at this address; if the company holds more space here, intake corrects it) = 40 to 66, central 51; low confidence; estimate until intake replaces it.</t>
  </si>
  <si>
    <t xml:space="preserve">near-miss-outside</t>
  </si>
  <si>
    <t xml:space="preserve">outside-line</t>
  </si>
  <si>
    <t xml:space="preserve">8,308 sf</t>
  </si>
  <si>
    <t xml:space="preserve">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</si>
  <si>
    <t xml:space="preserve">linked from the company's own site (https://www.reprally.com/, opened 2026-10-24); LinkedIn not opened</t>
  </si>
  <si>
    <t xml:space="preserve">AO-C-055</t>
  </si>
  <si>
    <t xml:space="preserve">Stash</t>
  </si>
  <si>
    <t xml:space="preserve">New or renewed lease at 641 Avenue of the Americas reported 2026-09-02</t>
  </si>
  <si>
    <t xml:space="preserve">lease signed, move not confirmed: check the lobby directory before outreach (B); still in a coworking space until the move</t>
  </si>
  <si>
    <t xml:space="preserve">Gated out: inside a coworking space until its move to this address (B notes); re-check after the move (no date reported): walk by or ask at intake.</t>
  </si>
  <si>
    <t xml:space="preserve">inside a coworking space until its move to this address (B notes); re-check after the move (no date reported): walk by or ask at intake</t>
  </si>
  <si>
    <t xml:space="preserve">B-C-055</t>
  </si>
  <si>
    <t xml:space="preserve">https://www.stash.com</t>
  </si>
  <si>
    <t xml:space="preserve">fintech (consumer investing)</t>
  </si>
  <si>
    <t xml:space="preserve">380</t>
  </si>
  <si>
    <t xml:space="preserve">https://www.builtinnyc.com/company/stash</t>
  </si>
  <si>
    <t xml:space="preserve">https://www.reveliolabs.com/companies/stash-financial/employees</t>
  </si>
  <si>
    <t xml:space="preserve">https://www.linkedin.com/company/stashfinancial</t>
  </si>
  <si>
    <t xml:space="preserve">https://www.builtinnyc.com/company/stash/offices</t>
  </si>
  <si>
    <t xml:space="preserve">380 (Built In) and 174 (Revelio Labs) staff (whole-company count) x 50% to 100% of them in the New York office (HQ New York; share assumed) x 67% (Partnership for NYC, firms under 500) in on a weekday; capped by 12,322 sf at 125 sf per person (was 58 to 255) (largest square footage the sources mention at this address; if the company holds more space here, intake corrects it) = 58 to 99, central 76; low confidence; estimate until intake replaces it.</t>
  </si>
  <si>
    <t xml:space="preserve">12,322 sf</t>
  </si>
  <si>
    <t xml:space="preserve">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</si>
  <si>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linked from the company's own site (https://www.stash.com/, opened 2026-10-24); LinkedIn not opened</t>
  </si>
  <si>
    <t xml:space="preserve">AO-C-178</t>
  </si>
  <si>
    <t xml:space="preserve">Augury</t>
  </si>
  <si>
    <t xml:space="preserve">https://www.builtinnyc.com/company/augury/offices</t>
  </si>
  <si>
    <t xml:space="preserve">1178 Broadway</t>
  </si>
  <si>
    <t xml:space="preserve">3 (#169)</t>
  </si>
  <si>
    <t xml:space="preserve">Gated out: no staffed office shown at the address (B: excluded-not-office).</t>
  </si>
  <si>
    <t xml:space="preserve">no staffed office shown at the address (B: excluded-not-office)</t>
  </si>
  <si>
    <t xml:space="preserve">B-C-178</t>
  </si>
  <si>
    <t xml:space="preserve">https://www.augury.com</t>
  </si>
  <si>
    <t xml:space="preserve">industrial AI (machine health)</t>
  </si>
  <si>
    <t xml:space="preserve">https://www.linkedin.com/company/augury-systems</t>
  </si>
  <si>
    <t xml:space="preserve">Built In lists HQ at 1178 Broadway, 3rd Floor #169 but marks the company 'Remote Workplace'; 203 total employees. The add</t>
  </si>
  <si>
    <t xml:space="preserve">203 (Built In) staff (whole-company count) x 50% to 100% of them in the New York office (HQ New York; share assumed) x 67% (Partnership for NYC, firms under 500) in on a weekday = 68 to 136, central 96; low confidence; estimate until intake replaces it.</t>
  </si>
  <si>
    <t xml:space="preserve">excluded-not-office</t>
  </si>
  <si>
    <t xml:space="preserve">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</si>
  <si>
    <t xml:space="preserve">linked from the company's own site (https://www.augury.com/, opened 2026-10-24); LinkedIn not opened</t>
  </si>
  <si>
    <t xml:space="preserve">AO-C-272</t>
  </si>
  <si>
    <t xml:space="preserve">Runwise</t>
  </si>
  <si>
    <t xml:space="preserve">https://www.builtinnyc.com/company/runwise-2/offices</t>
  </si>
  <si>
    <t xml:space="preserve">104 West 27th Street</t>
  </si>
  <si>
    <t xml:space="preserve">Gated out: outside the cluster (0.1 blocks outside the line).</t>
  </si>
  <si>
    <t xml:space="preserve">outside the cluster (0.1 blocks outside the line)</t>
  </si>
  <si>
    <t xml:space="preserve">B-C-272</t>
  </si>
  <si>
    <t xml:space="preserve">https://www.runwise.com</t>
  </si>
  <si>
    <t xml:space="preserve">proptech (building heating controls)</t>
  </si>
  <si>
    <t xml:space="preserve">199</t>
  </si>
  <si>
    <t xml:space="preserve">https://www.linkedin.com/company/wearerunwise</t>
  </si>
  <si>
    <t xml:space="preserve">Built In lists HQ at 104 W 27th Street; 199 total employees; hybrid, 3 days a week on site. Outside: west</t>
  </si>
  <si>
    <t xml:space="preserve">199 (Built In) staff (whole-company count) x 50% to 100% of them in the New York office (HQ New York; share assumed) x 67% (Partnership for NYC, firms under 500) in on a weekday = 67 to 133, central 94; low confidence; estimate until intake replaces it.</t>
  </si>
  <si>
    <t xml:space="preserve">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</si>
  <si>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(https://www.runwise.com/, opened 2026-10-24); LinkedIn not opened</t>
  </si>
  <si>
    <t xml:space="preserve">AO-C-274</t>
  </si>
  <si>
    <t xml:space="preserve">Parloa</t>
  </si>
  <si>
    <t xml:space="preserve">New or renewed lease at 1245 Broadway reported 2026-06-11</t>
  </si>
  <si>
    <t xml:space="preserve">https://commercialobserver.com/2026/06/parloa-lease-expansion-gdsny-1245-broadway/</t>
  </si>
  <si>
    <t xml:space="preserve">2026-06-11</t>
  </si>
  <si>
    <t xml:space="preserve">1245 Broadway</t>
  </si>
  <si>
    <t xml:space="preserve">B-C-274</t>
  </si>
  <si>
    <t xml:space="preserve">https://www.parloa.com</t>
  </si>
  <si>
    <t xml:space="preserve">software (AI customer service agents)</t>
  </si>
  <si>
    <t xml:space="preserve">221</t>
  </si>
  <si>
    <t xml:space="preserve">https://www.builtinnyc.com/company/parloa/offices</t>
  </si>
  <si>
    <t xml:space="preserve">https://www.linkedin.com/company/parloa</t>
  </si>
  <si>
    <t xml:space="preserve">https://www.parloa.com/contact/</t>
  </si>
  <si>
    <t xml:space="preserve">221 (Built In) staff (whole-company count) x 5% to 100% of them in the New York office (HQ city unknown; share assumed) x 67% (Partnership for NYC, firms under 500) in on a weekday = 7 to 148, central 32; low confidence; estimate until intake replaces it.</t>
  </si>
  <si>
    <t xml:space="preserve">14,731 sf;23,031 sf</t>
  </si>
  <si>
    <t xml:space="preserve">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</si>
  <si>
    <t xml:space="preserve">linked from the company's own site (https://www.parloa.com/, opened 2026-10-24); LinkedIn not opened</t>
  </si>
  <si>
    <t xml:space="preserve">AO-C-273</t>
  </si>
  <si>
    <t xml:space="preserve">GumGum (NYC office)</t>
  </si>
  <si>
    <t xml:space="preserve">https://commercialobserver.com/2022/10/online-advertising-firm-gumgum-heads-to-1245-broadway/</t>
  </si>
  <si>
    <t xml:space="preserve">one full tower floor</t>
  </si>
  <si>
    <t xml:space="preserve">B-C-273</t>
  </si>
  <si>
    <t xml:space="preserve">adtech (contextual AI advertising)</t>
  </si>
  <si>
    <t xml:space="preserve">https://www.builtinnyc.com/company/gumgum/offices</t>
  </si>
  <si>
    <t xml:space="preserve">2022-10-05</t>
  </si>
  <si>
    <t xml:space="preserve">500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(17 to 335) (largest square footage the sources mention at this address; if the company holds more space here, intake corrects it) = 26 to 52, central 37; low confidence; estimate until intake replaces it.</t>
  </si>
  <si>
    <t xml:space="preserve">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</si>
  <si>
    <t xml:space="preserve">AO-C-174</t>
  </si>
  <si>
    <t xml:space="preserve">Deerfield Management</t>
  </si>
  <si>
    <t xml:space="preserve">https://www.deerfield.com/contact</t>
  </si>
  <si>
    <t xml:space="preserve">345 Park Avenue South</t>
  </si>
  <si>
    <t xml:space="preserve">Gated out: inside a coworking space (B-W-013).</t>
  </si>
  <si>
    <t xml:space="preserve">inside a coworking space (B-W-013)</t>
  </si>
  <si>
    <t xml:space="preserve">B-C-174</t>
  </si>
  <si>
    <t xml:space="preserve">https://www.deerfield.com/</t>
  </si>
  <si>
    <t xml:space="preserve">Healthcare investment firm</t>
  </si>
  <si>
    <t xml:space="preserve">175 (Wikipedia) staff (whole-company count) x 5% to 100% of them in the New York office (HQ city unknown; share assumed) x 67% (Partnership for NYC, firms under 500) in on a weekday = 6 to 117, central 26; low confidence; estimate until intake replaces it.</t>
  </si>
  <si>
    <t xml:space="preserve">excluded-coworking</t>
  </si>
  <si>
    <t xml:space="preserve">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</si>
  <si>
    <t xml:space="preserve">AO-C-177</t>
  </si>
  <si>
    <t xml:space="preserve">Monte Carlo (Monte Carlo Data)</t>
  </si>
  <si>
    <t xml:space="preserve">https://www.builtinnyc.com/company/monte-carlo/offices</t>
  </si>
  <si>
    <t xml:space="preserve">27 East 28th Street</t>
  </si>
  <si>
    <t xml:space="preserve">Suite 1656</t>
  </si>
  <si>
    <t xml:space="preserve">Gated out: inside a coworking space (B-W-020).</t>
  </si>
  <si>
    <t xml:space="preserve">inside a coworking space (B-W-020)</t>
  </si>
  <si>
    <t xml:space="preserve">B-C-177</t>
  </si>
  <si>
    <t xml:space="preserve">https://montecarlo.ai</t>
  </si>
  <si>
    <t xml:space="preserve">software (data observability)</t>
  </si>
  <si>
    <t xml:space="preserve">https://www.linkedin.com/company/monte-carlo-data</t>
  </si>
  <si>
    <t xml:space="preserve">B-B-076</t>
  </si>
  <si>
    <t xml:space="preserve">79 Madison Avenue / 27 East 28th Street (Williams Equities)</t>
  </si>
  <si>
    <t xml:space="preserve">https://liquidspace.com/us/ny/new-york/wework-27-e-28th-st</t>
  </si>
  <si>
    <t xml:space="preserve">B-W-020</t>
  </si>
  <si>
    <t xml:space="preserve">Built In lists a 'New York Hub' at 27 E 28th St, Suite 1656; company is remote-first and covers coworking; 135 tot</t>
  </si>
  <si>
    <t xml:space="preserve">135 (Built In) staff (whole-company count) x 5% to 100% of them in the New York office (HQ outside New York; share assumed) x 67% (Partnership for NYC, firms under 500) in on a weekday = 5 to 90, central 21; low confidence; estimate until intake replaces it.</t>
  </si>
  <si>
    <t xml:space="preserve">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</si>
  <si>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(https://montecarlo.ai/, opened 2026-10-24); LinkedIn not opened</t>
  </si>
  <si>
    <t xml:space="preserve">AO-C-172</t>
  </si>
  <si>
    <t xml:space="preserve">Agentio</t>
  </si>
  <si>
    <t xml:space="preserve">New or renewed lease at 295 Fifth Avenue reported 2026-03-31</t>
  </si>
  <si>
    <t xml:space="preserve">https://commercialobserver.com/2026/03/agentio-lease-295-fifth-avenue/</t>
  </si>
  <si>
    <t xml:space="preserve">2026-03-31</t>
  </si>
  <si>
    <t xml:space="preserve">11 (part)</t>
  </si>
  <si>
    <t xml:space="preserve">still in a coworking space until the move</t>
  </si>
  <si>
    <t xml:space="preserve">B-C-172</t>
  </si>
  <si>
    <t xml:space="preserve">adtech (AI creator advertising)</t>
  </si>
  <si>
    <t xml:space="preserve">https://www.builtinnyc.com/company/agentio/offices</t>
  </si>
  <si>
    <t xml:space="preserve">https://www.reveliolabs.com/companies/agentio/employees</t>
  </si>
  <si>
    <t xml:space="preserve">65 (Built In) and 71 (Revelio Labs) staff (whole-company count) x 50% to 100% of them in the New York office (HQ New York; share assumed) x 67% (Partnership for NYC, firms under 500) in on a weekday = 22 to 48, central 32; low confidence; estimate until intake replaces it.</t>
  </si>
  <si>
    <t xml:space="preserve">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</si>
  <si>
    <t xml:space="preserve">AO-C-175</t>
  </si>
  <si>
    <t xml:space="preserve">Insilico Medicine</t>
  </si>
  <si>
    <t xml:space="preserve">B-C-175</t>
  </si>
  <si>
    <t xml:space="preserve">https://insilico.com/</t>
  </si>
  <si>
    <t xml:space="preserve">Biotech / AI drug discovery</t>
  </si>
  <si>
    <t xml:space="preserve">https://www.builtinnyc.com/company/insilico-medicine/offices</t>
  </si>
  <si>
    <t xml:space="preserve">https://www.linkedin.com/company/in-silico-medicine-inc</t>
  </si>
  <si>
    <t xml:space="preserve">building-site</t>
  </si>
  <si>
    <t xml:space="preserve">115 (Built In) staff (whole-company count) x 5% to 100% of them in the New York office (HQ city unknown; share assumed) x 67% (Partnership for NYC, firms under 500) in on a weekday = 4 to 77, central 18; low confidence; estimate until intake replaces it.</t>
  </si>
  <si>
    <t xml:space="preserve">Cure resident page (live): testimonial says Cure 'has since become our NYC headquarters'. Built In: 115 total employees (no office address shown). In coworking (Cure), so excluded later.</t>
  </si>
  <si>
    <t xml:space="preserve">linked from the company's own site (https://insilico.com/, opened 2026-10-24); LinkedIn not opened</t>
  </si>
  <si>
    <t xml:space="preserve">AO-C-220</t>
  </si>
  <si>
    <t xml:space="preserve">FanDuel</t>
  </si>
  <si>
    <t xml:space="preserve">Gated out: Tuesday estimate over 250 (1053 to 2105).</t>
  </si>
  <si>
    <t xml:space="preserve">Tuesday estimate over 250 (1053 to 2105)</t>
  </si>
  <si>
    <t xml:space="preserve">B-C-220</t>
  </si>
  <si>
    <t xml:space="preserve">https://www.fanduel.com/</t>
  </si>
  <si>
    <t xml:space="preserve">Sports betting / gaming technology</t>
  </si>
  <si>
    <t xml:space="preserve">3693</t>
  </si>
  <si>
    <t xml:space="preserve">https://www.builtinnyc.com/company/fanduel/offices</t>
  </si>
  <si>
    <t xml:space="preserve">over-250</t>
  </si>
  <si>
    <t xml:space="preserve">3693 (Built In) staff (whole-company count) x 50% to 100% of them in the New York office (HQ New York; share assumed) x 57% (Partnership for NYC, all Manhattan firms; no figure for 500 to 4,999) in on a weekday = 1053 to 2105, central 1489; low confidence; estimate until intake replaces it.</t>
  </si>
  <si>
    <t xml:space="preserve">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</si>
  <si>
    <t xml:space="preserve">AO-C-213</t>
  </si>
  <si>
    <t xml:space="preserve">Fenwick &amp; West</t>
  </si>
  <si>
    <t xml:space="preserve">New or renewed lease at 902 Broadway reported 2026-06-16</t>
  </si>
  <si>
    <t xml:space="preserve">https://commercialobserver.com/2026/06/fenwick-west-lease-expansion-rosen-902-broadway/</t>
  </si>
  <si>
    <t xml:space="preserve">2026-06-16</t>
  </si>
  <si>
    <t xml:space="preserve">13-15, 18</t>
  </si>
  <si>
    <t xml:space="preserve">Gated out: Tuesday estimate over 250 (291 to 582).</t>
  </si>
  <si>
    <t xml:space="preserve">Tuesday estimate over 250 (291 to 582)</t>
  </si>
  <si>
    <t xml:space="preserve">B-C-213</t>
  </si>
  <si>
    <t xml:space="preserve">https://www.fenwick.com</t>
  </si>
  <si>
    <t xml:space="preserve">law firm</t>
  </si>
  <si>
    <t xml:space="preserve">1176</t>
  </si>
  <si>
    <t xml:space="preserve">https://www.builtinnyc.com/company/fenwick-west</t>
  </si>
  <si>
    <t xml:space="preserve">https://www.builtinnyc.com/company/fenwick-west/offices</t>
  </si>
  <si>
    <t xml:space="preserve">1176 (Built In) staff (whole-company count) x 5% to 100% of them in the New York office (HQ outside New York; share assumed) x 57% (Partnership for NYC, all Manhattan firms; no figure for 500 to 4,999) in on a weekday; space-based for a company headquartered outside New York: 72,800 sf seats 291 to 582 at 250 to 125 sf per person, kept within the headcount math (34 to 670) (largest square footage the sources mention at this address; if the company holds more space here, intake corrects it) = 291 to 582, central 412; low confidence; estimate until intake replaces it.</t>
  </si>
  <si>
    <t xml:space="preserve">72,800 sf</t>
  </si>
  <si>
    <t xml:space="preserve">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</si>
  <si>
    <t xml:space="preserve">AO-C-236</t>
  </si>
  <si>
    <t xml:space="preserve">Franklin Templeton</t>
  </si>
  <si>
    <t xml:space="preserve">Gated out: Tuesday estimate over 250 (1390 to 2780).</t>
  </si>
  <si>
    <t xml:space="preserve">Tuesday estimate over 250 (1390 to 2780)</t>
  </si>
  <si>
    <t xml:space="preserve">B-C-236</t>
  </si>
  <si>
    <t xml:space="preserve">https://www.franklintempleton.com/</t>
  </si>
  <si>
    <t xml:space="preserve">Asset management</t>
  </si>
  <si>
    <t xml:space="preserve">9800</t>
  </si>
  <si>
    <t xml:space="preserve">https://en.wikipedia.org/wiki/Franklin_Templeton</t>
  </si>
  <si>
    <t xml:space="preserve">https://rebusinessonline.com/franklin-templeton-signs-347474-sf-office-lease-at-one-madison-avenue-in-manhattan/</t>
  </si>
  <si>
    <t xml:space="preserve">2022-10-03</t>
  </si>
  <si>
    <t xml:space="preserve">9800 (Wikipedia) staff (whole-company count) x 5% to 100% of them in the New York office (HQ city unknown; share assumed) x 46% (Partnership for NYC, firms over 5,000) in on a weekday; space-based for a company headquartered outside New York: 347,474 sf seats 1390 to 2780 at 250 to 125 sf per person, kept within the headcount math (225 to 4508) (largest square footage the sources mention at this address; if the company holds more space here, intake corrects it) = 1390 to 2780, central 1966; low confidence; estimate until intake replaces it.</t>
  </si>
  <si>
    <t xml:space="preserve">347,474 sf</t>
  </si>
  <si>
    <t xml:space="preserve">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</si>
  <si>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AO-C-237</t>
  </si>
  <si>
    <t xml:space="preserve">IBM</t>
  </si>
  <si>
    <t xml:space="preserve">multiple (362,092 sf)</t>
  </si>
  <si>
    <t xml:space="preserve">Gated out: Tuesday estimate over 250 (1448 to 2897).</t>
  </si>
  <si>
    <t xml:space="preserve">Tuesday estimate over 250 (1448 to 2897)</t>
  </si>
  <si>
    <t xml:space="preserve">B-C-237</t>
  </si>
  <si>
    <t xml:space="preserve">https://www.ibm.com/</t>
  </si>
  <si>
    <t xml:space="preserve">Technology</t>
  </si>
  <si>
    <t xml:space="preserve">264300</t>
  </si>
  <si>
    <t xml:space="preserve">https://en.wikipedia.org/wiki/IBM</t>
  </si>
  <si>
    <t xml:space="preserve">https://www.linkedin.com/company/ibm</t>
  </si>
  <si>
    <t xml:space="preserve">264300 (Wikipedia) staff (whole-company count) x 5% to 100% of them in the New York office (HQ city unknown; share assumed) x 46% (Partnership for NYC, firms over 5,000) in on a weekday; space-based for a company headquartered outside New York: 362,092 sf seats 1448 to 2897 at 250 to 125 sf per person, kept within the headcount math (6079 to 121578) (largest square footage the sources mention at this address; if the company holds more space here, intake corrects it) = 1448 to 2897, central 2048; low confidence; estimate until intake replaces it.</t>
  </si>
  <si>
    <t xml:space="preserve">362,092 sf</t>
  </si>
  <si>
    <t xml:space="preserve">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</si>
  <si>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(https://www.ibm.com/us-en, opened 2026-10-24); LinkedIn not opened</t>
  </si>
  <si>
    <t xml:space="preserve">AO-C-176</t>
  </si>
  <si>
    <t xml:space="preserve">Lexeo Therapeutics</t>
  </si>
  <si>
    <t xml:space="preserve">B-C-176</t>
  </si>
  <si>
    <t xml:space="preserve">https://www.lexeotx.com/</t>
  </si>
  <si>
    <t xml:space="preserve">Biotech (gene therapy)</t>
  </si>
  <si>
    <t xml:space="preserve">https://www.builtinnyc.com/company/lexeo-therapeutics/offices</t>
  </si>
  <si>
    <t xml:space="preserve">https://www.linkedin.com/company/lexeo-therapeutics</t>
  </si>
  <si>
    <t xml:space="preserve">52 (Built In) staff (whole-company count) x 50% to 100% of them in the New York office (HQ New York; share assumed) x 67% (Partnership for NYC, firms under 500) in on a weekday = 17 to 35, central 24; low confidence; estimate until intake replaces it.</t>
  </si>
  <si>
    <t xml:space="preserve">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</si>
  <si>
    <t xml:space="preserve">linked from the company's own site (https://www.lexeotx.com/, opened 2026-10-24); LinkedIn not opened</t>
  </si>
  <si>
    <t xml:space="preserve">AO-C-206</t>
  </si>
  <si>
    <t xml:space="preserve">Netflix</t>
  </si>
  <si>
    <t xml:space="preserve">https://commercialobserver.com/2026/10/williams-equities-michael-t-cohen-robert-getreu-andrew-roos-office-new-york/</t>
  </si>
  <si>
    <t xml:space="preserve">888 Broadway</t>
  </si>
  <si>
    <t xml:space="preserve">Gated out: Tuesday estimate over 250 (304 to 6078).</t>
  </si>
  <si>
    <t xml:space="preserve">Tuesday estimate over 250 (304 to 6078)</t>
  </si>
  <si>
    <t xml:space="preserve">B-C-206</t>
  </si>
  <si>
    <t xml:space="preserve">https://www.netflix.com</t>
  </si>
  <si>
    <t xml:space="preserve">13212</t>
  </si>
  <si>
    <t xml:space="preserve">https://www.builtinnyc.com/company/netflix</t>
  </si>
  <si>
    <t xml:space="preserve">Los Gatos</t>
  </si>
  <si>
    <t xml:space="preserve">2026-10-20</t>
  </si>
  <si>
    <t xml:space="preserve">https://therealdeal.com/new-york/2025/02/14/cannon-hill-recaps-888-broadway-at-amount-above-200m/</t>
  </si>
  <si>
    <t xml:space="preserve">2025-02-14</t>
  </si>
  <si>
    <t xml:space="preserve">13212 (Built In) staff (whole-company count) x 5% to 100% of them in the New York office (HQ outside New York; share assumed) x 46% (Partnership for NYC, firms over 5,000) in on a weekday = 304 to 6078, central 1359; low confidence; estimate until intake replaces it.</t>
  </si>
  <si>
    <t xml:space="preserve">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</si>
  <si>
    <t xml:space="preserve">AO-C-243</t>
  </si>
  <si>
    <t xml:space="preserve">Pinterest</t>
  </si>
  <si>
    <t xml:space="preserve">Gated out: Tuesday estimate over 250 (332 to 664).</t>
  </si>
  <si>
    <t xml:space="preserve">Tuesday estimate over 250 (332 to 664)</t>
  </si>
  <si>
    <t xml:space="preserve">B-C-243</t>
  </si>
  <si>
    <t xml:space="preserve">https://www.pinterest.com/</t>
  </si>
  <si>
    <t xml:space="preserve">Social media / technology</t>
  </si>
  <si>
    <t xml:space="preserve">4666</t>
  </si>
  <si>
    <t xml:space="preserve">https://en.wikipedia.org/wiki/Pinterest</t>
  </si>
  <si>
    <t xml:space="preserve">4666 (Wikipedia) staff (whole-company count) x 5% to 100% of them in the New York office (HQ city unknown; share assumed) x 57% (Partnership for NYC, all Manhattan firms; no figure for 500 to 4,999) in on a weekday; space-based for a company headquartered outside New York: 83,000 sf seats 332 to 664 at 250 to 125 sf per person, kept within the headcount math (133 to 2660) (largest square footage the sources mention at this address; if the company holds more space here, intake corrects it) = 332 to 664, central 470; low confidence; estimate until intake replaces it.</t>
  </si>
  <si>
    <t xml:space="preserve">83,000 sf</t>
  </si>
  <si>
    <t xml:space="preserve">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</si>
  <si>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AO-C-244</t>
  </si>
  <si>
    <t xml:space="preserve">Sony Music Entertainment</t>
  </si>
  <si>
    <t xml:space="preserve">Gated out: Tuesday estimate over 250 (255 to 5106).</t>
  </si>
  <si>
    <t xml:space="preserve">Tuesday estimate over 250 (255 to 5106)</t>
  </si>
  <si>
    <t xml:space="preserve">B-C-244</t>
  </si>
  <si>
    <t xml:space="preserve">https://www.sonymusic.com/</t>
  </si>
  <si>
    <t xml:space="preserve">Music / media</t>
  </si>
  <si>
    <t xml:space="preserve">11100</t>
  </si>
  <si>
    <t xml:space="preserve">https://en.wikipedia.org/wiki/Sony_Music</t>
  </si>
  <si>
    <t xml:space="preserve">11100 (Wikipedia) staff (whole-company count) x 5% to 100% of them in the New York office (HQ city unknown; share assumed) x 46% (Partnership for NYC, firms over 5,000) in on a weekday = 255 to 5106, central 1141; low confidence; estimate until intake replaces it.</t>
  </si>
  <si>
    <t xml:space="preserve">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</si>
  <si>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AO-C-245</t>
  </si>
  <si>
    <t xml:space="preserve">Suntory Global Spirits (Jim Beam Brands)</t>
  </si>
  <si>
    <t xml:space="preserve">Gated out: Tuesday estimate over 250 (400 to 800).</t>
  </si>
  <si>
    <t xml:space="preserve">Tuesday estimate over 250 (400 to 800)</t>
  </si>
  <si>
    <t xml:space="preserve">B-C-245</t>
  </si>
  <si>
    <t xml:space="preserve">https://www.suntoryglobalspirits.com/</t>
  </si>
  <si>
    <t xml:space="preserve">Consumer brand (spirits)</t>
  </si>
  <si>
    <t xml:space="preserve">6000</t>
  </si>
  <si>
    <t xml:space="preserve">https://en.wikipedia.org/wiki/Suntory_Global_Spirits</t>
  </si>
  <si>
    <t xml:space="preserve">https://www.linkedin.com/company/beamsuntory</t>
  </si>
  <si>
    <t xml:space="preserve">6000 (Wikipedia) staff (whole-company count) x 5% to 100% of them in the New York office (HQ city unknown; share assumed) x 46% (Partnership for NYC, firms over 5,000) in on a weekday; space-based for a company headquartered outside New York: 100,000 sf seats 400 to 800 at 250 to 125 sf per person, kept within the headcount math (138 to 2760) (largest square footage the sources mention at this address; if the company holds more space here, intake corrects it) = 400 to 800, central 566; low confidence; estimate until intake replaces it.</t>
  </si>
  <si>
    <t xml:space="preserve">100,000 sf</t>
  </si>
  <si>
    <t xml:space="preserve">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</si>
  <si>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(https://www.suntoryglobalspirits.com/, opened 2026-10-24); LinkedIn not opened</t>
  </si>
  <si>
    <t xml:space="preserve">AO-C-233</t>
  </si>
  <si>
    <t xml:space="preserve">Tiffany &amp; Co.</t>
  </si>
  <si>
    <t xml:space="preserve">https://therealdeal.com/new-york/2025/04/03/bxps-200-fifth-avenue-lands-law-firm-tenant</t>
  </si>
  <si>
    <t xml:space="preserve">Gated out: Tuesday estimate over 250 (2140 to 4280).</t>
  </si>
  <si>
    <t xml:space="preserve">Tuesday estimate over 250 (2140 to 4280)</t>
  </si>
  <si>
    <t xml:space="preserve">B-C-233</t>
  </si>
  <si>
    <t xml:space="preserve">https://www.tiffany.com/</t>
  </si>
  <si>
    <t xml:space="preserve">Luxury jewelry (consumer brand)</t>
  </si>
  <si>
    <t xml:space="preserve">9305</t>
  </si>
  <si>
    <t xml:space="preserve">https://www.builtinnyc.com/company/tiffany-co/offices</t>
  </si>
  <si>
    <t xml:space="preserve">2025-04-03</t>
  </si>
  <si>
    <t xml:space="preserve">9305 (Built In) staff (whole-company count) x 50% to 100% of them in the New York office (HQ New York; share assumed) x 46% (Partnership for NYC, firms over 5,000) in on a weekday = 2140 to 4280, central 3026; low confidence; estimate until intake replaces it.</t>
  </si>
  <si>
    <t xml:space="preserve">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</si>
  <si>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AO-C-247</t>
  </si>
  <si>
    <t xml:space="preserve">UBS</t>
  </si>
  <si>
    <t xml:space="preserve">Gated out: Tuesday estimate over 250 (2420 to 48409).</t>
  </si>
  <si>
    <t xml:space="preserve">Tuesday estimate over 250 (2420 to 48409)</t>
  </si>
  <si>
    <t xml:space="preserve">B-C-247</t>
  </si>
  <si>
    <t xml:space="preserve">https://www.ubs.com/</t>
  </si>
  <si>
    <t xml:space="preserve">Banking / financial services</t>
  </si>
  <si>
    <t xml:space="preserve">105236</t>
  </si>
  <si>
    <t xml:space="preserve">https://en.wikipedia.org/wiki/UBS</t>
  </si>
  <si>
    <t xml:space="preserve">105236 (Wikipedia) staff (whole-company count) x 5% to 100% of them in the New York office (HQ city unknown; share assumed) x 46% (Partnership for NYC, firms over 5,000) in on a weekday = 2420 to 48409, central 10824; low confidence; estimate until intake replaces it.</t>
  </si>
  <si>
    <t xml:space="preserve">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</si>
  <si>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AO-C-203</t>
  </si>
  <si>
    <t xml:space="preserve">Warner Bros. Discovery</t>
  </si>
  <si>
    <t xml:space="preserve">https://data.sec.gov/submissions/CIK0001437107.json</t>
  </si>
  <si>
    <t xml:space="preserve">230 Park Avenue South</t>
  </si>
  <si>
    <t xml:space="preserve">whole building</t>
  </si>
  <si>
    <t xml:space="preserve">Gated out: Tuesday estimate over 250 (1500 to 3000).</t>
  </si>
  <si>
    <t xml:space="preserve">Tuesday estimate over 250 (1500 to 3000)</t>
  </si>
  <si>
    <t xml:space="preserve">B-C-203</t>
  </si>
  <si>
    <t xml:space="preserve">https://www.wbd.com</t>
  </si>
  <si>
    <t xml:space="preserve">media (Food Network and other networks)</t>
  </si>
  <si>
    <t xml:space="preserve">https://www.builtinnyc.com/company/warner-bros-discovery</t>
  </si>
  <si>
    <t xml:space="preserve">https://commercialobserver.com/2023/01/warner-brothers-discovery-park-avenue-south/</t>
  </si>
  <si>
    <t xml:space="preserve">2023-01-25</t>
  </si>
  <si>
    <t xml:space="preserve">40000 (Built In) staff (whole-company count) x 50% to 100% of them in the New York office (HQ New York; share assumed) x 46% (Partnership for NYC, firms over 5,000) in on a weekday; the headcount math (9200 to 18400) is more than 375,000 sf can seat, so the range comes from the space: 1500 to 3000 at 250 to 125 sf per person (largest square footage the sources mention at this address; if the company holds more space here, intake corrects it) = 1500 to 3000, central 2121; low confidence; estimate until intake replaces it.</t>
  </si>
  <si>
    <t xml:space="preserve">375,000 sf</t>
  </si>
  <si>
    <t xml:space="preserve">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</si>
  <si>
    <t xml:space="preserve">AO-C-256</t>
  </si>
  <si>
    <t xml:space="preserve">Ziff Davis</t>
  </si>
  <si>
    <t xml:space="preserve">Gated out: Tuesday estimate over 250 (609 to 1219).</t>
  </si>
  <si>
    <t xml:space="preserve">Tuesday estimate over 250 (609 to 1219)</t>
  </si>
  <si>
    <t xml:space="preserve">B-C-256</t>
  </si>
  <si>
    <t xml:space="preserve">https://www.ziffdavis.com</t>
  </si>
  <si>
    <t xml:space="preserve">digital media</t>
  </si>
  <si>
    <t xml:space="preserve">2138</t>
  </si>
  <si>
    <t xml:space="preserve">https://www.builtinnyc.com/company/ziff-davis/offices</t>
  </si>
  <si>
    <t xml:space="preserve">https://www.linkedin.com/company/ziff-davis-inc</t>
  </si>
  <si>
    <t xml:space="preserve">https://www.ziffdavis.com/</t>
  </si>
  <si>
    <t xml:space="preserve">2138 (Built In) staff (whole-company count) x 50% to 100% of them in the New York office (HQ New York; share assumed) x 57% (Partnership for NYC, all Manhattan firms; no figure for 500 to 4,999) in on a weekday = 609 to 1219, central 862; low confidence; estimate until intake replaces it.</t>
  </si>
  <si>
    <t xml:space="preserve">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</si>
  <si>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(https://www.ziffdavis.com/, opened 2026-10-24); LinkedIn not opened</t>
  </si>
  <si>
    <t xml:space="preserve">AO-C-239</t>
  </si>
  <si>
    <t xml:space="preserve">Amazon</t>
  </si>
  <si>
    <t xml:space="preserve">Gated out: Tuesday estimate over 250 (36248 to 724960).</t>
  </si>
  <si>
    <t xml:space="preserve">Tuesday estimate over 250 (36248 to 724960)</t>
  </si>
  <si>
    <t xml:space="preserve">B-C-239</t>
  </si>
  <si>
    <t xml:space="preserve">https://www.amazon.com/</t>
  </si>
  <si>
    <t xml:space="preserve">Technology / e-commerce</t>
  </si>
  <si>
    <t xml:space="preserve">1576000</t>
  </si>
  <si>
    <t xml:space="preserve">https://en.wikipedia.org/wiki/Amazon_(company)</t>
  </si>
  <si>
    <t xml:space="preserve">1576000 (Wikipedia) staff (whole-company count) x 5% to 100% of them in the New York office (HQ city unknown; share assumed) x 46% (Partnership for NYC, firms over 5,000) in on a weekday = 36248 to 724960, central 162106; low confidence; estimate until intake replaces it.</t>
  </si>
  <si>
    <t xml:space="preserve">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</si>
  <si>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AO-C-264</t>
  </si>
  <si>
    <t xml:space="preserve">American Eagle Outfitters (NYC headquarters offices)</t>
  </si>
  <si>
    <t xml:space="preserve">https://commercialobserver.com/2025/08/american-eagle-outfitters-expansion-63-madison-avenue/</t>
  </si>
  <si>
    <t xml:space="preserve">63 Madison Avenue</t>
  </si>
  <si>
    <t xml:space="preserve">multiple</t>
  </si>
  <si>
    <t xml:space="preserve">Gated out: Tuesday estimate over 250 (1569 to 3137).</t>
  </si>
  <si>
    <t xml:space="preserve">Tuesday estimate over 250 (1569 to 3137)</t>
  </si>
  <si>
    <t xml:space="preserve">B-C-264</t>
  </si>
  <si>
    <t xml:space="preserve">https://www.ae.com</t>
  </si>
  <si>
    <t xml:space="preserve">apparel retailer (corporate offices)</t>
  </si>
  <si>
    <t xml:space="preserve">17000</t>
  </si>
  <si>
    <t xml:space="preserve">https://www.builtinnyc.com/company/american-eagle-outfitters/offices</t>
  </si>
  <si>
    <t xml:space="preserve">Pittsburgh</t>
  </si>
  <si>
    <t xml:space="preserve">17000 (Built In) staff (whole-company count) x 5% to 100% of them in the New York office (HQ outside New York; share assumed) x 46% (Partnership for NYC, firms over 5,000) in on a weekday; space-based for a company headquartered outside New York: 392,185 sf seats 1569 to 3137 at 250 to 125 sf per person, kept within the headcount math (391 to 7820) (largest square footage the sources mention at this address; if the company holds more space here, intake corrects it) = 1569 to 3137, central 2219; low confidence; estimate until intake replaces it.</t>
  </si>
  <si>
    <t xml:space="preserve">392,185 sf</t>
  </si>
  <si>
    <t xml:space="preserve">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</si>
  <si>
    <t xml:space="preserve">AO-C-188</t>
  </si>
  <si>
    <t xml:space="preserve">Capital One</t>
  </si>
  <si>
    <t xml:space="preserve">Gated out: Tuesday estimate over 250 (1265 to 1708).</t>
  </si>
  <si>
    <t xml:space="preserve">Tuesday estimate over 250 (1265 to 1708)</t>
  </si>
  <si>
    <t xml:space="preserve">B-C-188</t>
  </si>
  <si>
    <t xml:space="preserve">https://www.capitalone.com</t>
  </si>
  <si>
    <t xml:space="preserve">banking (tech offices)</t>
  </si>
  <si>
    <t xml:space="preserve">55000</t>
  </si>
  <si>
    <t xml:space="preserve">https://www.builtinnyc.com/company/capital-one</t>
  </si>
  <si>
    <t xml:space="preserve">McLean</t>
  </si>
  <si>
    <t xml:space="preserve">https://www.linkedin.com/company/capital-one</t>
  </si>
  <si>
    <t xml:space="preserve">55000 (Built In) staff (whole-company count) x 5% to 100% of them in the New York office (HQ outside New York; share assumed) x 46% (Partnership for NYC, firms over 5,000) in on a weekday; capped by 213,500 sf at 125 sf per person (was 1265 to 25300); central capped at 213,500 sf / 150 sf per person (largest square footage the sources mention at this address; if the company holds more space here, intake corrects it) = 1265 to 1708, central 1423; low confidence; estimate until intake replaces it.</t>
  </si>
  <si>
    <t xml:space="preserve">213,500 sf;116,926 sf;96,606 sf</t>
  </si>
  <si>
    <t xml:space="preserve">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</si>
  <si>
    <t xml:space="preserve">linked from the company's own site (https://www.capitalone.com/, opened 2026-10-24); LinkedIn not opened</t>
  </si>
  <si>
    <t xml:space="preserve">AO-C-193</t>
  </si>
  <si>
    <t xml:space="preserve">Chime</t>
  </si>
  <si>
    <t xml:space="preserve">https://commercialobserver.com/?p=521355</t>
  </si>
  <si>
    <t xml:space="preserve">Gated out: Tuesday estimate over 250 (336 to 672).</t>
  </si>
  <si>
    <t xml:space="preserve">Tuesday estimate over 250 (336 to 672)</t>
  </si>
  <si>
    <t xml:space="preserve">B-C-193</t>
  </si>
  <si>
    <t xml:space="preserve">https://www.chime.com</t>
  </si>
  <si>
    <t xml:space="preserve">fintech (consumer banking)</t>
  </si>
  <si>
    <t xml:space="preserve">https://www.builtinnyc.com/company/chime</t>
  </si>
  <si>
    <t xml:space="preserve">2025-05-08</t>
  </si>
  <si>
    <t xml:space="preserve">Built In workplace type: Hybrid Workplace; typical time on-site: 4 days a week</t>
  </si>
  <si>
    <t xml:space="preserve">https://www.builtinnyc.com/company/chime/offices</t>
  </si>
  <si>
    <t xml:space="preserve">1500 (Built In) staff (whole-company count) x 5% to 100% of them in the New York office (HQ outside New York; share assumed) x 57% (Partnership for NYC, all Manhattan firms; no figure for 500 to 4,999) in on a weekday; space-based for a company headquartered outside New York: 84,000 sf seats 336 to 672 at 250 to 125 sf per person, kept within the headcount math (43 to 855) (largest square footage the sources mention at this address; if the company holds more space here, intake corrects it) = 336 to 672, central 475; low confidence; estimate until intake replaces it.</t>
  </si>
  <si>
    <t xml:space="preserve">84,000 sf</t>
  </si>
  <si>
    <t xml:space="preserve">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</si>
  <si>
    <t xml:space="preserve">AO-C-181</t>
  </si>
  <si>
    <t xml:space="preserve">Con Edison</t>
  </si>
  <si>
    <t xml:space="preserve">https://en.wikipedia.org/wiki/Consolidated_Edison_Building</t>
  </si>
  <si>
    <t xml:space="preserve">4 Irving Place</t>
  </si>
  <si>
    <t xml:space="preserve">Gated out: Tuesday estimate over 250 (347 to 6945).</t>
  </si>
  <si>
    <t xml:space="preserve">Tuesday estimate over 250 (347 to 6945)</t>
  </si>
  <si>
    <t xml:space="preserve">B-C-181</t>
  </si>
  <si>
    <t xml:space="preserve">https://www.coned.com</t>
  </si>
  <si>
    <t xml:space="preserve">energy utility (headquarters)</t>
  </si>
  <si>
    <t xml:space="preserve">15097</t>
  </si>
  <si>
    <t xml:space="preserve">https://en.wikipedia.org/wiki/Consolidated_Edison</t>
  </si>
  <si>
    <t xml:space="preserve">https://www.linkedin.com/company/con-edison</t>
  </si>
  <si>
    <t xml:space="preserve">wikipedia</t>
  </si>
  <si>
    <t xml:space="preserve">15097 (Wikipedia) staff (whole-company count) x 5% to 100% of them in the New York office (HQ city unknown; share assumed) x 46% (Partnership for NYC, firms over 5,000) in on a weekday = 347 to 6945, central 1552; low confidence; estimate until intake replaces it.</t>
  </si>
  <si>
    <t xml:space="preserve">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</si>
  <si>
    <t xml:space="preserve">linked from the company's own site (https://www.coned.com/en/, opened 2026-10-24); LinkedIn not opened</t>
  </si>
  <si>
    <t xml:space="preserve">AO-C-229</t>
  </si>
  <si>
    <t xml:space="preserve">DoorDash</t>
  </si>
  <si>
    <t xml:space="preserve">Gated out: Tuesday estimate over 250 (722 to 920).</t>
  </si>
  <si>
    <t xml:space="preserve">Tuesday estimate over 250 (722 to 920)</t>
  </si>
  <si>
    <t xml:space="preserve">B-C-229</t>
  </si>
  <si>
    <t xml:space="preserve">https://www.doordash.com/</t>
  </si>
  <si>
    <t xml:space="preserve">Delivery technology</t>
  </si>
  <si>
    <t xml:space="preserve">31400</t>
  </si>
  <si>
    <t xml:space="preserve">https://en.wikipedia.org/wiki/DoorDash</t>
  </si>
  <si>
    <t xml:space="preserve">31400 (Wikipedia) staff (whole-company count) x 5% to 100% of them in the New York office (HQ city unknown; share assumed) x 46% (Partnership for NYC, firms over 5,000) in on a weekday; space-based for a company headquartered outside New York: 115,000 sf seats 460 to 920 at 250 to 125 sf per person, kept within the headcount math (722 to 14444); central capped at 115,000 sf / 150 sf per person (largest square footage the sources mention at this address; if the company holds more space here, intake corrects it) = 722 to 920, central 767; low confidence; estimate until intake replaces it.</t>
  </si>
  <si>
    <t xml:space="preserve">115,000 sf</t>
  </si>
  <si>
    <t xml:space="preserve">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</si>
  <si>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AO-C-235</t>
  </si>
  <si>
    <t xml:space="preserve">Flutter Entertainment</t>
  </si>
  <si>
    <t xml:space="preserve">Gated out: Tuesday estimate over 250 (629 to 12579).</t>
  </si>
  <si>
    <t xml:space="preserve">Tuesday estimate over 250 (629 to 12579)</t>
  </si>
  <si>
    <t xml:space="preserve">B-C-235</t>
  </si>
  <si>
    <t xml:space="preserve">https://www.flutter.com/</t>
  </si>
  <si>
    <t xml:space="preserve">Sports betting / gaming (FanDuel parent)</t>
  </si>
  <si>
    <t xml:space="preserve">27345</t>
  </si>
  <si>
    <t xml:space="preserve">https://en.wikipedia.org/wiki/Flutter_Entertainment</t>
  </si>
  <si>
    <t xml:space="preserve">https://www.linkedin.com/company/flutter-entertainment</t>
  </si>
  <si>
    <t xml:space="preserve">27345 (Wikipedia) staff (whole-company count) x 5% to 100% of them in the New York office (HQ city unknown; share assumed) x 46% (Partnership for NYC, firms over 5,000) in on a weekday = 629 to 12579, central 2813; low confidence; estimate until intake replaces it.</t>
  </si>
  <si>
    <t xml:space="preserve">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</si>
  <si>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(https://flutter.com/, opened 2026-10-24); LinkedIn not opened</t>
  </si>
  <si>
    <t xml:space="preserve">AO-C-230</t>
  </si>
  <si>
    <t xml:space="preserve">Goodwin Procter</t>
  </si>
  <si>
    <t xml:space="preserve">2-5</t>
  </si>
  <si>
    <t xml:space="preserve">Gated out: Tuesday estimate over 250 (1000 to 1596).</t>
  </si>
  <si>
    <t xml:space="preserve">Tuesday estimate over 250 (1000 to 1596)</t>
  </si>
  <si>
    <t xml:space="preserve">B-C-230</t>
  </si>
  <si>
    <t xml:space="preserve">https://www.goodwinlaw.com/</t>
  </si>
  <si>
    <t xml:space="preserve">Law firm</t>
  </si>
  <si>
    <t xml:space="preserve">2800</t>
  </si>
  <si>
    <t xml:space="preserve">https://en.wikipedia.org/wiki/Goodwin_Procter</t>
  </si>
  <si>
    <t xml:space="preserve">https://www.linkedin.com/company/goodwin-law</t>
  </si>
  <si>
    <t xml:space="preserve">https://flatironnomad.nyc/2025/05/07/april-news-roundup-6/</t>
  </si>
  <si>
    <t xml:space="preserve">2800 (Wikipedia) staff (whole-company count) x 5% to 100% of them in the New York office (HQ city unknown; share assumed) x 57% (Partnership for NYC, all Manhattan firms; no figure for 500 to 4,999) in on a weekday; space-based for a company headquartered outside New York: 250,000 sf seats 1000 to 2000 at 250 to 125 sf per person, kept within the headcount math (80 to 1596) (largest square footage the sources mention at this address; if the company holds more space here, intake corrects it) = 1000 to 1596, central 1263; low confidence; estimate until intake replaces it.</t>
  </si>
  <si>
    <t xml:space="preserve">250,000 sf</t>
  </si>
  <si>
    <t xml:space="preserve">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</si>
  <si>
    <t xml:space="preserve">linked from the company's own site (https://www.goodwinlaw.com/en, opened 2026-10-24); LinkedIn not opened</t>
  </si>
  <si>
    <t xml:space="preserve">AO-C-231</t>
  </si>
  <si>
    <t xml:space="preserve">Grey Group</t>
  </si>
  <si>
    <t xml:space="preserve">Gated out: Tuesday estimate over 250 (894 to 1788).</t>
  </si>
  <si>
    <t xml:space="preserve">Tuesday estimate over 250 (894 to 1788)</t>
  </si>
  <si>
    <t xml:space="preserve">B-C-231</t>
  </si>
  <si>
    <t xml:space="preserve">https://www.grey.com/</t>
  </si>
  <si>
    <t xml:space="preserve">Advertising agency</t>
  </si>
  <si>
    <t xml:space="preserve">3137</t>
  </si>
  <si>
    <t xml:space="preserve">https://www.builtinnyc.com/company/grey-group/offices</t>
  </si>
  <si>
    <t xml:space="preserve">3137 (Built In) staff (whole-company count) x 50% to 100% of them in the New York office (HQ New York; share assumed) x 57% (Partnership for NYC, all Manhattan firms; no figure for 500 to 4,999) in on a weekday = 894 to 1788, central 1264; low confidence; estimate until intake replaces it.</t>
  </si>
  <si>
    <t xml:space="preserve">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</si>
  <si>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AO-C-159</t>
  </si>
  <si>
    <t xml:space="preserve">Hanover Park</t>
  </si>
  <si>
    <t xml:space="preserve">New or renewed lease at 387 Park Avenue South reported 2026-08-12</t>
  </si>
  <si>
    <t xml:space="preserve">Gated out: Tuesday estimate under 30 (14 to 28).</t>
  </si>
  <si>
    <t xml:space="preserve">Tuesday estimate under 30 (14 to 28)</t>
  </si>
  <si>
    <t xml:space="preserve">B-C-159</t>
  </si>
  <si>
    <t xml:space="preserve">https://www.hanoverpark.com</t>
  </si>
  <si>
    <t xml:space="preserve">fintech (AI fund administration)</t>
  </si>
  <si>
    <t xml:space="preserve">https://www.builtinnyc.com/company/hanover-park/offices</t>
  </si>
  <si>
    <t xml:space="preserve">https://www.linkedin.com/company/hanoverpark</t>
  </si>
  <si>
    <t xml:space="preserve">under-30</t>
  </si>
  <si>
    <t xml:space="preserve">42 (Built In) staff (whole-company count) x 50% to 100% of them in the New York office (HQ New York; share assumed) x 67% (Partnership for NYC, firms under 500) in on a weekday = 14 to 28, central 20; low confidence; estimate until intake replaces it.</t>
  </si>
  <si>
    <t xml:space="preserve">19,269 sf</t>
  </si>
  <si>
    <t xml:space="preserve">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</si>
  <si>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(https://www.hanoverpark.com/, opened 2026-10-24); LinkedIn not opened</t>
  </si>
  <si>
    <t xml:space="preserve">AO-C-226</t>
  </si>
  <si>
    <t xml:space="preserve">IMG Worldwide (WME Group)</t>
  </si>
  <si>
    <t xml:space="preserve">https://commercialobserver.com/2026/09/img-worldwide-lease-renewal-304-park-avenue-south/</t>
  </si>
  <si>
    <t xml:space="preserve">304 Park Avenue South</t>
  </si>
  <si>
    <t xml:space="preserve">part 2, 8-12, PH</t>
  </si>
  <si>
    <t xml:space="preserve">Gated out: Tuesday estimate over 250 (361 to 722).</t>
  </si>
  <si>
    <t xml:space="preserve">Tuesday estimate over 250 (361 to 722)</t>
  </si>
  <si>
    <t xml:space="preserve">B-C-226</t>
  </si>
  <si>
    <t xml:space="preserve">https://www.img.com</t>
  </si>
  <si>
    <t xml:space="preserve">talent and modeling agency</t>
  </si>
  <si>
    <t xml:space="preserve">https://en.wikipedia.org/wiki/IMG_(company)</t>
  </si>
  <si>
    <t xml:space="preserve">WME Group</t>
  </si>
  <si>
    <t xml:space="preserve">https://www.linkedin.com/company/img</t>
  </si>
  <si>
    <t xml:space="preserve">2026-09-16</t>
  </si>
  <si>
    <t xml:space="preserve">https://therealdeal.com/new-york/2026/10/07/new-york-citys-top-office-leases-in-september/</t>
  </si>
  <si>
    <t xml:space="preserve">2026-10-07</t>
  </si>
  <si>
    <t xml:space="preserve">3000 (Wikipedia) staff (whole-company count) x 5% to 100% of them in the New York office (HQ city unknown; share assumed) x 57% (Partnership for NYC, all Manhattan firms; no figure for 500 to 4,999) in on a weekday; space-based for a company headquartered outside New York: 90,202 sf seats 361 to 722 at 250 to 125 sf per person, kept within the headcount math (85 to 1710) (largest square footage the sources mention at this address; if the company holds more space here, intake corrects it) = 361 to 722, central 511; low confidence; estimate until intake replaces it.</t>
  </si>
  <si>
    <t xml:space="preserve">90,202 sf</t>
  </si>
  <si>
    <t xml:space="preserve">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</si>
  <si>
    <t xml:space="preserve">linked from the company's own site (https://www.img.com/, opened 2026-10-24); LinkedIn not opened</t>
  </si>
  <si>
    <t xml:space="preserve">AO-C-209</t>
  </si>
  <si>
    <t xml:space="preserve">Infor</t>
  </si>
  <si>
    <t xml:space="preserve">Gated out: Tuesday estimate over 250 (360 to 720).</t>
  </si>
  <si>
    <t xml:space="preserve">Tuesday estimate over 250 (360 to 720)</t>
  </si>
  <si>
    <t xml:space="preserve">B-C-209</t>
  </si>
  <si>
    <t xml:space="preserve">https://www.infor.com</t>
  </si>
  <si>
    <t xml:space="preserve">enterprise software</t>
  </si>
  <si>
    <t xml:space="preserve">18402</t>
  </si>
  <si>
    <t xml:space="preserve">https://www.builtinnyc.com/company/infor</t>
  </si>
  <si>
    <t xml:space="preserve">https://www.linkedin.com/company/infor</t>
  </si>
  <si>
    <t xml:space="preserve">https://commercialobserver.com/2021/05/software-company-infor-reups-90k-sf-at-635-641-avenue-of-the-americas/</t>
  </si>
  <si>
    <t xml:space="preserve">2021-05-06</t>
  </si>
  <si>
    <t xml:space="preserve">18402 (Built In) staff (whole-company count) x 50% to 100% of them in the New York office (HQ New York; share assumed) x 46% (Partnership for NYC, firms over 5,000) in on a weekday; the headcount math (4232 to 8465) is more than 90,000 sf can seat, so the range comes from the space: 360 to 720 at 250 to 125 sf per person (largest square footage the sources mention at this address; if the company holds more space here, intake corrects it) = 360 to 720, central 509; low confidence; estimate until intake replaces it.</t>
  </si>
  <si>
    <t xml:space="preserve">90,000 sf</t>
  </si>
  <si>
    <t xml:space="preserve">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</si>
  <si>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linked from the company's own site (https://www.infor.com/, opened 2026-10-24); LinkedIn not opened</t>
  </si>
  <si>
    <t xml:space="preserve">AO-C-078</t>
  </si>
  <si>
    <t xml:space="preserve">Instant</t>
  </si>
  <si>
    <t xml:space="preserve">Gated out: Tuesday estimate under 30 (20 to 27).</t>
  </si>
  <si>
    <t xml:space="preserve">Tuesday estimate under 30 (20 to 27)</t>
  </si>
  <si>
    <t xml:space="preserve">B-C-078</t>
  </si>
  <si>
    <t xml:space="preserve">https://instant.one</t>
  </si>
  <si>
    <t xml:space="preserve">software (e-commerce checkout and marketing)</t>
  </si>
  <si>
    <t xml:space="preserve">https://www.builtinnyc.com/company/instant</t>
  </si>
  <si>
    <t xml:space="preserve">Sydney</t>
  </si>
  <si>
    <t xml:space="preserve">https://www.linkedin.com/company/tryinstant</t>
  </si>
  <si>
    <t xml:space="preserve">40 (Built In) staff (whole-company count) x 5% to 100% of them in the New York office (HQ outside New York; share assumed) x 67% (Partnership for NYC, firms under 500) in on a weekday; space-based for a company headquartered outside New York: 5,000 sf seats 20 to 40 at 250 to 125 sf per person, kept within the headcount math (1 to 27) (largest square footage the sources mention at this address; if the company holds more space here, intake corrects it) = 20 to 27, central 23; low confidence; estimate until intake replaces it.</t>
  </si>
  <si>
    <t xml:space="preserve">First NYC office, three-year furnished lease of 5,000 sf at 53-55 W 21st St (Moinian), move-in June 2025. Sydney-based. Built In shows 40 total employees (whole company), so the NYC team is at most 40 by arithmetic; its own count is not sourced.</t>
  </si>
  <si>
    <t xml:space="preserve">linked from the company's own site (https://instant.one/, opened 2026-10-24); LinkedIn not opened</t>
  </si>
  <si>
    <t xml:space="preserve">AO-C-242</t>
  </si>
  <si>
    <t xml:space="preserve">Legora</t>
  </si>
  <si>
    <t xml:space="preserve">New or renewed lease at 11 Madison Avenue reported 2026-07-23</t>
  </si>
  <si>
    <t xml:space="preserve">Gated out: Tuesday estimate over 250 (314 to 627).</t>
  </si>
  <si>
    <t xml:space="preserve">Tuesday estimate over 250 (314 to 627)</t>
  </si>
  <si>
    <t xml:space="preserve">B-C-242</t>
  </si>
  <si>
    <t xml:space="preserve">https://legora.com/</t>
  </si>
  <si>
    <t xml:space="preserve">1100</t>
  </si>
  <si>
    <t xml:space="preserve">https://www.builtinnyc.com/company/legora/offices</t>
  </si>
  <si>
    <t xml:space="preserve">https://www.linkedin.com/company/wearelegora</t>
  </si>
  <si>
    <t xml:space="preserve">https://flatironnomad.nyc/2026/08/05/july-news-roundup-6/</t>
  </si>
  <si>
    <t xml:space="preserve">2026-08-05</t>
  </si>
  <si>
    <t xml:space="preserve">1100 (Built In) staff (whole-company count) x 50% to 100% of them in the New York office (HQ New York; share assumed) x 57% (Partnership for NYC, all Manhattan firms; no figure for 500 to 4,999) in on a weekday = 314 to 627, central 444; low confidence; estimate until intake replaces it.</t>
  </si>
  <si>
    <t xml:space="preserve">98,420 sf</t>
  </si>
  <si>
    <t xml:space="preserve">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</si>
  <si>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(https://legora.com/, opened 2026-10-24); LinkedIn not opened</t>
  </si>
  <si>
    <t xml:space="preserve">AO-C-211</t>
  </si>
  <si>
    <t xml:space="preserve">Mastercard</t>
  </si>
  <si>
    <t xml:space="preserve">https://commercialobserver.com/2025/09/bam-labs-150-fifth-avenue-first-u-s-location/</t>
  </si>
  <si>
    <t xml:space="preserve">150 Fifth Avenue</t>
  </si>
  <si>
    <t xml:space="preserve">Gated out: Tuesday estimate over 250 (892 to 1696).</t>
  </si>
  <si>
    <t xml:space="preserve">Tuesday estimate over 250 (892 to 1696)</t>
  </si>
  <si>
    <t xml:space="preserve">B-C-211</t>
  </si>
  <si>
    <t xml:space="preserve">https://www.mastercard.com</t>
  </si>
  <si>
    <t xml:space="preserve">payments (tech hub)</t>
  </si>
  <si>
    <t xml:space="preserve">38800</t>
  </si>
  <si>
    <t xml:space="preserve">https://www.builtinnyc.com/company/mastercard</t>
  </si>
  <si>
    <t xml:space="preserve">Purchase</t>
  </si>
  <si>
    <t xml:space="preserve">https://commercialobserver.com/2021/10/150-fifth-avenue-debuts-as-mastercards-new-tech-hq/</t>
  </si>
  <si>
    <t xml:space="preserve">2021-10-20</t>
  </si>
  <si>
    <t xml:space="preserve">38800 (Built In) staff (whole-company count) x 5% to 100% of them in the New York office (HQ outside New York; share assumed) x 46% (Partnership for NYC, firms over 5,000) in on a weekday; space-based for a company headquartered outside New York: 212,000 sf seats 848 to 1696 at 250 to 125 sf per person, kept within the headcount math (892 to 17848) (largest square footage the sources mention at this address; if the company holds more space here, intake corrects it) = 892 to 1696, central 1230; low confidence; estimate until intake replaces it.</t>
  </si>
  <si>
    <t xml:space="preserve">212,000 sf</t>
  </si>
  <si>
    <t xml:space="preserve">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</si>
  <si>
    <t xml:space="preserve">AO-C-194</t>
  </si>
  <si>
    <t xml:space="preserve">Microsoft (AdTech hub)</t>
  </si>
  <si>
    <t xml:space="preserve">6-10</t>
  </si>
  <si>
    <t xml:space="preserve">Gated out: Tuesday estimate over 250 (600 to 1200).</t>
  </si>
  <si>
    <t xml:space="preserve">Tuesday estimate over 250 (600 to 1200)</t>
  </si>
  <si>
    <t xml:space="preserve">B-C-194</t>
  </si>
  <si>
    <t xml:space="preserve">https://www.microsoft.com</t>
  </si>
  <si>
    <t xml:space="preserve">software (advertising technology unit)</t>
  </si>
  <si>
    <t xml:space="preserve">223000</t>
  </si>
  <si>
    <t xml:space="preserve">https://www.builtinnyc.com/company/microsoft</t>
  </si>
  <si>
    <t xml:space="preserve">Redmond</t>
  </si>
  <si>
    <t xml:space="preserve">223000 (Built In) staff (whole-company count) x 5% to 100% of them in the New York office (HQ outside New York; share assumed) x 46% (Partnership for NYC, firms over 5,000) in on a weekday; space-based for a company headquartered outside New York: 150,000 sf seats 600 to 1200 at 250 to 125 sf per person, kept within the headcount math (5129 to 102580) (largest square footage the sources mention at this address; if the company holds more space here, intake corrects it) = 600 to 1200, central 849; low confidence; estimate until intake replaces it.</t>
  </si>
  <si>
    <t xml:space="preserve">150,000 sf</t>
  </si>
  <si>
    <t xml:space="preserve">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</si>
  <si>
    <t xml:space="preserve">AO-C-097</t>
  </si>
  <si>
    <t xml:space="preserve">Normal Computing</t>
  </si>
  <si>
    <t xml:space="preserve">New or renewed lease at 61 West 23rd Street reported 2026-09-21</t>
  </si>
  <si>
    <t xml:space="preserve">Gated out: Tuesday estimate under 30 (20 to 20).</t>
  </si>
  <si>
    <t xml:space="preserve">Tuesday estimate under 30 (20 to 20)</t>
  </si>
  <si>
    <t xml:space="preserve">B-C-097</t>
  </si>
  <si>
    <t xml:space="preserve">https://normalcomputing.com/</t>
  </si>
  <si>
    <t xml:space="preserve">AI hardware / computing</t>
  </si>
  <si>
    <t xml:space="preserve">scope-differs</t>
  </si>
  <si>
    <t xml:space="preserve">https://www.reveliolabs.com/companies/normal-computing/employees</t>
  </si>
  <si>
    <t xml:space="preserve">https://www.linkedin.com/company/normal-computing-corporation</t>
  </si>
  <si>
    <t xml:space="preserve">https://flatironnomad.nyc/2026/10/07/september-news-roundup-7/</t>
  </si>
  <si>
    <t xml:space="preserve">2026-11</t>
  </si>
  <si>
    <t xml:space="preserve">30 in the New York office (Commercial Observer) staff (New York office count) x the count is for the New York office x 67% (Partnership for NYC, firms under 500) in on a weekday = 20 to 20, central 20; medium confidence; estimate until intake replaces it.</t>
  </si>
  <si>
    <t xml:space="preserve">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</si>
  <si>
    <t xml:space="preserve">linked from the company's own site (https://normalcomputing.com/, opened 2026-10-24); LinkedIn not opened</t>
  </si>
  <si>
    <t xml:space="preserve">AO-C-238</t>
  </si>
  <si>
    <t xml:space="preserve">Palo Alto Networks</t>
  </si>
  <si>
    <t xml:space="preserve">Gated out: Tuesday estimate over 250 (370 to 7391).</t>
  </si>
  <si>
    <t xml:space="preserve">Tuesday estimate over 250 (370 to 7391)</t>
  </si>
  <si>
    <t xml:space="preserve">B-C-238</t>
  </si>
  <si>
    <t xml:space="preserve">https://www.paloaltonetworks.com/</t>
  </si>
  <si>
    <t xml:space="preserve">Cybersecurity</t>
  </si>
  <si>
    <t xml:space="preserve">16068</t>
  </si>
  <si>
    <t xml:space="preserve">https://en.wikipedia.org/wiki/Palo_Alto_Networks</t>
  </si>
  <si>
    <t xml:space="preserve">https://www.linkedin.com/company/palo-alto-networks</t>
  </si>
  <si>
    <t xml:space="preserve">16068 (Wikipedia) staff (whole-company count) x 5% to 100% of them in the New York office (HQ city unknown; share assumed) x 46% (Partnership for NYC, firms over 5,000) in on a weekday = 370 to 7391, central 1654; low confidence; estimate until intake replaces it.</t>
  </si>
  <si>
    <t xml:space="preserve">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</si>
  <si>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(https://www.paloaltonetworks.com/, opened 2026-10-24); LinkedIn not opened</t>
  </si>
  <si>
    <t xml:space="preserve">AO-C-204</t>
  </si>
  <si>
    <t xml:space="preserve">Perkins Eastman</t>
  </si>
  <si>
    <t xml:space="preserve">https://www.perkinseastman.com/studios/new-york/</t>
  </si>
  <si>
    <t xml:space="preserve">Gated out: Tuesday estimate over 250 (374 to 749).</t>
  </si>
  <si>
    <t xml:space="preserve">Tuesday estimate over 250 (374 to 749)</t>
  </si>
  <si>
    <t xml:space="preserve">B-C-204</t>
  </si>
  <si>
    <t xml:space="preserve">https://www.perkinseastman.com</t>
  </si>
  <si>
    <t xml:space="preserve">1314</t>
  </si>
  <si>
    <t xml:space="preserve">https://www.builtinnyc.com/company/perkins-eastman</t>
  </si>
  <si>
    <t xml:space="preserve">https://www.linkedin.com/company/perkins-eastman</t>
  </si>
  <si>
    <t xml:space="preserve">1314 (Built In) staff (whole-company count) x 50% to 100% of them in the New York office (HQ New York; share assumed) x 57% (Partnership for NYC, all Manhattan firms; no figure for 500 to 4,999) in on a weekday = 374 to 749, central 529; low confidence; estimate until intake replaces it.</t>
  </si>
  <si>
    <t xml:space="preserve">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</si>
  <si>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linked from the company's own site (https://www.perkinseastman.com/, opened 2026-10-24); LinkedIn not opened</t>
  </si>
  <si>
    <t xml:space="preserve">AO-C-241</t>
  </si>
  <si>
    <t xml:space="preserve">United Talent Agency (UTA)</t>
  </si>
  <si>
    <t xml:space="preserve">New or renewed lease at 27 West 24th Street reported 2026-07</t>
  </si>
  <si>
    <t xml:space="preserve">https://commercialobserver.com/2026/07/united-talent-agency-lease-esrt-empire-state-building/</t>
  </si>
  <si>
    <t xml:space="preserve">27 West 24th Street</t>
  </si>
  <si>
    <t xml:space="preserve">Gated out: Tuesday estimate over 250 (404 to 808).</t>
  </si>
  <si>
    <t xml:space="preserve">Tuesday estimate over 250 (404 to 808)</t>
  </si>
  <si>
    <t xml:space="preserve">B-C-241</t>
  </si>
  <si>
    <t xml:space="preserve">https://www.unitedtalent.com/</t>
  </si>
  <si>
    <t xml:space="preserve">2200</t>
  </si>
  <si>
    <t xml:space="preserve">https://en.wikipedia.org/wiki/United_Talent_Agency</t>
  </si>
  <si>
    <t xml:space="preserve">https://www.linkedin.com/company/unitedtalent</t>
  </si>
  <si>
    <t xml:space="preserve">2200 (Wikipedia) staff (whole-company count) x 5% to 100% of them in the New York office (HQ city unknown; share assumed) x 57% (Partnership for NYC, all Manhattan firms; no figure for 500 to 4,999) in on a weekday; space-based for a company headquartered outside New York: 100,948 sf seats 404 to 808 at 250 to 125 sf per person, kept within the headcount math (63 to 1254) (largest square footage the sources mention at this address; if the company holds more space here, intake corrects it) = 404 to 808, central 571; low confidence; estimate until intake replaces it.</t>
  </si>
  <si>
    <t xml:space="preserve">100,948 sf</t>
  </si>
  <si>
    <t xml:space="preserve">https://commercialobserver.com/2026/07/united-talent-agency-lease-esrt-empire-state-building/ (opened 2026-10-24): '...ty’s most famous office building for its new East Coast headquarters. UTA leased 100,948 square feet at the Empire State Building in a move that will consolidat'</t>
  </si>
  <si>
    <t xml:space="preserve">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</si>
  <si>
    <t xml:space="preserve">linked from the company's own site (https://www.unitedtalent.com/, opened 2026-10-24); LinkedIn not opened</t>
  </si>
  <si>
    <t xml:space="preserve">AO-C-192</t>
  </si>
  <si>
    <t xml:space="preserve">WW International (WeightWatchers)</t>
  </si>
  <si>
    <t xml:space="preserve">https://www.sec.gov/Archives/edgar/data/105319/000119312526335166/ww-20260630.htm</t>
  </si>
  <si>
    <t xml:space="preserve">B-C-192</t>
  </si>
  <si>
    <t xml:space="preserve">https://www.weightwatchers.com</t>
  </si>
  <si>
    <t xml:space="preserve">consumer health and wellness</t>
  </si>
  <si>
    <t xml:space="preserve">https://www.builtinnyc.com/company/weightwatchers</t>
  </si>
  <si>
    <t xml:space="preserve">https://www.linkedin.com/company/wwinternational</t>
  </si>
  <si>
    <t xml:space="preserve">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</si>
  <si>
    <t xml:space="preserve">linked from the company's own site (https://www.weightwatchers.com/us, opened 2026-10-24); LinkedIn not opened</t>
  </si>
  <si>
    <t xml:space="preserve">AO-C-060</t>
  </si>
  <si>
    <t xml:space="preserve">Warp</t>
  </si>
  <si>
    <t xml:space="preserve">New or renewed lease at 156 Fifth Avenue reported 2026-08-06</t>
  </si>
  <si>
    <t xml:space="preserve">https://commercialobserver.com/2026/08/warp-triple-lease-expansion-hrc-156-fifth-avenue/</t>
  </si>
  <si>
    <t xml:space="preserve">B-C-060</t>
  </si>
  <si>
    <t xml:space="preserve">https://www.warp.co</t>
  </si>
  <si>
    <t xml:space="preserve">software (AI payroll and HR)</t>
  </si>
  <si>
    <t xml:space="preserve">https://www.builtinnyc.com/company/warp</t>
  </si>
  <si>
    <t xml:space="preserve">https://www.linkedin.com/company/warpdotco</t>
  </si>
  <si>
    <t xml:space="preserve">8,000 sf;24,500 sf</t>
  </si>
  <si>
    <t xml:space="preserve">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</si>
  <si>
    <t xml:space="preserve">linked from the company's own site (https://www.warp.co/, opened 2026-10-24); LinkedIn not opened</t>
  </si>
  <si>
    <t xml:space="preserve">AO-C-199</t>
  </si>
  <si>
    <t xml:space="preserve">monday.com</t>
  </si>
  <si>
    <t xml:space="preserve">New or renewed lease at 225 Park Avenue South reported 2025-12</t>
  </si>
  <si>
    <t xml:space="preserve">https://commercialobserver.com/2025/12/expanding-monday-work-platform-takes-more-space-gramercy-park/</t>
  </si>
  <si>
    <t xml:space="preserve">2025-12</t>
  </si>
  <si>
    <t xml:space="preserve">225 Park Avenue South</t>
  </si>
  <si>
    <t xml:space="preserve">Gated out: Tuesday estimate over 250 (899 to 1109).</t>
  </si>
  <si>
    <t xml:space="preserve">Tuesday estimate over 250 (899 to 1109)</t>
  </si>
  <si>
    <t xml:space="preserve">B-C-199</t>
  </si>
  <si>
    <t xml:space="preserve">https://monday.com</t>
  </si>
  <si>
    <t xml:space="preserve">work management software</t>
  </si>
  <si>
    <t xml:space="preserve">3155</t>
  </si>
  <si>
    <t xml:space="preserve">https://www.builtinnyc.com/company/mondaycom</t>
  </si>
  <si>
    <t xml:space="preserve">https://www.linkedin.com/company/2525169</t>
  </si>
  <si>
    <t xml:space="preserve">3155 (Built In) staff (whole-company count) x 50% to 100% of them in the New York office (HQ New York; share assumed) x 57% (Partnership for NYC, all Manhattan firms; no figure for 500 to 4,999) in on a weekday; capped by 138,611 sf at 125 sf per person (was 899 to 1798); central capped at 138,611 sf / 150 sf per person (largest square footage the sources mention at this address; if the company holds more space here, intake corrects it) = 899 to 1109, central 924; low confidence; estimate until intake replaces it.</t>
  </si>
  <si>
    <t xml:space="preserve">138,611 sf</t>
  </si>
  <si>
    <t xml:space="preserve">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</si>
  <si>
    <t xml:space="preserve">linked from the company's own site (https://monday.com/, opened 2026-10-24); LinkedIn not opened</t>
  </si>
  <si>
    <t xml:space="preserve">AO-C-202</t>
  </si>
  <si>
    <t xml:space="preserve">Palantir Technologies</t>
  </si>
  <si>
    <t xml:space="preserve">https://commercialobserver.com/2024/05/palantir-lease-620-avenue-of-the-americas/</t>
  </si>
  <si>
    <t xml:space="preserve">Gated out: Tuesday estimate over 250 (561 to 1123).</t>
  </si>
  <si>
    <t xml:space="preserve">Tuesday estimate over 250 (561 to 1123)</t>
  </si>
  <si>
    <t xml:space="preserve">B-C-202</t>
  </si>
  <si>
    <t xml:space="preserve">https://www.palantir.com</t>
  </si>
  <si>
    <t xml:space="preserve">data analytics software</t>
  </si>
  <si>
    <t xml:space="preserve">4429</t>
  </si>
  <si>
    <t xml:space="preserve">https://en.wikipedia.org/wiki/Palantir_Technologies</t>
  </si>
  <si>
    <t xml:space="preserve">2024-05</t>
  </si>
  <si>
    <t xml:space="preserve">4429 (Wikipedia) staff (whole-company count) x 5% to 100% of them in the New York office (HQ city unknown; share assumed) x 57% (Partnership for NYC, all Manhattan firms; no figure for 500 to 4,999) in on a weekday; space-based for a company headquartered outside New York: 140,345 sf seats 561 to 1123 at 250 to 125 sf per person, kept within the headcount math (126 to 2525) (largest square footage the sources mention at this address; if the company holds more space here, intake corrects it) = 561 to 1123, central 794; low confidence; estimate until intake replaces it.</t>
  </si>
  <si>
    <t xml:space="preserve">140,345 sf</t>
  </si>
  <si>
    <t xml:space="preserve">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</si>
  <si>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AO-C-214</t>
  </si>
  <si>
    <t xml:space="preserve">SeatGeek</t>
  </si>
  <si>
    <t xml:space="preserve">https://commercialobserver.com/2018/10/seatgeek-leases-72k-sf-for-new-flatiron-offices/</t>
  </si>
  <si>
    <t xml:space="preserve">8-11</t>
  </si>
  <si>
    <t xml:space="preserve">Gated out: Tuesday estimate over 250 (256 to 513).</t>
  </si>
  <si>
    <t xml:space="preserve">Tuesday estimate over 250 (256 to 513)</t>
  </si>
  <si>
    <t xml:space="preserve">B-C-214</t>
  </si>
  <si>
    <t xml:space="preserve">https://seatgeek.com</t>
  </si>
  <si>
    <t xml:space="preserve">ticketing marketplace</t>
  </si>
  <si>
    <t xml:space="preserve">https://www.builtinnyc.com/company/seatgeek</t>
  </si>
  <si>
    <t xml:space="preserve">2018-10-17</t>
  </si>
  <si>
    <t xml:space="preserve">2024-11-02</t>
  </si>
  <si>
    <t xml:space="preserve">900 (Built In) staff (whole-company count) x 50% to 100% of them in the New York office (HQ New York; share assumed) x 57% (Partnership for NYC, all Manhattan firms; no figure for 500 to 4,999) in on a weekday = 256 to 513, central 362; low confidence; estimate until intake replaces it.</t>
  </si>
  <si>
    <t xml:space="preserve">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</si>
  <si>
    <t xml:space="preserve">AO-C-208</t>
  </si>
  <si>
    <t xml:space="preserve">Tory Burch</t>
  </si>
  <si>
    <t xml:space="preserve">https://www.builtinnyc.com/company/tory-burch/offices</t>
  </si>
  <si>
    <t xml:space="preserve">11 West 19th Street</t>
  </si>
  <si>
    <t xml:space="preserve">7-11</t>
  </si>
  <si>
    <t xml:space="preserve">Gated out: Tuesday estimate over 250 (914 to 1040).</t>
  </si>
  <si>
    <t xml:space="preserve">Tuesday estimate over 250 (914 to 1040)</t>
  </si>
  <si>
    <t xml:space="preserve">B-C-208</t>
  </si>
  <si>
    <t xml:space="preserve">https://www.toryburch.com</t>
  </si>
  <si>
    <t xml:space="preserve">fashion brand (headquarters)</t>
  </si>
  <si>
    <t xml:space="preserve">3206</t>
  </si>
  <si>
    <t xml:space="preserve">https://www.builtinnyc.com/company/tory-burch</t>
  </si>
  <si>
    <t xml:space="preserve">https://www.linkedin.com/company/tory-burch</t>
  </si>
  <si>
    <t xml:space="preserve">https://commercialobserver.com/2022/08/tory-burch-renewal-11-west-19th-street/</t>
  </si>
  <si>
    <t xml:space="preserve">2022-08-05</t>
  </si>
  <si>
    <t xml:space="preserve">3206 (Built In) staff (whole-company count) x 50% to 100% of them in the New York office (HQ New York; share assumed) x 57% (Partnership for NYC, all Manhattan firms; no figure for 500 to 4,999) in on a weekday; capped by 130,000 sf at 125 sf per person (was 914 to 1827); central capped at 130,000 sf / 150 sf per person (largest square footage the sources mention at this address; if the company holds more space here, intake corrects it) = 914 to 1040, central 914; low confidence; estimate until intake replaces it.</t>
  </si>
  <si>
    <t xml:space="preserve">130,000 sf</t>
  </si>
  <si>
    <t xml:space="preserve">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</si>
  <si>
    <t xml:space="preserve">linked from the company's own site (https://www.toryburch.com/en-us/, opened 2026-10-24); LinkedIn not opened</t>
  </si>
  <si>
    <t xml:space="preserve">AO-C-275</t>
  </si>
  <si>
    <t xml:space="preserve">Ford Models</t>
  </si>
  <si>
    <t xml:space="preserve">https://fordmodels.com/contact</t>
  </si>
  <si>
    <t xml:space="preserve">36 East 31st Street</t>
  </si>
  <si>
    <t xml:space="preserve">Gated out: outside the cluster (0.2 blocks outside the line).</t>
  </si>
  <si>
    <t xml:space="preserve">outside the cluster (0.2 blocks outside the line)</t>
  </si>
  <si>
    <t xml:space="preserve">B-C-275</t>
  </si>
  <si>
    <t xml:space="preserve">https://fordmodels.com</t>
  </si>
  <si>
    <t xml:space="preserve">https://commercialobserver.com/2026/03/ford-models-office-lease-36-east-31st-street/</t>
  </si>
  <si>
    <t xml:space="preserve">2026-03-17</t>
  </si>
  <si>
    <t xml:space="preserve">11,986 sf</t>
  </si>
  <si>
    <t xml:space="preserve">Contact page lists Ford New York at 36 East 31st Street 8th Floor; CO 2026: 11,986 SF on floor 8 (temporarily on floor 9 during buildout). Earlier listed as an 11 E 26th St tenant. Margin row (31st St). Headcount not found.</t>
  </si>
  <si>
    <t xml:space="preserve">AO-C-173</t>
  </si>
  <si>
    <t xml:space="preserve">Pilot Fiber</t>
  </si>
  <si>
    <t xml:space="preserve">https://www.pilotfiber.com/legal</t>
  </si>
  <si>
    <t xml:space="preserve">1115 Broadway</t>
  </si>
  <si>
    <t xml:space="preserve">Gated out: inside a coworking space (B-W-011).</t>
  </si>
  <si>
    <t xml:space="preserve">inside a coworking space (B-W-011)</t>
  </si>
  <si>
    <t xml:space="preserve">B-C-173</t>
  </si>
  <si>
    <t xml:space="preserve">https://www.pilotfiber.com/</t>
  </si>
  <si>
    <t xml:space="preserve">Telecom / fiber internet provider</t>
  </si>
  <si>
    <t xml:space="preserve">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</si>
  <si>
    <t xml:space="preserve">AO-W-028</t>
  </si>
  <si>
    <t xml:space="preserve">Resident Madison Park (Flatiron)</t>
  </si>
  <si>
    <t xml:space="preserve">https://residentcompanyclub.com/</t>
  </si>
  <si>
    <t xml:space="preserve">115 East 23rd Street, Floors 4-5, New York, NY 10010</t>
  </si>
  <si>
    <t xml:space="preserve">Floors 4-5</t>
  </si>
  <si>
    <t xml:space="preserve">open</t>
  </si>
  <si>
    <t xml:space="preserve">grp-W025-W028</t>
  </si>
  <si>
    <t xml:space="preserve">B-W-028</t>
  </si>
  <si>
    <t xml:space="preserve">https://residentcompanyclub.com</t>
  </si>
  <si>
    <t xml:space="preserve">Resident Company Club</t>
  </si>
  <si>
    <t xml:space="preserve">https://commercialobserver.com/2025/12/coworking-resident-company-club-lease-113-university-place/</t>
  </si>
  <si>
    <t xml:space="preserve">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</si>
  <si>
    <t xml:space="preserve">parent 'resident company club' shared with AO-W-025</t>
  </si>
  <si>
    <t xml:space="preserve">AO-W-025</t>
  </si>
  <si>
    <t xml:space="preserve">Resident Union Square</t>
  </si>
  <si>
    <t xml:space="preserve">113 University Place, Floors 4-5, New York, NY 10003</t>
  </si>
  <si>
    <t xml:space="preserve">B-W-025</t>
  </si>
  <si>
    <t xml:space="preserve">2025-12-04</t>
  </si>
  <si>
    <t xml:space="preserve">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</si>
  <si>
    <t xml:space="preserve">parent 'resident company club' shared with AO-W-028</t>
  </si>
  <si>
    <t xml:space="preserve">AO-C-276</t>
  </si>
  <si>
    <t xml:space="preserve">The Ancillary Project</t>
  </si>
  <si>
    <t xml:space="preserve">New or renewed lease at 36 East 31st Street reported 2026-01-12</t>
  </si>
  <si>
    <t xml:space="preserve">https://commercialobserver.com/2026/01/ancillary-project-lease-36-east-31st-street/</t>
  </si>
  <si>
    <t xml:space="preserve">2026-01-12</t>
  </si>
  <si>
    <t xml:space="preserve">4 (part)</t>
  </si>
  <si>
    <t xml:space="preserve">B-C-276</t>
  </si>
  <si>
    <t xml:space="preserve">https://theancillaryproject.com</t>
  </si>
  <si>
    <t xml:space="preserve">creative studio (design and branding)</t>
  </si>
  <si>
    <t xml:space="preserve">https://www.linkedin.com/company/theancillaryproject</t>
  </si>
  <si>
    <t xml:space="preserve">https://theancillaryproject.com/</t>
  </si>
  <si>
    <t xml:space="preserve">5,851 sf</t>
  </si>
  <si>
    <t xml:space="preserve">CO 2026-01-12: 5,851 SF office and showroom on part of floor 4. Site lists Showroom 36 East 31st Street. Margin row (31st St). Headcount not sourced; founder to confirm at intake.</t>
  </si>
  <si>
    <t xml:space="preserve">linked from the company's own site (https://theancillaryproject.com/, opened 2026-10-24); LinkedIn not opened</t>
  </si>
  <si>
    <t xml:space="preserve">AO-W-032</t>
  </si>
  <si>
    <t xml:space="preserve">Corporate Suites Two Park Avenue</t>
  </si>
  <si>
    <t xml:space="preserve">https://www.corporatesuites.com/</t>
  </si>
  <si>
    <t xml:space="preserve">2 Park Avenue, 20th Floor, New York, NY 10016</t>
  </si>
  <si>
    <t xml:space="preserve">20th Floor</t>
  </si>
  <si>
    <t xml:space="preserve">Gated out: outside the cluster (2.0 blocks outside the line).</t>
  </si>
  <si>
    <t xml:space="preserve">outside the cluster (2.0 blocks outside the line)</t>
  </si>
  <si>
    <t xml:space="preserve">B-W-032</t>
  </si>
  <si>
    <t xml:space="preserve">https://www.corporatesuites.com</t>
  </si>
  <si>
    <t xml:space="preserve">Corporate Suites</t>
  </si>
  <si>
    <t xml:space="preserve">https://api.deskpass.com/api/spaces/two-park-avenue-coworking</t>
  </si>
  <si>
    <t xml:space="preserve">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</si>
  <si>
    <t xml:space="preserve">AO-W-002</t>
  </si>
  <si>
    <t xml:space="preserve">Hub Seventeen, 114 Fifth Avenue</t>
  </si>
  <si>
    <t xml:space="preserve">114 Fifth Avenue, New York, NY 10011</t>
  </si>
  <si>
    <t xml:space="preserve">Gated out: operator control of the pantry not shown (pantry_control=unknown).</t>
  </si>
  <si>
    <t xml:space="preserve">operator control of the pantry not shown (pantry_control=unknown)</t>
  </si>
  <si>
    <t xml:space="preserve">B-W-002</t>
  </si>
  <si>
    <t xml:space="preserve">Hub Seventeen</t>
  </si>
  <si>
    <t xml:space="preserve">2025-02-11</t>
  </si>
  <si>
    <t xml:space="preserve">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</si>
  <si>
    <t xml:space="preserve">AO-W-027</t>
  </si>
  <si>
    <t xml:space="preserve">Indy by Industrious Gramercy Park</t>
  </si>
  <si>
    <t xml:space="preserve">120 East 23rd Street, 4th Floor, New York, NY 10010</t>
  </si>
  <si>
    <t xml:space="preserve">Gated out: outside the cluster (0.3 blocks outside the line).</t>
  </si>
  <si>
    <t xml:space="preserve">outside the cluster (0.3 blocks outside the line)</t>
  </si>
  <si>
    <t xml:space="preserve">B-W-027</t>
  </si>
  <si>
    <t xml:space="preserve">'Indy'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</si>
  <si>
    <t xml:space="preserve">parent 'industrious' shared with AO-W-007, AO-W-016, AO-W-008, AO-W-014, AO-W-005, AO-W-003</t>
  </si>
  <si>
    <t xml:space="preserve">AO-W-029</t>
  </si>
  <si>
    <t xml:space="preserve">WeWork 135 Madison Ave</t>
  </si>
  <si>
    <t xml:space="preserve">https://www.wework.com/buildings/135-madison-ave--new-york-city--NY</t>
  </si>
  <si>
    <t xml:space="preserve">135 Madison Avenue, New York, NY 10016</t>
  </si>
  <si>
    <t xml:space="preserve">Gated out: outside the cluster (0.8 blocks outside the line).</t>
  </si>
  <si>
    <t xml:space="preserve">outside the cluster (0.8 blocks outside the line)</t>
  </si>
  <si>
    <t xml:space="preserve">B-W-029</t>
  </si>
  <si>
    <t xml:space="preserve">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</si>
  <si>
    <t xml:space="preserve">parent 'wework' shared with AO-W-004, AO-W-024, AO-W-018, AO-W-026, AO-W-020</t>
  </si>
  <si>
    <t xml:space="preserve">AO-W-026</t>
  </si>
  <si>
    <t xml:space="preserve">WeWork 33 Irving Pl</t>
  </si>
  <si>
    <t xml:space="preserve">https://www.wework.com/buildings/33-irving-pl--new-york-city--NY</t>
  </si>
  <si>
    <t xml:space="preserve">33 Irving Place, New York, NY 10003</t>
  </si>
  <si>
    <t xml:space="preserve">Gated out: outside the cluster (0.9 blocks outside the line).</t>
  </si>
  <si>
    <t xml:space="preserve">outside the cluster (0.9 blocks outside the line)</t>
  </si>
  <si>
    <t xml:space="preserve">B-W-026</t>
  </si>
  <si>
    <t xml:space="preserve">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</si>
  <si>
    <t xml:space="preserve">parent 'wework' shared with AO-W-004, AO-W-024, AO-W-018, AO-W-029, AO-W-020</t>
  </si>
  <si>
    <t xml:space="preserve">AO-W-009</t>
  </si>
  <si>
    <t xml:space="preserve">Le Parc Coworking Offices</t>
  </si>
  <si>
    <t xml:space="preserve">https://flatironnomad.nyc/2024/06/26/meet-le-parc/</t>
  </si>
  <si>
    <t xml:space="preserve">287 Park Avenue South, 2nd Floor, New York, NY 10010</t>
  </si>
  <si>
    <t xml:space="preserve">B-W-009</t>
  </si>
  <si>
    <t xml:space="preserve">Le Parc (CL Investment Group building)</t>
  </si>
  <si>
    <t xml:space="preserve">B-B-042</t>
  </si>
  <si>
    <t xml:space="preserve">United Charities Building</t>
  </si>
  <si>
    <t xml:space="preserve">2024-06-26</t>
  </si>
  <si>
    <t xml:space="preserve">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</si>
  <si>
    <t xml:space="preserve">AO-W-031</t>
  </si>
  <si>
    <t xml:space="preserve">Regus 1250 Broadway</t>
  </si>
  <si>
    <t xml:space="preserve">https://old.regus.com/offices/united-states/new-york/new-york-city/office-space/ny-new-york-1250-broadway</t>
  </si>
  <si>
    <t xml:space="preserve">1250 Broadway, 36th Floor, New York, NY 10001</t>
  </si>
  <si>
    <t xml:space="preserve">36th Floor</t>
  </si>
  <si>
    <t xml:space="preserve">grp-W012-W030-W031</t>
  </si>
  <si>
    <t xml:space="preserve">Gated out: outside the cluster (0.8 blocks outside the line); operator control of the pantry not shown (pantry_control=unknown).</t>
  </si>
  <si>
    <t xml:space="preserve">outside the cluster (0.8 blocks outside the line); operator control of the pantry not shown (pantry_control=unknown)</t>
  </si>
  <si>
    <t xml:space="preserve">B-W-031</t>
  </si>
  <si>
    <t xml:space="preserve">https://old.regus.com</t>
  </si>
  <si>
    <t xml:space="preserve">Regus (IWG)</t>
  </si>
  <si>
    <t xml:space="preserve">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</si>
  <si>
    <t xml:space="preserve">parent 'regus' shared with AO-W-030, AO-W-012</t>
  </si>
  <si>
    <t xml:space="preserve">AO-W-030</t>
  </si>
  <si>
    <t xml:space="preserve">Regus 136 Madison Avenue</t>
  </si>
  <si>
    <t xml:space="preserve">https://old.regus.com/offices/united-states/new-york/new-york-city/office-space/ny-new-york-city-136-madison-avenue</t>
  </si>
  <si>
    <t xml:space="preserve">136 Madison Avenue, 6th Floor, New York, NY 10016</t>
  </si>
  <si>
    <t xml:space="preserve">B-W-030</t>
  </si>
  <si>
    <t xml:space="preserve">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</si>
  <si>
    <t xml:space="preserve">parent 'regus' shared with AO-W-031, AO-W-012</t>
  </si>
  <si>
    <t xml:space="preserve">AO-W-012</t>
  </si>
  <si>
    <t xml:space="preserve">Regus 41 Madison Avenue</t>
  </si>
  <si>
    <t xml:space="preserve">https://old.regus.com/offices/united-states/new-york/new-york-city/office-space/ny-new-york-city-41-madison-avenue</t>
  </si>
  <si>
    <t xml:space="preserve">41 Madison Avenue, 31st Floor, New York, NY 10010</t>
  </si>
  <si>
    <t xml:space="preserve">31st Floor</t>
  </si>
  <si>
    <t xml:space="preserve">B-W-012</t>
  </si>
  <si>
    <t xml:space="preserve">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</si>
  <si>
    <t xml:space="preserve">parent 'regus' shared with AO-W-031, AO-W-030</t>
  </si>
  <si>
    <t xml:space="preserve">AO-W-019</t>
  </si>
  <si>
    <t xml:space="preserve">Spaces Midtown South (401 Park Avenue South)</t>
  </si>
  <si>
    <t xml:space="preserve">https://old.regus.com/offices/united-states/new-york/new-york-city/office-space/ny-new-york-spaces-midtown-south</t>
  </si>
  <si>
    <t xml:space="preserve">401 Park Avenue South, Floors 8-10, New York, NY 10016</t>
  </si>
  <si>
    <t xml:space="preserve">Floors 8-10</t>
  </si>
  <si>
    <t xml:space="preserve">B-W-019</t>
  </si>
  <si>
    <t xml:space="preserve">Spaces / Regus (IWG)</t>
  </si>
  <si>
    <t xml:space="preserve">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</si>
  <si>
    <t xml:space="preserve">AO-W-020</t>
  </si>
  <si>
    <t xml:space="preserve">WeWork 27 E 28th St (79 Madison Ave building)</t>
  </si>
  <si>
    <t xml:space="preserve">27 East 28th Street, New York, NY 10016</t>
  </si>
  <si>
    <t xml:space="preserve">eight floors of 17 (unnamed)</t>
  </si>
  <si>
    <t xml:space="preserve">possibly-closed</t>
  </si>
  <si>
    <t xml:space="preserve">address conflict in B's sources: check the lobby directory before outreach (B); site possibly closed: walk by first (B)</t>
  </si>
  <si>
    <t xml:space="preserve">Gated out: operator control of the pantry not shown (pantry_control=unknown); site possibly closed (B status).</t>
  </si>
  <si>
    <t xml:space="preserve">operator control of the pantry not shown (pantry_control=unknown); site possibly closed (B status)</t>
  </si>
  <si>
    <t xml:space="preserve">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</si>
  <si>
    <t xml:space="preserve">parent 'wework' shared with AO-W-004, AO-W-024, AO-W-018, AO-W-029, AO-W-026</t>
  </si>
  <si>
    <t xml:space="preserve">first_name</t>
  </si>
  <si>
    <t xml:space="preserve">last_name</t>
  </si>
  <si>
    <t xml:space="preserve">title</t>
  </si>
  <si>
    <t xml:space="preserve">contact_linkedin_url</t>
  </si>
  <si>
    <t xml:space="preserve">work_email</t>
  </si>
  <si>
    <t xml:space="preserve">email_status</t>
  </si>
  <si>
    <t xml:space="preserve">channel</t>
  </si>
  <si>
    <t xml:space="preserve">score</t>
  </si>
  <si>
    <t xml:space="preserve">score_reason</t>
  </si>
  <si>
    <t xml:space="preserve">nearest_stocked_retailer</t>
  </si>
  <si>
    <t xml:space="preserve">nearest_retailer_grade</t>
  </si>
  <si>
    <t xml:space="preserve">why_now</t>
  </si>
  <si>
    <t xml:space="preserve">why_now_url</t>
  </si>
  <si>
    <t xml:space="preserve">why_now_date</t>
  </si>
  <si>
    <t xml:space="preserve">known_to_founder</t>
  </si>
  <si>
    <t xml:space="preserve">startup_cpg_member</t>
  </si>
  <si>
    <t xml:space="preserve">do_not_contact</t>
  </si>
  <si>
    <t xml:space="preserve">status</t>
  </si>
  <si>
    <t xml:space="preserve">source_url</t>
  </si>
  <si>
    <t xml:space="preserve">found_date</t>
  </si>
  <si>
    <t xml:space="preserve">side</t>
  </si>
  <si>
    <t xml:space="preserve">daily_view_rank</t>
  </si>
  <si>
    <t xml:space="preserve">top60</t>
  </si>
  <si>
    <t xml:space="preserve">check_before_send</t>
  </si>
  <si>
    <t xml:space="preserve">contact_role</t>
  </si>
  <si>
    <t xml:space="preserve">contact_status</t>
  </si>
  <si>
    <t xml:space="preserve">contact_evidence</t>
  </si>
  <si>
    <t xml:space="preserve">contact_source_url</t>
  </si>
  <si>
    <t xml:space="preserve">contact_source_date</t>
  </si>
  <si>
    <t xml:space="preserve">product_example</t>
  </si>
  <si>
    <t xml:space="preserve">category</t>
  </si>
  <si>
    <t xml:space="preserve">online_store_url</t>
  </si>
  <si>
    <t xml:space="preserve">founder_review</t>
  </si>
  <si>
    <t xml:space="preserve">founder_review_reason</t>
  </si>
  <si>
    <t xml:space="preserve">review_blocking</t>
  </si>
  <si>
    <t xml:space="preserve">founder_review_cleared</t>
  </si>
  <si>
    <t xml:space="preserve">retailer_checked_date</t>
  </si>
  <si>
    <t xml:space="preserve">retailer_check_url</t>
  </si>
  <si>
    <t xml:space="preserve">score_reason_tail</t>
  </si>
  <si>
    <t xml:space="preserve">gate_failed</t>
  </si>
  <si>
    <t xml:space="preserve">founder_review_type</t>
  </si>
  <si>
    <t xml:space="preserve">hq_state</t>
  </si>
  <si>
    <t xml:space="preserve">hq_class</t>
  </si>
  <si>
    <t xml:space="preserve">funding_stage</t>
  </si>
  <si>
    <t xml:space="preserve">funding_source_url</t>
  </si>
  <si>
    <t xml:space="preserve">shelf_stable</t>
  </si>
  <si>
    <t xml:space="preserve">shelf_stable_basis</t>
  </si>
  <si>
    <t xml:space="preserve">individually_packaged</t>
  </si>
  <si>
    <t xml:space="preserve">online_store</t>
  </si>
  <si>
    <t xml:space="preserve">revenue_band</t>
  </si>
  <si>
    <t xml:space="preserve">revenue_band_type</t>
  </si>
  <si>
    <t xml:space="preserve">revenue_basis</t>
  </si>
  <si>
    <t xml:space="preserve">health_claim_flag</t>
  </si>
  <si>
    <t xml:space="preserve">research_excluded</t>
  </si>
  <si>
    <t xml:space="preserve">research_exclusion_reason</t>
  </si>
  <si>
    <t xml:space="preserve">nearest_retailer_blocks_outside</t>
  </si>
  <si>
    <t xml:space="preserve">nearest_retailer_inside_cluster</t>
  </si>
  <si>
    <t xml:space="preserve">graded_retailer_count_within_ten</t>
  </si>
  <si>
    <t xml:space="preserve">retailers_within_ten_blocks</t>
  </si>
  <si>
    <t xml:space="preserve">stores_beyond_ten_or_unplaced</t>
  </si>
  <si>
    <t xml:space="preserve">retailers_claimed</t>
  </si>
  <si>
    <t xml:space="preserve">retailer_evidence_urls</t>
  </si>
  <si>
    <t xml:space="preserve">why_now_type</t>
  </si>
  <si>
    <t xml:space="preserve">why_now_age_days</t>
  </si>
  <si>
    <t xml:space="preserve">startup_cpg_evidence_url</t>
  </si>
  <si>
    <t xml:space="preserve">score_buy</t>
  </si>
  <si>
    <t xml:space="preserve">score_ny</t>
  </si>
  <si>
    <t xml:space="preserve">score_why</t>
  </si>
  <si>
    <t xml:space="preserve">score_rev</t>
  </si>
  <si>
    <t xml:space="preserve">score_fit</t>
  </si>
  <si>
    <t xml:space="preserve">score_contact</t>
  </si>
  <si>
    <t xml:space="preserve">score_review</t>
  </si>
  <si>
    <t xml:space="preserve">instagram_url</t>
  </si>
  <si>
    <t xml:space="preserve">research_slice</t>
  </si>
  <si>
    <t xml:space="preserve">slice_row</t>
  </si>
  <si>
    <t xml:space="preserve">notes</t>
  </si>
  <si>
    <t xml:space="preserve">enrichment_log</t>
  </si>
  <si>
    <t xml:space="preserve">online_store_note</t>
  </si>
  <si>
    <t xml:space="preserve">product_short</t>
  </si>
  <si>
    <t xml:space="preserve">office_approvals_complete</t>
  </si>
  <si>
    <t xml:space="preserve">review_ok</t>
  </si>
  <si>
    <t xml:space="preserve">review_slot</t>
  </si>
  <si>
    <t xml:space="preserve">AB-219</t>
  </si>
  <si>
    <t xml:space="preserve">The Lucky Ox</t>
  </si>
  <si>
    <t xml:space="preserve">Whole Foods Market NoMad, 63 Madison Ave</t>
  </si>
  <si>
    <t xml:space="preserve">store_selector</t>
  </si>
  <si>
    <t xml:space="preserve">Launched in Whole Foods Market Northeast with a WFM-exclusive Mango Sticky Rice flavor; Pandan Coconut in WFM Discovery Program</t>
  </si>
  <si>
    <t xml:space="preserve">https://startupcpg.com/startup-cpg-newswire-the-lucky-ox-launches-into-whole-foods-across-the-northeast/</t>
  </si>
  <si>
    <t xml:space="preserve">queued</t>
  </si>
  <si>
    <t xml:space="preserve">https://luckyox.co/pages/about-us</t>
  </si>
  <si>
    <t xml:space="preserve">brand</t>
  </si>
  <si>
    <t xml:space="preserve">Pandan Coconut Sparkler 12 fl oz can; Vietnamese Lemonade Sparkler</t>
  </si>
  <si>
    <t xml:space="preserve">sparkling-soda</t>
  </si>
  <si>
    <t xml:space="preserve">New York (about page: 'Rooted in Culture, Born in NYC'; release datelined New York, NY)</t>
  </si>
  <si>
    <t xml:space="preserve">https://luckyox.co</t>
  </si>
  <si>
    <t xml:space="preserve">Sparklers page mentions 'natural electrolytes' (nutrient wording, not a health claim)</t>
  </si>
  <si>
    <t xml:space="preserve">https://www.wholefoodsmarket.com/api/search?text=lucky%20ox&amp;store=10773&amp;limit=60&amp;offset=0</t>
  </si>
  <si>
    <t xml:space="preserve">Fane</t>
  </si>
  <si>
    <t xml:space="preserve">He</t>
  </si>
  <si>
    <t xml:space="preserve">Co-founder and Chief Motion Officer</t>
  </si>
  <si>
    <t xml:space="preserve">https://www.linkedin.com/in/fane-he/</t>
  </si>
  <si>
    <t xml:space="preserve">founder</t>
  </si>
  <si>
    <t xml:space="preserve">https://theorg.com/org/the-lucky-ox/person/fane-he</t>
  </si>
  <si>
    <t xml:space="preserve">open the LinkedIn URL and confirm it is Fane He, Co-founder and Chief Motion Officer at The Lucky Ox (found on another page, never opened); use the Whole Foods Market NoMad line only if retailer_checked_date is this week's Friday check</t>
  </si>
  <si>
    <t xml:space="preserve">contact named (crowd-listed on The Org) plus a marketing lead</t>
  </si>
  <si>
    <t xml:space="preserve">Kyle</t>
  </si>
  <si>
    <t xml:space="preserve">Nguyen</t>
  </si>
  <si>
    <t xml:space="preserve">Creative Director (co-founder)</t>
  </si>
  <si>
    <t xml:space="preserve">marketing lead</t>
  </si>
  <si>
    <t xml:space="preserve">https://theorg.com/org/the-lucky-ox/person/kyle-nguyen</t>
  </si>
  <si>
    <t xml:space="preserve">find Kyle Nguyen at The Lucky Ox on LinkedIn and paste the profile URL into backup_linkedin_url (this also confirms the name: The Org is crowd-edited and marks it Unverified); use the Whole Foods Market NoMad line only if retailer_checked_date is this week's Friday check</t>
  </si>
  <si>
    <t xml:space="preserve">contact named (crowd-listed on The Org)</t>
  </si>
  <si>
    <t xml:space="preserve">New York City brand, store page shows Whole Foods Market NoMad inside the cluster, news 176 days ago, revenue unknown</t>
  </si>
  <si>
    <t xml:space="preserve">; founder review: nutrient-claim</t>
  </si>
  <si>
    <t xml:space="preserve">Fane He</t>
  </si>
  <si>
    <t xml:space="preserve">The Org (updated 2026-07-02); earlier role Co-founder and COO. Startup CPG podcast "Founder Feature - Fane He and Kyle Nguyen of The Lucky Ox" (2025-06-20) lists this LinkedIn URL; LinkedIn not opened.</t>
  </si>
  <si>
    <t xml:space="preserve">Kyle Nguyen</t>
  </si>
  <si>
    <t xml:space="preserve">The Org (updated 2026-01-27): Creative Director since 2025. Named as a founder in the Startup CPG podcast episode title. No dedicated marketing title found; closest brand role.</t>
  </si>
  <si>
    <t xml:space="preserve">stage 2</t>
  </si>
  <si>
    <t xml:space="preserve">nutrient-claim</t>
  </si>
  <si>
    <t xml:space="preserve">NY</t>
  </si>
  <si>
    <t xml:space="preserve">nyc</t>
  </si>
  <si>
    <t xml:space="preserve">seed ($584K total, round announced Oct 2025; unverified, founder to confirm)</t>
  </si>
  <si>
    <t xml:space="preserve">Canned sparkling drink sold in WFM grocery catalog; no shelf-life figure published, founder to confirm 60+ days</t>
  </si>
  <si>
    <t xml:space="preserve">Release says 1,300 doors nationwide (store count, not used for band)</t>
  </si>
  <si>
    <t xml:space="preserve">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</si>
  <si>
    <t xml:space="preserve">Whole Foods Market Manhattan West (store_selector, 13.8 blocks out);Pearl River Mart Chelsea (brand_claim, 11.4 blocks out)</t>
  </si>
  <si>
    <t xml:space="preserve">Whole Foods Market Northeast region (launch April 2026; Discovery Program); 1,300 doors; independents and restaurants</t>
  </si>
  <si>
    <t xml:space="preserve">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</si>
  <si>
    <t xml:space="preserve">press</t>
  </si>
  <si>
    <t xml:space="preserve">https://www.instagram.com/theluckyoxco</t>
  </si>
  <si>
    <t xml:space="preserve">BR4</t>
  </si>
  <si>
    <t xml:space="preserve">BR4:14</t>
  </si>
  <si>
    <t xml:space="preserve">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</si>
  <si>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</si>
  <si>
    <t xml:space="preserve">AB-216</t>
  </si>
  <si>
    <t xml:space="preserve">The Matzo Project</t>
  </si>
  <si>
    <t xml:space="preserve">Whole Foods Market Union Square, 4 Union Sq S</t>
  </si>
  <si>
    <t xml:space="preserve">Holiday Hanukkah set on Target.com and in select Target stores from Nov 1 (homepage); Passover Shmura matzo release (Feb 2026); Publix launch (Oct 2025)</t>
  </si>
  <si>
    <t xml:space="preserve">https://startupcpg.com/startup-cpg-newswire-the-matzo-project-does-something-unusual-for-passover-by-not-changing-a-thing/</t>
  </si>
  <si>
    <t xml:space="preserve">https://www.matzoproject.com/</t>
  </si>
  <si>
    <t xml:space="preserve">Everything Matzo Chips 6 oz bag (also Flats, Crumbs, soup kits)</t>
  </si>
  <si>
    <t xml:space="preserve">crackers-pretzels</t>
  </si>
  <si>
    <t xml:space="preserve">Brooklyn</t>
  </si>
  <si>
    <t xml:space="preserve">https://www.matzoproject.com</t>
  </si>
  <si>
    <t xml:space="preserve">https://www.wholefoodsmarket.com/api/search?text=matzo%20project&amp;store=10162&amp;limit=60&amp;offset=0</t>
  </si>
  <si>
    <t xml:space="preserve">Kevin</t>
  </si>
  <si>
    <t xml:space="preserve">Rodriguez</t>
  </si>
  <si>
    <t xml:space="preserve">Co-founder</t>
  </si>
  <si>
    <t xml:space="preserve">find Kevin Rodriguez at The Matzo Project on LinkedIn and paste the profile URL into primary_linkedin_url; use the Whole Foods Market Union Square line only if retailer_checked_date is this week's Friday check</t>
  </si>
  <si>
    <t xml:space="preserve">contact named plus a marketing lead</t>
  </si>
  <si>
    <t xml:space="preserve">Bennett</t>
  </si>
  <si>
    <t xml:space="preserve">Partner and company spokeswoman</t>
  </si>
  <si>
    <t xml:space="preserve">https://www.foodnavigator-usa.com/Article/2025/07/23/brands-give-jewish-staples-a-new-look-new-uses</t>
  </si>
  <si>
    <t xml:space="preserve">find Crystal Bennett at The Matzo Project on LinkedIn and paste the profile URL into backup_linkedin_url; use the Whole Foods Market Union Square line only if retailer_checked_date is this week's Friday check</t>
  </si>
  <si>
    <t xml:space="preserve">contact named</t>
  </si>
  <si>
    <t xml:space="preserve">New York City brand, store page shows Whole Foods Market Union Square inside the cluster, news 248 days ago, revenue unknown</t>
  </si>
  <si>
    <t xml:space="preserve">Kevin Rodriguez</t>
  </si>
  <si>
    <t xml:space="preserve">Release (2026-02) quotes "Kevin Rodriguez, Co-Founder". Brand homepage names Ashley Albert and Kevin Rodriguez as founders. The Org lists Avi B. Markus as CEO and co-owner since 2024 (backup row); he may hold the budget.</t>
  </si>
  <si>
    <t xml:space="preserve">Crystal Bennett</t>
  </si>
  <si>
    <t xml:space="preserve">FoodNavigator 2025-07-23 quotes her as "a spokeswoman for The Matzo Project" at the Summer Fancy Food Show. Brand homepage (https://www.matzoproject.com/) says she joined the founders as a partner. No formal marketing title found; closest public-facing role.</t>
  </si>
  <si>
    <t xml:space="preserve">Bagged matzo chips/crackers sold ambient; no shelf-life figure found on site, founder to confirm 60+ days</t>
  </si>
  <si>
    <t xml:space="preserve">Whole Foods Market Union Square, 4 Union Sq S (store_selector, inside)</t>
  </si>
  <si>
    <t xml:space="preserve">Whole Foods Market; Target; Walmart; Amazon; Meijer; Sprouts; H-E-B; Stop &amp; Shop; Publix; Harris Teeter; Plum Market; Thrive Market; Vitacost; Zabar's; Carnegie Deli; Cibo Gourmet; Zingerman's; Canadian grocers (Longo's, Loblaws, Farm Boy) and others</t>
  </si>
  <si>
    <t xml:space="preserve">https://startupcpg.com/startup-cpg-newswire-the-matzo-project-launches-at-publix/</t>
  </si>
  <si>
    <t xml:space="preserve">BR4:11</t>
  </si>
  <si>
    <t xml:space="preserve">Releases datelined Brooklyn, NY. Brooklyn-made per homepage. Four Startup CPG Newswire releases 2025-2026 (participation). Only WFM Union Square lists a SKU among cluster stores on 2026-10-23. Avi Markus also named as partner on homepage.</t>
  </si>
  <si>
    <t xml:space="preserve">retailers_claimed &lt;- https://www.matzoproject.com/pages/find-us-in-stores (2026-10-24, opened); </t>
  </si>
  <si>
    <t xml:space="preserve">Shop links to Amazon and Target.com</t>
  </si>
  <si>
    <t xml:space="preserve">AB-097</t>
  </si>
  <si>
    <t xml:space="preserve">Beyond Good</t>
  </si>
  <si>
    <t xml:space="preserve">Launched 70% Dark Chocolate Pistachio Crunch bar on brand store, Oct 2026</t>
  </si>
  <si>
    <t xml:space="preserve">https://beyondgood.com/products/70-cocoa-dark-chocolate-pistachio-crunch</t>
  </si>
  <si>
    <t xml:space="preserve">2026-10-02</t>
  </si>
  <si>
    <t xml:space="preserve">https://beyondgood.com/</t>
  </si>
  <si>
    <t xml:space="preserve">70% Cocoa Dark Chocolate Pistachio Crunch bar; Organic 92% Dark Chocolate Bar 2.64 oz</t>
  </si>
  <si>
    <t xml:space="preserve">chocolate-candy</t>
  </si>
  <si>
    <t xml:space="preserve">https://beyondgood.com</t>
  </si>
  <si>
    <t xml:space="preserve">60-day shelf life not stated</t>
  </si>
  <si>
    <t xml:space="preserve">https://www.wholefoodsmarket.com/api/search?text=beyond%20good%20chocolate&amp;store=10773&amp;limit=60&amp;offset=0</t>
  </si>
  <si>
    <t xml:space="preserve">Tim</t>
  </si>
  <si>
    <t xml:space="preserve">McCollum</t>
  </si>
  <si>
    <t xml:space="preserve">Founder and CEO</t>
  </si>
  <si>
    <t xml:space="preserve">https://theorg.com/org/beyond-good/person/tim-mccollum</t>
  </si>
  <si>
    <t xml:space="preserve">find Tim McCollum at Beyond Good on LinkedIn and paste the profile URL into primary_linkedin_url (this also confirms the name: The Org is crowd-edited and marks it Unverified); use the Whole Foods Market NoMad line only if retailer_checked_date is this week's Friday check</t>
  </si>
  <si>
    <t xml:space="preserve">Kristine</t>
  </si>
  <si>
    <t xml:space="preserve">Ford</t>
  </si>
  <si>
    <t xml:space="preserve">Head of Marketing</t>
  </si>
  <si>
    <t xml:space="preserve">https://theorg.com/org/beyond-good/person/kristine-ford</t>
  </si>
  <si>
    <t xml:space="preserve">find Kristine Ford at Beyond Good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</si>
  <si>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a new store listing 22 days ago, revenue unknown</t>
  </si>
  <si>
    <t xml:space="preserve">; founder review: shelf life not stated</t>
  </si>
  <si>
    <t xml:space="preserve">Tim McCollum</t>
  </si>
  <si>
    <t xml:space="preserve">The Org (updated 2026-01-28): Founder and CEO since 2008, HQ office. Wikipedia (https://en.wikipedia.org/wiki/Beyond_Good) names Tim McCollum and Brett Beach as founders.</t>
  </si>
  <si>
    <t xml:space="preserve">Kristine Ford</t>
  </si>
  <si>
    <t xml:space="preserve">2026-02-02</t>
  </si>
  <si>
    <t xml:space="preserve">The Org (updated 2026-02-02): Head of Marketing since 2024-11. Bio says she provides marketing leadership for mission-driven brands, so the role may be part-time or fractional.</t>
  </si>
  <si>
    <t xml:space="preserve">Wrapped chocolate bars sold ambient at Whole Foods; shelf-life figure not found</t>
  </si>
  <si>
    <t xml:space="preserve">Whole Foods Market NoMad, 63 Madison Ave (store_selector, inside);Whole Foods Market Union Square, 4 Union Sq S (store_selector, inside);Whole Foods Market Chelsea, 250 7th Ave (store_selector, 3.0 blocks out)</t>
  </si>
  <si>
    <t xml:space="preserve">Whole Foods</t>
  </si>
  <si>
    <t xml:space="preserve">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</si>
  <si>
    <t xml:space="preserve">listing</t>
  </si>
  <si>
    <t xml:space="preserve">https://www.instagram.com/eatbeyondgood/</t>
  </si>
  <si>
    <t xml:space="preserve">BR2</t>
  </si>
  <si>
    <t xml:space="preserve">BR2:35</t>
  </si>
  <si>
    <t xml:space="preserve">LinkedIn snippets: company page lists Brooklyn HQ and 11-50 employees; no marketing lead found, only a sales manager. Tim McCollum LinkedIn: https://www.linkedin.com/in/tim-mccollum-15ab5715/ (not opened). The founder is the likely budget owner.</t>
  </si>
  <si>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why_now_url &lt;- https://beyondgood.com/products/70-cocoa-dark-chocolate-pistachio-crunch (2026-10-24, stage 3 correction); </t>
  </si>
  <si>
    <t xml:space="preserve">AB-075</t>
  </si>
  <si>
    <t xml:space="preserve">Eleni's New York</t>
  </si>
  <si>
    <t xml:space="preserve">Moxie &amp; Co. and Eleni's launched licensed Chicka Chicka Boom Boom Alphabet Cookies (announced by Licensing International)</t>
  </si>
  <si>
    <t xml:space="preserve">https://licensinginternational.org/news/sweet-meets-storytime-moxie-co-and-elenis-cookies-launch-chicka-chicka-boom-boom-alphabet-cookies/</t>
  </si>
  <si>
    <t xml:space="preserve">2026-04-06</t>
  </si>
  <si>
    <t xml:space="preserve">https://elenis.com/pages/about-us</t>
  </si>
  <si>
    <t xml:space="preserve">Crisp Chocolate Chip Cookie 3.5 oz; Mini Crisp cookie pouches 4.5 oz</t>
  </si>
  <si>
    <t xml:space="preserve">cookies-baked</t>
  </si>
  <si>
    <t xml:space="preserve">https://elenis.com</t>
  </si>
  <si>
    <t xml:space="preserve">https://www.wholefoodsmarket.com/api/search?text=eleni%27s&amp;store=10773&amp;limit=60&amp;offset=0</t>
  </si>
  <si>
    <t xml:space="preserve">Eleni</t>
  </si>
  <si>
    <t xml:space="preserve">Gianopulos</t>
  </si>
  <si>
    <t xml:space="preserve">https://theorg.com/org/elenis/person/eleni-gianopulos</t>
  </si>
  <si>
    <t xml:space="preserve">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t>
  </si>
  <si>
    <t xml:space="preserve">Haley</t>
  </si>
  <si>
    <t xml:space="preserve">Mears</t>
  </si>
  <si>
    <t xml:space="preserve">Director of Sales</t>
  </si>
  <si>
    <t xml:space="preserve">co-founder or executive</t>
  </si>
  <si>
    <t xml:space="preserve">https://theorg.com/org/elenis/person/haley-mears</t>
  </si>
  <si>
    <t xml:space="preserve">find Haley Mears at Eleni's New York on LinkedIn and paste the profile URL into backup_linkedin_url (this also confirms the name: The Org is crowd-edited and marks it Unverified); the source is dated 2024-10-17: check Haley still holds the role; use the Whole Foods Market NoMad line only if retailer_checked_date is this week's Friday check</t>
  </si>
  <si>
    <t xml:space="preserve">New York City brand, store page shows Whole Foods Market NoMad inside the cluster, news 201 days ago, revenue unknown</t>
  </si>
  <si>
    <t xml:space="preserve">Eleni Gianopulos</t>
  </si>
  <si>
    <t xml:space="preserve">The Org (updated 2024-10-17): CEO. The brand about page (https://elenis.com/pages/about-us) names her as founder but spells "Gianopulous"; The Org and press spell "Gianopulos". Founder to confirm the spelling before any email lookup.</t>
  </si>
  <si>
    <t xml:space="preserve">Haley Mears</t>
  </si>
  <si>
    <t xml:space="preserve">The Org position page (opened 2026-10-24, updated 2024-10-17); no marketing lead is listed; crowd-edited.</t>
  </si>
  <si>
    <t xml:space="preserve">review round 1</t>
  </si>
  <si>
    <t xml:space="preserve">Brand FAQ: Everyday Crisp Cookies 'are awesome after 9 months post purchase' in original packaging; hand-iced sugar cookies and Color Me! cookies 6 months; Photo Cookies 2-3 months. Do not refrigerate.</t>
  </si>
  <si>
    <t xml:space="preserve">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</si>
  <si>
    <t xml:space="preserve">Grocery stores nationwide; Whole Foods; Westside Market; D'Agostino; Gristedes (brand Stockist locator)</t>
  </si>
  <si>
    <t xml:space="preserve">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</si>
  <si>
    <t xml:space="preserve">https://www.instagram.com/elenisny/</t>
  </si>
  <si>
    <t xml:space="preserve">BR2:12</t>
  </si>
  <si>
    <t xml:space="preserve">Strong local fit: many cluster grocers on brand locator. Pouches are single packages but multi-serve (3.5 to 4.5 oz). Why-now date from Shopify publish dates; Chicka Chicka items are kids-licensed.</t>
  </si>
  <si>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</si>
  <si>
    <t xml:space="preserve">AB-071</t>
  </si>
  <si>
    <t xml:space="preserve">Fine &amp; Raw</t>
  </si>
  <si>
    <t xml:space="preserve">Launched Josh Cellars x FINE &amp; RAW pairing collection and 2026 Halloween boxes on brand store (Oct 2026); note the pairing is with a wine brand</t>
  </si>
  <si>
    <t xml:space="preserve">https://www.fineandraw.com/products/josh-cellars-x-fine-raw-single-chunky</t>
  </si>
  <si>
    <t xml:space="preserve">2026-10-15</t>
  </si>
  <si>
    <t xml:space="preserve">https://www.fineandraw.com/pages/about</t>
  </si>
  <si>
    <t xml:space="preserve">Sea Salt Dark Chocolate Bar 2 oz; Almond Chunky 1.5 oz</t>
  </si>
  <si>
    <t xml:space="preserve">https://www.fineandraw.com</t>
  </si>
  <si>
    <t xml:space="preserve">https://www.wholefoodsmarket.com/api/search?text=fine%20and%20raw&amp;store=10773&amp;limit=60&amp;offset=0</t>
  </si>
  <si>
    <t xml:space="preserve">Sklaar</t>
  </si>
  <si>
    <t xml:space="preserve">Founder</t>
  </si>
  <si>
    <t xml:space="preserve">find Daniel Sklaar at Fine &amp; Raw on LinkedIn and paste the profile URL into primary_linkedin_url; use the Whole Foods Market NoMad line only if retailer_checked_date is this week's Friday check</t>
  </si>
  <si>
    <t xml:space="preserve">no backup named: back to research; use the Whole Foods Market NoMad line only if retailer_checked_date is this week's Friday check</t>
  </si>
  <si>
    <t xml:space="preserve">New York City brand, store page shows Whole Foods Market NoMad inside the cluster, a new store listing 9 days ago, revenue unknown</t>
  </si>
  <si>
    <t xml:space="preserve">Daniel Sklaar</t>
  </si>
  <si>
    <t xml:space="preserve">Brand about page: established in 2007 by Daniel Sklaar; homepage signs "Daniel, Founder, chocolate maker".</t>
  </si>
  <si>
    <t xml:space="preserve">Wrapped chocolate bars sold ambient at Whole Foods and shipped worldwide; shelf-life figure not published (founder to confirm)</t>
  </si>
  <si>
    <t xml:space="preserve">Whole Foods Market NoMad, 63 Madison Ave (store_selector, inside);Whole Foods Market Union Square, 4 Union Sq S (store_selector, inside)</t>
  </si>
  <si>
    <t xml:space="preserve">https://www.wholefoodsmarket.com/api/search?text=fine%20and%20raw&amp;store=10162&amp;limit=60&amp;offset=0; https://www.wholefoodsmarket.com/api/search?text=fine%20and%20raw&amp;store=10773&amp;limit=60&amp;offset=0</t>
  </si>
  <si>
    <t xml:space="preserve">https://www.instagram.com/fineandraw/</t>
  </si>
  <si>
    <t xml:space="preserve">BR2:8</t>
  </si>
  <si>
    <t xml:space="preserve">Founded 2007 in Williamsburg. Some WFM listings are under 'Cowgirl Fine And Raw' (distributor naming). Not in WFM Chelsea catalog. Why-now date from Shopify publish date of the pairing products.</t>
  </si>
  <si>
    <t xml:space="preserve">why_now_url &lt;- https://www.fineandraw.com/products/josh-cellars-x-fine-raw-single-chunky (2026-10-24, stage 3 correction); </t>
  </si>
  <si>
    <t xml:space="preserve">AB-082</t>
  </si>
  <si>
    <t xml:space="preserve">Steve &amp; Andy's</t>
  </si>
  <si>
    <t xml:space="preserve">New Ginger Snap cookies and soft-baked Chocolate Chip boxes added to brand store, Aug to Sept 2026</t>
  </si>
  <si>
    <t xml:space="preserve">https://steveandandys.com/products/ginger-snap-cookies</t>
  </si>
  <si>
    <t xml:space="preserve">2026-09-18</t>
  </si>
  <si>
    <t xml:space="preserve">https://steveandandys.com/pages/about</t>
  </si>
  <si>
    <t xml:space="preserve">Organic Chocolate Chip Cookies 5.5 oz (gluten-free)</t>
  </si>
  <si>
    <t xml:space="preserve">https://steveandandys.com</t>
  </si>
  <si>
    <t xml:space="preserve">single-serve pack not shown on the pages read: ask on the first call</t>
  </si>
  <si>
    <t xml:space="preserve">https://www.wholefoodsmarket.com/api/search?text=steve%20andys&amp;store=10773&amp;limit=60&amp;offset=0</t>
  </si>
  <si>
    <t xml:space="preserve">Steve</t>
  </si>
  <si>
    <t xml:space="preserve">Marino</t>
  </si>
  <si>
    <t xml:space="preserve">find Steve Marino at Steve &amp; Andy's on LinkedIn and paste the profile URL into primary_linkedin_url; use the Whole Foods Market NoMad line only if retailer_checked_date is this week's Friday check</t>
  </si>
  <si>
    <t xml:space="preserve">Arjan</t>
  </si>
  <si>
    <t xml:space="preserve">Khiani</t>
  </si>
  <si>
    <t xml:space="preserve">find Arjan Khiani at Steve &amp; Andy's on LinkedIn and paste the profile URL into backup_linkedin_url; use the Whole Foods Market NoMad line only if retailer_checked_date is this week's Friday check</t>
  </si>
  <si>
    <t xml:space="preserve">New York City brand, store page shows Whole Foods Market NoMad inside the cluster, a new store listing 36 days ago, revenue unknown</t>
  </si>
  <si>
    <t xml:space="preserve">; founder review: format-unconfirmed</t>
  </si>
  <si>
    <t xml:space="preserve">Steve Marino</t>
  </si>
  <si>
    <t xml:space="preserve">Brand about page: "Founders Steve Marino and Arjan 'Andy' Khiani".</t>
  </si>
  <si>
    <t xml:space="preserve">Arjan Khiani</t>
  </si>
  <si>
    <t xml:space="preserve">Goes by "Andy" per the brand about page.</t>
  </si>
  <si>
    <t xml:space="preserve">format-unconfirmed</t>
  </si>
  <si>
    <t xml:space="preserve">Brand FAQ: 'Shelf life is 270 days from date of production'; store at room temperature</t>
  </si>
  <si>
    <t xml:space="preserve">Whole Foods; nationwide (brand home page)</t>
  </si>
  <si>
    <t xml:space="preserve">https://www.wholefoodsmarket.com/api/search?text=steve%20andys&amp;store=10162&amp;limit=60&amp;offset=0; https://www.wholefoodsmarket.com/api/search?text=steve%20andys&amp;store=10773&amp;limit=60&amp;offset=0; https://www.wholefoodsmarket.com/api/search?text=steve%20andys&amp;store=10131&amp;limit=60&amp;offset=0</t>
  </si>
  <si>
    <t xml:space="preserve">https://www.instagram.com/steveandandys/</t>
  </si>
  <si>
    <t xml:space="preserve">BR2:19</t>
  </si>
  <si>
    <t xml:space="preserve">Company name on site: Steve &amp; Andy's Organics Inc. Brand Stockist locator (u21490) returned 0 locations within 3 km of Union Square. Single-serve format not confirmed (5.5 oz boxes at WFM). Why-now date from Shopify publish dates.</t>
  </si>
  <si>
    <t xml:space="preserve">hq_city &lt;- https://steveandandys.com/policies/contact-information (2026-10-24, opened); why_now_url &lt;- https://steveandandys.com/products/ginger-snap-cookies (2026-10-24, stage 3 correction); </t>
  </si>
  <si>
    <t xml:space="preserve">AB-002</t>
  </si>
  <si>
    <t xml:space="preserve">Zack's Mighty</t>
  </si>
  <si>
    <t xml:space="preserve">Relaunched brand store with new variety packs (tortilla and rolled)</t>
  </si>
  <si>
    <t xml:space="preserve">https://zacksmighty.com/products/rolled-variety-pack</t>
  </si>
  <si>
    <t xml:space="preserve">2026-10-12</t>
  </si>
  <si>
    <t xml:space="preserve">https://zacksmighty.com</t>
  </si>
  <si>
    <t xml:space="preserve">Zack's Mighty Chile Lime Rolled Tortilla Chips, 6 oz</t>
  </si>
  <si>
    <t xml:space="preserve">chips-crisps</t>
  </si>
  <si>
    <t xml:space="preserve">Only share-size bags (6 to 7.5 oz) found; no single-serve pack seen, so the 50-units-per-office format needs a pack-size check</t>
  </si>
  <si>
    <t xml:space="preserve">https://www.wholefoodsmarket.com/api/search?text=zack%27s%20mighty&amp;store=10773&amp;limit=60&amp;offset=0</t>
  </si>
  <si>
    <t xml:space="preserve">Zack</t>
  </si>
  <si>
    <t xml:space="preserve">Gazzaniga</t>
  </si>
  <si>
    <t xml:space="preserve">https://www.snackandbakery.com/articles/110099-zacks-mighty-reveals-first-ever-non-gmo-rolled-tortilla-chips</t>
  </si>
  <si>
    <t xml:space="preserve">find Zack Gazzaniga at Zack's Mighty on LinkedIn and paste the profile URL into primary_linkedin_url; use the Whole Foods Market NoMad line only if retailer_checked_date is this week's Friday check</t>
  </si>
  <si>
    <t xml:space="preserve">Kate</t>
  </si>
  <si>
    <t xml:space="preserve">Scofield</t>
  </si>
  <si>
    <t xml:space="preserve">Senior Brand Manager</t>
  </si>
  <si>
    <t xml:space="preserve">https://theorg.com/org/zacks-mighty/person/kate-scofield</t>
  </si>
  <si>
    <t xml:space="preserve">find Kate Scofield at Zack's Mighty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</si>
  <si>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a new store listing 12 days ago, revenue unknown</t>
  </si>
  <si>
    <t xml:space="preserve">; founder review: format</t>
  </si>
  <si>
    <t xml:space="preserve">Zack Gazzaniga</t>
  </si>
  <si>
    <t xml:space="preserve">Article: founded in 2020 by Zack Gazzaniga. "CEO" from a Spoiler Alert case study seen in search results. | Stage 3 fix: Spot check round 6: the opened article says 'founded in 2020 by ... Zack Gazzaniga'; 'CEO' came only from a search result, so it is dropped until a page shows it.</t>
  </si>
  <si>
    <t xml:space="preserve">Kate Scofield</t>
  </si>
  <si>
    <t xml:space="preserve">2026-05-30</t>
  </si>
  <si>
    <t xml:space="preserve">The Org (updated 2026-05-30): Senior Brand Manager since 2026.</t>
  </si>
  <si>
    <t xml:space="preserve">format</t>
  </si>
  <si>
    <t xml:space="preserve">Series A (unverified, founder to confirm; CB Insights snippet in search results, not opened)</t>
  </si>
  <si>
    <t xml:space="preserve">https://cbinsights.com/company/zacks-mighty</t>
  </si>
  <si>
    <t xml:space="preserve">Bagged tortilla chips sold ambient</t>
  </si>
  <si>
    <t xml:space="preserve">Whole Foods Market; Costco (Southwest region, per trade press headline)</t>
  </si>
  <si>
    <t xml:space="preserve">https://www.wholefoodsmarket.com/search?text=zack%27s%20mighty (store context Union Square 10162 and NoMad 10773; IN_STOCK 2026-10-23)</t>
  </si>
  <si>
    <t xml:space="preserve">BR1</t>
  </si>
  <si>
    <t xml:space="preserve">BR1:3</t>
  </si>
  <si>
    <t xml:space="preserve">Founded 2020 by Zack Gazzaniga, previously first hire and COO at Sir Kensington's (Snack Food &amp; Wholesale Bakery). Brooklyn HQ (356 Wythe Ave) appears only in a CB Insights search snippet. why_now date is Shopify published_at from products.json.</t>
  </si>
  <si>
    <t xml:space="preserve">hq_city &lt;- https://www.cbinsights.com/company/zacks-mighty (2026-10-24, opened); </t>
  </si>
  <si>
    <t xml:space="preserve">AB-003</t>
  </si>
  <si>
    <t xml:space="preserve">PRETZELIZED</t>
  </si>
  <si>
    <t xml:space="preserve">Launched limited-edition Pretzelized x Crayola Sea Salt Pretzel Snackers Multipack (10 single-serve bags) at Target and Whole Foods for back-to-school</t>
  </si>
  <si>
    <t xml:space="preserve">https://www.snackandbakery.com/articles/116147-pretzelized-crayola-team-up-for-back-to-school-snacking</t>
  </si>
  <si>
    <t xml:space="preserve">https://pretzelized.com</t>
  </si>
  <si>
    <t xml:space="preserve">PRETZELIZED Sea Salt Pretzel Crackers Multipack 7.5 oz; Honey Mustard Pretzel Crackers 6.5 oz</t>
  </si>
  <si>
    <t xml:space="preserve">Fairfield (unverified, founder to confirm)</t>
  </si>
  <si>
    <t xml:space="preserve">no online store: buy path is the store only</t>
  </si>
  <si>
    <t xml:space="preserve">grp-003-024</t>
  </si>
  <si>
    <t xml:space="preserve">https://www.wholefoodsmarket.com/api/search?text=pretzelized&amp;store=10773&amp;limit=60&amp;offset=0</t>
  </si>
  <si>
    <t xml:space="preserve">Sammy</t>
  </si>
  <si>
    <t xml:space="preserve">Kestenbaum</t>
  </si>
  <si>
    <t xml:space="preserve">Co-founder and CEO</t>
  </si>
  <si>
    <t xml:space="preserve">https://www.linkedin.com/in/samuel-kestenbaum-26154418/</t>
  </si>
  <si>
    <t xml:space="preserve">https://pretzelized.com/pages/press</t>
  </si>
  <si>
    <t xml:space="preserve">open the LinkedIn URL and confirm it is Sammy Kestenbaum, Co-founder and CEO at PRETZELIZED (found on another page, never opened); use the Whole Foods Market NoMad line only if retailer_checked_date is this week's Friday check</t>
  </si>
  <si>
    <t xml:space="preserve">contact seen only in a snippet</t>
  </si>
  <si>
    <t xml:space="preserve">Northeast brand (HQ unverified), store page shows Whole Foods Market NoMad inside the cluster, news 80 days ago, revenue unknown</t>
  </si>
  <si>
    <t xml:space="preserve">Sammy Kestenbaum</t>
  </si>
  <si>
    <t xml:space="preserve">Press page: "PRETZELIZED CEO Sammy Kestenbaum". Kara Goldin Show page (https://karagoldin.com/podcasts/sammy-kestembaum/, title "Co-Founder &amp; CEO of PRETZELIZED") links this LinkedIn URL; LinkedIn not opened.</t>
  </si>
  <si>
    <t xml:space="preserve">Caitlin Mack</t>
  </si>
  <si>
    <t xml:space="preserve">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</si>
  <si>
    <t xml:space="preserve">NJ</t>
  </si>
  <si>
    <t xml:space="preserve">northeast (unverified)</t>
  </si>
  <si>
    <t xml:space="preserve">unknown (incubated by 7 Mile Brands per trade press)</t>
  </si>
  <si>
    <t xml:space="preserve">Boxed/bagged baked pretzel crackers and pita chips sold ambient</t>
  </si>
  <si>
    <t xml:space="preserve">Whole Foods Market; ShopRite; Target; Costco (per press list)</t>
  </si>
  <si>
    <t xml:space="preserve">https://www.wholefoodsmarket.com/search?text=pretzelized (store context NoMad 10773 shows Sea Salt Multipack 7.5 oz, Honey Mustard, Cheddar; Union Square and Chelsea also IN_STOCK 2026-10-23)</t>
  </si>
  <si>
    <t xml:space="preserve">BR1:4</t>
  </si>
  <si>
    <t xml:space="preserve">Site footer entity: STILL SNACKIN INC. Fairfield NJ HQ appears in search-result snippets (LinkedIn, company directories) not opened. Multipack implies single-serve bags inside; confirm unit size. Press page lists a Crayola back-to-school collaboration (undated on page).</t>
  </si>
  <si>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</si>
  <si>
    <t xml:space="preserve">product pages point to Amazon; site prices show $0.00</t>
  </si>
  <si>
    <t xml:space="preserve">person 'caitlin mack' shared with AB-024</t>
  </si>
  <si>
    <t xml:space="preserve">AB-235</t>
  </si>
  <si>
    <t xml:space="preserve">Issa's</t>
  </si>
  <si>
    <t xml:space="preserve">Launched Restaurant Style Garlic &amp; Herb and Sea Salt Cooked in Olive Oil pita chips (store listings added 2026-07-21; Garlic &amp; Herb published 2026-10-11), after a 10 oz Restaurant Style sampler (2026-05-20); homepage flags Garlic &amp; Herb 'BRAND NEW'</t>
  </si>
  <si>
    <t xml:space="preserve">https://www.issaspitachips.com/store?format=json</t>
  </si>
  <si>
    <t xml:space="preserve">https://www.issaspitachips.com/our-story</t>
  </si>
  <si>
    <t xml:space="preserve">Classic Sea Salt Pita Chips 2 oz single-serve bag (30 per case, foodservice); Classic and Za'atar + Thyme 6 oz bags at WFM</t>
  </si>
  <si>
    <t xml:space="preserve">Buffalo</t>
  </si>
  <si>
    <t xml:space="preserve">https://www.issaspitachips.com</t>
  </si>
  <si>
    <t xml:space="preserve">https://www.wholefoodsmarket.com/api/search?text=issa%27s%20pita&amp;store=10773&amp;limit=60&amp;offset=0</t>
  </si>
  <si>
    <t xml:space="preserve">Andrew</t>
  </si>
  <si>
    <t xml:space="preserve">Issa</t>
  </si>
  <si>
    <t xml:space="preserve">https://www.wkbw.com/news/local-news/believe-in-buffalo/buffalo-born-issas-makes-pita-chips-like-no-other-in-the-nation-using-family-recipe-and-flame-baking-process</t>
  </si>
  <si>
    <t xml:space="preserve">find Andrew Issa at Issa's on LinkedIn and paste the profile URL into primary_linkedin_url; use the Whole Foods Market NoMad line only if retailer_checked_date is this week's Friday check</t>
  </si>
  <si>
    <t xml:space="preserve">find James Issa at Issa's on LinkedIn and paste the profile URL into backup_linkedin_url; use the Whole Foods Market NoMad line only if retailer_checked_date is this week's Friday check</t>
  </si>
  <si>
    <t xml:space="preserve">New York State brand, store page shows Whole Foods Market NoMad inside the cluster, a new store listing 95 days ago, revenue unknown</t>
  </si>
  <si>
    <t xml:space="preserve">Andrew Issa</t>
  </si>
  <si>
    <t xml:space="preserve">WKBW: "Andrew, and his brother James Issa, co-founded Issa's Baked Pita Chips in 2016".</t>
  </si>
  <si>
    <t xml:space="preserve">James Issa</t>
  </si>
  <si>
    <t xml:space="preserve">Same article.</t>
  </si>
  <si>
    <t xml:space="preserve">nys</t>
  </si>
  <si>
    <t xml:space="preserve">family-owned (Our Story)</t>
  </si>
  <si>
    <t xml:space="preserve">Bagged baked pita chips sold ambient; no shelf-life figure published, founder to confirm</t>
  </si>
  <si>
    <t xml:space="preserve">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</si>
  <si>
    <t xml:space="preserve">Whole Foods Market Manhattan West (store_selector, 13.8 blocks out);Chelsea Market Baskets (brand_claim, 11.4 blocks out)</t>
  </si>
  <si>
    <t xml:space="preserve">Whole Foods Market (WFM catalog); store locator page</t>
  </si>
  <si>
    <t xml:space="preserve">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</si>
  <si>
    <t xml:space="preserve">https://www.instagram.com/issasflamebaked</t>
  </si>
  <si>
    <t xml:space="preserve">BR4:30</t>
  </si>
  <si>
    <t xml:space="preserve">'The only flame baked pita chip on the market' (Our Story). Upstate NY family business. WFM lists 3-4 SKUs at every cluster store and flags them Local (2026-10-23). 6 oz bags are share size, not single-serve.</t>
  </si>
  <si>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</si>
  <si>
    <t xml:space="preserve">AB-077</t>
  </si>
  <si>
    <t xml:space="preserve">Fruition Chocolate Works</t>
  </si>
  <si>
    <t xml:space="preserve">Opened a pop-up shop inside Leavitt &amp; Peirce, Harvard Square, Cambridge MA, planned to run through at least spring 2026</t>
  </si>
  <si>
    <t xml:space="preserve">https://www.bostonglobe.com/2026/02/24/lifestyle/fruition-chocolate-works-pop-up-shop</t>
  </si>
  <si>
    <t xml:space="preserve">2026-02-24</t>
  </si>
  <si>
    <t xml:space="preserve">https://www.fruitionchocolateworks.com/pages/our-story</t>
  </si>
  <si>
    <t xml:space="preserve">Dominican Nacional Dark 77% bar; Milk Chocolate Caramel Crunch bar</t>
  </si>
  <si>
    <t xml:space="preserve">Shokan</t>
  </si>
  <si>
    <t xml:space="preserve">https://www.fruitionchocolateworks.com</t>
  </si>
  <si>
    <t xml:space="preserve">https://www.wholefoodsmarket.com/api/search?text=fruition&amp;store=10773&amp;limit=60&amp;offset=0</t>
  </si>
  <si>
    <t xml:space="preserve">Bryan</t>
  </si>
  <si>
    <t xml:space="preserve">Graham</t>
  </si>
  <si>
    <t xml:space="preserve">find Bryan Graham at Fruition Chocolate Works on LinkedIn and paste the profile URL into primary_linkedin_url; use the Whole Foods Market NoMad line only if retailer_checked_date is this week's Friday check</t>
  </si>
  <si>
    <t xml:space="preserve">Dahlia</t>
  </si>
  <si>
    <t xml:space="preserve">Title not stated (works in the business with founder Bryan Graham)</t>
  </si>
  <si>
    <t xml:space="preserve">first-name-only</t>
  </si>
  <si>
    <t xml:space="preserve">find Dahlia at Fruition Chocolate Works on LinkedIn and paste the profile URL into backup_linkedin_url; surname not public: take it from LinkedIn; use the Whole Foods Market NoMad line only if retailer_checked_date is this week's Friday check</t>
  </si>
  <si>
    <t xml:space="preserve">contact named (first name only)</t>
  </si>
  <si>
    <t xml:space="preserve">New York State brand, store page shows Whole Foods Market NoMad inside the cluster, news 242 days ago, revenue unknown</t>
  </si>
  <si>
    <t xml:space="preserve">Bryan Graham</t>
  </si>
  <si>
    <t xml:space="preserve">Our Story page: "Bryan Graham is the founder of Fruition Chocolate Works and Confectionery". Boston Globe 2026-02-24 agrees.</t>
  </si>
  <si>
    <t xml:space="preserve">Boston Globe: "With his wife, Dahlia, they craft chocolate". Surname not printed (stage 1 assumed Graham); founder to confirm. | Stage 3 fix: Spot check round 6: the Boston Globe says only 'With his wife, Dahlia, they craft chocolate'; 'Co-owner' was an inference.</t>
  </si>
  <si>
    <t xml:space="preserve">Wrapped chocolate bars sold ambient at Whole Foods; shelf-life figure not published</t>
  </si>
  <si>
    <t xml:space="preserve">Cocoa Store, 15 E 18th St (brand_claim, inside);Whole Foods Market NoMad, 63 Madison Ave (store_selector, inside);Whole Foods Market Union Square, 4 Union Sq S (store_selector, inside)</t>
  </si>
  <si>
    <t xml:space="preserve">Chelsea Market Baskets (brand_claim, 11.4 blocks out);Whole Foods Market Manhattan West (brand_claim, 13.8 blocks out)</t>
  </si>
  <si>
    <t xml:space="preserve">Whole Foods; Taste NY Grand Central; Chelsea Market Baskets (brand Stockist locator)</t>
  </si>
  <si>
    <t xml:space="preserve">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</si>
  <si>
    <t xml:space="preserve">https://www.instagram.com/fruitionchocolate/</t>
  </si>
  <si>
    <t xml:space="preserve">BR2:14</t>
  </si>
  <si>
    <t xml:space="preserve">New York State maker (Hudson Valley/Catskills). Nearest WFM with store_selector evidence is NoMad. Some confections include bourbon caramels; offer the bars. Why-now date from Shopify publish date.</t>
  </si>
  <si>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</si>
  <si>
    <t xml:space="preserve">AB-226</t>
  </si>
  <si>
    <t xml:space="preserve">B-SIDES</t>
  </si>
  <si>
    <t xml:space="preserve">Westside Market NYC, 84 3rd Ave</t>
  </si>
  <si>
    <t xml:space="preserve">brand_claim</t>
  </si>
  <si>
    <t xml:space="preserve">Closed $500K seed to scale Northeast retail; rebrand debuted April 2026</t>
  </si>
  <si>
    <t xml:space="preserve">https://startupcpg.com/startup-cpg-newswire-b-sides-closes-500k-seed-round-to-scale-retail-expansion/</t>
  </si>
  <si>
    <t xml:space="preserve">2026-05-19</t>
  </si>
  <si>
    <t xml:space="preserve">https://www.enjoybsides.com/</t>
  </si>
  <si>
    <t xml:space="preserve">Jalapeno Crunch Puffs, single bag ($3/bag; sold in 12-packs online)</t>
  </si>
  <si>
    <t xml:space="preserve">popcorn-puffs</t>
  </si>
  <si>
    <t xml:space="preserve">Brooklyn (privacy policy: 87 Saint Marks Place #1, Brooklyn, NY 11217)</t>
  </si>
  <si>
    <t xml:space="preserve">https://www.enjoybsides.com</t>
  </si>
  <si>
    <t xml:space="preserve">Nutrient-content claim ('5g Plant Protein'); top-9-allergen-free positioning</t>
  </si>
  <si>
    <t xml:space="preserve">Yousuf</t>
  </si>
  <si>
    <t xml:space="preserve">Ahmed</t>
  </si>
  <si>
    <t xml:space="preserve">https://www.linkedin.com/in/yousufmahmed/</t>
  </si>
  <si>
    <t xml:space="preserve">open the LinkedIn URL and confirm it is Yousuf Ahmed, Founder at B-SIDES (found on another page, never opened); the retailer line rests on the brand's own store locator: say 'your store locator lists ...'</t>
  </si>
  <si>
    <t xml:space="preserve">no backup named: back to research; the retailer line rests on the brand's own store locator: say 'your store locator lists ...'</t>
  </si>
  <si>
    <t xml:space="preserve">New York City brand, brand locator shows Westside Market NYC 1.0 blocks outside it, news 158 days ago, revenue unknown</t>
  </si>
  <si>
    <t xml:space="preserve">Yousuf Ahmed</t>
  </si>
  <si>
    <t xml:space="preserve">Release: "Founded by former Goldman Sachs private wealth advisor Yousuf Ahmed". The LinkedIn URL is linked from the brand's own homepage (https://www.enjoybsides.com/, site data "sameAs"); LinkedIn not opened.</t>
  </si>
  <si>
    <t xml:space="preserve">seed ($500K, May 2026)</t>
  </si>
  <si>
    <t xml:space="preserve">Brand FAQ: 'Unopened bags of B-SIDES Crunch Puffs have a 1-year shelf life'; 12 single-serve bags per case</t>
  </si>
  <si>
    <t xml:space="preserve">Release says 'on track to achieve 5x topline revenue growth year-over-year' (no base figure)</t>
  </si>
  <si>
    <t xml:space="preserve">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</si>
  <si>
    <t xml:space="preserve">Heavenly Food Market (brand_claim, 17.6 blocks out)</t>
  </si>
  <si>
    <t xml:space="preserve">Westside Market; Dumbo Market; Westerly Natural Market; 1,500+ Northeast doors expected (release)</t>
  </si>
  <si>
    <t xml:space="preserve">https://www.enjoybsides.com/pages/find-us; https://stockist.co/api/v1/map_g3yz85zq/locations/search?latitude=40.7411&amp;longitude=-73.9897&amp;distance=3&amp;distance_unit=mi</t>
  </si>
  <si>
    <t xml:space="preserve">BR4:21</t>
  </si>
  <si>
    <t xml:space="preserve">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</si>
  <si>
    <t xml:space="preserve">hq_city &lt;- https://www.enjoybsides.com/policies/privacy-policy (2026-10-24, opened); shelf_stable_basis &lt;- https://www.enjoybsides.com/pages/faq (2026-10-24, opened); </t>
  </si>
  <si>
    <t xml:space="preserve">AB-210</t>
  </si>
  <si>
    <t xml:space="preserve">Treat House</t>
  </si>
  <si>
    <t xml:space="preserve">https://treathouse.com/</t>
  </si>
  <si>
    <t xml:space="preserve">S'mores Rice Crispy Treat 3.2 oz single (WFM listing); Treat Bars and Classic Packs online</t>
  </si>
  <si>
    <t xml:space="preserve">Woodside, Queens (privacy policy: 3258 62nd Street, Woodside NY 11377)</t>
  </si>
  <si>
    <t xml:space="preserve">https://treathouse.com/collections/all</t>
  </si>
  <si>
    <t xml:space="preserve">Shelf life and storage not published; confirm 60+ days ambient before qualifying</t>
  </si>
  <si>
    <t xml:space="preserve">https://www.wholefoodsmarket.com/api/search?text=treat%20house&amp;store=10773&amp;limit=60&amp;offset=0</t>
  </si>
  <si>
    <t xml:space="preserve">Chris</t>
  </si>
  <si>
    <t xml:space="preserve">Russell</t>
  </si>
  <si>
    <t xml:space="preserve">Co-founder and co-owner</t>
  </si>
  <si>
    <t xml:space="preserve">https://www.dnainfo.com/new-york/20150720/upper-east-side/gourmet-rice-krispies-treats-eatery-opens-on-ues-with-adults-mind/</t>
  </si>
  <si>
    <t xml:space="preserve">find Chris Russell at Treat House on LinkedIn and paste the profile URL into primary_linkedin_url; the source is dated 2015: check Chris still holds the role; use the Whole Foods Market NoMad line only if retailer_checked_date is this week's Friday check</t>
  </si>
  <si>
    <t xml:space="preserve">Jennifer</t>
  </si>
  <si>
    <t xml:space="preserve">https://www.creators.com/read/this-womans-work/08/17/giving-back-with-love-and-chocolate-an-interview-with-jennifer-russell</t>
  </si>
  <si>
    <t xml:space="preserve">find Jennifer Russell at Treat House on LinkedIn and paste the profile URL into backup_linkedin_url; use the Whole Foods Market NoMad line only if retailer_checked_date is this week's Friday check</t>
  </si>
  <si>
    <t xml:space="preserve">New York City brand, store page shows Whole Foods Market NoMad inside the cluster, no dated why-now in the last 12 months, revenue unknown</t>
  </si>
  <si>
    <t xml:space="preserve">; founder review: other</t>
  </si>
  <si>
    <t xml:space="preserve">Chris Russell</t>
  </si>
  <si>
    <t xml:space="preserve">2015</t>
  </si>
  <si>
    <t xml:space="preserve">DNAinfo 2015: "the owners of Treat House, Chris and Jennifer Russell". Untapped Cities article (stage 1 source) names Chris, a chef, as the maker. Sources are 2015 to 2017.</t>
  </si>
  <si>
    <t xml:space="preserve">Jennifer Russell</t>
  </si>
  <si>
    <t xml:space="preserve">Creators 2017: "Jennifer Russell is the co-founder and co-creator of Treat House".</t>
  </si>
  <si>
    <t xml:space="preserve">https://treathouse.com</t>
  </si>
  <si>
    <t xml:space="preserve">Brand product copy: bars are 'individually wrapped and will stay fresh for months'; deluxe donut boxes: 'individually wrapped for an extended 6 month shelf life' | brand product copy; founder to confirm 60+ days at delivery</t>
  </si>
  <si>
    <t xml:space="preserve">Whole Foods Market NoMad, 63 Madison Ave (store_selector, inside);Whole Foods Market Chelsea, 250 7th Ave (store_selector, 3.0 blocks out)</t>
  </si>
  <si>
    <t xml:space="preserve">Whole Foods Market Manhattan West (store_selector, 13.8 blocks out)</t>
  </si>
  <si>
    <t xml:space="preserve">Whole Foods Market (WFM catalog); wholesale and corporate gifting programs (brand site)</t>
  </si>
  <si>
    <t xml:space="preserve">https://www.wholefoodsmarket.com/api/search?text=treat%20house&amp;store=10773&amp;limit=60&amp;offset=0; https://www.wholefoodsmarket.com/api/search?text=treat%20house&amp;store=10131&amp;limit=60&amp;offset=0; https://www.wholefoodsmarket.com/api/search?text=treat%20house&amp;store=10713&amp;limit=60&amp;offset=0</t>
  </si>
  <si>
    <t xml:space="preserve">BR4:5</t>
  </si>
  <si>
    <t xml:space="preserve">Origin story: bake sale on the Upper West Side started by the founders' two kids (homepage). Has a Corporate Gifting page, so already sells to offices. Certified gluten-free logo on homepage. Not in WFM Union Square catalog on 2026-10-23.</t>
  </si>
  <si>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</si>
  <si>
    <t xml:space="preserve">AB-266</t>
  </si>
  <si>
    <t xml:space="preserve">Gigantic (Candy Deluxe)</t>
  </si>
  <si>
    <t xml:space="preserve">Fairway Market, 766 6th Ave</t>
  </si>
  <si>
    <t xml:space="preserve">Exhibited Candy Deluxe at the 2026 Summer Fancy Food Show in the Startup CPG pavilion (NYC)</t>
  </si>
  <si>
    <t xml:space="preserve">https://startupcpg.com/startup-cpg-pavilion-at-summer-fancy-food-2026/</t>
  </si>
  <si>
    <t xml:space="preserve">2026-06-28</t>
  </si>
  <si>
    <t xml:space="preserve">https://events.specialtyfood.com/event/2026-summer-fancy-food-show/exhibitor/RXhoaWJpdG9yXzI0NDM1ODU=</t>
  </si>
  <si>
    <t xml:space="preserve">Candy Deluxe Salted Peanut bar (dark chocolate, brown sugar caramel)</t>
  </si>
  <si>
    <t xml:space="preserve">https://giganticcandy.com</t>
  </si>
  <si>
    <t xml:space="preserve">Founder and HQ city not named on any page opened; pack size and per-bar price not confirmed (site sells $39 packs)</t>
  </si>
  <si>
    <t xml:space="preserve">Stu</t>
  </si>
  <si>
    <t xml:space="preserve">Davidoff</t>
  </si>
  <si>
    <t xml:space="preserve">https://gritdaily.com/gigantic-candy-deluxe-smaller-deliberate-candy/</t>
  </si>
  <si>
    <t xml:space="preserve">find Stu Davidoff at Gigantic on LinkedIn and paste the profile URL into primary_linkedin_url; the retailer line rests on the brand's own store locator: say 'your store locator lists ...'</t>
  </si>
  <si>
    <t xml:space="preserve">New York State brand, brand locator shows Fairway Market inside the cluster, news 118 days ago, revenue unknown</t>
  </si>
  <si>
    <t xml:space="preserve">Stu Davidoff</t>
  </si>
  <si>
    <t xml:space="preserve">Grit Daily: "Gigantic was founded by Stu Davidoff". The brand's Presshook page (https://www.presshook.com/brands/gigantic/) calls him a lifelong New Yorker; HQ is still unknown in the table.</t>
  </si>
  <si>
    <t xml:space="preserve">Wrapped chocolate-caramel candy bar sold ambient online and in grocery; shelf life not stated on site</t>
  </si>
  <si>
    <t xml:space="preserve">No sourced sales figure found</t>
  </si>
  <si>
    <t xml:space="preserve">Fairway Market, 766 6th Ave (brand_claim, inside);Fairway Market, 550 2nd Ave (brand_claim, 7.0 blocks out);Casa Magazines, 22 8th Ave (brand_claim, 9.5 blocks out)</t>
  </si>
  <si>
    <t xml:space="preserve">Fairway Market; Gourmet Garage; Casa Magazines; Happier Grocery; The Goods Mart (brand Stockist locator)</t>
  </si>
  <si>
    <t xml:space="preserve">https://stockist.co/api/v1/u19294/locations/search?latitude=40.7411&amp;longitude=-73.9897&amp;distance=5 (widget tag on https://giganticcandy.com/pages/store-locator)</t>
  </si>
  <si>
    <t xml:space="preserve">https://www.instagram.com/giganticcandy/</t>
  </si>
  <si>
    <t xml:space="preserve">BR5</t>
  </si>
  <si>
    <t xml:space="preserve">BR5:2</t>
  </si>
  <si>
    <t xml:space="preserve">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</si>
  <si>
    <t xml:space="preserve">AB-081</t>
  </si>
  <si>
    <t xml:space="preserve">Mezcla</t>
  </si>
  <si>
    <t xml:space="preserve">Raised a $9.5M Series B led by Bluestein Ventures ($16.5M total); in 9,000+ US stores; plans to grow its marketing team</t>
  </si>
  <si>
    <t xml:space="preserve">https://www.greenqueen.com.hk/mezcla-plant-based-protein-bar-vegan-funding/</t>
  </si>
  <si>
    <t xml:space="preserve">https://eatmezcla.com/pages/about</t>
  </si>
  <si>
    <t xml:space="preserve">Mint Chocolate Protein Bar 1.4 oz (single); Hazelnut Chocolate Puff Crispy Bar</t>
  </si>
  <si>
    <t xml:space="preserve">bars</t>
  </si>
  <si>
    <t xml:space="preserve">https://eatmezcla.com</t>
  </si>
  <si>
    <t xml:space="preserve">Plant-based protein bar (nutrient-content positioning); scale signal in the why-now ('Series B'): likely above the $10M band; ask at intake; 60-day shelf life not stated</t>
  </si>
  <si>
    <t xml:space="preserve">https://www.wholefoodsmarket.com/api/search?text=mezcla&amp;store=10773&amp;limit=60&amp;offset=0</t>
  </si>
  <si>
    <t xml:space="preserve">Griffin</t>
  </si>
  <si>
    <t xml:space="preserve">Spolansky</t>
  </si>
  <si>
    <t xml:space="preserve">https://theorg.com/org/mezcla/person/griffin-spolansky</t>
  </si>
  <si>
    <t xml:space="preserve">find Griffin Spolansky at Mezcla on LinkedIn and paste the profile URL into primary_linkedin_url (this also confirms the name: The Org is crowd-edited and marks it Unverified); use the Whole Foods Market NoMad line only if retailer_checked_date is this week's Friday check</t>
  </si>
  <si>
    <t xml:space="preserve">Brintnall Chester</t>
  </si>
  <si>
    <t xml:space="preserve">Vice President of Marketing</t>
  </si>
  <si>
    <t xml:space="preserve">https://theorg.com/org/mezcla/person/michelle-brintnall-chester</t>
  </si>
  <si>
    <t xml:space="preserve">find Michelle Brintnall Chester at Mezcla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</si>
  <si>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news 233 days ago, revenue unknown</t>
  </si>
  <si>
    <t xml:space="preserve">; founder review: nutrient-claim, scale</t>
  </si>
  <si>
    <t xml:space="preserve">Griffin Spolansky</t>
  </si>
  <si>
    <t xml:space="preserve">The Org company chart lists "Co-Founder | CEO"; Green Queen article names founders Griffin Spolansky and Coco Sotelo. The Org now lists Coco Sotelo as Director of Corporate and Social Responsibility. One search found no LinkedIn URL.</t>
  </si>
  <si>
    <t xml:space="preserve">Michelle Brintnall Chester</t>
  </si>
  <si>
    <t xml:space="preserve">2026-09-06</t>
  </si>
  <si>
    <t xml:space="preserve">The Org (updated 2026-09-06): VP of Marketing since 2026.</t>
  </si>
  <si>
    <t xml:space="preserve">nutrient-claim;scale</t>
  </si>
  <si>
    <t xml:space="preserve">Series B ($9.5M, Bluestein Ventures, March 2026)</t>
  </si>
  <si>
    <t xml:space="preserve">Single wrapped bars sold ambient at Whole Foods and shipped by mail; shelf-life figure not published</t>
  </si>
  <si>
    <t xml:space="preserve">Whole Foods; local stores and online retailers (brand home page)</t>
  </si>
  <si>
    <t xml:space="preserve">https://www.wholefoodsmarket.com/api/search?text=mezcla&amp;store=10162&amp;limit=60&amp;offset=0; https://www.wholefoodsmarket.com/api/search?text=mezcla&amp;store=10773&amp;limit=60&amp;offset=0; https://www.wholefoodsmarket.com/api/search?text=mezcla&amp;store=10131&amp;limit=60&amp;offset=0</t>
  </si>
  <si>
    <t xml:space="preserve">https://www.instagram.com/eatmezcla/</t>
  </si>
  <si>
    <t xml:space="preserve">BR2:18</t>
  </si>
  <si>
    <t xml:space="preserve">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</si>
  <si>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</si>
  <si>
    <t xml:space="preserve">AB-236</t>
  </si>
  <si>
    <t xml:space="preserve">Goody's Granola</t>
  </si>
  <si>
    <t xml:space="preserve">Released a new granola line on its store: Honey Crunch, Frostberry Bite and Crowenilla Chunk (2026-09-18), then Amber Maple Pecan Crunch, Navy Midnight Cocoa Blend and Soft-Baked Crimson Berry (2026-10-06)</t>
  </si>
  <si>
    <t xml:space="preserve">https://goodysgranola.nyc/products.json?limit=250</t>
  </si>
  <si>
    <t xml:space="preserve">2026-10-06</t>
  </si>
  <si>
    <t xml:space="preserve">https://goodysgranola.nyc/</t>
  </si>
  <si>
    <t xml:space="preserve">Honey Granola 4 oz bag</t>
  </si>
  <si>
    <t xml:space="preserve">other-snack</t>
  </si>
  <si>
    <t xml:space="preserve">Brooklyn (homepage: 'Brooklyn Baked', 'From Brooklyn to your local Whole Foods shelf')</t>
  </si>
  <si>
    <t xml:space="preserve">https://goodysgranola.nyc</t>
  </si>
  <si>
    <t xml:space="preserve">Granola is snack-adjacent; 4 oz bag is closer to single-serve than most | Claims review 2026-10-24: blog post: most granolas 'spike your blood sugar and drop you off a cliff an hour later' (blog copy, not pack copy) (https://goodysgranola.nyc/blogs/announcements/beyond-the-crunch-why-your-breakfast-choice-is-your-secret-productivity-hack); decide before outreach, and the tent card must not repeat it</t>
  </si>
  <si>
    <t xml:space="preserve">https://www.wholefoodsmarket.com/api/search?text=goodys%20granola&amp;store=10773&amp;limit=60&amp;offset=0</t>
  </si>
  <si>
    <t xml:space="preserve">no person named on an opened page: not ready; use the Whole Foods Market NoMad line only if retailer_checked_date is this week's Friday check</t>
  </si>
  <si>
    <t xml:space="preserve">no contact named</t>
  </si>
  <si>
    <t xml:space="preserve">New York City brand, store page shows Whole Foods Market NoMad inside the cluster, a new store listing 18 days ago, revenue unknown</t>
  </si>
  <si>
    <t xml:space="preserve">; founder review: claim-functional, nutrient-claim</t>
  </si>
  <si>
    <t xml:space="preserve">claim-functional;nutrient-claim</t>
  </si>
  <si>
    <t xml:space="preserve">Bagged granola sold ambient; homepage says no preservatives and gives no shelf life, founder to confirm</t>
  </si>
  <si>
    <t xml:space="preserve">Whole Foods Market NoMad, 63 Madison Ave (store_selector, inside)</t>
  </si>
  <si>
    <t xml:space="preserve">Whole Foods Market</t>
  </si>
  <si>
    <t xml:space="preserve">https://www.wholefoodsmarket.com/api/search?text=goodys%20granola&amp;store=10773&amp;limit=60&amp;offset=0; https://www.wholefoodsmarket.com/api/search?text=goodys%20granola&amp;store=10713&amp;limit=60&amp;offset=0</t>
  </si>
  <si>
    <t xml:space="preserve">BR4:31</t>
  </si>
  <si>
    <t xml:space="preserve">WFM lists 4 SKUs at NoMad and 1 at Manhattan West, flagged Local (2026-10-23). Site also sells a 'Soft Baked Selection'.</t>
  </si>
  <si>
    <t xml:space="preserve">why_now &lt;- https://goodysgranola.nyc/products.json?limit=250 (2026-10-24, opened); why_now_url &lt;- https://goodysgranola.nyc/products.json?limit=250 (2026-10-24, opened); why_now_date &lt;- https://goodysgranola.nyc/products.json?limit=250 (2026-10-24, opened); founder_review_reason &lt;- https://goodysgranola.nyc/blogs/announcements/beyond-the-crunch-why-your-breakfast-choice-is-your-secret-productivity-hack (2026-10-24, stage 3 correction); </t>
  </si>
  <si>
    <t xml:space="preserve">AB-027</t>
  </si>
  <si>
    <t xml:space="preserve">Biena</t>
  </si>
  <si>
    <t xml:space="preserve">Launched 1.05 oz single-serve edamame 9-packs (Himalayan Pink Salt, Chili Lime, Ranch) and Dill Pickle Edamame on brand store</t>
  </si>
  <si>
    <t xml:space="preserve">https://bienasnacks.com/products/edamame-chili-lime-1-05oz-9ct</t>
  </si>
  <si>
    <t xml:space="preserve">https://bienasnacks.com/pages/our-story</t>
  </si>
  <si>
    <t xml:space="preserve">Biena Roasted Edamame, Chili Lime 1.05 oz (9-count); Roasted Chickpeas Sea Salt 5 oz</t>
  </si>
  <si>
    <t xml:space="preserve">Boston</t>
  </si>
  <si>
    <t xml:space="preserve">https://bienasnacks.com</t>
  </si>
  <si>
    <t xml:space="preserve">Positioned 'Packed with Protein + Fiber' (nutrient-content claims in site title and product names)</t>
  </si>
  <si>
    <t xml:space="preserve">https://www.wholefoodsmarket.com/api/search?text=biena&amp;store=10773&amp;limit=60&amp;offset=0</t>
  </si>
  <si>
    <t xml:space="preserve">Poorvi</t>
  </si>
  <si>
    <t xml:space="preserve">Patodia</t>
  </si>
  <si>
    <t xml:space="preserve">find Poorvi Patodia at Biena on LinkedIn and paste the profile URL into primary_linkedin_url; use the Whole Foods Market NoMad line only if retailer_checked_date is this week's Friday check</t>
  </si>
  <si>
    <t xml:space="preserve">Samantha</t>
  </si>
  <si>
    <t xml:space="preserve">Sieloff</t>
  </si>
  <si>
    <t xml:space="preserve">Director of Brand Marketing</t>
  </si>
  <si>
    <t xml:space="preserve">https://theorg.com/org/biena-snacks/person/samantha-sieloff</t>
  </si>
  <si>
    <t xml:space="preserve">find Samantha Sieloff at Biena on LinkedIn and paste the profile URL into backup_linkedin_url (this also confirms the name: The Org is crowd-edited and marks it Unverified); the source is dated 2024-11-12: check Samantha still holds the role; use the Whole Foods Market NoMad line only if retailer_checked_date is this week's Friday check</t>
  </si>
  <si>
    <t xml:space="preserve">Northeast brand, store page shows Whole Foods Market NoMad inside the cluster, a new store listing 5 days ago, revenue unknown</t>
  </si>
  <si>
    <t xml:space="preserve">Poorvi Patodia</t>
  </si>
  <si>
    <t xml:space="preserve">Our Story page.</t>
  </si>
  <si>
    <t xml:space="preserve">Samantha Sieloff</t>
  </si>
  <si>
    <t xml:space="preserve">2024-11-12</t>
  </si>
  <si>
    <t xml:space="preserve">The Org (updated 2024-11-12): Director of Brand Marketing since 2023.</t>
  </si>
  <si>
    <t xml:space="preserve">MA</t>
  </si>
  <si>
    <t xml:space="preserve">northeast</t>
  </si>
  <si>
    <t xml:space="preserve">Dry-roasted chickpea and edamame snacks in sealed bags, ambient</t>
  </si>
  <si>
    <t xml:space="preserve">https://www.wholefoodsmarket.com/search?text=biena (store context Union Square 10162 and NoMad 10773: roasted chickpeas and edamame IN_STOCK 2026-10-23)</t>
  </si>
  <si>
    <t xml:space="preserve">BR1:28</t>
  </si>
  <si>
    <t xml:space="preserve">Legume snack (chickpea, edamame); category other-snack. HQ not stated on site or policy pages. why_now dates are Shopify published_at.</t>
  </si>
  <si>
    <t xml:space="preserve">hq_city &lt;- https://bienasnacks.com/policies/refund-policy (2026-10-24, opened); hq_state &lt;- https://bienasnacks.com/policies/refund-policy (2026-10-24, opened); </t>
  </si>
  <si>
    <t xml:space="preserve">AB-207</t>
  </si>
  <si>
    <t xml:space="preserve">Stiller's Soda</t>
  </si>
  <si>
    <t xml:space="preserve">Launched fourth flavor Shirley Cola into Walmart and Whole Foods in the Northeast and Target nationwide</t>
  </si>
  <si>
    <t xml:space="preserve">https://www.bevindustry.com/articles/98256-stillers-soda-shirley-cola</t>
  </si>
  <si>
    <t xml:space="preserve">2026-03-30</t>
  </si>
  <si>
    <t xml:space="preserve">https://stillerssoda.com/</t>
  </si>
  <si>
    <t xml:space="preserve">Shirley Temple Soda 12 fl oz can (also Root Beer, Lemon Lime, Shirley Cola)</t>
  </si>
  <si>
    <t xml:space="preserve">Brooklyn (privacy policy: 184 Kent Avenue, B514, Brooklyn, NY 11249)</t>
  </si>
  <si>
    <t xml:space="preserve">https://stillerssoda.com</t>
  </si>
  <si>
    <t xml:space="preserve">Nutrient-content claims ('Only 30 Calories', 'low in calories'); celebrity co-founder (Ben Stiller) may mean a larger marketing budget than the target profile</t>
  </si>
  <si>
    <t xml:space="preserve">https://www.wholefoodsmarket.com/api/search?text=stiller%27s%20soda&amp;store=10773&amp;limit=60&amp;offset=0</t>
  </si>
  <si>
    <t xml:space="preserve">Doman</t>
  </si>
  <si>
    <t xml:space="preserve">https://www.foodbusinessnews.net/articles/29686-the-goldilocks-of-soda</t>
  </si>
  <si>
    <t xml:space="preserve">find Alex Doman at Stiller's Soda on LinkedIn and paste the profile URL into primary_linkedin_url; use the Whole Foods Market NoMad line only if retailer_checked_date is this week's Friday check</t>
  </si>
  <si>
    <t xml:space="preserve">New York City brand, store page shows Whole Foods Market NoMad inside the cluster, news 208 days ago, revenue unknown</t>
  </si>
  <si>
    <t xml:space="preserve">; founder review: scale, nutrient-claim</t>
  </si>
  <si>
    <t xml:space="preserve">Alex Doman</t>
  </si>
  <si>
    <t xml:space="preserve">Food Business News: co-launched in 2025 by Ben Stiller and Alex Doman. The Org (https://theorg.com/org/stillers-soda/person/alexander-doman, updated 2026-08-31) lists Alexander Doman, "President of Global Soda Affairs" and co-founder.</t>
  </si>
  <si>
    <t xml:space="preserve">scale;nutrient-claim</t>
  </si>
  <si>
    <t xml:space="preserve">Canned carbonated soft drink sold in ambient soda aisle (WFM lists 12 FZ cans); no shelf-life figure published, founder to confirm 60+ days</t>
  </si>
  <si>
    <t xml:space="preserve">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</si>
  <si>
    <t xml:space="preserve">Whole Foods Market; Walmart; Target; Amazon; Katz's Deli (BevNET/QSR headlines, search results)</t>
  </si>
  <si>
    <t xml:space="preserve">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</si>
  <si>
    <t xml:space="preserve">https://www.instagram.com/stillerssoda</t>
  </si>
  <si>
    <t xml:space="preserve">BR4:2</t>
  </si>
  <si>
    <t xml:space="preserve">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</si>
  <si>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</si>
  <si>
    <t xml:space="preserve">Shop buttons route to Amazon</t>
  </si>
  <si>
    <t xml:space="preserve">AB-106</t>
  </si>
  <si>
    <t xml:space="preserve">Taza Chocolate</t>
  </si>
  <si>
    <t xml:space="preserve">Holiday 2026 bars and chocolate-covered fruit added to brand store, Aug to Sept 2026</t>
  </si>
  <si>
    <t xml:space="preserve">https://www.tazachocolate.com/</t>
  </si>
  <si>
    <t xml:space="preserve">https://www.tazachocolate.com/pages/about-taza</t>
  </si>
  <si>
    <t xml:space="preserve">Organic Chocolate Coffee Disc 2.7 oz; Holiday Toffee, Almond &amp; Sea Salt Bar</t>
  </si>
  <si>
    <t xml:space="preserve">Somerville</t>
  </si>
  <si>
    <t xml:space="preserve">https://www.tazachocolate.com</t>
  </si>
  <si>
    <t xml:space="preserve">https://www.wholefoodsmarket.com/api/search?text=taza%20chocolate&amp;store=10773&amp;limit=60&amp;offset=0</t>
  </si>
  <si>
    <t xml:space="preserve">Whitmore</t>
  </si>
  <si>
    <t xml:space="preserve">find Alex Whitmore at Taza Chocolate on LinkedIn and paste the profile URL into primary_linkedin_url; use the Whole Foods Market NoMad line only if retailer_checked_date is this week's Friday check</t>
  </si>
  <si>
    <t xml:space="preserve">https://www.linkedin.com/in/slarason/</t>
  </si>
  <si>
    <t xml:space="preserve">Northeast brand, store page shows Whole Foods Market NoMad inside the cluster, a new store listing 50 days ago, revenue unknown</t>
  </si>
  <si>
    <t xml:space="preserve">Alex Whitmore</t>
  </si>
  <si>
    <t xml:space="preserve">About page: "Taza founder and CEO Alex Whitmore". Kara Goldin Show page agrees; it lists no LinkedIn URL.</t>
  </si>
  <si>
    <t xml:space="preserve">Stephanie Larason</t>
  </si>
  <si>
    <t xml:space="preserve">Stage-1 LinkedIn search snippet (one snapshot about 4.5 years old); not opened. Two searches on 2026-10-24 found no current marketing name (a 2018 COO and CMO appointment is stale).</t>
  </si>
  <si>
    <t xml:space="preserve">Wrapped stone-ground chocolate sold ambient at Whole Foods; shelf-life figure not found</t>
  </si>
  <si>
    <t xml:space="preserve">Whole Foods; factory store in Somerville</t>
  </si>
  <si>
    <t xml:space="preserve">https://www.wholefoodsmarket.com/api/search?text=taza%20chocolate&amp;store=10162&amp;limit=60&amp;offset=0; https://www.wholefoodsmarket.com/api/search?text=taza%20chocolate&amp;store=10773&amp;limit=60&amp;offset=0; https://www.wholefoodsmarket.com/api/search?text=taza%20chocolate&amp;store=10131&amp;limit=60&amp;offset=0</t>
  </si>
  <si>
    <t xml:space="preserve">https://www.instagram.com/tazachocolate/</t>
  </si>
  <si>
    <t xml:space="preserve">BR2:44</t>
  </si>
  <si>
    <t xml:space="preserve">Founded 2005, Direct Trade cacao. 'Spiked Eggnog' is a flavor name; confirm it has no alcohol before offering. Why-now from Shopify publish dates.</t>
  </si>
  <si>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</si>
  <si>
    <t xml:space="preserve">AB-270</t>
  </si>
  <si>
    <t xml:space="preserve">Figa Foods</t>
  </si>
  <si>
    <t xml:space="preserve">none found within ten blocks</t>
  </si>
  <si>
    <t xml:space="preserve">Won the Audience Choice Award at Naturally New York's 2026 Naturally Rising pitch (May 28, 2026); launched Minis and Passion Fruit at SFFS 2026</t>
  </si>
  <si>
    <t xml:space="preserve">https://www.snackandbakery.com/articles/115817-naturally-new-york-announces-pitch-competition-winner</t>
  </si>
  <si>
    <t xml:space="preserve">https://events.specialtyfood.com/event/2026-summer-fancy-food-show/exhibitor/RXhoaWJpdG9yXzI0Mzk0MjM=</t>
  </si>
  <si>
    <t xml:space="preserve">Figa Minis 6-pack snack pouch (63% cupuaçu bar); Passion Fruit 60 g bar</t>
  </si>
  <si>
    <t xml:space="preserve">New York City</t>
  </si>
  <si>
    <t xml:space="preserve">https://figafoods.com</t>
  </si>
  <si>
    <t xml:space="preserve">Altman</t>
  </si>
  <si>
    <t xml:space="preserve">https://www.linkedin.com/in/ariel-altman-396b922b/</t>
  </si>
  <si>
    <t xml:space="preserve">https://startupcpg.com/founder-feature-ariel-altman-and-ronny-berger-of-figa-foods/</t>
  </si>
  <si>
    <t xml:space="preserve">open the LinkedIn URL and confirm it is Ariel Altman, Co-founder at Figa Foods (found on another page, never opened)</t>
  </si>
  <si>
    <t xml:space="preserve">Ronny</t>
  </si>
  <si>
    <t xml:space="preserve">Berger</t>
  </si>
  <si>
    <t xml:space="preserve">https://www.linkedin.com/in/ronnyberger/</t>
  </si>
  <si>
    <t xml:space="preserve">open the LinkedIn URL and confirm it is Ronny Berger, Co-founder at Figa Foods (found on another page, never opened)</t>
  </si>
  <si>
    <t xml:space="preserve">New York City brand, no graded store within ten blocks, online store only, news 144 days ago, revenue unknown</t>
  </si>
  <si>
    <t xml:space="preserve">Ariel Altman</t>
  </si>
  <si>
    <t xml:space="preserve">Startup CPG founder feature. LinkedIn URL from the episode links of the matching Startup CPG podcast episode (2025-08-01, public feed); LinkedIn not opened.</t>
  </si>
  <si>
    <t xml:space="preserve">Ronny Berger</t>
  </si>
  <si>
    <t xml:space="preserve">Same feature and episode links.</t>
  </si>
  <si>
    <t xml:space="preserve">Cupuaçu 'chocolate-style' bars sold ambient online and in groceries; shelf life not stated</t>
  </si>
  <si>
    <t xml:space="preserve">Chelsea Market Baskets (unverified, 11.5 blocks out)</t>
  </si>
  <si>
    <t xml:space="preserve">Chelsea Market Baskets; Fonty's; East Village Organics; TAP; Zabar's; Upstate Stock; others (brand Stockist locator)</t>
  </si>
  <si>
    <t xml:space="preserve">https://stockist.co/api/v1/map_9q962p43/locations/search?latitude=40.7411&amp;longitude=-73.9897&amp;distance=5 (widget on https://figafoods.com/pages/store-locator)</t>
  </si>
  <si>
    <t xml:space="preserve">http://instagram.com/figafoods</t>
  </si>
  <si>
    <t xml:space="preserve">BR5:6</t>
  </si>
  <si>
    <t xml:space="preserve">Footer: 'OldMtnMan LLC, a New York limited liability company'. Minis published 2026-05-17 (products.json). Caffeine-free and vegan per meta description. Chelsea Market sits at 15th St and 9th Ave, about three avenues west of the cluster edge.</t>
  </si>
  <si>
    <t xml:space="preserve">AB-032</t>
  </si>
  <si>
    <t xml:space="preserve">Firehook</t>
  </si>
  <si>
    <t xml:space="preserve">Launched limited-time Firehook x Grillo's Dill Pickle Crackers (follows Avocado Oil, Sea Salt &amp; Chive cracker in April 2026 and an Ithaca Hummus LTO in March 2026)</t>
  </si>
  <si>
    <t xml:space="preserve">https://www.snackandbakery.com/articles/116020-firehook-crackers-grillos-strive-for-pickle-perfection</t>
  </si>
  <si>
    <t xml:space="preserve">https://www.wholefoodsmarket.com/search?text=firehook</t>
  </si>
  <si>
    <t xml:space="preserve">Firehook Sea Salt Mediterranean Crackers, 5.5 oz</t>
  </si>
  <si>
    <t xml:space="preserve">Chantilly</t>
  </si>
  <si>
    <t xml:space="preserve">https://firehook.com</t>
  </si>
  <si>
    <t xml:space="preserve">Brand site unreachable through proxy on 2026-10-23, so HQ, owner and online store are unconfirmed; no individually packaged single-serve SKU on the pages read (check for one before outreach)</t>
  </si>
  <si>
    <t xml:space="preserve">https://www.wholefoodsmarket.com/api/search?text=firehook&amp;store=10773&amp;limit=60&amp;offset=0</t>
  </si>
  <si>
    <t xml:space="preserve">Mottolese</t>
  </si>
  <si>
    <t xml:space="preserve">CEO</t>
  </si>
  <si>
    <t xml:space="preserve">CEO or owner (not shown as a founder)</t>
  </si>
  <si>
    <t xml:space="preserve">find Maura Mottolese at Firehook on LinkedIn and paste the profile URL into primary_linkedin_url; use the Whole Foods Market NoMad line only if retailer_checked_date is this week's Friday check</t>
  </si>
  <si>
    <t xml:space="preserve">Ellen</t>
  </si>
  <si>
    <t xml:space="preserve">Howse</t>
  </si>
  <si>
    <t xml:space="preserve">Chief Marketing Officer</t>
  </si>
  <si>
    <t xml:space="preserve">https://www.foodnavigator.com/Article/2025/05/13/natural-cracker-brand-collaborates-with-standout-cross-category-companies/</t>
  </si>
  <si>
    <t xml:space="preserve">find Ellen Howse at Firehook on LinkedIn and paste the profile URL into backup_linkedin_url; the source is dated 2024-10-31: check Ellen still holds the role; use the Whole Foods Market NoMad line only if retailer_checked_date is this week's Friday check</t>
  </si>
  <si>
    <t xml:space="preserve">Brand based outside the Northeast, store page shows Whole Foods Market NoMad inside the cluster, news 106 days ago, revenue unknown</t>
  </si>
  <si>
    <t xml:space="preserve">Maura Mottolese</t>
  </si>
  <si>
    <t xml:space="preserve">2026</t>
  </si>
  <si>
    <t xml:space="preserve">Snack and Bakery 2026: "Maura Mottolese, CEO of Firehook Crackers". Not a founder (Firehook is an older bakery now private-equity owned); CEO is the budget owner.</t>
  </si>
  <si>
    <t xml:space="preserve">Ellen Howse</t>
  </si>
  <si>
    <t xml:space="preserve">2024-10-31</t>
  </si>
  <si>
    <t xml:space="preserve">FoodNavigator 2025-05-13: "Ellen Howse, CMO at Firehook". The Org agrees (updated 2024-10-31).</t>
  </si>
  <si>
    <t xml:space="preserve">VA</t>
  </si>
  <si>
    <t xml:space="preserve">elsewhere</t>
  </si>
  <si>
    <t xml:space="preserve">Brand FAQ: 'Our signature line of crackers has a six-month shelf life.'</t>
  </si>
  <si>
    <t xml:space="preserve">https://www.wholefoodsmarket.com/search?text=firehook (7 items IN_STOCK in each of Union Square, NoMad, Chelsea contexts, 2026-10-23)</t>
  </si>
  <si>
    <t xml:space="preserve">BR1:33</t>
  </si>
  <si>
    <t xml:space="preserve">Strong NYC shelf presence; everything else needs a second pass when the site is reachable.</t>
  </si>
  <si>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online_store &lt;- https://firehook.com (2026-10-24, stage 3 correction); online_store_url &lt;- https://firehook.com (2026-10-24, stage 3 correction); </t>
  </si>
  <si>
    <t xml:space="preserve">AB-048</t>
  </si>
  <si>
    <t xml:space="preserve">FitJoy Foods</t>
  </si>
  <si>
    <t xml:space="preserve">Launched Classic Cracker Squares and Chocolate Peanut Butter Filled Pretzel Nuggets on brand store</t>
  </si>
  <si>
    <t xml:space="preserve">https://fitjoyfoods.com/products/classic-club-crackers</t>
  </si>
  <si>
    <t xml:space="preserve">https://fitjoyfoods.com/pages/our-people</t>
  </si>
  <si>
    <t xml:space="preserve">FitJoy Pretzel Twists Single-Serve Variety Pack; Grain-Free Salt Pretzel Twists 5 oz</t>
  </si>
  <si>
    <t xml:space="preserve">Austin</t>
  </si>
  <si>
    <t xml:space="preserve">https://fitjoyfoods.com</t>
  </si>
  <si>
    <t xml:space="preserve">https://www.wholefoodsmarket.com/api/search?text=fitjoy%20foods&amp;store=10162&amp;limit=60&amp;offset=0</t>
  </si>
  <si>
    <t xml:space="preserve">Norman</t>
  </si>
  <si>
    <t xml:space="preserve">Taliaferro</t>
  </si>
  <si>
    <t xml:space="preserve">CEO and Founding Partner</t>
  </si>
  <si>
    <t xml:space="preserve">find Norman Taliaferro at FitJoy Foods on LinkedIn and paste the profile URL into primary_linkedin_url; use the Whole Foods Market Union Square line only if retailer_checked_date is this week's Friday check</t>
  </si>
  <si>
    <t xml:space="preserve">Micah</t>
  </si>
  <si>
    <t xml:space="preserve">Mills</t>
  </si>
  <si>
    <t xml:space="preserve">Director of Marketing</t>
  </si>
  <si>
    <t xml:space="preserve">find Micah Mills at FitJoy Foods on LinkedIn and paste the profile URL into backup_linkedin_url; the source is dated 2024-11-17: check Micah still holds the role; use the Whole Foods Market Union Square line only if retailer_checked_date is this week's Friday check</t>
  </si>
  <si>
    <t xml:space="preserve">Brand based outside the Northeast, store page shows Whole Foods Market Union Square inside the cluster, a new store listing 176 days ago, revenue unknown</t>
  </si>
  <si>
    <t xml:space="preserve">Norman Taliaferro</t>
  </si>
  <si>
    <t xml:space="preserve">Brand Our People page. The Org (fitjoy) agrees and also lists Doss Cunningham as Co-Founder and Chairman.</t>
  </si>
  <si>
    <t xml:space="preserve">Micah Mills</t>
  </si>
  <si>
    <t xml:space="preserve">Brand Our People page; The Org (updated 2024-11-17) agrees, Director of Marketing since 2023.</t>
  </si>
  <si>
    <t xml:space="preserve">TX</t>
  </si>
  <si>
    <t xml:space="preserve">Grain-free pretzels and crackers in sealed bags, ambient</t>
  </si>
  <si>
    <t xml:space="preserve">Whole Foods Market; Target; Amazon (customer quotes on homepage)</t>
  </si>
  <si>
    <t xml:space="preserve">https://www.wholefoodsmarket.com/search?text=pretzels (Union Square context: FitJoy Grain Free Salt Pretzel Twists 5 oz, Tangy Dijon Mustard 4.5 oz, PB Filled Nuggets IN_STOCK, category search 2026-10-23)</t>
  </si>
  <si>
    <t xml:space="preserve">BR1:49</t>
  </si>
  <si>
    <t xml:space="preserve">Team page also lists Angela Leonardo, VP Sales. Single-serve variety pack exists (published 2025-06). HQ not stated on pages opened.</t>
  </si>
  <si>
    <t xml:space="preserve">hq_city &lt;- https://theorg.com/org/fitjoy (2026-10-24, opened); hq_state &lt;- https://theorg.com/org/fitjoy (2026-10-24, opened); </t>
  </si>
  <si>
    <t xml:space="preserve">AB-047</t>
  </si>
  <si>
    <t xml:space="preserve">Go Raw</t>
  </si>
  <si>
    <t xml:space="preserve">Launched Snacking Crisps, the brand's first cracker (four flavors)</t>
  </si>
  <si>
    <t xml:space="preserve">https://www.snackandbakery.com/articles/115681-go-raw-expands-lineup-with-its-first-cracker</t>
  </si>
  <si>
    <t xml:space="preserve">2026-05-06</t>
  </si>
  <si>
    <t xml:space="preserve">https://www.wholefoodsmarket.com/search?text=go%20raw%20sprouted</t>
  </si>
  <si>
    <t xml:space="preserve">Go Raw Organic Sprouted Pumpkin Seeds, Sea Salted</t>
  </si>
  <si>
    <t xml:space="preserve">nuts-seeds-trail</t>
  </si>
  <si>
    <t xml:space="preserve">Northbrook</t>
  </si>
  <si>
    <t xml:space="preserve">https://goraw.com</t>
  </si>
  <si>
    <t xml:space="preserve">Brand site unreachable on 2026-10-23 (domain guessed, may be wrong); owner and HQ unconfirmed; WFM title uses 'Keto' positioning; no individually packaged single-serve SKU on the pages read (check for one before outreach)</t>
  </si>
  <si>
    <t xml:space="preserve">https://www.wholefoodsmarket.com/api/search?text=go%20raw&amp;store=10773&amp;limit=60&amp;offset=0</t>
  </si>
  <si>
    <t xml:space="preserve">Robert</t>
  </si>
  <si>
    <t xml:space="preserve">Freeland</t>
  </si>
  <si>
    <t xml:space="preserve">Owner, Founder and CEO</t>
  </si>
  <si>
    <t xml:space="preserve">https://theorg.com/org/go-raw/person/robert-freeland</t>
  </si>
  <si>
    <t xml:space="preserve">find Robert Freeland at Go Raw on LinkedIn and paste the profile URL into primary_linkedin_url (this also confirms the name: The Org is crowd-edited and marks it Unverified); the source is dated 2023-07-24: check Robert still holds the role; use the Whole Foods Market NoMad line only if retailer_checked_date is this week's Friday check</t>
  </si>
  <si>
    <t xml:space="preserve">Kimberly</t>
  </si>
  <si>
    <t xml:space="preserve">Waldron</t>
  </si>
  <si>
    <t xml:space="preserve">https://theorg.com/org/go-raw/person/kimberly-waldron</t>
  </si>
  <si>
    <t xml:space="preserve">find Kimberly Waldron at Go Raw on LinkedIn and paste the profile URL into backup_linkedin_url (this also confirms the name: The Org is crowd-edited and marks it Unverified); use the Whole Foods Market NoMad line only if retailer_checked_date is this week's Friday check</t>
  </si>
  <si>
    <t xml:space="preserve">Brand based outside the Northeast, store page shows Whole Foods Market NoMad inside the cluster, news 171 days ago, revenue unknown</t>
  </si>
  <si>
    <t xml:space="preserve">; founder review: nutrient-claim, format</t>
  </si>
  <si>
    <t xml:space="preserve">Robert Freeland</t>
  </si>
  <si>
    <t xml:space="preserve">2023-07-24</t>
  </si>
  <si>
    <t xml:space="preserve">The Org (updated 2023-07-24): "Owner - Founder - CEO" since 2002. The same chart lists Peter Grumhaus as CEO since 2023 (backup row); who holds the budget now is unconfirmed. Stage 1 had the brand manager in this slot.</t>
  </si>
  <si>
    <t xml:space="preserve">Kimberly Waldron</t>
  </si>
  <si>
    <t xml:space="preserve">2026-01-29</t>
  </si>
  <si>
    <t xml:space="preserve">The Org (updated 2026-01-29): VP of Marketing since 2024.</t>
  </si>
  <si>
    <t xml:space="preserve">nutrient-claim;format</t>
  </si>
  <si>
    <t xml:space="preserve">IL</t>
  </si>
  <si>
    <t xml:space="preserve">Sprouted, dried seeds in sealed bags, ambient</t>
  </si>
  <si>
    <t xml:space="preserve">https://www.wholefoodsmarket.com/search?text=go%20raw%20sprouted (pumpkin and sunflower seed SKUs IN_STOCK in cluster store contexts, 2026-10-23)</t>
  </si>
  <si>
    <t xml:space="preserve">BR1:48</t>
  </si>
  <si>
    <t xml:space="preserve">Website field is a guessed domain that did not respond; founder to confirm the correct site.</t>
  </si>
  <si>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online_store &lt;- https://goraw.com (2026-10-24, stage 3 correction); online_store_url &lt;- https://goraw.com (2026-10-24, stage 3 correction); </t>
  </si>
  <si>
    <t xml:space="preserve">AB-072</t>
  </si>
  <si>
    <t xml:space="preserve">Blue Stripes</t>
  </si>
  <si>
    <t xml:space="preserve">Superfruit Gummies launched at select Costco Southeast warehouses for a limited time, with the Northwest region to follow in February 2026</t>
  </si>
  <si>
    <t xml:space="preserve">https://www.snackandbakery.com/articles/114975-blue-stripes-superfruit-gummies-expand-to-costco</t>
  </si>
  <si>
    <t xml:space="preserve">https://www.bluestripes.com/pages/about-us</t>
  </si>
  <si>
    <t xml:space="preserve">Whole Cacao Truffle Bar (Peanut Butter Crunch); Pure Dark Chocolate Bar 2.1 oz; Chocolate Covered Whole Cacao Beans 3.5 oz</t>
  </si>
  <si>
    <t xml:space="preserve">https://www.bluestripes.com</t>
  </si>
  <si>
    <t xml:space="preserve">'Superfood'/'nutritional benefits of cacao' positioning; Series B and Hershey backing may put it above the size band; check labels for claims | Claims review 2026-10-24: THEOBROMINE Long lasting natural energy; ELECTROLYTES (energy wording) (https://www.bluestripes.com); decide before outreach, and the tent card must not repeat it; 60-day shelf life not stated</t>
  </si>
  <si>
    <t xml:space="preserve">https://www.wholefoodsmarket.com/api/search?text=blue%20stripes&amp;store=10773&amp;limit=60&amp;offset=0</t>
  </si>
  <si>
    <t xml:space="preserve">Oded</t>
  </si>
  <si>
    <t xml:space="preserve">Brenner</t>
  </si>
  <si>
    <t xml:space="preserve">find Oded Brenner at Blue Stripes on LinkedIn and paste the profile URL into primary_linkedin_url; use the Whole Foods Market NoMad line only if retailer_checked_date is this week's Friday check</t>
  </si>
  <si>
    <t xml:space="preserve">Aviv</t>
  </si>
  <si>
    <t xml:space="preserve">Schwietzer</t>
  </si>
  <si>
    <t xml:space="preserve">Co-founder and COO</t>
  </si>
  <si>
    <t xml:space="preserve">https://theorg.com/org/blue-stripes/person/aviv-schwietzer</t>
  </si>
  <si>
    <t xml:space="preserve">find Aviv Schwietzer at Blue Stripes on LinkedIn and paste the profile URL into backup_linkedin_url (this also confirms the name: The Org is crowd-edited and marks it Unverified); the source is dated 2024-11-04: check Aviv still holds the role; use the Whole Foods Market NoMad line only if retailer_checked_date is this week's Friday check</t>
  </si>
  <si>
    <t xml:space="preserve">New York City brand, store page shows Whole Foods Market NoMad inside the cluster, news 288 days ago, revenue unknown</t>
  </si>
  <si>
    <t xml:space="preserve">; founder review: scale, claim-functional, nutrient-claim</t>
  </si>
  <si>
    <t xml:space="preserve">Oded Brenner</t>
  </si>
  <si>
    <t xml:space="preserve">About page: the founder, Oded Brenner. The Org lists him as Chief Executive Officer.</t>
  </si>
  <si>
    <t xml:space="preserve">Aviv Schwietzer</t>
  </si>
  <si>
    <t xml:space="preserve">The Org (updated 2024-11-04): Co-founder &amp; Chief Operating Officer since 2019.</t>
  </si>
  <si>
    <t xml:space="preserve">scale;claim-functional;nutrient-claim</t>
  </si>
  <si>
    <t xml:space="preserve">Series B ($20M, led by Zintinus, Oct 2024; Hershey's among backers)</t>
  </si>
  <si>
    <t xml:space="preserve">https://www.greenqueen.com.hk/blue-stripes-cacao-20m-hersheys-nick-digiovanni-chocolate-climate-change/</t>
  </si>
  <si>
    <t xml:space="preserve">Packaged chocolate bars and cacao snacks sold ambient at Whole Foods; shelf-life figure not published</t>
  </si>
  <si>
    <t xml:space="preserve">Whole Foods; Brooklyn Fare and Westside Market (search snippet, unverified)</t>
  </si>
  <si>
    <t xml:space="preserve">https://www.wholefoodsmarket.com/api/search?text=blue%20stripes&amp;store=10162&amp;limit=60&amp;offset=0; https://www.wholefoodsmarket.com/api/search?text=blue%20stripes&amp;store=10773&amp;limit=60&amp;offset=0; https://www.wholefoodsmarket.com/api/search?text=blue%20stripes&amp;store=10131&amp;limit=60&amp;offset=0</t>
  </si>
  <si>
    <t xml:space="preserve">https://www.instagram.com/bluestripescacao/</t>
  </si>
  <si>
    <t xml:space="preserve">BR2:9</t>
  </si>
  <si>
    <t xml:space="preserve">Terms of service list Blue Stripes LLC at a Cedar Falls IA address. HQ left as New York; founder to confirm which is the operating office.</t>
  </si>
  <si>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founder_review_reason &lt;- https://www.bluestripes.com (2026-10-24, stage 3 correction); </t>
  </si>
  <si>
    <t xml:space="preserve">AB-058</t>
  </si>
  <si>
    <t xml:space="preserve">Jack &amp; Friends</t>
  </si>
  <si>
    <t xml:space="preserve">https://www.wholefoodsmarket.com/search?text=jack%20%26%20friends%20jackfruit</t>
  </si>
  <si>
    <t xml:space="preserve">Jack &amp; Friends Jackfruit Jerky, Sweet BBQ, 2.2 oz (plant-based)</t>
  </si>
  <si>
    <t xml:space="preserve">meat-snacks</t>
  </si>
  <si>
    <t xml:space="preserve">Plant-based jerky (category meat-snacks is a stretch); WFM title leads with protein and fiber grams; brand site not found; no online store: buy path is the store only</t>
  </si>
  <si>
    <t xml:space="preserve">https://www.wholefoodsmarket.com/api/search?text=jack%20%26%20friends&amp;store=10773&amp;limit=60&amp;offset=0</t>
  </si>
  <si>
    <t xml:space="preserve">Kwong</t>
  </si>
  <si>
    <t xml:space="preserve">https://jackandfriendsjerky.com/pages/about</t>
  </si>
  <si>
    <t xml:space="preserve">find Jessica Kwong at Jack &amp; Friends on LinkedIn and paste the profile URL into primary_linkedin_url; use the Whole Foods Market NoMad line only if retailer_checked_date is this week's Friday check</t>
  </si>
  <si>
    <t xml:space="preserve">Jessica Kwong</t>
  </si>
  <si>
    <t xml:space="preserve">2026-06-12</t>
  </si>
  <si>
    <t xml:space="preserve">About page: "our founder, Jessica Kwong". The Org (updated 2026-06-12): Founder &amp; CEO since 2018.</t>
  </si>
  <si>
    <t xml:space="preserve">https://jackandfriendsjerky.com</t>
  </si>
  <si>
    <t xml:space="preserve">Packaged plant-based jerky sold in WFM grocery aisle</t>
  </si>
  <si>
    <t xml:space="preserve">https://www.wholefoodsmarket.com/search?text=jack%20%26%20friends%20jackfruit (Union Square and NoMad contexts: three jackfruit jerky flavors IN_STOCK 2026-10-23)</t>
  </si>
  <si>
    <t xml:space="preserve">BR1:59</t>
  </si>
  <si>
    <t xml:space="preserve">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</si>
  <si>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</si>
  <si>
    <t xml:space="preserve">AB-004</t>
  </si>
  <si>
    <t xml:space="preserve">Daily Crunch</t>
  </si>
  <si>
    <t xml:space="preserve">"Ditch the Chip" savory lineup (Sea Salt + Vinegar, BBQ and more) launching at Whole Foods Market nationwide, Sprouts nationwide and Meijer</t>
  </si>
  <si>
    <t xml:space="preserve">https://www.snackandbakery.com/articles/116489-daily-crunch-invites-consumers-to-ditch-the-chip</t>
  </si>
  <si>
    <t xml:space="preserve">https://dailycrunchsnacks.com</t>
  </si>
  <si>
    <t xml:space="preserve">Daily Crunch Sprouted Almonds &amp; Pepitas, Dill Pickle, 4 oz; Snack Packs</t>
  </si>
  <si>
    <t xml:space="preserve">Nashville</t>
  </si>
  <si>
    <t xml:space="preserve">Homepage leads with nutrient-content claim '5g of Protein per serving' | Claims review 2026-10-24: the brand tags its products 'gut healthy' in its own catalog; if that wording is on the pack or a page, it fails (https://dailycrunchsnacks.com/products/spiced-chai-pear-limited-time-only); decide before outreach, and the tent card must not repeat it</t>
  </si>
  <si>
    <t xml:space="preserve">https://www.wholefoodsmarket.com/api/search?text=daily%20crunch&amp;store=10773&amp;limit=60&amp;offset=0</t>
  </si>
  <si>
    <t xml:space="preserve">Laurel</t>
  </si>
  <si>
    <t xml:space="preserve">Orley</t>
  </si>
  <si>
    <t xml:space="preserve">https://www.linkedin.com/in/laurel-orley/</t>
  </si>
  <si>
    <t xml:space="preserve">https://theorg.com/org/daily-crunch/person/laurel-orley</t>
  </si>
  <si>
    <t xml:space="preserve">open the LinkedIn URL and confirm it is Laurel Orley, Co-founder and CEO at Daily Crunch (found on another page, never opened); use the Whole Foods Market NoMad line only if retailer_checked_date is this week's Friday check</t>
  </si>
  <si>
    <t xml:space="preserve">Diane</t>
  </si>
  <si>
    <t xml:space="preserve">https://dailycrunchsnacks.com/pages/about-us</t>
  </si>
  <si>
    <t xml:space="preserve">find Diane at Daily Crunch on LinkedIn and paste the profile URL into backup_linkedin_url; surname not public: take it from LinkedIn; use the Whole Foods Market NoMad line only if retailer_checked_date is this week's Friday check</t>
  </si>
  <si>
    <t xml:space="preserve">Brand based outside the Northeast, store page shows Whole Foods Market NoMad inside the cluster, news 5 days ago, revenue unknown</t>
  </si>
  <si>
    <t xml:space="preserve">Laurel Orley</t>
  </si>
  <si>
    <t xml:space="preserve">2026-09-13</t>
  </si>
  <si>
    <t xml:space="preserve">The Org (updated 2026-09-13): Co-Founder and CEO since 2018. LinkedIn URL from Startup CPG podcast #213 episode links (2025-09-09, public feed); LinkedIn not opened.</t>
  </si>
  <si>
    <t xml:space="preserve">About page: "Diane, Laurel's aunt &amp; co-founder". Surname not given.</t>
  </si>
  <si>
    <t xml:space="preserve">TN</t>
  </si>
  <si>
    <t xml:space="preserve">Bagged sprouted, dehydrated nuts sold ambient; snack packs on brand store</t>
  </si>
  <si>
    <t xml:space="preserve">https://www.wholefoodsmarket.com/search?text=daily%20crunch (store context Union Square 10162 and NoMad 10773; IN_STOCK 2026-10-23)</t>
  </si>
  <si>
    <t xml:space="preserve">https://startupcpg.com/startup-cpg-newswire-daily-crunch/</t>
  </si>
  <si>
    <t xml:space="preserve">BR1:5</t>
  </si>
  <si>
    <t xml:space="preserve">Nov 2025 trade press: expanding into 2,000 Albertsons stores and over 10,000 doors nationwide; won the 3rd Albertsons Innovation Launchpad ($198,000 prize). Scale signal for the $10M ceiling check.</t>
  </si>
  <si>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founder_review_reason &lt;- https://dailycrunchsnacks.com/products/spiced-chai-pear-limited-time-only (2026-10-24, stage 3 correction); </t>
  </si>
  <si>
    <t xml:space="preserve">AB-096</t>
  </si>
  <si>
    <t xml:space="preserve">Magic Spoon</t>
  </si>
  <si>
    <t xml:space="preserve">New Cereal Treats flavors (Cookies &amp; Cream, Chocolate Chip Cookie Dough) and limited-edition cereals launched Aug to Sept 2026</t>
  </si>
  <si>
    <t xml:space="preserve">https://magicspoon.com/products/fg-treat-4p-chocolate-chip-cookie-dough-40g</t>
  </si>
  <si>
    <t xml:space="preserve">https://magicspoon.com/pages/our-story</t>
  </si>
  <si>
    <t xml:space="preserve">Magic Spoon Cereal Treats (Cookies &amp; Cream, Chocolate Chip Cookie Dough), 4-count boxes</t>
  </si>
  <si>
    <t xml:space="preserve">https://magicspoon.com</t>
  </si>
  <si>
    <t xml:space="preserve">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single-serve pack not shown on the pages read: ask on the first call; 60-day shelf life not stated</t>
  </si>
  <si>
    <t xml:space="preserve">https://www.wholefoodsmarket.com/api/search?text=magic%20spoon&amp;store=10773&amp;limit=60&amp;offset=0</t>
  </si>
  <si>
    <t xml:space="preserve">Gabi</t>
  </si>
  <si>
    <t xml:space="preserve">Lewis</t>
  </si>
  <si>
    <t xml:space="preserve">https://www.linkedin.com/in/gabi-lewis-88483447/</t>
  </si>
  <si>
    <t xml:space="preserve">https://theorg.com/org/magic-spoon/person/gabi-lewis</t>
  </si>
  <si>
    <t xml:space="preserve">open the LinkedIn URL and confirm it is Gabi Lewis, Co-founder at Magic Spoon (found on another page, never opened); use the Whole Foods Market NoMad line only if retailer_checked_date is this week's Friday check</t>
  </si>
  <si>
    <t xml:space="preserve">https://www.linkedin.com/in/sarah-barnes-30a301b/</t>
  </si>
  <si>
    <t xml:space="preserve">New York City brand, store page shows Whole Foods Market NoMad inside the cluster, a new store listing 59 days ago, revenue unknown</t>
  </si>
  <si>
    <t xml:space="preserve">; founder review: scale, claim-functional, nutrient-claim, format-unconfirmed</t>
  </si>
  <si>
    <t xml:space="preserve">Gabi Lewis</t>
  </si>
  <si>
    <t xml:space="preserve">The Org (updated 2026-08-12): Co-Founder (formerly co-CEO). Brand Our Story page: "we're Greg and Gabi, co-founders". LinkedIn URL linked from https://karagoldin.com/podcasts/gabi-lewis/; LinkedIn not opened. Co-founder Greg Sewitz also on The Org.</t>
  </si>
  <si>
    <t xml:space="preserve">Sarah Barnes</t>
  </si>
  <si>
    <t xml:space="preserve">Stage-1 LinkedIn search result title "Chief Marketing Officer at Magic Spoon"; not opened. A 2026-10-24 search found no press naming a CMO and a Senior Director of Brand Marketing role advertised.</t>
  </si>
  <si>
    <t xml:space="preserve">scale;claim-functional;nutrient-claim;format-unconfirmed</t>
  </si>
  <si>
    <t xml:space="preserve">Shelf-stable cereal and wrapped protein treats sold ambient online and in grocery; shelf-life figure not found</t>
  </si>
  <si>
    <t xml:space="preserve">Whole Foods (cereal)</t>
  </si>
  <si>
    <t xml:space="preserve">https://www.wholefoodsmarket.com/api/search?text=magic%20spoon&amp;store=10162&amp;limit=60&amp;offset=0; https://www.wholefoodsmarket.com/api/search?text=magic%20spoon&amp;store=10773&amp;limit=60&amp;offset=0; https://www.wholefoodsmarket.com/api/search?text=magic%20spoon&amp;store=10131&amp;limit=60&amp;offset=0</t>
  </si>
  <si>
    <t xml:space="preserve">https://www.instagram.com/magicspooncereal/</t>
  </si>
  <si>
    <t xml:space="preserve">BR2:34</t>
  </si>
  <si>
    <t xml:space="preserve">HQ not stated on pages opened. Why-now dates from Shopify publish dates. Spot check 2026-10-23: Treats product description empty, so individual wrapping is not confirmed (downgraded from Y to unknown); WFM NoMad lists only Cocoa and Cinnamon Crunch cereal.</t>
  </si>
  <si>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why_now_url &lt;- https://magicspoon.com/products/fg-treat-4p-chocolate-chip-cookie-dough-40g (2026-10-24, stage 3 correction); </t>
  </si>
  <si>
    <t xml:space="preserve">AB-001</t>
  </si>
  <si>
    <t xml:space="preserve">BjornQorn</t>
  </si>
  <si>
    <t xml:space="preserve">New flavor BjornQorn Ruby added to brand online store</t>
  </si>
  <si>
    <t xml:space="preserve">https://bjornqorn.com/products/bjornqorn-ruby</t>
  </si>
  <si>
    <t xml:space="preserve">2025-12-12</t>
  </si>
  <si>
    <t xml:space="preserve">https://bjornqorn.com/pages/about</t>
  </si>
  <si>
    <t xml:space="preserve">BjornQorn Sun-Popped Corn, Classic, 1 oz bag (also 3 oz)</t>
  </si>
  <si>
    <t xml:space="preserve">Kerhonkson</t>
  </si>
  <si>
    <t xml:space="preserve">https://bjornqorn.com</t>
  </si>
  <si>
    <t xml:space="preserve">Claims review 2026-10-24: a gift-box popcorn 'powered by reishi mushrooms' (functional ingredient; no claim seen) (https://bjornqorn.com/products/bjornqorn-gift-box-2025); decide before outreach, and the tent card must not repeat it</t>
  </si>
  <si>
    <t xml:space="preserve">https://www.wholefoodsmarket.com/api/search?text=bjornqorn&amp;store=10773&amp;limit=60&amp;offset=0</t>
  </si>
  <si>
    <t xml:space="preserve">Bjorn</t>
  </si>
  <si>
    <t xml:space="preserve">Quenemoen</t>
  </si>
  <si>
    <t xml:space="preserve">find Bjorn Quenemoen at BjornQorn on LinkedIn and paste the profile URL into primary_linkedin_url; use the Whole Foods Market NoMad line only if retailer_checked_date is this week's Friday check</t>
  </si>
  <si>
    <t xml:space="preserve">Jamie</t>
  </si>
  <si>
    <t xml:space="preserve">O'Shea</t>
  </si>
  <si>
    <t xml:space="preserve">find Jamie O'Shea at BjornQorn on LinkedIn and paste the profile URL into backup_linkedin_url; use the Whole Foods Market NoMad line only if retailer_checked_date is this week's Friday check</t>
  </si>
  <si>
    <t xml:space="preserve">New York State brand, store page shows Whole Foods Market NoMad inside the cluster, a new store listing 316 days ago, revenue unknown</t>
  </si>
  <si>
    <t xml:space="preserve">Bjorn Quenemoen</t>
  </si>
  <si>
    <t xml:space="preserve">Modern Farmer via EcoWatch (2019): Bjorn Quenemoen and Jamie O'Shea, popcorn makers. | Stage 3 fix: Spot check round 6: the 2019 EcoWatch article calls the two 'popcorn makers'; the brand's own About page (opened 2026-10-24) presents 'BJORN &amp; JAMIE' as the people who started it. Better source.</t>
  </si>
  <si>
    <t xml:space="preserve">Jamie O'Shea</t>
  </si>
  <si>
    <t xml:space="preserve">Stage 1 had him in the marketing slot; the page says co-founder only, so moved to backup. | Stage 3 fix: Spot check round 6: as above.</t>
  </si>
  <si>
    <t xml:space="preserve">Sealed bagged popcorn sold ambient online (15 x 1 oz packs) and in WFM grocery aisle; brand states allergen-free facility</t>
  </si>
  <si>
    <t xml:space="preserve">Whole Foods Market; Eataly (Boston, NYC, LA per 2019 press); Vitacost; BKLYN Larder; Faire wholesale</t>
  </si>
  <si>
    <t xml:space="preserve">https://www.wholefoodsmarket.com/search?text=bjornqorn (store context Union Square 10162, NoMad 10773, Chelsea 10131 set via site store selector; IN_STOCK 2026-10-23; not listed for Austin Lamar store, negative control)</t>
  </si>
  <si>
    <t xml:space="preserve">BR1:2</t>
  </si>
  <si>
    <t xml:space="preserve">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</si>
  <si>
    <t xml:space="preserve">founder_review_reason &lt;- https://bjornqorn.com/products/bjornqorn-gift-box-2025 (2026-10-24, stage 3 correction); </t>
  </si>
  <si>
    <t xml:space="preserve">AB-237</t>
  </si>
  <si>
    <t xml:space="preserve">Z Crackers</t>
  </si>
  <si>
    <t xml:space="preserve">https://www.zcrackers.com/</t>
  </si>
  <si>
    <t xml:space="preserve">Everything Crackers 7.5 oz box; Garlic &amp; Basil Crackers 8 oz; breadsticks</t>
  </si>
  <si>
    <t xml:space="preserve">Brooklyn (Savory Pie Company, 215 Stratford Road, Brooklyn, NY 11218, per homepage contact block)</t>
  </si>
  <si>
    <t xml:space="preserve">https://www.murrayscheese.com/dp/z-crackers-sea-salt-and-olive-oil-crackers</t>
  </si>
  <si>
    <t xml:space="preserve">7.5-8 oz boxes are share packs, not individually packaged; office use would need opened boxes or a smaller format</t>
  </si>
  <si>
    <t xml:space="preserve">https://www.wholefoodsmarket.com/api/search?text=z%20crackers&amp;store=10773&amp;limit=60&amp;offset=0</t>
  </si>
  <si>
    <t xml:space="preserve">Keith</t>
  </si>
  <si>
    <t xml:space="preserve">Pollack</t>
  </si>
  <si>
    <t xml:space="preserve">Co-founder and President</t>
  </si>
  <si>
    <t xml:space="preserve">find Keith Pollack at Z Crackers on LinkedIn and paste the profile URL into primary_linkedin_url; use the Whole Foods Market NoMad line only if retailer_checked_date is this week's Friday check</t>
  </si>
  <si>
    <t xml:space="preserve">find Pam Pollack at Z Crackers on LinkedIn and paste the profile URL into backup_linkedin_url; use the Whole Foods Market NoMad line only if retailer_checked_date is this week's Friday check</t>
  </si>
  <si>
    <t xml:space="preserve">Keith Pollack</t>
  </si>
  <si>
    <t xml:space="preserve">Homepage: "Pam and Keith Pollack, Founders" and "Keith Pollack, Z President" (Savory Pie Company).</t>
  </si>
  <si>
    <t xml:space="preserve">Pam Pollack</t>
  </si>
  <si>
    <t xml:space="preserve">Same page.</t>
  </si>
  <si>
    <t xml:space="preserve">https://www.zcrackers.com</t>
  </si>
  <si>
    <t xml:space="preserve">Boxed crackers sold ambient; no shelf-life figure published, founder to confirm</t>
  </si>
  <si>
    <t xml:space="preserve">Whole Foods Market (WFM catalog); store locator on site</t>
  </si>
  <si>
    <t xml:space="preserve">https://www.wholefoodsmarket.com/api/search?text=z%20crackers&amp;store=10773&amp;limit=60&amp;offset=0; https://www.wholefoodsmarket.com/api/search?text=z%20crackers&amp;store=10162&amp;limit=60&amp;offset=0; https://www.wholefoodsmarket.com/api/search?text=z%20crackers&amp;store=10713&amp;limit=60&amp;offset=0</t>
  </si>
  <si>
    <t xml:space="preserve">BR4:32</t>
  </si>
  <si>
    <t xml:space="preserve">Vegan, non-GMO cornmeal crackers. WFM flags Local at Union Square and NoMad (2026-10-23). Trade sell sheets downloadable from homepage.</t>
  </si>
  <si>
    <t xml:space="preserve">founder_name &lt;- https://www.zcrackers.com/ (2026-10-24, opened); founder_title &lt;- https://www.zcrackers.com/ (2026-10-24, opened); founder_profile_url &lt;- https://www.zcrackers.com/ (2026-10-24, opened); hq_city &lt;- https://www.zcrackers.com/ (2026-10-24, opened); online_store &lt;- https://www.murrayscheese.com/dp/z-crackers-sea-salt-and-olive-oil-crackers (2026-10-24, stage 3 correction); online_store_url &lt;- https://www.murrayscheese.com/dp/z-crackers-sea-salt-and-olive-oil-crackers (2026-10-24, stage 3 correction); </t>
  </si>
  <si>
    <t xml:space="preserve">AB-130</t>
  </si>
  <si>
    <t xml:space="preserve">Moshi</t>
  </si>
  <si>
    <t xml:space="preserve">Dainobu, 498 6th Ave</t>
  </si>
  <si>
    <t xml:space="preserve">Launched limited-edition DAN DA DAN x Moshi Sparkling Yuzu Hojicha (anime collab) on its store; also exhibited at Natural Products Expo West 2026 (booth N1934)</t>
  </si>
  <si>
    <t xml:space="preserve">https://tastemoshi.com/products/dandadan-x-moshi-yuzu-hojicha-sparkling-drink</t>
  </si>
  <si>
    <t xml:space="preserve">2026-09-11</t>
  </si>
  <si>
    <t xml:space="preserve">https://tastemoshi.com/pages/moshi</t>
  </si>
  <si>
    <t xml:space="preserve">Moshi Sparkling Yuzu Original, can; also Sparkling Uji Matcha and Sparkling Oolong Tea</t>
  </si>
  <si>
    <t xml:space="preserve">https://tastemoshi.com</t>
  </si>
  <si>
    <t xml:space="preserve">Shelf stability not stated by the brand; matcha and oolong SKUs contain caffeine (no claim seen). Same parent company (Brooklyn Food &amp; Beverage) as Bruce Cost Ginger Ale and Brooklyn Crafted: contact once; 60-day shelf life not stated</t>
  </si>
  <si>
    <t xml:space="preserve">grp-130-131-132</t>
  </si>
  <si>
    <t xml:space="preserve">Alton</t>
  </si>
  <si>
    <t xml:space="preserve">But</t>
  </si>
  <si>
    <t xml:space="preserve">https://attend.expowest.com/event/natural-products-expo-west-2026/exhibitor/RXhoaWJpdG9yXzIzNTgyMzE=</t>
  </si>
  <si>
    <t xml:space="preserve">find Alton But at Moshi on LinkedIn and paste the profile URL into primary_linkedin_url; the retailer line rests on the brand's own store locator: say 'your store locator lists ...'</t>
  </si>
  <si>
    <t xml:space="preserve">Horin</t>
  </si>
  <si>
    <t xml:space="preserve">Yip</t>
  </si>
  <si>
    <t xml:space="preserve">Brand Marketing Manager, Brooklyn Food &amp; Beverage</t>
  </si>
  <si>
    <t xml:space="preserve">find Horin Yip at Moshi on LinkedIn and paste the profile URL into backup_linkedin_url; the retailer line rests on the brand's own store locator: say 'your store locator lists ...'</t>
  </si>
  <si>
    <t xml:space="preserve">New York City brand, brand locator shows Dainobu 0.9 blocks outside it, a new store listing 43 days ago, revenue unknown</t>
  </si>
  <si>
    <t xml:space="preserve">Alton But</t>
  </si>
  <si>
    <t xml:space="preserve">Expo West 2026 listing for Brooklyn Food &amp; Beverage: "Founder Alton But ... launched Moshi" in 2020. The Org (brooklyn-food-and-beverage) lists him as Sales &amp; Operations. Same parent as Bruce Cost Ginger Ale (rank 57): treat as one company, one contact in flight.</t>
  </si>
  <si>
    <t xml:space="preserve">Horin Yip</t>
  </si>
  <si>
    <t xml:space="preserve">Expo West 2026 exhibitor team list: "Horin Yip, Brand Marketing Manager, Brooklyn Crafted". Covers the parent's brands.</t>
  </si>
  <si>
    <t xml:space="preserve">Canned sparkling drink sold in ambient grocery per brand locator, but no shelf-stability statement found on site or product pages; founder to confirm</t>
  </si>
  <si>
    <t xml:space="preserve">No public sales figure found</t>
  </si>
  <si>
    <t xml:space="preserve">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</si>
  <si>
    <t xml:space="preserve">Pearl River Mart (brand_claim, 11.4 blocks out)</t>
  </si>
  <si>
    <t xml:space="preserve">H Mart; Westside Market; Pearl River Mart; Sunrise Mart; Katagiri; Dainobu; Merci Market; TESO Life (brand Storepoint locator)</t>
  </si>
  <si>
    <t xml:space="preserve">https://tastemoshi.com/pages/store-locator; https://api.storepoint.co/v1/16047a894dc65b/locations?lat=40.7400&amp;long=-73.9900&amp;radius=3</t>
  </si>
  <si>
    <t xml:space="preserve">https://www.instagram.com/drinkmoshi</t>
  </si>
  <si>
    <t xml:space="preserve">BR3</t>
  </si>
  <si>
    <t xml:space="preserve">BR3:4</t>
  </si>
  <si>
    <t xml:space="preserve">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</si>
  <si>
    <t xml:space="preserve">marketing_name &lt;- https://attend.expowest.com/event/natural-products-expo-west-2026/exhibitor/RXhoaWJpdG9yXzIzNTgyMzE= (2026-10-24, opened); marketing_title &lt;- https://attend.expowest.com/event/natural-products-expo-west-2026/exhibitor/RXhoaWJpdG9yXzIzNTgyMzE= (2026-10-24, opened); </t>
  </si>
  <si>
    <t xml:space="preserve">parent 'brooklyn food &amp; beverage' shared with AB-131; person 'horin yip' shared with AB-131, AB-132</t>
  </si>
  <si>
    <t xml:space="preserve">AB-172</t>
  </si>
  <si>
    <t xml:space="preserve">Explorer Cold Brew</t>
  </si>
  <si>
    <t xml:space="preserve">Acquired Savorista, a decaf and half-caff coffee company (Food Business News, 2026-01-20); 2026 Startup CPG Shelfie finalist, Coffee category (2026-08-06); Matcha Oat Latte cans listed 2026-08-27</t>
  </si>
  <si>
    <t xml:space="preserve">https://startupcpg.com/startup-cpg-shelfie-finalists-2026/</t>
  </si>
  <si>
    <t xml:space="preserve">https://explorercoldbrew.com/pages/meet-the-team</t>
  </si>
  <si>
    <t xml:space="preserve">Explorer Cold Brew Oat Latte (choose caffeine level), can 12-pack</t>
  </si>
  <si>
    <t xml:space="preserve">coffee-rtd</t>
  </si>
  <si>
    <t xml:space="preserve">https://explorercoldbrew.com</t>
  </si>
  <si>
    <t xml:space="preserve">HQ and NYC retail not confirmed; 128 oz box is not a fit, only the cans; 60-day shelf life not stated</t>
  </si>
  <si>
    <t xml:space="preserve">Cason</t>
  </si>
  <si>
    <t xml:space="preserve">Crane</t>
  </si>
  <si>
    <t xml:space="preserve">https://www.linkedin.com/in/casoncrane/</t>
  </si>
  <si>
    <t xml:space="preserve">open the LinkedIn URL and confirm it is Cason Crane, Founder and CEO at Explorer Cold Brew (found on another page, never opened)</t>
  </si>
  <si>
    <t xml:space="preserve">Michael</t>
  </si>
  <si>
    <t xml:space="preserve">O'Hagan</t>
  </si>
  <si>
    <t xml:space="preserve">Head of Ecommerce &amp; Growth (consultant)</t>
  </si>
  <si>
    <t xml:space="preserve">https://theorg.com/org/explorer-cold-brew/person/michael-ohagan</t>
  </si>
  <si>
    <t xml:space="preserve">find Michael O'Hagan at Explorer Cold Brew on LinkedIn and paste the profile URL into backup_linkedin_url (this also confirms the name: The Org is crowd-edited and marks it Unverified); the source is dated 2024-11-01: check Michael still holds the role</t>
  </si>
  <si>
    <t xml:space="preserve">New York City brand, no graded store within ten blocks, online store only, news 79 days ago, revenue unknown</t>
  </si>
  <si>
    <t xml:space="preserve">Cason Crane</t>
  </si>
  <si>
    <t xml:space="preserve">Meet the Team page. LinkedIn URL from the Startup CPG podcast "Founder Feature: Cason Crane" episode links (2024-11-22, public feed); LinkedIn not opened.</t>
  </si>
  <si>
    <t xml:space="preserve">Michael O'Hagan</t>
  </si>
  <si>
    <t xml:space="preserve">2024-11-01</t>
  </si>
  <si>
    <t xml:space="preserve">The Org position page (opened 2026-10-24, updated 2024-11-01), New York area; a consultant role; crowd-edited.</t>
  </si>
  <si>
    <t xml:space="preserve">No storage statement found in product copy</t>
  </si>
  <si>
    <t xml:space="preserve">unknown (Dathic locator not readable)</t>
  </si>
  <si>
    <t xml:space="preserve">BR3:46</t>
  </si>
  <si>
    <t xml:space="preserve">Founded 2020 (meet-the-team). Caffeine-level choice (decaf, half-caff) is an office-friendly angle. Matcha date is Shopify publish date.</t>
  </si>
  <si>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</si>
  <si>
    <t xml:space="preserve">AB-285</t>
  </si>
  <si>
    <t xml:space="preserve">Effie's Homemade</t>
  </si>
  <si>
    <t xml:space="preserve">Gruyere Biscuits named a 2027 sofi Award finalist (Bakery, Bread &amp; Crackers); new Walnut Biscuits launched</t>
  </si>
  <si>
    <t xml:space="preserve">https://www.specialtyfood.com/news-media/news-features/association-press-releases/2027-sofi-awards-finalists/</t>
  </si>
  <si>
    <t xml:space="preserve">Oatcakes Single Serve pack; Cocoa Biscuits Single Serve</t>
  </si>
  <si>
    <t xml:space="preserve">Hyde Park (Boston)</t>
  </si>
  <si>
    <t xml:space="preserve">https://effieshomemade.com/products/oatcakes-single-serve</t>
  </si>
  <si>
    <t xml:space="preserve">May be above the $10M revenue ceiling given 4,000+ doors. WFM lists the 7.2 oz boxes; the single-serve packs were seen only on the brand site</t>
  </si>
  <si>
    <t xml:space="preserve">https://www.wholefoodsmarket.com/api/search?text=effie%27s%20homemade&amp;store=10773&amp;limit=60&amp;offset=0</t>
  </si>
  <si>
    <t xml:space="preserve">MacIsaac</t>
  </si>
  <si>
    <t xml:space="preserve">https://blog.harryanddavid.com/articles/profiles/effies-homemade-oatcake</t>
  </si>
  <si>
    <t xml:space="preserve">find Joan MacIsaac at Effie's Homemade on LinkedIn and paste the profile URL into primary_linkedin_url; use the Whole Foods Market NoMad line only if retailer_checked_date is this week's Friday check</t>
  </si>
  <si>
    <t xml:space="preserve">Irene</t>
  </si>
  <si>
    <t xml:space="preserve">Costello</t>
  </si>
  <si>
    <t xml:space="preserve">find Irene Costello at Effie's Homemade on LinkedIn and paste the profile URL into backup_linkedin_url; use the Whole Foods Market NoMad line only if retailer_checked_date is this week's Friday check</t>
  </si>
  <si>
    <t xml:space="preserve">Northeast brand, store page shows Whole Foods Market NoMad inside the cluster, news 5 days ago, revenue unknown</t>
  </si>
  <si>
    <t xml:space="preserve">; founder review: scale</t>
  </si>
  <si>
    <t xml:space="preserve">Joan MacIsaac</t>
  </si>
  <si>
    <t xml:space="preserve">Harry &amp; David profile (2023-02-17, modified 2025-06-23): "Effie's Homemade founders and friends, Joan MacIsaac and Irene Costello". Brand about page names Joan (Effie's daughter). Fills the stage-1 surname gap.</t>
  </si>
  <si>
    <t xml:space="preserve">Irene Costello</t>
  </si>
  <si>
    <t xml:space="preserve">scale</t>
  </si>
  <si>
    <t xml:space="preserve">https://effieshomemade.com</t>
  </si>
  <si>
    <t xml:space="preserve">Shelf-stable biscuits sold in the specialty cheese aisle; Walnut Biscuits page states a 6-month shelf life</t>
  </si>
  <si>
    <t xml:space="preserve">No sales figure. Homepage: 'more than 4,000 specialty retail shops nationwide' (store count only; may sit above the $10M ceiling)</t>
  </si>
  <si>
    <t xml:space="preserve">More than 4,000 specialty retail shops nationwide; Whole Foods Market</t>
  </si>
  <si>
    <t xml:space="preserve">https://www.wholefoodsmarket.com/api/search?text=effie's&amp;store=10162 / 10773 / 10131 / 10713 (store-scoped catalog search; Union Square 10162, NoMad 10773, Chelsea 10131, Manhattan West 10713; opened 2026-10-24)</t>
  </si>
  <si>
    <t xml:space="preserve">https://www.instagram.com/effieshomemade</t>
  </si>
  <si>
    <t xml:space="preserve">BR5:21</t>
  </si>
  <si>
    <t xml:space="preserve">Also a 2026 sofi finalist (Gruyere Biscuit). Single-serve oatcake packs published 2025-10-30 (products.json). WFM catalog shows Oatcakes, Cocoa, Pecan, Corn and Almond biscuits 7.2 oz at all four Manhattan stores checked. A catalog listing is not proof the product is on the shelf today.</t>
  </si>
  <si>
    <t xml:space="preserve">AB-107</t>
  </si>
  <si>
    <t xml:space="preserve">Solely</t>
  </si>
  <si>
    <t xml:space="preserve">Expanded to Walmart stores nationwide (six items: Fruit Jerky 5-packs and Fruit Gummies 10-packs)</t>
  </si>
  <si>
    <t xml:space="preserve">https://www.snackandbakery.com/articles/116204-solely-expands-to-walmart-stores-nationwide</t>
  </si>
  <si>
    <t xml:space="preserve">2026-08-19</t>
  </si>
  <si>
    <t xml:space="preserve">https://solely.com/pages/about</t>
  </si>
  <si>
    <t xml:space="preserve">Organic Pineapple Fruit Jerky 0.8 oz; Organic Mango and Blueberry Gummies 3.5 oz</t>
  </si>
  <si>
    <t xml:space="preserve">fruit-snacks</t>
  </si>
  <si>
    <t xml:space="preserve">La Jolla</t>
  </si>
  <si>
    <t xml:space="preserve">https://solely.com</t>
  </si>
  <si>
    <t xml:space="preserve">Kids-focused mission; Costco distribution and own farm network may put it above the size band</t>
  </si>
  <si>
    <t xml:space="preserve">https://www.wholefoodsmarket.com/api/search?text=solely&amp;store=10773&amp;limit=60&amp;offset=0</t>
  </si>
  <si>
    <t xml:space="preserve">Simon</t>
  </si>
  <si>
    <t xml:space="preserve">Sacal</t>
  </si>
  <si>
    <t xml:space="preserve">https://karagoldin.com/podcasts/simon-sacal/</t>
  </si>
  <si>
    <t xml:space="preserve">find Simon Sacal at Solely on LinkedIn and paste the profile URL into primary_linkedin_url; use the Whole Foods Market NoMad line only if retailer_checked_date is this week's Friday check</t>
  </si>
  <si>
    <t xml:space="preserve">Manish</t>
  </si>
  <si>
    <t xml:space="preserve">Amin</t>
  </si>
  <si>
    <t xml:space="preserve">https://theorg.com/org/solely-inc/person/manish-amin</t>
  </si>
  <si>
    <t xml:space="preserve">find Manish Amin at Solely on LinkedIn and paste the profile URL into backup_linkedin_url (this also confirms the name: The Org is crowd-edited and marks it Unverified); the source is dated 2024-11-04: check Manish still holds the role; use the Whole Foods Market NoMad line only if retailer_checked_date is this week's Friday check</t>
  </si>
  <si>
    <t xml:space="preserve">Brand based outside the Northeast, store page shows Whole Foods Market NoMad inside the cluster, news 66 days ago, revenue unknown</t>
  </si>
  <si>
    <t xml:space="preserve">Simon Sacal</t>
  </si>
  <si>
    <t xml:space="preserve">Kara Goldin Show page title "Simon Sacal: Founder &amp; CEO of Solely" (no LinkedIn link). Snack and Bakery 2026 calls him CEO.</t>
  </si>
  <si>
    <t xml:space="preserve">Manish Amin</t>
  </si>
  <si>
    <t xml:space="preserve">The Org (updated 2024-11-04): since 2022. Two years since update. The Org also lists a CRO and EVP Sales and Marketing.</t>
  </si>
  <si>
    <t xml:space="preserve">CA</t>
  </si>
  <si>
    <t xml:space="preserve">Brand FAQ: 'Most Solely products have a one-year shelf life from manufactured date'; online orders ship with a best-by at least 90 days out.</t>
  </si>
  <si>
    <t xml:space="preserve">Whole Foods; Costco (linked press)</t>
  </si>
  <si>
    <t xml:space="preserve">https://www.wholefoodsmarket.com/api/search?text=solely&amp;store=10162&amp;limit=60&amp;offset=0; https://www.wholefoodsmarket.com/api/search?text=solely&amp;store=10773&amp;limit=60&amp;offset=0; https://www.wholefoodsmarket.com/api/search?text=solely&amp;store=10131&amp;limit=60&amp;offset=0</t>
  </si>
  <si>
    <t xml:space="preserve">https://www.instagram.com/solelyfruit/</t>
  </si>
  <si>
    <t xml:space="preserve">BR2:45</t>
  </si>
  <si>
    <t xml:space="preserve">USDA Organic, sourced from own certified farms (FAQ). Why-now from Shopify publish date.</t>
  </si>
  <si>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</si>
  <si>
    <t xml:space="preserve">AB-091</t>
  </si>
  <si>
    <t xml:space="preserve">Mavericks Snacks</t>
  </si>
  <si>
    <t xml:space="preserve">Launched limited-time Lemon Creme Sandwich Cookies at select Whole Foods Market stores nationwide</t>
  </si>
  <si>
    <t xml:space="preserve">https://www.snackandbakery.com/articles/115453-mavericks-snacks-introduces-seasonal-lemon-cookies</t>
  </si>
  <si>
    <t xml:space="preserve">2026-03-27</t>
  </si>
  <si>
    <t xml:space="preserve">https://mavericksnacks.com/pages/about-page</t>
  </si>
  <si>
    <t xml:space="preserve">Chocolate Chip Bolt Cookies, Snack Packs; Kids Birthday Cake Cookies 7.05 oz</t>
  </si>
  <si>
    <t xml:space="preserve">https://mavericksnacks.com</t>
  </si>
  <si>
    <t xml:space="preserve">Kids' product positioning ('Kids' cookies, families); 60-day shelf life not stated</t>
  </si>
  <si>
    <t xml:space="preserve">https://www.wholefoodsmarket.com/api/search?text=mavericks%20cookies&amp;store=10773&amp;limit=60&amp;offset=0</t>
  </si>
  <si>
    <t xml:space="preserve">Livio</t>
  </si>
  <si>
    <t xml:space="preserve">Bisterzo</t>
  </si>
  <si>
    <t xml:space="preserve">https://startupcpg.com/startup-cpg-newswire-mavericks-snacks-partners-with-paramount-pictures-for-transformers-one-film-release/</t>
  </si>
  <si>
    <t xml:space="preserve">find Livio Bisterzo at Mavericks Snacks on LinkedIn and paste the profile URL into primary_linkedin_url; the source is dated 2024-10-11: check Livio still holds the role; use the Whole Foods Market NoMad line only if retailer_checked_date is this week's Friday check</t>
  </si>
  <si>
    <t xml:space="preserve">https://www.nosh.com/news/2022/mavericks-cookies-focuses-on-branding-to-land-target-store-partnership</t>
  </si>
  <si>
    <t xml:space="preserve">Brand based outside the Northeast, store page shows Whole Foods Market NoMad inside the cluster, news 211 days ago, revenue unknown</t>
  </si>
  <si>
    <t xml:space="preserve">Livio Bisterzo</t>
  </si>
  <si>
    <t xml:space="preserve">2024-10-11</t>
  </si>
  <si>
    <t xml:space="preserve">Release: "Livio Bisterzo, CEO of Green Park Brands, founded Mavericks Snacks". The Org (green-park-brands, updated 2024-10-11): CEO &amp; Founder of the parent.</t>
  </si>
  <si>
    <t xml:space="preserve">Tina Pate</t>
  </si>
  <si>
    <t xml:space="preserve">Seen only in a search summary of a 2022 Nosh article (not opened). Four years old; likely stale.</t>
  </si>
  <si>
    <t xml:space="preserve">Packaged cookies and snack packs sold ambient at Whole Foods; shelf-life figure not found</t>
  </si>
  <si>
    <t xml:space="preserve">Whole Foods; Amazon</t>
  </si>
  <si>
    <t xml:space="preserve">https://www.wholefoodsmarket.com/api/search?text=mavericks%20cookies&amp;store=10162&amp;limit=60&amp;offset=0; https://www.wholefoodsmarket.com/api/search?text=mavericks%20cookies&amp;store=10773&amp;limit=60&amp;offset=0; https://www.wholefoodsmarket.com/api/search?text=mavericks%20cookies&amp;store=10131&amp;limit=60&amp;offset=0</t>
  </si>
  <si>
    <t xml:space="preserve">https://www.instagram.com/mavericksnacks/</t>
  </si>
  <si>
    <t xml:space="preserve">BR2:28</t>
  </si>
  <si>
    <t xml:space="preserve">Garrison Jones is CEO of Mavericks Snacks as of 2026-03-27 (President in 2024). Likely the better first contact than founder Livio Bisterzo, who runs parent Green Park Brands.</t>
  </si>
  <si>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</si>
  <si>
    <t xml:space="preserve">AB-087</t>
  </si>
  <si>
    <t xml:space="preserve">Mayana Chocolate</t>
  </si>
  <si>
    <t xml:space="preserve">New Mayan Spice and Mother Fluffer candy bars added to brand store (Apr to May 2026)</t>
  </si>
  <si>
    <t xml:space="preserve">https://www.mayanachocolate.com/products/copy-of-kitchen-sink-mini-bar-10-count</t>
  </si>
  <si>
    <t xml:space="preserve">2026-05-05</t>
  </si>
  <si>
    <t xml:space="preserve">https://www.mayanachocolate.com/pages/about-mayana-chocolate</t>
  </si>
  <si>
    <t xml:space="preserve">Mini Cloud 9 Bar 1.4 oz; Strawberry Rose Mini Chocolate Bar</t>
  </si>
  <si>
    <t xml:space="preserve">Spooner (brand about page calls Spooner 'Mayana's future home')</t>
  </si>
  <si>
    <t xml:space="preserve">https://www.mayanachocolate.com</t>
  </si>
  <si>
    <t xml:space="preserve">https://www.wholefoodsmarket.com/api/search?text=mayana&amp;store=10773&amp;limit=60&amp;offset=0</t>
  </si>
  <si>
    <t xml:space="preserve">Herskovic</t>
  </si>
  <si>
    <t xml:space="preserve">Owner</t>
  </si>
  <si>
    <t xml:space="preserve">find Daniel Herskovic at Mayana Chocolate on LinkedIn and paste the profile URL into primary_linkedin_url; use the Whole Foods Market NoMad line only if retailer_checked_date is this week's Friday check</t>
  </si>
  <si>
    <t xml:space="preserve">Tamara</t>
  </si>
  <si>
    <t xml:space="preserve">find Tamara Herskovic at Mayana Chocolate on LinkedIn and paste the profile URL into backup_linkedin_url; use the Whole Foods Market NoMad line only if retailer_checked_date is this week's Friday check</t>
  </si>
  <si>
    <t xml:space="preserve">Brand based outside the Northeast, store page shows Whole Foods Market NoMad inside the cluster, a new store listing 172 days ago, revenue unknown</t>
  </si>
  <si>
    <t xml:space="preserve">Daniel Herskovic</t>
  </si>
  <si>
    <t xml:space="preserve">2026-09-28</t>
  </si>
  <si>
    <t xml:space="preserve">About page: run by husband and wife Daniel and Tamara Herskovic. The Org (updated 2026-09-28) lists him as CEO since 2008.</t>
  </si>
  <si>
    <t xml:space="preserve">Tamara Herskovic</t>
  </si>
  <si>
    <t xml:space="preserve">WI</t>
  </si>
  <si>
    <t xml:space="preserve">Wrapped candy bars sold ambient at Whole Foods; shelf-life figure not published</t>
  </si>
  <si>
    <t xml:space="preserve">Chelsea Market Baskets (brand_claim, 11.4 blocks out)</t>
  </si>
  <si>
    <t xml:space="preserve">Whole Foods; Chelsea Market Baskets (brand Storepoint locator)</t>
  </si>
  <si>
    <t xml:space="preserve">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</si>
  <si>
    <t xml:space="preserve">https://www.instagram.com/eatmayana/</t>
  </si>
  <si>
    <t xml:space="preserve">BR2:24</t>
  </si>
  <si>
    <t xml:space="preserve">Not a New York brand but stocked at all three cluster Whole Foods. Why-now dates from Shopify publish dates.</t>
  </si>
  <si>
    <t xml:space="preserve">why_now_url &lt;- https://www.mayanachocolate.com/products/copy-of-kitchen-sink-mini-bar-10-count (2026-10-24, stage 3 correction); </t>
  </si>
  <si>
    <t xml:space="preserve">AB-222</t>
  </si>
  <si>
    <t xml:space="preserve">Shinzo Matcha</t>
  </si>
  <si>
    <t xml:space="preserve">Launched sparkling matcha soda in 8.4 oz cans at 30+ NYC specialty grocers; 2026 Shelfie Award finalist (Tea)</t>
  </si>
  <si>
    <t xml:space="preserve">https://startupcpg.com/startup-cpg-newswire-shinzo-matcha-launches-sparkling-matcha-soda/</t>
  </si>
  <si>
    <t xml:space="preserve">https://shinzomatcha.com/pages/for-work</t>
  </si>
  <si>
    <t xml:space="preserve">Yuzu Mint Sparkling Matcha, 8.4 oz can (also Coconut Mango); matcha latte stick packs</t>
  </si>
  <si>
    <t xml:space="preserve">tea-juice</t>
  </si>
  <si>
    <t xml:space="preserve">New York (privacy policy: 169 Madison Ave, Ste 38135, New York, NY 10016, a mailbox-style suite; release: 'a New York-based beverage brand')</t>
  </si>
  <si>
    <t xml:space="preserve">https://shinzomatcha.com</t>
  </si>
  <si>
    <t xml:space="preserve">Caffeinated matcha with energy positioning ('smooth, steady energy', 'delicious and healthy'); sparkling RTD launched April 2026, shelf life not stated | Claims review 2026-10-24: a 'learn' hub with articles 'Matcha and Gut Health', 'Matcha for Focus', 'Matcha and Stress', 'Matcha for Sleep' (https://shinzomatcha.com/pages/learn); decide before outreach, and the tent card must not repeat it; 60-day shelf life not stated</t>
  </si>
  <si>
    <t xml:space="preserve">Zach</t>
  </si>
  <si>
    <t xml:space="preserve">Hayworth</t>
  </si>
  <si>
    <t xml:space="preserve">find Zach Hayworth at Shinzo Matcha on LinkedIn and paste the profile URL into primary_linkedin_url</t>
  </si>
  <si>
    <t xml:space="preserve">New York City brand, no graded store within ten blocks, online store only, news 176 days ago, revenue unknown</t>
  </si>
  <si>
    <t xml:space="preserve">Zach Hayworth</t>
  </si>
  <si>
    <t xml:space="preserve">Release quotes "co-founder Zach Hayworth". One web search found no other co-founder.</t>
  </si>
  <si>
    <t xml:space="preserve">Canned RTD sold in beverage aisle per release; storage and shelf life not stated, founder to confirm</t>
  </si>
  <si>
    <t xml:space="preserve">Westside Market (NYC; specific location not stated) (unverified, unplaced)</t>
  </si>
  <si>
    <t xml:space="preserve">30+ NYC specialty grocers incl. Westside Market, Gourmet Fresh, Dumbo Market (release); online</t>
  </si>
  <si>
    <t xml:space="preserve">BR4:17</t>
  </si>
  <si>
    <t xml:space="preserve">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</si>
  <si>
    <t xml:space="preserve">hq_city &lt;- https://shinzomatcha.com/policies/privacy-policy (2026-10-24, opened); founder_review_reason &lt;- https://shinzomatcha.com/pages/learn (2026-10-24, stage 3 correction); </t>
  </si>
  <si>
    <t xml:space="preserve">AB-278</t>
  </si>
  <si>
    <t xml:space="preserve">Doosra</t>
  </si>
  <si>
    <t xml:space="preserve">Launched The Gift Box (bowl, spoon and 4 oz bags of each flavor) for the 2026 holidays</t>
  </si>
  <si>
    <t xml:space="preserve">https://eatdoosra.com/products.json</t>
  </si>
  <si>
    <t xml:space="preserve">2026-10-16</t>
  </si>
  <si>
    <t xml:space="preserve">https://www.entrepreneurspace.org/clients</t>
  </si>
  <si>
    <t xml:space="preserve">Doosra Peanut &amp; Caramelized White Chocolate Indian snack mix, 4 oz bag</t>
  </si>
  <si>
    <t xml:space="preserve">Queens</t>
  </si>
  <si>
    <t xml:space="preserve">https://eatdoosra.com</t>
  </si>
  <si>
    <t xml:space="preserve">Kartik</t>
  </si>
  <si>
    <t xml:space="preserve">Das</t>
  </si>
  <si>
    <t xml:space="preserve">https://www.linkedin.com/in/daskartik/</t>
  </si>
  <si>
    <t xml:space="preserve">https://eatdoosra.com/pages/about</t>
  </si>
  <si>
    <t xml:space="preserve">open the LinkedIn URL and confirm it is Kartik Das, Founder at Doosra (found on another page, never opened)</t>
  </si>
  <si>
    <t xml:space="preserve">New York City brand, no graded store within ten blocks, online store only, a new store listing 8 days ago, revenue unknown</t>
  </si>
  <si>
    <t xml:space="preserve">Kartik Das</t>
  </si>
  <si>
    <t xml:space="preserve">About page signed Kartik Das. LinkedIn URL from the Startup CPG podcast "Founder Feature: Kartik Das of Doosra" episode links (2026-02-06, public feed); LinkedIn not opened.</t>
  </si>
  <si>
    <t xml:space="preserve">Dry snack mix in sealed bags sold online and in groceries; shelf life not stated</t>
  </si>
  <si>
    <t xml:space="preserve">Pearl River Mart Foods (unverified, 13.2 blocks out)</t>
  </si>
  <si>
    <t xml:space="preserve">Pearl River Mart Foods (Chelsea Market); Pearl River Mart (452 Broadway); Fonty's; Desi Galli; Happier Grocery; Jubilee Marketplace; Food Cellar Market; The Goods Mart (brand Stockist locator)</t>
  </si>
  <si>
    <t xml:space="preserve">https://stockist.co/api/v1/u18827/locations/search?latitude=40.7411&amp;longitude=-73.9897&amp;distance=5 (widget on https://eatdoosra.com/pages/store-locator)</t>
  </si>
  <si>
    <t xml:space="preserve">https://www.instagram.com/eatdoosra/</t>
  </si>
  <si>
    <t xml:space="preserve">BR5:14</t>
  </si>
  <si>
    <t xml:space="preserve">Entrepreneur Space (QEDC, Long Island City) current client: 'Doosra, Indian Snack Mix'. About page: 'proudly made in Queens, New York in small batches'. Startup CPG search returned only a 2024 Shelfie finalist post, which is older than 12 months, so startup_cpg_member stays unknown.</t>
  </si>
  <si>
    <t xml:space="preserve">AB-174</t>
  </si>
  <si>
    <t xml:space="preserve">OOSO Sparkling Tea</t>
  </si>
  <si>
    <t xml:space="preserve">New flavors added: Chamomile Peach Yuzu (2026-06-01) and Mint Limeade, Hibiscus Raspberry, Earl Grey Lemonade (2026-09-17)</t>
  </si>
  <si>
    <t xml:space="preserve">https://drinkooso.com/products.json</t>
  </si>
  <si>
    <t xml:space="preserve">https://drinkooso.com/pages/faqs</t>
  </si>
  <si>
    <t xml:space="preserve">OOSO Hibiscus Ginger Currant caffeine-free sparkling tea, can</t>
  </si>
  <si>
    <t xml:space="preserve">https://drinkooso.com</t>
  </si>
  <si>
    <t xml:space="preserve">Startup CPG describes 'functional ingredients' (no claim seen on pages read; check label); positioned as a wine alternative. HQ and NYC store not confirmed | Claims review 2026-10-24: L-Theanine listed as a feature ('Organic Teas Essential Vitamins L-Theanine'); no claim seen (https://drinkooso.com); decide before outreach, and the tent card must not repeat it</t>
  </si>
  <si>
    <t xml:space="preserve">Oliver</t>
  </si>
  <si>
    <t xml:space="preserve">Spring</t>
  </si>
  <si>
    <t xml:space="preserve">CEO and Co-founder</t>
  </si>
  <si>
    <t xml:space="preserve">https://www.linkedin.com/in/oliverhspring/</t>
  </si>
  <si>
    <t xml:space="preserve">https://theorg.com/org/ooso-sparkling-tea/person/oliver-spring</t>
  </si>
  <si>
    <t xml:space="preserve">open the LinkedIn URL and confirm it is Oliver Spring, CEO and Co-founder at OOSO Sparkling Tea (found on another page, never opened)</t>
  </si>
  <si>
    <t xml:space="preserve">Racciatti</t>
  </si>
  <si>
    <t xml:space="preserve">Co-founder (leads marketing)</t>
  </si>
  <si>
    <t xml:space="preserve">https://www.linkedin.com/in/sophiaracciatti/</t>
  </si>
  <si>
    <t xml:space="preserve">https://drinkooso.com/pages/the-team</t>
  </si>
  <si>
    <t xml:space="preserve">open the LinkedIn URL and confirm it is Sophia Racciatti, Co-founder (leads marketing) at OOSO Sparkling Tea (found on another page, never opened)</t>
  </si>
  <si>
    <t xml:space="preserve">New York City brand, no graded store within ten blocks, online store only, a new store listing 37 days ago, revenue unknown</t>
  </si>
  <si>
    <t xml:space="preserve">Oliver Spring</t>
  </si>
  <si>
    <t xml:space="preserve">2026-10-14</t>
  </si>
  <si>
    <t xml:space="preserve">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</si>
  <si>
    <t xml:space="preserve">Sophia Racciatti</t>
  </si>
  <si>
    <t xml:space="preserve">Team page: co-founder who has "masterminded everything from how to market OOSO". The podcast episode title calls her Sophie Spring; she may use either surname. LinkedIn URL from the same episode links; not opened.</t>
  </si>
  <si>
    <t xml:space="preserve">FAQ: 'OOSO is shelf stable and lasts 18 months after production when stored in a cool, dry environment' (drinkooso.com/pages/faqs, opened 2026-10-23)</t>
  </si>
  <si>
    <t xml:space="preserve">Pop Up Grocer (directory); 'bars, restaurants, and retailers all across the country' (FAQ); stockist page not readable</t>
  </si>
  <si>
    <t xml:space="preserve">https://drinkooso.com/pages/ooso-irl</t>
  </si>
  <si>
    <t xml:space="preserve">https://startupcpg.com/shelfie-awards-2025-meet-the-winners/</t>
  </si>
  <si>
    <t xml:space="preserve">https://www.instagram.com/drinkooso</t>
  </si>
  <si>
    <t xml:space="preserve">BR3:48</t>
  </si>
  <si>
    <t xml:space="preserve">2025 Startup CPG Shelfie winner, Non-Alcoholic (page dated 2025-09-03). Caffeine-free and sweetened only with organic honey (FAQ). Dates are Shopify publish dates.</t>
  </si>
  <si>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founder_review_reason &lt;- https://drinkooso.com (2026-10-24, stage 3 correction); </t>
  </si>
  <si>
    <t xml:space="preserve">AB-173</t>
  </si>
  <si>
    <t xml:space="preserve">JONI</t>
  </si>
  <si>
    <t xml:space="preserve">2026 Startup CPG Shelfie Award finalist, Non-Alcoholic category; new Discovery Pack listed 2026-05-05</t>
  </si>
  <si>
    <t xml:space="preserve">https://drinkjoni.com/pages/our-story</t>
  </si>
  <si>
    <t xml:space="preserve">JONI Blanc verjus drink (non-alcoholic), can</t>
  </si>
  <si>
    <t xml:space="preserve">other-drink</t>
  </si>
  <si>
    <t xml:space="preserve">https://drinkjoni.com</t>
  </si>
  <si>
    <t xml:space="preserve">Wine-adjacent product (verjus from pre-harvest wine grapes) sold mostly in wine and bottle shops; confirm 0.0% ABV and label. HQ not found; 60-day shelf life not stated</t>
  </si>
  <si>
    <t xml:space="preserve">Claire</t>
  </si>
  <si>
    <t xml:space="preserve">Matern</t>
  </si>
  <si>
    <t xml:space="preserve">https://andreastrong.substack.com/p/please-meet-joni</t>
  </si>
  <si>
    <t xml:space="preserve">find Claire Matern at JONI on LinkedIn and paste the profile URL into primary_linkedin_url</t>
  </si>
  <si>
    <t xml:space="preserve">; founder review: alcohol-adjacent</t>
  </si>
  <si>
    <t xml:space="preserve">Claire Matern</t>
  </si>
  <si>
    <t xml:space="preserve">The Strong Buzz newsletter: "Joni was launched in January by Claire Matern".</t>
  </si>
  <si>
    <t xml:space="preserve">alcohol-adjacent</t>
  </si>
  <si>
    <t xml:space="preserve">No storage statement found</t>
  </si>
  <si>
    <t xml:space="preserve">Big Night West Village (brand_claim, 13.1 blocks out)</t>
  </si>
  <si>
    <t xml:space="preserve">Big Night (Greenpoint, West Village); Beer Table Grand Central; Willoughby General; Minus Moonshine; Vinal General Store (brand closeBy locator)</t>
  </si>
  <si>
    <t xml:space="preserve">https://drinkjoni.com/pages/find-joni</t>
  </si>
  <si>
    <t xml:space="preserve">BR3:47</t>
  </si>
  <si>
    <t xml:space="preserve">Locator text read 2026-10-23; only one Manhattan point between 4th and 40th St (Beer Table is at Grand Central, 42nd St, outside the band).</t>
  </si>
  <si>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</si>
  <si>
    <t xml:space="preserve">AB-217</t>
  </si>
  <si>
    <t xml:space="preserve">UMAMI GRANOLA</t>
  </si>
  <si>
    <t xml:space="preserve">Retail debut at Pearl River Mart Foods in Chelsea Market, NYC</t>
  </si>
  <si>
    <t xml:space="preserve">https://startupcpg.com/startup-cpg-newswire-umami-granola-makes-its-retail-debut/</t>
  </si>
  <si>
    <t xml:space="preserve">2026-08-20</t>
  </si>
  <si>
    <t xml:space="preserve">Dau-Si-Do dim sum granola, 8 oz pouch</t>
  </si>
  <si>
    <t xml:space="preserve">Brooklyn (privacy policy: 999 Atlantic Avenue, Brooklyn NY 11238)</t>
  </si>
  <si>
    <t xml:space="preserve">https://umamigranola.com</t>
  </si>
  <si>
    <t xml:space="preserve">8 oz pouches, not single-serve; first-year brand may be below the $500k floor (no sales figure); granola is snack-adjacent</t>
  </si>
  <si>
    <t xml:space="preserve">Cindy</t>
  </si>
  <si>
    <t xml:space="preserve">Lam</t>
  </si>
  <si>
    <t xml:space="preserve">find Cindy Lam at UMAMI GRANOLA on LinkedIn and paste the profile URL into primary_linkedin_url</t>
  </si>
  <si>
    <t xml:space="preserve">New York City brand, no graded store within ten blocks, online store only, news 65 days ago, revenue unknown</t>
  </si>
  <si>
    <t xml:space="preserve">; founder review: under-floor, format</t>
  </si>
  <si>
    <t xml:space="preserve">Cindy Lam</t>
  </si>
  <si>
    <t xml:space="preserve">Release (2026-08-20): "Cindy Lam, Founder of UMAMI GRANOLA".</t>
  </si>
  <si>
    <t xml:space="preserve">under-floor;format</t>
  </si>
  <si>
    <t xml:space="preserve">Granola in pouches sold ambient; no shelf-life figure published, founder to confirm</t>
  </si>
  <si>
    <t xml:space="preserve">No sales figure published. Launched DTC May 2026, first retail Aug 2026 (Startup CPG 2026-08-20): early stage, band founder to confirm</t>
  </si>
  <si>
    <t xml:space="preserve">Pearl River Mart Foods (brand_claim, 11.4 blocks out)</t>
  </si>
  <si>
    <t xml:space="preserve">Pearl River Mart Foods (Chelsea Market); Here Here Market; online</t>
  </si>
  <si>
    <t xml:space="preserve">BR4:12</t>
  </si>
  <si>
    <t xml:space="preserve">AAPI-founded, woman-owned, Brooklyn-made (release). revenue_band 'under-500k' rests on launch timing only (DTC May 2026); treat as founder to confirm. Chelsea Market is at 15th St and 9th Ave, inside the 4th-40th St band.</t>
  </si>
  <si>
    <t xml:space="preserve">hq_city &lt;- https://umamigranola.com/policies/privacy-policy (2026-10-24, opened); </t>
  </si>
  <si>
    <t xml:space="preserve">AB-129</t>
  </si>
  <si>
    <t xml:space="preserve">Wandering Bear Coffee</t>
  </si>
  <si>
    <t xml:space="preserve">Went national at Target with four 8 oz canned single-serves, a couple of months after a first three-SKU placement</t>
  </si>
  <si>
    <t xml:space="preserve">https://beerinsights.com/archive-article/60627</t>
  </si>
  <si>
    <t xml:space="preserve">https://wanderingbearcoffee.com/pages/about</t>
  </si>
  <si>
    <t xml:space="preserve">Original Black Cold Brew, 8 fl oz can; Cold Brew Latte 8 oz cans (Vanilla, Mocha, Double)</t>
  </si>
  <si>
    <t xml:space="preserve">https://wanderingbearcoffee.com/collections/single-serve</t>
  </si>
  <si>
    <t xml:space="preserve">Cold Brew Latte marketed on '11g of complete protein per can' (nutrient-content claim). Brand is 12 years old with national Target and Whole Foods; may be above $10M (no sourced figure). Target store-level stock near cluster not checkable</t>
  </si>
  <si>
    <t xml:space="preserve">Matt</t>
  </si>
  <si>
    <t xml:space="preserve">Bachmann</t>
  </si>
  <si>
    <t xml:space="preserve">https://thechangeup.buzzsprout.com/1789177/15420044</t>
  </si>
  <si>
    <t xml:space="preserve">find Matt Bachmann at Wandering Bear Coffee on LinkedIn and paste the profile URL into primary_linkedin_url</t>
  </si>
  <si>
    <t xml:space="preserve">Madriz</t>
  </si>
  <si>
    <t xml:space="preserve">VP, Brand Marketing</t>
  </si>
  <si>
    <t xml:space="preserve">https://theorg.com/org/wandering-bear-coffee</t>
  </si>
  <si>
    <t xml:space="preserve">find Ana Madriz at Wandering Bear Coffee on LinkedIn and paste the profile URL into backup_linkedin_url (this also confirms the name: The Org is crowd-edited and marks it Unverified)</t>
  </si>
  <si>
    <t xml:space="preserve">New York City brand, no graded store within ten blocks, online store only, news 74 days ago, revenue unknown</t>
  </si>
  <si>
    <t xml:space="preserve">; founder review: scale, not-emerging, nutrient-claim</t>
  </si>
  <si>
    <t xml:space="preserve">Matt Bachmann</t>
  </si>
  <si>
    <t xml:space="preserve">Stage 3 (entered the top 60). The Changeup podcast episode page (opened 2026-10-24): 'Matt Bachmann, CEO &amp; Co-Founder of Wandering Bear Coffee'. The brand's About page (opened) names the founders only as 'Matt and Ben'. The Org (https://theorg.com/org/wandering-bear-coffee, opened) lists him too.</t>
  </si>
  <si>
    <t xml:space="preserve">Ana Madriz</t>
  </si>
  <si>
    <t xml:space="preserve">2026-06-26</t>
  </si>
  <si>
    <t xml:space="preserve">The Org org chart (opened 2026-10-24): Brand Marketing team; position updated 2026-06-26.</t>
  </si>
  <si>
    <t xml:space="preserve">stage 3</t>
  </si>
  <si>
    <t xml:space="preserve">scale;not-emerging;nutrient-claim</t>
  </si>
  <si>
    <t xml:space="preserve">https://wanderingbearcoffee.com</t>
  </si>
  <si>
    <t xml:space="preserve">Series A ($8M, 2018)</t>
  </si>
  <si>
    <t xml:space="preserve">https://www.foodnavigator.com/Article/2018/02/08/Wandering-Bear-aims-to-push-cold-brew-category-in-positive-direction-with-8M-in-series-A-funds/</t>
  </si>
  <si>
    <t xml:space="preserve">Target product page for 8 fl oz can: 'Shelf-stable before opening' (opened 2026-10-23). Note the boxes and cartons are positioned for the fridge; only the 8 oz cans and 11 oz single-serve cartons fit</t>
  </si>
  <si>
    <t xml:space="preserve">No press revenue figure found. Data aggregator Prospeo lists about 19M annual revenue (estimate, not company-reported; unverified, founder to confirm). BevNET 2020 snippet: the office channel had been roughly 50-60% of revenue before the pandemic</t>
  </si>
  <si>
    <t xml:space="preserve">Target (national, 8 oz cans, 2026); Whole Foods (Cold Brew Latte launched as Whole Foods exclusive 2025); Costco; Kings (2018 press)</t>
  </si>
  <si>
    <t xml:space="preserve">https://beerinsights.com/archive-article/60627; https://www.target.com/p/wandering-bear-coffee-original-black-cold-brew-8-fl-oz/-/A-95095911</t>
  </si>
  <si>
    <t xml:space="preserve">BR3:3</t>
  </si>
  <si>
    <t xml:space="preserve">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</si>
  <si>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</si>
  <si>
    <t xml:space="preserve">AB-086</t>
  </si>
  <si>
    <t xml:space="preserve">Joyride</t>
  </si>
  <si>
    <t xml:space="preserve">Limited-edition Halloween flavors and two 30-count trick-or-treat variety packs (individually wrapped) available at Target</t>
  </si>
  <si>
    <t xml:space="preserve">https://www.snackandbakery.com/articles/116352-joyride-gives-halloween-a-bfy-glow-up</t>
  </si>
  <si>
    <t xml:space="preserve">https://www.joyridesweets.com/pages/joyride-story</t>
  </si>
  <si>
    <t xml:space="preserve">Sour Strawberries Gummies 3.5 oz; Fruit Zips Chewy Candy 3.5 oz</t>
  </si>
  <si>
    <t xml:space="preserve">https://www.joyridesweets.com</t>
  </si>
  <si>
    <t xml:space="preserve">'Less sugar' allulose-sweetened 'better-for-you' candy (nutrient-content positioning); creator-backed brand (YouTuber co-founder) may be above size band; single-serve pack not shown on the pages read: ask on the first call; 60-day shelf life not stated</t>
  </si>
  <si>
    <t xml:space="preserve">https://www.wholefoodsmarket.com/api/search?text=joyride&amp;store=10773&amp;limit=60&amp;offset=0</t>
  </si>
  <si>
    <t xml:space="preserve">Tyler</t>
  </si>
  <si>
    <t xml:space="preserve">Merrick</t>
  </si>
  <si>
    <t xml:space="preserve">find Tyler Merrick at Joyride on LinkedIn and paste the profile URL into primary_linkedin_url; use the Whole Foods Market NoMad line only if retailer_checked_date is this week's Friday check</t>
  </si>
  <si>
    <t xml:space="preserve">Ryan</t>
  </si>
  <si>
    <t xml:space="preserve">Trahan</t>
  </si>
  <si>
    <t xml:space="preserve">Chief Creative Officer and co-owner</t>
  </si>
  <si>
    <t xml:space="preserve">https://www.snackandbakery.com/articles/115858-joyride-launches-consumer-powered-50-states-challenge</t>
  </si>
  <si>
    <t xml:space="preserve">find Ryan Trahan at Joyride on LinkedIn and paste the profile URL into backup_linkedin_url; use the Whole Foods Market NoMad line only if retailer_checked_date is this week's Friday check</t>
  </si>
  <si>
    <t xml:space="preserve">Brand based outside the Northeast, store page shows Whole Foods Market NoMad inside the cluster, news 36 days ago, revenue unknown</t>
  </si>
  <si>
    <t xml:space="preserve">; founder review: scale, nutrient-claim, format-unconfirmed</t>
  </si>
  <si>
    <t xml:space="preserve">Tyler Merrick</t>
  </si>
  <si>
    <t xml:space="preserve">Brand story page.</t>
  </si>
  <si>
    <t xml:space="preserve">Ryan Trahan</t>
  </si>
  <si>
    <t xml:space="preserve">Candy Industry 2026-06-11: "chief creative officer and co-owner Ryan Trahan". He is a large YouTube creator; expect a gatekept inbox.</t>
  </si>
  <si>
    <t xml:space="preserve">scale;nutrient-claim;format-unconfirmed</t>
  </si>
  <si>
    <t xml:space="preserve">Packaged gummy candy sold ambient at Whole Foods; shelf-life figure not published</t>
  </si>
  <si>
    <t xml:space="preserve">https://www.wholefoodsmarket.com/api/search?text=joyride&amp;store=10162&amp;limit=60&amp;offset=0; https://www.wholefoodsmarket.com/api/search?text=joyride&amp;store=10773&amp;limit=60&amp;offset=0; https://www.wholefoodsmarket.com/api/search?text=joyride&amp;store=10131&amp;limit=60&amp;offset=0</t>
  </si>
  <si>
    <t xml:space="preserve">https://www.instagram.com/JoyrideSweets/</t>
  </si>
  <si>
    <t xml:space="preserve">BR2:23</t>
  </si>
  <si>
    <t xml:space="preserve">Founded 2022. Locator page has no machine-readable store list. Why-now date from Shopify publish date.</t>
  </si>
  <si>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</si>
  <si>
    <t xml:space="preserve">AB-286</t>
  </si>
  <si>
    <t xml:space="preserve">Vermont Nut Free Chocolates</t>
  </si>
  <si>
    <t xml:space="preserve">Launched Snack Packs (chocolate covered pretzels, Skipper, trail mix) in September 2026</t>
  </si>
  <si>
    <t xml:space="preserve">https://www.vermontnutfree.com/products.json</t>
  </si>
  <si>
    <t xml:space="preserve">https://events.specialtyfood.com/event/2026-summer-fancy-food-show/exhibitor/RXhoaWJpdG9yXzI0MjMzMzU=</t>
  </si>
  <si>
    <t xml:space="preserve">Chocolate Covered Pretzel Snack Packs; Skipper Snack Packs</t>
  </si>
  <si>
    <t xml:space="preserve">South Hero</t>
  </si>
  <si>
    <t xml:space="preserve">https://www.vermontnutfree.com</t>
  </si>
  <si>
    <t xml:space="preserve">Founded 1998, so established rather than emerging; revenue unknown. WFM lists 5 oz pretzel bags; the snack-pack SKU was seen only on the brand site. Chocolate in warm months</t>
  </si>
  <si>
    <t xml:space="preserve">https://www.wholefoodsmarket.com/api/search?text=vermont</t>
  </si>
  <si>
    <t xml:space="preserve">Elvidge</t>
  </si>
  <si>
    <t xml:space="preserve">https://www.vermontnutfree.com/pages/about-us</t>
  </si>
  <si>
    <t xml:space="preserve">find Mark Elvidge at Vermont Nut Free Chocolates on LinkedIn and paste the profile URL into primary_linkedin_url; use the Whole Foods Market Union Square line only if retailer_checked_date is this week's Friday check</t>
  </si>
  <si>
    <t xml:space="preserve">Gail</t>
  </si>
  <si>
    <t xml:space="preserve">find Gail Elvidge at Vermont Nut Free Chocolates on LinkedIn and paste the profile URL into backup_linkedin_url; use the Whole Foods Market Union Square line only if retailer_checked_date is this week's Friday check</t>
  </si>
  <si>
    <t xml:space="preserve">Northeast brand, store page shows Whole Foods Market Union Square inside the cluster, a new store listing 43 days ago, revenue unknown</t>
  </si>
  <si>
    <t xml:space="preserve">; founder review: not-emerging</t>
  </si>
  <si>
    <t xml:space="preserve">Mark Elvidge</t>
  </si>
  <si>
    <t xml:space="preserve">Stage 3 (entered the top 60 after the health-claim scan removed five brands). The brand's About Us page (opened 2026-10-24): 'Vermont Nut Free Chocolate's founders Mark and Gail Elvidge'. Stage 1 had read him as first name only.</t>
  </si>
  <si>
    <t xml:space="preserve">Gail Elvidge</t>
  </si>
  <si>
    <t xml:space="preserve">Same About Us page (opened 2026-10-24).</t>
  </si>
  <si>
    <t xml:space="preserve">not-emerging</t>
  </si>
  <si>
    <t xml:space="preserve">VT</t>
  </si>
  <si>
    <t xml:space="preserve">Wrapped chocolates and snack packs sold ambient online and at WFM; made in a dedicated peanut and tree nut free facility</t>
  </si>
  <si>
    <t xml:space="preserve">Whole Foods Market Union Square, 4 Union Sq S (store_selector, inside);Whole Foods Market Chelsea, 250 7th Ave (store_selector, 3.0 blocks out)</t>
  </si>
  <si>
    <t xml:space="preserve">Whole Foods Market; online</t>
  </si>
  <si>
    <t xml:space="preserve">https://www.wholefoodsmarket.com/api/search?text=vermont nut free&amp;store=10162 / 10131 / 10713; not listed at NoMad 10773 (store-scoped catalog search; Union Square 10162, NoMad 10773, Chelsea 10131, Manhattan West 10713; opened 2026-10-24)</t>
  </si>
  <si>
    <t xml:space="preserve">https://www.instagram.com/vermontnutfree/</t>
  </si>
  <si>
    <t xml:space="preserve">BR5:22</t>
  </si>
  <si>
    <t xml:space="preserve">Nut-free production is a strong office-pantry angle (allergen-safe). SFFS 2026 exhibitor (State: Vermont; brands Vermont Nut Free, Sun Blossoms, TANABAR). About page: moved from the founders' home to a facility in South Hero, Vermont.</t>
  </si>
  <si>
    <t xml:space="preserve">AB-088</t>
  </si>
  <si>
    <t xml:space="preserve">Jonesbar</t>
  </si>
  <si>
    <t xml:space="preserve">https://jonesbar.com/pages/our-story-2</t>
  </si>
  <si>
    <t xml:space="preserve">Organic Dark Chocolate Almond Bar 1.7 oz; Organic PB &amp; J Bar</t>
  </si>
  <si>
    <t xml:space="preserve">Wall Township</t>
  </si>
  <si>
    <t xml:space="preserve">https://jonesbar.com</t>
  </si>
  <si>
    <t xml:space="preserve">https://www.wholefoodsmarket.com/api/search?text=jonesbar&amp;store=10773&amp;limit=60&amp;offset=0</t>
  </si>
  <si>
    <t xml:space="preserve">find Taylor Jones at Jonesbar on LinkedIn and paste the profile URL into primary_linkedin_url; use the Whole Foods Market NoMad line only if retailer_checked_date is this week's Friday check</t>
  </si>
  <si>
    <t xml:space="preserve">Northeast brand, store page shows Whole Foods Market NoMad inside the cluster, no dated why-now in the last 12 months, revenue unknown</t>
  </si>
  <si>
    <t xml:space="preserve">Taylor Jones</t>
  </si>
  <si>
    <t xml:space="preserve">Our Story page: "taylor jones - founder/ceo".</t>
  </si>
  <si>
    <t xml:space="preserve">Single wrapped fruit-and-nut bars sold ambient at Whole Foods; shelf-life figure not found</t>
  </si>
  <si>
    <t xml:space="preserve">Whole Foods; Wawa (store-finder links Wawa locator)</t>
  </si>
  <si>
    <t xml:space="preserve">https://www.wholefoodsmarket.com/api/search?text=jonesbar&amp;store=10162&amp;limit=60&amp;offset=0; https://www.wholefoodsmarket.com/api/search?text=jonesbar&amp;store=10773&amp;limit=60&amp;offset=0; https://www.wholefoodsmarket.com/api/search?text=jonesbar&amp;store=10131&amp;limit=60&amp;offset=0</t>
  </si>
  <si>
    <t xml:space="preserve">https://www.instagram.com/jonesbars/</t>
  </si>
  <si>
    <t xml:space="preserve">BR2:25</t>
  </si>
  <si>
    <t xml:space="preserve">Certified organic, OU kosher; three bars paleo per FAQ. Northeast (NJ shore) founder. No dated signal found.</t>
  </si>
  <si>
    <t xml:space="preserve">hq_city &lt;- https://jonesbar.com/pages/contact (2026-10-24, opened); </t>
  </si>
  <si>
    <t xml:space="preserve">AB-144</t>
  </si>
  <si>
    <t xml:space="preserve">Joe Coffee Company</t>
  </si>
  <si>
    <t xml:space="preserve">Founder Jonathan Rubinstein stepped down as CEO and moved to a new leadership role; successor is a long-serving employee (name behind paywall); 24 outlets across New York incl. Union Square</t>
  </si>
  <si>
    <t xml:space="preserve">https://worldcoffeeportal.com/news/new-ceo-for-new-yorks-joe-coffee/</t>
  </si>
  <si>
    <t xml:space="preserve">2026-04-30</t>
  </si>
  <si>
    <t xml:space="preserve">https://joecoffeecompany.com/pages/locations</t>
  </si>
  <si>
    <t xml:space="preserve">Joe Coffee Cold Brew cans (Great Heights single origin), 12-pack</t>
  </si>
  <si>
    <t xml:space="preserve">https://joecoffeecompany.com/products/cold-brew</t>
  </si>
  <si>
    <t xml:space="preserve">Cafe group, not a pure CPG brand; cold brew cans showed 'Sold out' (2026-10-23); shelf stability not stated. Already runs corporate catering, so may see the office drop as overlap; 60-day shelf life not stated</t>
  </si>
  <si>
    <t xml:space="preserve">Jonathan</t>
  </si>
  <si>
    <t xml:space="preserve">Rubinstein</t>
  </si>
  <si>
    <t xml:space="preserve">https://theorg.com/org/joe-coffee-company/person/jonathan-rubinstein</t>
  </si>
  <si>
    <t xml:space="preserve">find Jonathan Rubinstein at Joe Coffee Company on LinkedIn and paste the profile URL into primary_linkedin_url (this also confirms the name: The Org is crowd-edited and marks it Unverified); the source is dated 2024-11-10: check Jonathan still holds the role</t>
  </si>
  <si>
    <t xml:space="preserve">Ned</t>
  </si>
  <si>
    <t xml:space="preserve">Semoff</t>
  </si>
  <si>
    <t xml:space="preserve">VP of Brand</t>
  </si>
  <si>
    <t xml:space="preserve">https://theorg.com/org/joe-coffee-company/person/ned-semoff</t>
  </si>
  <si>
    <t xml:space="preserve">find Ned Semoff at Joe Coffee Company on LinkedIn and paste the profile URL into backup_linkedin_url (this also confirms the name: The Org is crowd-edited and marks it Unverified)</t>
  </si>
  <si>
    <t xml:space="preserve">New York City brand, no graded store within ten blocks, online store only, news 177 days ago, revenue unknown</t>
  </si>
  <si>
    <t xml:space="preserve">; founder review: not-emerging, dormant</t>
  </si>
  <si>
    <t xml:space="preserve">Jonathan Rubinstein</t>
  </si>
  <si>
    <t xml:space="preserve">2024-11-10</t>
  </si>
  <si>
    <t xml:space="preserve">The Org position page (opened 2026-10-24, updated 2024-11-10) still says 'Founder and CEO', but World Coffee Portal (https://worldcoffeeportal.com/news/new-ceo-for-new-yorks-joe-coffee/, opened 2026-10-24) reports he stepped into a new leadership role and a long-serving employee became CEO (spot check round 10), so the title is Founder. The brand's About page answered 429 on 2026-10-24. Ask who holds the marketing budget now.</t>
  </si>
  <si>
    <t xml:space="preserve">Ned Semoff</t>
  </si>
  <si>
    <t xml:space="preserve">2026-02-07</t>
  </si>
  <si>
    <t xml:space="preserve">The Org position page (opened 2026-10-24, updated 2026-02-07), New York HQ; crowd-edited: confirm on LinkedIn.</t>
  </si>
  <si>
    <t xml:space="preserve">not-emerging;dormant</t>
  </si>
  <si>
    <t xml:space="preserve">https://joecoffeecompany.com</t>
  </si>
  <si>
    <t xml:space="preserve">No storage statement on the cold brew product page; founder to confirm</t>
  </si>
  <si>
    <t xml:space="preserve">Joe Coffee Flatiron (unverified, unplaced);Joe Coffee Union Square West (unverified, unplaced);Joe Pro Shop (unverified, unplaced)</t>
  </si>
  <si>
    <t xml:space="preserve">Own cafes incl. Flatiron, 13th Street, Union Square West, Pro Shop W 21st St, Chelsea, Bryant Park, Grand Central</t>
  </si>
  <si>
    <t xml:space="preserve">https://www.instagram.com/joecoffeecompany</t>
  </si>
  <si>
    <t xml:space="preserve">BR3:18</t>
  </si>
  <si>
    <t xml:space="preserve">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</si>
  <si>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</si>
  <si>
    <t xml:space="preserve">AB-083</t>
  </si>
  <si>
    <t xml:space="preserve">Goodie Girl</t>
  </si>
  <si>
    <t xml:space="preserve">Launched Breakfast Bars (May 2026) and Snack Mix 3-packs (Sept 2026) on brand store</t>
  </si>
  <si>
    <t xml:space="preserve">https://goodiegirl.com/products/blueberry-breakfast-bar</t>
  </si>
  <si>
    <t xml:space="preserve">2026-05-14</t>
  </si>
  <si>
    <t xml:space="preserve">https://goodiegirl.com/pages/our-story</t>
  </si>
  <si>
    <t xml:space="preserve">Mini Chocolate Chip Cookies Snack Pack 0.75 oz; Magical Animal Crackers Snack Packs</t>
  </si>
  <si>
    <t xml:space="preserve">Ridgefield (search snippet: founder mostly works out of Toufayan Bakeries' corporate offices in Ridgefield NJ; unverified, founder to confirm)</t>
  </si>
  <si>
    <t xml:space="preserve">https://goodiegirl.com</t>
  </si>
  <si>
    <t xml:space="preserve">Kids snack-pack angle (animal crackers); 'thousands of retailers' may put it above the size band</t>
  </si>
  <si>
    <t xml:space="preserve">https://www.wholefoodsmarket.com/api/search?text=goodie%20girl&amp;store=10773&amp;limit=60&amp;offset=0</t>
  </si>
  <si>
    <t xml:space="preserve">Shira</t>
  </si>
  <si>
    <t xml:space="preserve">Berk</t>
  </si>
  <si>
    <t xml:space="preserve">find Shira Berk at Goodie Girl on LinkedIn and paste the profile URL into primary_linkedin_url; use the Whole Foods Market NoMad line only if retailer_checked_date is this week's Friday check</t>
  </si>
  <si>
    <t xml:space="preserve">Northeast brand (HQ unverified), store page shows Whole Foods Market NoMad inside the cluster, a new store listing 163 days ago, revenue unknown</t>
  </si>
  <si>
    <t xml:space="preserve">Shira Berk</t>
  </si>
  <si>
    <t xml:space="preserve">NJ (unverified, founder to confirm)</t>
  </si>
  <si>
    <t xml:space="preserve">Brand FAQ: 'Some cookies are 6 months and most are 9 months from bake'</t>
  </si>
  <si>
    <t xml:space="preserve">Thousands of retailers, natural or gluten-free aisle (brand where-to-buy page); Whole Foods</t>
  </si>
  <si>
    <t xml:space="preserve">https://www.wholefoodsmarket.com/api/search?text=goodie%20girl&amp;store=10162&amp;limit=60&amp;offset=0; https://www.wholefoodsmarket.com/api/search?text=goodie%20girl&amp;store=10773&amp;limit=60&amp;offset=0; https://www.wholefoodsmarket.com/api/search?text=goodie%20girl&amp;store=10131&amp;limit=60&amp;offset=0</t>
  </si>
  <si>
    <t xml:space="preserve">https://www.instagram.com/goodiegirlcookies/</t>
  </si>
  <si>
    <t xml:space="preserve">BR2:20</t>
  </si>
  <si>
    <t xml:space="preserve">Certified gluten-free. Locator is Destini (not machine-read). Why-now dates from Shopify publish dates.</t>
  </si>
  <si>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why_now_url &lt;- https://goodiegirl.com/products/blueberry-breakfast-bar (2026-10-24, stage 3 correction); </t>
  </si>
  <si>
    <t xml:space="preserve">AB-105</t>
  </si>
  <si>
    <t xml:space="preserve">Unreal</t>
  </si>
  <si>
    <t xml:space="preserve">Re-released limited-edition Easter packaging for Dark Chocolate Coconut Bars and Peanut Butter Cups at Whole Foods, Kroger, Sprouts, Thrive and Amazon</t>
  </si>
  <si>
    <t xml:space="preserve">https://www.snackandbakery.com/articles/115413-unreal-rereleases-easter-packaging-for-two-treats</t>
  </si>
  <si>
    <t xml:space="preserve">2026-03-18</t>
  </si>
  <si>
    <t xml:space="preserve">https://unrealsnacks.com/pages/about-us</t>
  </si>
  <si>
    <t xml:space="preserve">Dark Chocolate Coconut Bars; Dark Chocolate Peanut Butter Cups</t>
  </si>
  <si>
    <t xml:space="preserve">https://unrealsnacks.com</t>
  </si>
  <si>
    <t xml:space="preserve">Broad national distribution (16 to 18 SKUs per cluster WFM) suggests it may be above the $10M ceiling; no revenue source found</t>
  </si>
  <si>
    <t xml:space="preserve">https://www.wholefoodsmarket.com/api/search?text=unreal%20chocolate&amp;store=10773&amp;limit=60&amp;offset=0</t>
  </si>
  <si>
    <t xml:space="preserve">Bronner</t>
  </si>
  <si>
    <t xml:space="preserve">https://en.wikipedia.org/wiki/Unreal_Snacks</t>
  </si>
  <si>
    <t xml:space="preserve">find Michael Bronner at Unreal on LinkedIn and paste the profile URL into primary_linkedin_url; use the Whole Foods Market NoMad line only if retailer_checked_date is this week's Friday check</t>
  </si>
  <si>
    <t xml:space="preserve">find Kevin McCarthy at Unreal on LinkedIn and paste the profile URL into backup_linkedin_url; use the Whole Foods Market NoMad line only if retailer_checked_date is this week's Friday check</t>
  </si>
  <si>
    <t xml:space="preserve">Northeast brand, store page shows Whole Foods Market NoMad inside the cluster, news 220 days ago, revenue unknown</t>
  </si>
  <si>
    <t xml:space="preserve">Michael Bronner</t>
  </si>
  <si>
    <t xml:space="preserve">Stage 3 (entered the top 60). Wikipedia infobox (opened 2026-10-24): Founders Michael Bronner, Nicky Bronner, Kristopher Bronner; Key people Kevin McCarthy (CEO); 70 employees (2025); HQ Boston. Whether the founders still run the brand is not shown.</t>
  </si>
  <si>
    <t xml:space="preserve">Kevin McCarthy</t>
  </si>
  <si>
    <t xml:space="preserve">Wikipedia infobox (opened 2026-10-24) lists him as CEO under Key people; the citation date is not shown. A CEO who is not a founder may own the sampling budget at a brand of 70 people.</t>
  </si>
  <si>
    <t xml:space="preserve">Brand FAQ: most dark chocolate gems, cups, bars and covered nuts and pretzels have a 12 month shelf life; Milk Chocolate Gems and Crispy Quinoa Gems 18 months. Store below about 68F.</t>
  </si>
  <si>
    <t xml:space="preserve">Whole Foods; product locator (iframe, not machine-read)</t>
  </si>
  <si>
    <t xml:space="preserve">https://www.wholefoodsmarket.com/api/search?text=unreal%20chocolate&amp;store=10162&amp;limit=60&amp;offset=0; https://www.wholefoodsmarket.com/api/search?text=unreal%20chocolate&amp;store=10773&amp;limit=60&amp;offset=0; https://www.wholefoodsmarket.com/api/search?text=unreal%20chocolate&amp;store=10131&amp;limit=60&amp;offset=0</t>
  </si>
  <si>
    <t xml:space="preserve">https://www.instagram.com/unreal.snacks/</t>
  </si>
  <si>
    <t xml:space="preserve">BR2:43</t>
  </si>
  <si>
    <t xml:space="preserve">Vegan-certified dark chocolate items per FAQ. HQ not stated on pages opened. Why-now from Shopify publish dates.</t>
  </si>
  <si>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</si>
  <si>
    <t xml:space="preserve">AB-025</t>
  </si>
  <si>
    <t xml:space="preserve">Nantucket Crisps</t>
  </si>
  <si>
    <t xml:space="preserve">Brought limited-edition All Time Low collaboration to the Summer Fancy Food Show (NYC); switched to avocado oil and named CEO Paul Nardone (2026-05-28)</t>
  </si>
  <si>
    <t xml:space="preserve">https://startupcpg.com/startup-cpg-newswire-nantucket-crisps-brings-limited-edition-all-time-low-collaboration-to-the-summer-fancy-food-show-the-latest-in-a-growing-slate-of-artist-partnerships/</t>
  </si>
  <si>
    <t xml:space="preserve">https://nantucketcrisps.com/pages/about-us</t>
  </si>
  <si>
    <t xml:space="preserve">Nantucket Crisps Sconset Sea Salt potato crisps, 1 oz (50-count case)</t>
  </si>
  <si>
    <t xml:space="preserve">Nantucket (unverified, founder to confirm)</t>
  </si>
  <si>
    <t xml:space="preserve">https://nantucketcrisps.com</t>
  </si>
  <si>
    <t xml:space="preserve">Hayden</t>
  </si>
  <si>
    <t xml:space="preserve">Arnot</t>
  </si>
  <si>
    <t xml:space="preserve">https://www.linkedin.com/in/hayden-arnot-ab9457107/</t>
  </si>
  <si>
    <t xml:space="preserve">https://startupcpg.com/14-chip-brands-taking-your-tastebuds-on-a-flavor-tour/</t>
  </si>
  <si>
    <t xml:space="preserve">open the LinkedIn URL and confirm it is Hayden Arnot, Co-founder at Nantucket Crisps (found on another page, never opened)</t>
  </si>
  <si>
    <t xml:space="preserve">Nardone</t>
  </si>
  <si>
    <t xml:space="preserve">https://startupcpg.com/nantucket-crisps-transitions-brand-platform-to-avocado-oil-and-names-cpg-industry-veteran-paul-nardone-ceo/</t>
  </si>
  <si>
    <t xml:space="preserve">find Paul Nardone at Nantucket Crisps on LinkedIn and paste the profile URL into backup_linkedin_url</t>
  </si>
  <si>
    <t xml:space="preserve">Northeast brand (HQ unverified), no graded store within ten blocks, online store only, news 106 days ago, revenue unknown</t>
  </si>
  <si>
    <t xml:space="preserve">Hayden Arnot</t>
  </si>
  <si>
    <t xml:space="preserve">2026-06-06</t>
  </si>
  <si>
    <t xml:space="preserve">Startup CPG roundup lists "Founders: Hayden Arnot" and links this LinkedIn URL; LinkedIn not opened. The Org (updated 2026-06-06): Co-Founder since 2022.</t>
  </si>
  <si>
    <t xml:space="preserve">Paul Nardone</t>
  </si>
  <si>
    <t xml:space="preserve">Release (2026-05): named CEO. Stage 1 had him in the marketing slot; CEO is the likely budget owner.</t>
  </si>
  <si>
    <t xml:space="preserve">Kettle potato crisps in sealed bags, ambient</t>
  </si>
  <si>
    <t xml:space="preserve">Winn-Dixie; Stop &amp; Shop; Roche Bros; MOM's Organic Market; Wakefern/ShopRite; Market Basket; Grocery Outlet; Raley's; King's/Balducci's; Central Market; TJ Maxx; Marshalls; HomeGoods; Burlington; 7-Eleven; Cumberland Farms (Startup CPG, 2026-07-21)</t>
  </si>
  <si>
    <t xml:space="preserve">https://startupcpg.com/14-chip-brands-taking-your-tastebuds-on-a-flavor-tour/ (retailer list); https://www.wholefoodsmarket.com/search?text=nantucket%20crisps (no WFM results in cluster stores, 2026-10-23)</t>
  </si>
  <si>
    <t xml:space="preserve">BR1:26</t>
  </si>
  <si>
    <t xml:space="preserve">May 2026 NOSH release (seen in search results; unverified) names Paul Nardone CEO, consistent with the existing marketing_name/title cells; the Al Greer interim-CEO listing is probably stale.</t>
  </si>
  <si>
    <t xml:space="preserve">notes &lt;- https://www.linkedin.com/in/al-greer-558ab533/ (2026-10-24, snippet-unverified); notes &lt;- https://www.nosh.com/pr/2026/05/18/nantucket-crisps-transitions-brand-platform-to-avocado-oil-and-names-cpg-industry-veteran-paul-nardone-ceo (2026-10-24, snippet-unverified); </t>
  </si>
  <si>
    <t xml:space="preserve">AB-118</t>
  </si>
  <si>
    <t xml:space="preserve">Good Word Foods</t>
  </si>
  <si>
    <t xml:space="preserve">Launched Protein Squares, Jan 2026 (brand about page: 'This year we're finally launching something new')</t>
  </si>
  <si>
    <t xml:space="preserve">https://www.goodwordfoods.com/pages/about</t>
  </si>
  <si>
    <t xml:space="preserve">Chocolate Chip Protein Cookie 1.69 oz; Protein Squares</t>
  </si>
  <si>
    <t xml:space="preserve">https://www.goodwordfoods.com</t>
  </si>
  <si>
    <t xml:space="preserve">Protein cookie (nutrient-content positioning)</t>
  </si>
  <si>
    <t xml:space="preserve">https://www.wholefoodsmarket.com/api/search?text=good%20word&amp;store=10773&amp;limit=60&amp;offset=0</t>
  </si>
  <si>
    <t xml:space="preserve">Brad</t>
  </si>
  <si>
    <t xml:space="preserve">Snedden</t>
  </si>
  <si>
    <t xml:space="preserve">https://commercialbaking.com/good-word-expands-distribution-to-whole-foods-nationwide/</t>
  </si>
  <si>
    <t xml:space="preserve">find Brad Snedden at Good Word Foods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</si>
  <si>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a new store listing 275 days ago, revenue unknown</t>
  </si>
  <si>
    <t xml:space="preserve">Brad Snedden</t>
  </si>
  <si>
    <t xml:space="preserve">Stage-1 source re-opened 2026-10-24 (review round 1): the page shows the name and title. No marketing lead found.</t>
  </si>
  <si>
    <t xml:space="preserve">Brand FAQ: keep in a cool, dry place and they stay soft 'for the full shelf life' (ambient storage; length not stated)</t>
  </si>
  <si>
    <t xml:space="preserve">Whole Foods; Amazon (brand find-us page)</t>
  </si>
  <si>
    <t xml:space="preserve">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</si>
  <si>
    <t xml:space="preserve">https://www.instagram.com/goodwordfoods/</t>
  </si>
  <si>
    <t xml:space="preserve">BR2:56</t>
  </si>
  <si>
    <t xml:space="preserve">Got into Whole Foods via a local forager in 2019. Brand Stockist locator also lists all three cluster WFM stores. Gluten-free, grain-free. Why-now date from the Shopify publish date of Protein Squares; launch wording from brand about page.</t>
  </si>
  <si>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</si>
  <si>
    <t xml:space="preserve">AB-146</t>
  </si>
  <si>
    <t xml:space="preserve">St. Agrestis (Phony Negroni)</t>
  </si>
  <si>
    <t xml:space="preserve">Eataly NYC Flatiron, 200 5th Ave</t>
  </si>
  <si>
    <t xml:space="preserve">The Wine Group (Ripon, CA) acquired the Phony Negroni non-alcoholic line (and Amaro Falso) from St. Agrestis; founders stay on near term; St. Agrestis portfolio in 7,000+ doors</t>
  </si>
  <si>
    <t xml:space="preserve">https://www.thewinegroup.com/the-wine-group-acquires-phony-negroni-non-alcoholic-brand/</t>
  </si>
  <si>
    <t xml:space="preserve">2026-04-29</t>
  </si>
  <si>
    <t xml:space="preserve">https://stagrestis.com/pages/find-st-agrestis</t>
  </si>
  <si>
    <t xml:space="preserve">Non-Alcoholic Phony Negroni, 200 ml single-serve bottle</t>
  </si>
  <si>
    <t xml:space="preserve">https://stagrestis.com</t>
  </si>
  <si>
    <t xml:space="preserve">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</si>
  <si>
    <t xml:space="preserve">Steven</t>
  </si>
  <si>
    <t xml:space="preserve">DeAngelo</t>
  </si>
  <si>
    <t xml:space="preserve">find Steven DeAngelo at St. Agrestis on LinkedIn and paste the profile URL into primary_linkedin_url; the retailer line rests on the brand's own store locator: say 'your store locator lists ...'</t>
  </si>
  <si>
    <t xml:space="preserve">Catizone</t>
  </si>
  <si>
    <t xml:space="preserve">Chief Marketing Officer and Managing Partner</t>
  </si>
  <si>
    <t xml:space="preserve">find Matt Catizone at St. Agrestis on LinkedIn and paste the profile URL into backup_linkedin_url; the source is dated 2024-11-13: check Matt still holds the role; the retailer line rests on the brand's own store locator: say 'your store locator lists ...'</t>
  </si>
  <si>
    <t xml:space="preserve">New York City brand, brand locator shows Eataly NYC Flatiron inside the cluster, news 178 days ago, revenue unknown</t>
  </si>
  <si>
    <t xml:space="preserve">; founder review: owner, alcohol-adjacent, nutrient-claim, scale</t>
  </si>
  <si>
    <t xml:space="preserve">Steven DeAngelo</t>
  </si>
  <si>
    <t xml:space="preserve">The Wine Group's acquisition release, re-opened 2026-10-24 (review round 1): the page shows the name: 'St. Agrestis's founder and its leaders, Steven DeAngelo, Louie Catizone, and Matt Catizone, will remain involved in the business for the near term'.</t>
  </si>
  <si>
    <t xml:space="preserve">Matt Catizone</t>
  </si>
  <si>
    <t xml:space="preserve">2024-11-13</t>
  </si>
  <si>
    <t xml:space="preserve">The acquisition release (re-opened 2026-10-24) names him among the brand's leaders; the title is The Org's (https://theorg.com/org/st-agrestis/person/matt-catizone, updated 2024-11-13, crowd-edited): confirm on LinkedIn.</t>
  </si>
  <si>
    <t xml:space="preserve">owner;alcohol-adjacent;nutrient-claim;scale</t>
  </si>
  <si>
    <t xml:space="preserve">No storage statement found; founder to confirm</t>
  </si>
  <si>
    <t xml:space="preserve">Eataly NYC Flatiron, 200 5th Ave (brand_claim, inside);L Express, 249 Park Ave S (brand_claim, inside)</t>
  </si>
  <si>
    <t xml:space="preserve">Eataly; bars, restaurants and bottle shops (Stockist locator: 451 points, 154 near the cluster)</t>
  </si>
  <si>
    <t xml:space="preserve">https://stagrestis.com/pages/find-st-agrestis; https://stockist.co/api/v1/u25133/locations/search?latitude=40.7400&amp;longitude=-73.9900&amp;distance=3</t>
  </si>
  <si>
    <t xml:space="preserve">https://www.instagram.com/st_agrestis</t>
  </si>
  <si>
    <t xml:space="preserve">BR3:20</t>
  </si>
  <si>
    <t xml:space="preserve">Site: 'Greenpoint, Brooklyn', 'Made in Brooklyn'; press page cites Wirecutter, Washington Post, BevNET. Stockist query 2026-10-23. Date is Shopify publish date.</t>
  </si>
  <si>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</si>
  <si>
    <t xml:space="preserve">AB-062</t>
  </si>
  <si>
    <t xml:space="preserve">Marimix</t>
  </si>
  <si>
    <t xml:space="preserve">Won Good Housekeeping 2026 Snack Award (third consecutive year) for Hatch Chile Lime Snackmix</t>
  </si>
  <si>
    <t xml:space="preserve">https://startupcpg.com/startup-cpg-newswire-marimix-earns-third-consecutive-good-housekeeping-snack-award-for-hatch-chile-lime-crunch-baked-snackmix/</t>
  </si>
  <si>
    <t xml:space="preserve">2026-06-24</t>
  </si>
  <si>
    <t xml:space="preserve">Marimix Hatch Chile Lime Crunch-Baked Snackmix (minis and multiserve)</t>
  </si>
  <si>
    <t xml:space="preserve">Orange</t>
  </si>
  <si>
    <t xml:space="preserve">https://marimix.com</t>
  </si>
  <si>
    <t xml:space="preserve">Mari</t>
  </si>
  <si>
    <t xml:space="preserve">Fassett</t>
  </si>
  <si>
    <t xml:space="preserve">find Mari Fassett at Marimix on LinkedIn and paste the profile URL into primary_linkedin_url</t>
  </si>
  <si>
    <t xml:space="preserve">Kirra</t>
  </si>
  <si>
    <t xml:space="preserve">Press contact on the brand's release</t>
  </si>
  <si>
    <t xml:space="preserve">find Kirra Johnson at Marimix on LinkedIn and paste the profile URL into backup_linkedin_url</t>
  </si>
  <si>
    <t xml:space="preserve">Brand based outside the Northeast, no graded store within ten blocks, online store only, news 122 days ago, revenue unknown</t>
  </si>
  <si>
    <t xml:space="preserve">Mari Fassett</t>
  </si>
  <si>
    <t xml:space="preserve">Startup CPG release (June 2026), re-opened 2026-10-24 (review round 1): the page shows the name: 'Mari Fassett, Founder and CEO, Marimix'.</t>
  </si>
  <si>
    <t xml:space="preserve">Kirra Johnson</t>
  </si>
  <si>
    <t xml:space="preserve">The release (re-opened 2026-10-24) reads 'NEWS PROVIDED BY Kirra Johnson for Marimix': the brand's press contact, closest public marketing role.</t>
  </si>
  <si>
    <t xml:space="preserve">Brand FAQ: sealed pouch is freshest through the printed date, 'Technically, this is 10 months from the day we bake your order.'</t>
  </si>
  <si>
    <t xml:space="preserve">https://www.wholefoodsmarket.com/search?text=marimix (no WFM results, 2026-10-23)</t>
  </si>
  <si>
    <t xml:space="preserve">BR1:63</t>
  </si>
  <si>
    <t xml:space="preserve">Woman- and minority-owned, Orange CA (release). Mix of rice pillows and other crunch pieces; check nut content per SKU.</t>
  </si>
  <si>
    <t xml:space="preserve">shelf_stable_basis &lt;- https://marimix.com/pages/faq (2026-10-24, opened); </t>
  </si>
  <si>
    <t xml:space="preserve">AB-126</t>
  </si>
  <si>
    <t xml:space="preserve">MarieBelle New York</t>
  </si>
  <si>
    <t xml:space="preserve">Unveiled Valentine's Day 2026 collection (ganache boxes, truffles, bars)</t>
  </si>
  <si>
    <t xml:space="preserve">https://www.snackandbakery.com/articles/115193-mariebelle-new-york-unwraps-its-valentines-collection</t>
  </si>
  <si>
    <t xml:space="preserve">2026-02-11</t>
  </si>
  <si>
    <t xml:space="preserve">https://mariebelle.com/pages/faqs</t>
  </si>
  <si>
    <t xml:space="preserve">9g Cacao Market Mini Chocolate Bars; Grace Pin-Up Dark Chocolate Bar</t>
  </si>
  <si>
    <t xml:space="preserve">https://mariebelle.com</t>
  </si>
  <si>
    <t xml:space="preserve">Luxury gift chocolatier (30+ years), not an emerging snack brand; only bars and minis meet the 60-day rule</t>
  </si>
  <si>
    <t xml:space="preserve">Maribel</t>
  </si>
  <si>
    <t xml:space="preserve">Lieberman</t>
  </si>
  <si>
    <t xml:space="preserve">https://mariebelle.com/pages/our-story</t>
  </si>
  <si>
    <t xml:space="preserve">find Maribel Lieberman at MarieBelle New York on LinkedIn and paste the profile URL into primary_linkedin_url</t>
  </si>
  <si>
    <t xml:space="preserve">Laddy</t>
  </si>
  <si>
    <t xml:space="preserve">Vice President of Sales and Marketing</t>
  </si>
  <si>
    <t xml:space="preserve">https://theorg.com/org/mariebelle-new-york/person/jennifer-laddy</t>
  </si>
  <si>
    <t xml:space="preserve">find Jennifer Laddy at MarieBelle New York on LinkedIn and paste the profile URL into backup_linkedin_url (this also confirms the name: The Org is crowd-edited and marks it Unverified); the source is dated 2024-11-18: check Jennifer still holds the role</t>
  </si>
  <si>
    <t xml:space="preserve">New York City brand, no graded store within ten blocks, online store only, news 255 days ago, revenue unknown</t>
  </si>
  <si>
    <t xml:space="preserve">Maribel Lieberman</t>
  </si>
  <si>
    <t xml:space="preserve">The brand's story page, re-opened 2026-10-24 (review round 1): the page shows the name.</t>
  </si>
  <si>
    <t xml:space="preserve">Jennifer Laddy</t>
  </si>
  <si>
    <t xml:space="preserve">The Org position page (opened 2026-10-24, updated 2024-11-18), New York HQ; crowd-edited.</t>
  </si>
  <si>
    <t xml:space="preserve">Brand FAQ: chocolate bars have a shelf life of 2 years, caramels 6 months (ganache 6 weeks, brownies 1 week: exclude those)</t>
  </si>
  <si>
    <t xml:space="preserve">Own stores (brand FAQ 'Our Stores')</t>
  </si>
  <si>
    <t xml:space="preserve">https://www.wholefoodsmarket.com/api/search?text=mariebelle&amp;store=10162&amp;limit=60&amp;offset=0</t>
  </si>
  <si>
    <t xml:space="preserve">https://www.instagram.com/mariebelleofficial/</t>
  </si>
  <si>
    <t xml:space="preserve">BR2:64</t>
  </si>
  <si>
    <t xml:space="preserve">Not in WFM cluster catalogs. Why-now from Shopify publish dates.</t>
  </si>
  <si>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</si>
  <si>
    <t xml:space="preserve">AB-035</t>
  </si>
  <si>
    <t xml:space="preserve">Veggie Vice</t>
  </si>
  <si>
    <t xml:space="preserve">Rooted, 38 E 23rd St</t>
  </si>
  <si>
    <t xml:space="preserve">Launched Bell Pepper Chips (Sea Salt) on brand store</t>
  </si>
  <si>
    <t xml:space="preserve">https://www.veggievice.com/products/bell-pepper-chips</t>
  </si>
  <si>
    <t xml:space="preserve">https://www.veggievice.com/</t>
  </si>
  <si>
    <t xml:space="preserve">Veggie Vice Zucchini Chips, Sea Salt ($6.99 bag); new Bell Pepper Chips</t>
  </si>
  <si>
    <t xml:space="preserve">East Windsor</t>
  </si>
  <si>
    <t xml:space="preserve">https://www.veggievice.com</t>
  </si>
  <si>
    <t xml:space="preserve">Riddhima</t>
  </si>
  <si>
    <t xml:space="preserve">Founder (exact title not stated)</t>
  </si>
  <si>
    <t xml:space="preserve">find Riddhima at Veggie Vice on LinkedIn and paste the profile URL into primary_linkedin_url; surname not public: take it from LinkedIn; the retailer line rests on the brand's own store locator: say 'your store locator lists ...'</t>
  </si>
  <si>
    <t xml:space="preserve">Northeast brand, brand locator shows Rooted inside the cluster, a new store listing 4 days ago, revenue unknown</t>
  </si>
  <si>
    <t xml:space="preserve">first name in brand contact email on privacy policy; title not stated</t>
  </si>
  <si>
    <t xml:space="preserve">stage 1 only</t>
  </si>
  <si>
    <t xml:space="preserve">Crisped vegetable chips in sealed bags sold ambient</t>
  </si>
  <si>
    <t xml:space="preserve">Rooted, 38 E 23rd St (brand_claim, inside)</t>
  </si>
  <si>
    <t xml:space="preserve">Sprouts (all US stores, per homepage); store at 38 E 23rd St New York (homepage, shown with a 'Rooted' logo); PopUp Grocer 205 Bleecker St</t>
  </si>
  <si>
    <t xml:space="preserve">https://www.veggievice.com/ (Find Us In Store: 38 E 23rd St, New York NY 10010; 205 Bleecker St); https://popupgrocer.com/products/veggie-vice (PopUp Grocer directory availability 'NYC Flagship')</t>
  </si>
  <si>
    <t xml:space="preserve">https://instagram.com/eatveggievice</t>
  </si>
  <si>
    <t xml:space="preserve">BR1:36</t>
  </si>
  <si>
    <t xml:space="preserve">Store at 38 E 23rd St sits inside the cluster (Madison Square). The store name is inferred from the 'Rooted_Logo' image beside the address; founder to confirm. AAPI- and women-owned per PopUp Grocer tags. Business city from privacy policy.</t>
  </si>
  <si>
    <t xml:space="preserve">AB-131</t>
  </si>
  <si>
    <t xml:space="preserve">Bruce Cost Ginger Ale</t>
  </si>
  <si>
    <t xml:space="preserve">New Yuzu Unfiltered Ginger Ale and a 12 oz can format added to its store</t>
  </si>
  <si>
    <t xml:space="preserve">https://brucecostgingerale.com/products/bruce-cost-ginger-ale-yuzu</t>
  </si>
  <si>
    <t xml:space="preserve">call_booked</t>
  </si>
  <si>
    <t xml:space="preserve">https://brucecostgingerale.com</t>
  </si>
  <si>
    <t xml:space="preserve">Bruce Cost Original Unfiltered Ginger Ale, 12 oz bottle; new 12 oz can</t>
  </si>
  <si>
    <t xml:space="preserve">Shelf stability not stated; namesake founder Bruce Cost reportedly no longer involved (BevNET headline, not opened); same parent (Brooklyn Food &amp; Beverage) as Moshi and Brooklyn Crafted: contact once; 60-day shelf life not stated</t>
  </si>
  <si>
    <t xml:space="preserve">https://www.bevnet.com/news/2017/bruce-cost-ginger-ale-look-separate-futures</t>
  </si>
  <si>
    <t xml:space="preserve">no person named on an opened page: not ready</t>
  </si>
  <si>
    <t xml:space="preserve">New York City brand, no graded store within ten blocks, online store only, a new store listing 135 days ago, revenue unknown</t>
  </si>
  <si>
    <t xml:space="preserve">Terry Tang</t>
  </si>
  <si>
    <t xml:space="preserve">2017</t>
  </si>
  <si>
    <t xml:space="preserve">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</si>
  <si>
    <t xml:space="preserve">Title confirmed on the opened Expo West 2026 page for Brooklyn Food &amp; Beverage, but that this parent owns Bruce Cost rests on a BevNET search summary, so the brand link is unverified. Same person as Moshi's marketing row.</t>
  </si>
  <si>
    <t xml:space="preserve">No shelf-stability statement found on brand site; founder to confirm</t>
  </si>
  <si>
    <t xml:space="preserve">Pearl River Mart; Mr. K; Tallgrass Burger; Marufuku Ramen (brand Storepoint locator, 13 NYC points)</t>
  </si>
  <si>
    <t xml:space="preserve">https://brucecostgingerale.com/pages/find-us; https://api.storepoint.co/v1/1625dbfed3d0fc/locations?lat=40.7400&amp;long=-73.9900&amp;radius=3</t>
  </si>
  <si>
    <t xml:space="preserve">https://www.instagram.com/bcgingerale</t>
  </si>
  <si>
    <t xml:space="preserve">BR3:5</t>
  </si>
  <si>
    <t xml:space="preserve">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</si>
  <si>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</si>
  <si>
    <t xml:space="preserve">parent 'brooklyn food &amp; beverage' shared with AB-130; person 'horin yip' shared with AB-130, AB-132; person 'terry tang' shared with AB-132</t>
  </si>
  <si>
    <t xml:space="preserve">AB-159</t>
  </si>
  <si>
    <t xml:space="preserve">Hoplark</t>
  </si>
  <si>
    <t xml:space="preserve">Wegmans Astor Place, 499 Lafayette St</t>
  </si>
  <si>
    <t xml:space="preserve">Spring 2026 packaging refresh across sparkling teas, waters and NA beers, aimed at off-premise retail shelf (Global Drinks Intel, 2026-06-10); seasonal SKUs on store 2026-09-24 and 2026-10-13</t>
  </si>
  <si>
    <t xml:space="preserve">https://drinks-intel.com/news/brooklyn-brewery-backed-hoplark-unveils-brand-refresh/</t>
  </si>
  <si>
    <t xml:space="preserve">2026-06-10</t>
  </si>
  <si>
    <t xml:space="preserve">https://hoplark.com/pages/faq</t>
  </si>
  <si>
    <t xml:space="preserve">Hoplark Sparkling Hop Tea 'The Golden Hour One', 16 oz can</t>
  </si>
  <si>
    <t xml:space="preserve">Boulder</t>
  </si>
  <si>
    <t xml:space="preserve">https://hoplark.com</t>
  </si>
  <si>
    <t xml:space="preserve">Beer-adjacent hop positioning ('0.0 Hazy Style'); FAQ says zero alcohol and nothing fermented, but offices may read it as NA beer. Some SKUs have 20 to 60 mg caffeine. Colorado brand; 60-day shelf life not stated</t>
  </si>
  <si>
    <t xml:space="preserve">Dean</t>
  </si>
  <si>
    <t xml:space="preserve">Eberhardt</t>
  </si>
  <si>
    <t xml:space="preserve">find Dean Eberhardt at Hoplark on LinkedIn and paste the profile URL into primary_linkedin_url; the retailer line rests on the brand's own store locator: say 'your store locator lists ...'</t>
  </si>
  <si>
    <t xml:space="preserve">Shannon</t>
  </si>
  <si>
    <t xml:space="preserve">Wright</t>
  </si>
  <si>
    <t xml:space="preserve">Senior Marketing Manager</t>
  </si>
  <si>
    <t xml:space="preserve">https://startupcpg.com/startup-cpg-newswire-hoplark-expands-portfolio-with-limited-edition-soda-12-pack/</t>
  </si>
  <si>
    <t xml:space="preserve">find Shannon Wright at Hoplark on LinkedIn and paste the profile URL into backup_linkedin_url; the retailer line rests on the brand's own store locator: say 'your store locator lists ...'</t>
  </si>
  <si>
    <t xml:space="preserve">Brand based outside the Northeast, brand locator shows Wegmans Astor Place 4.0 blocks outside it, news 136 days ago, revenue unknown</t>
  </si>
  <si>
    <t xml:space="preserve">; founder review: alcohol-adjacent, nutrient-claim</t>
  </si>
  <si>
    <t xml:space="preserve">Dean Eberhardt</t>
  </si>
  <si>
    <t xml:space="preserve">Stage-1 source re-opened 2026-10-24 (review round 1): the page shows the name.</t>
  </si>
  <si>
    <t xml:space="preserve">Shannon Wright</t>
  </si>
  <si>
    <t xml:space="preserve">Startup CPG release re-opened 2026-10-24 (review round 1): the page shows the name and title.</t>
  </si>
  <si>
    <t xml:space="preserve">alcohol-adjacent;nutrient-claim</t>
  </si>
  <si>
    <t xml:space="preserve">CO</t>
  </si>
  <si>
    <t xml:space="preserve">No storage statement in FAQ</t>
  </si>
  <si>
    <t xml:space="preserve">Wegmans Astor Place, 499 Lafayette St (brand_claim, 4.0 blocks out)</t>
  </si>
  <si>
    <t xml:space="preserve">Wegmans (brand Storepoint locator; only 2 NYC-area points returned)</t>
  </si>
  <si>
    <t xml:space="preserve">https://hoplark.com/pages/retail-locations; https://api.storepoint.co/v1/161b7481f09706/locations?lat=40.7400&amp;long=-73.9900&amp;radius=3</t>
  </si>
  <si>
    <t xml:space="preserve">https://www.instagram.com/drinkhoplark</t>
  </si>
  <si>
    <t xml:space="preserve">BR3:33</t>
  </si>
  <si>
    <t xml:space="preserve">Story page mentions explorations through 'the Colorado foothills' (basis for hq_state CO; city not stated). Dates are Shopify publish dates.</t>
  </si>
  <si>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</si>
  <si>
    <t xml:space="preserve">AB-281</t>
  </si>
  <si>
    <t xml:space="preserve">Cirrus 9 Candy</t>
  </si>
  <si>
    <t xml:space="preserve">New York Maple and Wild Raspberry cotton candy named 2027 sofi Award finalists (Sweet Snacks)</t>
  </si>
  <si>
    <t xml:space="preserve">New York Maple organic cotton candy</t>
  </si>
  <si>
    <t xml:space="preserve">Hudson Valley (town unknown)</t>
  </si>
  <si>
    <t xml:space="preserve">https://cirrus9candy.com</t>
  </si>
  <si>
    <t xml:space="preserve">Cotton candy is fragile and humidity-sensitive; check pack format, shelf life and whether 50 units per office suits pantries; single-serve pack not shown on the pages read: ask on the first call</t>
  </si>
  <si>
    <t xml:space="preserve">Morganne</t>
  </si>
  <si>
    <t xml:space="preserve">https://cirrus9candy.com/pages/about</t>
  </si>
  <si>
    <t xml:space="preserve">find Morganne at Cirrus 9 Candy on LinkedIn and paste the profile URL into primary_linkedin_url; surname not public: take it from LinkedIn</t>
  </si>
  <si>
    <t xml:space="preserve">Makenna</t>
  </si>
  <si>
    <t xml:space="preserve">Co-founder (tech)</t>
  </si>
  <si>
    <t xml:space="preserve">find Makenna at Cirrus 9 Candy on LinkedIn and paste the profile URL into backup_linkedin_url; surname not public: take it from LinkedIn</t>
  </si>
  <si>
    <t xml:space="preserve">New York State brand, no graded store within ten blocks, online store only, news 5 days ago, revenue unknown</t>
  </si>
  <si>
    <t xml:space="preserve">; founder review: other, format-unconfirmed</t>
  </si>
  <si>
    <t xml:space="preserve">About page: "Morganne, Founder, Flavor &amp; craft". Surname not given; one web search found none.</t>
  </si>
  <si>
    <t xml:space="preserve">About page: "Makenna, Co-founder &amp; tech". Stage 1 had her in the marketing slot; the page gives a tech role, so moved to backup.</t>
  </si>
  <si>
    <t xml:space="preserve">other;format-unconfirmed</t>
  </si>
  <si>
    <t xml:space="preserve">Spun sugar candy sold online and in stores; shelf life and humidity tolerance not stated</t>
  </si>
  <si>
    <t xml:space="preserve">unknown ('Find a store' link; no list read)</t>
  </si>
  <si>
    <t xml:space="preserve">https://www.instagram.com/cirrus9candy/</t>
  </si>
  <si>
    <t xml:space="preserve">BR5:17</t>
  </si>
  <si>
    <t xml:space="preserve">About page: 'Founded and run by women, here in the Hudson Valley', 'Hand spun in the Hudson Valley'. Sour Melon cotton candy was a 2026 Startup CPG Shelfie finalist (2026-08-06).</t>
  </si>
  <si>
    <t xml:space="preserve">AB-182</t>
  </si>
  <si>
    <t xml:space="preserve">OOZ Birch Water</t>
  </si>
  <si>
    <t xml:space="preserve">Fairway Market Chelsea, 766 6th Ave</t>
  </si>
  <si>
    <t xml:space="preserve">https://oozwater.com/pages/our-story</t>
  </si>
  <si>
    <t xml:space="preserve">OOZ Organic Birch Water (100% birch sap), glass bottle</t>
  </si>
  <si>
    <t xml:space="preserve">New York (unverified, founder to confirm)</t>
  </si>
  <si>
    <t xml:space="preserve">https://oozwater.com</t>
  </si>
  <si>
    <t xml:space="preserve">Wellness framing ('antioxidants, manganese, and electrolytes'; 'connected to your own wellness') is nutrient-content and soft wording; check label for structure or function claims. Glass bottle (breakage risk on drop day) | Claims review 2026-10-24: 200 bioactive nutrients, light electrolytes ... DEEPER HYDRATION (implied effect) (https://oozwater.com); decide before outreach, and the tent card must not repeat it</t>
  </si>
  <si>
    <t xml:space="preserve">no person named on an opened page: not ready; the retailer line rests on the brand's own store locator: say 'your store locator lists ...'</t>
  </si>
  <si>
    <t xml:space="preserve">New York City brand (HQ unverified), brand locator shows Fairway Market Chelsea inside the cluster, no dated why-now in the last 12 months, revenue unknown</t>
  </si>
  <si>
    <t xml:space="preserve">Christina Zhang</t>
  </si>
  <si>
    <t xml:space="preserve">NY (unverified, founder to confirm)</t>
  </si>
  <si>
    <t xml:space="preserve">nyc (unverified)</t>
  </si>
  <si>
    <t xml:space="preserve">Our-story page: 'pasteurized, and bottled in glass... allowing OOZ to remain shelf stable for up to one year' (oozwater.com/pages/our-story, opened 2026-10-23)</t>
  </si>
  <si>
    <t xml:space="preserve">Fairway Market Chelsea, 766 6th Ave (brand_claim, inside);Elm Wellness, 56 7th Ave (brand_claim, 3.0 blocks out);TMPL Madison, 200 Madison Ave (brand_claim, 5.1 blocks out);Fairway Market Kips Bay, 550 2nd Ave (brand_claim, 7.0 blocks out)</t>
  </si>
  <si>
    <t xml:space="preserve">Pearl River Mart at Chelsea Market (brand_claim, 11.4 blocks out);Galleria Marketplace (brand_claim, 13.5 blocks out)</t>
  </si>
  <si>
    <t xml:space="preserve">Fairway Market; TMPL; Elm Wellness; Pearl River Mart; Pop Up Grocer; Happier Grocery; Hamptons markets; many Brooklyn and Queens grocers (brand stockists file, 85 points)</t>
  </si>
  <si>
    <t xml:space="preserve">https://oozwater.com/pages/store-locator; https://oozwater.com/cdn/shop/t/10/assets/stockists.json?v=178731794020656742571783376028; https://popupgrocer.com/products/ooz</t>
  </si>
  <si>
    <t xml:space="preserve">BR3:56</t>
  </si>
  <si>
    <t xml:space="preserve">Stockists file read 2026-10-23: dense NYC footprint (Manhattan, Brooklyn, Queens, Hamptons), so probably NY-based but HQ not stated. AAPI and women-owned per Pop Up Grocer. One of the better near-cluster buy paths in this slice. | Why-now without an opened link and a date, kept as a note only: Press release: OOZ debuts single-ingredient hydration tapped from birch trees (launch announcement, NYC independents plus DTC) (unverified, founder to confirm) (url: https://popupgrocer.com/products/ooz; date: 2026-04-30)</t>
  </si>
  <si>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founder_review_reason &lt;- https://oozwater.com (2026-10-24, stage 3 correction); </t>
  </si>
  <si>
    <t xml:space="preserve">AB-119</t>
  </si>
  <si>
    <t xml:space="preserve">Amazi Foods</t>
  </si>
  <si>
    <t xml:space="preserve">https://amazifoods.com/pages/our-story</t>
  </si>
  <si>
    <t xml:space="preserve">Pina Colada Dried Pineapple 2.3 oz; Minis 12-packs</t>
  </si>
  <si>
    <t xml:space="preserve">Washington (contact page lists 'Washington, DC')</t>
  </si>
  <si>
    <t xml:space="preserve">https://amazifoods.com</t>
  </si>
  <si>
    <t xml:space="preserve">https://www.wholefoodsmarket.com/api/search?text=amazi&amp;store=10773&amp;limit=60&amp;offset=0</t>
  </si>
  <si>
    <t xml:space="preserve">Renee</t>
  </si>
  <si>
    <t xml:space="preserve">Dunn</t>
  </si>
  <si>
    <t xml:space="preserve">https://www.foodbusinessnews.net/articles/22974-amazi-rebrands-expands-lineup</t>
  </si>
  <si>
    <t xml:space="preserve">find Renee Dunn at Amazi Foods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</si>
  <si>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no dated why-now in the last 12 months, revenue unknown</t>
  </si>
  <si>
    <t xml:space="preserve">Renee Dunn</t>
  </si>
  <si>
    <t xml:space="preserve">Food Business News, re-opened 2026-10-24 (review round 1): the page shows the name and title.</t>
  </si>
  <si>
    <t xml:space="preserve">DC</t>
  </si>
  <si>
    <t xml:space="preserve">Dried fruit in sealed bags sold ambient at Whole Foods; shelf-life figure not found</t>
  </si>
  <si>
    <t xml:space="preserve">Whole Foods; store locator</t>
  </si>
  <si>
    <t xml:space="preserve">https://www.wholefoodsmarket.com/api/search?text=amazi&amp;store=10162&amp;limit=60&amp;offset=0; https://www.wholefoodsmarket.com/api/search?text=amazi&amp;store=10773&amp;limit=60&amp;offset=0</t>
  </si>
  <si>
    <t xml:space="preserve">https://www.instagram.com/amazifoods/</t>
  </si>
  <si>
    <t xml:space="preserve">BR2:57</t>
  </si>
  <si>
    <t xml:space="preserve">Ugandan-sourced dried fruit and jackfruit; keeps production in Uganda. Mid-Atlantic (DC). No new SKU since 2025-04. Not in WFM Chelsea catalog.</t>
  </si>
  <si>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</si>
  <si>
    <t xml:space="preserve">AB-215</t>
  </si>
  <si>
    <t xml:space="preserve">Early Bird Foods &amp; Co.</t>
  </si>
  <si>
    <t xml:space="preserve">https://earlybirdfoods.com/pages/about</t>
  </si>
  <si>
    <t xml:space="preserve">Granola in 2 oz single-serve bags (brand shop); Farmhand Pecan Granola 12 oz (WFM)</t>
  </si>
  <si>
    <t xml:space="preserve">Michigan (operated from the founders' home 'in the Michigan woods', per The FruitGuys 2025-05-10; brand began in Brooklyn in 2008). City not stated, founder to confirm.</t>
  </si>
  <si>
    <t xml:space="preserve">https://earlybirdfoods.com</t>
  </si>
  <si>
    <t xml:space="preserve">Granola is snack-adjacent (often eaten with milk); WFM stocks the 12 oz bag, while the 2 oz single-serve bags are confirmed online only</t>
  </si>
  <si>
    <t xml:space="preserve">https://www.wholefoodsmarket.com/api/search?text=early%20bird%20granola&amp;store=10773&amp;limit=60&amp;offset=0</t>
  </si>
  <si>
    <t xml:space="preserve">Nekisia</t>
  </si>
  <si>
    <t xml:space="preserve">Davis</t>
  </si>
  <si>
    <t xml:space="preserve">find Nekisia Davis at Early Bird Foods &amp; Co. on LinkedIn and paste the profile URL into primary_linkedin_url; use the Whole Foods Market NoMad line only if retailer_checked_date is this week's Friday check</t>
  </si>
  <si>
    <t xml:space="preserve">Brand based outside the Northeast (HQ unverified), store page shows Whole Foods Market NoMad inside the cluster, no dated why-now in the last 12 months, revenue unknown</t>
  </si>
  <si>
    <t xml:space="preserve">Nekisia Davis</t>
  </si>
  <si>
    <t xml:space="preserve">The brand's About page, re-opened 2026-10-24 (review round 1): the page shows the name.</t>
  </si>
  <si>
    <t xml:space="preserve">MI (founder to confirm)</t>
  </si>
  <si>
    <t xml:space="preserve">elsewhere (unverified)</t>
  </si>
  <si>
    <t xml:space="preserve">Bagged granola sold ambient; FAQ gives no shelf-life figure, founder to confirm 60+ days</t>
  </si>
  <si>
    <t xml:space="preserve">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</si>
  <si>
    <t xml:space="preserve">Whole Foods Market (WFM catalog); wholesale program; where-to-buy page (not machine-readable)</t>
  </si>
  <si>
    <t xml:space="preserve">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</si>
  <si>
    <t xml:space="preserve">https://www.instagram.com/earlybirdfoods</t>
  </si>
  <si>
    <t xml:space="preserve">BR4:10</t>
  </si>
  <si>
    <t xml:space="preserve">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</si>
  <si>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</si>
  <si>
    <t xml:space="preserve">AB-241</t>
  </si>
  <si>
    <t xml:space="preserve">Nomi Crunch</t>
  </si>
  <si>
    <t xml:space="preserve">Jack's Market, 110 W 32nd St</t>
  </si>
  <si>
    <t xml:space="preserve">https://nomicrunch.com/</t>
  </si>
  <si>
    <t xml:space="preserve">Black Sesame protein granola bag (also Earl Grey Yuzu)</t>
  </si>
  <si>
    <t xml:space="preserve">New York (homepage: 'crafted in nyc'; Pearl River listing: 'Born in New York City')</t>
  </si>
  <si>
    <t xml:space="preserve">https://nomicrunch.com</t>
  </si>
  <si>
    <t xml:space="preserve">Protein positioning ('50g of protein per bag', whey protein isolate); multi-serve bag, not single-serve</t>
  </si>
  <si>
    <t xml:space="preserve">Sarah</t>
  </si>
  <si>
    <t xml:space="preserve">Harasaki</t>
  </si>
  <si>
    <t xml:space="preserve">https://www.pearlriver.com/products/nomi-crunch-granola-earl-grey-yuzu</t>
  </si>
  <si>
    <t xml:space="preserve">find Sarah Harasaki at Nomi Crunch on LinkedIn and paste the profile URL into primary_linkedin_url; the retailer line rests on the brand's own store locator: say 'your store locator lists ...'</t>
  </si>
  <si>
    <t xml:space="preserve">New York City brand, brand locator shows Jack's Market 1.3 blocks outside it, no dated why-now in the last 12 months, revenue unknown</t>
  </si>
  <si>
    <t xml:space="preserve">; founder review: format, nutrient-claim</t>
  </si>
  <si>
    <t xml:space="preserve">Sarah Harasaki</t>
  </si>
  <si>
    <t xml:space="preserve">Retailer product page, re-opened 2026-10-24 (review round 1): the page shows the name.</t>
  </si>
  <si>
    <t xml:space="preserve">format;nutrient-claim</t>
  </si>
  <si>
    <t xml:space="preserve">Bagged granola sold ambient; no shelf-life figure published, founder to confirm</t>
  </si>
  <si>
    <t xml:space="preserve">Jack's Market, 110 W 32nd St (brand_claim, 1.3 blocks out)</t>
  </si>
  <si>
    <t xml:space="preserve">Pearl River Mart (online catalog)</t>
  </si>
  <si>
    <t xml:space="preserve">https://www.pearlriver.com/products/nomi-crunch-granola-earl-grey-yuzu; https://stockist.co/api/v1/map_pqkkeeyq/locations/search?latitude=40.7411&amp;longitude=-73.9897&amp;distance=3&amp;distance_unit=mi</t>
  </si>
  <si>
    <t xml:space="preserve">BR4:36</t>
  </si>
  <si>
    <t xml:space="preserve">Woman and minority owned, gluten free (homepage). Pearl River Mart catalog (pearlriver.com online store; Chelsea Market food store at 75 9th Ave not confirmed for this item)</t>
  </si>
  <si>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</si>
  <si>
    <t xml:space="preserve">AB-250</t>
  </si>
  <si>
    <t xml:space="preserve">NouBon</t>
  </si>
  <si>
    <t xml:space="preserve">Debuted Caribbean snack bags and craft peanut butters</t>
  </si>
  <si>
    <t xml:space="preserve">https://startupcpg.com/startup-cpg-newswire-noubon-bringing-bold-small-batch-caribbean-flavors-to-store-shelves/</t>
  </si>
  <si>
    <t xml:space="preserve">2026-06-04</t>
  </si>
  <si>
    <t xml:space="preserve">Caribbean street-confection snack bags: Coconut Clusters, Coconut Bites, Peanut Crunch, Vanilla Fudge (also spiced peanut butters)</t>
  </si>
  <si>
    <t xml:space="preserve">Deer Park, Long Island (privacy policy: NouBon, 669 Acorn St, Suite D, Deer Park NY 11729)</t>
  </si>
  <si>
    <t xml:space="preserve">http://www.noubon.com</t>
  </si>
  <si>
    <t xml:space="preserve">Debut-stage brand may be under the $500k floor (no sales figure); no NYC retailer named yet; 60-day shelf life not stated</t>
  </si>
  <si>
    <t xml:space="preserve">Pierrelande</t>
  </si>
  <si>
    <t xml:space="preserve">Saint Cyr</t>
  </si>
  <si>
    <t xml:space="preserve">find Pierrelande Saint Cyr at NouBon on LinkedIn and paste the profile URL into primary_linkedin_url</t>
  </si>
  <si>
    <t xml:space="preserve">New York State brand, no graded store within ten blocks, online store only, news 142 days ago, revenue unknown</t>
  </si>
  <si>
    <t xml:space="preserve">; founder review: under-floor</t>
  </si>
  <si>
    <t xml:space="preserve">Pierrelande Saint Cyr</t>
  </si>
  <si>
    <t xml:space="preserve">Startup CPG release, re-opened 2026-10-24 (review round 1): the page shows the name.</t>
  </si>
  <si>
    <t xml:space="preserve">under-floor</t>
  </si>
  <si>
    <t xml:space="preserve">Snack bags; storage not stated, founder to confirm</t>
  </si>
  <si>
    <t xml:space="preserve">No sales figure published. Debut lineup DTC plus Faire/Airgoods (Startup CPG 2026-06-04)</t>
  </si>
  <si>
    <t xml:space="preserve">DTC (noubon.com); wholesale via Faire and Airgoods</t>
  </si>
  <si>
    <t xml:space="preserve">BR4:45</t>
  </si>
  <si>
    <t xml:space="preserve">Haitian American sister founders. Peanut butters are spreads (not a drop item); the snack bags are the fit.</t>
  </si>
  <si>
    <t xml:space="preserve">nearest_stocked_retailer &lt;- https://stockist.co/api/v1/map_pqkk8eyq/locations/search?latitude=40.7411&amp;longitude=-73.9897&amp;distance=3&amp;distance_unit=mi (2026-10-24, opened); hq_city &lt;- http://www.noubon.com/policies/privacy-policy (2026-10-24, opened); </t>
  </si>
  <si>
    <t xml:space="preserve">AB-243</t>
  </si>
  <si>
    <t xml:space="preserve">Moon Man (Hello Moon Man)</t>
  </si>
  <si>
    <t xml:space="preserve">Scheduled at Queens Night Market on 2026-10-24 and 2026-10-31 (homepage 'Next Missions')</t>
  </si>
  <si>
    <t xml:space="preserve">https://hellomoonman.com/</t>
  </si>
  <si>
    <t xml:space="preserve">Moon Man Sweet Chili Micro Fries (bag)</t>
  </si>
  <si>
    <t xml:space="preserve">Queens, New York (vendor at Queens Night Market per homepage schedule; HQ address not stated, founder to confirm)</t>
  </si>
  <si>
    <t xml:space="preserve">https://hellomoonman.com</t>
  </si>
  <si>
    <t xml:space="preserve">Very small maker (market-stall brand); likely under the $500k floor and capacity for 275 units unknown</t>
  </si>
  <si>
    <t xml:space="preserve">Nigel</t>
  </si>
  <si>
    <t xml:space="preserve">Sielegar</t>
  </si>
  <si>
    <t xml:space="preserve">https://untappedcities.com/2017/09/29/10-not-to-miss-vendors-at-the-queens-international-night-market/4/</t>
  </si>
  <si>
    <t xml:space="preserve">find Nigel Sielegar at Moon Man on LinkedIn and paste the profile URL into primary_linkedin_url; the source is dated 2017: check Nigel still holds the role</t>
  </si>
  <si>
    <t xml:space="preserve">New York City brand (HQ unverified), no graded store within ten blocks, online store only, a new store listing 0 days ago, revenue unknown</t>
  </si>
  <si>
    <t xml:space="preserve">Nigel Sielegar</t>
  </si>
  <si>
    <t xml:space="preserve">Untapped Cities 2017, re-opened 2026-10-24 (review round 1): the page shows the name; an old source.</t>
  </si>
  <si>
    <t xml:space="preserve">Bagged crunchy snack sold ambient at Pearl River Mart; no shelf-life figure published, founder to confirm</t>
  </si>
  <si>
    <t xml:space="preserve">Pearl River Mart Foods (unverified, 11.4 blocks out)</t>
  </si>
  <si>
    <t xml:space="preserve">Pearl River Mart (online catalog); Queens Night Market stall</t>
  </si>
  <si>
    <t xml:space="preserve">https://www.pearlriver.com/products/moon-man-sweet-chili-micro-fries</t>
  </si>
  <si>
    <t xml:space="preserve">BR4:38</t>
  </si>
  <si>
    <t xml:space="preserve">Southeast Asian desserts and kaya jams brand; micro fries are its packaged snack. Homepage cites an Eater NY feature (2022). Pearl River Mart catalog (pearlriver.com online store; Chelsea Market food store at 75 9th Ave not confirmed for this item)</t>
  </si>
  <si>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</si>
  <si>
    <t xml:space="preserve">AB-123</t>
  </si>
  <si>
    <t xml:space="preserve">Numa Foods</t>
  </si>
  <si>
    <t xml:space="preserve">https://numafoods.com/pages/our-story-new</t>
  </si>
  <si>
    <t xml:space="preserve">Banana Cream Taffy 3.3 oz; Mini Peanut Butter Cocoa Bars</t>
  </si>
  <si>
    <t xml:space="preserve">Bridgewater</t>
  </si>
  <si>
    <t xml:space="preserve">https://numafoods.com</t>
  </si>
  <si>
    <t xml:space="preserve">'Healthier sweet alternative' and 'lead healthier lives' wellness language; check pack copy</t>
  </si>
  <si>
    <t xml:space="preserve">https://www.wholefoodsmarket.com/api/search?text=numa%20taffy&amp;store=10773&amp;limit=60&amp;offset=0</t>
  </si>
  <si>
    <t xml:space="preserve">Joyce</t>
  </si>
  <si>
    <t xml:space="preserve">find Joyce at Numa Foods on LinkedIn and paste the profile URL into primary_linkedin_url; surname not public: take it from LinkedIn; use the Whole Foods Market NoMad line only if retailer_checked_date is this week's Friday check</t>
  </si>
  <si>
    <t xml:space="preserve">The brand's story page, re-opened 2026-10-24 (review round 1): the page shows the name (first name only).</t>
  </si>
  <si>
    <t xml:space="preserve">Brand FAQ: 'Our chews are shelf-stable and have a shelf life of 12 months from the date of production.'</t>
  </si>
  <si>
    <t xml:space="preserve">https://www.wholefoodsmarket.com/api/search?text=numa%20taffy&amp;store=10162&amp;limit=60&amp;offset=0; https://www.wholefoodsmarket.com/api/search?text=numa%20taffy&amp;store=10773&amp;limit=60&amp;offset=0; https://www.wholefoodsmarket.com/api/search?text=numa%20taffy&amp;store=10131&amp;limit=60&amp;offset=0</t>
  </si>
  <si>
    <t xml:space="preserve">https://www.instagram.com/numafoods/</t>
  </si>
  <si>
    <t xml:space="preserve">BR2:61</t>
  </si>
  <si>
    <t xml:space="preserve">Family brand. No new SKU since 2025-06. Taffy individual wrapping not confirmed from pages opened; mini bars are single-serve.</t>
  </si>
  <si>
    <t xml:space="preserve">shelf_stable_basis &lt;- https://numafoods.com/pages/faq (2026-10-24, opened); hq_city &lt;- https://numafoods.com/policies/terms-of-service (2026-10-24, opened); hq_state &lt;- https://numafoods.com/policies/terms-of-service (2026-10-24, opened); </t>
  </si>
  <si>
    <t xml:space="preserve">AB-276</t>
  </si>
  <si>
    <t xml:space="preserve">Live Loud Foods</t>
  </si>
  <si>
    <t xml:space="preserve">In the Made in NYC Bodega at Brooklyn Navy Yard, September to November 2026 (site banner)</t>
  </si>
  <si>
    <t xml:space="preserve">https://www.liveloudfoods.com</t>
  </si>
  <si>
    <t xml:space="preserve">2026-09</t>
  </si>
  <si>
    <t xml:space="preserve">https://hotbreadkitchen.org/breadwinners-marketplace/</t>
  </si>
  <si>
    <t xml:space="preserve">Caribbean Jerk Candied Mixed Nuts; Candied Citrus Pistachio</t>
  </si>
  <si>
    <t xml:space="preserve">Hot Bread Kitchen incubator alumna; likely well under $500k. Founder name not on any page opened. Bag size not confirmed</t>
  </si>
  <si>
    <t xml:space="preserve">Keesha</t>
  </si>
  <si>
    <t xml:space="preserve">https://hotbreadkitchen.org/hbki/</t>
  </si>
  <si>
    <t xml:space="preserve">find Keesha at Live Loud Foods on LinkedIn and paste the profile URL into primary_linkedin_url; surname not public: take it from LinkedIn</t>
  </si>
  <si>
    <t xml:space="preserve">New York City brand, no graded store within ten blocks, online store only, a new store listing 53 days ago, revenue unknown</t>
  </si>
  <si>
    <t xml:space="preserve">Hot Bread Kitchen incubator page, re-opened 2026-10-24 (review round 1): the page shows the name (first name only).</t>
  </si>
  <si>
    <t xml:space="preserve">Candied nuts in sealed retail bags sold online; shelf life not stated</t>
  </si>
  <si>
    <t xml:space="preserve">Made in NYC Bodega pop-up at Brooklyn Navy Yard (Sept to Nov 2026); store locator page not reachable</t>
  </si>
  <si>
    <t xml:space="preserve">https://www.instagram.com/live.loud.foods</t>
  </si>
  <si>
    <t xml:space="preserve">BR5:12</t>
  </si>
  <si>
    <t xml:space="preserve">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</si>
  <si>
    <t xml:space="preserve">AB-282</t>
  </si>
  <si>
    <t xml:space="preserve">Dona</t>
  </si>
  <si>
    <t xml:space="preserve">Added a Mini Chai Streusel Granola single pack and a chai and granola bundle</t>
  </si>
  <si>
    <t xml:space="preserve">https://drinkdona.com/products.json</t>
  </si>
  <si>
    <t xml:space="preserve">Mini Chai Streusel Granola with Honey ($5 single pack)</t>
  </si>
  <si>
    <t xml:space="preserve">Brooklyn (1365 Halsey St, 11237)</t>
  </si>
  <si>
    <t xml:space="preserve">https://drinkdona.com</t>
  </si>
  <si>
    <t xml:space="preserve">Core line is tea, matcha and chai concentrate, which need preparation (excluded); only the mini granola fits. Check who makes it and which SKU is eligible</t>
  </si>
  <si>
    <t xml:space="preserve">New York City brand, no graded store within ten blocks, online store only, a new store listing 93 days ago, revenue unknown</t>
  </si>
  <si>
    <t xml:space="preserve">Packaged granola and dry teas sold ambient online; shelf life not stated</t>
  </si>
  <si>
    <t xml:space="preserve">https://www.instagram.com/drinkdona</t>
  </si>
  <si>
    <t xml:space="preserve">BR5:18</t>
  </si>
  <si>
    <t xml:space="preserve">Dona's Cardamom Rose Tea Concentrate is a 2027 sofi finalist (Coffee &amp; Tea, announced 2026-10-19); that SKU needs mixing, so it is not the placement product. Footer: '©2026 DONA CHAI LLC | 1365 HALSEY ST, BROOKLYN, NY 11237'.</t>
  </si>
  <si>
    <t xml:space="preserve">AB-225</t>
  </si>
  <si>
    <t xml:space="preserve">Blind Tiger Spirit-Free Cocktails</t>
  </si>
  <si>
    <t xml:space="preserve">Expanded national pilot to 400 Whole Foods Market stores (Jan 26 to end of Feb 2026)</t>
  </si>
  <si>
    <t xml:space="preserve">https://startupcpg.com/startup-cpg-newswire-blind-tiger-spirit-free-cocktails-expands-national-pilot-across-400-whole-foods-market-stores/</t>
  </si>
  <si>
    <t xml:space="preserve">2026-02-03</t>
  </si>
  <si>
    <t xml:space="preserve">https://blindtigerspiritfree.com/</t>
  </si>
  <si>
    <t xml:space="preserve">Southside Mojito spirit-free cocktail, can (8-can packs online; 4-packs at WFM)</t>
  </si>
  <si>
    <t xml:space="preserve">Erie</t>
  </si>
  <si>
    <t xml:space="preserve">https://blindtigerspiritfree.com</t>
  </si>
  <si>
    <t xml:space="preserve">Non-alcoholic cocktail positioned for bars and for mixing with spirits (alcohol-adjacent); an office may veto; 60-day shelf life not stated</t>
  </si>
  <si>
    <t xml:space="preserve">Styn</t>
  </si>
  <si>
    <t xml:space="preserve">find Rebecca Styn at Blind Tiger Spirit-Free Cocktails on LinkedIn and paste the profile URL into primary_linkedin_url; the retailer line rests on the brand's own store locator: say 'your store locator lists ...'</t>
  </si>
  <si>
    <t xml:space="preserve">Northeast brand, brand locator shows Whole Foods Market NoMad inside the cluster, news 263 days ago, revenue unknown</t>
  </si>
  <si>
    <t xml:space="preserve">Rebecca Styn</t>
  </si>
  <si>
    <t xml:space="preserve">Startup CPG release, re-opened 2026-10-24 (review round 1): the page shows the name and title.</t>
  </si>
  <si>
    <t xml:space="preserve">PA</t>
  </si>
  <si>
    <t xml:space="preserve">Canned RTD; storage not stated on homepage, founder to confirm</t>
  </si>
  <si>
    <t xml:space="preserve">Release: 1,600+ retailers nationwide (store count, not used for band)</t>
  </si>
  <si>
    <t xml:space="preserve">Whole Foods Market NoMad, 63 Madison Ave (brand_claim, inside);Whole Foods Market Union Square, 4 Union Sq S (brand_claim, inside);Whole Foods Market Chelsea, 250 7th Ave (brand_claim, 3.0 blocks out)</t>
  </si>
  <si>
    <t xml:space="preserve">Whole Foods Market Manhattan West (brand_claim, 13.8 blocks out)</t>
  </si>
  <si>
    <t xml:space="preserve">Whole Foods Market (400-store national pilot Jan-Feb 2026; ~100 stores Nov 2025 incl. New York); Wegmans; Total Wine &amp; More; Royal Caribbean</t>
  </si>
  <si>
    <t xml:space="preserve">https://www.wholefoodsmarket.com/api/search?text=blind%20tiger&amp;store=10773&amp;limit=60&amp;offset=0</t>
  </si>
  <si>
    <t xml:space="preserve">BR4:20</t>
  </si>
  <si>
    <t xml:space="preserve">Spirit-free (no alcohol) per brand; recorded under other-drink. WFM pilot was time-limited; current cluster listing not found.</t>
  </si>
  <si>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</si>
  <si>
    <t xml:space="preserve">AB-169</t>
  </si>
  <si>
    <t xml:space="preserve">Banagua</t>
  </si>
  <si>
    <t xml:space="preserve">Won the 2026 Startup CPG Shelfie Award, Beverage (2026-08-24); announced a 5.5M investment from Hingham Growth Partners and 3,500+ doors incl. Sprouts, Albertsons, Kroger, Erewhon (2026-06-02); named Best New Brand by Beverage Digest (2026-01-12)</t>
  </si>
  <si>
    <t xml:space="preserve">https://startupcpg.com/startup-cpg-shelfie-winners-2026/</t>
  </si>
  <si>
    <t xml:space="preserve">2026-08-24</t>
  </si>
  <si>
    <t xml:space="preserve">https://banagua.com/pages/about-us</t>
  </si>
  <si>
    <t xml:space="preserve">Banagua Original Banana Water, aluminum can</t>
  </si>
  <si>
    <t xml:space="preserve">Nashville (office in Smyrna, TN)</t>
  </si>
  <si>
    <t xml:space="preserve">https://banagua.com</t>
  </si>
  <si>
    <t xml:space="preserve">NYC retail and HQ not confirmed; product copy says 'antioxidant-rich and full of natural energy' (soft wording, check label). Startup CPG community brand, which suits a warm intro; national retail distribution in the why-now ('3,500+ doors'): check the revenue band at intake</t>
  </si>
  <si>
    <t xml:space="preserve">Rob</t>
  </si>
  <si>
    <t xml:space="preserve">Smithson</t>
  </si>
  <si>
    <t xml:space="preserve">https://www.newhope.com/brands/banaguas-rapid-banana-water-growth-rivals-coconut-water</t>
  </si>
  <si>
    <t xml:space="preserve">find Rob Smithson at Banagua on LinkedIn and paste the profile URL into primary_linkedin_url</t>
  </si>
  <si>
    <t xml:space="preserve">Jose Carlos</t>
  </si>
  <si>
    <t xml:space="preserve">Herrera</t>
  </si>
  <si>
    <t xml:space="preserve">find Jose Carlos Herrera at Banagua on LinkedIn and paste the profile URL into backup_linkedin_url</t>
  </si>
  <si>
    <t xml:space="preserve">Brand based outside the Northeast, no graded store within ten blocks, online store only, news 61 days ago, revenue in band</t>
  </si>
  <si>
    <t xml:space="preserve">Rob Smithson</t>
  </si>
  <si>
    <t xml:space="preserve">New Hope Network, re-opened 2026-10-24 (review round 1): the page shows the name.</t>
  </si>
  <si>
    <t xml:space="preserve">Jose Carlos Herrera</t>
  </si>
  <si>
    <t xml:space="preserve">5.5M round led by Hingham Growth Partners (2026); round stage not stated</t>
  </si>
  <si>
    <t xml:space="preserve">About page: 'lightly pasteurize... aluminum cans... shelf-stable for up to 18 months' (banagua.com/pages/about-us, opened 2026-10-23)</t>
  </si>
  <si>
    <t xml:space="preserve">500k-10m</t>
  </si>
  <si>
    <t xml:space="preserve">company projection, not actuals</t>
  </si>
  <si>
    <t xml:space="preserve">Co-founder Rob Smithson in New Hope 2026-07-22: a little more than $5 million expected in year one; a little over 3,000 doors within four months | about 5M expected in first year (company projection, not actuals)</t>
  </si>
  <si>
    <t xml:space="preserve">unknown (Destini locator not readable)</t>
  </si>
  <si>
    <t xml:space="preserve">BR3:43</t>
  </si>
  <si>
    <t xml:space="preserve">Shelfie finalists page (2026-08-06) describes 'Single ingredient banana water with no funny stuff'. Flavors: Original, Strawberry, Blueberry, Cocoa Vanilla (listed 2025-05-13).</t>
  </si>
  <si>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</si>
  <si>
    <t xml:space="preserve">AB-224</t>
  </si>
  <si>
    <t xml:space="preserve">Day Out Snacks</t>
  </si>
  <si>
    <t xml:space="preserve">Launched limited-edition Apple Pie and Pumpkin Cheesecake flavors for fall; landed nationwide at Target in June 2026</t>
  </si>
  <si>
    <t xml:space="preserve">https://startupcpg.com/startup-cpg-newswire-day-out-snacks-launches-limited-edition-apple-pie-and-pumpkin-cheesecake-flavors-for-fall/</t>
  </si>
  <si>
    <t xml:space="preserve">2026-08-25</t>
  </si>
  <si>
    <t xml:space="preserve">https://startupcpg.com/startup-cpg-newswire-day-out-snacks-lands-nationwide-at-target/</t>
  </si>
  <si>
    <t xml:space="preserve">Dessert-inspired plant-protein balls, single-serve pouches (4 per box at Target); 4.5 oz resealable bag</t>
  </si>
  <si>
    <t xml:space="preserve">Red Bank, NJ per the August 2026 release; an October 2026 release dateline and an NJBIZ article give Montville, NJ (search snippets only; unverified, founder to confirm)</t>
  </si>
  <si>
    <t xml:space="preserve">https://getdayout.com</t>
  </si>
  <si>
    <t xml:space="preserve">Protein positioning ('functional snacking', 9-12g plant protein per serving); kids' activities angle in boilerplate; national retail distribution in the why-now ('nationwide at Target'): check the revenue band at intake</t>
  </si>
  <si>
    <t xml:space="preserve">Becky</t>
  </si>
  <si>
    <t xml:space="preserve">Dheri</t>
  </si>
  <si>
    <t xml:space="preserve">find Becky Dheri at Day Out Snacks on LinkedIn and paste the profile URL into primary_linkedin_url</t>
  </si>
  <si>
    <t xml:space="preserve">Northeast brand (HQ unverified), no graded store within ten blocks, online store only, news 60 days ago, revenue unknown</t>
  </si>
  <si>
    <t xml:space="preserve">Becky Dheri</t>
  </si>
  <si>
    <t xml:space="preserve">Brand FAQ: 'good for 8 months sealed'; no refrigeration needed ('can be kept at room temperature'); resealable bags</t>
  </si>
  <si>
    <t xml:space="preserve">Target nationwide (June 2026; endcaps in ~800 stores June 14-July 25); 54 Costco locations across the Northeast (Sept 2025); ShopRite (rollout before Sept 2025)</t>
  </si>
  <si>
    <t xml:space="preserve">BR4:19</t>
  </si>
  <si>
    <t xml:space="preserve">Boilerplate names 'a busy workday' as a use case. Target's Manhattan stores (e.g., Kips Bay, Herald Square) not checked. Brand website not reached.</t>
  </si>
  <si>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</si>
  <si>
    <t xml:space="preserve">AB-218</t>
  </si>
  <si>
    <t xml:space="preserve">WildBoard</t>
  </si>
  <si>
    <t xml:space="preserve">Launched savory trail mix clusters in three flavors after sampling 3,500+ units incl. Expo West 2026</t>
  </si>
  <si>
    <t xml:space="preserve">https://startupcpg.com/startup-cpg-newswire-wildboard-launches-savory-trail-mix-clusters-bringing-the-appetizer-board-to-everyday-snacking/</t>
  </si>
  <si>
    <t xml:space="preserve">2026-09-30</t>
  </si>
  <si>
    <t xml:space="preserve">https://wildboardsnacks.com/</t>
  </si>
  <si>
    <t xml:space="preserve">Mezze (Pistachios &amp; Za'atar) savory trail mix clusters, 3.5 oz bag</t>
  </si>
  <si>
    <t xml:space="preserve">Guilford</t>
  </si>
  <si>
    <t xml:space="preserve">https://wildboardsnacks.com</t>
  </si>
  <si>
    <t xml:space="preserve">Nutrient-content claims (15g protein, 12g fiber per bag); brand just launched, no NYC retailer yet</t>
  </si>
  <si>
    <t xml:space="preserve">Boysen</t>
  </si>
  <si>
    <t xml:space="preserve">find Amy Boysen at WildBoard on LinkedIn and paste the profile URL into primary_linkedin_url</t>
  </si>
  <si>
    <t xml:space="preserve">Northeast brand, no graded store within ten blocks, online store only, news 24 days ago, revenue unknown</t>
  </si>
  <si>
    <t xml:space="preserve">Amy Boysen</t>
  </si>
  <si>
    <t xml:space="preserve">CT</t>
  </si>
  <si>
    <t xml:space="preserve">Brand product page: '12 months shelf life from production, shelf stable, no refrigeration' (3.5 oz stand-up pouch)</t>
  </si>
  <si>
    <t xml:space="preserve">No sales figure published. Launched Sept 2026 (Startup CPG 2026-09-30): early stage, band founder to confirm</t>
  </si>
  <si>
    <t xml:space="preserve">Online (wildboardsnacks.com); Expo West 2026 sampling</t>
  </si>
  <si>
    <t xml:space="preserve">BR4:13</t>
  </si>
  <si>
    <t xml:space="preserve">Homepage positions it as 'Built for the desk' and 'The 3pm slump' snack, a strong office-pantry fit. Release datelined New York, NY but founders are out of Guilford, CT. Women- and LGBTQIA+-owned.</t>
  </si>
  <si>
    <t xml:space="preserve">nearest_stocked_retailer &lt;- https://stockist.co/api/v1/map_rq48522q/locations/search?latitude=40.7411&amp;longitude=-73.9897&amp;distance=3&amp;distance_unit=mi (2026-10-24, opened); shelf_stable_basis &lt;- https://wildboardsnacks.com/products.json?limit=250 (2026-10-24, opened); </t>
  </si>
  <si>
    <t xml:space="preserve">AB-007</t>
  </si>
  <si>
    <t xml:space="preserve">Eccentric Bagel Chips</t>
  </si>
  <si>
    <t xml:space="preserve">Five-flavor mini chip line and variety pack published on new brand store</t>
  </si>
  <si>
    <t xml:space="preserve">https://eccentricbagelchips.com/pages/shop</t>
  </si>
  <si>
    <t xml:space="preserve">https://eccentricbagelchips.com/pages/about</t>
  </si>
  <si>
    <t xml:space="preserve">Eccentric Bagel Mini Chips, Everything ($8 bag)</t>
  </si>
  <si>
    <t xml:space="preserve">Shelter Island</t>
  </si>
  <si>
    <t xml:space="preserve">Darryn</t>
  </si>
  <si>
    <t xml:space="preserve">Weinstein</t>
  </si>
  <si>
    <t xml:space="preserve">https://northforker.com/2025/03/my-favorite-things-darryn-weinstein-eccentric-bagel/</t>
  </si>
  <si>
    <t xml:space="preserve">find Darryn Weinstein at Eccentric Bagel Chips on LinkedIn and paste the profile URL into primary_linkedin_url</t>
  </si>
  <si>
    <t xml:space="preserve">New York State brand, no graded store within ten blocks, online store only, a new store listing 65 days ago, revenue unknown</t>
  </si>
  <si>
    <t xml:space="preserve">Darryn Weinstein</t>
  </si>
  <si>
    <t xml:space="preserve">Northforker 2025-03, re-opened 2026-10-24 (review round 1): the page shows the name.</t>
  </si>
  <si>
    <t xml:space="preserve">https://eccentricbagelchips.com</t>
  </si>
  <si>
    <t xml:space="preserve">Brand FAQ: 'Our bagel chips have a 5-month shelf life when unopened.' Passes the 60-day rule if delivered within about 3 months of bake.</t>
  </si>
  <si>
    <t xml:space="preserve">PopUp Grocer (brand_claim, unplaced)</t>
  </si>
  <si>
    <t xml:space="preserve">PopUp Grocer (NYC)</t>
  </si>
  <si>
    <t xml:space="preserve">https://popupgrocer.com/pages/directory (availability 'NYC Flagship', 2026-10-23); https://popupgrocer.com/products/eccentric-bagel-chips</t>
  </si>
  <si>
    <t xml:space="preserve">https://instagram.com/eccentricbagelchips</t>
  </si>
  <si>
    <t xml:space="preserve">BR1:8</t>
  </si>
  <si>
    <t xml:space="preserve">About page: founder spent 30+ years in luxury travel, started during COVID; Shelter Island NY. Seed-oil free, Jewish- and women-owned per PopUp Grocer tags. why_now date is Shopify published_at (products.json). Bag size not confirmed.</t>
  </si>
  <si>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</si>
  <si>
    <t xml:space="preserve">AB-136</t>
  </si>
  <si>
    <t xml:space="preserve">Hal's New York</t>
  </si>
  <si>
    <t xml:space="preserve">https://www.halsnewyork.com/hals-story/</t>
  </si>
  <si>
    <t xml:space="preserve">Hal's New York Seltzer, can; also ginger ale</t>
  </si>
  <si>
    <t xml:space="preserve">Maspeth (Queens, New York City)</t>
  </si>
  <si>
    <t xml:space="preserve">https://www.halsnewyork.com</t>
  </si>
  <si>
    <t xml:space="preserve">Brand of a large NY distributor (Big Geyser), so likely not budget-constrained the way an emerging brand is; also sells kettle chips (check snack slices for overlap); 60-day shelf life not stated</t>
  </si>
  <si>
    <t xml:space="preserve">Hershkowitz</t>
  </si>
  <si>
    <t xml:space="preserve">CEO, Big Geyser</t>
  </si>
  <si>
    <t xml:space="preserve">https://www.longisland.com/news/11-09-22/hals-new-york-home-grown-seltzer-snack-company-making-waves-nationwide.html</t>
  </si>
  <si>
    <t xml:space="preserve">find Lewis Hershkowitz at Hal's New York on LinkedIn and paste the profile URL into primary_linkedin_url</t>
  </si>
  <si>
    <t xml:space="preserve">Stephanie</t>
  </si>
  <si>
    <t xml:space="preserve">Reda</t>
  </si>
  <si>
    <t xml:space="preserve">Director of Brand Development</t>
  </si>
  <si>
    <t xml:space="preserve">marketing</t>
  </si>
  <si>
    <t xml:space="preserve">find Stephanie Reda at Hal's New York on LinkedIn and paste the profile URL into backup_linkedin_url</t>
  </si>
  <si>
    <t xml:space="preserve">New York City brand, no graded store within ten blocks, online store only, no dated why-now in the last 12 months, revenue unknown</t>
  </si>
  <si>
    <t xml:space="preserve">Lewis Hershkowitz</t>
  </si>
  <si>
    <t xml:space="preserve">Stephanie Reda</t>
  </si>
  <si>
    <t xml:space="preserve">distributor-owned (Big Geyser, per NOSH 2019 snippet, not opened)</t>
  </si>
  <si>
    <t xml:space="preserve">https://www.nosh.com/news/2019/big-geyser-expands-hals-new-york-into-snacks</t>
  </si>
  <si>
    <t xml:space="preserve">Canned seltzer; no shelf-life statement on brand site</t>
  </si>
  <si>
    <t xml:space="preserve">7-Eleven (CSP Daily News headline in search results)</t>
  </si>
  <si>
    <t xml:space="preserve">https://www.instagram.com/halsnewyork</t>
  </si>
  <si>
    <t xml:space="preserve">BR3:10</t>
  </si>
  <si>
    <t xml:space="preserve">Site tagline 'New York born, New York made'; store locator is JS (no data read).</t>
  </si>
  <si>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</si>
  <si>
    <t xml:space="preserve">AB-056</t>
  </si>
  <si>
    <t xml:space="preserve">Stellar Snacks</t>
  </si>
  <si>
    <t xml:space="preserve">Trade-press interview on pretzel growth and new flavors</t>
  </si>
  <si>
    <t xml:space="preserve">https://www.snackandbakery.com/articles/116213-stellar-snacks-cofounders-rosy-about-the-future-of-pretzels</t>
  </si>
  <si>
    <t xml:space="preserve">Stellar Snacks clean-label pretzels (flavored)</t>
  </si>
  <si>
    <t xml:space="preserve">Carson City</t>
  </si>
  <si>
    <t xml:space="preserve">https://stellarsnacks.com/collections/all</t>
  </si>
  <si>
    <t xml:space="preserve">Only one trade article opened; site, HQ, retail and pack sizes unconfirmed; single-serve pack not shown on the pages read: ask on the first call</t>
  </si>
  <si>
    <t xml:space="preserve">Elisabeth</t>
  </si>
  <si>
    <t xml:space="preserve">Galvin</t>
  </si>
  <si>
    <t xml:space="preserve">find Elisabeth Galvin at Stellar Snacks on LinkedIn and paste the profile URL into primary_linkedin_url</t>
  </si>
  <si>
    <t xml:space="preserve">Andy</t>
  </si>
  <si>
    <t xml:space="preserve">Yee</t>
  </si>
  <si>
    <t xml:space="preserve">https://stellarsnacks.com/pages/about</t>
  </si>
  <si>
    <t xml:space="preserve">find Andy Yee at Stellar Snacks on LinkedIn and paste the profile URL into backup_linkedin_url</t>
  </si>
  <si>
    <t xml:space="preserve">Brand based outside the Northeast, no graded store within ten blocks, online store only, news 65 days ago, revenue unknown</t>
  </si>
  <si>
    <t xml:space="preserve">Elisabeth Galvin</t>
  </si>
  <si>
    <t xml:space="preserve">Snack and Bakery, re-opened 2026-10-24 (review round 1): the page shows the name.</t>
  </si>
  <si>
    <t xml:space="preserve">Andy Yee</t>
  </si>
  <si>
    <t xml:space="preserve">The brand's own About page (opened 2026-10-24) lists 'Andy | Yee | Senior Brand Manager'.</t>
  </si>
  <si>
    <t xml:space="preserve">https://stellarsnacks.com</t>
  </si>
  <si>
    <t xml:space="preserve">NV</t>
  </si>
  <si>
    <t xml:space="preserve">Baked pretzels, ambient</t>
  </si>
  <si>
    <t xml:space="preserve">BR1:57</t>
  </si>
  <si>
    <t xml:space="preserve">Thin row; keep only if a second pass confirms NYC buy path. | Stage 1 online-store check 2026-10-24: Shopify store: products.json lists 21 products, 20 variants available (https://stellarsnacks.com/products.json)</t>
  </si>
  <si>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</si>
  <si>
    <t xml:space="preserve">AB-036</t>
  </si>
  <si>
    <t xml:space="preserve">S'NOODS</t>
  </si>
  <si>
    <t xml:space="preserve">Featured in Startup CPG 'Chipsplosion' roundup; new Italian Combo and variety 6-packs on brand store (2026-09-10)</t>
  </si>
  <si>
    <t xml:space="preserve">https://www.eatsnoods.com/pages/about</t>
  </si>
  <si>
    <t xml:space="preserve">S'NOODS Spicy Miso Ramen noodle chips, 4 oz bag</t>
  </si>
  <si>
    <t xml:space="preserve">New York (search snippet: a trade outlet calls it 'New York-based'; unverified, founder to confirm)</t>
  </si>
  <si>
    <t xml:space="preserve">https://www.eatsnoods.com</t>
  </si>
  <si>
    <t xml:space="preserve">no individually packaged single-serve SKU on the pages read (check for one before outreach)</t>
  </si>
  <si>
    <t xml:space="preserve">Lauryn</t>
  </si>
  <si>
    <t xml:space="preserve">Bodden</t>
  </si>
  <si>
    <t xml:space="preserve">find Lauryn Bodden at S'NOODS on LinkedIn and paste the profile URL into primary_linkedin_url</t>
  </si>
  <si>
    <t xml:space="preserve">New York City brand (HQ unverified), no graded store within ten blocks, online store only, a new store listing 95 days ago, revenue unknown</t>
  </si>
  <si>
    <t xml:space="preserve">Lauryn Bodden</t>
  </si>
  <si>
    <t xml:space="preserve">Bagged noodle chips sold ambient; DTC and Amazon</t>
  </si>
  <si>
    <t xml:space="preserve">215+ retail doors across the Eastern U.S.; distributors Chex Finer Foods and Rainforest; Amazon; Faire (Startup CPG, 2026-07-21)</t>
  </si>
  <si>
    <t xml:space="preserve">https://startupcpg.com/14-chip-brands-taking-your-tastebuds-on-a-flavor-tour/; https://www.wholefoodsmarket.com/search?text=s%27noods%20noodle%20chips (no WFM results in cluster stores, 2026-10-23)</t>
  </si>
  <si>
    <t xml:space="preserve">BR1:37</t>
  </si>
  <si>
    <t xml:space="preserve">East Coast distribution footprint; HQ not stated on site or policy pages.</t>
  </si>
  <si>
    <t xml:space="preserve">hq_city &lt;- https://www.nosh.com/news/2024/pasta-snack (2026-10-24, snippet-unverified); hq_state &lt;- https://www.nosh.com/news/2024/pasta-snack (2026-10-24, snippet-unverified); </t>
  </si>
  <si>
    <t xml:space="preserve">AB-143</t>
  </si>
  <si>
    <t xml:space="preserve">Irving Farm New York</t>
  </si>
  <si>
    <t xml:space="preserve">Irving Farm cafe Gramercy, 71 Irving Place</t>
  </si>
  <si>
    <t xml:space="preserve">Launched RTD cold brew cans: 12 x 12 oz pack (store listing 2025-11-05), then a four-pack (2026-04-14)</t>
  </si>
  <si>
    <t xml:space="preserve">https://irvingfarmcoffee.com/products/cold-brew-can-four-pack</t>
  </si>
  <si>
    <t xml:space="preserve">https://irvingfarmcoffee.com/pages/history</t>
  </si>
  <si>
    <t xml:space="preserve">Irving Farm Cold Brew, 12 oz shelf-stable can (Blackstrap blend)</t>
  </si>
  <si>
    <t xml:space="preserve">New York (cafes); roastery Millerton</t>
  </si>
  <si>
    <t xml:space="preserve">Coffee roaster and cafe group rather than a pure CPG brand; revenue band unknown; RTD cans are a new line, which is the why-now. Has an office subscription and wholesale program</t>
  </si>
  <si>
    <t xml:space="preserve">Elwell</t>
  </si>
  <si>
    <t xml:space="preserve">Co-founder and original owners</t>
  </si>
  <si>
    <t xml:space="preserve">https://lakevillejournal.com/former-owners-return-and-irving-farm-returns-its-roots</t>
  </si>
  <si>
    <t xml:space="preserve">find David Elwell at Irving Farm New York on LinkedIn and paste the profile URL into primary_linkedin_url</t>
  </si>
  <si>
    <t xml:space="preserve">Chad</t>
  </si>
  <si>
    <t xml:space="preserve">Freilino</t>
  </si>
  <si>
    <t xml:space="preserve">CEO since 2020</t>
  </si>
  <si>
    <t xml:space="preserve">https://mastmarket.com/blogs/the-mast-journal/focusing-on-the-origin-with-chad-freilino</t>
  </si>
  <si>
    <t xml:space="preserve">find Chad Freilino at Irving Farm New York on LinkedIn and paste the profile URL into backup_linkedin_url</t>
  </si>
  <si>
    <t xml:space="preserve">New York City brand, no graded store within ten blocks, online store only, a new store listing 193 days ago, revenue unknown</t>
  </si>
  <si>
    <t xml:space="preserve">David Elwell</t>
  </si>
  <si>
    <t xml:space="preserve">Chad Freilino</t>
  </si>
  <si>
    <t xml:space="preserve">CEO, not a marketing title</t>
  </si>
  <si>
    <t xml:space="preserve">https://irvingfarmcoffee.com</t>
  </si>
  <si>
    <t xml:space="preserve">Product pages: '12-pack of 12oz shelf-stable cans' and 'These cans can be stored at room temperature' (irvingfarmcoffee.com/products.json, read 2026-10-23)</t>
  </si>
  <si>
    <t xml:space="preserve">Irving Farm cafe Gramercy, 71 Irving Place (unverified, 0.9 blocks out);Irving Farm cafe, 79 E 10th St (unverified, 2.4 blocks out)</t>
  </si>
  <si>
    <t xml:space="preserve">Own cafes: Gramercy (71 Irving Place), 79 E 10th St, Washington Square (78 W 3rd St), Olympic Tower, Upper West Side, Hudson Valley</t>
  </si>
  <si>
    <t xml:space="preserve">https://irvingfarmcoffee.com/pages/locations</t>
  </si>
  <si>
    <t xml:space="preserve">https://www.instagram.com/irvingfarmcoffee</t>
  </si>
  <si>
    <t xml:space="preserve">BR3:17</t>
  </si>
  <si>
    <t xml:space="preserve">History page: first cafe at 52 Irving Place (1996), flagship 71 Irving Place since 2001, roasts in Millerton NY. Flagship cafe is inside the cluster, a natural tie-in. Dates are Shopify publish dates.</t>
  </si>
  <si>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</si>
  <si>
    <t xml:space="preserve">AB-157</t>
  </si>
  <si>
    <t xml:space="preserve">JUST Water</t>
  </si>
  <si>
    <t xml:space="preserve">https://justwater.com/pages/faqs</t>
  </si>
  <si>
    <t xml:space="preserve">JUST Spring Water 16.9 fl oz plant-based carton; JUST Bubbles flavored sparkling water</t>
  </si>
  <si>
    <t xml:space="preserve">https://justwater.com</t>
  </si>
  <si>
    <t xml:space="preserve">Celebrity-founded national water brand; probably not budget-constrained like an emerging brand; plain water is a weak trial product for a survey</t>
  </si>
  <si>
    <t xml:space="preserve">Jaden</t>
  </si>
  <si>
    <t xml:space="preserve">Smith</t>
  </si>
  <si>
    <t xml:space="preserve">https://justwater.com/pages/about</t>
  </si>
  <si>
    <t xml:space="preserve">find Jaden Smith at JUST Water on LinkedIn and paste the profile URL into primary_linkedin_url</t>
  </si>
  <si>
    <t xml:space="preserve">Jaden Smith</t>
  </si>
  <si>
    <t xml:space="preserve">Brand FAQ: Still best within 18 months of bottling, Bubbles within 12 months; store in a cool, dry place (justwater.com/pages/faqs, opened 2026-10-24)</t>
  </si>
  <si>
    <t xml:space="preserve">BR3:31</t>
  </si>
  <si>
    <t xml:space="preserve">FAQ: still water sourced from the Glens Falls watershed, Adirondacks, upstate New York, under an agreement with the City of Glens Falls. Company HQ not stated.</t>
  </si>
  <si>
    <t xml:space="preserve">hq_city &lt;- https://justwater.com/policies/privacy-policy (2026-10-24, opened); hq_state &lt;- https://justwater.com/policies/privacy-policy (2026-10-24, opened); shelf_stable &lt;- https://justwater.com/pages/faqs (2026-10-24, opened); shelf_stable_basis &lt;- https://justwater.com/pages/faqs (2026-10-24, opened); </t>
  </si>
  <si>
    <t xml:space="preserve">AB-260</t>
  </si>
  <si>
    <t xml:space="preserve">Sol Cacao</t>
  </si>
  <si>
    <t xml:space="preserve">https://www.solcacao.com/about-us</t>
  </si>
  <si>
    <t xml:space="preserve">70% Peru single-origin dark chocolate bar, 1.86 oz</t>
  </si>
  <si>
    <t xml:space="preserve">Bronx (780 E 133rd St)</t>
  </si>
  <si>
    <t xml:space="preserve">https://www.solcacao.com</t>
  </si>
  <si>
    <t xml:space="preserve">Small family bean-to-bar maker; capacity for 275 units and budget unknown; no cluster retailer found (online shop is the buy path)</t>
  </si>
  <si>
    <t xml:space="preserve">Maloney</t>
  </si>
  <si>
    <t xml:space="preserve">https://business.bronxchamber.org/list/member/sol-cacao-llc-4669</t>
  </si>
  <si>
    <t xml:space="preserve">find Daniel Maloney at Sol Cacao on LinkedIn and paste the profile URL into primary_linkedin_url</t>
  </si>
  <si>
    <t xml:space="preserve">Daniel Maloney</t>
  </si>
  <si>
    <t xml:space="preserve">with brothers Dominic and Nicholas Maloney</t>
  </si>
  <si>
    <t xml:space="preserve">family business (about page)</t>
  </si>
  <si>
    <t xml:space="preserve">Wrapped dark chocolate bars sold ambient; no shelf-life figure published, founder to confirm</t>
  </si>
  <si>
    <t xml:space="preserve">Whole Foods Market Williamsburg, Brooklyn (WFM catalog, flagged Local); brand online shop</t>
  </si>
  <si>
    <t xml:space="preserve">https://www.wholefoodsmarket.com/api/search?text=chocolate&amp;store=10487&amp;limit=60&amp;offset=0&amp;featured=local</t>
  </si>
  <si>
    <t xml:space="preserve">BR4:55</t>
  </si>
  <si>
    <t xml:space="preserve">'First bean to bar chocolate factory in the Bronx' (about page). Strong NYC story for an office card. WFM Williamsburg (store 10487) lists Ecuador, Madagascar and Peru bars, flagged Local (2026-10-23).</t>
  </si>
  <si>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</si>
  <si>
    <t xml:space="preserve">AB-283</t>
  </si>
  <si>
    <t xml:space="preserve">Caltein</t>
  </si>
  <si>
    <t xml:space="preserve">CompleteBody Chelsea, 22 W 19th St</t>
  </si>
  <si>
    <t xml:space="preserve">Chocolate Chip Protein Butter Cookie pouches, 6-pack</t>
  </si>
  <si>
    <t xml:space="preserve">Queens (Entrepreneur Space client; unverified, founder to confirm)</t>
  </si>
  <si>
    <t xml:space="preserve">https://caltein.com</t>
  </si>
  <si>
    <t xml:space="preserve">Protein positioning ('protein snacks') is a nutrient-content claim. No dated news in the last 12 months; newest online SKU is from 2025-02; 60-day shelf life not stated</t>
  </si>
  <si>
    <t xml:space="preserve">Aaron</t>
  </si>
  <si>
    <t xml:space="preserve">https://caltein.com/pages/about-us</t>
  </si>
  <si>
    <t xml:space="preserve">find Aaron at Caltein on LinkedIn and paste the profile URL into primary_linkedin_url; surname not public: take it from LinkedIn; the retailer line rests on the brand's own store locator: say 'your store locator lists ...'</t>
  </si>
  <si>
    <t xml:space="preserve">New York City brand (HQ unverified), brand locator shows CompleteBody Chelsea inside the cluster, no dated why-now in the last 12 months, revenue unknown</t>
  </si>
  <si>
    <t xml:space="preserve">surname not given</t>
  </si>
  <si>
    <t xml:space="preserve">Cookie pouches sold online in 6-packs and in gyms and nut shops; shelf life not stated</t>
  </si>
  <si>
    <t xml:space="preserve">CompleteBody Chelsea, 22 W 19th St (brand_claim, inside)</t>
  </si>
  <si>
    <t xml:space="preserve">Nuts Factory Union Square (brand_claim, unplaced);Nuts Factory Chelsea (brand_claim, unplaced)</t>
  </si>
  <si>
    <t xml:space="preserve">CompleteBody (Chelsea, Grand Central); Nuts Factory (Chelsea, Union Square, East Village); TMPL; Happier Grocery; The Shelf (brand Stockist locator)</t>
  </si>
  <si>
    <t xml:space="preserve">https://stockist.co/api/v1/map_93ezz7vq/locations/search?latitude=40.7411&amp;longitude=-73.9897&amp;distance=5 (widget on https://caltein.com/pages/store-locator)</t>
  </si>
  <si>
    <t xml:space="preserve">https://www.instagram.com/eatcaltein/</t>
  </si>
  <si>
    <t xml:space="preserve">BR5:19</t>
  </si>
  <si>
    <t xml:space="preserve">Entrepreneur Space current client: 'Caltein, Protein Butter Cookies'. A gym (CompleteBody, 22 W 19th St) inside the cluster is a brand-claimed stockist.</t>
  </si>
  <si>
    <t xml:space="preserve">AB-280</t>
  </si>
  <si>
    <t xml:space="preserve">Sivaro Snacks</t>
  </si>
  <si>
    <t xml:space="preserve">Launched limited-edition Pumpkin Spice Cashews</t>
  </si>
  <si>
    <t xml:space="preserve">https://www.thesivarosnacks.com/products.json</t>
  </si>
  <si>
    <t xml:space="preserve">Everything Bagel Cashews, seed-oil-free, 3.5 oz bag</t>
  </si>
  <si>
    <t xml:space="preserve">https://www.thesivarosnacks.com</t>
  </si>
  <si>
    <t xml:space="preserve">Founder unnamed and no retailer list found. 'Seed oil free' and 'no added sulfites' are absence claims, not health claims, but check the pack</t>
  </si>
  <si>
    <t xml:space="preserve">New York City brand, no graded store within ten blocks, online store only, a new store listing 4 days ago, revenue unknown</t>
  </si>
  <si>
    <t xml:space="preserve">Maple-roasted nuts and unsulfured dried fruit in sealed 3.5 oz and 5 oz bags; shelf life not stated</t>
  </si>
  <si>
    <t xml:space="preserve">https://www.instagram.com/sivarosnacks/</t>
  </si>
  <si>
    <t xml:space="preserve">BR5:16</t>
  </si>
  <si>
    <t xml:space="preserve">Entrepreneur Space current client: 'Sivaro Snacks, Nuts and Dried Fruits'. Homepage: 'Queens family business · MWBE · ACDBE · NMSDC', 'hand-packed in Queens'. why_now date is Shopify published_at.</t>
  </si>
  <si>
    <t xml:space="preserve">AB-240</t>
  </si>
  <si>
    <t xml:space="preserve">Bessou</t>
  </si>
  <si>
    <t xml:space="preserve">Rose Bakery (Dover Street Market), 160 Lexington Ave</t>
  </si>
  <si>
    <t xml:space="preserve">https://bessou.nyc/</t>
  </si>
  <si>
    <t xml:space="preserve">Nori Crunch Popcorn (box of 3 online); Japanese-flavored popcorn bags (Shiso Sour Cream, Miso Caramel Corn)</t>
  </si>
  <si>
    <t xml:space="preserve">New York, Manhattan (privacy policy: 25 11th Avenue, Bessou Kiosk 9, Pier 57, New York NY 10011)</t>
  </si>
  <si>
    <t xml:space="preserve">https://bessou.nyc</t>
  </si>
  <si>
    <t xml:space="preserve">Restaurant-led side line; production scale and wholesale capacity for 275 units unknown</t>
  </si>
  <si>
    <t xml:space="preserve">Maiko</t>
  </si>
  <si>
    <t xml:space="preserve">Kyogoku</t>
  </si>
  <si>
    <t xml:space="preserve">https://bessou.nyc/pages/meet-the-team</t>
  </si>
  <si>
    <t xml:space="preserve">find Maiko Kyogoku at Bessou on LinkedIn and paste the profile URL into primary_linkedin_url; the retailer line rests on the brand's own store locator: say 'your store locator lists ...'</t>
  </si>
  <si>
    <t xml:space="preserve">New York City brand, brand locator shows Rose Bakery (Dover Street Market) 0.8 blocks outside it, no dated why-now in the last 12 months, revenue unknown</t>
  </si>
  <si>
    <t xml:space="preserve">Maiko Kyogoku</t>
  </si>
  <si>
    <t xml:space="preserve">Bagged popcorn sold ambient at Pearl River Mart; no shelf-life figure published, founder to confirm</t>
  </si>
  <si>
    <t xml:space="preserve">Rose Bakery (Dover Street Market), 160 Lexington Ave (brand_claim, 0.8 blocks out);The Locavore Variety Store, 434 6th Ave (brand_claim, 3.7 blocks out)</t>
  </si>
  <si>
    <t xml:space="preserve">Pearl River Mart (online catalog); 'Find Bessou Goods' locations page; Bessou restaurant</t>
  </si>
  <si>
    <t xml:space="preserve">https://www.pearlriver.com/products/bessou-japanese-flavored-popcorn; https://stockist.co/api/v1/map_p3x8ne63/locations/search?latitude=40.7411&amp;longitude=-73.9897&amp;distance=3&amp;distance_unit=mi</t>
  </si>
  <si>
    <t xml:space="preserve">BR4:35</t>
  </si>
  <si>
    <t xml:space="preserve">AAPI- and woman-owned (Pearl River listing). Site sells Signature Popcorn Tin and Pom Pom Popcorn; has a 'Find Bessou Goods' page (not opened). Pearl River Mart catalog (pearlriver.com online store; Chelsea Market food store at 75 9th Ave not confirmed for this item) | Why-now without an opened link and a date, kept as a note only: Ran a Bessou Snack Shop pop-up at Bryant Park (Pom Pom Popcorn and Japanese bodega-style snacks) through 2026-01-04, and reopened as a kiosk at the Pier 57 food hall (unverified, founder to confirm) (url: https://www.trendhunter.com/trends/bessou-snack-shop; date: 2026-01-04)</t>
  </si>
  <si>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</si>
  <si>
    <t xml:space="preserve">AB-293</t>
  </si>
  <si>
    <t xml:space="preserve">Ivy's Gourmet</t>
  </si>
  <si>
    <t xml:space="preserve">First-time exhibitor at the 2026 Summer Fancy Food Show, billed as a sofi Award finalist</t>
  </si>
  <si>
    <t xml:space="preserve">https://events.specialtyfood.com/event/2026-summer-fancy-food-show/exhibitor/RXhoaWJpdG9yXzIzMzA2ODA=</t>
  </si>
  <si>
    <t xml:space="preserve">Hazelnut Coffee Granola (gluten-free)</t>
  </si>
  <si>
    <t xml:space="preserve">https://www.ivysgourmet.com</t>
  </si>
  <si>
    <t xml:space="preserve">Single-serve format not seen; granola is usually a breakfast item, so check fit with the pantry brief</t>
  </si>
  <si>
    <t xml:space="preserve">Tamm</t>
  </si>
  <si>
    <t xml:space="preserve">find Sarah Tamm at Ivy's Gourmet on LinkedIn and paste the profile URL into primary_linkedin_url</t>
  </si>
  <si>
    <t xml:space="preserve">Northeast brand, no graded store within ten blocks, online store only, news 118 days ago, revenue unknown</t>
  </si>
  <si>
    <t xml:space="preserve">Sarah Tamm</t>
  </si>
  <si>
    <t xml:space="preserve">Packaged granola; site says 'baked daily, our freshness is guaranteed'; shelf life not stated</t>
  </si>
  <si>
    <t xml:space="preserve">unknown (ships to CT, NY, NJ per site)</t>
  </si>
  <si>
    <t xml:space="preserve">BR5:29</t>
  </si>
  <si>
    <t xml:space="preserve">SFFS 2026: 'founded in 2017 in Westport, CT by Sarah Tamm'; brands field reads 'sofi Award finalist; First time exhibitor; 18+ flavors of granola'. Its 2026 sofi finalist listing (Hazelnut Coffee Granola) was published 2025-10-23, just outside the 12-month window.</t>
  </si>
  <si>
    <t xml:space="preserve">AB-068</t>
  </si>
  <si>
    <t xml:space="preserve">Partake Foods</t>
  </si>
  <si>
    <t xml:space="preserve">Girl Scouts announced Sparkables, its first allergy-friendly cookie, developed with Partake; on sale online from January 2027</t>
  </si>
  <si>
    <t xml:space="preserve">https://www.wowt.com/2026/09/08/girl-scouts-debuts-2-new-cookie-flavors-heres-what-they-are/</t>
  </si>
  <si>
    <t xml:space="preserve">https://partakefoods.com/pages/about</t>
  </si>
  <si>
    <t xml:space="preserve">Teeny Tiny Chocolate Chip cookie snack packs</t>
  </si>
  <si>
    <t xml:space="preserve">Jersey City (search snippets: company profile 'Jersey City, NJ' and founder lives in Jersey City; unverified, founder to confirm)</t>
  </si>
  <si>
    <t xml:space="preserve">https://partakefoods.com</t>
  </si>
  <si>
    <t xml:space="preserve">Kids/lunchbox positioning; 11,000+ doors may put it above the $10M ceiling</t>
  </si>
  <si>
    <t xml:space="preserve">Denise</t>
  </si>
  <si>
    <t xml:space="preserve">Woodard</t>
  </si>
  <si>
    <t xml:space="preserve">https://www.linkedin.com/in/denisegwoodard/</t>
  </si>
  <si>
    <t xml:space="preserve">open the LinkedIn URL and confirm it is Denise Woodard, Founder at Partake Foods (found on another page, never opened)</t>
  </si>
  <si>
    <t xml:space="preserve">https://www.linkedin.com/in/niki-mckinney/</t>
  </si>
  <si>
    <t xml:space="preserve">New York State brand (HQ unverified), no graded store within ten blocks, online store only, news 46 days ago, revenue unknown</t>
  </si>
  <si>
    <t xml:space="preserve">Denise Woodard</t>
  </si>
  <si>
    <t xml:space="preserve">search result, not opened</t>
  </si>
  <si>
    <t xml:space="preserve">Nikita McKinney</t>
  </si>
  <si>
    <t xml:space="preserve">LinkedIn snippet; unverified, founder to confirm</t>
  </si>
  <si>
    <t xml:space="preserve">NY or NJ (unverified)</t>
  </si>
  <si>
    <t xml:space="preserve">nys (unverified)</t>
  </si>
  <si>
    <t xml:space="preserve">venture-backed (seed led by Marcy Venture Partners, $1M, per brand about page; later rounds unknown)</t>
  </si>
  <si>
    <t xml:space="preserve">Brand FAQ: shelf life 12 months</t>
  </si>
  <si>
    <t xml:space="preserve">Brand about page says 11,000+ stores (store count, not used for band)</t>
  </si>
  <si>
    <t xml:space="preserve">Whole Foods; 11,000+ stores</t>
  </si>
  <si>
    <t xml:space="preserve">https://www.wholefoodsmarket.com/api/search?text=partake&amp;store=10162&amp;limit=60&amp;offset=0</t>
  </si>
  <si>
    <t xml:space="preserve">https://www.instagram.com/partakefoods/</t>
  </si>
  <si>
    <t xml:space="preserve">BR2:5</t>
  </si>
  <si>
    <t xml:space="preserve">Free of top 9 allergens; certified B Corp per brand about page. Not found in WFM cluster store catalogs on 2026-10-23.</t>
  </si>
  <si>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</si>
  <si>
    <t xml:space="preserve">AB-063</t>
  </si>
  <si>
    <t xml:space="preserve">The Hermit (calamari jerky)</t>
  </si>
  <si>
    <t xml:space="preserve">Relaunched calamari jerky line with reformulated texture (limited 500-bag run)</t>
  </si>
  <si>
    <t xml:space="preserve">https://startupcpg.com/startup-cpg-newswire-the-hermit-relaunches-wild-caught-calamari-jerky-with-improved-texture/</t>
  </si>
  <si>
    <t xml:space="preserve">The Hermit Calamari Jerky, Thai Chili Lime, 2 oz</t>
  </si>
  <si>
    <t xml:space="preserve">Reno</t>
  </si>
  <si>
    <t xml:space="preserve">https://thehermit.com</t>
  </si>
  <si>
    <t xml:space="preserve">Very early stage (500-bag batches); release leads with protein, collagen and omega-3 amounts; shellfish/mollusk allergen for shared pantries</t>
  </si>
  <si>
    <t xml:space="preserve">Shonts</t>
  </si>
  <si>
    <t xml:space="preserve">Press contact on release</t>
  </si>
  <si>
    <t xml:space="preserve">find Steven Shonts at The Hermit on LinkedIn and paste the profile URL into primary_linkedin_url</t>
  </si>
  <si>
    <t xml:space="preserve">Brand based outside the Northeast, no graded store within ten blocks, online store only, news 143 days ago, revenue unknown</t>
  </si>
  <si>
    <t xml:space="preserve">; founder review: under-floor, nutrient-claim</t>
  </si>
  <si>
    <t xml:space="preserve">Steven Shonts</t>
  </si>
  <si>
    <t xml:space="preserve">under-floor;nutrient-claim</t>
  </si>
  <si>
    <t xml:space="preserve">Smoked, dried calamari jerky in 2 oz bags, sold ambient DTC</t>
  </si>
  <si>
    <t xml:space="preserve">Not banded: release (2026-06-03) describes a limited 500-bag relaunch run at $11.99 per bag; batch size is not a sales figure</t>
  </si>
  <si>
    <t xml:space="preserve">DTC only</t>
  </si>
  <si>
    <t xml:space="preserve">BR1:64</t>
  </si>
  <si>
    <t xml:space="preserve">Revenue band inferred only from the release's own batch size statement (500 bags x $11.99); treat as indicative.</t>
  </si>
  <si>
    <t xml:space="preserve">AB-272</t>
  </si>
  <si>
    <t xml:space="preserve">Namkeen Queens</t>
  </si>
  <si>
    <t xml:space="preserve">Launched the NamQueen Gift Box with single ladoos and 4 oz chivda (a Diwali gift add-on followed on 2026-10-18)</t>
  </si>
  <si>
    <t xml:space="preserve">https://namkeenqueens.com/products.json</t>
  </si>
  <si>
    <t xml:space="preserve">https://events.specialtyfood.com/event/2026-summer-fancy-food-show/exhibitor/RXhoaWJpdG9yXzI0Mzk0OTY=</t>
  </si>
  <si>
    <t xml:space="preserve">Chivda 4 oz snack mix; Besan Ladoo single</t>
  </si>
  <si>
    <t xml:space="preserve">New York (packaged in NY; handmade in Mumbai)</t>
  </si>
  <si>
    <t xml:space="preserve">https://namkeenqueens.com</t>
  </si>
  <si>
    <t xml:space="preserve">Shelf life of ladoos and chivda unknown (60-day test); products are handmade in Mumbai and packaged in New York, so labeling, import and insurance need checking; very small brand; 60-day shelf life not stated</t>
  </si>
  <si>
    <t xml:space="preserve">Aiswarya</t>
  </si>
  <si>
    <t xml:space="preserve">https://namkeenqueens.com/pages/about</t>
  </si>
  <si>
    <t xml:space="preserve">find Aiswarya at Namkeen Queens on LinkedIn and paste the profile URL into primary_linkedin_url; surname not public: take it from LinkedIn</t>
  </si>
  <si>
    <t xml:space="preserve">Sushila</t>
  </si>
  <si>
    <t xml:space="preserve">co-founder</t>
  </si>
  <si>
    <t xml:space="preserve">find Sushila at Namkeen Queens on LinkedIn and paste the profile URL into backup_linkedin_url; surname not public: take it from LinkedIn</t>
  </si>
  <si>
    <t xml:space="preserve">New York City brand, no graded store within ten blocks, online store only, a new store listing 17 days ago, revenue unknown</t>
  </si>
  <si>
    <t xml:space="preserve">surnames not given</t>
  </si>
  <si>
    <t xml:space="preserve">Dry savory mix and ladoos shipped ambient; site gives no shelf life and calls the snacks 'homemade'</t>
  </si>
  <si>
    <t xml:space="preserve">Online only (ships across the US)</t>
  </si>
  <si>
    <t xml:space="preserve">https://instagram.com/thenamkeenqueens/</t>
  </si>
  <si>
    <t xml:space="preserve">BR5:8</t>
  </si>
  <si>
    <t xml:space="preserve">Found in the SFFS 2026 exhibitor directory (State: New York). Homepage: 'Handmade in Mumbai. Packaged in New York.' why_now date is Shopify published_at of the gift box and its single-unit components.</t>
  </si>
  <si>
    <t xml:space="preserve">AB-059</t>
  </si>
  <si>
    <t xml:space="preserve">Louisville Vegan Jerky Co.</t>
  </si>
  <si>
    <t xml:space="preserve">https://www.wholefoodsmarket.com/search?text=louisville%20vegan%20jerky</t>
  </si>
  <si>
    <t xml:space="preserve">Louisville Jerky Co. Maple Bacon Vegan Jerky, 3 oz</t>
  </si>
  <si>
    <t xml:space="preserve">Louisville</t>
  </si>
  <si>
    <t xml:space="preserve">https://www.lvjco.com</t>
  </si>
  <si>
    <t xml:space="preserve">Plant-based jerky; brand site not found (louisvillejerky.com redirects to an unrelated store)</t>
  </si>
  <si>
    <t xml:space="preserve">https://www.wholefoodsmarket.com/api/search?text=louisville%20vegan%20jerky%20co.&amp;store=10773&amp;limit=60&amp;offset=0</t>
  </si>
  <si>
    <t xml:space="preserve">Stanley Chase III</t>
  </si>
  <si>
    <t xml:space="preserve">search snippets; unverified, founder to confirm</t>
  </si>
  <si>
    <t xml:space="preserve">KY</t>
  </si>
  <si>
    <t xml:space="preserve">https://www.wholefoodsmarket.com/search?text=louisville%20vegan%20jerky (Union Square and NoMad contexts IN_STOCK 2026-10-23)</t>
  </si>
  <si>
    <t xml:space="preserve">BR1:60</t>
  </si>
  <si>
    <t xml:space="preserve">Shelf presence confirmed; identity fields need a second pass.</t>
  </si>
  <si>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online_store &lt;- https://www.lvjco.com (2026-10-24, stage 3 correction); online_store_url &lt;- https://www.lvjco.com (2026-10-24, stage 3 correction); </t>
  </si>
  <si>
    <t xml:space="preserve">AB-055</t>
  </si>
  <si>
    <t xml:space="preserve">American Ostrich Farms</t>
  </si>
  <si>
    <t xml:space="preserve">Nationwide launch of Ostrich &amp; Beef Snack Sticks (Original, Jalapeño) on Amazon and brand site</t>
  </si>
  <si>
    <t xml:space="preserve">https://www.snackandbakery.com/articles/116497-american-ostrich-farms-launches-blended-meat-snacks</t>
  </si>
  <si>
    <t xml:space="preserve">American Ostrich Farms Ostrich &amp; Beef Snack Stick, Original</t>
  </si>
  <si>
    <t xml:space="preserve">Kuna</t>
  </si>
  <si>
    <t xml:space="preserve">https://americanostrich.com</t>
  </si>
  <si>
    <t xml:space="preserve">Online-only launch; core business is fresh/frozen ostrich meat, so snack budget owner unclear</t>
  </si>
  <si>
    <t xml:space="preserve">McCoy</t>
  </si>
  <si>
    <t xml:space="preserve">find Alex McCoy at American Ostrich Farms on LinkedIn and paste the profile URL into primary_linkedin_url</t>
  </si>
  <si>
    <t xml:space="preserve">Brand based outside the Northeast, no graded store within ten blocks, online store only, news 4 days ago, revenue unknown</t>
  </si>
  <si>
    <t xml:space="preserve">Alex McCoy</t>
  </si>
  <si>
    <t xml:space="preserve">ID</t>
  </si>
  <si>
    <t xml:space="preserve">Trade press: first shelf-stable, ready-to-eat product from the brand</t>
  </si>
  <si>
    <t xml:space="preserve">Amazon; AmericanOstrich.com</t>
  </si>
  <si>
    <t xml:space="preserve">BR1:56</t>
  </si>
  <si>
    <t xml:space="preserve">Website domain taken from the trade article text ('AmericanOstrich.com'); site itself not opened.</t>
  </si>
  <si>
    <t xml:space="preserve">hq_city &lt;- https://www.americanostrichfarms.com/ (2026-10-24, opened); </t>
  </si>
  <si>
    <t xml:space="preserve">AB-284</t>
  </si>
  <si>
    <t xml:space="preserve">Keya's Snacks</t>
  </si>
  <si>
    <t xml:space="preserve">Runner-up in Naturally New York's 2026 Next Fairway Find; Fairway extended its service prize package to the brand</t>
  </si>
  <si>
    <t xml:space="preserve">https://events.specialtyfood.com/event/2026-summer-fancy-food-show/exhibitor/RXhoaWJpdG9yXzI0NTEzMTc=</t>
  </si>
  <si>
    <t xml:space="preserve">Bombay Spice kettle potato chips, 1.5 oz bag</t>
  </si>
  <si>
    <t xml:space="preserve">unknown (Daksh Foods Inc.)</t>
  </si>
  <si>
    <t xml:space="preserve">https://keyassnacks.com/shop</t>
  </si>
  <si>
    <t xml:space="preserve">HQ is outside the Northeast (SFFS lists Virginia). Fairway placement is a prize, not a confirmed shelf</t>
  </si>
  <si>
    <t xml:space="preserve">Keya</t>
  </si>
  <si>
    <t xml:space="preserve">Wingfield</t>
  </si>
  <si>
    <t xml:space="preserve">find Keya Wingfield at Keya's Snacks on LinkedIn and paste the profile URL into primary_linkedin_url</t>
  </si>
  <si>
    <t xml:space="preserve">Brand based outside the Northeast, no graded store within ten blocks, online store only, news 144 days ago, revenue unknown</t>
  </si>
  <si>
    <t xml:space="preserve">Keya Wingfield</t>
  </si>
  <si>
    <t xml:space="preserve">https://keyassnacks.com</t>
  </si>
  <si>
    <t xml:space="preserve">FAQ: 'How long do the chips last? 6 months.' Sealed 1.5 oz and 6 oz bags</t>
  </si>
  <si>
    <t xml:space="preserve">No sales figure. Startup CPG (2026-07-21) says 'In 1,800 doors nationwide'; distribution KeHE, UNFI, Rainforest, DSD, Faire, Airgoods</t>
  </si>
  <si>
    <t xml:space="preserve">1,800 doors nationwide; Fairway Market prize package as runner-up of Naturally NY's Next Fairway Find (2026)</t>
  </si>
  <si>
    <t xml:space="preserve">https://www.instagram.com/keyaandco/</t>
  </si>
  <si>
    <t xml:space="preserve">BR5:20</t>
  </si>
  <si>
    <t xml:space="preserve">SFFS 2026 exhibitor as Daksh Foods Inc. (State: Virginia); also in the Startup CPG SFFS 2026 pavilion and the Newtopia Now 2026 Startup CPG section; 2025 Shelfie winner (Bombay Spice). FAQ: first sold in 2021; kosher, vegan, gluten-free.</t>
  </si>
  <si>
    <t xml:space="preserve">AB-170</t>
  </si>
  <si>
    <t xml:space="preserve">Little Green Cyclo</t>
  </si>
  <si>
    <t xml:space="preserve">2026 Startup CPG Shelfie Award finalist, Coffee category (Passion Fruit Sparkling Vietnamese Coffee)</t>
  </si>
  <si>
    <t xml:space="preserve">https://coffeelgc.com/pages/founder-story</t>
  </si>
  <si>
    <t xml:space="preserve">Little Green Cyclo ca phe sua da RTD Vietnamese coffee, 7.5 fl oz can</t>
  </si>
  <si>
    <t xml:space="preserve">San Francisco Bay Area</t>
  </si>
  <si>
    <t xml:space="preserve">https://coffeelgc.com</t>
  </si>
  <si>
    <t xml:space="preserve">California brand with no NYC retail found; buy path is online only (discount code route)</t>
  </si>
  <si>
    <t xml:space="preserve">Monica</t>
  </si>
  <si>
    <t xml:space="preserve">Wong</t>
  </si>
  <si>
    <t xml:space="preserve">find Monica Wong at Little Green Cyclo on LinkedIn and paste the profile URL into primary_linkedin_url</t>
  </si>
  <si>
    <t xml:space="preserve">Brand based outside the Northeast, no graded store within ten blocks, online store only, news 79 days ago, revenue unknown</t>
  </si>
  <si>
    <t xml:space="preserve">Monica Wong</t>
  </si>
  <si>
    <t xml:space="preserve">Product copy: '7.5 fl oz (222 ml) 12 cans per case Shelf stable product' (coffeelgc.com/products.json, read 2026-10-23)</t>
  </si>
  <si>
    <t xml:space="preserve">unknown (Stockist returned no NYC-area points)</t>
  </si>
  <si>
    <t xml:space="preserve">https://stockist.co/api/v1/u6870/locations/search?latitude=40.7400&amp;longitude=-73.9900&amp;distance=3</t>
  </si>
  <si>
    <t xml:space="preserve">BR3:44</t>
  </si>
  <si>
    <t xml:space="preserve">Founder story: founded in the San Francisco Bay Area in 2010; women- and AAPI-owned. Complete Set listed 2025-10-15.</t>
  </si>
  <si>
    <t xml:space="preserve">AB-009</t>
  </si>
  <si>
    <t xml:space="preserve">Sfizi</t>
  </si>
  <si>
    <t xml:space="preserve">Launched fourth flavor, Spicy Taralli</t>
  </si>
  <si>
    <t xml:space="preserve">https://www.snackandbakery.com/articles/116338-sfizi-gets-fiery-with-fourth-flavor-addition-to-its-snack-lineup</t>
  </si>
  <si>
    <t xml:space="preserve">https://eatsfizi.com/pages/about</t>
  </si>
  <si>
    <t xml:space="preserve">Sfizi Classic Taralli ($9 bag); new Spicy Taralli</t>
  </si>
  <si>
    <t xml:space="preserve">Davidson</t>
  </si>
  <si>
    <t xml:space="preserve">https://eatsfizi.com</t>
  </si>
  <si>
    <t xml:space="preserve">Joe</t>
  </si>
  <si>
    <t xml:space="preserve">Fiorenzo</t>
  </si>
  <si>
    <t xml:space="preserve">find Joe Fiorenzo at Sfizi on LinkedIn and paste the profile URL into primary_linkedin_url</t>
  </si>
  <si>
    <t xml:space="preserve">Sheela</t>
  </si>
  <si>
    <t xml:space="preserve">Prakash</t>
  </si>
  <si>
    <t xml:space="preserve">find Sheela Prakash at Sfizi on LinkedIn and paste the profile URL into backup_linkedin_url</t>
  </si>
  <si>
    <t xml:space="preserve">Brand based outside the Northeast, no graded store within ten blocks, online store only, news 37 days ago, revenue unknown</t>
  </si>
  <si>
    <t xml:space="preserve">Joe Fiorenzo</t>
  </si>
  <si>
    <t xml:space="preserve">Sheela Prakash</t>
  </si>
  <si>
    <t xml:space="preserve">NC</t>
  </si>
  <si>
    <t xml:space="preserve">Baked Italian taralli crackers sold ambient</t>
  </si>
  <si>
    <t xml:space="preserve">https://popupgrocer.com/pages/directory (availability 'NYC Flagship', 2026-10-23); https://popupgrocer.com/products/sfizi</t>
  </si>
  <si>
    <t xml:space="preserve">https://instagram.com/eatsfizi</t>
  </si>
  <si>
    <t xml:space="preserve">BR1:10</t>
  </si>
  <si>
    <t xml:space="preserve">Taralli made by the Campanella brothers in Puglia (trade press). Business city from brand privacy policy (Sfizi LLC, Davidson NC). Sheela Prakash is a cookbook author and food writer (brand about page).</t>
  </si>
  <si>
    <t xml:space="preserve">startup_cpg_member &lt;- https://startupcpg.com/startup-cpg-shelfie-finalists-2026/ (2026-10-24, opened); startup_cpg_evidence_url &lt;- https://startupcpg.com/startup-cpg-shelfie-finalists-2026/ (2026-10-24, opened); </t>
  </si>
  <si>
    <t xml:space="preserve">AB-015</t>
  </si>
  <si>
    <t xml:space="preserve">Beefy's Own</t>
  </si>
  <si>
    <t xml:space="preserve">Distributor-pack SKU added to brand store; family brand expanded to a dedicated production facility (2023)</t>
  </si>
  <si>
    <t xml:space="preserve">https://beefysown.com/products/beef-tallow-potato-chips-copy</t>
  </si>
  <si>
    <t xml:space="preserve">https://beefysown.com/pages/our-story</t>
  </si>
  <si>
    <t xml:space="preserve">Beefy's Own Beef Tallow Potato Chips, Sea Salt (single bag)</t>
  </si>
  <si>
    <t xml:space="preserve">Derry (returns address; unverified as HQ)</t>
  </si>
  <si>
    <t xml:space="preserve">https://beefysown.com/products/beef-tallow-potato-chips</t>
  </si>
  <si>
    <t xml:space="preserve">Ethan</t>
  </si>
  <si>
    <t xml:space="preserve">Bender</t>
  </si>
  <si>
    <t xml:space="preserve">https://beefysown.com/</t>
  </si>
  <si>
    <t xml:space="preserve">find Ethan Bender at Beefy's Own on LinkedIn and paste the profile URL into primary_linkedin_url</t>
  </si>
  <si>
    <t xml:space="preserve">Northeast brand (HQ unverified), no graded store within ten blocks, online store only, a new store listing 37 days ago, revenue unknown</t>
  </si>
  <si>
    <t xml:space="preserve">Ethan Bender</t>
  </si>
  <si>
    <t xml:space="preserve">https://beefysown.com</t>
  </si>
  <si>
    <t xml:space="preserve">NH</t>
  </si>
  <si>
    <t xml:space="preserve">Product page (Beef Tallow Potato Chips, 5 oz): 'Six Month Shelf Life'.</t>
  </si>
  <si>
    <t xml:space="preserve">PopUp Grocer (NYC); distributor listing on brand store</t>
  </si>
  <si>
    <t xml:space="preserve">https://popupgrocer.com/pages/directory (availability 'NYC Flagship', 2026-10-23); https://popupgrocer.com/products/beefys-own</t>
  </si>
  <si>
    <t xml:space="preserve">https://instagram.com/beefysown</t>
  </si>
  <si>
    <t xml:space="preserve">BR1:16</t>
  </si>
  <si>
    <t xml:space="preserve">Northeast (New Hampshire) family-run brand, est. 2022. why_now is weak (new distro SKU, Shopify published_at).</t>
  </si>
  <si>
    <t xml:space="preserve">shelf_stable_basis &lt;- https://beefysown.com/products/beef-tallow-potato-chips (2026-10-24, opened); </t>
  </si>
  <si>
    <t xml:space="preserve">AB-127</t>
  </si>
  <si>
    <t xml:space="preserve">Li-Lac Chocolates</t>
  </si>
  <si>
    <t xml:space="preserve">Holiday 2026 advent calendars and Halloween items added to brand store, Oct 2026</t>
  </si>
  <si>
    <t xml:space="preserve">https://www.li-lacchocolates.com/products/village-toy-shop-advent-calendar</t>
  </si>
  <si>
    <t xml:space="preserve">https://www.li-lacchocolates.com/pages/about-us</t>
  </si>
  <si>
    <t xml:space="preserve">3 oz Chocolate Bar with custom wrapper (200-bar minimum, business gifts); Chocolate Pumpkin Discs</t>
  </si>
  <si>
    <t xml:space="preserve">New York (founded at 120 Christopher St, 1923)</t>
  </si>
  <si>
    <t xml:space="preserve">https://www.li-lacchocolates.com</t>
  </si>
  <si>
    <t xml:space="preserve">Heritage chocolatier (since 1923), gift-focused, not an emerging CPG brand; has a custom business-bar program that may compete with or complement office drops; 60-day shelf life not stated</t>
  </si>
  <si>
    <t xml:space="preserve">George</t>
  </si>
  <si>
    <t xml:space="preserve">Demetrious</t>
  </si>
  <si>
    <t xml:space="preserve">find George Demetrious at Li-Lac Chocolates on LinkedIn and paste the profile URL into primary_linkedin_url</t>
  </si>
  <si>
    <t xml:space="preserve">New York City brand, no graded store within ten blocks, online store only, a new store listing 2 days ago, revenue unknown</t>
  </si>
  <si>
    <t xml:space="preserve">George Demetrious</t>
  </si>
  <si>
    <t xml:space="preserve">Brand FAQ: solid milk and dark chocolate stay fresh for about nine months, solid white chocolate about 6 months; filled confections are guaranteed fresh for at least 21 days.</t>
  </si>
  <si>
    <t xml:space="preserve">Own shops (contact page 'Store Hours &amp; Locations'; addresses not captured)</t>
  </si>
  <si>
    <t xml:space="preserve">https://www.li-lacchocolates.com/pages/contact-us</t>
  </si>
  <si>
    <t xml:space="preserve">https://www.instagram.com/lilacchocolates/</t>
  </si>
  <si>
    <t xml:space="preserve">BR2:65</t>
  </si>
  <si>
    <t xml:space="preserve">'New York's oldest chocolate house'. Current owners not identified. Why-now from Shopify publish dates.</t>
  </si>
  <si>
    <t xml:space="preserve">shelf_stable_basis &lt;- https://www.li-lacchocolates.com/pages/frequently-asked-questions (2026-10-24, opened); why_now_url &lt;- https://www.li-lacchocolates.com/products/village-toy-shop-advent-calendar (2026-10-24, stage 3 correction); </t>
  </si>
  <si>
    <t xml:space="preserve">AB-187</t>
  </si>
  <si>
    <t xml:space="preserve">Tranquila Coffee Company</t>
  </si>
  <si>
    <t xml:space="preserve">Launched Oat Milk Latte and Classic Latte on its store</t>
  </si>
  <si>
    <t xml:space="preserve">https://tranquilacoffee.com/products.json</t>
  </si>
  <si>
    <t xml:space="preserve">https://tranquilacoffee.com</t>
  </si>
  <si>
    <t xml:space="preserve">Tranquila canned decaf Oat Milk Latte / Classic Latte</t>
  </si>
  <si>
    <t xml:space="preserve">Very early brand (two SKUs), no founder, HQ or current retailer found; 60-day shelf life not stated</t>
  </si>
  <si>
    <t xml:space="preserve">New York City brand, no graded store within ten blocks, online store only, a new store listing 211 days ago, revenue unknown</t>
  </si>
  <si>
    <t xml:space="preserve">Eric Gonzalez</t>
  </si>
  <si>
    <t xml:space="preserve">unverified, founder to confirm</t>
  </si>
  <si>
    <t xml:space="preserve">Pop Up Grocer (past brand, directory)</t>
  </si>
  <si>
    <t xml:space="preserve">https://popupgrocer.com/products/tranquila-coffee-company</t>
  </si>
  <si>
    <t xml:space="preserve">https://instagram.com/tranquilacoffee</t>
  </si>
  <si>
    <t xml:space="preserve">BR3:61</t>
  </si>
  <si>
    <t xml:space="preserve">Decaf RTD is an office-friendly angle (afternoon). Date is Shopify publish date.</t>
  </si>
  <si>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</si>
  <si>
    <t xml:space="preserve">AB-112</t>
  </si>
  <si>
    <t xml:space="preserve">ChocXO</t>
  </si>
  <si>
    <t xml:space="preserve">Launched Milk Chocolate Cookie Butter Cups on brand store, Oct 2026</t>
  </si>
  <si>
    <t xml:space="preserve">https://chocxo.com/products/milk-chocolate-cookie-butter-cups</t>
  </si>
  <si>
    <t xml:space="preserve">2026-10-01</t>
  </si>
  <si>
    <t xml:space="preserve">https://chocxo.com/pages/about-chocxo</t>
  </si>
  <si>
    <t xml:space="preserve">Organic Dubai Style Pistachio Cups 3.45 oz; Milk Chocolate Cookie Butter Cups</t>
  </si>
  <si>
    <t xml:space="preserve">Delta, BC (address on brand about page)</t>
  </si>
  <si>
    <t xml:space="preserve">https://chocxo.com</t>
  </si>
  <si>
    <t xml:space="preserve">Canadian brand (cross-border freight and insurance); 'naturally lower in sugar' positioning; single-serve pack not shown on the pages read: ask on the first call; 60-day shelf life not stated</t>
  </si>
  <si>
    <t xml:space="preserve">https://www.wholefoodsmarket.com/api/search?text=chocxo&amp;store=10773&amp;limit=60&amp;offset=0</t>
  </si>
  <si>
    <t xml:space="preserve">Brand based outside the Northeast, store page shows Whole Foods Market NoMad inside the cluster, a new store listing 23 days ago, revenue unknown</t>
  </si>
  <si>
    <t xml:space="preserve">; founder review: nutrient-claim, format-unconfirmed</t>
  </si>
  <si>
    <t xml:space="preserve">nutrient-claim;format-unconfirmed</t>
  </si>
  <si>
    <t xml:space="preserve">BC (Canada)</t>
  </si>
  <si>
    <t xml:space="preserve">Packaged chocolate cups sold ambient at Whole Foods; shelf-life figure not found</t>
  </si>
  <si>
    <t xml:space="preserve">https://www.wholefoodsmarket.com/api/search?text=chocxo&amp;store=10162&amp;limit=60&amp;offset=0; https://www.wholefoodsmarket.com/api/search?text=chocxo&amp;store=10773&amp;limit=60&amp;offset=0; https://www.wholefoodsmarket.com/api/search?text=chocxo&amp;store=10131&amp;limit=60&amp;offset=0</t>
  </si>
  <si>
    <t xml:space="preserve">https://www.instagram.com/chocxochocolatier/</t>
  </si>
  <si>
    <t xml:space="preserve">BR2:50</t>
  </si>
  <si>
    <t xml:space="preserve">Organic. Why-now from Shopify publish date.</t>
  </si>
  <si>
    <t xml:space="preserve">why_now_url &lt;- https://chocxo.com/products/milk-chocolate-cookie-butter-cups (2026-10-24, stage 3 correction); </t>
  </si>
  <si>
    <t xml:space="preserve">AB-057</t>
  </si>
  <si>
    <t xml:space="preserve">Every Body Eat</t>
  </si>
  <si>
    <t xml:space="preserve">https://www.wholefoodsmarket.com/search?text=every%20body%20eat</t>
  </si>
  <si>
    <t xml:space="preserve">Every Body Eat Snack Cracker Thins, Cheese-Less, 4 oz</t>
  </si>
  <si>
    <t xml:space="preserve">Evanston</t>
  </si>
  <si>
    <t xml:space="preserve">https://everybodyeating.com</t>
  </si>
  <si>
    <t xml:space="preserve">Brand site unreachable; identity fields need a second pass; allergen-free positioning may suit shared pantries; no individually packaged single-serve SKU on the pages read (check for one before outreach)</t>
  </si>
  <si>
    <t xml:space="preserve">https://www.wholefoodsmarket.com/api/search?text=every%20body%20eat&amp;store=10773&amp;limit=60&amp;offset=0</t>
  </si>
  <si>
    <t xml:space="preserve">Trish</t>
  </si>
  <si>
    <t xml:space="preserve">https://everybodyeating.com/</t>
  </si>
  <si>
    <t xml:space="preserve">find Trish Thomas at Every Body Eat on LinkedIn and paste the profile URL into primary_linkedin_url; use the Whole Foods Market NoMad line only if retailer_checked_date is this week's Friday check</t>
  </si>
  <si>
    <t xml:space="preserve">Nichole</t>
  </si>
  <si>
    <t xml:space="preserve">Wilson</t>
  </si>
  <si>
    <t xml:space="preserve">find Nichole Wilson at Every Body Eat on LinkedIn and paste the profile URL into backup_linkedin_url; use the Whole Foods Market NoMad line only if retailer_checked_date is this week's Friday check</t>
  </si>
  <si>
    <t xml:space="preserve">Trish Thomas</t>
  </si>
  <si>
    <t xml:space="preserve">Nichole Wilson</t>
  </si>
  <si>
    <t xml:space="preserve">Boxed cracker thins, ambient</t>
  </si>
  <si>
    <t xml:space="preserve">https://www.wholefoodsmarket.com/search?text=every%20body%20eat (Union Square and NoMad contexts: Snack Cracker Thins IN_STOCK 2026-10-23)</t>
  </si>
  <si>
    <t xml:space="preserve">BR1:58</t>
  </si>
  <si>
    <t xml:space="preserve">Also sells crunchy cookie bites (cookies slice).</t>
  </si>
  <si>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online_store &lt;- https://everybodyeating.com (2026-10-24, stage 3 correction); online_store_url &lt;- https://everybodyeating.com (2026-10-24, stage 3 correction); </t>
  </si>
  <si>
    <t xml:space="preserve">AB-006</t>
  </si>
  <si>
    <t xml:space="preserve">Strip Jerky</t>
  </si>
  <si>
    <t xml:space="preserve">https://stripjerky.com/pages/press</t>
  </si>
  <si>
    <t xml:space="preserve">Strip Jerky grass-fed beef jerky, Original and Hot Honey Date (single-serve bag, 24g protein per bag)</t>
  </si>
  <si>
    <t xml:space="preserve">https://stripjerky.com</t>
  </si>
  <si>
    <t xml:space="preserve">Launch-year brand (projected $200k+ revenue for 2026, likely below the $500k band); protein-forward nutrient-content claim (24g protein per bag)</t>
  </si>
  <si>
    <t xml:space="preserve">Nicole</t>
  </si>
  <si>
    <t xml:space="preserve">Schlesinger</t>
  </si>
  <si>
    <t xml:space="preserve">https://www.entrepreneur.com/building-a-business/at-age-25-shes-turning-the-business-that-started-in-her-apartment-into-over-200k-a-year</t>
  </si>
  <si>
    <t xml:space="preserve">find Nicole Schlesinger at Strip Jerky on LinkedIn and paste the profile URL into primary_linkedin_url</t>
  </si>
  <si>
    <t xml:space="preserve">Nicole Schlesinger</t>
  </si>
  <si>
    <t xml:space="preserve">bootstrapped</t>
  </si>
  <si>
    <t xml:space="preserve">Packaged beef jerky sold ambient online and in PopUp Grocer 'Bites + Chews' aisle</t>
  </si>
  <si>
    <t xml:space="preserve">Not banded: Entrepreneur (2026-07-06) says projected more than $200,000 revenue in 2026 and "multi-six-figure"; could fall either side of $500k</t>
  </si>
  <si>
    <t xml:space="preserve">PopUp Grocer (NYC); store locator widget on brand site (stores not readable without JavaScript)</t>
  </si>
  <si>
    <t xml:space="preserve">https://popupgrocer.com/pages/directory (brand listed with availability 'NYC Flagship', 2026-10-23); https://popupgrocer.com/products/strip-jerky</t>
  </si>
  <si>
    <t xml:space="preserve">https://instagram.com/thestripjerky</t>
  </si>
  <si>
    <t xml:space="preserve">BR1:7</t>
  </si>
  <si>
    <t xml:space="preserve">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 | Why-now without an opened link and a date, kept as a note only: New Hot Honey Date flavor drop: more than 1,800 bags sold in pre-orders in the six weeks before it (Entrepreneur Q&amp;A); a Forbes 'Best Things We Ate, June 2026' mention could not be opened (HTTP 403), unverified, founder to confirm (url: https://www.entrepreneur.com/building-a-business/at-age-25-shes-turning-the-business-that-started-in-her-apartment-into-over-200k-a-year; date: 2026-07-06)</t>
  </si>
  <si>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</si>
  <si>
    <t xml:space="preserve">AB-246</t>
  </si>
  <si>
    <t xml:space="preserve">Chris's Cookies</t>
  </si>
  <si>
    <t xml:space="preserve">https://www.chriscookies.com/</t>
  </si>
  <si>
    <t xml:space="preserve">Almond Horn Cookies 6 oz; Dark Chocolate Dipped Almond Horn</t>
  </si>
  <si>
    <t xml:space="preserve">Teterboro</t>
  </si>
  <si>
    <t xml:space="preserve">Bakery-style cookies: shelf life and individual wrapping unconfirmed; single-serve pack not shown on the pages read: ask on the first call; 60-day shelf life not stated; no online store: buy path is the store only</t>
  </si>
  <si>
    <t xml:space="preserve">https://www.wholefoodsmarket.com/api/search?text=chris%27s%20cookies&amp;store=10773&amp;limit=60&amp;offset=0</t>
  </si>
  <si>
    <t xml:space="preserve">Christian Gargiulo</t>
  </si>
  <si>
    <t xml:space="preserve">https://www.chriscookies.com</t>
  </si>
  <si>
    <t xml:space="preserve">Homepage gives no shelf life or storage; founder to confirm</t>
  </si>
  <si>
    <t xml:space="preserve">Whole Foods Market (WFM catalog, flagged Local)</t>
  </si>
  <si>
    <t xml:space="preserve">https://www.wholefoodsmarket.com/api/search?text=chris%27s%20cookies&amp;store=10773&amp;limit=60&amp;offset=0; https://www.wholefoodsmarket.com/api/search?text=chris%27s%20cookies&amp;store=10713&amp;limit=60&amp;offset=0</t>
  </si>
  <si>
    <t xml:space="preserve">BR4:41</t>
  </si>
  <si>
    <t xml:space="preserve">Homepage address: 100 Hollister Road, Teterboro NJ 07608; 'indulgent all natural cookies, brownies, bars'. WFM NoMad listing from sweep 2026-10-23 (query 'cookies').</t>
  </si>
  <si>
    <t xml:space="preserve">founder_name &lt;- https://www.bakingbusiness.com/articles/31276-savelli-named-interim-c-e-o-of-chris-s-cookies (2026-10-24, snippet-unverified); founder_title &lt;- https://www.bakingbusiness.com/articles/31276-savelli-named-interim-c-e-o-of-chris-s-cookies (2026-10-24, snippet-unverified); </t>
  </si>
  <si>
    <t xml:space="preserve">AB-223</t>
  </si>
  <si>
    <t xml:space="preserve">The Purple Drop</t>
  </si>
  <si>
    <t xml:space="preserve">Won a 2026 Startup CPG Shelfie Award (Beverage category, announced 2026-08-24) weeks after launching ready-to-drink chicha morada in shelf-stable cans</t>
  </si>
  <si>
    <t xml:space="preserve">https://startupcpg.com/startup-cpg-newswire-the-purple-drop-launches-ready-to-drink-chicha-morada-inspired-by-peruvian-tradition/</t>
  </si>
  <si>
    <t xml:space="preserve">Chicha morada RTD (purple corn, pineapple, lime, spices), 8.4 oz can</t>
  </si>
  <si>
    <t xml:space="preserve">Danbury</t>
  </si>
  <si>
    <t xml:space="preserve">https://thepurpledrop.com</t>
  </si>
  <si>
    <t xml:space="preserve">First-year brand, may be under the $500k floor (no sales figure); homepage mentions anthocyanins and 'nourishing' (no explicit claim seen)</t>
  </si>
  <si>
    <t xml:space="preserve">https://www.linkedin.com/in/maria-vepa/</t>
  </si>
  <si>
    <t xml:space="preserve">Northeast brand, no graded store within ten blocks, online store only, news 61 days ago, revenue unknown</t>
  </si>
  <si>
    <t xml:space="preserve">Maria Velasquez</t>
  </si>
  <si>
    <t xml:space="preserve">listed on a page the researcher opened; LinkedIn not opened</t>
  </si>
  <si>
    <t xml:space="preserve">family-owned (release)</t>
  </si>
  <si>
    <t xml:space="preserve">Brand wholesale page: '12 months Shelf-stable. No fridge required (but cold is better)'; also release: 'shelf-stable can'</t>
  </si>
  <si>
    <t xml:space="preserve">No sales figure published. Launched 2026 (Startup CPG 2026-07-23): early stage, band founder to confirm</t>
  </si>
  <si>
    <t xml:space="preserve">Specialty retail and cafe locations (release, unnamed)</t>
  </si>
  <si>
    <t xml:space="preserve">BR4:18</t>
  </si>
  <si>
    <t xml:space="preserve">Also a BevNET Live NYC 2026 New Beverage Showdown semifinalist ('Purple Drop', search-result snippet, not opened). Northeast brand with no NYC retailer found.</t>
  </si>
  <si>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</si>
  <si>
    <t xml:space="preserve">AB-290</t>
  </si>
  <si>
    <t xml:space="preserve">Big Picture Farm</t>
  </si>
  <si>
    <t xml:space="preserve">Golden Milk Caramels named a 2027 sofi Award finalist (Sweet Snacks)</t>
  </si>
  <si>
    <t xml:space="preserve">Goat's milk caramels; Chai Pocket Pack</t>
  </si>
  <si>
    <t xml:space="preserve">unknown (Vermont farmstead)</t>
  </si>
  <si>
    <t xml:space="preserve">https://bigpicturefarm.com</t>
  </si>
  <si>
    <t xml:space="preserve">Gift-oriented line; per-unit price and pocket-pack size need checking for a 50-unit drop. Founders not named on the pages opened</t>
  </si>
  <si>
    <t xml:space="preserve">Northeast brand, no graded store within ten blocks, online store only, news 5 days ago, revenue unknown</t>
  </si>
  <si>
    <t xml:space="preserve">Wrapped caramels sold ambient online and in specialty stores; shelf life not stated</t>
  </si>
  <si>
    <t xml:space="preserve">https://instagram.com/bigpicturefarm</t>
  </si>
  <si>
    <t xml:space="preserve">BR5:26</t>
  </si>
  <si>
    <t xml:space="preserve">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</si>
  <si>
    <t xml:space="preserve">AB-074</t>
  </si>
  <si>
    <t xml:space="preserve">Fat Witch Bakery</t>
  </si>
  <si>
    <t xml:space="preserve">Fall 2026 limited Pumpkin Witch and Halloween boxes added to brand store</t>
  </si>
  <si>
    <t xml:space="preserve">https://www.fatwitch.com/products/pumpkin-witch</t>
  </si>
  <si>
    <t xml:space="preserve">https://www.fatwitch.com/pages/about-us</t>
  </si>
  <si>
    <t xml:space="preserve">Fat Witch Baby brownie (individual brownies, gift boxes)</t>
  </si>
  <si>
    <t xml:space="preserve">New York (Chelsea Market origin)</t>
  </si>
  <si>
    <t xml:space="preserve">https://www.fatwitch.com</t>
  </si>
  <si>
    <t xml:space="preserve">Shelf life unknown for a fresh bakery brownie; confirm 60+ days before outreach; single-serve pack not shown on the pages read: ask on the first call; 60-day shelf life not stated</t>
  </si>
  <si>
    <t xml:space="preserve">New York City brand, no graded store within ten blocks, online store only, a new store listing 45 days ago, revenue unknown</t>
  </si>
  <si>
    <t xml:space="preserve">No shelf-life statement found on brand site (FAQ pages 404); fresh-baked brownies may not reach 60 days</t>
  </si>
  <si>
    <t xml:space="preserve">https://www.wholefoodsmarket.com/api/search?text=fat%20witch&amp;store=10162&amp;limit=60&amp;offset=0</t>
  </si>
  <si>
    <t xml:space="preserve">https://www.instagram.com/fatwitchbakery/</t>
  </si>
  <si>
    <t xml:space="preserve">BR2:11</t>
  </si>
  <si>
    <t xml:space="preserve">Baked in NYC since 1998 per brand site. Not in WFM cluster catalogs. Chelsea Market shop status not confirmed on 2026-10-23. Why-now date from Shopify publish dates.</t>
  </si>
  <si>
    <t xml:space="preserve">why_now_url &lt;- https://www.fatwitch.com/products/pumpkin-witch (2026-10-24, stage 3 correction); </t>
  </si>
  <si>
    <t xml:space="preserve">AB-277</t>
  </si>
  <si>
    <t xml:space="preserve">Morito Chocolates</t>
  </si>
  <si>
    <t xml:space="preserve">Released a Morito x Hot Bread Kitchen holiday gift and a new Hazelnut Cinnamon flavor</t>
  </si>
  <si>
    <t xml:space="preserve">https://moritochocolates.com/products.json</t>
  </si>
  <si>
    <t xml:space="preserve">2026-10-04</t>
  </si>
  <si>
    <t xml:space="preserve">Salted Peanut Mini Cups; Hazelnut Cinnamon Dark Chocolate sticks</t>
  </si>
  <si>
    <t xml:space="preserve">https://moritochocolates.com</t>
  </si>
  <si>
    <t xml:space="preserve">Meta description says 'low in sugar' (nutrient-content claim). Very small Hot Bread Kitchen alumna; founder unnamed; chocolate may soften in summer delivery; single-serve pack not shown on the pages read: ask on the first call</t>
  </si>
  <si>
    <t xml:space="preserve">New York City brand, no graded store within ten blocks, online store only, a new store listing 20 days ago, revenue unknown</t>
  </si>
  <si>
    <t xml:space="preserve">; founder review: under-floor, nutrient-claim, format-unconfirmed</t>
  </si>
  <si>
    <t xml:space="preserve">under-floor;nutrient-claim;format-unconfirmed</t>
  </si>
  <si>
    <t xml:space="preserve">Vegan dark chocolate shipped nationwide; shelf life not stated</t>
  </si>
  <si>
    <t xml:space="preserve">http://instagram.com/moritochocolates</t>
  </si>
  <si>
    <t xml:space="preserve">BR5:13</t>
  </si>
  <si>
    <t xml:space="preserve">HBK Breadwinners Marketplace: 'Handmade in Brooklyn, Morito specializes in small-batch chocolate cups and sticks designed for gifting, specialty retail'. Cacao partner: Hacienda Jeanmarie, Puerto Rico (about page).</t>
  </si>
  <si>
    <t xml:space="preserve">AB-183</t>
  </si>
  <si>
    <t xml:space="preserve">Taply</t>
  </si>
  <si>
    <t xml:space="preserve">New Maple Water Sample Pack listed on store</t>
  </si>
  <si>
    <t xml:space="preserve">https://drinktaply.com/products.json</t>
  </si>
  <si>
    <t xml:space="preserve">https://drinktaply.com</t>
  </si>
  <si>
    <t xml:space="preserve">Taply lightly sparkling organic maple water (Lime, Razzberry), can</t>
  </si>
  <si>
    <t xml:space="preserve">'Electrolytes, Antioxidants &amp; Minerals' positioning (nutrient-content; check for claims); no current NYC retailer found | Health-claim scan 2026-10-24: a customer review on the homepage mentions 'electrolytes and prebiotics'; check the pack for functional wording | Claims review 2026-10-24: 'Treelicious Hydration Electrolytes, Antioxidants &amp; Minerals'; a customer review on the homepage mentions 'electrolytes and prebiotics' (https://drinktaply.com); decide before outreach, and the tent card must not repeat it; 60-day shelf life not stated</t>
  </si>
  <si>
    <t xml:space="preserve">New York City brand, no graded store within ten blocks, online store only, a new store listing 26 days ago, revenue unknown</t>
  </si>
  <si>
    <t xml:space="preserve">https://popupgrocer.com/products/taply</t>
  </si>
  <si>
    <t xml:space="preserve">BR3:57</t>
  </si>
  <si>
    <t xml:space="preserve">Homepage: 'Tapped in NY &amp; VT', no sugar added, 35 calories. Regional (NY/VT) sourcing story.</t>
  </si>
  <si>
    <t xml:space="preserve">hq_city &lt;- https://drinktaply.com/policies/privacy-policy (2026-10-24, opened); hq_state &lt;- https://drinktaply.com/policies/privacy-policy (2026-10-24, opened); founder_review_reason &lt;- https://drinktaply.com (2026-10-24, stage 3 correction); founder_review_reason &lt;- https://drinktaply.com (2026-10-24, stage 3 correction); </t>
  </si>
  <si>
    <t xml:space="preserve">AB-264</t>
  </si>
  <si>
    <t xml:space="preserve">Hu Kitchen (Hu Chocolate)</t>
  </si>
  <si>
    <t xml:space="preserve">https://hukitchen.com/pages/about-us</t>
  </si>
  <si>
    <t xml:space="preserve">Organic dark chocolate bars and Gems (22-24 SKUs per cluster WFM)</t>
  </si>
  <si>
    <t xml:space="preserve">New York (terms of service: Hu Master Holdings, LLC, 78 5th Ave, New York, NY 10011)</t>
  </si>
  <si>
    <t xml:space="preserve">https://hukitchen.com</t>
  </si>
  <si>
    <t xml:space="preserve">National brand (22-24 SKUs per cluster WFM) almost certainly above the $10M ceiling; corporate ownership to confirm</t>
  </si>
  <si>
    <t xml:space="preserve">https://www.wholefoodsmarket.com/api/search?text=hu%20chocolate&amp;store=10773&amp;limit=60&amp;offset=0</t>
  </si>
  <si>
    <t xml:space="preserve">Karp</t>
  </si>
  <si>
    <t xml:space="preserve">find Jessica Karp at Hu Kitchen on LinkedIn and paste the profile URL into primary_linkedin_url; use the Whole Foods Market NoMad line only if retailer_checked_date is this week's Friday check</t>
  </si>
  <si>
    <t xml:space="preserve">; founder review: owner, scale</t>
  </si>
  <si>
    <t xml:space="preserve">Jessica Karp</t>
  </si>
  <si>
    <t xml:space="preserve">owner;scale</t>
  </si>
  <si>
    <t xml:space="preserve">acquired by Mondelez International (announced 2021-01-05; unverified, founder to confirm)</t>
  </si>
  <si>
    <t xml:space="preserve">Wrapped dark chocolate sold ambient; no shelf-life figure checked</t>
  </si>
  <si>
    <t xml:space="preserve">Whole Foods Market; 'Find in Store' locator</t>
  </si>
  <si>
    <t xml:space="preserve">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</si>
  <si>
    <t xml:space="preserve">BR4:59</t>
  </si>
  <si>
    <t xml:space="preserve">Recorded so the size gate is visible. NYC-origin brand.</t>
  </si>
  <si>
    <t xml:space="preserve">funding_stage &lt;- https://www.nosh.com/news/2021/snacking-giant-mondelez-acquires-hu-kitchen (2026-10-24, snippet-unverified); hq_city &lt;- https://hukitchen.com/policies/terms-of-service (2026-10-24, opened); </t>
  </si>
  <si>
    <t xml:space="preserve">AB-041</t>
  </si>
  <si>
    <t xml:space="preserve">BEEST Snacks</t>
  </si>
  <si>
    <t xml:space="preserve">Exhibited at 2026 Summer Fancy Food Show (Javits, NYC, booth 4309B) and featured on Good Morning America on 2026-07-25</t>
  </si>
  <si>
    <t xml:space="preserve">https://startupcpg.com/startup-cpg-newswire-beest-snacks-featured-on-good-morning-america-in-foodie-trends-segment/</t>
  </si>
  <si>
    <t xml:space="preserve">2026-07-29</t>
  </si>
  <si>
    <t xml:space="preserve">https://www.beestsnacks.com/pages/about-us</t>
  </si>
  <si>
    <t xml:space="preserve">BEEST Charcuterie Trail Mix (pork jerky chips, parmesan crisps, almonds), 4 oz</t>
  </si>
  <si>
    <t xml:space="preserve">https://www.beestsnacks.com</t>
  </si>
  <si>
    <t xml:space="preserve">High-protein positioning (52g protein per bag); founder story references diabetes in the family, check pack copy</t>
  </si>
  <si>
    <t xml:space="preserve">Lucas</t>
  </si>
  <si>
    <t xml:space="preserve">Prado</t>
  </si>
  <si>
    <t xml:space="preserve">find Lucas Prado at BEEST Snacks on LinkedIn and paste the profile URL into primary_linkedin_url</t>
  </si>
  <si>
    <t xml:space="preserve">find Nicole at BEEST Snacks on LinkedIn and paste the profile URL into backup_linkedin_url; surname not public: take it from LinkedIn</t>
  </si>
  <si>
    <t xml:space="preserve">Brand based outside the Northeast, no graded store within ten blocks, online store only, news 87 days ago, revenue unknown</t>
  </si>
  <si>
    <t xml:space="preserve">Lucas Prado</t>
  </si>
  <si>
    <t xml:space="preserve">surname not on site</t>
  </si>
  <si>
    <t xml:space="preserve">Brand wholesale page: '9 mo Shelf stable' and '9-Month Shelf Stable'.</t>
  </si>
  <si>
    <t xml:space="preserve">KeHE Trend Finder 2026 Golden Ticket (fast track to national distribution); Amazon</t>
  </si>
  <si>
    <t xml:space="preserve">https://startupcpg.com/startup-cpg-newswire-beest-snacks-wins-kehe-trend-finder-2026-golden-ticket-earns-fast-track-to-nationwide-distribution/</t>
  </si>
  <si>
    <t xml:space="preserve">BR1:42</t>
  </si>
  <si>
    <t xml:space="preserve">Homepage 'Press &amp; recognition': Forbes (food founders using AI, July 2026), Good Morning America Foodie Forecast (July 2026), 'Top 50 Food &amp; Beverage, ranked #42' (April 2026).</t>
  </si>
  <si>
    <t xml:space="preserve">shelf_stable_basis &lt;- https://www.beestsnacks.com/pages/wholesale (2026-10-24, opened); notes &lt;- https://www.beestsnacks.com/ (2026-10-24, opened); </t>
  </si>
  <si>
    <t xml:space="preserve">AB-186</t>
  </si>
  <si>
    <t xml:space="preserve">Laurel's</t>
  </si>
  <si>
    <t xml:space="preserve">Chain-wide 1,800-store Target launch slated for August 2026, after Whole Foods, Erewhon and Wegmans (Startup CPG Podcast #252, published 2026-06-09)</t>
  </si>
  <si>
    <t xml:space="preserve">https://startupcpg.com/portfolio/252-the-rise-of-laurels-coffee-whole-foods-wegmans-1800-target-stores-in-two-years/</t>
  </si>
  <si>
    <t xml:space="preserve">https://drinklaurels.com/pages/faq</t>
  </si>
  <si>
    <t xml:space="preserve">Laurel's Classic Latte (A2 regenerative dairy, 80 mg caffeine), can</t>
  </si>
  <si>
    <t xml:space="preserve">https://drinklaurels.com</t>
  </si>
  <si>
    <t xml:space="preserve">Dairy latte (milk allergen); HQ and current NYC retail not confirmed | Health-claim scan 2026-10-24: the homepage calls the A2 lattes 'your Gut Friendly Best Friend': founder to decide; the tent card must not repeat it</t>
  </si>
  <si>
    <t xml:space="preserve">Isabel</t>
  </si>
  <si>
    <t xml:space="preserve">https://citrusdiaries.substack.com/p/isabel-washington-of-laurels</t>
  </si>
  <si>
    <t xml:space="preserve">find Isabel Washington at Laurel's on LinkedIn and paste the profile URL into primary_linkedin_url</t>
  </si>
  <si>
    <t xml:space="preserve">Brand based outside the Northeast, no graded store within ten blocks, online store only, news 137 days ago, revenue unknown</t>
  </si>
  <si>
    <t xml:space="preserve">Isabel Washington</t>
  </si>
  <si>
    <t xml:space="preserve">FAQ: 'Do Laurel's lattes need to be refrigerated? No. Our cans are shelf-stable...' (drinklaurels.com/pages/faq, opened 2026-10-23)</t>
  </si>
  <si>
    <t xml:space="preserve">Pop Up Grocer (past brand, directory); product locator not readable</t>
  </si>
  <si>
    <t xml:space="preserve">https://popupgrocer.com/products/laurels</t>
  </si>
  <si>
    <t xml:space="preserve">https://instagram.com/drinklaurels</t>
  </si>
  <si>
    <t xml:space="preserve">BR3:60</t>
  </si>
  <si>
    <t xml:space="preserve">Flavors: Classic, Dirty Chai, Matcha. Pop Up Grocer directory entry 2026-03-04 (past brand). Date is Shopify publish date. | Added 2026-10-24: Startup CPG Podcast guest (#252, 2026-06-09); membership not stated, so startup_cpg_member left unknown</t>
  </si>
  <si>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</si>
  <si>
    <t xml:space="preserve">AB-291</t>
  </si>
  <si>
    <t xml:space="preserve">Bixby Chocolate</t>
  </si>
  <si>
    <t xml:space="preserve">Released new 2 oz holiday bars (Toffee Milk, Peppermint Dark) and showed at SFFS 2026 as a 2026 Good Food Award winner</t>
  </si>
  <si>
    <t xml:space="preserve">https://bixbychocolate.com/products.json</t>
  </si>
  <si>
    <t xml:space="preserve">2026-10-10</t>
  </si>
  <si>
    <t xml:space="preserve">https://events.specialtyfood.com/event/2026-summer-fancy-food-show/exhibitor/RXhoaWJpdG9yXzIzNjU0MDI=</t>
  </si>
  <si>
    <t xml:space="preserve">Toffee Milk Chocolate Bar, 2 oz</t>
  </si>
  <si>
    <t xml:space="preserve">Rockland</t>
  </si>
  <si>
    <t xml:space="preserve">https://bixbychocolate.com</t>
  </si>
  <si>
    <t xml:space="preserve">No retailer within ten blocks; relies on online store. Founded 2011, revenue unknown</t>
  </si>
  <si>
    <t xml:space="preserve">McAleer</t>
  </si>
  <si>
    <t xml:space="preserve">find Kate McAleer at Bixby Chocolate on LinkedIn and paste the profile URL into primary_linkedin_url</t>
  </si>
  <si>
    <t xml:space="preserve">Donna</t>
  </si>
  <si>
    <t xml:space="preserve">find Donna McAleer at Bixby Chocolate on LinkedIn and paste the profile URL into backup_linkedin_url</t>
  </si>
  <si>
    <t xml:space="preserve">Northeast brand, no graded store within ten blocks, online store only, a new store listing 14 days ago, revenue unknown</t>
  </si>
  <si>
    <t xml:space="preserve">Kate McAleer</t>
  </si>
  <si>
    <t xml:space="preserve">Donna McAleer</t>
  </si>
  <si>
    <t xml:space="preserve">ME</t>
  </si>
  <si>
    <t xml:space="preserve">Wrapped 2 oz chocolate bars sold ambient online and in stores</t>
  </si>
  <si>
    <t xml:space="preserve">The Meadow (brand_claim, 16.1 blocks out)</t>
  </si>
  <si>
    <t xml:space="preserve">The Meadow (Mulberry St); Kadoo NYC; Park Slope Food Coop (brand Stockist locator)</t>
  </si>
  <si>
    <t xml:space="preserve">https://stockist.co/api/v1/map_93ezwnvq/locations/search?latitude=40.7411&amp;longitude=-73.9897&amp;distance=5 (widget on https://bixbychocolate.com/pages/store-locator)</t>
  </si>
  <si>
    <t xml:space="preserve">https://www.instagram.com/bixbychocolate/</t>
  </si>
  <si>
    <t xml:space="preserve">BR5:27</t>
  </si>
  <si>
    <t xml:space="preserve">SFFS 2026: 'Crafted on the working waterfront of Rockland, Maine, Bixby Chocolate is Maine's first bean-to-bar chocolate maker. Founded in 2011 by mother-daughter team Kate and Donna McAleer'. 2024 sofi Gold (Belize 70% bar) is older than 12 months.</t>
  </si>
  <si>
    <t xml:space="preserve">AB-098</t>
  </si>
  <si>
    <t xml:space="preserve">Jacques Torres Chocolate</t>
  </si>
  <si>
    <t xml:space="preserve">Holiday 2026 collection (Hanukkah gelt, Christmas figures) added to brand store, Sept 2026</t>
  </si>
  <si>
    <t xml:space="preserve">https://mrchocolate.com/products/gelt</t>
  </si>
  <si>
    <t xml:space="preserve">https://mrchocolate.com/</t>
  </si>
  <si>
    <t xml:space="preserve">Pretzel Mint Bark; holiday chocolate figures</t>
  </si>
  <si>
    <t xml:space="preserve">New York (brand calls itself 'Best Gourmet Chocolate in New York')</t>
  </si>
  <si>
    <t xml:space="preserve">https://mrchocolate.com</t>
  </si>
  <si>
    <t xml:space="preserve">Established celebrity-chef chocolatier with own shops, not an emerging CPG brand; gift-focused, single-serve SKU not confirmed; 60-day shelf life not stated</t>
  </si>
  <si>
    <t xml:space="preserve">Jacques</t>
  </si>
  <si>
    <t xml:space="preserve">Torres</t>
  </si>
  <si>
    <t xml:space="preserve">Proprietor</t>
  </si>
  <si>
    <t xml:space="preserve">https://jacquestorres.com/about/</t>
  </si>
  <si>
    <t xml:space="preserve">find Jacques Torres at Jacques Torres Chocolate on LinkedIn and paste the profile URL into primary_linkedin_url</t>
  </si>
  <si>
    <t xml:space="preserve">; founder review: not-emerging, format</t>
  </si>
  <si>
    <t xml:space="preserve">Jacques Torres</t>
  </si>
  <si>
    <t xml:space="preserve">not-emerging;format</t>
  </si>
  <si>
    <t xml:space="preserve">Brand FAQ: 'Chocolate bars and baking discs can be stored up to 6 months in their original packaging'; bon bons and truffles best within 3-4 weeks; refrigeration not necessary.</t>
  </si>
  <si>
    <t xml:space="preserve">Own shops ('In store only' items on brand store)</t>
  </si>
  <si>
    <t xml:space="preserve">https://www.wholefoodsmarket.com/api/search?text=jacques%20torres&amp;store=10162&amp;limit=60&amp;offset=0</t>
  </si>
  <si>
    <t xml:space="preserve">https://www.instagram.com/jacquestorres/</t>
  </si>
  <si>
    <t xml:space="preserve">BR2:36</t>
  </si>
  <si>
    <t xml:space="preserve">Shop addresses not captured. Not in WFM cluster catalogs. Why-now from Shopify publish dates.</t>
  </si>
  <si>
    <t xml:space="preserve">shelf_stable_basis &lt;- https://mrchocolate.com/pages/faqs (2026-10-24, opened); why_now_url &lt;- https://mrchocolate.com/products/gelt (2026-10-24, stage 3 correction); </t>
  </si>
  <si>
    <t xml:space="preserve">AB-292</t>
  </si>
  <si>
    <t xml:space="preserve">Moka Origins</t>
  </si>
  <si>
    <t xml:space="preserve">Launched S'mores and Mexican Spice chocolate bars for fall 2026</t>
  </si>
  <si>
    <t xml:space="preserve">https://mokaorigins.com/products.json</t>
  </si>
  <si>
    <t xml:space="preserve">https://events.specialtyfood.com/event/2026-summer-fancy-food-show/exhibitor/RXhoaWJpdG9yXzI0MjEyNTE=</t>
  </si>
  <si>
    <t xml:space="preserve">S'mores Chocolate bar; Mexican Spice Milk Chocolate, 4 oz</t>
  </si>
  <si>
    <t xml:space="preserve">unknown (chocolate factory in Pennsylvania)</t>
  </si>
  <si>
    <t xml:space="preserve">https://mokaorigins.com</t>
  </si>
  <si>
    <t xml:space="preserve">Brand also sells coffee beans (not eligible). 4 oz bars are large for a pantry drop; check smaller formats. No NYC retailer found</t>
  </si>
  <si>
    <t xml:space="preserve">Ishan</t>
  </si>
  <si>
    <t xml:space="preserve">Tigunait</t>
  </si>
  <si>
    <t xml:space="preserve">https://mokaorigins.com/pages/our-story</t>
  </si>
  <si>
    <t xml:space="preserve">find Ishan Tigunait at Moka Origins on LinkedIn and paste the profile URL into primary_linkedin_url</t>
  </si>
  <si>
    <t xml:space="preserve">Jeff</t>
  </si>
  <si>
    <t xml:space="preserve">Abella</t>
  </si>
  <si>
    <t xml:space="preserve">find Jeff Abella at Moka Origins on LinkedIn and paste the profile URL into backup_linkedin_url</t>
  </si>
  <si>
    <t xml:space="preserve">Northeast brand, no graded store within ten blocks, online store only, a new store listing 12 days ago, revenue unknown</t>
  </si>
  <si>
    <t xml:space="preserve">Ishan Tigunait</t>
  </si>
  <si>
    <t xml:space="preserve">Jeff Abella</t>
  </si>
  <si>
    <t xml:space="preserve">Wrapped bean-to-bar chocolate sold ambient online</t>
  </si>
  <si>
    <t xml:space="preserve">https://www.instagram.com/mokaorigins/</t>
  </si>
  <si>
    <t xml:space="preserve">BR5:28</t>
  </si>
  <si>
    <t xml:space="preserve">SFFS 2026 (State: Pennsylvania): 'bean-to-bar chocolate maker and specialty coffee roaster based in Pennsylvania', sourcing from Cameroon, Ghana, Togo, Tanzania, Uganda.</t>
  </si>
  <si>
    <t xml:space="preserve">AB-160</t>
  </si>
  <si>
    <t xml:space="preserve">Nixie Sparkling Water</t>
  </si>
  <si>
    <t xml:space="preserve">New flavors Strawberry Cream and Cherry Cola listed</t>
  </si>
  <si>
    <t xml:space="preserve">https://drinknixie.com/products.json</t>
  </si>
  <si>
    <t xml:space="preserve">2026-02-25</t>
  </si>
  <si>
    <t xml:space="preserve">https://drinknixie.com/pages/about-us</t>
  </si>
  <si>
    <t xml:space="preserve">Nixie zero-sugar Classic Cola / Strawberry Hibiscus sparkling water, 12 oz can</t>
  </si>
  <si>
    <t xml:space="preserve">Wellesley</t>
  </si>
  <si>
    <t xml:space="preserve">https://drinknixie.com</t>
  </si>
  <si>
    <t xml:space="preserve">HQ and NYC retail not confirmed; most products show $0.00 on own store (online ordering may be limited)</t>
  </si>
  <si>
    <t xml:space="preserve">Bernard Dawes</t>
  </si>
  <si>
    <t xml:space="preserve">https://entreprenista.com/nicole-bernard-dawes-of-nixie-sparkling-water-on-proving-that-certified-organic-products-can-be-category-leaders</t>
  </si>
  <si>
    <t xml:space="preserve">find Nicole Bernard Dawes at Nixie Sparkling Water on LinkedIn and paste the profile URL into primary_linkedin_url</t>
  </si>
  <si>
    <t xml:space="preserve">Alexander</t>
  </si>
  <si>
    <t xml:space="preserve">Director of Customer Marketing</t>
  </si>
  <si>
    <t xml:space="preserve">https://attend.expowest.com/event/natural-products-expo-west-2026/exhibitor/RXhoaWJpdG9yXzIzNTc2NzI=</t>
  </si>
  <si>
    <t xml:space="preserve">find Sarah Alexander at Nixie Sparkling Water on LinkedIn and paste the profile URL into backup_linkedin_url</t>
  </si>
  <si>
    <t xml:space="preserve">Northeast brand, no graded store within ten blocks, online store only, a new store listing 241 days ago, revenue unknown</t>
  </si>
  <si>
    <t xml:space="preserve">Nicole Bernard Dawes</t>
  </si>
  <si>
    <t xml:space="preserve">Sarah Alexander</t>
  </si>
  <si>
    <t xml:space="preserve">Brand FAQ: Nixie is shelf-stable and can be stored at room temperature (drinknixie.com/pages/frequently-asked-questions, opened 2026-10-24)</t>
  </si>
  <si>
    <t xml:space="preserve">https://www.instagram.com/drinknixie</t>
  </si>
  <si>
    <t xml:space="preserve">BR3:34</t>
  </si>
  <si>
    <t xml:space="preserve">Zero-sugar soda line (cola, root beer, cream soda) plus sparkling waters. 24-pack listed at $34.99. Dates are Shopify publish dates.</t>
  </si>
  <si>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</si>
  <si>
    <t xml:space="preserve">AB-095</t>
  </si>
  <si>
    <t xml:space="preserve">Joyva</t>
  </si>
  <si>
    <t xml:space="preserve">https://joyva.com/pages/faq</t>
  </si>
  <si>
    <t xml:space="preserve">Jell Rings Single Packs; Sesame Crunch; chocolate-covered halvah</t>
  </si>
  <si>
    <t xml:space="preserve">https://joyva.com</t>
  </si>
  <si>
    <t xml:space="preserve">Heritage brand (1907), not emerging; revenue unknown; may still fit a local 'Brooklyn-made' story</t>
  </si>
  <si>
    <t xml:space="preserve">Richard</t>
  </si>
  <si>
    <t xml:space="preserve">Radutzky</t>
  </si>
  <si>
    <t xml:space="preserve">Third- and fourth-generation owners/operators</t>
  </si>
  <si>
    <t xml:space="preserve">https://joyva.com/pages/our-story</t>
  </si>
  <si>
    <t xml:space="preserve">find Richard Radutzky at Joyva on LinkedIn and paste the profile URL into primary_linkedin_url</t>
  </si>
  <si>
    <t xml:space="preserve">Farrah</t>
  </si>
  <si>
    <t xml:space="preserve">Bezner</t>
  </si>
  <si>
    <t xml:space="preserve">find Farrah Bezner at Joyva on LinkedIn and paste the profile URL into backup_linkedin_url</t>
  </si>
  <si>
    <t xml:space="preserve">Richard Radutzky</t>
  </si>
  <si>
    <t xml:space="preserve">Farrah Bezner</t>
  </si>
  <si>
    <t xml:space="preserve">family owned (fourth generation, founded 1907)</t>
  </si>
  <si>
    <t xml:space="preserve">Brand FAQ: halvah 'can be stored at room temperature'; chocolate products stored in pantry; BEST BY dates printed</t>
  </si>
  <si>
    <t xml:space="preserve">Stores across the country and online retailers (brand home page)</t>
  </si>
  <si>
    <t xml:space="preserve">https://joyva.com/pages/where-to-find; https://www.wholefoodsmarket.com/api/search?text=joyva&amp;store=10162&amp;limit=60&amp;offset=0</t>
  </si>
  <si>
    <t xml:space="preserve">https://www.instagram.com/joyva1907/</t>
  </si>
  <si>
    <t xml:space="preserve">BR2:33</t>
  </si>
  <si>
    <t xml:space="preserve">Brooklyn maker of tahini, halvah and jell candies. Locator is Destini (not machine-read). Not in WFM cluster catalogs.</t>
  </si>
  <si>
    <t xml:space="preserve">marketing_name &lt;- https://joyva.com/pages/our-story (2026-10-24, opened); marketing_title &lt;- https://joyva.com/pages/our-story (2026-10-24, opened); marketing_profile_url &lt;- https://joyva.com/pages/our-story (2026-10-24, opened); </t>
  </si>
  <si>
    <t xml:space="preserve">AB-099</t>
  </si>
  <si>
    <t xml:space="preserve">By the Way Bakery</t>
  </si>
  <si>
    <t xml:space="preserve">https://www.btwbakery.com/our-story</t>
  </si>
  <si>
    <t xml:space="preserve">Brownie Bites 14 oz; Raspberry Slice 5 oz (gluten-free, dairy-free)</t>
  </si>
  <si>
    <t xml:space="preserve">Hastings-on-Hudson</t>
  </si>
  <si>
    <t xml:space="preserve">Fresh or frozen bakery line likely fails the 60-day shelf-stable rule; confirm storage before outreach; single-serve pack not shown on the pages read: ask on the first call; 60-day shelf life not stated; no online store: buy path is the store only</t>
  </si>
  <si>
    <t xml:space="preserve">https://www.wholefoodsmarket.com/api/search?text=by%20the%20way%20bakery&amp;store=10162&amp;limit=60&amp;offset=0</t>
  </si>
  <si>
    <t xml:space="preserve">Helene</t>
  </si>
  <si>
    <t xml:space="preserve">find Helene at By the Way Bakery on LinkedIn and paste the profile URL into primary_linkedin_url; surname not public: take it from LinkedIn; use the Whole Foods Market Union Square line only if retailer_checked_date is this week's Friday check</t>
  </si>
  <si>
    <t xml:space="preserve">no backup named: back to research; use the Whole Foods Market Union Square line only if retailer_checked_date is this week's Friday check</t>
  </si>
  <si>
    <t xml:space="preserve">New York State brand, store page shows Whole Foods Market Union Square inside the cluster, no dated why-now in the last 12 months, revenue unknown</t>
  </si>
  <si>
    <t xml:space="preserve">; founder review: perishable-risk, format-unconfirmed</t>
  </si>
  <si>
    <t xml:space="preserve">first name on brand Our Story</t>
  </si>
  <si>
    <t xml:space="preserve">perishable-risk;format-unconfirmed</t>
  </si>
  <si>
    <t xml:space="preserve">https://www.btwbakery.com</t>
  </si>
  <si>
    <t xml:space="preserve">Line includes cupcakes, cakes and muffins at Whole Foods; shelf life and storage not stated on pages opened</t>
  </si>
  <si>
    <t xml:space="preserve">Whole Foods; four own retail shops (brand Our Story)</t>
  </si>
  <si>
    <t xml:space="preserve">https://www.instagram.com/bythewaybakery/</t>
  </si>
  <si>
    <t xml:space="preserve">BR2:37</t>
  </si>
  <si>
    <t xml:space="preserve">First shop opened in Hastings-on-Hudson in 2011; certified kosher commissary. NoMad and Chelsea not checked separately.</t>
  </si>
  <si>
    <t xml:space="preserve">AB-307</t>
  </si>
  <si>
    <t xml:space="preserve">Milène Jardine Chocolatier</t>
  </si>
  <si>
    <t xml:space="preserve">Launched five vegan chocolate bars (Raw Pistachio, Rosemary, South American Dark, Sicilian Salted Lemon, Coconut Lime Leaf)</t>
  </si>
  <si>
    <t xml:space="preserve">https://milenejardine.com/products.json</t>
  </si>
  <si>
    <t xml:space="preserve">2026-05-07</t>
  </si>
  <si>
    <t xml:space="preserve">https://madeinqueens.org/products</t>
  </si>
  <si>
    <t xml:space="preserve">Raw Pistachio vegan chocolate bar ($7)</t>
  </si>
  <si>
    <t xml:space="preserve">New York City (Made in Queens maker)</t>
  </si>
  <si>
    <t xml:space="preserve">https://milenejardine.com</t>
  </si>
  <si>
    <t xml:space="preserve">Truffles are cream-based (perishable, excluded); only the vegan bars might fit. Confirm the bars' shelf life without refrigeration; 60-day shelf life not stated</t>
  </si>
  <si>
    <t xml:space="preserve">New York City brand, no graded store within ten blocks, online store only, a new store listing 170 days ago, revenue unknown</t>
  </si>
  <si>
    <t xml:space="preserve">; founder review: perishable-risk</t>
  </si>
  <si>
    <t xml:space="preserve">Milène Jardine</t>
  </si>
  <si>
    <t xml:space="preserve">inferred from the brand name and first-person site copy; founder to confirm</t>
  </si>
  <si>
    <t xml:space="preserve">perishable-risk</t>
  </si>
  <si>
    <t xml:space="preserve">Bars carry a note on bringing chocolate to room temperature 'when stored in the refrigerator'; truffles are made with real cream and are perishable</t>
  </si>
  <si>
    <t xml:space="preserve">https://www.instagram.com/milene.jardine.chocolatier/</t>
  </si>
  <si>
    <t xml:space="preserve">BR5:43</t>
  </si>
  <si>
    <t xml:space="preserve">Made in Queens certified maker; Entrepreneur Space current client ('Milene Jardine, Chocolates'). Site: 'Made in New York City'.</t>
  </si>
  <si>
    <t xml:space="preserve">AB-043</t>
  </si>
  <si>
    <t xml:space="preserve">Unique Snacks (Unique Pretzels)</t>
  </si>
  <si>
    <t xml:space="preserve">Puff Knots featured in Women's Health Oct-Dec 2026 issue; top three products added to Walmart shelves across the Northeast (2026-03-09)</t>
  </si>
  <si>
    <t xml:space="preserve">https://www.uniquesnacks.com/blogs/snack-notes</t>
  </si>
  <si>
    <t xml:space="preserve">https://www.uniquesnacks.com/pages/about-us</t>
  </si>
  <si>
    <t xml:space="preserve">Unique Pretzel Splits, Original 11 oz; Puff Knots</t>
  </si>
  <si>
    <t xml:space="preserve">Reading</t>
  </si>
  <si>
    <t xml:space="preserve">https://www.uniquesnacks.com</t>
  </si>
  <si>
    <t xml:space="preserve">Established multi-generation bakery (Unique Pretzel Bakery, Inc.), likely above the $10M band; large-format bags, not single-serve | Claims review 2026-10-24: a 'Diabetic Friendly Gift Basket' (suitability wording tied to a disease) (https://www.uniquesnacks.com/products/small-diabetic-friendly-gift-basket); decide before outreach, and the tent card must not repeat it</t>
  </si>
  <si>
    <t xml:space="preserve">https://www.wholefoodsmarket.com/api/search?text=unique%20snacks&amp;store=10162&amp;limit=60&amp;offset=0</t>
  </si>
  <si>
    <t xml:space="preserve">no person named on an opened page: not ready; use the Whole Foods Market Union Square line only if retailer_checked_date is this week's Friday check</t>
  </si>
  <si>
    <t xml:space="preserve">Northeast brand, store page shows Whole Foods Market Union Square inside the cluster, a new store listing 8 days ago, revenue unknown</t>
  </si>
  <si>
    <t xml:space="preserve">; founder review: scale, format, claim-functional, nutrient-claim</t>
  </si>
  <si>
    <t xml:space="preserve">scale;format;claim-functional;nutrient-claim</t>
  </si>
  <si>
    <t xml:space="preserve">family-owned (six generations per site)</t>
  </si>
  <si>
    <t xml:space="preserve">Baked hard pretzels in sealed bags and tins, ambient</t>
  </si>
  <si>
    <t xml:space="preserve">Walmart (Northeast, from March 2026); Whole Foods Market; brand store locator</t>
  </si>
  <si>
    <t xml:space="preserve">https://www.wholefoodsmarket.com/search?text=pretzels (Union Square context: Unique Pretzels Splits Original 11 oz and Extra Dark IN_STOCK, category search 2026-10-23)</t>
  </si>
  <si>
    <t xml:space="preserve">BR1:44</t>
  </si>
  <si>
    <t xml:space="preserve">Entity Unique Pretzel Bakery, Inc., Reading PA (terms of service). Holiday tins on brand store suit gifting more than pantry drops.</t>
  </si>
  <si>
    <t xml:space="preserve">founder_review_reason &lt;- https://www.uniquesnacks.com/products/small-diabetic-friendly-gift-basket (2026-10-24, stage 3 correction); </t>
  </si>
  <si>
    <t xml:space="preserve">AB-049</t>
  </si>
  <si>
    <t xml:space="preserve">Barnana</t>
  </si>
  <si>
    <t xml:space="preserve">New plantain chip flavors Flamin' Ghost and Cosmic Churro on brand store</t>
  </si>
  <si>
    <t xml:space="preserve">https://barnana.com/products/flamin-ghost-plantain-chips-barnana</t>
  </si>
  <si>
    <t xml:space="preserve">2025-12-01</t>
  </si>
  <si>
    <t xml:space="preserve">https://barnana.com/pages/story</t>
  </si>
  <si>
    <t xml:space="preserve">Barnana Organic Plantain Chips, Himalayan Pink Salt, 5 oz</t>
  </si>
  <si>
    <t xml:space="preserve">https://barnana.com</t>
  </si>
  <si>
    <t xml:space="preserve">Long-established national natural brand (likely mid-size); share-size bags only</t>
  </si>
  <si>
    <t xml:space="preserve">https://www.wholefoodsmarket.com/api/search?text=barnana&amp;store=10162&amp;limit=60&amp;offset=0</t>
  </si>
  <si>
    <t xml:space="preserve">Caue</t>
  </si>
  <si>
    <t xml:space="preserve">Suplicy</t>
  </si>
  <si>
    <t xml:space="preserve">find Caue Suplicy at Barnana on LinkedIn and paste the profile URL into primary_linkedin_url; use the Whole Foods Market Union Square line only if retailer_checked_date is this week's Friday check</t>
  </si>
  <si>
    <t xml:space="preserve">Nik</t>
  </si>
  <si>
    <t xml:space="preserve">Ingersoll</t>
  </si>
  <si>
    <t xml:space="preserve">find Nik Ingersoll at Barnana on LinkedIn and paste the profile URL into backup_linkedin_url; use the Whole Foods Market Union Square line only if retailer_checked_date is this week's Friday check</t>
  </si>
  <si>
    <t xml:space="preserve">Brand based outside the Northeast, store page shows Whole Foods Market Union Square inside the cluster, a new store listing 327 days ago, revenue unknown</t>
  </si>
  <si>
    <t xml:space="preserve">Caue Suplicy</t>
  </si>
  <si>
    <t xml:space="preserve">Nik Ingersoll</t>
  </si>
  <si>
    <t xml:space="preserve">Brand FAQ: 'Plantain Chips - 10 months, Cassava Chips - 12 months, Banana Bites - 18 months, Plantain Scoops - 12 months.'</t>
  </si>
  <si>
    <t xml:space="preserve">Whole Foods Market; brand store locator</t>
  </si>
  <si>
    <t xml:space="preserve">https://www.wholefoodsmarket.com/search?text=barnana (Union Square context: Pink Salt and Acapulco Lime Plantain Chips 5 oz IN_STOCK 2026-10-23)</t>
  </si>
  <si>
    <t xml:space="preserve">BR1:50</t>
  </si>
  <si>
    <t xml:space="preserve">HQ not found on pages opened. why_now date is Shopify published_at.</t>
  </si>
  <si>
    <t xml:space="preserve">shelf_stable_basis &lt;- https://barnana.com/pages/faq (2026-10-24, opened); hq_city &lt;- https://barnana.com/policies/refund-policy (2026-10-24, opened); hq_state &lt;- https://barnana.com/policies/refund-policy (2026-10-24, opened); </t>
  </si>
  <si>
    <t xml:space="preserve">AB-164</t>
  </si>
  <si>
    <t xml:space="preserve">Luba Libations</t>
  </si>
  <si>
    <t xml:space="preserve">New distribution partnership with Breakthru Beverage in Minnesota, all four flavors (2026-08-25); selected as an emerging brand for the 2026 Nourishing Change Conference (2026-04-08)</t>
  </si>
  <si>
    <t xml:space="preserve">https://startupcpg.com/startup-cpg-newswire-luba-libations-expands-midwest-footprint-with-breakthru-beverage-partnership-in-minnesota/</t>
  </si>
  <si>
    <t xml:space="preserve">https://drinkluba.com/pages/our-story</t>
  </si>
  <si>
    <t xml:space="preserve">Luba non-alcoholic Kyiv Mule, 12 oz can</t>
  </si>
  <si>
    <t xml:space="preserve">Sturgeon Bay (Door County)</t>
  </si>
  <si>
    <t xml:space="preserve">https://drinkluba.com</t>
  </si>
  <si>
    <t xml:space="preserve">Wisconsin brand with no confirmed current NYC retail; NA cocktail positioning in an office pantry</t>
  </si>
  <si>
    <t xml:space="preserve">Christiana</t>
  </si>
  <si>
    <t xml:space="preserve">Trapani</t>
  </si>
  <si>
    <t xml:space="preserve">Co-Founder</t>
  </si>
  <si>
    <t xml:space="preserve">https://startupcpg.com/startup-cpg-newswire-luba-libations-selected-as-emerging-brand-for-2026-nourishing-change-conference/</t>
  </si>
  <si>
    <t xml:space="preserve">find Christiana Trapani at Luba Libations on LinkedIn and paste the profile URL into primary_linkedin_url</t>
  </si>
  <si>
    <t xml:space="preserve">Nic</t>
  </si>
  <si>
    <t xml:space="preserve">President</t>
  </si>
  <si>
    <t xml:space="preserve">find Nic Trapani at Luba Libations on LinkedIn and paste the profile URL into backup_linkedin_url</t>
  </si>
  <si>
    <t xml:space="preserve">Brand based outside the Northeast, no graded store within ten blocks, online store only, news 60 days ago, revenue unknown</t>
  </si>
  <si>
    <t xml:space="preserve">Christiana Trapani</t>
  </si>
  <si>
    <t xml:space="preserve">Nic Trapani</t>
  </si>
  <si>
    <t xml:space="preserve">Brand page: canned then tunnel pasteurized, which makes it safe and shelf stable (drinkluba.com/pages/our-story, opened 2026-10-24); shelf-life length not stated</t>
  </si>
  <si>
    <t xml:space="preserve">https://popupgrocer.com/products/luba-libations</t>
  </si>
  <si>
    <t xml:space="preserve">BR3:38</t>
  </si>
  <si>
    <t xml:space="preserve">Story page: 'non-alcoholic cocktail and mixer brand from Door County, Wisconsin'; explicitly no adaptogens, nootropics or caffeine (clean on claims). 4-pack $12.99.</t>
  </si>
  <si>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</si>
  <si>
    <t xml:space="preserve">AB-178</t>
  </si>
  <si>
    <t xml:space="preserve">Rockaway Soda</t>
  </si>
  <si>
    <t xml:space="preserve">https://drinkrockaway.com/pages/story</t>
  </si>
  <si>
    <t xml:space="preserve">ROCKAWAY Pineapple Ginger soda (real fruit, 7 g organic cane sugar), can</t>
  </si>
  <si>
    <t xml:space="preserve">Queens (Rockaway, New York City)</t>
  </si>
  <si>
    <t xml:space="preserve">https://drinkrockaway.com</t>
  </si>
  <si>
    <t xml:space="preserve">No current retailer found (Pop Up Grocer lists it as a past brand); 'healthier sodas' wording is soft but check label | Claims review 2026-10-24: a soda listing ashwagandha and valerian (functional ingredients; check the pack for a Supplement Facts panel or claims) (https://drinkrockaway.com/products/lime-mint); decide before outreach, and the tent card must not repeat it; 60-day shelf life not stated</t>
  </si>
  <si>
    <t xml:space="preserve">Bridget</t>
  </si>
  <si>
    <t xml:space="preserve">Firtle</t>
  </si>
  <si>
    <t xml:space="preserve">https://amny.com/news/queens-entrepreneur-rockaway-sparkling-water-company</t>
  </si>
  <si>
    <t xml:space="preserve">find Bridget Firtle at Rockaway Soda on LinkedIn and paste the profile URL into primary_linkedin_url</t>
  </si>
  <si>
    <t xml:space="preserve">Bridget Firtle</t>
  </si>
  <si>
    <t xml:space="preserve">independently owned (story page)</t>
  </si>
  <si>
    <t xml:space="preserve">https://popupgrocer.com/products/rockaway-soda</t>
  </si>
  <si>
    <t xml:space="preserve">https://instagram.com/drinkrockaway</t>
  </si>
  <si>
    <t xml:space="preserve">BR3:52</t>
  </si>
  <si>
    <t xml:space="preserve">Story: Born in a special place in New York City (Rockaway), 1% of sales for the ocean, women-owned per Pop Up Grocer. Newest store listing is lime-mint (2025-08-19), outside the 12-month window, so no current why-now.</t>
  </si>
  <si>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founder_review_reason &lt;- https://drinkrockaway.com/products/lime-mint (2026-10-24, stage 3 correction); </t>
  </si>
  <si>
    <t xml:space="preserve">AB-094</t>
  </si>
  <si>
    <t xml:space="preserve">Lagusta's Luscious</t>
  </si>
  <si>
    <t xml:space="preserve">Fall 2026 collections (Sweet Hauntings Box, Thanksliving) on brand store; Wirecutter top pick noted on product name</t>
  </si>
  <si>
    <t xml:space="preserve">https://lagustasluscious.com/products/signature-collection-6-piece-copy</t>
  </si>
  <si>
    <t xml:space="preserve">2026-10-17</t>
  </si>
  <si>
    <t xml:space="preserve">https://lagustasluscious.com/pages/about-us</t>
  </si>
  <si>
    <t xml:space="preserve">Peanut Butter Caramel Bar; Earl Grey Bar (vegan)</t>
  </si>
  <si>
    <t xml:space="preserve">New Paltz</t>
  </si>
  <si>
    <t xml:space="preserve">https://lagustasluscious.com</t>
  </si>
  <si>
    <t xml:space="preserve">Artisan handmade confections, shelf life unknown and likely small volume; some product names may draw office vetoes; 60-day shelf life not stated</t>
  </si>
  <si>
    <t xml:space="preserve">https://lagustasluscious.com/pages/press</t>
  </si>
  <si>
    <t xml:space="preserve">New York State brand, no graded store within ten blocks, online store only, a new store listing 7 days ago, revenue unknown</t>
  </si>
  <si>
    <t xml:space="preserve">Yearwood</t>
  </si>
  <si>
    <t xml:space="preserve">surname on brand press page; first name Lagusta implied by the brand name, founder to confirm</t>
  </si>
  <si>
    <t xml:space="preserve">Brand FAQ: caramel and bars with a caramel layer keep up to three months; filled non-caramel bonbons should be eaten within one month. Store at cool room temperature.</t>
  </si>
  <si>
    <t xml:space="preserve">Own shop (brand about page mentions shop with drinks and pastries)</t>
  </si>
  <si>
    <t xml:space="preserve">https://www.instagram.com/lagustasluscious/</t>
  </si>
  <si>
    <t xml:space="preserve">BR2:32</t>
  </si>
  <si>
    <t xml:space="preserve">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</si>
  <si>
    <t xml:space="preserve">shelf_stable_basis &lt;- https://lagustasluscious.com/pages/faq (2026-10-24, opened); founder_name &lt;- https://lagustasluscious.com/pages/press (2026-10-24, opened); founder_title &lt;- https://lagustasluscious.com/pages/press (2026-10-24, opened); why_now_url &lt;- https://lagustasluscious.com/products/signature-collection-6-piece-copy (2026-10-24, stage 3 correction); </t>
  </si>
  <si>
    <t xml:space="preserve">AB-309</t>
  </si>
  <si>
    <t xml:space="preserve">Smolbol (Mismi Foods)</t>
  </si>
  <si>
    <t xml:space="preserve">Exhibited in the Startup CPG pavilion at the 2026 Summer Fancy Food Show</t>
  </si>
  <si>
    <t xml:space="preserve">https://events.specialtyfood.com/event/2026-summer-fancy-food-show/exhibitor/RXhoaWJpdG9yXzI0NTExNTY=</t>
  </si>
  <si>
    <t xml:space="preserve">Smolbol Sea Salt cassava-coated peanuts, 1.75 oz on-the-go pack</t>
  </si>
  <si>
    <t xml:space="preserve">https://www.amazon.com/smolbol</t>
  </si>
  <si>
    <t xml:space="preserve">Homepage calls it a 'guilt-free, energy-boosting snack' (vague benefit wording; check the pack). Peanut product, so expect office allergen vetoes. Buy path not confirmed ('buy now' link not followed to a store)</t>
  </si>
  <si>
    <t xml:space="preserve">https://www.smolbol.com</t>
  </si>
  <si>
    <t xml:space="preserve">Coated roasted peanuts in sealed 1.75 oz and 6 oz bags; shelf life not stated</t>
  </si>
  <si>
    <t xml:space="preserve">https://www.instagram.com/enjoysmolbol/</t>
  </si>
  <si>
    <t xml:space="preserve">BR5:45</t>
  </si>
  <si>
    <t xml:space="preserve">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</si>
  <si>
    <t xml:space="preserve">online_store &lt;- https://www.smolbol.com (2026-10-24, opened, stage 1); </t>
  </si>
  <si>
    <t xml:space="preserve">AB-294</t>
  </si>
  <si>
    <t xml:space="preserve">Snackios</t>
  </si>
  <si>
    <t xml:space="preserve">Exhibited at the 2026 Summer Fancy Food Show with a new product flagged</t>
  </si>
  <si>
    <t xml:space="preserve">https://events.specialtyfood.com/event/2026-summer-fancy-food-show/exhibitor/RXhoaWJpdG9yXzIzMTc3OTU=</t>
  </si>
  <si>
    <t xml:space="preserve">Snackios Sea Salt Pita Chips, 2 oz bag</t>
  </si>
  <si>
    <t xml:space="preserve">https://snackios.com/2-oz-bags/</t>
  </si>
  <si>
    <t xml:space="preserve">Founder and NJ town not named on pages opened. 'Baked fresh daily' with no stated shelf life. Seed-oil-free and 'better-for-you' wording, no health claim seen</t>
  </si>
  <si>
    <t xml:space="preserve">https://snackios.com</t>
  </si>
  <si>
    <t xml:space="preserve">Baked pita and bagel chips in 2 oz, 4 oz and 6 oz bags sold online; a reviewer notes 'a good expiration date'</t>
  </si>
  <si>
    <t xml:space="preserve">Locator page is script-rendered; a customer review mentions Food Lion</t>
  </si>
  <si>
    <t xml:space="preserve">https://www.instagram.com/snackios</t>
  </si>
  <si>
    <t xml:space="preserve">BR5:30</t>
  </si>
  <si>
    <t xml:space="preserve">SFFS 2026 (State: New Jersey): 'family-operated, women-owned manufacturer of artisan pita and bagel chips based in New Jersey... 8 craveable' flavors. 2 oz bags fit a single-serve drop.</t>
  </si>
  <si>
    <t xml:space="preserve">AB-214</t>
  </si>
  <si>
    <t xml:space="preserve">Brothers All Natural</t>
  </si>
  <si>
    <t xml:space="preserve">Parent Brothers International announced an SK Capital recapitalization for accelerated growth (2026-04-22) and hired former PepsiCo executive Melissa McCormack as VP, CPG Sales for Brothers All Natural (2026-03-31)</t>
  </si>
  <si>
    <t xml:space="preserve">https://www.brothersinternational.com/press</t>
  </si>
  <si>
    <t xml:space="preserve">2026-04-22</t>
  </si>
  <si>
    <t xml:space="preserve">https://brothersallnatural.com/faq/</t>
  </si>
  <si>
    <t xml:space="preserve">Strawberry Freeze Dried Fruit Crisps 1 oz bag (8-pack); Apple Cinnamon 0.35 oz (24-pack)</t>
  </si>
  <si>
    <t xml:space="preserve">Rochester (parent Brothers International: 1175 Lexington Avenue, Rochester, NY 14606)</t>
  </si>
  <si>
    <t xml:space="preserve">https://brothersallnatural.com</t>
  </si>
  <si>
    <t xml:space="preserve">Kids and Disney-licensed line (site nav shows Disney); nutrient-content wording ('zero grams of fat', '30-80 calories per serving')</t>
  </si>
  <si>
    <t xml:space="preserve">New York State brand, no graded store within ten blocks, online store only, news 185 days ago, revenue unknown</t>
  </si>
  <si>
    <t xml:space="preserve">Brand FAQ: freeze-drying 'allows foods to be stored at room temperature for one year or longer'</t>
  </si>
  <si>
    <t xml:space="preserve">Store finder (not machine-readable)</t>
  </si>
  <si>
    <t xml:space="preserve">https://brothersallnatural.com/store-locator/</t>
  </si>
  <si>
    <t xml:space="preserve">https://www.instagram.com/brothersallnatural</t>
  </si>
  <si>
    <t xml:space="preserve">BR4:9</t>
  </si>
  <si>
    <t xml:space="preserve">Footer: Brothers International Food Holdings, LLC. Not found in WFM cluster catalogs on 2026-10-23.</t>
  </si>
  <si>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</si>
  <si>
    <t xml:space="preserve">AB-114</t>
  </si>
  <si>
    <t xml:space="preserve">Knipschildt Chocolatier (Chocopologie)</t>
  </si>
  <si>
    <t xml:space="preserve">https://chocopologie.com/pages/about-us-1</t>
  </si>
  <si>
    <t xml:space="preserve">Sea Salt Caramel Collection 2.1 oz; truffle collections</t>
  </si>
  <si>
    <t xml:space="preserve">Norwalk</t>
  </si>
  <si>
    <t xml:space="preserve">https://chocopologie.com</t>
  </si>
  <si>
    <t xml:space="preserve">Luxury truffle maker; perishable cakes in line and an espresso martini truffle (check alcohol); not an emerging snack brand; single-serve pack not shown on the pages read: ask on the first call; 60-day shelf life not stated</t>
  </si>
  <si>
    <t xml:space="preserve">https://www.wholefoodsmarket.com/api/search?text=knipschildt&amp;store=10773&amp;limit=60&amp;offset=0</t>
  </si>
  <si>
    <t xml:space="preserve">Fritz</t>
  </si>
  <si>
    <t xml:space="preserve">Knipschildt</t>
  </si>
  <si>
    <t xml:space="preserve">https://chocopologie.com/</t>
  </si>
  <si>
    <t xml:space="preserve">find Fritz Knipschildt at Knipschildt Chocolatier on LinkedIn and paste the profile URL into primary_linkedin_url; use the Whole Foods Market NoMad line only if retailer_checked_date is this week's Friday check</t>
  </si>
  <si>
    <t xml:space="preserve">; founder review: not-emerging, perishable-risk, alcohol-adjacent, format-unconfirmed</t>
  </si>
  <si>
    <t xml:space="preserve">Fritz Knipschildt</t>
  </si>
  <si>
    <t xml:space="preserve">not-emerging;perishable-risk;alcohol-adjacent;format-unconfirmed</t>
  </si>
  <si>
    <t xml:space="preserve">Product page (La Madeline au Truffle): 'Product has a 7 day shelf life' and ships Next Day Air. No shelf-life figure found for bars.</t>
  </si>
  <si>
    <t xml:space="preserve">https://www.wholefoodsmarket.com/api/search?text=knipschildt&amp;store=10162&amp;limit=60&amp;offset=0; https://www.wholefoodsmarket.com/api/search?text=knipschildt&amp;store=10773&amp;limit=60&amp;offset=0; https://www.wholefoodsmarket.com/api/search?text=knipschildt&amp;store=10131&amp;limit=60&amp;offset=0</t>
  </si>
  <si>
    <t xml:space="preserve">https://www.instagram.com/fritzknipschildt/</t>
  </si>
  <si>
    <t xml:space="preserve">BR2:52</t>
  </si>
  <si>
    <t xml:space="preserve">Last new product on brand store Feb 2026 (Dubai Chocolate Easter Eggs).</t>
  </si>
  <si>
    <t xml:space="preserve">hq_city &lt;- https://chocopologie.com/policies/refund-policy (2026-10-24, opened); hq_state &lt;- https://chocopologie.com/policies/refund-policy (2026-10-24, opened); shelf_stable_basis &lt;- https://chocopologie.com/products/la-madeline-au-truffle (2026-10-24, opened); </t>
  </si>
  <si>
    <t xml:space="preserve">AB-064</t>
  </si>
  <si>
    <t xml:space="preserve">Guinness Steak Cuts (Sidari Artisan Brands)</t>
  </si>
  <si>
    <t xml:space="preserve">Debuted NY-Style Pastrami and The Spicy Blend flavors at the NACS Show, expanding the line from three to five flavors</t>
  </si>
  <si>
    <t xml:space="preserve">https://www.snackandbakery.com/articles/116326-guinness-steak-cuts-adds-two-new-flavors-to-lineup</t>
  </si>
  <si>
    <t xml:space="preserve">https://startupcpg.com/startup-cpg-newswire-steak-not-jerky-sidari-artisan-brands-partners-with-guinness-to-bring-the-steakhouse-to-the-snack-aisle/</t>
  </si>
  <si>
    <t xml:space="preserve">Guinness Steak Cuts, Original (Pot Roast)</t>
  </si>
  <si>
    <t xml:space="preserve">Cleveland</t>
  </si>
  <si>
    <t xml:space="preserve">https://www.amazon.com/Guinness-Steak-Original-Flavor-Ounce/dp</t>
  </si>
  <si>
    <t xml:space="preserve">Licensed beer brand (marinated with Guinness 0.0, 'designed to pair with a pint'); offices may veto alcohol-adjacent branding; shelf stability unconfirmed; single-serve pack not shown on the pages read: ask on the first call; 60-day shelf life not stated</t>
  </si>
  <si>
    <t xml:space="preserve">Elizabeth</t>
  </si>
  <si>
    <t xml:space="preserve">Brauser</t>
  </si>
  <si>
    <t xml:space="preserve">Co-founder, Sidari Artisan Brands</t>
  </si>
  <si>
    <t xml:space="preserve">find Elizabeth Brauser at Guinness Steak Cuts on LinkedIn and paste the profile URL into primary_linkedin_url</t>
  </si>
  <si>
    <t xml:space="preserve">Mary</t>
  </si>
  <si>
    <t xml:space="preserve">Santelli</t>
  </si>
  <si>
    <t xml:space="preserve">find Mary Santelli at Guinness Steak Cuts on LinkedIn and paste the profile URL into backup_linkedin_url</t>
  </si>
  <si>
    <t xml:space="preserve">Brand based outside the Northeast, no graded store within ten blocks, online store only, news 32 days ago, revenue unknown</t>
  </si>
  <si>
    <t xml:space="preserve">; founder review: alcohol-adjacent, format-unconfirmed</t>
  </si>
  <si>
    <t xml:space="preserve">Elizabeth Brauser</t>
  </si>
  <si>
    <t xml:space="preserve">Mary Santelli</t>
  </si>
  <si>
    <t xml:space="preserve">alcohol-adjacent;format-unconfirmed</t>
  </si>
  <si>
    <t xml:space="preserve">https://guinnesssteakcuts.com</t>
  </si>
  <si>
    <t xml:space="preserve">OH</t>
  </si>
  <si>
    <t xml:space="preserve">Release calls it a steak snack sold on Amazon; storage not stated</t>
  </si>
  <si>
    <t xml:space="preserve">Amazon (national launch April 2026); retail debut fall 2025</t>
  </si>
  <si>
    <t xml:space="preserve">https://www.wholefoodsmarket.com/search?text=guinness%20steak%20cuts (no WFM results, 2026-10-23)</t>
  </si>
  <si>
    <t xml:space="preserve">BR1:65</t>
  </si>
  <si>
    <t xml:space="preserve">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</si>
  <si>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</si>
  <si>
    <t xml:space="preserve">AB-179</t>
  </si>
  <si>
    <t xml:space="preserve">Ample Hydration</t>
  </si>
  <si>
    <t xml:space="preserve">Added to Pop Up Grocer NYC Flagship directory; Pure Maple Water relisted on own store 2026-05-29; now shipping to Canada</t>
  </si>
  <si>
    <t xml:space="preserve">https://popupgrocer.com/products/ample-hydration</t>
  </si>
  <si>
    <t xml:space="preserve">2026-07-01</t>
  </si>
  <si>
    <t xml:space="preserve">https://drinkample.com/pages/faqs</t>
  </si>
  <si>
    <t xml:space="preserve">Ample Pure Maple Water (organic, one ingredient, 35 calories), can</t>
  </si>
  <si>
    <t xml:space="preserve">Englewood Cliffs</t>
  </si>
  <si>
    <t xml:space="preserve">https://drinkample.com</t>
  </si>
  <si>
    <t xml:space="preserve">'Hydration' and naturally occurring electrolytes positioning (check label for claims); single SKU; HQ not found</t>
  </si>
  <si>
    <t xml:space="preserve">Noah</t>
  </si>
  <si>
    <t xml:space="preserve">Fischman</t>
  </si>
  <si>
    <t xml:space="preserve">https://drinkample.com/pages/our-story</t>
  </si>
  <si>
    <t xml:space="preserve">find Noah Fischman at Ample Hydration on LinkedIn and paste the profile URL into primary_linkedin_url</t>
  </si>
  <si>
    <t xml:space="preserve">Northeast brand, no graded store within ten blocks, online store only, a new store listing 115 days ago, revenue unknown</t>
  </si>
  <si>
    <t xml:space="preserve">Noah Fischman</t>
  </si>
  <si>
    <t xml:space="preserve">FAQ: 'Ample is shelf stable, so unopened cans can be stored at room temperature' (drinkample.com/pages/faqs, opened 2026-10-23)</t>
  </si>
  <si>
    <t xml:space="preserve">Pop Up Grocer (brand_claim, unplaced)</t>
  </si>
  <si>
    <t xml:space="preserve">Pop Up Grocer NYC Flagship, 205 Bleecker St (retailer directory); store locator page not readable</t>
  </si>
  <si>
    <t xml:space="preserve">BR3:53</t>
  </si>
  <si>
    <t xml:space="preserve">Jewish-owned per Pop Up Grocer directory. A clean, plain product for an office pantry.</t>
  </si>
  <si>
    <t xml:space="preserve">hq_city &lt;- https://drinkample.com/policies/privacy-policy (2026-10-24, opened); hq_state &lt;- https://drinkample.com/policies/privacy-policy (2026-10-24, opened); </t>
  </si>
  <si>
    <t xml:space="preserve">AB-252</t>
  </si>
  <si>
    <t xml:space="preserve">Whey Water</t>
  </si>
  <si>
    <t xml:space="preserve">Announced May 2026 DTC launch of sparkling protein beverage</t>
  </si>
  <si>
    <t xml:space="preserve">https://startupcpg.com/startup-cpg-newswire-whey-water-announces-may-2026-launch-of-sparkling-protein-beverage/</t>
  </si>
  <si>
    <t xml:space="preserve">2026-03-19</t>
  </si>
  <si>
    <t xml:space="preserve">Sparkling protein beverage, 12 oz can (18g whey protein isolate, 5g sugar)</t>
  </si>
  <si>
    <t xml:space="preserve">Metuchen</t>
  </si>
  <si>
    <t xml:space="preserve">https://drinkwheywater.com</t>
  </si>
  <si>
    <t xml:space="preserve">Protein drink positioned for post-workout and the workday; protein nutrient claims; dairy-based (confirm ambient storage)</t>
  </si>
  <si>
    <t xml:space="preserve">Ujwal</t>
  </si>
  <si>
    <t xml:space="preserve">Trivedi</t>
  </si>
  <si>
    <t xml:space="preserve">find Ujwal Trivedi at Whey Water on LinkedIn and paste the profile URL into primary_linkedin_url</t>
  </si>
  <si>
    <t xml:space="preserve">Northeast brand, no graded store within ten blocks, online store only, news 219 days ago, revenue unknown</t>
  </si>
  <si>
    <t xml:space="preserve">Ujwal Trivedi</t>
  </si>
  <si>
    <t xml:space="preserve">Brand FAQ: store at room temperature; commercial heat pasteurization for shelf stability; no months stated | brand FAQ; no shelf-life figure, founder to confirm 60+ days</t>
  </si>
  <si>
    <t xml:space="preserve">No sales figure published. DTC launch scheduled May 2026 (Startup CPG 2026-03-19)</t>
  </si>
  <si>
    <t xml:space="preserve">DTC (drinkwheywater.com)</t>
  </si>
  <si>
    <t xml:space="preserve">BR4:47</t>
  </si>
  <si>
    <t xml:space="preserve">Release explicitly names 'on-the-go consumption during the workday' as an occasion.</t>
  </si>
  <si>
    <t xml:space="preserve">shelf_stable &lt;- https://drinkwheywater.com/pages/faq (2026-10-24, opened); shelf_stable_basis &lt;- https://drinkwheywater.com/pages/faq (2026-10-24, opened); </t>
  </si>
  <si>
    <t xml:space="preserve">AB-140</t>
  </si>
  <si>
    <t xml:space="preserve">Nguyen Coffee Supply</t>
  </si>
  <si>
    <t xml:space="preserve">Launched Vietnamese Coffee Ground Espresso on its store (not the RTD line)</t>
  </si>
  <si>
    <t xml:space="preserve">https://nguyencoffeesupply.com/products/vietnamese-coffee-ground-espresso</t>
  </si>
  <si>
    <t xml:space="preserve">https://nguyencoffeesupply.com/pages/about-us</t>
  </si>
  <si>
    <t xml:space="preserve">Vietnamese Coffee RTD cans: Espresso Black, Condensed Milk Latte, Coconut Milk Latte</t>
  </si>
  <si>
    <t xml:space="preserve">https://nguyencoffeesupply.com/products/cold-brew-variety-pack</t>
  </si>
  <si>
    <t xml:space="preserve">RTD 6-pack showed 'currently sold out' on own store (2026-10-23), so cans may be paused; core business is roasted coffee. Copy uses 'boost of energy' wording (caffeine, not a structure claim, but check)</t>
  </si>
  <si>
    <t xml:space="preserve">Sahra</t>
  </si>
  <si>
    <t xml:space="preserve">find Sahra Nguyen at Nguyen Coffee Supply on LinkedIn and paste the profile URL into primary_linkedin_url</t>
  </si>
  <si>
    <t xml:space="preserve">New York City brand, no graded store within ten blocks, online store only, a new store listing 221 days ago, revenue unknown</t>
  </si>
  <si>
    <t xml:space="preserve">; founder review: dormant, claim-functional, nutrient-claim</t>
  </si>
  <si>
    <t xml:space="preserve">Sahra Nguyen</t>
  </si>
  <si>
    <t xml:space="preserve">dormant;claim-functional;nutrient-claim</t>
  </si>
  <si>
    <t xml:space="preserve">https://nguyencoffeesupply.com</t>
  </si>
  <si>
    <t xml:space="preserve">RTD product copy: 'Shelf stable' (nguyencoffeesupply.com/products.json, cold-brew-variety-pack, read 2026-10-23)</t>
  </si>
  <si>
    <t xml:space="preserve">Business Insider profile: Nguyen Coffee Supply declined to share revenue figures with Insider; founded 2018-11 as a DTC brand roasting in Brooklyn</t>
  </si>
  <si>
    <t xml:space="preserve">https://www.instagram.com/nguyencoffeesupply</t>
  </si>
  <si>
    <t xml:space="preserve">BR3:14</t>
  </si>
  <si>
    <t xml:space="preserve">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</si>
  <si>
    <t xml:space="preserve">notes &lt;- https://www.nombase.com/newswire/2026/03/18/nguyen-coffee-supply-launches-ground-espresso-its-first-product-sourced-and-roasted-in-vietnam (2026-10-24, snippet-unverified); revenue_basis &lt;- https://shorefire.com/images/uploads/album/Sahra_Nguyen_Business_Insider.pdf (2026-10-24, opened); </t>
  </si>
  <si>
    <t xml:space="preserve">AB-128</t>
  </si>
  <si>
    <t xml:space="preserve">Sanzo</t>
  </si>
  <si>
    <t xml:space="preserve">https://drinksanzo.com/pages/about</t>
  </si>
  <si>
    <t xml:space="preserve">Sanzo Calamansi sparkling water, 12 oz can</t>
  </si>
  <si>
    <t xml:space="preserve">https://drinksanzo.com</t>
  </si>
  <si>
    <t xml:space="preserve">Series A funded with 2,000+ doors by 2022; may be above the $10M revenue band (no sourced figure). Store locator is a JS widget (GoToAisle) not readable; no named near-cluster store confirmed</t>
  </si>
  <si>
    <t xml:space="preserve">Sandro</t>
  </si>
  <si>
    <t xml:space="preserve">Roco</t>
  </si>
  <si>
    <t xml:space="preserve">find Sandro Roco at Sanzo on LinkedIn and paste the profile URL into primary_linkedin_url</t>
  </si>
  <si>
    <t xml:space="preserve">Senior Marketing Director</t>
  </si>
  <si>
    <t xml:space="preserve">https://www.modernretail.co/marketing/amid-its-retail-expansion-sanzo-is-investing-in-more-nontraditional-collaborations-with-food-and-accessories-brands/</t>
  </si>
  <si>
    <t xml:space="preserve">find Kimberly Lam at Sanzo on LinkedIn and paste the profile URL into backup_linkedin_url</t>
  </si>
  <si>
    <t xml:space="preserve">Sandro Roco</t>
  </si>
  <si>
    <t xml:space="preserve">Kimberly Lam</t>
  </si>
  <si>
    <t xml:space="preserve">Series A ($10M, 2022, CircleUp Growth Partners)</t>
  </si>
  <si>
    <t xml:space="preserve">https://www.foodbusinessnews.net/articles/20727-sanzo-raises-10-million-in-series-a-funding</t>
  </si>
  <si>
    <t xml:space="preserve">Brand FAQ: 'Our sparkling water is shelf stable' (drinksanzo.com/pages/faq, opened 2026-10-23)</t>
  </si>
  <si>
    <t xml:space="preserve">Modern Retail 2023-08-02: Sanzo declined to share specific revenue figures; 3,000 retail doors nationwide and household penetration up 300% year over year (no revenue figure)</t>
  </si>
  <si>
    <t xml:space="preserve">Whole Foods Market; Erewhon; Panda Express (foodservice); 2,000+ retail and foodservice outlets (2022 press)</t>
  </si>
  <si>
    <t xml:space="preserve">https://www.instagram.com/drinksanzo</t>
  </si>
  <si>
    <t xml:space="preserve">BR3:2</t>
  </si>
  <si>
    <t xml:space="preserve">Queens-born Filipino American founder; FBN dateline NEW YORK. Whole Foods product page exists for Yuzu 6-pack (wholefoodsmarket.com/grocery/product/...b0bfkcmr99, from search results, not store-specific). No dated signal found in last 12 months.</t>
  </si>
  <si>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</si>
  <si>
    <t xml:space="preserve">AB-158</t>
  </si>
  <si>
    <t xml:space="preserve">Vita Coco</t>
  </si>
  <si>
    <t xml:space="preserve">https://vitacoco.com/pages/our-story</t>
  </si>
  <si>
    <t xml:space="preserve">Vita Coco Coconut Water, 11.1 oz carton</t>
  </si>
  <si>
    <t xml:space="preserve">https://vitacoco.com</t>
  </si>
  <si>
    <t xml:space="preserve">Large national brand, almost certainly far above the $10M band; recorded as a reference and a possible later standard-tier buyer, not a founding prospect</t>
  </si>
  <si>
    <t xml:space="preserve">Kirban</t>
  </si>
  <si>
    <t xml:space="preserve">CEO per an older press headline quoted on the our-story page</t>
  </si>
  <si>
    <t xml:space="preserve">find Michael Kirban at Vita Coco on LinkedIn and paste the profile URL into primary_linkedin_url</t>
  </si>
  <si>
    <t xml:space="preserve">Jenny</t>
  </si>
  <si>
    <t xml:space="preserve">Ly</t>
  </si>
  <si>
    <t xml:space="preserve">Brand Activation Manager</t>
  </si>
  <si>
    <t xml:space="preserve">https://attend.expowest.com/event/natural-products-expo-west-2026/exhibitor/RXhoaWJpdG9yXzIzNTYzNDU=</t>
  </si>
  <si>
    <t xml:space="preserve">find Jenny Ly at Vita Coco on LinkedIn and paste the profile URL into backup_linkedin_url</t>
  </si>
  <si>
    <t xml:space="preserve">Michael Kirban</t>
  </si>
  <si>
    <t xml:space="preserve">Jenny Ly</t>
  </si>
  <si>
    <t xml:space="preserve">Brand FAQ: shelf stable for up to 12 months outside of the fridge (Tetra Pak, flash pasteurized) (vitacoco.com/pages/faq, opened 2026-10-24)</t>
  </si>
  <si>
    <t xml:space="preserve">No figure opened (investor site returned 403)</t>
  </si>
  <si>
    <t xml:space="preserve">unknown (GoToAisle locator not readable)</t>
  </si>
  <si>
    <t xml:space="preserve">https://www.instagram.com/vitacoco</t>
  </si>
  <si>
    <t xml:space="preserve">BR3:32</t>
  </si>
  <si>
    <t xml:space="preserve">Widely reported as New York-based; HQ not stated on pages opened, so left unknown (founder to confirm).</t>
  </si>
  <si>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</si>
  <si>
    <t xml:space="preserve">AB-274</t>
  </si>
  <si>
    <t xml:space="preserve">Claudio's Kitchen</t>
  </si>
  <si>
    <t xml:space="preserve">Launched a 'Gowanus Bites' cookie of the month</t>
  </si>
  <si>
    <t xml:space="preserve">https://claudioskitchennyc.com/products/cookie-of-the-month-gowanus-bites</t>
  </si>
  <si>
    <t xml:space="preserve">https://events.specialtyfood.com/event/2026-summer-fancy-food-show/exhibitor/RXhoaWJpdG9yXzI0MjQ1NjY=</t>
  </si>
  <si>
    <t xml:space="preserve">Cookie of the Month 'Gowanus Bites'; Rainbow cookies; Palmier</t>
  </si>
  <si>
    <t xml:space="preserve">Brooklyn (Gowanus, 11215)</t>
  </si>
  <si>
    <t xml:space="preserve">https://claudioskitchennyc.com</t>
  </si>
  <si>
    <t xml:space="preserve">Fresh-baked Italian cookies shipped weekly; 60-day shelf life and retail labeling unconfirmed, so it may fail the perishable gate; single-serve pack not shown on the pages read: ask on the first call; 60-day shelf life not stated</t>
  </si>
  <si>
    <t xml:space="preserve">Claudio</t>
  </si>
  <si>
    <t xml:space="preserve">find Claudio at Claudio's Kitchen on LinkedIn and paste the profile URL into primary_linkedin_url; surname not public: take it from LinkedIn</t>
  </si>
  <si>
    <t xml:space="preserve">Homepage says 'Shipped Fresh from Our Brooklyn Kitchen Weekly'; no shelf life stated</t>
  </si>
  <si>
    <t xml:space="preserve">Claudio's Kitchen shop (unverified, unplaced)</t>
  </si>
  <si>
    <t xml:space="preserve">Own Gowanus coffee shop</t>
  </si>
  <si>
    <t xml:space="preserve">https://www.instagram.com/claudioskitchennyc/</t>
  </si>
  <si>
    <t xml:space="preserve">BR5:10</t>
  </si>
  <si>
    <t xml:space="preserve">SFFS 2026 exhibitor (Bread &amp; Bakery, In The Fancy Bodega). Founder story: Rome-born, moved to New York in 2015. why_now date is Shopify published_at.</t>
  </si>
  <si>
    <t xml:space="preserve">AB-269</t>
  </si>
  <si>
    <t xml:space="preserve">Skinny Earth</t>
  </si>
  <si>
    <t xml:space="preserve">Added Sweet Plantain Chips to its online store</t>
  </si>
  <si>
    <t xml:space="preserve">https://skinnyearth.com/products/sweet-plantain-chips</t>
  </si>
  <si>
    <t xml:space="preserve">2026-08-22</t>
  </si>
  <si>
    <t xml:space="preserve">https://events.specialtyfood.com/event/2026-summer-fancy-food-show/exhibitor/RXhoaWJpdG9yXzI0NjQ3ODM=</t>
  </si>
  <si>
    <t xml:space="preserve">Green Plantain Chips; Gluten Free Pink Salt D'Crisp</t>
  </si>
  <si>
    <t xml:space="preserve">Long Island (town unknown)</t>
  </si>
  <si>
    <t xml:space="preserve">https://skinnyearth.com</t>
  </si>
  <si>
    <t xml:space="preserve">Bag size and single-serve format not confirmed ($9.99 listings); brand also sells pancake mix and oatmeal (not eligible SKUs) | Claims review 2026-10-24: an FDA-style disclaimer on a product page ('Statements regarding diet and Dietary Supplements have not been evaluated'); no claim found (https://skinnyearth.com/products/gluten-free-7-plus-super-food-oatmeal); decide before outreach, and the tent card must not repeat it</t>
  </si>
  <si>
    <t xml:space="preserve">Pat</t>
  </si>
  <si>
    <t xml:space="preserve">find Pat at Skinny Earth on LinkedIn and paste the profile URL into primary_linkedin_url; surname not public: take it from LinkedIn</t>
  </si>
  <si>
    <t xml:space="preserve">Èfè</t>
  </si>
  <si>
    <t xml:space="preserve">find Èfè at Skinny Earth on LinkedIn and paste the profile URL into backup_linkedin_url; surname not public: take it from LinkedIn</t>
  </si>
  <si>
    <t xml:space="preserve">New York State brand, no graded store within ten blocks, online store only, a new store listing 63 days ago, revenue unknown</t>
  </si>
  <si>
    <t xml:space="preserve">; founder review: format, claim-functional, nutrient-claim</t>
  </si>
  <si>
    <t xml:space="preserve">format;claim-functional;nutrient-claim</t>
  </si>
  <si>
    <t xml:space="preserve">Bagged chips and crisps sold ambient online; shelf life not stated</t>
  </si>
  <si>
    <t xml:space="preserve">unknown (SFFS listing flags 'In The Fancy Bodega')</t>
  </si>
  <si>
    <t xml:space="preserve">https://www.instagram.com/skinnyearth/</t>
  </si>
  <si>
    <t xml:space="preserve">BR5:5</t>
  </si>
  <si>
    <t xml:space="preserve">SFFS 2026 description: 'crafted with all-natural, non-GMO ingredients on Long Island, New York. Founded by mother-daughter team Pat and Èfè, Nigerian American'. why_now date is Shopify published_at.</t>
  </si>
  <si>
    <t xml:space="preserve">founder_review_reason &lt;- https://skinnyearth.com/products/gluten-free-7-plus-super-food-oatmeal (2026-10-24, stage 3 correction); </t>
  </si>
  <si>
    <t xml:space="preserve">AB-031</t>
  </si>
  <si>
    <t xml:space="preserve">LOVE CORN</t>
  </si>
  <si>
    <t xml:space="preserve">https://lovecorn.com</t>
  </si>
  <si>
    <t xml:space="preserve">LOVE CORN Sea Salt crunchy roasted corn, 0.7 oz single bags (20-count)</t>
  </si>
  <si>
    <t xml:space="preserve">Ho-Ho-Kus</t>
  </si>
  <si>
    <t xml:space="preserve">UK-founded, investor-backed brand with wide US distribution; may be above the $10M band (no sourced figure)</t>
  </si>
  <si>
    <t xml:space="preserve">https://www.wholefoodsmarket.com/api/search?text=love%20corn&amp;store=10773&amp;limit=60&amp;offset=0</t>
  </si>
  <si>
    <t xml:space="preserve">Gavin McCloskey</t>
  </si>
  <si>
    <t xml:space="preserve">search snippet citing the brand site, founded 2016; unverified, founder to confirm</t>
  </si>
  <si>
    <t xml:space="preserve">Missy McCloskey</t>
  </si>
  <si>
    <t xml:space="preserve">Roasted corn kernels in sealed bags, ambient</t>
  </si>
  <si>
    <t xml:space="preserve">Whole Foods Market; Publix; Kroger; Target (per investor page in search results, not opened)</t>
  </si>
  <si>
    <t xml:space="preserve">https://www.wholefoodsmarket.com/search?text=love%20corn (Union Square, NoMad, Chelsea contexts: 4 oz bags and 0.7 oz x 9 variety pack IN_STOCK 2026-10-23)</t>
  </si>
  <si>
    <t xml:space="preserve">https://instagram.com/lovecorn_snacks</t>
  </si>
  <si>
    <t xml:space="preserve">BR1:32</t>
  </si>
  <si>
    <t xml:space="preserve">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 | Why-now without an opened link and a date, kept as a note only: Limited Edition Halloween packs on WFM NoMad shelf listing (undated) (url: https://www.wholefoodsmarket.com/search?text=love%20corn; date: none)</t>
  </si>
  <si>
    <t xml:space="preserve">hq_city &lt;- https://love-corn.breezy.hr/ (2026-10-24, opened); founder_name &lt;- https://love-corn.breezy.hr/p/839c329e7d69-field-sales-philadelphia-south-jersey-full-time-45-50k/apply (2026-10-24, snippet-unverified); </t>
  </si>
  <si>
    <t xml:space="preserve">AB-046</t>
  </si>
  <si>
    <t xml:space="preserve">Simply 7</t>
  </si>
  <si>
    <t xml:space="preserve">https://www.wholefoodsmarket.com/search?text=simply%207%20lentil</t>
  </si>
  <si>
    <t xml:space="preserve">Simply 7 Lentil Chips, Sea Salt, 4 oz</t>
  </si>
  <si>
    <t xml:space="preserve">https://www.amazon.com/stores/page/FB80B047-BB25-454D-A777-11112410A7A2</t>
  </si>
  <si>
    <t xml:space="preserve">Brand site unreachable through proxy on 2026-10-23; owner and HQ unconfirmed; no individually packaged single-serve SKU on the pages read (check for one before outreach)</t>
  </si>
  <si>
    <t xml:space="preserve">https://www.wholefoodsmarket.com/api/search?text=simply%207&amp;store=10773&amp;limit=60&amp;offset=0</t>
  </si>
  <si>
    <t xml:space="preserve">Rashim Oberoi</t>
  </si>
  <si>
    <t xml:space="preserve">search snippet; unverified, founder to confirm</t>
  </si>
  <si>
    <t xml:space="preserve">https://www.simply7snacks.com</t>
  </si>
  <si>
    <t xml:space="preserve">Bagged lentil chips, ambient</t>
  </si>
  <si>
    <t xml:space="preserve">https://www.wholefoodsmarket.com/search?text=simply%207%20lentil (Sea Salt and Jalapeño 4 oz IN_STOCK in each cluster store context, 2026-10-23)</t>
  </si>
  <si>
    <t xml:space="preserve">BR1:47</t>
  </si>
  <si>
    <t xml:space="preserve">Shelf presence confirmed; everything else needs a second pass.</t>
  </si>
  <si>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online_store &lt;- https://www.amazon.com/stores/page/FB80B047-BB25-454D-A777-11112410A7A2 (2026-10-24, stage 3 correction); online_store_url &lt;- https://www.amazon.com/stores/page/FB80B047-BB25-454D-A777-11112410A7A2 (2026-10-24, stage 3 correction); </t>
  </si>
  <si>
    <t xml:space="preserve">AB-279</t>
  </si>
  <si>
    <t xml:space="preserve">Nature's Best Snacks</t>
  </si>
  <si>
    <t xml:space="preserve">Grab &amp; Go Crunchy ChinChin bite-size cookie snack, 3 oz</t>
  </si>
  <si>
    <t xml:space="preserve">https://naturesbestsnacks.com</t>
  </si>
  <si>
    <t xml:space="preserve">No dated launch or news in the last 12 months; newest online SKU is from 2024. Founder unnamed</t>
  </si>
  <si>
    <t xml:space="preserve">Fried-dough chin chin, plantain chips and caramelized peanuts in sealed bags shipped nationwide; shelf life not stated</t>
  </si>
  <si>
    <t xml:space="preserve">unknown (store locator page has no machine-readable list)</t>
  </si>
  <si>
    <t xml:space="preserve">https://www.instagram.com/naturesbestsnacks/</t>
  </si>
  <si>
    <t xml:space="preserve">BR5:15</t>
  </si>
  <si>
    <t xml:space="preserve">Entrepreneur Space current client: 'Nature's Best Snacks, African Inspired Savory Snacks'. Site: 'Born in Queens. Rooted in West Africa (Cameroon).' Also sells 3.5 oz plantain chips and 5 oz caramelized peanuts.</t>
  </si>
  <si>
    <t xml:space="preserve">AB-165</t>
  </si>
  <si>
    <t xml:space="preserve">Elmhurst 1925</t>
  </si>
  <si>
    <t xml:space="preserve">Good Housekeeping 2026 Snack Awards named Clean Protein Pistachio Creme Best Protein Drink; Clean Protein line nationwide at Sprouts (press page)</t>
  </si>
  <si>
    <t xml:space="preserve">https://elmhurst1925.com/blogs/press</t>
  </si>
  <si>
    <t xml:space="preserve">https://elmhurst1925.com/pages/our-story</t>
  </si>
  <si>
    <t xml:space="preserve">Elmhurst Clean Protein Pistachio Creme plant-based protein drink</t>
  </si>
  <si>
    <t xml:space="preserve">Elma</t>
  </si>
  <si>
    <t xml:space="preserve">https://elmhurst1925.com</t>
  </si>
  <si>
    <t xml:space="preserve">Protein positioning (nutrient-content claims); plant-milk maker whose single-serve format is not confirmed; tree-nut and other allergens; may be above $10M (no figure). Destini locator not readable | Claims review 2026-10-24: the FAQ says its hemp products 'only contain trace amounts of THC': confirm the SKU offered is not a hemp line (https://elmhurst1925.com/pages/faq); decide before outreach, and the tent card must not repeat it; single-serve pack not shown on the pages read: ask on the first call</t>
  </si>
  <si>
    <t xml:space="preserve">Henry</t>
  </si>
  <si>
    <t xml:space="preserve">Schwartz</t>
  </si>
  <si>
    <t xml:space="preserve">find Henry Schwartz at Elmhurst 1925 on LinkedIn and paste the profile URL into primary_linkedin_url</t>
  </si>
  <si>
    <t xml:space="preserve">Christie</t>
  </si>
  <si>
    <t xml:space="preserve">Hartman</t>
  </si>
  <si>
    <t xml:space="preserve">Brand Manager</t>
  </si>
  <si>
    <t xml:space="preserve">https://attend.expowest.com/event/natural-products-expo-west-2026/exhibitor/RXhoaWJpdG9yXzIzNTc0MjA=</t>
  </si>
  <si>
    <t xml:space="preserve">find Christie Hartman at Elmhurst 1925 on LinkedIn and paste the profile URL into backup_linkedin_url</t>
  </si>
  <si>
    <t xml:space="preserve">New York State brand, no graded store within ten blocks, online store only, a new store listing 130 days ago, revenue unknown</t>
  </si>
  <si>
    <t xml:space="preserve">Henry Schwartz</t>
  </si>
  <si>
    <t xml:space="preserve">Christie Hartman</t>
  </si>
  <si>
    <t xml:space="preserve">Brand FAQ: 'DO I HAVE TO REFRIGERATE MY CARTON? Nope! If the carton or bottle is unopened...' (elmhurst1925.com/pages/faq, opened 2026-10-23)</t>
  </si>
  <si>
    <t xml:space="preserve">Sprouts Farmers Market (Clean Protein nationwide, 2026 press); Pop Up Grocer NYC Flagship, 205 Bleecker St (retailer directory)</t>
  </si>
  <si>
    <t xml:space="preserve">https://elmhurst1925.com/blogs/press; https://popupgrocer.com/products/elmhurst-1925</t>
  </si>
  <si>
    <t xml:space="preserve">https://www.instagram.com/elmhurst1925</t>
  </si>
  <si>
    <t xml:space="preserve">BR3:39</t>
  </si>
  <si>
    <t xml:space="preserve">Our-story: relaunch of New York City's last dairy, Elmhurst (Queens and Brooklyn milk delivery). Current HQ and plant location not stated on pages read (founder to confirm). Clean Protein SKUs listed 2026-02-27.</t>
  </si>
  <si>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founder_review_reason &lt;- https://elmhurst1925.com/pages/faq (2026-10-24, stage 3 correction); </t>
  </si>
  <si>
    <t xml:space="preserve">AB-180</t>
  </si>
  <si>
    <t xml:space="preserve">MODA Mocktails</t>
  </si>
  <si>
    <t xml:space="preserve">Featured in Entrepreneur (2026-10-08): 500k revenue since launch, co-founder Grace Hachigian runs the East Coast from NYC; added to Pop Up Grocer NYC Flagship directory 2026-09-29</t>
  </si>
  <si>
    <t xml:space="preserve">https://www.entrepreneur.com/building-a-business/this-mother-daughter-duo-started-a-sparkling-side-hustle-that-made-500000-in-less-than-a-year</t>
  </si>
  <si>
    <t xml:space="preserve">https://modamocktails.com/about-us-2/</t>
  </si>
  <si>
    <t xml:space="preserve">MODA non-alcoholic canned mocktail</t>
  </si>
  <si>
    <t xml:space="preserve">Newport Beach</t>
  </si>
  <si>
    <t xml:space="preserve">https://modamocktails.com/shop</t>
  </si>
  <si>
    <t xml:space="preserve">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</si>
  <si>
    <t xml:space="preserve">Hachigian</t>
  </si>
  <si>
    <t xml:space="preserve">find Grace Hachigian at MODA Mocktails on LinkedIn and paste the profile URL into primary_linkedin_url</t>
  </si>
  <si>
    <t xml:space="preserve">Sosy</t>
  </si>
  <si>
    <t xml:space="preserve">find Sosy Hachigian at MODA Mocktails on LinkedIn and paste the profile URL into backup_linkedin_url</t>
  </si>
  <si>
    <t xml:space="preserve">Brand based outside the Northeast, no graded store within ten blocks, online store only, a new store listing 16 days ago, revenue in band</t>
  </si>
  <si>
    <t xml:space="preserve">Grace Hachigian</t>
  </si>
  <si>
    <t xml:space="preserve">Sosy Hachigian</t>
  </si>
  <si>
    <t xml:space="preserve">https://modamocktails.com</t>
  </si>
  <si>
    <t xml:space="preserve">press quote, cumulative since launch (edge of band)</t>
  </si>
  <si>
    <t xml:space="preserve">Entrepreneur 2026-10-08: MODA has hit $500,000 in revenue since launch earlier this year; $3 million to $5 million projected for 2027 (projection); founders personally invested over $500,000 | about 500k since launch in 2026 (press quote)</t>
  </si>
  <si>
    <t xml:space="preserve">Pop Up Grocer NYC Flagship, 205 Bleecker St (retailer directory)</t>
  </si>
  <si>
    <t xml:space="preserve">https://popupgrocer.com/products/moda-mocktails</t>
  </si>
  <si>
    <t xml:space="preserve">BR3:54</t>
  </si>
  <si>
    <t xml:space="preserve">MODA = mother and daughter (about page). Women-owned per Pop Up Grocer. Brand-new in NYC retail, so a timely but unproven prospect. | Stage 1 online-store check 2026-10-24: WooCommerce shop page with add-to-cart buttons (https://modamocktails.com/shop)</t>
  </si>
  <si>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</si>
  <si>
    <t xml:space="preserve">AB-022</t>
  </si>
  <si>
    <t xml:space="preserve">BobbySue's Nuts</t>
  </si>
  <si>
    <t xml:space="preserve">https://www.bobbysuesnuts.com/story</t>
  </si>
  <si>
    <t xml:space="preserve">BobbySue's Nuts hand-roasted nut mixes (on-the-go packs listed on homepage)</t>
  </si>
  <si>
    <t xml:space="preserve">Chappaqua</t>
  </si>
  <si>
    <t xml:space="preserve">https://www.bobbysuesnuts.com</t>
  </si>
  <si>
    <t xml:space="preserve">Barb</t>
  </si>
  <si>
    <t xml:space="preserve">Kobren</t>
  </si>
  <si>
    <t xml:space="preserve">find Barb Kobren at BobbySue's Nuts on LinkedIn and paste the profile URL into primary_linkedin_url</t>
  </si>
  <si>
    <t xml:space="preserve">New York State brand, no graded store within ten blocks, online store only, no dated why-now in the last 12 months, revenue unknown</t>
  </si>
  <si>
    <t xml:space="preserve">Barb Kobren</t>
  </si>
  <si>
    <t xml:space="preserve">a.k.a. BobbySue</t>
  </si>
  <si>
    <t xml:space="preserve">Hand-roasted nut mixes in sealed packs, ambient</t>
  </si>
  <si>
    <t xml:space="preserve">unknown (Find Us page did not render without JavaScript)</t>
  </si>
  <si>
    <t xml:space="preserve">https://www.wholefoodsmarket.com/search?text=bobbysue%27s%20nuts (no results in Union Square, NoMad or Chelsea context, 2026-10-23)</t>
  </si>
  <si>
    <t xml:space="preserve">BR1:23</t>
  </si>
  <si>
    <t xml:space="preserve">Westchester brand with an animal-welfare mission; team named on story page (Barb, Adam, Greg, Marta, Dave). Business address on site footer is Chappaqua NY. Older press includes sofi awards and Consumer Reports mention.</t>
  </si>
  <si>
    <t xml:space="preserve">AB-295</t>
  </si>
  <si>
    <t xml:space="preserve">Scamps Toffee</t>
  </si>
  <si>
    <t xml:space="preserve">Launched Pumpkin Spice Toffee Popcorn mini-pops for fall 2026</t>
  </si>
  <si>
    <t xml:space="preserve">https://www.scampstoffee.com/products.json</t>
  </si>
  <si>
    <t xml:space="preserve">https://events.specialtyfood.com/event/2026-summer-fancy-food-show/exhibitor/RXhoaWJpdG9yXzI0MjExMjE=</t>
  </si>
  <si>
    <t xml:space="preserve">Pumpkin Spice Mini Toffee Popcorn, 3.5 oz bag; No Nut Milk Chocolate Toffee bag</t>
  </si>
  <si>
    <t xml:space="preserve">https://www.scampstoffee.com</t>
  </si>
  <si>
    <t xml:space="preserve">Gift-led confectioner under new owners since 2025; per-unit price high for pantry sampling. No NYC retailer found</t>
  </si>
  <si>
    <t xml:space="preserve">Justin</t>
  </si>
  <si>
    <t xml:space="preserve">https://www.scampstoffee.com/pages/about</t>
  </si>
  <si>
    <t xml:space="preserve">find Justin at Scamps Toffee on LinkedIn and paste the profile URL into primary_linkedin_url; surname not public: take it from LinkedIn</t>
  </si>
  <si>
    <t xml:space="preserve">Korns</t>
  </si>
  <si>
    <t xml:space="preserve">find Emily Korns at Scamps Toffee on LinkedIn and paste the profile URL into backup_linkedin_url</t>
  </si>
  <si>
    <t xml:space="preserve">Northeast brand, no graded store within ten blocks, online store only, a new store listing 60 days ago, revenue unknown</t>
  </si>
  <si>
    <t xml:space="preserve">Emily Korns</t>
  </si>
  <si>
    <t xml:space="preserve">Chocolate-covered toffee and toffee popcorn in sealed bags sold ambient online</t>
  </si>
  <si>
    <t xml:space="preserve">Gift shops and specialty retailers (wholesale page)</t>
  </si>
  <si>
    <t xml:space="preserve">https://www.instagram.com/scampstoffee/</t>
  </si>
  <si>
    <t xml:space="preserve">BR5:31</t>
  </si>
  <si>
    <t xml:space="preserve">SFFS 2026 exhibitor (State: Pennsylvania). No-nut toffee SKUs exist (allergen-friendly option).</t>
  </si>
  <si>
    <t xml:space="preserve">AB-268</t>
  </si>
  <si>
    <t xml:space="preserve">Norwegian Baked</t>
  </si>
  <si>
    <t xml:space="preserve">KnekkeGodis named 2026 sofi Gold (Sweet Snack); new Sea Salt Flakes Knekkebrød added to the online store</t>
  </si>
  <si>
    <t xml:space="preserve">https://norwegianbaked.com/products/sea-salt-flakes-knekkebrod-crispbread</t>
  </si>
  <si>
    <t xml:space="preserve">https://www.specialtyfood.com/awards/sofi-awards/winners/</t>
  </si>
  <si>
    <t xml:space="preserve">Classic Knekkebrød organic crispbread; KnekkeGodis chocolate-kissed crispbread</t>
  </si>
  <si>
    <t xml:space="preserve">https://norwegianbaked.com</t>
  </si>
  <si>
    <t xml:space="preserve">Sold as share-size packs ($12); single-serve format not seen. Founder is unnamed (first-person story only). Site copy says 'nutrient-rich' and 'healthy addition' (soft wording, no structure-function claim)</t>
  </si>
  <si>
    <t xml:space="preserve">New York City brand, no graded store within ten blocks, online store only, a new store listing 248 days ago, revenue unknown</t>
  </si>
  <si>
    <t xml:space="preserve">Baked seeded crispbread sold ambient by mail and in stores; shelf life not stated</t>
  </si>
  <si>
    <t xml:space="preserve">'Stores nationwide' and farmers' markets (about page); locator is a Storemapper widget that returned no data</t>
  </si>
  <si>
    <t xml:space="preserve">https://www.instagram.com/norwegianbaked/</t>
  </si>
  <si>
    <t xml:space="preserve">BR5:4</t>
  </si>
  <si>
    <t xml:space="preserve">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</si>
  <si>
    <t xml:space="preserve">AB-093</t>
  </si>
  <si>
    <t xml:space="preserve">Peeled Snacks</t>
  </si>
  <si>
    <t xml:space="preserve">Brand store relisted its four organic dried fruit SKUs in Feb 2026</t>
  </si>
  <si>
    <t xml:space="preserve">https://peeledsnacks.com/products/organic-dried-apples-12-pack-no-added-sugar-snack-bags</t>
  </si>
  <si>
    <t xml:space="preserve">2026-02-23</t>
  </si>
  <si>
    <t xml:space="preserve">https://peeledsnacks.com/pages/about-us</t>
  </si>
  <si>
    <t xml:space="preserve">Organic Dried Mango; Organic Tropical Blend (12 x 2.5 oz)</t>
  </si>
  <si>
    <t xml:space="preserve">Cumberland RI or Brooklyn NY (search snippets conflict: Craft and Winmo say Cumberland RI, CB Insights says Brooklyn; unverified, founder to confirm)</t>
  </si>
  <si>
    <t xml:space="preserve">https://peeledsnacks.com</t>
  </si>
  <si>
    <t xml:space="preserve">HQ, team and retailers not stated on brand site; buy path is online only as far as found; 60-day shelf life not stated</t>
  </si>
  <si>
    <t xml:space="preserve">New York City brand (HQ unverified), no graded store within ten blocks, online store only, a new store listing 243 days ago, revenue unknown</t>
  </si>
  <si>
    <t xml:space="preserve">Dried fruit in 2.5 oz bags; shelf-life figure not found</t>
  </si>
  <si>
    <t xml:space="preserve">https://www.wholefoodsmarket.com/api/search?text=peeled%20snacks&amp;store=10162&amp;limit=60&amp;offset=0</t>
  </si>
  <si>
    <t xml:space="preserve">https://www.instagram.com/peeledsnacks/</t>
  </si>
  <si>
    <t xml:space="preserve">BR2:31</t>
  </si>
  <si>
    <t xml:space="preserve">Donates 10% of profits to fight hunger (about page). No added sugar. Not in WFM cluster catalogs. Why-now is weak (Shopify publish date).</t>
  </si>
  <si>
    <t xml:space="preserve">hq_city &lt;- https://craft.co/peeled-snacks (2026-10-24, snippet-unverified); why_now_url &lt;- https://peeledsnacks.com/products/organic-dried-apples-12-pack-no-added-sugar-snack-bags (2026-10-24, stage 3 correction); </t>
  </si>
  <si>
    <t xml:space="preserve">AB-135</t>
  </si>
  <si>
    <t xml:space="preserve">Boylan Bottling</t>
  </si>
  <si>
    <t xml:space="preserve">https://boylanbottling.com</t>
  </si>
  <si>
    <t xml:space="preserve">Boylan Cane Sugar Black Cherry soda, 12 oz glass bottle</t>
  </si>
  <si>
    <t xml:space="preserve">Heritage brand (since 1891) with national distribution; likely above the emerging-brand profile. Manhattan HQ (22 Vanderbilt Ave) is a plus</t>
  </si>
  <si>
    <t xml:space="preserve">find Chris Taylor at Boylan Bottling on LinkedIn and paste the profile URL into primary_linkedin_url</t>
  </si>
  <si>
    <t xml:space="preserve">Chris Taylor</t>
  </si>
  <si>
    <t xml:space="preserve">private, established 1891</t>
  </si>
  <si>
    <t xml:space="preserve">Brand FAQ: Do your products need to be refrigerated? A: NO (boylanbottling.com/pages/faqs, opened 2026-10-24); best-by date printed on the bottle neck, shelf-life length not stated</t>
  </si>
  <si>
    <t xml:space="preserve">Big Geyser distribution in the New York area (2026 press release snippet, not opened)</t>
  </si>
  <si>
    <t xml:space="preserve">https://www.instagram.com/boylanbottling</t>
  </si>
  <si>
    <t xml:space="preserve">BR3:9</t>
  </si>
  <si>
    <t xml:space="preserve">Site footer: 22 Vanderbilt Ave, 22nd Fl, New York, NY 10017. Product finder is a GoToAisle JS widget (not readable). | Why-now without an opened link and a date, kept as a note only: Launched limited-edition Freedom Cola for the US 250th, regional launch through Big Geyser in the New York area (unverified, founder to confirm: BevNET page blocked) (url: https://bevnet.com/pr/2026/06/09/boylan-bottling-launches-freedom-cola-a-limitededition-craft-soda-celebrating-250-years-of-american-independence; date: 2026-06-09)</t>
  </si>
  <si>
    <t xml:space="preserve">shelf_stable &lt;- https://boylanbottling.com/pages/faqs (2026-10-24, opened); shelf_stable_basis &lt;- https://boylanbottling.com/pages/faqs (2026-10-24, opened); </t>
  </si>
  <si>
    <t xml:space="preserve">AB-265</t>
  </si>
  <si>
    <t xml:space="preserve">Yaté Yerba Mate</t>
  </si>
  <si>
    <t xml:space="preserve">https://www.drinkyate.com/</t>
  </si>
  <si>
    <t xml:space="preserve">Sparkling yerba mate, 12 oz can (Original Unsweetened, Original Golden, Sub-lime Ginger)</t>
  </si>
  <si>
    <t xml:space="preserve">New York (2024 release datelined NEW YORK, NY); a BevNET review snippet says 'born and made in LA', unverified, founder to confirm</t>
  </si>
  <si>
    <t xml:space="preserve">https://www.drinkyate.com</t>
  </si>
  <si>
    <t xml:space="preserve">Caffeinated yerba mate with 'unexpectedly healthy pick-me-up' wording (soft functional positioning); 60-day shelf life not stated</t>
  </si>
  <si>
    <t xml:space="preserve">Eric</t>
  </si>
  <si>
    <t xml:space="preserve">Hoang</t>
  </si>
  <si>
    <t xml:space="preserve">https://firebellymarketing.com/podcast/eric-hoang/</t>
  </si>
  <si>
    <t xml:space="preserve">find Eric Hoang at Yaté Yerba Mate on LinkedIn and paste the profile URL into primary_linkedin_url</t>
  </si>
  <si>
    <t xml:space="preserve">New York City brand (HQ unverified), no graded store within ten blocks, online store only, no dated why-now in the last 12 months, revenue unknown</t>
  </si>
  <si>
    <t xml:space="preserve">Eric Hoang</t>
  </si>
  <si>
    <t xml:space="preserve">Canned; storage not stated on homepage, founder to confirm</t>
  </si>
  <si>
    <t xml:space="preserve">NYC distribution via Gold Coast Distributors (2024 release); wholesale via Pod Foods, Faire and Airgoods; store locator page</t>
  </si>
  <si>
    <t xml:space="preserve">https://startupcpg.com/startup-cpg-newswire-yate-yerba-mate-partners-with-gold-coast-distributors-to-expand-footprint-in-nyc/</t>
  </si>
  <si>
    <t xml:space="preserve">BR4:60</t>
  </si>
  <si>
    <t xml:space="preserve">Startup CPG release (2024-08-26) names Eric Hoang as press contact (role not stated). Not in WFM cluster catalogs on 2026-10-23. NYC bodega/deli distribution through Gold Coast is the likely buy path; confirm stores near the cluster. | Why-now without an opened link and a date, kept as a note only: Homepage banner: 'All new Unsweetened Original' (undated; founder to confirm launch date) (url: https://www.drinkyate.com/; date: none)</t>
  </si>
  <si>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</si>
  <si>
    <t xml:space="preserve">AB-171</t>
  </si>
  <si>
    <t xml:space="preserve">Esprizio</t>
  </si>
  <si>
    <t xml:space="preserve">2026 Startup CPG Shelfie Award finalist, Coffee category; variety pack listed 2026-01-21</t>
  </si>
  <si>
    <t xml:space="preserve">https://drinkesprizio.com/pages/our-story</t>
  </si>
  <si>
    <t xml:space="preserve">Esprizio Blood Orange Espresso Spritz, can</t>
  </si>
  <si>
    <t xml:space="preserve">Los Angeles (unverified, founder to confirm)</t>
  </si>
  <si>
    <t xml:space="preserve">https://drinkesprizio.com</t>
  </si>
  <si>
    <t xml:space="preserve">California brand, no NYC retail found; caffeinated; 60-day shelf life not stated</t>
  </si>
  <si>
    <t xml:space="preserve">Brand based outside the Northeast (HQ unverified), no graded store within ten blocks, online store only, news 79 days ago, revenue unknown</t>
  </si>
  <si>
    <t xml:space="preserve">Nick Elliott</t>
  </si>
  <si>
    <t xml:space="preserve">https://stockist.co/api/v1/map_p3xw2j6q/locations/search?latitude=40.7400&amp;longitude=-73.9900&amp;distance=3</t>
  </si>
  <si>
    <t xml:space="preserve">BR3:45</t>
  </si>
  <si>
    <t xml:space="preserve">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</si>
  <si>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</si>
  <si>
    <t xml:space="preserve">AB-211</t>
  </si>
  <si>
    <t xml:space="preserve">RISE Brewing Co.</t>
  </si>
  <si>
    <t xml:space="preserve">Relaunched its canned line in a new 11 oz format (Classic, Vanilla, Mocha, Salted Caramel Oatmilk Lattes and Black Cold Brew); homepage banner 'New RISE 11oz now available'</t>
  </si>
  <si>
    <t xml:space="preserve">https://risebrewingco.com/products.json?limit=250</t>
  </si>
  <si>
    <t xml:space="preserve">2026-05-02</t>
  </si>
  <si>
    <t xml:space="preserve">https://risebrewingco.com/pages/about-us</t>
  </si>
  <si>
    <t xml:space="preserve">RISE 11 oz Classic Oatmilk Latte can (shelf-stable per brand); Original Black Nitro Cold Brew 11 fl oz</t>
  </si>
  <si>
    <t xml:space="preserve">Houston, TX (privacy policy: RISE Beverages LLC, 601 Arlington St, Houston TX 77007). Brand was founded in NYC.</t>
  </si>
  <si>
    <t xml:space="preserve">https://risebrewingco.com</t>
  </si>
  <si>
    <t xml:space="preserve">20,000+ doors (2021) may put it above the $10M ceiling; brand already runs its own office coffee program (kegs, cans), so it may see the office drop as overlap</t>
  </si>
  <si>
    <t xml:space="preserve">https://www.wholefoodsmarket.com/api/search?text=rise%20brewing&amp;store=10773&amp;limit=60&amp;offset=0</t>
  </si>
  <si>
    <t xml:space="preserve">Grant</t>
  </si>
  <si>
    <t xml:space="preserve">Gyesky</t>
  </si>
  <si>
    <t xml:space="preserve">https://www.jpmorgan.com/commercial-banking/insights/rise-brewing-co-ascends-in-the-beverage-industry</t>
  </si>
  <si>
    <t xml:space="preserve">find Grant Gyesky at RISE Brewing Co. on LinkedIn and paste the profile URL into primary_linkedin_url; use the Whole Foods Market NoMad line only if retailer_checked_date is this week's Friday check</t>
  </si>
  <si>
    <t xml:space="preserve">Jarrett</t>
  </si>
  <si>
    <t xml:space="preserve">McGovern</t>
  </si>
  <si>
    <t xml:space="preserve">Co-founder and Chief Creative Officer</t>
  </si>
  <si>
    <t xml:space="preserve">find Jarrett McGovern at RISE Brewing Co. on LinkedIn and paste the profile URL into backup_linkedin_url; use the Whole Foods Market NoMad line only if retailer_checked_date is this week's Friday check</t>
  </si>
  <si>
    <t xml:space="preserve">Brand based outside the Northeast, store page shows Whole Foods Market NoMad inside the cluster, a new store listing 175 days ago, revenue unknown</t>
  </si>
  <si>
    <t xml:space="preserve">; founder review: owner, scale, nutrient-claim</t>
  </si>
  <si>
    <t xml:space="preserve">Grant Gyesky</t>
  </si>
  <si>
    <t xml:space="preserve">Jarrett McGovern</t>
  </si>
  <si>
    <t xml:space="preserve">owner;scale;nutrient-claim</t>
  </si>
  <si>
    <t xml:space="preserve">acquired by UPTIME Energy (early 2025; unverified, founder to confirm)</t>
  </si>
  <si>
    <t xml:space="preserve">About page: Oat Milk Latte, Oat Milk Mocha and Original Black cans are 'shelf stable'; storage for other cans not stated</t>
  </si>
  <si>
    <t xml:space="preserve">About page says 'over 20,000 doors nationwide' in 2021 (store count, not used for band)</t>
  </si>
  <si>
    <t xml:space="preserve">Whole Foods Market; Amazon (image filenames); 20,000+ doors (2021, brand about page)</t>
  </si>
  <si>
    <t xml:space="preserve">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</si>
  <si>
    <t xml:space="preserve">https://www.instagram.com/risebrewingco/</t>
  </si>
  <si>
    <t xml:space="preserve">BR4:6</t>
  </si>
  <si>
    <t xml:space="preserve">Founded 2014; BevNET New Beverage Showdown winner 2017 (about page). Homepage banner 'New RISE 11oz now available' (undated). Office page https://risebrewingco.com/pages/offices pitches nitro kegs and cans to offices. Storemapper id 18418 found on locator page but returned no data.</t>
  </si>
  <si>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</si>
  <si>
    <t xml:space="preserve">AB-079</t>
  </si>
  <si>
    <t xml:space="preserve">Emmy's Organics</t>
  </si>
  <si>
    <t xml:space="preserve">Launched Oatmeal No-Bakes line (Mar 2026) and refreshed Coconut Cookies listings (May 2026) on brand store</t>
  </si>
  <si>
    <t xml:space="preserve">https://emmysorganics.com/products/oatmeal-no-bakes-combo-pack</t>
  </si>
  <si>
    <t xml:space="preserve">2026-03-22</t>
  </si>
  <si>
    <t xml:space="preserve">https://emmysorganics.com/pages/about-us</t>
  </si>
  <si>
    <t xml:space="preserve">Organic Dark Cacao Coconut Cookies 6 oz; Grab&amp;Go single packs</t>
  </si>
  <si>
    <t xml:space="preserve">Ithaca</t>
  </si>
  <si>
    <t xml:space="preserve">https://emmysorganics.com</t>
  </si>
  <si>
    <t xml:space="preserve">Possible Grupo Bimbo ownership since July 2021 (search snippet; unverified, founder to confirm); 60-day shelf life not stated</t>
  </si>
  <si>
    <t xml:space="preserve">https://www.wholefoodsmarket.com/api/search?text=emmys%20cookies&amp;store=10773&amp;limit=60&amp;offset=0</t>
  </si>
  <si>
    <t xml:space="preserve">Abrams</t>
  </si>
  <si>
    <t xml:space="preserve">founder and marketing lead</t>
  </si>
  <si>
    <t xml:space="preserve">https://litupwithlo.buzzsprout.com/1492621/episodes/8214168-samantha-abrams-co-founder-of-emmy-s-organics-emmysorganics-triumphs-challenges-of-founding-a-successful-company-built-on-real-ingredients-with-her-husband</t>
  </si>
  <si>
    <t xml:space="preserve">find Samantha Abrams at Emmy's Organics on LinkedIn and paste the profile URL into primary_linkedin_url; use the Whole Foods Market NoMad line only if retailer_checked_date is this week's Friday check</t>
  </si>
  <si>
    <t xml:space="preserve">Ian</t>
  </si>
  <si>
    <t xml:space="preserve">Gaffney</t>
  </si>
  <si>
    <t xml:space="preserve">find Ian Gaffney at Emmy's Organics on LinkedIn and paste the profile URL into backup_linkedin_url; use the Whole Foods Market NoMad line only if retailer_checked_date is this week's Friday check</t>
  </si>
  <si>
    <t xml:space="preserve">New York State brand, store page shows Whole Foods Market NoMad inside the cluster, a new store listing 216 days ago, revenue unknown</t>
  </si>
  <si>
    <t xml:space="preserve">; founder review: owner</t>
  </si>
  <si>
    <t xml:space="preserve">Samantha Abrams</t>
  </si>
  <si>
    <t xml:space="preserve">Ian Gaffney</t>
  </si>
  <si>
    <t xml:space="preserve">owner</t>
  </si>
  <si>
    <t xml:space="preserve">Packaged coconut cookies sold ambient at Whole Foods; shelf-life figure not published on pages opened</t>
  </si>
  <si>
    <t xml:space="preserve">https://www.wholefoodsmarket.com/api/search?text=emmys%20cookies&amp;store=10162&amp;limit=60&amp;offset=0; https://www.wholefoodsmarket.com/api/search?text=emmys%20cookies&amp;store=10773&amp;limit=60&amp;offset=0; https://www.wholefoodsmarket.com/api/search?text=emmys%20cookies&amp;store=10131&amp;limit=60&amp;offset=0</t>
  </si>
  <si>
    <t xml:space="preserve">https://www.instagram.com/emmysorganics/</t>
  </si>
  <si>
    <t xml:space="preserve">BR2:16</t>
  </si>
  <si>
    <t xml:space="preserve">Brand about page: 'Made With love in Ithaca, NY'. WFM cluster stores carry 6 oz bags; single-serve Grab&amp;Go packs are on the brand store. Why-now dates from Shopify publish dates.</t>
  </si>
  <si>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why_now_url &lt;- https://emmysorganics.com/products/oatmeal-no-bakes-combo-pack (2026-10-24, stage 3 correction); </t>
  </si>
  <si>
    <t xml:space="preserve">AB-028</t>
  </si>
  <si>
    <t xml:space="preserve">Saffron Road (crunchy chickpeas)</t>
  </si>
  <si>
    <t xml:space="preserve">https://www.saffronroad.com/pages/about-us</t>
  </si>
  <si>
    <t xml:space="preserve">Saffron Road Bombay Spice Crunchy Chickpea Snack, 6 oz</t>
  </si>
  <si>
    <t xml:space="preserve">Snack line of a national frozen-entree brand (American Halal Company); likely above the $10M band; product pages show $0.00 so no direct online store; no individually packaged single-serve SKU on the pages read (check for one before outreach); no online store: buy path is the store only</t>
  </si>
  <si>
    <t xml:space="preserve">https://www.wholefoodsmarket.com/api/search?text=saffron%20road&amp;store=10773&amp;limit=60&amp;offset=0</t>
  </si>
  <si>
    <t xml:space="preserve">Adnan</t>
  </si>
  <si>
    <t xml:space="preserve">Durrani</t>
  </si>
  <si>
    <t xml:space="preserve">find Adnan Durrani at Saffron Road on LinkedIn and paste the profile URL into primary_linkedin_url; use the Whole Foods Market NoMad line only if retailer_checked_date is this week's Friday check</t>
  </si>
  <si>
    <t xml:space="preserve">; founder review: scale, format</t>
  </si>
  <si>
    <t xml:space="preserve">Adnan Durrani</t>
  </si>
  <si>
    <t xml:space="preserve">scale;format</t>
  </si>
  <si>
    <t xml:space="preserve">https://www.saffronroad.com</t>
  </si>
  <si>
    <t xml:space="preserve">Roasted chickpea snacks in sealed bags, ambient</t>
  </si>
  <si>
    <t xml:space="preserve">Whole Foods Market; Target; Sprouts; Safeway (customer reviews on homepage)</t>
  </si>
  <si>
    <t xml:space="preserve">https://www.wholefoodsmarket.com/search?text=saffron%20road%20chickpea (store context Union Square and NoMad: Sea Salt, Bombay Spice, Korean BBQ chickpeas IN_STOCK 2026-10-23)</t>
  </si>
  <si>
    <t xml:space="preserve">BR1:29</t>
  </si>
  <si>
    <t xml:space="preserve">Parent American Halal Company, 1111 Summer St, Stamford CT (contact page). Debuted 2010 in Whole Foods as a frozen entree brand. why_now relates to entrees, not snacks.</t>
  </si>
  <si>
    <t xml:space="preserve">AB-008</t>
  </si>
  <si>
    <t xml:space="preserve">Little Latke</t>
  </si>
  <si>
    <t xml:space="preserve">Featured in Startup CPG 'Chipsplosion' roundup; new Variety Pack on brand store (2026-04-29)</t>
  </si>
  <si>
    <t xml:space="preserve">https://www.littlelatke.com/pages/story</t>
  </si>
  <si>
    <t xml:space="preserve">Little Latke potato crisps, The Original / Garlic Parm / Spicy Honey Dijon</t>
  </si>
  <si>
    <t xml:space="preserve">Chicago</t>
  </si>
  <si>
    <t xml:space="preserve">https://www.littlelatke.com</t>
  </si>
  <si>
    <t xml:space="preserve">Blue</t>
  </si>
  <si>
    <t xml:space="preserve">find Taylor Blue at Little Latke on LinkedIn and paste the profile URL into primary_linkedin_url</t>
  </si>
  <si>
    <t xml:space="preserve">Brand based outside the Northeast, no graded store within ten blocks, online store only, a new store listing 95 days ago, revenue unknown</t>
  </si>
  <si>
    <t xml:space="preserve">Taylor Blue</t>
  </si>
  <si>
    <t xml:space="preserve">Brand FAQ: 'What's the shelf life? About 10-12 months.' Store in a cool, dry place.</t>
  </si>
  <si>
    <t xml:space="preserve">PopUp Grocer; Foxtrot Market; Meadow Lane; ~50 specialty grocers; onboarding with UNFI; 2026 targets Central Market, Fresh Market, Target (Startup CPG, 2026-07-21)</t>
  </si>
  <si>
    <t xml:space="preserve">https://popupgrocer.com/pages/directory (availability 'NYC Flagship', 2026-10-23); https://startupcpg.com/14-chip-brands-taking-your-tastebuds-on-a-flavor-tour/</t>
  </si>
  <si>
    <t xml:space="preserve">https://instagram.com/little.latke</t>
  </si>
  <si>
    <t xml:space="preserve">BR1:9</t>
  </si>
  <si>
    <t xml:space="preserve">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</si>
  <si>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</si>
  <si>
    <t xml:space="preserve">AB-288</t>
  </si>
  <si>
    <t xml:space="preserve">True North Granola</t>
  </si>
  <si>
    <t xml:space="preserve">Exhibited at the 2026 Summer Fancy Food Show with a new product flagged; added Almond Crunch in 1 oz single-serve bags</t>
  </si>
  <si>
    <t xml:space="preserve">https://truenorthgranola.com/products.json</t>
  </si>
  <si>
    <t xml:space="preserve">https://events.specialtyfood.com/event/2026-summer-fancy-food-show/exhibitor/RXhoaWJpdG9yXzI0NDA5MDA=</t>
  </si>
  <si>
    <t xml:space="preserve">Almond Crunch granola, 1 oz single-serving bag; Discovery Pack of 2 oz snack bags</t>
  </si>
  <si>
    <t xml:space="preserve">unknown (Vermont kitchen)</t>
  </si>
  <si>
    <t xml:space="preserve">https://truenorthgranola.com</t>
  </si>
  <si>
    <t xml:space="preserve">New owners since summer 2025; homepage meta says 'happens to be healthy' (soft wording). No NYC retailer found | Claims review 2026-10-24: FAQ answers 'Is your granola blood sugar friendly?', 'good for gut health?', 'suitable for GLP-1 users' (framed as customer preference) (https://truenorthgranola.com/pages/faq); decide before outreach, and the tent card must not repeat it</t>
  </si>
  <si>
    <t xml:space="preserve">Parwaz</t>
  </si>
  <si>
    <t xml:space="preserve">https://truenorthgranola.com/pages/about-us</t>
  </si>
  <si>
    <t xml:space="preserve">find Parwaz at True North Granola on LinkedIn and paste the profile URL into primary_linkedin_url; surname not public: take it from LinkedIn</t>
  </si>
  <si>
    <t xml:space="preserve">Ankur</t>
  </si>
  <si>
    <t xml:space="preserve">find Ankur at True North Granola on LinkedIn and paste the profile URL into backup_linkedin_url; surname not public: take it from LinkedIn</t>
  </si>
  <si>
    <t xml:space="preserve">Northeast brand, no graded store within ten blocks, online store only, a new store listing 95 days ago, revenue unknown</t>
  </si>
  <si>
    <t xml:space="preserve">Packaged granola in sealed 1 oz, 2 oz and 8 oz bags; shelf life not stated</t>
  </si>
  <si>
    <t xml:space="preserve">https://www.instagram.com/truenorthgranola/</t>
  </si>
  <si>
    <t xml:space="preserve">BR5:24</t>
  </si>
  <si>
    <t xml:space="preserve">SFFS 2026: 'Since 2006, True North Granola has been crafting extraordinary granola by hand in Vermont'. Startup CPG search hit (2025 Shelfie winners) is older than 12 months and was not confirmed to name the brand, so startup_cpg_member stays unknown.</t>
  </si>
  <si>
    <t xml:space="preserve">founder_review_reason &lt;- https://truenorthgranola.com/pages/faq (2026-10-24, stage 3 correction); </t>
  </si>
  <si>
    <t xml:space="preserve">AB-051</t>
  </si>
  <si>
    <t xml:space="preserve">Humble Potato Chips Co.</t>
  </si>
  <si>
    <t xml:space="preserve">https://www.wholefoodsmarket.com/search?text=humble%20potato%20chips</t>
  </si>
  <si>
    <t xml:space="preserve">Humble Organic Sea Salt Rumbles Potato Chips, 5 oz</t>
  </si>
  <si>
    <t xml:space="preserve">Puslinch or Guelph (unverified, founder to confirm)</t>
  </si>
  <si>
    <t xml:space="preserve">Canadian brand; brand site shows only 'Coming Soon'; HQ and founders from search snippets only; no individually packaged single-serve SKU on the pages read (check for one before outreach); no online store: buy path is the store only</t>
  </si>
  <si>
    <t xml:space="preserve">https://www.wholefoodsmarket.com/api/search?text=humble%20potato%20chips%20co.&amp;store=10773&amp;limit=60&amp;offset=0</t>
  </si>
  <si>
    <t xml:space="preserve">Alicia Lahey</t>
  </si>
  <si>
    <t xml:space="preserve">unverified, founder to confirm; search snippets</t>
  </si>
  <si>
    <t xml:space="preserve">Jeff Lahey</t>
  </si>
  <si>
    <t xml:space="preserve">https://humblepotatochips.com</t>
  </si>
  <si>
    <t xml:space="preserve">ON (Canada)</t>
  </si>
  <si>
    <t xml:space="preserve">Bagged organic potato chips, ambient</t>
  </si>
  <si>
    <t xml:space="preserve">https://www.wholefoodsmarket.com/search?text=humble%20potato%20chips (4 items IN_STOCK in each cluster store context, 2026-10-23)</t>
  </si>
  <si>
    <t xml:space="preserve">BR1:52</t>
  </si>
  <si>
    <t xml:space="preserve">Strong NYC shelf presence; identity fields need a second pass. | Why-now without an opened link and a date, kept as a note only: Rumbles (ridged) line on WFM NYC shelves (undated) (url: https://www.wholefoodsmarket.com/search?text=humble%20potato%20chips; date: none)</t>
  </si>
  <si>
    <t xml:space="preserve">AB-085</t>
  </si>
  <si>
    <t xml:space="preserve">Crispy Green</t>
  </si>
  <si>
    <t xml:space="preserve">https://crispygreen.com/pages/our-story</t>
  </si>
  <si>
    <t xml:space="preserve">Freeze-Dried Strawberry Crispy Fruit, single-serve bag</t>
  </si>
  <si>
    <t xml:space="preserve">Fairfield</t>
  </si>
  <si>
    <t xml:space="preserve">https://crispygreen.com</t>
  </si>
  <si>
    <t xml:space="preserve">Claims to be the #1 freeze-dried fruit brand (may be above size band); kids/lunchbox positioning; no new SKU since 2024</t>
  </si>
  <si>
    <t xml:space="preserve">https://www.wholefoodsmarket.com/api/search?text=crispy%20green&amp;store=10773&amp;limit=60&amp;offset=0</t>
  </si>
  <si>
    <t xml:space="preserve">; founder review: scale, dormant, nutrient-claim</t>
  </si>
  <si>
    <t xml:space="preserve">scale;dormant;nutrient-claim</t>
  </si>
  <si>
    <t xml:space="preserve">Brand FAQ: 'What is Crispy Fruit's shelf-life? Three years.' Home page: 'long-lasting, shelf-stable products'.</t>
  </si>
  <si>
    <t xml:space="preserve">Whole Foods; Amazon; brand claims '#1 freeze-dried fruit brand in the country'</t>
  </si>
  <si>
    <t xml:space="preserve">https://www.wholefoodsmarket.com/api/search?text=crispy%20green&amp;store=10162&amp;limit=60&amp;offset=0; https://www.wholefoodsmarket.com/api/search?text=crispy%20green&amp;store=10773&amp;limit=60&amp;offset=0; https://www.wholefoodsmarket.com/api/search?text=crispy%20green&amp;store=10131&amp;limit=60&amp;offset=0</t>
  </si>
  <si>
    <t xml:space="preserve">https://www.instagram.com/crispygreensnacks/</t>
  </si>
  <si>
    <t xml:space="preserve">BR2:22</t>
  </si>
  <si>
    <t xml:space="preserve">Founded 2004 per brand Our Story. Locator is Destini (not machine-read). 100% fruit, no added sugar.</t>
  </si>
  <si>
    <t xml:space="preserve">hq_city &lt;- https://crispygreen.com/policies/contact-information (2026-10-24, opened); shelf_stable_basis &lt;- https://crispygreen.com/pages/faqs (2026-10-24, opened); </t>
  </si>
  <si>
    <t xml:space="preserve">AB-306</t>
  </si>
  <si>
    <t xml:space="preserve">Oso Cacao</t>
  </si>
  <si>
    <t xml:space="preserve">Oso Cacao mango with chili-lime bean-to-bar chocolate ($12 bar)</t>
  </si>
  <si>
    <t xml:space="preserve">Queens (Made in Queens maker; Entrepreneur Space client)</t>
  </si>
  <si>
    <t xml:space="preserve">https://www.osocacao.com/shop</t>
  </si>
  <si>
    <t xml:space="preserve">One SKU is a bourbon whiskey bar (check alcohol content; use another flavor). $12 bars are pricey for 50 units per office. No Manhattan stockist found</t>
  </si>
  <si>
    <t xml:space="preserve">https://www.osocacao.com</t>
  </si>
  <si>
    <t xml:space="preserve">Wrapped plant-based chocolate bars; ships Tuesdays and Thursdays only to protect quality</t>
  </si>
  <si>
    <t xml:space="preserve">Standalone Cheese; Wild Roots Provisions; Cocoa and Cream LA; Posh Deli (Wantagh); Abeja Coffee; The Green Salmon; JFK airport terminals (FAQ)</t>
  </si>
  <si>
    <t xml:space="preserve">https://www.osocacao.com/faq</t>
  </si>
  <si>
    <t xml:space="preserve">https://www.instagram.com/oso_cacao/</t>
  </si>
  <si>
    <t xml:space="preserve">BR5:42</t>
  </si>
  <si>
    <t xml:space="preserve">Made in Queens directory: 'authentic bean-to-bar chocolate that is proudly Mexican-inspired and NYC-made... focusing exclusively on small farms in Mexico'; M/WBE. Also an Entrepreneur Space current client. The directory lists a personal contact email and phone, which were not recorded.</t>
  </si>
  <si>
    <t xml:space="preserve">AB-247</t>
  </si>
  <si>
    <t xml:space="preserve">Graza</t>
  </si>
  <si>
    <t xml:space="preserve">Launched E.V.O.O. potato chips: brand-shop listings published 2026-05-13; homepage 'New E.V.O.O. Potato Chips'; WFM Union Square tags them 'Latest &amp; Greatest'</t>
  </si>
  <si>
    <t xml:space="preserve">https://www.graza.co/products.json?limit=250</t>
  </si>
  <si>
    <t xml:space="preserve">2026-05-13</t>
  </si>
  <si>
    <t xml:space="preserve">https://www.graza.co/</t>
  </si>
  <si>
    <t xml:space="preserve">Graza E.V.O.O. Sea Salt Potato Chips, 5.5 oz bag (also Zesty Caesar, Salt &amp; Vinegar, Hot n' Sweet)</t>
  </si>
  <si>
    <t xml:space="preserve">Brooklyn (185 Wythe Avenue per a business-directory search snippet; unverified, founder to confirm)</t>
  </si>
  <si>
    <t xml:space="preserve">https://www.graza.co</t>
  </si>
  <si>
    <t xml:space="preserve">Established olive-oil brand (22-24 SKUs per cluster WFM) likely above the $10M ceiling; chips are a 2026 line extension, which is the why-now</t>
  </si>
  <si>
    <t xml:space="preserve">https://www.wholefoodsmarket.com/api/search?text=graza%20chips&amp;store=10773&amp;limit=60&amp;offset=0</t>
  </si>
  <si>
    <t xml:space="preserve">Benin</t>
  </si>
  <si>
    <t xml:space="preserve">https://nbcchicago.com/news/business/money-report/31-year-old-built-a-company-that-could-bring-in-48-million-this-year-all-due-to-olive-oil/3457955</t>
  </si>
  <si>
    <t xml:space="preserve">find Andrew Benin at Graza on LinkedIn and paste the profile URL into primary_linkedin_url; use the Whole Foods Market NoMad line only if retailer_checked_date is this week's Friday check</t>
  </si>
  <si>
    <t xml:space="preserve">New York City brand (HQ unverified), store page shows Whole Foods Market NoMad inside the cluster, a new store listing 164 days ago, revenue over $10M</t>
  </si>
  <si>
    <t xml:space="preserve">; founder review: scale-reported, scale, not-emerging</t>
  </si>
  <si>
    <t xml:space="preserve">Andrew Benin</t>
  </si>
  <si>
    <t xml:space="preserve">Amanda Everest</t>
  </si>
  <si>
    <t xml:space="preserve">scale-reported;scale;not-emerging</t>
  </si>
  <si>
    <t xml:space="preserve">Bagged kettle-style chips sold ambient; no shelf-life figure published, founder to confirm</t>
  </si>
  <si>
    <t xml:space="preserve">over-10m</t>
  </si>
  <si>
    <t xml:space="preserve">reported</t>
  </si>
  <si>
    <t xml:space="preserve">Company projection of $48M+ gross sales for 2024 (CNBC, 2024-06-07)</t>
  </si>
  <si>
    <t xml:space="preserve">Whole Foods Market (chips at all four cluster stores; 'Find Chips' locator on homepage)</t>
  </si>
  <si>
    <t xml:space="preserve">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</si>
  <si>
    <t xml:space="preserve">BR4:42</t>
  </si>
  <si>
    <t xml:space="preserve">Chip launch date taken from Shopify product published_at on graza.co (brand's own store data). WFM 'new' filter (featured=new) at Union Square lists all four chip SKUs, 2026-10-23.</t>
  </si>
  <si>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</si>
  <si>
    <t xml:space="preserve">AB-192</t>
  </si>
  <si>
    <t xml:space="preserve">Sunbear</t>
  </si>
  <si>
    <t xml:space="preserve">Tompkins Square Bagels, 23 E 17th St</t>
  </si>
  <si>
    <t xml:space="preserve">https://drinksunbear.com/pages/store-locator</t>
  </si>
  <si>
    <t xml:space="preserve">Sunbear Sparkling Hydration (organic coconut water and fruit juice), Watermelon, can</t>
  </si>
  <si>
    <t xml:space="preserve">https://drinksunbear.com</t>
  </si>
  <si>
    <t xml:space="preserve">'Hydration' and natural electrolytes positioning (nutrient-content; check label); newest store listings are 2024, so no fresh launch signal; founder and HQ not found; 60-day shelf life not stated</t>
  </si>
  <si>
    <t xml:space="preserve">Danielle</t>
  </si>
  <si>
    <t xml:space="preserve">Krueger</t>
  </si>
  <si>
    <t xml:space="preserve">https://ice.edu/blog/danielle-krueger-sunbear</t>
  </si>
  <si>
    <t xml:space="preserve">find Danielle Krueger at Sunbear on LinkedIn and paste the profile URL into primary_linkedin_url; the retailer line rests on the brand's own store locator: say 'your store locator lists ...'</t>
  </si>
  <si>
    <t xml:space="preserve">HQ unknown, brand locator shows Tompkins Square Bagels inside the cluster, no dated why-now in the last 12 months, revenue unknown</t>
  </si>
  <si>
    <t xml:space="preserve">Danielle Krueger</t>
  </si>
  <si>
    <t xml:space="preserve">Tompkins Square Bagels, 23 E 17th St (brand_claim, inside);Lincoln Market, 501 6th Ave (brand_claim, 1.2 blocks out);West Side Market, 77 7th Ave (brand_claim, 2.0 blocks out);Tompkins Square Bagels, 184 2nd Ave (brand_claim, 4.5 blocks out);The Station Cafe, 623 2nd Ave (brand_claim, 9.2 blocks out)</t>
  </si>
  <si>
    <t xml:space="preserve">Tompkins Square Bagels; Lincoln Market; West Side Market; Ermina's Market; cafes (brand Stockist locator: 53 points, 10 near the cluster); Pop Up Grocer (past brand)</t>
  </si>
  <si>
    <t xml:space="preserve">https://drinksunbear.com/pages/store-locator; https://stockist.co/api/v1/map_g3y52nz3/locations/search?latitude=40.7400&amp;longitude=-73.9900&amp;distance=3</t>
  </si>
  <si>
    <t xml:space="preserve">BR3:66</t>
  </si>
  <si>
    <t xml:space="preserve">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</si>
  <si>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</si>
  <si>
    <t xml:space="preserve">AB-189</t>
  </si>
  <si>
    <t xml:space="preserve">Fruitbelt</t>
  </si>
  <si>
    <t xml:space="preserve">New Cherry Rhubarb Tonic listed on store</t>
  </si>
  <si>
    <t xml:space="preserve">https://fruitbelt.com/products.json</t>
  </si>
  <si>
    <t xml:space="preserve">https://fruitbelt.com/pages/story-the-roots-of-fruitbelt</t>
  </si>
  <si>
    <t xml:space="preserve">Fruitbelt Cherry Rhubarb sparkling tonic (fruit juice, honey, bitters), non-alcoholic</t>
  </si>
  <si>
    <t xml:space="preserve">Pullman</t>
  </si>
  <si>
    <t xml:space="preserve">https://fruitbelt.com</t>
  </si>
  <si>
    <t xml:space="preserve">Michigan brand with two NYC points, both outside the cluster; bitters-based tonic (confirm 0.0% and pack format: $48-58 suggests multi-packs); single-serve pack not shown on the pages read: ask on the first call; 60-day shelf life not stated</t>
  </si>
  <si>
    <t xml:space="preserve">Michele</t>
  </si>
  <si>
    <t xml:space="preserve">Gazzolo</t>
  </si>
  <si>
    <t xml:space="preserve">https://preparedfoods.com/articles/122793-fruitbelt-sparkling-tonic-names-new-vice-president</t>
  </si>
  <si>
    <t xml:space="preserve">find Michele Gazzolo at Fruitbelt on LinkedIn and paste the profile URL into primary_linkedin_url</t>
  </si>
  <si>
    <t xml:space="preserve">Carol</t>
  </si>
  <si>
    <t xml:space="preserve">Mueller</t>
  </si>
  <si>
    <t xml:space="preserve">find Carol Mueller at Fruitbelt on LinkedIn and paste the profile URL into backup_linkedin_url</t>
  </si>
  <si>
    <t xml:space="preserve">Brand based outside the Northeast, no graded store within ten blocks, online store only, a new store listing 12 days ago, revenue unknown</t>
  </si>
  <si>
    <t xml:space="preserve">Michele Gazzolo</t>
  </si>
  <si>
    <t xml:space="preserve">Carol Mueller</t>
  </si>
  <si>
    <t xml:space="preserve">MI</t>
  </si>
  <si>
    <t xml:space="preserve">No storage statement read</t>
  </si>
  <si>
    <t xml:space="preserve">Dimes Market (brand_claim, 33.6 blocks out)</t>
  </si>
  <si>
    <t xml:space="preserve">Dimes Market, 143 Division St; Soho Jones, Brooklyn (brand Stockist locator); Pop Up Grocer (past brand)</t>
  </si>
  <si>
    <t xml:space="preserve">https://stockist.co/api/v1/map_v3jz28e3/locations/search?latitude=40.74&amp;longitude=-73.99&amp;distance=50</t>
  </si>
  <si>
    <t xml:space="preserve">https://instagram.com/fruitbelt</t>
  </si>
  <si>
    <t xml:space="preserve">BR3:63</t>
  </si>
  <si>
    <t xml:space="preserve">Story: imagined in 2012 to capture 'the character of Michigan's Fruit belt' (basis for hq_state MI; city not stated).</t>
  </si>
  <si>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</si>
  <si>
    <t xml:space="preserve">AB-133</t>
  </si>
  <si>
    <t xml:space="preserve">Halmi</t>
  </si>
  <si>
    <t xml:space="preserve">https://drinkhalmi.com/pages/faqs</t>
  </si>
  <si>
    <t xml:space="preserve">Halmi Cinnamon, Ginger, Jujube, Persimmon sparkling drink (SuJeongGwa-inspired), can</t>
  </si>
  <si>
    <t xml:space="preserve">Ridgewood (Queens, New York City)</t>
  </si>
  <si>
    <t xml:space="preserve">https://drinkhalmi.com</t>
  </si>
  <si>
    <t xml:space="preserve">Only drink SKU shows 'Sold out' on own store (2026-10-23) and newest store listing is 2023, so the brand may be dormant. FAQ says ingredients are 'known for their digestive and health properties' (soft wellness wording; check label and marketing) | Claims review 2026-10-24: inspired by SuJeongGwa, a spiced punch 'brewed for generations to aid digestion' (traditional-use wording) (https://drinkhalmi.com/products/cinnamon-ginger-jujube-persimmon); decide before outreach, and the tent card must not repeat it</t>
  </si>
  <si>
    <t xml:space="preserve">Bae</t>
  </si>
  <si>
    <t xml:space="preserve">https://drinkhalmi.com/pages/our-story</t>
  </si>
  <si>
    <t xml:space="preserve">find Hannah Bae at Halmi on LinkedIn and paste the profile URL into primary_linkedin_url</t>
  </si>
  <si>
    <t xml:space="preserve">Hannah Bae</t>
  </si>
  <si>
    <t xml:space="preserve">Brand FAQ: 'pasteurized and will be shelf-stable for 1 year in moderate conditions' (drinkhalmi.com/pages/faqs, opened 2026-10-23)</t>
  </si>
  <si>
    <t xml:space="preserve">https://www.instagram.com/drinkhalmi</t>
  </si>
  <si>
    <t xml:space="preserve">BR3:7</t>
  </si>
  <si>
    <t xml:space="preserve">Korean-American founded; CB Insights snippet (not opened) lists New York, so HQ left unknown (unverified, founder to confirm). Our-story page cites ABC7 New York coverage. Low priority: confirm the brand is still producing before outreach.</t>
  </si>
  <si>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founder_review_reason &lt;- https://drinkhalmi.com/products/cinnamon-ginger-jujube-persimmon (2026-10-24, stage 3 correction); </t>
  </si>
  <si>
    <t xml:space="preserve">AB-033</t>
  </si>
  <si>
    <t xml:space="preserve">34 Degrees</t>
  </si>
  <si>
    <t xml:space="preserve">https://34-degrees.com/pages/our-story</t>
  </si>
  <si>
    <t xml:space="preserve">34 Degrees Original Crisps, 4.5 oz; Rosemary Garlic Mates</t>
  </si>
  <si>
    <t xml:space="preserve">Denver</t>
  </si>
  <si>
    <t xml:space="preserve">https://34-degrees.com</t>
  </si>
  <si>
    <t xml:space="preserve">Wide national distribution (US and Canada) suggests revenue above the band; deli-cracker format is shared-size, not single-serve</t>
  </si>
  <si>
    <t xml:space="preserve">https://www.wholefoodsmarket.com/api/search?text=34%20degrees&amp;store=10773&amp;limit=60&amp;offset=0</t>
  </si>
  <si>
    <t xml:space="preserve">Craig</t>
  </si>
  <si>
    <t xml:space="preserve">find Craig Lieberman at 34 Degrees on LinkedIn and paste the profile URL into primary_linkedin_url; use the Whole Foods Market NoMad line only if retailer_checked_date is this week's Friday check</t>
  </si>
  <si>
    <t xml:space="preserve">Craig Lieberman</t>
  </si>
  <si>
    <t xml:space="preserve">Thin baked crisps sold ambient in deli departments</t>
  </si>
  <si>
    <t xml:space="preserve">Whole Foods Market; Kroger; Walmart; Publix; Sprouts; Meijer; Wegmans; Safeway; Albertsons; King Soopers</t>
  </si>
  <si>
    <t xml:space="preserve">https://www.wholefoodsmarket.com/search?text=34%20degrees%20crisps (6 items IN_STOCK in each cluster store context, 2026-10-23)</t>
  </si>
  <si>
    <t xml:space="preserve">BR1:34</t>
  </si>
  <si>
    <t xml:space="preserve">34 Degrees, LLC, 2825 Larimer St, Denver CO (terms of service). Our story page mentions three new Snaps snacking flavors (Sea Salt, Everything, Umami), undated. Founder name added in the 2026-10-23 spot check.</t>
  </si>
  <si>
    <t xml:space="preserve">AB-248</t>
  </si>
  <si>
    <t xml:space="preserve">Tate's Bake Shop</t>
  </si>
  <si>
    <t xml:space="preserve">https://www.tatesbakeshop.com/</t>
  </si>
  <si>
    <t xml:space="preserve">Tiny Tate's Cookies multipack (single-serve bags); Lemon Cookies 7 oz</t>
  </si>
  <si>
    <t xml:space="preserve">Southampton, Long Island (homepage: 'Southampton Born')</t>
  </si>
  <si>
    <t xml:space="preserve">https://www.tatesbakeshop.com</t>
  </si>
  <si>
    <t xml:space="preserve">National brand (8-9 SKUs per cluster WFM, nationwide distribution) almost certainly above the $10M ceiling; corporate ownership to confirm</t>
  </si>
  <si>
    <t xml:space="preserve">https://www.wholefoodsmarket.com/api/search?text=tate%27s&amp;store=10773&amp;limit=60&amp;offset=0</t>
  </si>
  <si>
    <t xml:space="preserve">Kathleen</t>
  </si>
  <si>
    <t xml:space="preserve">https://cspdailynews.com/snacks-candy/mondelez-acquires-tates-bake-shop</t>
  </si>
  <si>
    <t xml:space="preserve">find Kathleen King at Tate's Bake Shop on LinkedIn and paste the profile URL into primary_linkedin_url; use the Whole Foods Market NoMad line only if retailer_checked_date is this week's Friday check</t>
  </si>
  <si>
    <t xml:space="preserve">New York State brand, store page shows Whole Foods Market NoMad inside the cluster, no dated why-now in the last 12 months, revenue unknown</t>
  </si>
  <si>
    <t xml:space="preserve">Kathleen King</t>
  </si>
  <si>
    <t xml:space="preserve">acquired by Mondelez International (deal announced 2018-05-08, about $500M)</t>
  </si>
  <si>
    <t xml:space="preserve">Brand FAQ: 'Packaged items have a shelf life of up to three months'; no additives or preservatives; check the best-by date</t>
  </si>
  <si>
    <t xml:space="preserve">Acquisition price about $500M (2018); no sales figure, so revenue_band stays unknown, but the brand is far above the ceiling</t>
  </si>
  <si>
    <t xml:space="preserve">Whole Foods Market; national grocery</t>
  </si>
  <si>
    <t xml:space="preserve">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</si>
  <si>
    <t xml:space="preserve">BR4:43</t>
  </si>
  <si>
    <t xml:space="preserve">Recorded so the size gate is visible; New York State origin.</t>
  </si>
  <si>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</si>
  <si>
    <t xml:space="preserve">AB-020</t>
  </si>
  <si>
    <t xml:space="preserve">(P)RiND</t>
  </si>
  <si>
    <t xml:space="preserve">Launched office bundles (Burgeoning Office, Medium Office, Wall Street) and a 'For Offices' page</t>
  </si>
  <si>
    <t xml:space="preserve">https://www.eatprind.com/products/medium-office-bundle</t>
  </si>
  <si>
    <t xml:space="preserve">2026-04-27</t>
  </si>
  <si>
    <t xml:space="preserve">https://eatprind.com/pages/about</t>
  </si>
  <si>
    <t xml:space="preserve">(P)RiND Parmesan Pops, single pack (6 Pack Variety - Single Pack)</t>
  </si>
  <si>
    <t xml:space="preserve">https://www.eatprind.com</t>
  </si>
  <si>
    <t xml:space="preserve">Positioned 'High Protein Parmesan Pops' (nutrient-content claim) and 'functional'; cheese-based, confirm shelf life of 60+ days</t>
  </si>
  <si>
    <t xml:space="preserve">Matteo</t>
  </si>
  <si>
    <t xml:space="preserve">Caloia</t>
  </si>
  <si>
    <t xml:space="preserve">find Matteo Caloia at RiND on LinkedIn and paste the profile URL into primary_linkedin_url</t>
  </si>
  <si>
    <t xml:space="preserve">Kai</t>
  </si>
  <si>
    <t xml:space="preserve">find Kai at RiND on LinkedIn and paste the profile URL into backup_linkedin_url; surname not public: take it from LinkedIn</t>
  </si>
  <si>
    <t xml:space="preserve">Brand based outside the Northeast, no graded store within ten blocks, online store only, a new store listing 180 days ago, revenue unknown</t>
  </si>
  <si>
    <t xml:space="preserve">Matteo Caloia</t>
  </si>
  <si>
    <t xml:space="preserve">Oven-baked aged-cheese-rind crisps sold ambient online and at PopUp Grocer</t>
  </si>
  <si>
    <t xml:space="preserve">PopUp Grocer (NYC); Faire wholesale; brand store locator</t>
  </si>
  <si>
    <t xml:space="preserve">https://popupgrocer.com/pages/directory (availability 'NYC Flagship', 2026-10-23); https://popupgrocer.com/products/prind</t>
  </si>
  <si>
    <t xml:space="preserve">https://instagram.com/eatprind</t>
  </si>
  <si>
    <t xml:space="preserve">BR1:21</t>
  </si>
  <si>
    <t xml:space="preserve">Already selling to offices, a strong fit for the pitch. Monthly mystery flavor drops (2026-07). Business city from privacy policy.</t>
  </si>
  <si>
    <t xml:space="preserve">AB-213</t>
  </si>
  <si>
    <t xml:space="preserve">Brooklyn Biltong</t>
  </si>
  <si>
    <t xml:space="preserve">Added single-serve 0.8 oz bags in 2026 (Classic Skinny Sticks and Garlic and Pepper &amp; Coriander Tender Steak Slices published 2026-06-30, Classic 2026-07-28, Chili Peri Peri 2026-08-13), offered as a free bag plus shipping</t>
  </si>
  <si>
    <t xml:space="preserve">https://www.brooklynbiltong.com/products.json?limit=250</t>
  </si>
  <si>
    <t xml:space="preserve">2026-08-13</t>
  </si>
  <si>
    <t xml:space="preserve">https://www.brooklynbiltong.com/pages/storage-instructions</t>
  </si>
  <si>
    <t xml:space="preserve">Classic Tender Steak Slices 0.8 oz single-serve bag (also 3.2 oz bag; Skinny Sticks 0.8 oz and 3.5 oz)</t>
  </si>
  <si>
    <t xml:space="preserve">Goldsboro, NC (privacy-policy mailing address: 1002 Sunburst Drive, Goldsboro, North Carolina 27534). A CB Insights snippet lists 314 Prospect Ave, Brooklyn (unverified). Founder to confirm where the team sits.</t>
  </si>
  <si>
    <t xml:space="preserve">https://www.brooklynbiltong.com</t>
  </si>
  <si>
    <t xml:space="preserve">Protein and keto positioning ('50 grams of protein', 'Keto certified', 'HEALTHY MEAT SNACKS'); HQ not confirmed as NYC | Claims review 2026-10-24: the site footer carries the FDA disclaimer ('not intended to diagnose, treat, cure, or prevent any disease'); no claim found on the pages read (https://www.brooklynbiltong.com); decide before outreach, and the tent card must not repeat it</t>
  </si>
  <si>
    <t xml:space="preserve">Ben</t>
  </si>
  <si>
    <t xml:space="preserve">van den Heever</t>
  </si>
  <si>
    <t xml:space="preserve">https://www.brooklynbiltong.com/pages/about-us-history</t>
  </si>
  <si>
    <t xml:space="preserve">find Ben van den Heever at Brooklyn Biltong on LinkedIn and paste the profile URL into primary_linkedin_url</t>
  </si>
  <si>
    <t xml:space="preserve">Brand based outside the Northeast (HQ unverified), no graded store within ten blocks, online store only, a new store listing 72 days ago, revenue unknown</t>
  </si>
  <si>
    <t xml:space="preserve">Ben van den Heever</t>
  </si>
  <si>
    <t xml:space="preserve">NC (privacy-policy address; founder to confirm)</t>
  </si>
  <si>
    <t xml:space="preserve">Storage page: 'An unopened bag of biltong can last up to 12 months stored in a cool, dry place'</t>
  </si>
  <si>
    <t xml:space="preserve">Store locator (not machine-readable); wholesale via Faire</t>
  </si>
  <si>
    <t xml:space="preserve">https://www.brooklynbiltong.com/pages/store-locator</t>
  </si>
  <si>
    <t xml:space="preserve">https://www.instagram.com/brooklynbiltong</t>
  </si>
  <si>
    <t xml:space="preserve">BR4:8</t>
  </si>
  <si>
    <t xml:space="preserve">Air-dried grass-fed beef, South African recipe from the founder's grandfather in Pretoria. Store locator uses a Roseperl widget whose store list loads from an API; no stores could be read. Not checked in WFM (no brand hit for 'brooklyn biltong' in cluster catalogs on 2026-10-23).</t>
  </si>
  <si>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founder_review_reason &lt;- https://www.brooklynbiltong.com (2026-10-24, stage 3 correction); </t>
  </si>
  <si>
    <t xml:space="preserve">AB-251</t>
  </si>
  <si>
    <t xml:space="preserve">DEFI Snacks</t>
  </si>
  <si>
    <t xml:space="preserve">Grand Prize winner, Enthuse Foundation 7th Women Founders Pitch Competition (NYC finale 2025-11-06); site banner now says 'Winner of the 2026 Mintel MOST INNOVATIVE PRODUCT award'</t>
  </si>
  <si>
    <t xml:space="preserve">https://startupcpg.com/startup-cpg-newswire-enthuse-foundation-names-defi-snacks-grand-prize-winner-and-bake-me-healthy-runner-up-in-7th-annual-women-founders-pitch-competition/</t>
  </si>
  <si>
    <t xml:space="preserve">2025-11-14</t>
  </si>
  <si>
    <t xml:space="preserve">High-protein chocolate bites (25g+ protein; sprouted buckwheat, casein and whey crisps)</t>
  </si>
  <si>
    <t xml:space="preserve">Chatham</t>
  </si>
  <si>
    <t xml:space="preserve">Protein positioning (25g+ protein); new brand; single-serve pack not shown on the pages read: ask on the first call; 60-day shelf life not stated</t>
  </si>
  <si>
    <t xml:space="preserve">Tatyana</t>
  </si>
  <si>
    <t xml:space="preserve">http://defi-snacks.com/pages/about</t>
  </si>
  <si>
    <t xml:space="preserve">find Tatyana Jones at DEFI Snacks on LinkedIn and paste the profile URL into primary_linkedin_url</t>
  </si>
  <si>
    <t xml:space="preserve">Northeast brand, no graded store within ten blocks, online store only, news 344 days ago, revenue unknown</t>
  </si>
  <si>
    <t xml:space="preserve">Tatyana Jones</t>
  </si>
  <si>
    <t xml:space="preserve">http://defi-snacks.com</t>
  </si>
  <si>
    <t xml:space="preserve">Not stated in release</t>
  </si>
  <si>
    <t xml:space="preserve">BR4:46</t>
  </si>
  <si>
    <t xml:space="preserve">Woman-led brand. Founder not named in the passages read. NYC pitch-event winner, so likely receptive to NYC trial.</t>
  </si>
  <si>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</si>
  <si>
    <t xml:space="preserve">AB-134</t>
  </si>
  <si>
    <t xml:space="preserve">Manhattan Special</t>
  </si>
  <si>
    <t xml:space="preserve">https://www.manhattanspecial.com/after-about/</t>
  </si>
  <si>
    <t xml:space="preserve">Manhattan Special Pure Espresso Coffee Soda, 12 oz glass bottle</t>
  </si>
  <si>
    <t xml:space="preserve">https://www.manhattanspecial.com/our-products/</t>
  </si>
  <si>
    <t xml:space="preserve">Heritage brand (since 1895), not an emerging brand, and contains caffeine; retailer locator is a request form, so no near-cluster store is listed. Fit is a judgment call; 60-day shelf life not stated</t>
  </si>
  <si>
    <t xml:space="preserve">Aurora</t>
  </si>
  <si>
    <t xml:space="preserve">Passaro</t>
  </si>
  <si>
    <t xml:space="preserve">Key people</t>
  </si>
  <si>
    <t xml:space="preserve">https://en.wikipedia.org/wiki/Manhattan_Special</t>
  </si>
  <si>
    <t xml:space="preserve">find Aurora Passaro at Manhattan Special on LinkedIn and paste the profile URL into primary_linkedin_url</t>
  </si>
  <si>
    <t xml:space="preserve">Louis</t>
  </si>
  <si>
    <t xml:space="preserve">find Louis Passaro at Manhattan Special on LinkedIn and paste the profile URL into backup_linkedin_url</t>
  </si>
  <si>
    <t xml:space="preserve">; founder review: not-emerging, nutrient-claim</t>
  </si>
  <si>
    <t xml:space="preserve">Aurora Passaro</t>
  </si>
  <si>
    <t xml:space="preserve">key people per Wikipedia</t>
  </si>
  <si>
    <t xml:space="preserve">Louis Passaro</t>
  </si>
  <si>
    <t xml:space="preserve">not-emerging;nutrient-claim</t>
  </si>
  <si>
    <t xml:space="preserve">https://www.manhattanspecial.com</t>
  </si>
  <si>
    <t xml:space="preserve">family-owned (since 1895)</t>
  </si>
  <si>
    <t xml:space="preserve">Bottled soda; no shelf-life statement found on brand site</t>
  </si>
  <si>
    <t xml:space="preserve">Walmart.com (diet decaf listing, from search results)</t>
  </si>
  <si>
    <t xml:space="preserve">BR3:8</t>
  </si>
  <si>
    <t xml:space="preserve">Products page: 12 oz espresso coffee sodas and all-natural sodas 'Order Online'; 32 oz not online. Brooklyn (Williamsburg) location is from a Wikipedia search snippet only, not on pages opened (unverified, founder to confirm). Family names in search snippets not recorded as contacts.</t>
  </si>
  <si>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</si>
  <si>
    <t xml:space="preserve">AB-052</t>
  </si>
  <si>
    <t xml:space="preserve">Inka Crops</t>
  </si>
  <si>
    <t xml:space="preserve">https://www.wholefoodsmarket.com/search?text=inka%20plantain</t>
  </si>
  <si>
    <t xml:space="preserve">Inka Plantain Chips, Sea Salt, 4 oz</t>
  </si>
  <si>
    <t xml:space="preserve">Lima, Peru (search snippet; US importer Inka Foods Inc in Citrus Heights CA per Panjiva trade-record snippets; unverified, founder to confirm)</t>
  </si>
  <si>
    <t xml:space="preserve">Brand site returned no readable content; owner, HQ and US entity unconfirmed; no individually packaged single-serve SKU on the pages read (check for one before outreach); no online store: buy path is the store only</t>
  </si>
  <si>
    <t xml:space="preserve">https://www.wholefoodsmarket.com/api/search?text=inka%20crops&amp;store=10162&amp;limit=60&amp;offset=0</t>
  </si>
  <si>
    <t xml:space="preserve">Brand based outside the Northeast (HQ unverified), store page shows Whole Foods Market Union Square inside the cluster, no dated why-now in the last 12 months, revenue unknown</t>
  </si>
  <si>
    <t xml:space="preserve">https://inkacrops.com</t>
  </si>
  <si>
    <t xml:space="preserve">Peru (country)</t>
  </si>
  <si>
    <t xml:space="preserve">Bagged plantain chips, ambient</t>
  </si>
  <si>
    <t xml:space="preserve">https://www.wholefoodsmarket.com/search?text=inka%20plantain (Union Square and Chelsea contexts IN_STOCK 2026-10-23; not shown at NoMad)</t>
  </si>
  <si>
    <t xml:space="preserve">BR1:53</t>
  </si>
  <si>
    <t xml:space="preserve">inkacrops.com/en responded (HTTP 200) with no readable text.</t>
  </si>
  <si>
    <t xml:space="preserve">hq_city &lt;- https://www.peru-retail.com/inka-crops-snack-peruano-retailers-walmart-y-amazon/ (2026-10-24, snippet-unverified); hq_state &lt;- https://www.peru-retail.com/inka-crops-snack-peruano-retailers-walmart-y-amazon/ (2026-10-24, opened); </t>
  </si>
  <si>
    <t xml:space="preserve">AB-024</t>
  </si>
  <si>
    <t xml:space="preserve">LesserEvil</t>
  </si>
  <si>
    <t xml:space="preserve">Launched Cheezmos Puffs (Cowgirl Cheddar, Jalapeño Cheddar)</t>
  </si>
  <si>
    <t xml:space="preserve">https://www.snackandbakery.com/articles/116310-lesserevil-expands-cheezmos-line-with-two-puffed-snacks</t>
  </si>
  <si>
    <t xml:space="preserve">https://www.lesserevil.com/pages/our-story</t>
  </si>
  <si>
    <t xml:space="preserve">LesserEvil Organic Real Cheddar Space Balls 10-count snack packs; Cowboy Cheddar Cheezmos Snack Pack</t>
  </si>
  <si>
    <t xml:space="preserve">https://www.lesserevil.com</t>
  </si>
  <si>
    <t xml:space="preserve">Scale suggests revenue well above $10M (own factory, 17+ SKUs per NYC WFM store) though no sourced figure; $600 may be below their sampling threshold</t>
  </si>
  <si>
    <t xml:space="preserve">https://www.wholefoodsmarket.com/api/search?text=lesserevil&amp;store=10773&amp;limit=60&amp;offset=0</t>
  </si>
  <si>
    <t xml:space="preserve">Charles</t>
  </si>
  <si>
    <t xml:space="preserve">Coristine</t>
  </si>
  <si>
    <t xml:space="preserve">President and CEO</t>
  </si>
  <si>
    <t xml:space="preserve">https://www.linkedin.com/in/charles-coristine-7b611b13/</t>
  </si>
  <si>
    <t xml:space="preserve">https://www.snackandbakery.com/articles/114444-2025-snack-producer-of-the-year-lesserevil</t>
  </si>
  <si>
    <t xml:space="preserve">open the LinkedIn URL and confirm it is Charles Coristine, President and CEO at LesserEvil (found on another page, never opened); the source is dated 2025: check Charles still holds the role; use the Whole Foods Market NoMad line only if retailer_checked_date is this week's Friday check</t>
  </si>
  <si>
    <t xml:space="preserve">Caitlin</t>
  </si>
  <si>
    <t xml:space="preserve">Mack</t>
  </si>
  <si>
    <t xml:space="preserve">VP of Marketing</t>
  </si>
  <si>
    <t xml:space="preserve">find Caitlin Mack at LesserEvil on LinkedIn and paste the profile URL into backup_linkedin_url; the source is dated 2025: check Caitlin still holds the role; use the Whole Foods Market NoMad line only if retailer_checked_date is this week's Friday check</t>
  </si>
  <si>
    <t xml:space="preserve">Northeast brand, store page shows Whole Foods Market NoMad inside the cluster, news 43 days ago, revenue over $10M</t>
  </si>
  <si>
    <t xml:space="preserve">; founder review: scale-reported, scale</t>
  </si>
  <si>
    <t xml:space="preserve">Charles Coristine</t>
  </si>
  <si>
    <t xml:space="preserve">2025</t>
  </si>
  <si>
    <t xml:space="preserve">Snack and Bakery 2025 key personnel: "Charles Coristine, CEO"; he bought the company in 2011, so owner rather than original founder. LinkedIn URL linked from https://karagoldin.com/podcasts/charles-coristine/; LinkedIn not opened.</t>
  </si>
  <si>
    <t xml:space="preserve">Snack and Bakery 2025 key personnel; Modern Retail 2024-09 called her director of digital and brand marketing. A stage-1 LinkedIn snippet (about two months old) says a Caitlin Mack joined PRETZELIZED (rank 9) as VP of Marketing; she may have left. Confirm before contacting.</t>
  </si>
  <si>
    <t xml:space="preserve">scale-reported;scale</t>
  </si>
  <si>
    <t xml:space="preserve">Bagged organic popcorn and puffs sold ambient; multi-count snack packs</t>
  </si>
  <si>
    <t xml:space="preserve">Snack and Bakery 2025 profile: sales $104M (2023), $169M (2024), $225M projected (2025)</t>
  </si>
  <si>
    <t xml:space="preserve">https://www.wholefoodsmarket.com/search?text=lesserevil (17-18 items IN_STOCK in each of Union Square, NoMad, Chelsea contexts, 2026-10-23)</t>
  </si>
  <si>
    <t xml:space="preserve">BR1:25</t>
  </si>
  <si>
    <t xml:space="preserve">All products manufactured at Danbury CT headquarters (our story page). Revenue band left unknown on purpose: no sourced figure.</t>
  </si>
  <si>
    <t xml:space="preserve">revenue_band &lt;- https://www.snackandbakery.com/articles/114444-2025-snack-producer-of-the-year-lesserevil (2026-10-24, stage 3 correction); revenue_basis &lt;- https://www.snackandbakery.com/articles/114444-2025-snack-producer-of-the-year-lesserevil (2026-10-24, stage 3 correction); </t>
  </si>
  <si>
    <t xml:space="preserve">person 'caitlin mack' shared with AB-003</t>
  </si>
  <si>
    <t xml:space="preserve">AB-202</t>
  </si>
  <si>
    <t xml:space="preserve">Spirited Zero Proof</t>
  </si>
  <si>
    <t xml:space="preserve">Added to Pop Up Grocer NYC Flagship directory; Original and Lemon Spritz listed 2026-06-03</t>
  </si>
  <si>
    <t xml:space="preserve">https://popupgrocer.com/products/spirited-zero-proof</t>
  </si>
  <si>
    <t xml:space="preserve">2026-09-29</t>
  </si>
  <si>
    <t xml:space="preserve">https://spiritedzeroproof.com/pages/our-story</t>
  </si>
  <si>
    <t xml:space="preserve">Spirited Original Spritz zero-proof RTD cocktail, can (under 30 calories)</t>
  </si>
  <si>
    <t xml:space="preserve">Miami Beach</t>
  </si>
  <si>
    <t xml:space="preserve">https://spiritedzeroproof.com</t>
  </si>
  <si>
    <t xml:space="preserve">Cocktail-style positioning in an office pantry; Miami founder, so NYC push would be new; shelf stability not stated; 60-day shelf life not stated</t>
  </si>
  <si>
    <t xml:space="preserve">Laurie</t>
  </si>
  <si>
    <t xml:space="preserve">Lloyd</t>
  </si>
  <si>
    <t xml:space="preserve">find Laurie Lloyd at Spirited Zero Proof on LinkedIn and paste the profile URL into primary_linkedin_url</t>
  </si>
  <si>
    <t xml:space="preserve">Brand based outside the Northeast, no graded store within ten blocks, online store only, a new store listing 25 days ago, revenue unknown</t>
  </si>
  <si>
    <t xml:space="preserve">Laurie Lloyd</t>
  </si>
  <si>
    <t xml:space="preserve">FL</t>
  </si>
  <si>
    <t xml:space="preserve">Pop Up Grocer NYC Flagship, 205 Bleecker St (retailer directory); find-a-store page not readable</t>
  </si>
  <si>
    <t xml:space="preserve">BR3:76</t>
  </si>
  <si>
    <t xml:space="preserve">FAQ: 100% alcohol free, no THC, mushrooms or adaptogens (clean on claims). Founder described as 'a Miami-based entrepreneur' (basis for hq).</t>
  </si>
  <si>
    <t xml:space="preserve">hq_city &lt;- https://spiritedzeroproof.com/policies/privacy-policy (2026-10-24, opened); </t>
  </si>
  <si>
    <t xml:space="preserve">AB-289</t>
  </si>
  <si>
    <t xml:space="preserve">Josephine's Baking Co.</t>
  </si>
  <si>
    <t xml:space="preserve">Launched Vanilla and Coconut Crispy Cookies and a Nut-Free Favorites bundle</t>
  </si>
  <si>
    <t xml:space="preserve">https://josephinesbakingco.com/products.json</t>
  </si>
  <si>
    <t xml:space="preserve">https://events.specialtyfood.com/event/2026-summer-fancy-food-show/exhibitor/RXhoaWJpdG9yXzI0NTA3ODc=</t>
  </si>
  <si>
    <t xml:space="preserve">Vanilla Crispy Cookies, gluten-free, 5 oz stand-up pouch</t>
  </si>
  <si>
    <t xml:space="preserve">unknown (made in Massachusetts and Vermont)</t>
  </si>
  <si>
    <t xml:space="preserve">https://josephinesbakingco.com</t>
  </si>
  <si>
    <t xml:space="preserve">Only 5 oz share pouches seen, no single-serve. Meta description calls the cookies 'a healthy and tasty snack' (soft wording)</t>
  </si>
  <si>
    <t xml:space="preserve">Lydda</t>
  </si>
  <si>
    <t xml:space="preserve">https://josephinesbakingco.com/pages/about-us</t>
  </si>
  <si>
    <t xml:space="preserve">find Lydda at Josephine's Baking Co. on LinkedIn and paste the profile URL into primary_linkedin_url; surname not public: take it from LinkedIn</t>
  </si>
  <si>
    <t xml:space="preserve">Northeast brand, no graded store within ten blocks, online store only, a new store listing 32 days ago, revenue unknown</t>
  </si>
  <si>
    <t xml:space="preserve">'Mimi'; surname not given</t>
  </si>
  <si>
    <t xml:space="preserve">Crispy gluten-free cookies in resealable 5 oz pouches shipped nationwide; shelf life not stated</t>
  </si>
  <si>
    <t xml:space="preserve">https://www.instagram.com/josephinesbakingco/</t>
  </si>
  <si>
    <t xml:space="preserve">BR5:25</t>
  </si>
  <si>
    <t xml:space="preserve">SFFS 2026 (State: Massachusetts): 'women-owned, Latina-owned mother-daughter brand crafting premium gluten-free cookies'. Homepage: 'Our cookies are proudly made in Massachusetts &amp; Vermont'.</t>
  </si>
  <si>
    <t xml:space="preserve">AB-298</t>
  </si>
  <si>
    <t xml:space="preserve">The Maple Brothers</t>
  </si>
  <si>
    <t xml:space="preserve">Added three oat bar flavors to its US online store and exhibited in the Startup CPG pavilion at SFFS 2026</t>
  </si>
  <si>
    <t xml:space="preserve">https://themaplebrothers.com/products.json</t>
  </si>
  <si>
    <t xml:space="preserve">2026-05-17</t>
  </si>
  <si>
    <t xml:space="preserve">https://events.specialtyfood.com/event/2026-summer-fancy-food-show/exhibitor/RXhoaWJpdG9yXzI0NTA2ODU=</t>
  </si>
  <si>
    <t xml:space="preserve">Chocolate Chip &amp; Maple Oat Bars (organic, maple-sweetened)</t>
  </si>
  <si>
    <t xml:space="preserve">https://themaplebrothers.com</t>
  </si>
  <si>
    <t xml:space="preserve">Positioned as a kids' snack and described as 'a beloved European brand' re-entering the US, so the US entity's size and NY plans are unclear. Founders unnamed | Claims review 2026-10-24: Whole grains and real fruit for steady, no-crash energy (energy wording) (https://themaplebrothers.com); decide before outreach, and the tent card must not repeat it</t>
  </si>
  <si>
    <t xml:space="preserve">Northeast brand, no graded store within ten blocks, online store only, a new store listing 160 days ago, revenue unknown</t>
  </si>
  <si>
    <t xml:space="preserve">Wrapped organic oat bars sold ambient online; shelf life not stated</t>
  </si>
  <si>
    <t xml:space="preserve">https://www.instagram.com/themaplebrothers</t>
  </si>
  <si>
    <t xml:space="preserve">BR5:34</t>
  </si>
  <si>
    <t xml:space="preserve">SFFS 2026 exhibitor (State: Vermont; Pavilion: Start Up CPG). Startup CPG pavilion text: 'Grade A maple syrup sweetened organic oat bars. They are vegan, gluten-free, USDA organic'.</t>
  </si>
  <si>
    <t xml:space="preserve">founder_review_reason &lt;- https://themaplebrothers.com (2026-10-24, stage 3 correction); </t>
  </si>
  <si>
    <t xml:space="preserve">AB-061</t>
  </si>
  <si>
    <t xml:space="preserve">Belle's Gourmet Popcorn</t>
  </si>
  <si>
    <t xml:space="preserve">Launched in 1,000+ Walmart stores; new seasonal flavors (Pumpkin Spice Latte, White Chocolatey Peppermint) on brand store 2026-10-19</t>
  </si>
  <si>
    <t xml:space="preserve">https://startupcpg.com/startup-cpg-newswire-belles-gourmet-popcorn-launches-in-more-than-1000-walmart-stores-nationwide/</t>
  </si>
  <si>
    <t xml:space="preserve">Belle's Avocado Kettle Corn ($4.99 bag)</t>
  </si>
  <si>
    <t xml:space="preserve">Farmers Branch</t>
  </si>
  <si>
    <t xml:space="preserve">https://bellespopcorn.com</t>
  </si>
  <si>
    <t xml:space="preserve">Several SKUs are sweet (Lemon Meringue, Peanut Butter Crunch, Dubai-Style Chocolate); savory fit is Avocado Kettle Corn only; peanut allergen in one SKU | Claims review 2026-10-24: a coming 'Beauty + Glow' popcorn with collagen peptides, biotin and vitamin E (implied effect) (https://bellespopcorn.com); decide before outreach, and the tent card must not repeat it; national retail distribution in the why-now ('Walmart'): check the revenue band at intake; single-serve pack not shown on the pages read: ask on the first call</t>
  </si>
  <si>
    <t xml:space="preserve">Belle</t>
  </si>
  <si>
    <t xml:space="preserve">Sharon</t>
  </si>
  <si>
    <t xml:space="preserve">find Belle Sharon at Belle's Gourmet Popcorn on LinkedIn and paste the profile URL into primary_linkedin_url</t>
  </si>
  <si>
    <t xml:space="preserve">Dror</t>
  </si>
  <si>
    <t xml:space="preserve">find Dror Sharon at Belle's Gourmet Popcorn on LinkedIn and paste the profile URL into backup_linkedin_url</t>
  </si>
  <si>
    <t xml:space="preserve">Brand based outside the Northeast, no graded store within ten blocks, online store only, a new store listing 177 days ago, revenue unknown</t>
  </si>
  <si>
    <t xml:space="preserve">; founder review: claim-functional, nutrient-claim, format-unconfirmed</t>
  </si>
  <si>
    <t xml:space="preserve">Belle Sharon</t>
  </si>
  <si>
    <t xml:space="preserve">Dror Sharon</t>
  </si>
  <si>
    <t xml:space="preserve">claim-functional;nutrient-claim;format-unconfirmed</t>
  </si>
  <si>
    <t xml:space="preserve">family-owned</t>
  </si>
  <si>
    <t xml:space="preserve">Bagged popcorn, ambient</t>
  </si>
  <si>
    <t xml:space="preserve">Walmart (1,000+ stores, April 2026)</t>
  </si>
  <si>
    <t xml:space="preserve">https://startupcpg.com/startup-cpg-newswire-belles-gourmet-popcorn-launches-in-more-than-1000-walmart-stores-nationwide/; https://www.wholefoodsmarket.com/search?text=belle%27s%20gourmet%20popcorn (no WFM results, 2026-10-23)</t>
  </si>
  <si>
    <t xml:space="preserve">BR1:62</t>
  </si>
  <si>
    <t xml:space="preserve">Release datelined FARMERS BRANCH, TX (April 2026).</t>
  </si>
  <si>
    <t xml:space="preserve">founder_review_reason &lt;- https://bellespopcorn.com (2026-10-24, stage 3 correction); </t>
  </si>
  <si>
    <t xml:space="preserve">AB-012</t>
  </si>
  <si>
    <t xml:space="preserve">Vaca Chips</t>
  </si>
  <si>
    <t xml:space="preserve">New 18-pack variety offer on brand store</t>
  </si>
  <si>
    <t xml:space="preserve">https://www.vacachips.com/products/vaca-18-pack-variety</t>
  </si>
  <si>
    <t xml:space="preserve">https://vacachips.com/pages/about-us</t>
  </si>
  <si>
    <t xml:space="preserve">Vaca Chips beef-tallow-fried tortilla chips (sampler and 12-pack bundles)</t>
  </si>
  <si>
    <t xml:space="preserve">Huntington Beach</t>
  </si>
  <si>
    <t xml:space="preserve">https://www.vacachips.com</t>
  </si>
  <si>
    <t xml:space="preserve">Claims review 2026-10-24: blog posts: tallow 'linked to supporting metabolism', vitamins for 'immune support' (blog copy) (https://www.vacachips.com/blogs/news/why-beef-tallow-is-the-superfat-your-diet-has-been-missing); decide before outreach, and the tent card must not repeat it; single-serve pack not shown on the pages read: ask on the first call</t>
  </si>
  <si>
    <t xml:space="preserve">Brian</t>
  </si>
  <si>
    <t xml:space="preserve">Gibb</t>
  </si>
  <si>
    <t xml:space="preserve">Founder &amp; CEO</t>
  </si>
  <si>
    <t xml:space="preserve">find Brian Gibb at Vaca Chips on LinkedIn and paste the profile URL into primary_linkedin_url</t>
  </si>
  <si>
    <t xml:space="preserve">Brand based outside the Northeast, no graded store within ten blocks, online store only, a new store listing 22 days ago, revenue unknown</t>
  </si>
  <si>
    <t xml:space="preserve">Brian Gibb</t>
  </si>
  <si>
    <t xml:space="preserve">Bagged fried tortilla chips sold ambient</t>
  </si>
  <si>
    <t xml:space="preserve">PopUp Grocer (NYC); brand store locator</t>
  </si>
  <si>
    <t xml:space="preserve">https://popupgrocer.com/pages/directory (availability 'NYC Flagship', 2026-10-23); https://popupgrocer.com/products/vaca-chips</t>
  </si>
  <si>
    <t xml:space="preserve">https://instagram.com/vacachips</t>
  </si>
  <si>
    <t xml:space="preserve">BR1:13</t>
  </si>
  <si>
    <t xml:space="preserve">LinkedIn snippet: Joshua Haddox, Cofounder and COO at Vaca Chips (https://www.linkedin.com/in/joshua-haddox-mba-48b17b54/). No marketing lead found. Homepage (opened) lists new placements at Bristol Farms, Lazy Acres and Gelson's (California, undated).</t>
  </si>
  <si>
    <t xml:space="preserve">notes &lt;- https://www.linkedin.com/in/joshua-haddox-mba-48b17b54/ (2026-10-24, snippet-unverified); founder_review_reason &lt;- https://www.vacachips.com/blogs/news/why-beef-tallow-is-the-superfat-your-diet-has-been-missing (2026-10-24, stage 3 correction); </t>
  </si>
  <si>
    <t xml:space="preserve">AB-019</t>
  </si>
  <si>
    <t xml:space="preserve">Joon Pistachios</t>
  </si>
  <si>
    <t xml:space="preserve">Founders featured on Foodbevy's Startup To Scale podcast: '1500+ Doors in 6 Months', growth to 1,000+ doors within months</t>
  </si>
  <si>
    <t xml:space="preserve">https://podcast.foodbevy.com/1832151/episodes/18203095-246-1500-doors-on-6-months-joon-pistachio-s-tremendous-growth</t>
  </si>
  <si>
    <t xml:space="preserve">2025-11-18</t>
  </si>
  <si>
    <t xml:space="preserve">https://www.eatjoonfoods.com/pages/about</t>
  </si>
  <si>
    <t xml:space="preserve">Joon Dill Pickle Pistachios, 4.5 oz bag</t>
  </si>
  <si>
    <t xml:space="preserve">https://www.eatjoonfoods.com</t>
  </si>
  <si>
    <t xml:space="preserve">national retail distribution in the why-now ('1,000+ doors'): check the revenue band at intake; no individually packaged single-serve SKU on the pages read (check for one before outreach)</t>
  </si>
  <si>
    <t xml:space="preserve">Cody</t>
  </si>
  <si>
    <t xml:space="preserve">Allen</t>
  </si>
  <si>
    <t xml:space="preserve">find Cody Allen at Joon Pistachios on LinkedIn and paste the profile URL into primary_linkedin_url</t>
  </si>
  <si>
    <t xml:space="preserve">Alexandre</t>
  </si>
  <si>
    <t xml:space="preserve">Bennet</t>
  </si>
  <si>
    <t xml:space="preserve">find Alexandre Bennet at Joon Pistachios on LinkedIn and paste the profile URL into backup_linkedin_url</t>
  </si>
  <si>
    <t xml:space="preserve">Brand based outside the Northeast, no graded store within ten blocks, online store only, news 340 days ago, revenue unknown</t>
  </si>
  <si>
    <t xml:space="preserve">Cody Allen</t>
  </si>
  <si>
    <t xml:space="preserve">Alexandre  Bennet</t>
  </si>
  <si>
    <t xml:space="preserve">Roasted flavored pistachios in sealed bags, ambient</t>
  </si>
  <si>
    <t xml:space="preserve">https://popupgrocer.com/pages/directory (availability 'NYC Flagship', 2026-10-23); https://popupgrocer.com/products/joon</t>
  </si>
  <si>
    <t xml:space="preserve">https://instagram.com/eatjoonfoods</t>
  </si>
  <si>
    <t xml:space="preserve">BR1:20</t>
  </si>
  <si>
    <t xml:space="preserve">Entity JOON TREATS LLC, Los Angeles (terms of service). Co-founder Cody's family runs Allen Brothers Wholesale Distribution in Philadelphia (about page).</t>
  </si>
  <si>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</si>
  <si>
    <t xml:space="preserve">AB-029</t>
  </si>
  <si>
    <t xml:space="preserve">Vermont Smoke &amp; Cure</t>
  </si>
  <si>
    <t xml:space="preserve">Launched Kraft A.1. and Lea &amp; Perrins inspired smoked beef sticks (1 oz, 6-count)</t>
  </si>
  <si>
    <t xml:space="preserve">https://store.vermontsmokeandcure.com/products/kraft-a-1-inspired-smoked-premium-beef-stick-1oz-6ct</t>
  </si>
  <si>
    <t xml:space="preserve">https://store.vermontsmokeandcure.com</t>
  </si>
  <si>
    <t xml:space="preserve">Vermont Smoke &amp; Cure BBQ Beef Stick, 1 oz</t>
  </si>
  <si>
    <t xml:space="preserve">Hinesburg</t>
  </si>
  <si>
    <t xml:space="preserve">Owned by Johnsonville LLC since Sept 2020 (big-brand parent), plus licensed Kraft A.1. and Lea &amp; Perrins sticks</t>
  </si>
  <si>
    <t xml:space="preserve">https://www.wholefoodsmarket.com/api/search?text=vermont%20smoke%20%26%20cure&amp;store=10773&amp;limit=60&amp;offset=0</t>
  </si>
  <si>
    <t xml:space="preserve">Northeast brand, store page shows Whole Foods Market NoMad inside the cluster, a new store listing 159 days ago, revenue unknown</t>
  </si>
  <si>
    <t xml:space="preserve">https://www.vermontsmokeandcure.com</t>
  </si>
  <si>
    <t xml:space="preserve">Individually wrapped 1 oz smoked meat sticks sold ambient (WFM single-stick listings)</t>
  </si>
  <si>
    <t xml:space="preserve">https://www.wholefoodsmarket.com/search?text=vermont%20smoke%20cure (Union Square, NoMad, Chelsea contexts: Original, Uncured Pepperoni Turkey and BBQ Beef 1 oz sticks IN_STOCK 2026-10-23)</t>
  </si>
  <si>
    <t xml:space="preserve">BR1:30</t>
  </si>
  <si>
    <t xml:space="preserve">Single 1 oz sticks are ideal pantry units. 'Our Story' URL 404s; leadership not found on site. why_now date is Shopify published_at.</t>
  </si>
  <si>
    <t xml:space="preserve">hq_city &lt;- https://www.provisioneronline.com/articles/109952-johnsonville-acquires-vermont-smoke-cure (2026-10-24, opened); founder_review_reason &lt;- https://www.provisioneronline.com/articles/109952-johnsonville-acquires-vermont-smoke-cure (2026-10-24, opened); </t>
  </si>
  <si>
    <t xml:space="preserve">AB-296</t>
  </si>
  <si>
    <t xml:space="preserve">Lark Fine Foods</t>
  </si>
  <si>
    <t xml:space="preserve">Added Tea Cakes and ribboned Tea Cakes to its online store</t>
  </si>
  <si>
    <t xml:space="preserve">https://larkfinefoods.com/products.json</t>
  </si>
  <si>
    <t xml:space="preserve">https://events.specialtyfood.com/event/2026-summer-fancy-food-show/exhibitor/RXhoaWJpdG9yXzI0ODY2MDE=</t>
  </si>
  <si>
    <t xml:space="preserve">Olive Scourtin sweet-and-savory biscuits; Tea Cakes</t>
  </si>
  <si>
    <t xml:space="preserve">Essex</t>
  </si>
  <si>
    <t xml:space="preserve">https://larkfinefoods.com</t>
  </si>
  <si>
    <t xml:space="preserve">Founded 2008 and gift-box led; single-serve format not seen. Founder not named on pages opened</t>
  </si>
  <si>
    <t xml:space="preserve">Northeast brand, no graded store within ten blocks, online store only, a new store listing 20 days ago, revenue unknown</t>
  </si>
  <si>
    <t xml:space="preserve">Packaged biscuits and shortbread sold ambient online and in specialty stores; shelf life not stated</t>
  </si>
  <si>
    <t xml:space="preserve">Specialty retailers (unnamed)</t>
  </si>
  <si>
    <t xml:space="preserve">BR5:32</t>
  </si>
  <si>
    <t xml:space="preserve">SFFS 2026: 'Founded in 2008, Lark Fine Foods is a 100% woman-owned and operated specialty foods company located north of Boston in historic Essex, Massachusetts'.</t>
  </si>
  <si>
    <t xml:space="preserve">AB-108</t>
  </si>
  <si>
    <t xml:space="preserve">jcoco</t>
  </si>
  <si>
    <t xml:space="preserve">Launched Sweet Heat bars (Thai Chili Peanut, Chili Almond, Spicy Pineapple), Sept 2026</t>
  </si>
  <si>
    <t xml:space="preserve">https://jcocochocolate.com/products/thai-chili-peanut-chocolate-bar</t>
  </si>
  <si>
    <t xml:space="preserve">2026-09-15</t>
  </si>
  <si>
    <t xml:space="preserve">https://jcocochocolate.com/pages/about</t>
  </si>
  <si>
    <t xml:space="preserve">Black Fig and Pistachio Dark Chocolate Bar 3 oz; Thai Chili Peanut bar</t>
  </si>
  <si>
    <t xml:space="preserve">Tukwila</t>
  </si>
  <si>
    <t xml:space="preserve">https://jcocochocolate.com</t>
  </si>
  <si>
    <t xml:space="preserve">Part of Seattle Chocolate Co. (parent company size unknown); 'delicious and nutritious' wording; 60-day shelf life not stated</t>
  </si>
  <si>
    <t xml:space="preserve">https://www.wholefoodsmarket.com/api/search?text=jcoco&amp;store=10773&amp;limit=60&amp;offset=0</t>
  </si>
  <si>
    <t xml:space="preserve">Jean</t>
  </si>
  <si>
    <t xml:space="preserve">Thompson</t>
  </si>
  <si>
    <t xml:space="preserve">find Jean Thompson at jcoco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</si>
  <si>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a new store listing 39 days ago, revenue unknown</t>
  </si>
  <si>
    <t xml:space="preserve">Jean Thompson</t>
  </si>
  <si>
    <t xml:space="preserve">WA</t>
  </si>
  <si>
    <t xml:space="preserve">owned by Seattle Chocolate Co. (site footer)</t>
  </si>
  <si>
    <t xml:space="preserve">Whole Foods; store locator (Secomapp widget, not machine-read)</t>
  </si>
  <si>
    <t xml:space="preserve">https://www.wholefoodsmarket.com/api/search?text=jcoco&amp;store=10162&amp;limit=60&amp;offset=0; https://www.wholefoodsmarket.com/api/search?text=jcoco&amp;store=10773&amp;limit=60&amp;offset=0; https://www.wholefoodsmarket.com/api/search?text=jcoco&amp;store=10131&amp;limit=60&amp;offset=0</t>
  </si>
  <si>
    <t xml:space="preserve">https://www.instagram.com/jcocochocolate/</t>
  </si>
  <si>
    <t xml:space="preserve">BR2:46</t>
  </si>
  <si>
    <t xml:space="preserve">Founded 2012; gives back with every bar. Why-now from Shopify publish dates.</t>
  </si>
  <si>
    <t xml:space="preserve">hq_city &lt;- https://jcocochocolate.com/pages/about (2026-10-24, opened); why_now_url &lt;- https://jcocochocolate.com/products/thai-chili-peanut-chocolate-bar (2026-10-24, stage 3 correction); </t>
  </si>
  <si>
    <t xml:space="preserve">AB-193</t>
  </si>
  <si>
    <t xml:space="preserve">Beekeeper Coffee</t>
  </si>
  <si>
    <t xml:space="preserve">Relaunched lineup on store: Mocha and Horchata Lattes (2026-07-21), Black (2026-09-12), Vanilla Latte (2026-09-22)</t>
  </si>
  <si>
    <t xml:space="preserve">https://beekeepercoffee.com/products.json</t>
  </si>
  <si>
    <t xml:space="preserve">https://beekeepercoffee.com/pages/faq</t>
  </si>
  <si>
    <t xml:space="preserve">Beekeeper Vanilla Latte (cold brew with a drop of honey), can</t>
  </si>
  <si>
    <t xml:space="preserve">https://beekeepercoffee.com</t>
  </si>
  <si>
    <t xml:space="preserve">Dairy lattes made in Tennessee; HQ and NYC retail not confirmed; national collab history may put it above the band</t>
  </si>
  <si>
    <t xml:space="preserve">Creech</t>
  </si>
  <si>
    <t xml:space="preserve">https://www.foodnavigator.com/Article/2024/10/03/Beekeeper-Coffee-taps-into-youth-culture-to-build-its-RTD-honey-sweetened-coffee/</t>
  </si>
  <si>
    <t xml:space="preserve">find David Creech at Beekeeper Coffee on LinkedIn and paste the profile URL into primary_linkedin_url</t>
  </si>
  <si>
    <t xml:space="preserve">Neuburger</t>
  </si>
  <si>
    <t xml:space="preserve">https://attend.expowest.com/event/natural-products-expo-west-2026/exhibitor/RXhoaWJpdG9yXzIzNTc2MDY=</t>
  </si>
  <si>
    <t xml:space="preserve">find Graham Neuburger at Beekeeper Coffee on LinkedIn and paste the profile URL into backup_linkedin_url</t>
  </si>
  <si>
    <t xml:space="preserve">Brand based outside the Northeast, no graded store within ten blocks, online store only, a new store listing 32 days ago, revenue unknown</t>
  </si>
  <si>
    <t xml:space="preserve">David Creech</t>
  </si>
  <si>
    <t xml:space="preserve">Graham Neuburger</t>
  </si>
  <si>
    <t xml:space="preserve">FAQ: 'all of our Latte and Cold Brew products are shelf-stable' (beekeepercoffee.com/pages/faq, opened 2026-10-23)</t>
  </si>
  <si>
    <t xml:space="preserve">Taco Bell (Horchata latte collab, 2024 press listed on about page); Pop Up Grocer (past brand); GoToAisle locator not readable</t>
  </si>
  <si>
    <t xml:space="preserve">https://beekeepercoffee.com/pages/about-us</t>
  </si>
  <si>
    <t xml:space="preserve">https://instagram.com/beekeepercoffee</t>
  </si>
  <si>
    <t xml:space="preserve">BR3:67</t>
  </si>
  <si>
    <t xml:space="preserve">FAQ: manufacturing facility in Tennessee, sources from neighboring dairy farms. Co-founders referenced in a BevNET headline on the about page (names not given). Dates are Shopify publish dates.</t>
  </si>
  <si>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</si>
  <si>
    <t xml:space="preserve">AB-205</t>
  </si>
  <si>
    <t xml:space="preserve">Kimino</t>
  </si>
  <si>
    <t xml:space="preserve">Relaunched US lineup: Sparkling Juices and Sparkling Waters (Yuzu, Ume, Mikan, Ringo, Momo) listed on the US store</t>
  </si>
  <si>
    <t xml:space="preserve">https://us.kimino.com/products.json</t>
  </si>
  <si>
    <t xml:space="preserve">2025-10-30</t>
  </si>
  <si>
    <t xml:space="preserve">https://us.kimino.com/pages/kimino-about-page</t>
  </si>
  <si>
    <t xml:space="preserve">Kimino Yuzu Sparkling Juice / Sparkling Water (Japanese fruit), can</t>
  </si>
  <si>
    <t xml:space="preserve">https://us.kimino.com</t>
  </si>
  <si>
    <t xml:space="preserve">Japan-rooted brand ('farmers and makers from Japan'); US entity location and NYC retail not found; 24-packs only online; 60-day shelf life not stated</t>
  </si>
  <si>
    <t xml:space="preserve">Andres</t>
  </si>
  <si>
    <t xml:space="preserve">Montoya</t>
  </si>
  <si>
    <t xml:space="preserve">National Director</t>
  </si>
  <si>
    <t xml:space="preserve">https://attend.expowest.com/event/natural-products-expo-west-2026/exhibitor/RXhoaWJpdG9yXzIzNTg3MzU=</t>
  </si>
  <si>
    <t xml:space="preserve">find Andres Montoya at Kimino on LinkedIn and paste the profile URL into backup_linkedin_url</t>
  </si>
  <si>
    <t xml:space="preserve">Brand based outside the Northeast, no graded store within ten blocks, online store only, a new store listing 359 days ago, revenue unknown</t>
  </si>
  <si>
    <t xml:space="preserve">Bill Creelman</t>
  </si>
  <si>
    <t xml:space="preserve">Andres Montoya</t>
  </si>
  <si>
    <t xml:space="preserve">National Director, not a marketing title</t>
  </si>
  <si>
    <t xml:space="preserve">unknown (wholesale page only)</t>
  </si>
  <si>
    <t xml:space="preserve">BR3:79</t>
  </si>
  <si>
    <t xml:space="preserve">kimino.com is a splash page linking to Japan and USA stores. Fits the Asian-flavor sparkling set with Sanzo and Moshi (category exclusivity per drop). Date is Shopify publish date.</t>
  </si>
  <si>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</si>
  <si>
    <t xml:space="preserve">AB-045</t>
  </si>
  <si>
    <t xml:space="preserve">The Good Crisp Company</t>
  </si>
  <si>
    <t xml:space="preserve">Acquired by investment firm MPearlRock (terms not disclosed); brand in 20,000+ retail doors across the US, Canada, Australia and the UK</t>
  </si>
  <si>
    <t xml:space="preserve">https://www.snackandbakery.com/articles/115026-investment-firm-snaps-up-the-good-crisp-company</t>
  </si>
  <si>
    <t xml:space="preserve">2026-01-16</t>
  </si>
  <si>
    <t xml:space="preserve">https://www.wholefoodsmarket.com/search?text=good%20crisp</t>
  </si>
  <si>
    <t xml:space="preserve">The Good Crisp Company Stacked Original potato crisps, 5.64 oz canister</t>
  </si>
  <si>
    <t xml:space="preserve">Longmont (returns address); Boulder per CB Insights and a Holland &amp; Hart note (search snippets, unverified, founder to confirm)</t>
  </si>
  <si>
    <t xml:space="preserve">https://www.thegoodcrispcompany.com</t>
  </si>
  <si>
    <t xml:space="preserve">Brand site unreachable through proxy on 2026-10-23; owner, HQ and scale unconfirmed; scale signal in the why-now ('20,000+ retail doors'): likely above the $10M band; ask at intake; no individually packaged single-serve SKU on the pages read (check for one before outreach)</t>
  </si>
  <si>
    <t xml:space="preserve">https://www.wholefoodsmarket.com/api/search?text=the%20good%20crisp%20company&amp;store=10773&amp;limit=60&amp;offset=0</t>
  </si>
  <si>
    <t xml:space="preserve">Parry</t>
  </si>
  <si>
    <t xml:space="preserve">find Matt Parry at The Good Crisp Company on LinkedIn and paste the profile URL into primary_linkedin_url; use the Whole Foods Market NoMad line only if retailer_checked_date is this week's Friday check</t>
  </si>
  <si>
    <t xml:space="preserve">Brand based outside the Northeast (HQ unverified), store page shows Whole Foods Market NoMad inside the cluster, news 281 days ago, revenue unknown</t>
  </si>
  <si>
    <t xml:space="preserve">; founder review: owner, scale, format</t>
  </si>
  <si>
    <t xml:space="preserve">Matt Parry</t>
  </si>
  <si>
    <t xml:space="preserve">owner;scale;format</t>
  </si>
  <si>
    <t xml:space="preserve">Acquired by MPearlRock (Jan 2026)</t>
  </si>
  <si>
    <t xml:space="preserve">Canister potato crisps and cheese balls, ambient</t>
  </si>
  <si>
    <t xml:space="preserve">https://www.wholefoodsmarket.com/search?text=good%20crisp (10 items IN_STOCK in each cluster store context, 2026-10-23)</t>
  </si>
  <si>
    <t xml:space="preserve">BR1:46</t>
  </si>
  <si>
    <t xml:space="preserve">Deep NYC shelf presence (10 SKUs per store). Needs a second pass when the site is reachable.</t>
  </si>
  <si>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online_store &lt;- https://www.thegoodcrispcompany.com (2026-10-24, stage 3 correction); online_store_url &lt;- https://www.thegoodcrispcompany.com (2026-10-24, stage 3 correction); </t>
  </si>
  <si>
    <t xml:space="preserve">AB-161</t>
  </si>
  <si>
    <t xml:space="preserve">Death Wish Coffee</t>
  </si>
  <si>
    <t xml:space="preserve">New Caramel Cold Brew Latte can added (after Classic, Mocha, Vanilla lattes in 2025-11)</t>
  </si>
  <si>
    <t xml:space="preserve">https://www.deathwishcoffee.com/products/caramel-cold-brew-latte</t>
  </si>
  <si>
    <t xml:space="preserve">2026-04-03</t>
  </si>
  <si>
    <t xml:space="preserve">https://www.deathwishcoffee.com/pages/about</t>
  </si>
  <si>
    <t xml:space="preserve">Death Wish Classic Cold Brew Latte, can (approx. 140 mg caffeine)</t>
  </si>
  <si>
    <t xml:space="preserve">Saratoga Springs</t>
  </si>
  <si>
    <t xml:space="preserve">High-caffeine positioning (140 mg per can) and '65% less sugar' nutrient-content claim; national brand since 2012, likely above $10M (no figure); 60-day shelf life not stated</t>
  </si>
  <si>
    <t xml:space="preserve">Mike</t>
  </si>
  <si>
    <t xml:space="preserve">Brown</t>
  </si>
  <si>
    <t xml:space="preserve">find Mike Brown at Death Wish Coffee on LinkedIn and paste the profile URL into primary_linkedin_url</t>
  </si>
  <si>
    <t xml:space="preserve">New York State brand, no graded store within ten blocks, online store only, a new store listing 204 days ago, revenue unknown</t>
  </si>
  <si>
    <t xml:space="preserve">Mike Brown</t>
  </si>
  <si>
    <t xml:space="preserve">https://www.deathwishcoffee.com</t>
  </si>
  <si>
    <t xml:space="preserve">No storage statement on latte product copy</t>
  </si>
  <si>
    <t xml:space="preserve">https://www.instagram.com/deathwishcoffee</t>
  </si>
  <si>
    <t xml:space="preserve">BR3:35</t>
  </si>
  <si>
    <t xml:space="preserve">About page: headquartered in downtown Saratoga Springs, manufacturing in Round Lake, New York. Dates are Shopify publish dates.</t>
  </si>
  <si>
    <t xml:space="preserve">AB-101</t>
  </si>
  <si>
    <t xml:space="preserve">Bakery on Main</t>
  </si>
  <si>
    <t xml:space="preserve">https://bakeryonmain.com/about/</t>
  </si>
  <si>
    <t xml:space="preserve">Gluten-free granola bars</t>
  </si>
  <si>
    <t xml:space="preserve">Glastonbury (founding location per brand about page; current HQ not stated)</t>
  </si>
  <si>
    <t xml:space="preserve">https://www.amazon.com/stores/UncleCrumbles/page/CCAA198D-5DEE</t>
  </si>
  <si>
    <t xml:space="preserve">Founded 1992; mostly granola and oatmeal (bars a minor line); no cluster retailer found; single-serve pack not shown on the pages read: ask on the first call; 60-day shelf life not stated</t>
  </si>
  <si>
    <t xml:space="preserve">Smulders</t>
  </si>
  <si>
    <t xml:space="preserve">find Michael Smulders at Bakery on Main on LinkedIn and paste the profile URL into primary_linkedin_url</t>
  </si>
  <si>
    <t xml:space="preserve">Northeast brand, no graded store within ten blocks, online store only, no dated why-now in the last 12 months, revenue unknown</t>
  </si>
  <si>
    <t xml:space="preserve">Michael Smulders</t>
  </si>
  <si>
    <t xml:space="preserve">https://bakeryonmain.com</t>
  </si>
  <si>
    <t xml:space="preserve">Granola, instant oatmeal and granola bars (ambient grocery categories); shelf-life figure not found</t>
  </si>
  <si>
    <t xml:space="preserve">Local supermarkets (store locator)</t>
  </si>
  <si>
    <t xml:space="preserve">https://bakeryonmain.com/store-locator/; https://www.wholefoodsmarket.com/api/search?text=bakery%20on%20main&amp;store=10162&amp;limit=60&amp;offset=0</t>
  </si>
  <si>
    <t xml:space="preserve">https://www.instagram.com/bakeryonmain/</t>
  </si>
  <si>
    <t xml:space="preserve">BR2:39</t>
  </si>
  <si>
    <t xml:space="preserve">Northeast brand. Not in WFM cluster catalogs. | Stage 1 online-store check 2026-10-24: Amazon storefront linked from the brand homepage (Amazon only; Amazon page not opened; discount code via Amazon promotions, founder to confirm) (https://bakeryonmain.com)</t>
  </si>
  <si>
    <t xml:space="preserve">online_store &lt;- https://bakeryonmain.com (2026-10-24, opened, stage 1); </t>
  </si>
  <si>
    <t xml:space="preserve">AB-039</t>
  </si>
  <si>
    <t xml:space="preserve">PeaKaPop</t>
  </si>
  <si>
    <t xml:space="preserve">Launched Protein Thins on brand store</t>
  </si>
  <si>
    <t xml:space="preserve">https://peakapop.com/products/protein-this</t>
  </si>
  <si>
    <t xml:space="preserve">https://peakapop.com/pages/about-us</t>
  </si>
  <si>
    <t xml:space="preserve">PeaKaPop Sea Salt Veggie Crisps (air-popped chickpea and lentil)</t>
  </si>
  <si>
    <t xml:space="preserve">Woodbridge</t>
  </si>
  <si>
    <t xml:space="preserve">https://peakapop.com</t>
  </si>
  <si>
    <t xml:space="preserve">New 'Protein Thins' line (protein positioning); single-serve pack not shown on the pages read: ask on the first call</t>
  </si>
  <si>
    <t xml:space="preserve">Emre</t>
  </si>
  <si>
    <t xml:space="preserve">find Emre at PeaKaPop on LinkedIn and paste the profile URL into primary_linkedin_url; surname not public: take it from LinkedIn</t>
  </si>
  <si>
    <t xml:space="preserve">Zeynep</t>
  </si>
  <si>
    <t xml:space="preserve">find Zeynep at PeaKaPop on LinkedIn and paste the profile URL into backup_linkedin_url; surname not public: take it from LinkedIn</t>
  </si>
  <si>
    <t xml:space="preserve">Brand based outside the Northeast, no graded store within ten blocks, online store only, a new store listing 71 days ago, revenue unknown</t>
  </si>
  <si>
    <t xml:space="preserve">first names on brand site</t>
  </si>
  <si>
    <t xml:space="preserve">Air-popped legume crisps in sealed bags, ambient</t>
  </si>
  <si>
    <t xml:space="preserve">https://popupgrocer.com/pages/directory (availability 'NYC Flagship', 2026-10-23); https://popupgrocer.com/products/peakapop</t>
  </si>
  <si>
    <t xml:space="preserve">https://instagram.com/peakapop</t>
  </si>
  <si>
    <t xml:space="preserve">BR1:40</t>
  </si>
  <si>
    <t xml:space="preserve">Entity Fine Snacks Inc., Woodbridge VA (terms of service). Makes every batch in its own facility (homepage).</t>
  </si>
  <si>
    <t xml:space="preserve">AB-287</t>
  </si>
  <si>
    <t xml:space="preserve">Popzup Popcorn</t>
  </si>
  <si>
    <t xml:space="preserve">Launched 8-pack boxes of its single-serve popcorn bags</t>
  </si>
  <si>
    <t xml:space="preserve">https://popzup.com/products.json</t>
  </si>
  <si>
    <t xml:space="preserve">https://events.specialtyfood.com/event/2026-summer-fancy-food-show/exhibitor/RXhoaWJpdG9yXzI0MjEwMDk=</t>
  </si>
  <si>
    <t xml:space="preserve">Cheddar Head single-serve popcorn, 0.52 oz bag (8-pack and 30-pack)</t>
  </si>
  <si>
    <t xml:space="preserve">Somersworth</t>
  </si>
  <si>
    <t xml:space="preserve">https://popzup.com</t>
  </si>
  <si>
    <t xml:space="preserve">Site copy calls the 70-calorie packs a 'healthy snack'; the SFFS listing says the dairy is 'a complete protein' with '11% daily fiber' (nutrient wording, check the pack). No NYC retailer found; online only for the cluster</t>
  </si>
  <si>
    <t xml:space="preserve">Northeast brand, no graded store within ten blocks, online store only, a new store listing 254 days ago, revenue unknown</t>
  </si>
  <si>
    <t xml:space="preserve">Popped popcorn in sealed single-serve bags shipped nationwide; shelf life not stated</t>
  </si>
  <si>
    <t xml:space="preserve">General stores in New England (customer reviews); online</t>
  </si>
  <si>
    <t xml:space="preserve">https://www.instagram.com/popzup.popcorn/</t>
  </si>
  <si>
    <t xml:space="preserve">BR5:23</t>
  </si>
  <si>
    <t xml:space="preserve">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</si>
  <si>
    <t xml:space="preserve">AB-069</t>
  </si>
  <si>
    <t xml:space="preserve">Sweet Loren's</t>
  </si>
  <si>
    <t xml:space="preserve">https://www.sweetlorens.com/pages/our-story</t>
  </si>
  <si>
    <t xml:space="preserve">Breakfast Biscuits 5 Count (Cinnamon Sugar, Chocolate, Blueberry)</t>
  </si>
  <si>
    <t xml:space="preserve">New York (brand story: founded in NYC; current HQ address not stated)</t>
  </si>
  <si>
    <t xml:space="preserve">https://www.sweetlorens.com</t>
  </si>
  <si>
    <t xml:space="preserve">Core line is refrigerated dough (excluded); only the shelf-stable Breakfast Biscuits qualify; protein/fiber nutrient claims on new bars; single-serve pack not shown on the pages read: ask on the first call</t>
  </si>
  <si>
    <t xml:space="preserve">https://www.wholefoodsmarket.com/api/search?text=sweet%20lorens%20breakfast%20biscuits&amp;store=10773&amp;limit=60&amp;offset=0</t>
  </si>
  <si>
    <t xml:space="preserve">Loren</t>
  </si>
  <si>
    <t xml:space="preserve">Castle</t>
  </si>
  <si>
    <t xml:space="preserve">https://www.linkedin.com/in/loren-brill-castle-56887121/</t>
  </si>
  <si>
    <t xml:space="preserve">https://www.sweetlorens.com/blogs/press</t>
  </si>
  <si>
    <t xml:space="preserve">open the LinkedIn URL and confirm it is Loren Castle, Founder and CEO at Sweet Loren's (found on another page, never opened); use the Whole Foods Market NoMad line only if retailer_checked_date is this week's Friday check</t>
  </si>
  <si>
    <t xml:space="preserve">Tracy</t>
  </si>
  <si>
    <t xml:space="preserve">Garbowski</t>
  </si>
  <si>
    <t xml:space="preserve">Senior Vice President, Marketing</t>
  </si>
  <si>
    <t xml:space="preserve">https://theorg.com/org/sweet-lorens/person/tracy-garbowski</t>
  </si>
  <si>
    <t xml:space="preserve">find Tracy Garbowski at Sweet Loren's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</si>
  <si>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no dated why-now in the last 12 months, revenue over $10M</t>
  </si>
  <si>
    <t xml:space="preserve">; founder review: scale-reported, perishable-risk, nutrient-claim, format-unconfirmed</t>
  </si>
  <si>
    <t xml:space="preserve">Loren Castle</t>
  </si>
  <si>
    <t xml:space="preserve">Brand press page carries the CNBC piece (2025-02-18): "Castle is founder and CEO of Sweet Loren's". The Org lists "Loren (Brill) Castle". LinkedIn URL linked from https://karagoldin.com/podcasts/loren-castle/; LinkedIn not opened. Fills the stage-1 surname gap.</t>
  </si>
  <si>
    <t xml:space="preserve">Tracy Garbowski</t>
  </si>
  <si>
    <t xml:space="preserve">2026-01-21</t>
  </si>
  <si>
    <t xml:space="preserve">The Org (updated 2026-01-21): SVP Marketing since 2025. The earlier SVP Marketing, Robyn DeFina (appointed 2022-10 per Food Industry Executive, The Org updated 2023-01), appears superseded; not recorded as a contact.</t>
  </si>
  <si>
    <t xml:space="preserve">scale-reported;perishable-risk;nutrient-claim;format-unconfirmed</t>
  </si>
  <si>
    <t xml:space="preserve">Brand Our Story: launched 'shelf-stable breakfast biscuits'; most of the rest of the line is refrigerated dough</t>
  </si>
  <si>
    <t xml:space="preserve">press headline: a 2025 projection (CNBC, 2025-02-18), not actuals</t>
  </si>
  <si>
    <t xml:space="preserve">CNBC, 2025-02-18, on the brand's press page: 'set to bring in $120 million this year' (a projection, not actuals)</t>
  </si>
  <si>
    <t xml:space="preserve">Whole Foods (nationwide for biscuits); Publix; Amazon</t>
  </si>
  <si>
    <t xml:space="preserve">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</si>
  <si>
    <t xml:space="preserve">https://www.instagram.com/sweetlorens/</t>
  </si>
  <si>
    <t xml:space="preserve">BR2:6</t>
  </si>
  <si>
    <t xml:space="preserve">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</si>
  <si>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</si>
  <si>
    <t xml:space="preserve">AB-060</t>
  </si>
  <si>
    <t xml:space="preserve">Chifles</t>
  </si>
  <si>
    <t xml:space="preserve">New Original Plantain Chips with Avocado Oil 6-pack on brand store; Kroger expansion to 2,200+ stores (release 2025-10-23)</t>
  </si>
  <si>
    <t xml:space="preserve">https://chifleschips.com/products/original-plantain-chips-with-avocado-oil-5-oz-ea-6-pack</t>
  </si>
  <si>
    <t xml:space="preserve">2026-10-21</t>
  </si>
  <si>
    <t xml:space="preserve">https://startupcpg.com/startup-cpg-newswire-chifles-americas-1-plantain-chip-expands-into-more-than-2200-kroger-stores-nationwide/</t>
  </si>
  <si>
    <t xml:space="preserve">Chifles Original Plantain Chips with Avocado Oil, 5 oz (6-pack)</t>
  </si>
  <si>
    <t xml:space="preserve">Miami</t>
  </si>
  <si>
    <t xml:space="preserve">https://chifleschips.com</t>
  </si>
  <si>
    <t xml:space="preserve">Self-described 'America's #1 plantain chip' with 15,000+ points of sale and 60-year history; likely above the $10M band (no sourced figure); no individually packaged single-serve SKU on the pages read (check for one before outreach)</t>
  </si>
  <si>
    <t xml:space="preserve">Caballero</t>
  </si>
  <si>
    <t xml:space="preserve">find Tina Caballero at Chifles on LinkedIn and paste the profile URL into primary_linkedin_url</t>
  </si>
  <si>
    <t xml:space="preserve">Brand based outside the Northeast, no graded store within ten blocks, online store only, a new store listing 3 days ago, revenue unknown</t>
  </si>
  <si>
    <t xml:space="preserve">Tina Caballero</t>
  </si>
  <si>
    <t xml:space="preserve">family-owned (60+ years per release)</t>
  </si>
  <si>
    <t xml:space="preserve">Bagged plantain chips and strips, ambient</t>
  </si>
  <si>
    <t xml:space="preserve">Kroger (2,200+ stores); 15,000+ points of sale in the US</t>
  </si>
  <si>
    <t xml:space="preserve">https://startupcpg.com/startup-cpg-newswire-chifles-americas-1-plantain-chip-expands-into-more-than-2200-kroger-stores-nationwide/; https://www.wholefoodsmarket.com/search?text=chifles%20plantain (no WFM results in cluster stores, 2026-10-23)</t>
  </si>
  <si>
    <t xml:space="preserve">BR1:61</t>
  </si>
  <si>
    <t xml:space="preserve">Release datelined MIAMI, FL (October 2025). Avocado-oil SKU created 2026-10-17 on Shopify.</t>
  </si>
  <si>
    <t xml:space="preserve">AB-176</t>
  </si>
  <si>
    <t xml:space="preserve">Saint James Iced Tea</t>
  </si>
  <si>
    <t xml:space="preserve">Launched Mango 'The White Lotus' limited edition and new Fruit Punch flavor on its store</t>
  </si>
  <si>
    <t xml:space="preserve">https://saintjamesicedtea.com/products.json</t>
  </si>
  <si>
    <t xml:space="preserve">https://saintjamesicedtea.com/pages/about</t>
  </si>
  <si>
    <t xml:space="preserve">Saint James organic iced tea (0-4 g sugar), can; Strawberry Tangerine Yerba Mate (150 mg caffeine)</t>
  </si>
  <si>
    <t xml:space="preserve">Boca Raton</t>
  </si>
  <si>
    <t xml:space="preserve">https://saintjamesicedtea.com</t>
  </si>
  <si>
    <t xml:space="preserve">Founded by AriZona Iced Tea co-founder, so well-resourced and maybe above the band; yerba mate SKUs carry 150 mg caffeine (place the plain iced tea). Pop Up Grocer listing is brand-level, not SKU-level | Claims review 2026-10-24: caffeine, theobromine, and polyphenols delivers a steady, no crash lift (energy wording) (https://saintjamesicedtea.com/products/strawberry-tangerine-yerba-mate); decide before outreach, and the tent card must not repeat it; 60-day shelf life not stated</t>
  </si>
  <si>
    <t xml:space="preserve">John</t>
  </si>
  <si>
    <t xml:space="preserve">M</t>
  </si>
  <si>
    <t xml:space="preserve">find John M at Saint James Iced Tea on LinkedIn and paste the profile URL into primary_linkedin_url</t>
  </si>
  <si>
    <t xml:space="preserve">Hayley</t>
  </si>
  <si>
    <t xml:space="preserve">Budden</t>
  </si>
  <si>
    <t xml:space="preserve">Director of Field Marketing</t>
  </si>
  <si>
    <t xml:space="preserve">https://attend.expowest.com/event/natural-products-expo-west-2026/exhibitor/RXhoaWJpdG9yXzIzNTc0NDA=</t>
  </si>
  <si>
    <t xml:space="preserve">find Hayley Budden at Saint James Iced Tea on LinkedIn and paste the profile URL into backup_linkedin_url</t>
  </si>
  <si>
    <t xml:space="preserve">Brand based outside the Northeast, no graded store within ten blocks, online store only, a new store listing 59 days ago, revenue unknown</t>
  </si>
  <si>
    <t xml:space="preserve">John M</t>
  </si>
  <si>
    <t xml:space="preserve">Hayley Budden</t>
  </si>
  <si>
    <t xml:space="preserve">family-owned (per Pop Up Grocer directory)</t>
  </si>
  <si>
    <t xml:space="preserve">https://popupgrocer.com/products/saint-james-iced-tea</t>
  </si>
  <si>
    <t xml:space="preserve">FAQ discusses refrigeration only after opening; no explicit shelf-life statement read</t>
  </si>
  <si>
    <t xml:space="preserve">Pop Up Grocer NYC Flagship, 205 Bleecker St (retailer directory); Destini locator not readable</t>
  </si>
  <si>
    <t xml:space="preserve">BR3:50</t>
  </si>
  <si>
    <t xml:space="preserve">Pop Up Grocer directory (opened 2026-10-23): 'second-generation, family-owned', availability 'NYC Flagship'. store_selector grade is from the retailer's own directory page naming its NYC Flagship store. Dates are Shopify publish dates.</t>
  </si>
  <si>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founder_review_reason &lt;- https://saintjamesicedtea.com/products/strawberry-tangerine-yerba-mate (2026-10-24, stage 3 correction); </t>
  </si>
  <si>
    <t xml:space="preserve">AB-310</t>
  </si>
  <si>
    <t xml:space="preserve">Chef Poppin</t>
  </si>
  <si>
    <t xml:space="preserve">Kimchi Flavor Coated Gourmet Popcorn named a 2027 sofi Award finalist (Savory Snacks)</t>
  </si>
  <si>
    <t xml:space="preserve">Chef Poppin Brown Sugar Boba Milk Tea popcorn, single bag ($1.99)</t>
  </si>
  <si>
    <t xml:space="preserve">Hayward</t>
  </si>
  <si>
    <t xml:space="preserve">https://www.chefpoppin.com</t>
  </si>
  <si>
    <t xml:space="preserve">West Coast brand (Hayward, CA) with Taiwanese production; Costco presence suggests it may sit above the revenue band. FAQ says trehalose gives a 'lower glycemic impact' (nutrition wording; check the pack)</t>
  </si>
  <si>
    <t xml:space="preserve">Brand based outside the Northeast, no graded store within ten blocks, online store only, news 5 days ago, revenue unknown</t>
  </si>
  <si>
    <t xml:space="preserve">FAQ: 'Unopened bags stay delicious for 18 months.'</t>
  </si>
  <si>
    <t xml:space="preserve">Costco (site banner 'CHEF POPPIN at Costco')</t>
  </si>
  <si>
    <t xml:space="preserve">https://www.instagram.com/chefpoppin/</t>
  </si>
  <si>
    <t xml:space="preserve">BR5:46</t>
  </si>
  <si>
    <t xml:space="preserve">Listed in the 2027 sofi finalists as 'Chef Poppin International Inc.'. Kimchi popcorn published 2026-08-17 (products.json). Contact page address: Hayward, California 94545. Outside the New York-first brief; kept because the single-bag format and 18-month shelf life fit the drop.</t>
  </si>
  <si>
    <t xml:space="preserve">AB-102</t>
  </si>
  <si>
    <t xml:space="preserve">Blake's Seed Based</t>
  </si>
  <si>
    <t xml:space="preserve">Launched Protein Treats on brand store, Aug 2026</t>
  </si>
  <si>
    <t xml:space="preserve">https://www.eatblakes.com/products/protein-treats</t>
  </si>
  <si>
    <t xml:space="preserve">2026-08-17</t>
  </si>
  <si>
    <t xml:space="preserve">https://www.eatblakes.com/pages/our-story</t>
  </si>
  <si>
    <t xml:space="preserve">Crispy Treats seed-based snack bars; Protein Treats</t>
  </si>
  <si>
    <t xml:space="preserve">Bloomington</t>
  </si>
  <si>
    <t xml:space="preserve">https://www.eatblakes.com</t>
  </si>
  <si>
    <t xml:space="preserve">Kids/classroom allergy-free positioning; '5g plant protein, 3g sugar' nutrient claims; 60-day shelf life not stated</t>
  </si>
  <si>
    <t xml:space="preserve">Brand based outside the Northeast, no graded store within ten blocks, online store only, a new store listing 68 days ago, revenue unknown</t>
  </si>
  <si>
    <t xml:space="preserve">IN</t>
  </si>
  <si>
    <t xml:space="preserve">Wrapped bars sold in grocery; shelf-life figure not found</t>
  </si>
  <si>
    <t xml:space="preserve">Over 3,000 stores nationwide (brand home page)</t>
  </si>
  <si>
    <t xml:space="preserve">https://www.wholefoodsmarket.com/api/search?text=blakes%20seed%20based&amp;store=10162&amp;limit=60&amp;offset=0</t>
  </si>
  <si>
    <t xml:space="preserve">https://www.instagram.com/eatblakes/</t>
  </si>
  <si>
    <t xml:space="preserve">BR2:40</t>
  </si>
  <si>
    <t xml:space="preserve">Top allergen-free (nut-free, gluten-free, dairy-free). Storemapper locator ID not readable. Not in WFM cluster catalogs. Why-now date from Shopify publish date.</t>
  </si>
  <si>
    <t xml:space="preserve">hq_city &lt;- https://www.eatblakes.com/policies/terms-of-service (2026-10-24, opened); hq_state &lt;- https://www.eatblakes.com/policies/terms-of-service (2026-10-24, opened); why_now_url &lt;- https://www.eatblakes.com/products/protein-treats (2026-10-24, stage 3 correction); </t>
  </si>
  <si>
    <t xml:space="preserve">AB-177</t>
  </si>
  <si>
    <t xml:space="preserve">Neat Soda</t>
  </si>
  <si>
    <t xml:space="preserve">Added to Pop Up Grocer NYC Flagship directory</t>
  </si>
  <si>
    <t xml:space="preserve">https://popupgrocer.com/products/neat-soda</t>
  </si>
  <si>
    <t xml:space="preserve">https://neatsoda.com</t>
  </si>
  <si>
    <t xml:space="preserve">Neat Cola / Dr. Neat / Lemon Lime lower-sugar soda, 12 oz can</t>
  </si>
  <si>
    <t xml:space="preserve">Founder, HQ and size unknown; 'less sugar' is a nutrient-content claim. Pop Up Grocer listing is brand-level; 60-day shelf life not stated</t>
  </si>
  <si>
    <t xml:space="preserve">HQ unknown, no graded store within ten blocks, online store only, a new store listing 115 days ago, revenue unknown</t>
  </si>
  <si>
    <t xml:space="preserve">BR3:51</t>
  </si>
  <si>
    <t xml:space="preserve">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</si>
  <si>
    <t xml:space="preserve">notes &lt;- https://neatsoda.com/policies/privacy-policy (2026-10-24, opened); </t>
  </si>
  <si>
    <t xml:space="preserve">AB-181</t>
  </si>
  <si>
    <t xml:space="preserve">COUP'd</t>
  </si>
  <si>
    <t xml:space="preserve">Added to Pop Up Grocer NYC Flagship directory; COUP'd Up Duo listed 2026-04-29</t>
  </si>
  <si>
    <t xml:space="preserve">https://popupgrocer.com/products/coupd</t>
  </si>
  <si>
    <t xml:space="preserve">https://getcoupd.com/products.json</t>
  </si>
  <si>
    <t xml:space="preserve">COUP'd Lemon Ginger non-alcoholic aperitif and mixer, bottle</t>
  </si>
  <si>
    <t xml:space="preserve">Greenville</t>
  </si>
  <si>
    <t xml:space="preserve">https://getcoupd.com</t>
  </si>
  <si>
    <t xml:space="preserve">Multi-serve mixer bottle meant to be diluted, so it likely fails 'individually packaged' and 'no preparation'; keep only if a single-serve RTD exists</t>
  </si>
  <si>
    <t xml:space="preserve">MS</t>
  </si>
  <si>
    <t xml:space="preserve">Brand FAQ: heat-pasteurized, lasts up to 1 year unopened in a cool, dry space (getcoupd.com/pages/frequently-asked-questions, opened 2026-10-24)</t>
  </si>
  <si>
    <t xml:space="preserve">BR3:55</t>
  </si>
  <si>
    <t xml:space="preserve">Made from whole produce; women-owned per Pop Up Grocer. $24 per bottle.</t>
  </si>
  <si>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</si>
  <si>
    <t xml:space="preserve">AB-018</t>
  </si>
  <si>
    <t xml:space="preserve">Ghips</t>
  </si>
  <si>
    <t xml:space="preserve">New Sea Salt &amp; Balsamic flavor; brand already sells an 'Office Subscription' product</t>
  </si>
  <si>
    <t xml:space="preserve">https://eatghips.com/products/sea-salt-balsamic</t>
  </si>
  <si>
    <t xml:space="preserve">2026-07-28</t>
  </si>
  <si>
    <t xml:space="preserve">https://eatghips.com/pages/about</t>
  </si>
  <si>
    <t xml:space="preserve">Ghips ghee-fried potato chips, Sea Salt Original (5 oz bags)</t>
  </si>
  <si>
    <t xml:space="preserve">Del Mar</t>
  </si>
  <si>
    <t xml:space="preserve">https://eatghips.com</t>
  </si>
  <si>
    <t xml:space="preserve">Brand based outside the Northeast, no graded store within ten blocks, online store only, a new store listing 88 days ago, revenue unknown</t>
  </si>
  <si>
    <t xml:space="preserve">Bagged potato chips sold ambient</t>
  </si>
  <si>
    <t xml:space="preserve">PopUp Grocer (NYC); Faire; Airgoods</t>
  </si>
  <si>
    <t xml:space="preserve">https://popupgrocer.com/pages/directory (availability 'NYC Flagship', 2026-10-23); https://popupgrocer.com/products/ghips</t>
  </si>
  <si>
    <t xml:space="preserve">https://instagram.com/eatghips</t>
  </si>
  <si>
    <t xml:space="preserve">BR1:19</t>
  </si>
  <si>
    <t xml:space="preserve">Office Subscription SKU (published 2026-01-14) signals interest in office channel. Business city from privacy policy. Founder not named on site.</t>
  </si>
  <si>
    <t xml:space="preserve">AB-013</t>
  </si>
  <si>
    <t xml:space="preserve">Pa's Peanuts</t>
  </si>
  <si>
    <t xml:space="preserve">Low Sodium 8 oz resealable pouch added to brand store</t>
  </si>
  <si>
    <t xml:space="preserve">https://paspeanuts.com/products/pas-peanuts-low-sodium-8oz-resealable-pouch</t>
  </si>
  <si>
    <t xml:space="preserve">https://paspeanuts.com/policies/contact-information</t>
  </si>
  <si>
    <t xml:space="preserve">Pa's Peanuts Original, 8 oz resealable pouch</t>
  </si>
  <si>
    <t xml:space="preserve">Sarasota</t>
  </si>
  <si>
    <t xml:space="preserve">https://paspeanuts.com</t>
  </si>
  <si>
    <t xml:space="preserve">Only 8 oz pouches and jars found; no single-serve unit; very early-stage local brand</t>
  </si>
  <si>
    <t xml:space="preserve">Roasted peanuts in resealable pouch and glass jar, ambient</t>
  </si>
  <si>
    <t xml:space="preserve">PopUp Grocer (NYC); Bread Bandits and Siesta Key Farmers Market (Sarasota FL)</t>
  </si>
  <si>
    <t xml:space="preserve">https://popupgrocer.com/pages/directory (availability 'NYC Flagship', 2026-10-23); https://popupgrocer.com/products/pas-peanuts</t>
  </si>
  <si>
    <t xml:space="preserve">https://instagram.com/paspeanuts</t>
  </si>
  <si>
    <t xml:space="preserve">BR1:14</t>
  </si>
  <si>
    <t xml:space="preserve">Business city from Shopify contact-information page. Low fit for single-serve office drops unless a snack pack exists.</t>
  </si>
  <si>
    <t xml:space="preserve">AB-040</t>
  </si>
  <si>
    <t xml:space="preserve">WILDE (Wilde Brands)</t>
  </si>
  <si>
    <t xml:space="preserve">Received $40M investment from S2G; launched Protein Crackers; opened 130,000 sq ft facility</t>
  </si>
  <si>
    <t xml:space="preserve">https://www.snackandbakery.com/articles/116528-chicken-cracker-brand-wilde-receives-40m-investment</t>
  </si>
  <si>
    <t xml:space="preserve">https://www.wildebrands.com/pages/about</t>
  </si>
  <si>
    <t xml:space="preserve">WILDE Buffalo Chicken Protein Chips, 4 oz; multipack 5.4 oz</t>
  </si>
  <si>
    <t xml:space="preserve">https://www.wildebrands.com</t>
  </si>
  <si>
    <t xml:space="preserve">Revenue above $100M (well over the band); protein-first positioning; $600 campaign likely too small for their budget process</t>
  </si>
  <si>
    <t xml:space="preserve">https://www.wholefoodsmarket.com/api/search?text=wilde&amp;store=10773&amp;limit=60&amp;offset=0</t>
  </si>
  <si>
    <t xml:space="preserve">find Jason Wright at WILDE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</si>
  <si>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news 2 days ago, revenue over $10M</t>
  </si>
  <si>
    <t xml:space="preserve">; founder review: scale-reported, scale, nutrient-claim</t>
  </si>
  <si>
    <t xml:space="preserve">Jason Wright</t>
  </si>
  <si>
    <t xml:space="preserve">scale-reported;scale;nutrient-claim</t>
  </si>
  <si>
    <t xml:space="preserve">growth ($40M from S2G Investments, Oct 2026)</t>
  </si>
  <si>
    <t xml:space="preserve">Shelf-stable chips made from chicken breast; produced in a USDA-regulated salty-snack facility (trade press)</t>
  </si>
  <si>
    <t xml:space="preserve">Snack Food &amp; Wholesale Bakery, 2026-10-22: company has surpassed $100 million in sales</t>
  </si>
  <si>
    <t xml:space="preserve">35,000+ retail locations; Whole Foods Market</t>
  </si>
  <si>
    <t xml:space="preserve">https://www.wholefoodsmarket.com/search?text=wilde%20protein%20chips (Union Square, NoMad, Chelsea contexts IN_STOCK 2026-10-23)</t>
  </si>
  <si>
    <t xml:space="preserve">BR1:41</t>
  </si>
  <si>
    <t xml:space="preserve">Recorded because it is on NYC shelves and in the news; out of the revenue band.</t>
  </si>
  <si>
    <t xml:space="preserve">hq_city &lt;- https://www.wildebrands.com/policies/terms-of-service (2026-10-24, opened); hq_state &lt;- https://www.wildebrands.com/policies/terms-of-service (2026-10-24, opened); </t>
  </si>
  <si>
    <t xml:space="preserve">AB-154</t>
  </si>
  <si>
    <t xml:space="preserve">Hank's Gourmet Beverages</t>
  </si>
  <si>
    <t xml:space="preserve">https://hanksbeverages.com/about/</t>
  </si>
  <si>
    <t xml:space="preserve">Hank's Root Beer, 12 oz glass bottle</t>
  </si>
  <si>
    <t xml:space="preserve">Southampton</t>
  </si>
  <si>
    <t xml:space="preserve">https://hanksbeverages.com/products/hanks-root-beer</t>
  </si>
  <si>
    <t xml:space="preserve">Established regional craft soda (40+ years in beverage), not emerging; NYC retail not found; 60-day shelf life not stated</t>
  </si>
  <si>
    <t xml:space="preserve">https://hanksbeverages.com</t>
  </si>
  <si>
    <t xml:space="preserve">unknown (find-us page not readable)</t>
  </si>
  <si>
    <t xml:space="preserve">https://www.instagram.com/hanksgourmetbeverages</t>
  </si>
  <si>
    <t xml:space="preserve">BR3:28</t>
  </si>
  <si>
    <t xml:space="preserve">About page: 'family business based in Philadelphia'; distributorship founded 1958 by Frank 'Hank' Salvatore (historical, not a current contact). | Stage 1 online-store check 2026-10-24: WooCommerce product page with add-to-cart (https://hanksbeverages.com/products/hanks-root-beer)</t>
  </si>
  <si>
    <t xml:space="preserve">hq_city &lt;- https://hanksbeverages.com/pages/contact (2026-10-24, opened); online_store &lt;- https://hanksbeverages.com/products/hanks-root-beer (2026-10-24, opened, stage 1); </t>
  </si>
  <si>
    <t xml:space="preserve">AB-175</t>
  </si>
  <si>
    <t xml:space="preserve">Brause</t>
  </si>
  <si>
    <t xml:space="preserve">https://drinkbrause.com</t>
  </si>
  <si>
    <t xml:space="preserve">Brause Sparkling Apple / Apple x Malt (German-style craft soda), 12-pack</t>
  </si>
  <si>
    <t xml:space="preserve">Midway</t>
  </si>
  <si>
    <t xml:space="preserve">Malt product formerly sold as 'Malt Beer' (NA Malzbier); confirm 0.0% ABV and how offices will read it. 'Health-conscious' positioning. Only one NYC stockist, below Canal St; 60-day shelf life not stated</t>
  </si>
  <si>
    <t xml:space="preserve">Amna</t>
  </si>
  <si>
    <t xml:space="preserve">Mettmann</t>
  </si>
  <si>
    <t xml:space="preserve">https://startupcpg.transistor.fm/episodes/founder-feature-amna-mettmann-of-brause</t>
  </si>
  <si>
    <t xml:space="preserve">find Amna Mettmann at Brause on LinkedIn and paste the profile URL into primary_linkedin_url</t>
  </si>
  <si>
    <t xml:space="preserve">Brand based outside the Northeast, no graded store within ten blocks, online store only, no dated why-now in the last 12 months, revenue unknown</t>
  </si>
  <si>
    <t xml:space="preserve">Amna Mettmann</t>
  </si>
  <si>
    <t xml:space="preserve">UT</t>
  </si>
  <si>
    <t xml:space="preserve">Happier Grocery (brand_claim, 22.8 blocks out)</t>
  </si>
  <si>
    <t xml:space="preserve">Happier Grocery, 365 Canal St (brand Stockist locator, only point); Pop Up Grocer (directory)</t>
  </si>
  <si>
    <t xml:space="preserve">https://stockist.co/api/v1/map_r32n7zw3/locations/search?latitude=40.74&amp;longitude=-73.99&amp;distance=50</t>
  </si>
  <si>
    <t xml:space="preserve">https://www.instagram.com/drinkbrause</t>
  </si>
  <si>
    <t xml:space="preserve">BR3:49</t>
  </si>
  <si>
    <t xml:space="preserve">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 | Why-now without an opened link and a date, kept as a note only: Launched at Harmons, Central Market and select BevMo stores via UNFI UpNext, joining 700+ doors (unverified, founder to confirm); earlier 2026 expansions to Washington State and US Foods Direct via Mable (url: https://www.brewbound.com/pr/2026/08/25/brause-launches-at-harmons-central-market-and-select-bevmo-locations-via-unfi-upnext; date: 2026-08-25)</t>
  </si>
  <si>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</si>
  <si>
    <t xml:space="preserve">AB-163</t>
  </si>
  <si>
    <t xml:space="preserve">KACE Tea</t>
  </si>
  <si>
    <t xml:space="preserve">https://drinkkace.com/pages/about</t>
  </si>
  <si>
    <t xml:space="preserve">KACE Pineapple Black Tea / Mango Calamansi Green Tea (Taiwanese-style fruit tea), can</t>
  </si>
  <si>
    <t xml:space="preserve">https://drinkkace.com</t>
  </si>
  <si>
    <t xml:space="preserve">HQ and current NYC retail not confirmed; newest flavors 2025-07 (outside the 12-month window). Contains caffeine (tea); 60-day shelf life not stated</t>
  </si>
  <si>
    <t xml:space="preserve">Ashley</t>
  </si>
  <si>
    <t xml:space="preserve">Yao</t>
  </si>
  <si>
    <t xml:space="preserve">https://www.ricespicemag.com/read/kace-tea</t>
  </si>
  <si>
    <t xml:space="preserve">find Ashley Yao at KACE Tea on LinkedIn and paste the profile URL into primary_linkedin_url</t>
  </si>
  <si>
    <t xml:space="preserve">Gillaspy</t>
  </si>
  <si>
    <t xml:space="preserve">find Kyle Gillaspy at KACE Tea on LinkedIn and paste the profile URL into backup_linkedin_url</t>
  </si>
  <si>
    <t xml:space="preserve">Ashley Yao</t>
  </si>
  <si>
    <t xml:space="preserve">Kyle Gillaspy</t>
  </si>
  <si>
    <t xml:space="preserve">https://popupgrocer.com/products/kace-tea</t>
  </si>
  <si>
    <t xml:space="preserve">https://www.instagram.com/drinkkace</t>
  </si>
  <si>
    <t xml:space="preserve">BR3:37</t>
  </si>
  <si>
    <t xml:space="preserve">About: fruit tea inspired by Taiwanese-style shaken iced tea; Taiwanese and Filipino roots; AAPI and women-owned per Pop Up Grocer. 12-pack $35.99.</t>
  </si>
  <si>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</si>
  <si>
    <t xml:space="preserve">AB-196</t>
  </si>
  <si>
    <t xml:space="preserve">Tilden</t>
  </si>
  <si>
    <t xml:space="preserve">https://drinktilden.com/pages/our-story</t>
  </si>
  <si>
    <t xml:space="preserve">Tilden ready-to-pour non-alcoholic cocktail, bottle</t>
  </si>
  <si>
    <t xml:space="preserve">Santa Barbara</t>
  </si>
  <si>
    <t xml:space="preserve">https://drinktilden.com</t>
  </si>
  <si>
    <t xml:space="preserve">Multi-serve ready-to-pour bottles, not individually packaged; NYC points are restaurants, not retail</t>
  </si>
  <si>
    <t xml:space="preserve">Mariah</t>
  </si>
  <si>
    <t xml:space="preserve">Hilton Wood</t>
  </si>
  <si>
    <t xml:space="preserve">find Mariah Hilton Wood at Tilden on LinkedIn and paste the profile URL into primary_linkedin_url</t>
  </si>
  <si>
    <t xml:space="preserve">Mariah Hilton Wood</t>
  </si>
  <si>
    <t xml:space="preserve">FAQ: 'Our cocktails will last unopened for 18 months, but need to be refrigerated once opened' (drinktilden.com/pages/faqs, opened 2026-10-23)</t>
  </si>
  <si>
    <t xml:space="preserve">RH Rooftop and RH Guesthouse dining rooms; Ladybird; Carta Wine Bar (brand Stockist locator, 8 points)</t>
  </si>
  <si>
    <t xml:space="preserve">https://stockist.co/api/v1/u15351/locations/search?latitude=40.7400&amp;longitude=-73.9900&amp;distance=3</t>
  </si>
  <si>
    <t xml:space="preserve">https://instagram.com/drinktilden</t>
  </si>
  <si>
    <t xml:space="preserve">BR3:70</t>
  </si>
  <si>
    <t xml:space="preserve">Began at Harvard Business School (our-story). Low fit for pantry sampling.</t>
  </si>
  <si>
    <t xml:space="preserve">hq_city &lt;- https://drinktilden.com/pages/press (2026-10-24, opened); hq_state &lt;- https://drinktilden.com/pages/press (2026-10-24, opened); </t>
  </si>
  <si>
    <t xml:space="preserve">AB-010</t>
  </si>
  <si>
    <t xml:space="preserve">Mamame</t>
  </si>
  <si>
    <t xml:space="preserve">https://www.mamamewholefoods.com/pages/our-story</t>
  </si>
  <si>
    <t xml:space="preserve">Mamame Hot Chili Tempeh Chips, 1.8 oz (50g) bag</t>
  </si>
  <si>
    <t xml:space="preserve">Jakarta (search snippets; unverified, founder to confirm)</t>
  </si>
  <si>
    <t xml:space="preserve">https://www.mamamewholefoods.com</t>
  </si>
  <si>
    <t xml:space="preserve">Startup CPG feature calls the chips 'functional' and tempeh a 'superfood'; check pack for structure/function wording</t>
  </si>
  <si>
    <t xml:space="preserve">Brand based outside the Northeast (HQ unverified), no graded store within ten blocks, online store only, no dated why-now in the last 12 months, revenue unknown</t>
  </si>
  <si>
    <t xml:space="preserve">Liz Kang</t>
  </si>
  <si>
    <t xml:space="preserve">with her mother Alvina Chun</t>
  </si>
  <si>
    <t xml:space="preserve">Indonesia (country; unverified, founder to confirm)</t>
  </si>
  <si>
    <t xml:space="preserve">Brand FAQ: 'Our Tempeh Chips have a shelf life of 12 months when stored in a cool, dry place.' Homepage adds chips are 'tested safe to consume for up to 15 months from production'.</t>
  </si>
  <si>
    <t xml:space="preserve">Whole Foods Market NoMad, 63 Madison Ave (unverified, inside);Whole Foods Market Union Square, 4 Union Sq S (unverified, inside)</t>
  </si>
  <si>
    <t xml:space="preserve">Erewhon; Foxtrot; Wegmans and Hy-Vee (coming soon); FreshDirect; Thrive Market; Whole Foods Market; PopUp Grocer</t>
  </si>
  <si>
    <t xml:space="preserve">https://www.wholefoodsmarket.com/search?text=mamame%20tempeh (store context Union Square 10162 and NoMad 10773: Hot Chili Tempeh Chips 1.8 oz IN_STOCK 2026-10-23); https://popupgrocer.com/products/mamame</t>
  </si>
  <si>
    <t xml:space="preserve">https://instagram.com/mamametempehchips</t>
  </si>
  <si>
    <t xml:space="preserve">BR1:11</t>
  </si>
  <si>
    <t xml:space="preserve">Founder name conflict between brand site (Alvina) and Startup CPG feature (Liz Kang); founder to confirm. HQ not stated on site or policies. | Why-now without an opened link and a date, kept as a note only: Launched its first sweet tempeh chips and new vegan flavors at Expo West 2026 (NOSH press release seen in search results; unverified, founder to confirm) (unverified) (url: https://startupcpg.com/14-chip-brands-taking-your-tastebuds-on-a-flavor-tour/; date: 2026-03-05)</t>
  </si>
  <si>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</si>
  <si>
    <t xml:space="preserve">AB-208</t>
  </si>
  <si>
    <t xml:space="preserve">Pip's Heirloom Snacks (formerly Pipcorn)</t>
  </si>
  <si>
    <t xml:space="preserve">Rolled out Snack Size 24-count cases in 2026 (Cheddar Crunchies, Sea Salt Corn Dippers 1.75 oz) plus new Dill Pickle Balls and Kettle Popcorn; homepage banner says Cheddar Fries and Cheddar Crunchies are now at Whole Foods</t>
  </si>
  <si>
    <t xml:space="preserve">https://www.pipsnacks.com/products.json?limit=250</t>
  </si>
  <si>
    <t xml:space="preserve">https://www.pipsnacks.com/pages/faq</t>
  </si>
  <si>
    <t xml:space="preserve">Heirloom Cheddar Cheese Balls 4.5 oz; Fiery Cheddar Fries 5 oz; site has a Snack Size collection</t>
  </si>
  <si>
    <t xml:space="preserve">Bethlehem, PA (brand contact page address: 1 East Broad Street, Ste 210; owner UpSnack Brands). Brand founded in NYC.</t>
  </si>
  <si>
    <t xml:space="preserve">https://www.pipsnacks.com</t>
  </si>
  <si>
    <t xml:space="preserve">Owned by UpSnack Brands platform; 20,000+ doors suggests it may be above the $10M ceiling</t>
  </si>
  <si>
    <t xml:space="preserve">Jen</t>
  </si>
  <si>
    <t xml:space="preserve">Martin</t>
  </si>
  <si>
    <t xml:space="preserve">https://www.pipsnacks.com/pages/press</t>
  </si>
  <si>
    <t xml:space="preserve">find Jen Martin at Pip's Heirloom Snacks on LinkedIn and paste the profile URL into primary_linkedin_url</t>
  </si>
  <si>
    <t xml:space="preserve">Sonia</t>
  </si>
  <si>
    <t xml:space="preserve">Ortiz</t>
  </si>
  <si>
    <t xml:space="preserve">Marketing Director</t>
  </si>
  <si>
    <t xml:space="preserve">https://www.fooddive.com/press-release/20251007-pipcorn-rebrands-as-pips-heirloom-snacks-1/</t>
  </si>
  <si>
    <t xml:space="preserve">find Sonia Ortiz at Pip's Heirloom Snacks on LinkedIn and paste the profile URL into backup_linkedin_url</t>
  </si>
  <si>
    <t xml:space="preserve">Jen  Martin</t>
  </si>
  <si>
    <t xml:space="preserve">Jennifer with Jeff Martin</t>
  </si>
  <si>
    <t xml:space="preserve">Sonia Ortiz</t>
  </si>
  <si>
    <t xml:space="preserve">acquired (joined UpSnack Brands, Fall 2024)</t>
  </si>
  <si>
    <t xml:space="preserve">Brand FAQ: 'shelf life for most of our products is 8 months from the date of manufacture'; popcorn 10 or 12 months</t>
  </si>
  <si>
    <t xml:space="preserve">Press release says 20,000+ retail locations (store count, not used for band)</t>
  </si>
  <si>
    <t xml:space="preserve">Whole Foods Market NoMad, 63 Madison Ave (unverified, inside);Whole Foods Market Union Square, 4 Union Sq S (unverified, inside);Whole Foods Market Chelsea, 250 7th Ave (unverified, 3.0 blocks out)</t>
  </si>
  <si>
    <t xml:space="preserve">Whole Foods Market Manhattan West (unverified, 13.8 blocks out)</t>
  </si>
  <si>
    <t xml:space="preserve">Whole Foods Market; Sprouts; Thrive Market; Amazon; 20,000+ locations</t>
  </si>
  <si>
    <t xml:space="preserve">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</si>
  <si>
    <t xml:space="preserve">BR4:3</t>
  </si>
  <si>
    <t xml:space="preserve">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</si>
  <si>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</si>
  <si>
    <t xml:space="preserve">AB-168</t>
  </si>
  <si>
    <t xml:space="preserve">Steaz</t>
  </si>
  <si>
    <t xml:space="preserve">https://drinksteaz.com/pages/our-story</t>
  </si>
  <si>
    <t xml:space="preserve">Steaz Zero Sugar organic iced tea, can; Steaz Antioxidant Brew / Yerba Mate (165 mg caffeine)</t>
  </si>
  <si>
    <t xml:space="preserve">https://drinksteaz.com</t>
  </si>
  <si>
    <t xml:space="preserve">'Antioxidant Brew' and energy lines with 165 mg caffeine and vitamin C (functional/nutrient positioning); established brand since 2002, likely above $10M; only the plain iced teas are a clean fit; 60-day shelf life not stated</t>
  </si>
  <si>
    <t xml:space="preserve">Fransz</t>
  </si>
  <si>
    <t xml:space="preserve">Director of Marketing, Tipp Distributors Inc. dba Novamex</t>
  </si>
  <si>
    <t xml:space="preserve">https://attend.expowest.com/event/natural-products-expo-west-2026/exhibitor/RXhoaWJpdG9yXzI0MDgxODU=</t>
  </si>
  <si>
    <t xml:space="preserve">find Mike Fransz at Steaz on LinkedIn and paste the profile URL into primary_linkedin_url</t>
  </si>
  <si>
    <t xml:space="preserve">HQ unknown, no graded store within ten blocks, online store only, no dated why-now in the last 12 months, revenue unknown</t>
  </si>
  <si>
    <t xml:space="preserve">Mike Fransz</t>
  </si>
  <si>
    <t xml:space="preserve">https://www.instagram.com/steaz</t>
  </si>
  <si>
    <t xml:space="preserve">BR3:42</t>
  </si>
  <si>
    <t xml:space="preserve">Our-story: founded 2002 as the first certified organic tea brand. Zero Sugar SKUs listed 2025-10-01 (just outside the 12-month window). | Why-now without an opened link and a date, kept as a note only: Rebrand and new Antioxidant Brew Unsweetened and Yerba Mate flavors (press page cites BevNET, FoodBev, Drug Store News; articles not opened, dates unverified) (url: https://drinksteaz.com/pages/press-media; date: none)</t>
  </si>
  <si>
    <t xml:space="preserve">marketing_name &lt;- https://attend.expowest.com/event/natural-products-expo-west-2026/exhibitor/RXhoaWJpdG9yXzI0MDgxODU= (2026-10-24, opened); marketing_title &lt;- https://attend.expowest.com/event/natural-products-expo-west-2026/exhibitor/RXhoaWJpdG9yXzI0MDgxODU= (2026-10-24, opened); </t>
  </si>
  <si>
    <t xml:space="preserve">AB-151</t>
  </si>
  <si>
    <t xml:space="preserve">Avery's Beverages</t>
  </si>
  <si>
    <t xml:space="preserve">New Honey Infused line (Sparkling Honey Water, Honey Cream Soda) added to store</t>
  </si>
  <si>
    <t xml:space="preserve">https://www.drinkaverys.com/products/sparkling-honey-water</t>
  </si>
  <si>
    <t xml:space="preserve">https://www.drinkaverys.com</t>
  </si>
  <si>
    <t xml:space="preserve">Avery's Honey Cream Soda / Sparkling Honey Water, bottle</t>
  </si>
  <si>
    <t xml:space="preserve">New Britain</t>
  </si>
  <si>
    <t xml:space="preserve">Heritage Connecticut soda maker (since 1904), not emerging; no NYC retail found; HQ city not confirmed on pages read; 60-day shelf life not stated</t>
  </si>
  <si>
    <t xml:space="preserve">Northeast brand, no graded store within ten blocks, online store only, a new store listing 193 days ago, revenue unknown</t>
  </si>
  <si>
    <t xml:space="preserve">private (since 1904)</t>
  </si>
  <si>
    <t xml:space="preserve">https://www.instagram.com/drinkaverys</t>
  </si>
  <si>
    <t xml:space="preserve">BR3:25</t>
  </si>
  <si>
    <t xml:space="preserve">Homepage: 'Real Cane Sugar. Since 1904.' HQ not stated on pages read (founder to confirm). Date is Shopify publish date.</t>
  </si>
  <si>
    <t xml:space="preserve">hq_city &lt;- https://www.drinkaverys.com/pages/contact (2026-10-24, opened); hq_state &lt;- https://www.drinkaverys.com/pages/contact (2026-10-24, opened); </t>
  </si>
  <si>
    <t xml:space="preserve">AB-110</t>
  </si>
  <si>
    <t xml:space="preserve">Thunderbird</t>
  </si>
  <si>
    <t xml:space="preserve">https://www.thunderbirdbar.com/pages/about</t>
  </si>
  <si>
    <t xml:space="preserve">Thunderbird real food energy bar</t>
  </si>
  <si>
    <t xml:space="preserve">https://www.thunderbirdbar.com/collections/all</t>
  </si>
  <si>
    <t xml:space="preserve">No cluster retailer found and online store not confirmed; may fail the buy-path gate | Claims review 2026-10-24: 'Energy Bar' line and maca (energy wording, functional ingredient) (https://www.thunderbirdbar.com); decide before outreach, and the tent card must not repeat it; 60-day shelf life not stated</t>
  </si>
  <si>
    <t xml:space="preserve">https://www.thunderbirdbar.com</t>
  </si>
  <si>
    <t xml:space="preserve">Wrapped fruit-and-nut bars; shelf-life figure not found</t>
  </si>
  <si>
    <t xml:space="preserve">Store locator (not machine-read)</t>
  </si>
  <si>
    <t xml:space="preserve">https://www.wholefoodsmarket.com/api/search?text=thunderbird%20bar&amp;store=10162&amp;limit=60&amp;offset=0</t>
  </si>
  <si>
    <t xml:space="preserve">https://www.instagram.com/thunderbirdbar/</t>
  </si>
  <si>
    <t xml:space="preserve">BR2:48</t>
  </si>
  <si>
    <t xml:space="preserve">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</si>
  <si>
    <t xml:space="preserve">hq_city &lt;- https://www.thunderbirdbar.com/policies/refund-policy (2026-10-24, opened); notes &lt;- https://www.thunderbirdbar.com/pages/about (2026-10-24, opened); online_store &lt;- https://www.thunderbirdbar.com (2026-10-24, opened, stage 1); founder_review_reason &lt;- https://www.thunderbirdbar.com (2026-10-24, stage 3 correction); </t>
  </si>
  <si>
    <t xml:space="preserve">AB-200</t>
  </si>
  <si>
    <t xml:space="preserve">Good Twin</t>
  </si>
  <si>
    <t xml:space="preserve">AMASS release: Good Twin retail sales up 136% year over year (four weeks to 2026-08-08, NielsenIQ), sold at Whole Foods, Erewhon, Safeway, Costco and Gelson's; DTC shipping expanded to 47 states</t>
  </si>
  <si>
    <t xml:space="preserve">https://finviz.com/news/392149/amass-brands-groups-good-twin-retail-sales-accelerate-136-nearly-8x-the-growth-rate-of-the-us-non-alcoholic-wine-category</t>
  </si>
  <si>
    <t xml:space="preserve">https://drinkgoodtwin.com/pages/about</t>
  </si>
  <si>
    <t xml:space="preserve">Good Twin Single Serve organic non-alcoholic sparkling wine (Blanc, Rose)</t>
  </si>
  <si>
    <t xml:space="preserve">Santa Maria (AMASS dateline and privacy policy; terms page also lists a Los Angeles address)</t>
  </si>
  <si>
    <t xml:space="preserve">https://drinkgoodtwin.com</t>
  </si>
  <si>
    <t xml:space="preserve">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</si>
  <si>
    <t xml:space="preserve">Thomas Lynn</t>
  </si>
  <si>
    <t xml:space="preserve">Founder and CEO, AMASS Brands</t>
  </si>
  <si>
    <t xml:space="preserve">find Mark Thomas Lynn at Good Twin on LinkedIn and paste the profile URL into primary_linkedin_url</t>
  </si>
  <si>
    <t xml:space="preserve">Brand based outside the Northeast, no graded store within ten blocks, online store only, news 39 days ago, revenue unknown</t>
  </si>
  <si>
    <t xml:space="preserve">Mark Thomas Lynn</t>
  </si>
  <si>
    <t xml:space="preserve">Parent AMASS Brands Group headline: preliminary Q3 2026 net revenue about 5.3M, company-wide across brands (unverified, founder to confirm); no Good Twin-only revenue figure</t>
  </si>
  <si>
    <t xml:space="preserve">Pop Up Grocer (past brand, directory); VTInfo locator not readable</t>
  </si>
  <si>
    <t xml:space="preserve">https://popupgrocer.com/products/good-twin</t>
  </si>
  <si>
    <t xml:space="preserve">BR3:74</t>
  </si>
  <si>
    <t xml:space="preserve">About: 'Organic non-alcoholic sparkling wine from Italy'. Pop Up Grocer describes it as made from Prosecco grapes. Dates are Shopify publish dates.</t>
  </si>
  <si>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</si>
  <si>
    <t xml:space="preserve">AB-125</t>
  </si>
  <si>
    <t xml:space="preserve">KIND Snacks</t>
  </si>
  <si>
    <t xml:space="preserve">https://www.kindsnacks.com/</t>
  </si>
  <si>
    <t xml:space="preserve">Dark Chocolate &amp; Cherry Cashew Bar 1.4 oz</t>
  </si>
  <si>
    <t xml:space="preserve">https://www.kindsnacks.com</t>
  </si>
  <si>
    <t xml:space="preserve">Big-brand ownership (Mars); far outside the emerging-brand profile; recorded only to prevent re-research; 60-day shelf life not stated</t>
  </si>
  <si>
    <t xml:space="preserve">https://www.wholefoodsmarket.com/api/search?text=kind%20bar&amp;store=10162&amp;limit=60&amp;offset=0</t>
  </si>
  <si>
    <t xml:space="preserve">HQ unknown, store page shows Whole Foods Market Union Square inside the cluster, no dated why-now in the last 12 months, revenue unknown</t>
  </si>
  <si>
    <t xml:space="preserve">owned by Mars (site footer: 'Copyright Mars 2026')</t>
  </si>
  <si>
    <t xml:space="preserve">Wrapped bars sold ambient at Whole Foods</t>
  </si>
  <si>
    <t xml:space="preserve">https://www.instagram.com/kindsnacks/</t>
  </si>
  <si>
    <t xml:space="preserve">BR2:63</t>
  </si>
  <si>
    <t xml:space="preserve">Not a prospect.</t>
  </si>
  <si>
    <t xml:space="preserve">AB-152</t>
  </si>
  <si>
    <t xml:space="preserve">Foxon Park Beverages</t>
  </si>
  <si>
    <t xml:space="preserve">https://foxonpark.com</t>
  </si>
  <si>
    <t xml:space="preserve">Foxon Park Iron Brew soda, 12 oz bottle</t>
  </si>
  <si>
    <t xml:space="preserve">East Haven</t>
  </si>
  <si>
    <t xml:space="preserve">Heritage family soda maker (est. 1922), not emerging; newest store listings 2023-2024; no NYC retail found; 60-day shelf life not stated</t>
  </si>
  <si>
    <t xml:space="preserve">family-owned (est. 1922)</t>
  </si>
  <si>
    <t xml:space="preserve">BR3:26</t>
  </si>
  <si>
    <t xml:space="preserve">Homepage: 'family owned and operated business located in East Haven, Connecticut for over 100 years'. Low priority.</t>
  </si>
  <si>
    <t xml:space="preserve">AB-231</t>
  </si>
  <si>
    <t xml:space="preserve">Chlorophyll Water</t>
  </si>
  <si>
    <t xml:space="preserve">First bottled water brand at Misfits Market, in new 16 oz aluminum cans</t>
  </si>
  <si>
    <t xml:space="preserve">https://startupcpg.com/startup-cpg-newswire-chlorophyll-water-makes-history-at-misfits-market/</t>
  </si>
  <si>
    <t xml:space="preserve">2026-10-09</t>
  </si>
  <si>
    <t xml:space="preserve">https://chlorophyllwater.com/</t>
  </si>
  <si>
    <t xml:space="preserve">Chlorophyll Water 16 oz aluminum can; Nature Enhanced Purified Water 16.9 fl oz bottle</t>
  </si>
  <si>
    <t xml:space="preserve">New York (releases datelined Brooklyn, NY in 2025 and New York, NY in 2026)</t>
  </si>
  <si>
    <t xml:space="preserve">https://chlorophyllwater.com</t>
  </si>
  <si>
    <t xml:space="preserve">'Detox' and 'Energize' are on the website title, not confirmed on pack; founder decides whether this trips the health-claim gate</t>
  </si>
  <si>
    <t xml:space="preserve">https://www.wholefoodsmarket.com/api/search?text=chlorophyll%20water&amp;store=10773&amp;limit=60&amp;offset=0</t>
  </si>
  <si>
    <t xml:space="preserve">Gated out: health-claim: Health-claim wording: site title 'Detox, Hydrate &amp; Energize Drink'; vitamin-fortified functional water.</t>
  </si>
  <si>
    <t xml:space="preserve">Matt Levine</t>
  </si>
  <si>
    <t xml:space="preserve">health-claim</t>
  </si>
  <si>
    <t xml:space="preserve">health-claim: Health-claim wording: site title 'Detox, Hydrate &amp; Energize Drink'; vitamin-fortified functional water</t>
  </si>
  <si>
    <t xml:space="preserve">first institutional investment (April 2026, Startup CPG Newswire headline; amount not checked)</t>
  </si>
  <si>
    <t xml:space="preserve">Bottled/canned purified water sold ambient in WFM catalog; no shelf-life figure published, founder to confirm</t>
  </si>
  <si>
    <t xml:space="preserve">Health-claim wording: site title 'Detox, Hydrate &amp; Energize Drink'; vitamin-fortified functional water</t>
  </si>
  <si>
    <t xml:space="preserve">Whole Foods Market; Walmart (select stores, Golden Ticket 2025); The Fresh Market; Hy-Vee; Winn-Dixie; Misfits Market</t>
  </si>
  <si>
    <t xml:space="preserve">https://www.wholefoodsmarket.com/api/search?text=chlorophyll%20water&amp;store=10773&amp;limit=60&amp;offset=0; https://www.wholefoodsmarket.com/api/search?text=chlorophyll%20water&amp;store=10162&amp;limit=60&amp;offset=0</t>
  </si>
  <si>
    <t xml:space="preserve">BR4:26</t>
  </si>
  <si>
    <t xml:space="preserve">2026 Shelfie finalist (Beverage with Benefits). Ten-plus Startup CPG Newswire releases in 2025-2026 (Walmart, Fresh Market, Hy-Vee, Winn-Dixie). Named Mark Ellis VP of Sales (Feb 2026 headline, not opened). Contains vitamins A, B12, C and D (release).</t>
  </si>
  <si>
    <t xml:space="preserve">AB-016</t>
  </si>
  <si>
    <t xml:space="preserve">Ella's Flats</t>
  </si>
  <si>
    <t xml:space="preserve">Boston Globe feature on the seed crackers: sold at Wegmans and Whole Foods; new mini flats and a lightly date-sweetened version</t>
  </si>
  <si>
    <t xml:space="preserve">https://www.bostonglobe.com/2026/06/30/lifestyle/ellas-flats-seed-cracker/</t>
  </si>
  <si>
    <t xml:space="preserve">https://www.ellasflats.com/pages/about</t>
  </si>
  <si>
    <t xml:space="preserve">Ella's Flats Everything Snack Pack (20-pack singles); Sesame Crisp 4.8 oz</t>
  </si>
  <si>
    <t xml:space="preserve">Naples (search snippets: Press Hook profile and Naples FL press datelines; unverified, founder to confirm)</t>
  </si>
  <si>
    <t xml:space="preserve">https://www.ellasflats.com</t>
  </si>
  <si>
    <t xml:space="preserve">https://www.wholefoodsmarket.com/api/search?text=ella%27s%20flats&amp;store=10773&amp;limit=60&amp;offset=0</t>
  </si>
  <si>
    <t xml:space="preserve">Macks</t>
  </si>
  <si>
    <t xml:space="preserve">https://www.ellasflats.com/</t>
  </si>
  <si>
    <t xml:space="preserve">Gated out: health-claim: explicit health claim in the brand's own copy (opened 2026-10-24): 'gut healthy, blood sugar stabilizing, balancing hormones; About page: seeds 'n.</t>
  </si>
  <si>
    <t xml:space="preserve">Ellen Macks</t>
  </si>
  <si>
    <t xml:space="preserve">Homepage: started by Ellen Macks in 2017. The Org (ellas-flats) lists her as Owner.</t>
  </si>
  <si>
    <t xml:space="preserve">health-claim: explicit health claim in the brand's own copy (opened 2026-10-24): 'gut healthy, blood sugar stabilizing, balancing hormones; About page: seeds 'naturally help balance blood sugar'' (https://www.ellasflats.com/products/bestseller-variety-3-pack)</t>
  </si>
  <si>
    <t xml:space="preserve">Baked seed crisps sold ambient; 20-count snack packs on brand store</t>
  </si>
  <si>
    <t xml:space="preserve">explicit health claim in the brand's own copy (opened 2026-10-24): 'gut healthy, blood sugar stabilizing, balancing hormones; About page: seeds 'naturally help balance blood sugar'' (https://www.ellasflats.com/products/bestseller-variety-3-pack)</t>
  </si>
  <si>
    <t xml:space="preserve">Whole Foods Market; PopUp Grocer</t>
  </si>
  <si>
    <t xml:space="preserve">https://www.wholefoodsmarket.com/search?text=ella%27s%20flats (store context Union Square 10162 and NoMad 10773: Sesame Crisp 4.8 oz, Everything 6 oz, Hemp 6.5 oz IN_STOCK 2026-10-23); https://popupgrocer.com/products/ellas-flats</t>
  </si>
  <si>
    <t xml:space="preserve">https://instagram.com/ellasflats</t>
  </si>
  <si>
    <t xml:space="preserve">BR1:17</t>
  </si>
  <si>
    <t xml:space="preserve">HQ not stated on site or policies. Snack-pack format suits office drops. why_now is weak (Shopify published_at of a bundle).</t>
  </si>
  <si>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excluded &lt;- https://www.ellasflats.com/products/bestseller-variety-3-pack (2026-10-24, stage 3 correction); exclusion_reason &lt;- https://www.ellasflats.com/products/bestseller-variety-3-pack (2026-10-24, stage 3 correction); </t>
  </si>
  <si>
    <t xml:space="preserve">AB-111</t>
  </si>
  <si>
    <t xml:space="preserve">Harken Sweets</t>
  </si>
  <si>
    <t xml:space="preserve">Taste Tomorrow Ventures invested in Harken Sweets' seed round (joining Selva and Grtsht); brand at Sprouts, Whole Foods, Kroger, Costco, Walmart, Wegmans and others</t>
  </si>
  <si>
    <t xml:space="preserve">https://www.snackandbakery.com/articles/115735-taste-tomorrow-ventures-invests-in-harken-sweets</t>
  </si>
  <si>
    <t xml:space="preserve">https://harkensweets.com/pages/our-story</t>
  </si>
  <si>
    <t xml:space="preserve">Snack-size Date Caramel Candy Bars, individually wrapped (20 or 30 count); The Lil Nutty Ones</t>
  </si>
  <si>
    <t xml:space="preserve">https://harkensweets.com</t>
  </si>
  <si>
    <t xml:space="preserve">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</si>
  <si>
    <t xml:space="preserve">https://www.wholefoodsmarket.com/api/search?text=harken&amp;store=10773&amp;limit=60&amp;offset=0</t>
  </si>
  <si>
    <t xml:space="preserve">Lefkowitz</t>
  </si>
  <si>
    <t xml:space="preserve">https://www.linkedin.com/in/katielefkowitz/</t>
  </si>
  <si>
    <t xml:space="preserve">https://startupcpg.transistor.fm/episodes/founder-feature-katie-lefkowitz-of-harken-sweets</t>
  </si>
  <si>
    <t xml:space="preserve">https://www.nosh.com/news/2025/expo-west-harken-secures-cash-rustic-bakery-adds-cookies-bubbies-goes-green</t>
  </si>
  <si>
    <t xml:space="preserve">Gated out: health-claim: explicit health claim in the brand's own copy (opened 2026-10-24): 'dates are high in fiber and antioxidants, with nutritional benefits that help.</t>
  </si>
  <si>
    <t xml:space="preserve">Katie Lefkowitz</t>
  </si>
  <si>
    <t xml:space="preserve">Episode links on the Startup CPG podcast page and on https://karagoldin.com/podcasts/katie-lefkowitz/ both give this LinkedIn URL; LinkedIn not opened. The Org (harken-sweets) also lists her as Founder &amp; CEO.</t>
  </si>
  <si>
    <t xml:space="preserve">Shaila Garde-Lester</t>
  </si>
  <si>
    <t xml:space="preserve">Seen only in a search summary of a 2025 Nosh Expo West article; Nosh returned 403 so the page was not opened. Title may have changed.</t>
  </si>
  <si>
    <t xml:space="preserve">health-claim: explicit health claim in the brand's own copy (opened 2026-10-24): 'dates are high in fiber and antioxidants, with nutritional benefits that help improve gut health, prevent chronic disease, boost brain health; product page: 'Gut-healthy indulgence'' (https://harkensweets.com/pages/faqs)</t>
  </si>
  <si>
    <t xml:space="preserve">claim-functional;nutrient-claim;scale</t>
  </si>
  <si>
    <t xml:space="preserve">Seed (Taste Tomorrow Ventures, Selva, Grtsht)</t>
  </si>
  <si>
    <t xml:space="preserve">Brand FAQ: products must stay at or below room temperature (heat-sensitive, no refrigeration stated); shelf-life figure not found</t>
  </si>
  <si>
    <t xml:space="preserve">explicit health claim in the brand's own copy (opened 2026-10-24): 'dates are high in fiber and antioxidants, with nutritional benefits that help improve gut health, prevent chronic disease, boost brain health; product page: 'Gut-healthy indulgence'' (https://harkensweets.com/pages/faqs)</t>
  </si>
  <si>
    <t xml:space="preserve">Whole Foods; Stockist locator</t>
  </si>
  <si>
    <t xml:space="preserve">https://www.wholefoodsmarket.com/api/search?text=harken&amp;store=10162&amp;limit=60&amp;offset=0; https://www.wholefoodsmarket.com/api/search?text=harken&amp;store=10773&amp;limit=60&amp;offset=0; https://www.wholefoodsmarket.com/api/search?text=harken&amp;store=10131&amp;limit=60&amp;offset=0</t>
  </si>
  <si>
    <t xml:space="preserve">https://startupcpg.com/startup-cpg-newswire-harken-sweets-brings-its-plant-based-candy-bars-to-nearly-5000-doors-across-leading-retailers/</t>
  </si>
  <si>
    <t xml:space="preserve">https://www.instagram.com/harkensweets/</t>
  </si>
  <si>
    <t xml:space="preserve">BR2:49</t>
  </si>
  <si>
    <t xml:space="preserve">Snack-size individually wrapped format is a strong pantry fit. Stockist locator (u20848) returned 0 locations within 3 km of Union Square. Shopify product feed not readable.</t>
  </si>
  <si>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excluded &lt;- https://harkensweets.com/pages/faqs (2026-10-24, stage 3 correction); exclusion_reason &lt;- https://harkensweets.com/pages/faqs (2026-10-24, stage 3 correction); </t>
  </si>
  <si>
    <t xml:space="preserve">AB-249</t>
  </si>
  <si>
    <t xml:space="preserve">Häppy Candy</t>
  </si>
  <si>
    <t xml:space="preserve">Launched nationwide at Target (~2,000 stores) with a limited Haunted Edition Halloween pack</t>
  </si>
  <si>
    <t xml:space="preserve">https://startupcpg.com/startup-cpg-newswire-happy-candy-launches-nationwide-at-target-with-limited-edition-haunted-edition-halloween-variety-pack/</t>
  </si>
  <si>
    <t xml:space="preserve">2026-09-10</t>
  </si>
  <si>
    <t xml:space="preserve">The Big Apple gummies 1.8 oz bag (WFM); individually wrapped 0.7 oz bags in Target Haunted Edition pack</t>
  </si>
  <si>
    <t xml:space="preserve">New York (terms of service: P.O. Box 4, NYC, NY 10013; release datelined New York, NY)</t>
  </si>
  <si>
    <t xml:space="preserve">https://eathappycandy.com</t>
  </si>
  <si>
    <t xml:space="preserve">Kids and classroom positioning; reduced-sugar wording ('significantly less' sugar) is a nutrient-content angle; national retail distribution in the why-now ('nationwide at Target'): check the revenue band at intake</t>
  </si>
  <si>
    <t xml:space="preserve">https://www.wholefoodsmarket.com/api/search?text=happy%20candy&amp;store=10773&amp;limit=60&amp;offset=0</t>
  </si>
  <si>
    <t xml:space="preserve">Maxi</t>
  </si>
  <si>
    <t xml:space="preserve">Heidenblut</t>
  </si>
  <si>
    <t xml:space="preserve">https://www.linkedin.com/in/maxi-heidenblut-cfa-ab704024/</t>
  </si>
  <si>
    <t xml:space="preserve">Gated out: health-claim: explicit health claim in the brand's own copy (opened 2026-10-24): 'prebiotic fiber, meaning it feeds your good gut bacteria and it also slows dow.</t>
  </si>
  <si>
    <t xml:space="preserve">Maxi Heidenblut</t>
  </si>
  <si>
    <t xml:space="preserve">Release (2026-09) quotes "Maxi Heidenblut, Founder &amp; CEO". LinkedIn URL from the episode links of the Startup CPG podcast "BONUS: Winter Fancy Food Show Recap" (2025-02-26) in the public feed https://feeds.transistor.fm/startupcpg; LinkedIn not opened.</t>
  </si>
  <si>
    <t xml:space="preserve">health-claim: explicit health claim in the brand's own copy (opened 2026-10-24): 'prebiotic fiber, meaning it feeds your good gut bacteria and it also slows down glucose spikes' (https://eathappycandy.com/pages/faq)</t>
  </si>
  <si>
    <t xml:space="preserve">Brand FAQ: 'Our candy has an 18-month shelf life. Each bag is single serve'</t>
  </si>
  <si>
    <t xml:space="preserve">explicit health claim in the brand's own copy (opened 2026-10-24): 'prebiotic fiber, meaning it feeds your good gut bacteria and it also slows down glucose spikes' (https://eathappycandy.com/pages/faq)</t>
  </si>
  <si>
    <t xml:space="preserve">Whole Foods Market (Big Apple and Italian Summer gummies at all four cluster stores); Target (~2,000 stores nationwide from Sept 6, 2026)</t>
  </si>
  <si>
    <t xml:space="preserve">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</si>
  <si>
    <t xml:space="preserve">BR4:44</t>
  </si>
  <si>
    <t xml:space="preserve">Free from the top 9 allergens (release). WFM lists 'Happy Candy' Big Apple and Italian Summer Gummies 1.8 oz at all four cluster stores (2026-10-23); same product names appear on eathappycandy.com (vendor 'Häppy Candy').</t>
  </si>
  <si>
    <t xml:space="preserve">shelf_stable_basis &lt;- https://eathappycandy.com/pages/faq (2026-10-24, opened); hq_city &lt;- https://eathappycandy.com/policies/terms-of-service (2026-10-24, opened); excluded &lt;- https://eathappycandy.com/pages/faq (2026-10-24, stage 3 correction); exclusion_reason &lt;- https://eathappycandy.com/pages/faq (2026-10-24, stage 3 correction); </t>
  </si>
  <si>
    <t xml:space="preserve">AB-066</t>
  </si>
  <si>
    <t xml:space="preserve">Rip Van</t>
  </si>
  <si>
    <t xml:space="preserve">Named former Hershey US president Todd Tillemans CEO; adding ~1,800 doors at Albertsons, Walmart, BJ's and Wawa</t>
  </si>
  <si>
    <t xml:space="preserve">https://theshelbyreport.com/2026/10/07/rip-van-names-former-hershey-u-s-president-as-ceo/</t>
  </si>
  <si>
    <t xml:space="preserve">Dutch Caramel &amp; Vanilla Wafels (stroopwafel); Crispy Dunes wafer sticks</t>
  </si>
  <si>
    <t xml:space="preserve">https://www.ripvan.com</t>
  </si>
  <si>
    <t xml:space="preserve">Likely above the $10M ceiling (&gt;$100M retail sales, 26,000 doors, ex-Hershey CEO); prebiotic fiber and low-sugar nutrient positioning; 60-day shelf life not stated</t>
  </si>
  <si>
    <t xml:space="preserve">https://www.wholefoodsmarket.com/api/search?text=rip%20van&amp;store=10773&amp;limit=60&amp;offset=0</t>
  </si>
  <si>
    <t xml:space="preserve">Rip</t>
  </si>
  <si>
    <t xml:space="preserve">Pruisken</t>
  </si>
  <si>
    <t xml:space="preserve">Gated out: health-claim: explicit health claim in the brand's own copy (opened 2026-10-24): 'feeding and promoting the growth of healthy gut bacteria, supporting a balance.</t>
  </si>
  <si>
    <t xml:space="preserve">Rip Pruisken</t>
  </si>
  <si>
    <t xml:space="preserve">Mollie Crudden</t>
  </si>
  <si>
    <t xml:space="preserve">health-claim: explicit health claim in the brand's own copy (opened 2026-10-24): 'feeding and promoting the growth of healthy gut bacteria, supporting a balanced digestive system from the inside out' (https://www.ripvan.com/pages/faqs)</t>
  </si>
  <si>
    <t xml:space="preserve">scale-reported;scale;claim-functional;nutrient-claim</t>
  </si>
  <si>
    <t xml:space="preserve">venture-backed (stage unknown); Kickstarter origin per brand Our Story</t>
  </si>
  <si>
    <t xml:space="preserve">https://www.ripvan.com/pages/our-story</t>
  </si>
  <si>
    <t xml:space="preserve">Brand product page: 'Each wafel is individually wrapped'; sold ambient online and in grocery; no shelf-life figure published (founder to confirm 60+ days)</t>
  </si>
  <si>
    <t xml:space="preserve">Shelby Report 2026-10-07: company 'surpasses $100 million in retail sales' (retail sales, period not stated)</t>
  </si>
  <si>
    <t xml:space="preserve">explicit health claim in the brand's own copy (opened 2026-10-24): 'feeding and promoting the growth of healthy gut bacteria, supporting a balanced digestive system from the inside out' (https://www.ripvan.com/pages/faqs)</t>
  </si>
  <si>
    <t xml:space="preserve">Whole Foods; Costco; Starbucks; Albertsons; Walmart; BJ's; Wawa; 26,000+ doors</t>
  </si>
  <si>
    <t xml:space="preserve">https://www.wholefoodsmarket.com/api/search?text=rip%20van&amp;store=10162&amp;limit=60&amp;offset=0; https://www.wholefoodsmarket.com/api/search?text=rip%20van&amp;store=10773&amp;limit=60&amp;offset=0; https://www.wholefoodsmarket.com/api/search?text=rip%20van&amp;store=10131&amp;limit=60&amp;offset=0</t>
  </si>
  <si>
    <t xml:space="preserve">https://www.instagram.com/ripvansnacks/</t>
  </si>
  <si>
    <t xml:space="preserve">BR2:3</t>
  </si>
  <si>
    <t xml:space="preserve">Co-founder Marco De Leon is CFO (Shelby Report). WFM catalog: wafel cookies and Leos at Union Square and NoMad; 2 SKUs at Chelsea. WFM evidence = wholefoodsmarket.com store-scoped catalog search, opened 2026-10-23; catalog listing is not proof of shelf stock.</t>
  </si>
  <si>
    <t xml:space="preserve">marketing_name &lt;- https://www.linkedin.com/company/ripvan (2026-10-24, snippet-unverified); marketing_title &lt;- https://www.linkedin.com/company/ripvan (2026-10-24, snippet-unverified); excluded &lt;- https://www.ripvan.com/pages/faqs (2026-10-24, stage 3 correction); exclusion_reason &lt;- https://www.ripvan.com/pages/faqs (2026-10-24, stage 3 correction); </t>
  </si>
  <si>
    <t xml:space="preserve">AB-116</t>
  </si>
  <si>
    <t xml:space="preserve">Bobo's</t>
  </si>
  <si>
    <t xml:space="preserve">Launched Blueberry and Raspberry Breakfast Bars on brand store, Oct 2026</t>
  </si>
  <si>
    <t xml:space="preserve">https://eatbobos.com/</t>
  </si>
  <si>
    <t xml:space="preserve">2026-10-13</t>
  </si>
  <si>
    <t xml:space="preserve">https://eatbobos.com/pages/our-story</t>
  </si>
  <si>
    <t xml:space="preserve">Chocolate Chip Oat Bar 3 oz; Stuff'd Oat Bars</t>
  </si>
  <si>
    <t xml:space="preserve">Loveland (bakery location per brand FAQ; founded in Boulder)</t>
  </si>
  <si>
    <t xml:space="preserve">https://eatbobos.com</t>
  </si>
  <si>
    <t xml:space="preserve">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</si>
  <si>
    <t xml:space="preserve">https://www.wholefoodsmarket.com/api/search?text=bobos&amp;store=10773&amp;limit=60&amp;offset=0</t>
  </si>
  <si>
    <t xml:space="preserve">Beryl</t>
  </si>
  <si>
    <t xml:space="preserve">Stafford</t>
  </si>
  <si>
    <t xml:space="preserve">Gated out: health-claim: explicit health claim in the brand's own copy (opened 2026-10-24): 'Whole grains can help you achieve healthier blood pressure, and contain benefi.</t>
  </si>
  <si>
    <t xml:space="preserve">Beryl Stafford</t>
  </si>
  <si>
    <t xml:space="preserve">health-claim: explicit health claim in the brand's own copy (opened 2026-10-24): 'Whole grains can help you achieve healthier blood pressure, and contain beneficial bacteria to improve gut health' (https://eatbobos.com/pages/about-us-our-ingredients-1)</t>
  </si>
  <si>
    <t xml:space="preserve">Wrapped baked oat bars sold ambient at Whole Foods; shelf-life figure not found</t>
  </si>
  <si>
    <t xml:space="preserve">explicit health claim in the brand's own copy (opened 2026-10-24): 'Whole grains can help you achieve healthier blood pressure, and contain beneficial bacteria to improve gut health' (https://eatbobos.com/pages/about-us-our-ingredients-1)</t>
  </si>
  <si>
    <t xml:space="preserve">Whole Foods; retailer locator</t>
  </si>
  <si>
    <t xml:space="preserve">https://www.wholefoodsmarket.com/api/search?text=bobos&amp;store=10162&amp;limit=60&amp;offset=0; https://www.wholefoodsmarket.com/api/search?text=bobos&amp;store=10773&amp;limit=60&amp;offset=0; https://www.wholefoodsmarket.com/api/search?text=bobos&amp;store=10131&amp;limit=60&amp;offset=0</t>
  </si>
  <si>
    <t xml:space="preserve">https://www.instagram.com/eatbobos/</t>
  </si>
  <si>
    <t xml:space="preserve">BR2:54</t>
  </si>
  <si>
    <t xml:space="preserve">Gluten-free whole grain oat bars. Why-now from Shopify publish dates.</t>
  </si>
  <si>
    <t xml:space="preserve">founder_review_reason &lt;- https://eatbobos.com (2026-10-24, stage 3 correction); excluded &lt;- https://eatbobos.com/pages/about-us-our-ingredients-1 (2026-10-24, stage 3 correction); exclusion_reason &lt;- https://eatbobos.com/pages/about-us-our-ingredients-1 (2026-10-24, stage 3 correction); </t>
  </si>
  <si>
    <t xml:space="preserve">AB-084</t>
  </si>
  <si>
    <t xml:space="preserve">Elements Truffles</t>
  </si>
  <si>
    <t xml:space="preserve">Diwali Gift Box limited edition and VegNews Daily Cacao bundles launched Oct 2026 on brand store</t>
  </si>
  <si>
    <t xml:space="preserve">https://www.elementstruffles.com/</t>
  </si>
  <si>
    <t xml:space="preserve">https://www.elementstruffles.com/pages/about-us</t>
  </si>
  <si>
    <t xml:space="preserve">Orange Crunch Dark Chocolate Bar 1.8 oz; Filter Coffee Chocolate Bar</t>
  </si>
  <si>
    <t xml:space="preserve">Jersey City</t>
  </si>
  <si>
    <t xml:space="preserve">https://www.elementstruffles.com</t>
  </si>
  <si>
    <t xml:space="preserve">Ayurveda-based wellness positioning ('ingredients are the healthiest around'); brand also sells protein powders; check bar labels for claims</t>
  </si>
  <si>
    <t xml:space="preserve">https://www.wholefoodsmarket.com/api/search?text=elements%20truffles&amp;store=10773&amp;limit=60&amp;offset=0</t>
  </si>
  <si>
    <t xml:space="preserve">Alak</t>
  </si>
  <si>
    <t xml:space="preserve">Vasa</t>
  </si>
  <si>
    <t xml:space="preserve">Kushal</t>
  </si>
  <si>
    <t xml:space="preserve">Choksi</t>
  </si>
  <si>
    <t xml:space="preserve">Gated out: health-claim: explicit health claim in the brand's own copy (opened 2026-10-24): 'Improves athletic performance, Accelerates post-workout recovery; elsewhere 'I.</t>
  </si>
  <si>
    <t xml:space="preserve">Alak Vasa</t>
  </si>
  <si>
    <t xml:space="preserve">About page, "meet our founders".</t>
  </si>
  <si>
    <t xml:space="preserve">Kushal Choksi</t>
  </si>
  <si>
    <t xml:space="preserve">About page: "Kushal M. Choksi", co-founder with Alak.</t>
  </si>
  <si>
    <t xml:space="preserve">health-claim: explicit health claim in the brand's own copy (opened 2026-10-24): 'Improves athletic performance, Accelerates post-workout recovery; elsewhere 'Immunity Boosting Chai Spice', ashwagandha 'known for its stress relieving properties'' (https://www.elementstruffles.com/products/veg-news-protein-launch)</t>
  </si>
  <si>
    <t xml:space="preserve">Brand FAQ: chocolate bars 8 months, snack bars 9 months, drinking chocolate 18 months, truffle boxes 2 months; no refrigeration required.</t>
  </si>
  <si>
    <t xml:space="preserve">explicit health claim in the brand's own copy (opened 2026-10-24): 'Improves athletic performance, Accelerates post-workout recovery; elsewhere 'Immunity Boosting Chai Spice', ashwagandha 'known for its stress relieving properties'' (https://www.elementstruffles.com/products/veg-news-protein-launch)</t>
  </si>
  <si>
    <t xml:space="preserve">https://www.wholefoodsmarket.com/api/search?text=elements%20truffles&amp;store=10162&amp;limit=60&amp;offset=0; https://www.wholefoodsmarket.com/api/search?text=elements%20truffles&amp;store=10773&amp;limit=60&amp;offset=0; https://www.wholefoodsmarket.com/api/search?text=elements%20truffles&amp;store=10131&amp;limit=60&amp;offset=0</t>
  </si>
  <si>
    <t xml:space="preserve">https://www.instagram.com/elementstruffles/</t>
  </si>
  <si>
    <t xml:space="preserve">BR2:21</t>
  </si>
  <si>
    <t xml:space="preserve">Founders are ex-Wall Street traders per brand story; HQ not stated on pages opened. Why-now date from Shopify publish dates.</t>
  </si>
  <si>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excluded &lt;- https://www.elementstruffles.com/products/veg-news-protein-launch (2026-10-24, stage 3 correction); exclusion_reason &lt;- https://www.elementstruffles.com/products/veg-news-protein-launch (2026-10-24, stage 3 correction); </t>
  </si>
  <si>
    <t xml:space="preserve">AB-124</t>
  </si>
  <si>
    <t xml:space="preserve">Goodio</t>
  </si>
  <si>
    <t xml:space="preserve">Launched Minty Crunch and Cranberry &amp; Rosemary bars (Sept 2026) and holiday advent calendar (Oct 2026)</t>
  </si>
  <si>
    <t xml:space="preserve">https://goodiochocolate.com/</t>
  </si>
  <si>
    <t xml:space="preserve">https://goodiochocolate.com/pages/about-us</t>
  </si>
  <si>
    <t xml:space="preserve">Minty Crunch Chocolate bar; Arriba Chocolate Bar 1.7 oz</t>
  </si>
  <si>
    <t xml:space="preserve">Helsinki</t>
  </si>
  <si>
    <t xml:space="preserve">https://goodiochocolate.com</t>
  </si>
  <si>
    <t xml:space="preserve">Sells functional bars named 'Natural Focus', 'Calm &amp; Balanced' and 'Sweet Dreams' (likely functional ingredients); foreign brand with import logistics; 60-day shelf life not stated</t>
  </si>
  <si>
    <t xml:space="preserve">https://www.wholefoodsmarket.com/api/search?text=goodio&amp;store=10773&amp;limit=60&amp;offset=0</t>
  </si>
  <si>
    <t xml:space="preserve">Jukka</t>
  </si>
  <si>
    <t xml:space="preserve">Peltola</t>
  </si>
  <si>
    <t xml:space="preserve">Founder and Chief Creative Officer</t>
  </si>
  <si>
    <t xml:space="preserve">Jonni</t>
  </si>
  <si>
    <t xml:space="preserve">Sinkkonen</t>
  </si>
  <si>
    <t xml:space="preserve">CEO and Founder</t>
  </si>
  <si>
    <t xml:space="preserve">https://theorg.com/org/goodio/person/jonni-sinkkonen</t>
  </si>
  <si>
    <t xml:space="preserve">Gated out: health-claim: explicit health claim in the brand's own copy (opened 2026-10-24): 'Promote balance and serenity ..; carefully crafted to enhance your mood throug.</t>
  </si>
  <si>
    <t xml:space="preserve">Jukka Peltola</t>
  </si>
  <si>
    <t xml:space="preserve">About page: "Chief Creative Officer and founder of Goodio, Jukka Peltola". The Org lists Jonni Sinkkonen as CEO &amp; Founder (backup row) and Sami Nupponen as CEO; titles conflict. Finnish company, US sales contact unknown.</t>
  </si>
  <si>
    <t xml:space="preserve">Jonni Sinkkonen</t>
  </si>
  <si>
    <t xml:space="preserve">The Org (updated 2026-06-10): CEO &amp; Founder since 2015.</t>
  </si>
  <si>
    <t xml:space="preserve">health-claim: explicit health claim in the brand's own copy (opened 2026-10-24): 'Promote balance and serenity ... carefully crafted to enhance your mood throughout the day (functional bars with ashwagandha, valerian, L-tryptophan)' (https://goodiochocolate.com/products/calm-balanced-chocolate-49)</t>
  </si>
  <si>
    <t xml:space="preserve">Finland</t>
  </si>
  <si>
    <t xml:space="preserve">explicit health claim in the brand's own copy (opened 2026-10-24): 'Promote balance and serenity ... carefully crafted to enhance your mood throughout the day (functional bars with ashwagandha, valerian, L-tryptophan)' (https://goodiochocolate.com/products/calm-balanced-chocolate-49)</t>
  </si>
  <si>
    <t xml:space="preserve">https://www.wholefoodsmarket.com/api/search?text=goodio&amp;store=10162&amp;limit=60&amp;offset=0; https://www.wholefoodsmarket.com/api/search?text=goodio&amp;store=10773&amp;limit=60&amp;offset=0</t>
  </si>
  <si>
    <t xml:space="preserve">https://www.instagram.com/goodiogoods/</t>
  </si>
  <si>
    <t xml:space="preserve">BR2:62</t>
  </si>
  <si>
    <t xml:space="preserve">Founded 2015, organic vegan craft chocolate made in Helsinki. Brand store defaults to Finland; US online store not confirmed. Why-now from Shopify publish dates.</t>
  </si>
  <si>
    <t xml:space="preserve">excluded &lt;- https://goodiochocolate.com/products/calm-balanced-chocolate-49 (2026-10-24, stage 3 correction); exclusion_reason &lt;- https://goodiochocolate.com/products/calm-balanced-chocolate-49 (2026-10-24, stage 3 correction); </t>
  </si>
  <si>
    <t xml:space="preserve">AB-090</t>
  </si>
  <si>
    <t xml:space="preserve">Maxine's Heavenly</t>
  </si>
  <si>
    <t xml:space="preserve">Launched seasonal Gingerbread, Peppermint, Pumpkin Spice and Chai Spice creme sandwich cookies, Oct 2026</t>
  </si>
  <si>
    <t xml:space="preserve">https://maxinesheavenly.com/</t>
  </si>
  <si>
    <t xml:space="preserve">https://maxinesheavenly.com/pages/story</t>
  </si>
  <si>
    <t xml:space="preserve">Chocolate Creme Sandwich Cookie 4.6 oz; seasonal Gingerbread Creme Sandwich</t>
  </si>
  <si>
    <t xml:space="preserve">https://maxinesheavenly.com</t>
  </si>
  <si>
    <t xml:space="preserve">'Better-for-you', 'Sweetened by Nature' positioning; check pack copy for claims; single-serve pack not shown on the pages read: ask on the first call</t>
  </si>
  <si>
    <t xml:space="preserve">https://www.wholefoodsmarket.com/api/search?text=maxines%20heavenly&amp;store=10773&amp;limit=60&amp;offset=0</t>
  </si>
  <si>
    <t xml:space="preserve">Petrarca</t>
  </si>
  <si>
    <t xml:space="preserve">https://maxinesheavenly.com/pages/press</t>
  </si>
  <si>
    <t xml:space="preserve">Gated out: health-claim: explicit health claim in the brand's own copy (opened 2026-10-24): 'studies have consistently shown that oats can help reduce cholesterol, reduce.</t>
  </si>
  <si>
    <t xml:space="preserve">Robert Petrarca</t>
  </si>
  <si>
    <t xml:space="preserve">2023-01-13</t>
  </si>
  <si>
    <t xml:space="preserve">Press page: "Its founder Robert Petrarca" and "talks business with our CEO". The Org (updated 2023-01-13): Co-Founder &amp; CEO.</t>
  </si>
  <si>
    <t xml:space="preserve">health-claim: explicit health claim in the brand's own copy (opened 2026-10-24): 'studies have consistently shown that oats can help reduce cholesterol, reduce the risk of developing high blood pressure' (https://maxinesheavenly.com/pages/our-ingredients)</t>
  </si>
  <si>
    <t xml:space="preserve">Brand FAQ: 'The shelf life of our cookies is about 11 months.' No preservatives.</t>
  </si>
  <si>
    <t xml:space="preserve">explicit health claim in the brand's own copy (opened 2026-10-24): 'studies have consistently shown that oats can help reduce cholesterol, reduce the risk of developing high blood pressure' (https://maxinesheavenly.com/pages/our-ingredients)</t>
  </si>
  <si>
    <t xml:space="preserve">Stores across the US (brand home page); Whole Foods</t>
  </si>
  <si>
    <t xml:space="preserve">https://www.wholefoodsmarket.com/api/search?text=maxines%20heavenly&amp;store=10162&amp;limit=60&amp;offset=0; https://www.wholefoodsmarket.com/api/search?text=maxines%20heavenly&amp;store=10773&amp;limit=60&amp;offset=0; https://www.wholefoodsmarket.com/api/search?text=maxines%20heavenly&amp;store=10131&amp;limit=60&amp;offset=0</t>
  </si>
  <si>
    <t xml:space="preserve">https://www.instagram.com/maxinesheavenly/</t>
  </si>
  <si>
    <t xml:space="preserve">BR2:27</t>
  </si>
  <si>
    <t xml:space="preserve">Gluten-free, vegan per story page. Storemapper locator present but its ID was not readable. Why-now date from Shopify publish dates.</t>
  </si>
  <si>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excluded &lt;- https://maxinesheavenly.com/pages/our-ingredients (2026-10-24, stage 3 correction); exclusion_reason &lt;- https://maxinesheavenly.com/pages/our-ingredients (2026-10-24, stage 3 correction); </t>
  </si>
  <si>
    <t xml:space="preserve">AB-034</t>
  </si>
  <si>
    <t xml:space="preserve">Reelie (formerly Artisan Tropic)</t>
  </si>
  <si>
    <t xml:space="preserve">Rebranded from Artisan Tropic to Reelie and relaunched brand store (new Serrano Lime Cassava Chips)</t>
  </si>
  <si>
    <t xml:space="preserve">https://www.reelie.com/products/serrano-lime-cassava-chips</t>
  </si>
  <si>
    <t xml:space="preserve">https://www.reelie.com/pages/reelie-about-us</t>
  </si>
  <si>
    <t xml:space="preserve">Reelie Sea Salt Plantain Chips; single-serve 1 oz 6-pack at WFM</t>
  </si>
  <si>
    <t xml:space="preserve">Charlotte</t>
  </si>
  <si>
    <t xml:space="preserve">https://www.reelie.com</t>
  </si>
  <si>
    <t xml:space="preserve">https://www.wholefoodsmarket.com/api/search?text=reelie&amp;store=10773&amp;limit=60&amp;offset=0</t>
  </si>
  <si>
    <t xml:space="preserve">Juan</t>
  </si>
  <si>
    <t xml:space="preserve">Nino</t>
  </si>
  <si>
    <t xml:space="preserve">https://accelerators.target.com/alumni-stories/meet-artisan-tropic-of-target-takeoff-food-beverage-2021/</t>
  </si>
  <si>
    <t xml:space="preserve">marketing lead named (founder not confirmed)</t>
  </si>
  <si>
    <t xml:space="preserve">Jose</t>
  </si>
  <si>
    <t xml:space="preserve">Gated out: health-claim: explicit health claim in the brand's own copy (opened 2026-10-24): 'nutrient-dense goodness that helps support gut health; cassava chips 'known fo.</t>
  </si>
  <si>
    <t xml:space="preserve">Juan Nino</t>
  </si>
  <si>
    <t xml:space="preserve">2021</t>
  </si>
  <si>
    <t xml:space="preserve">Target Takeoff interview (2021): "Juan Nino, Director of Marketing". Five years old, before the rename to Reelie. Stage 1 had him in the founder slot.</t>
  </si>
  <si>
    <t xml:space="preserve">Jose Nino</t>
  </si>
  <si>
    <t xml:space="preserve">Same 2021 interview.</t>
  </si>
  <si>
    <t xml:space="preserve">health-claim: explicit health claim in the brand's own copy (opened 2026-10-24): 'nutrient-dense goodness that helps support gut health; cassava chips 'known for its anti-inflammatory benefits'' (https://www.reelie.com/products/sweet-plantain-chips)</t>
  </si>
  <si>
    <t xml:space="preserve">Bagged plantain and cassava chips and grain-free crackers, ambient</t>
  </si>
  <si>
    <t xml:space="preserve">explicit health claim in the brand's own copy (opened 2026-10-24): 'nutrient-dense goodness that helps support gut health; cassava chips 'known for its anti-inflammatory benefits'' (https://www.reelie.com/products/sweet-plantain-chips)</t>
  </si>
  <si>
    <t xml:space="preserve">https://www.wholefoodsmarket.com/search?text=artisan%20tropic (Union Square, NoMad, Chelsea contexts: plantain chips, cassava chips, crackers IN_STOCK 2026-10-23)</t>
  </si>
  <si>
    <t xml:space="preserve">BR1:35</t>
  </si>
  <si>
    <t xml:space="preserve">Entity Artisan Tropic LLC, office in Charlotte NC (contact page). artisantropic.com redirects to reelie.com. Seed-oil-free positioning.</t>
  </si>
  <si>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excluded &lt;- https://www.reelie.com/products/sweet-plantain-chips (2026-10-24, stage 3 correction); exclusion_reason &lt;- https://www.reelie.com/products/sweet-plantain-chips (2026-10-24, stage 3 correction); </t>
  </si>
  <si>
    <t xml:space="preserve">AB-233</t>
  </si>
  <si>
    <t xml:space="preserve">Simply Gum</t>
  </si>
  <si>
    <t xml:space="preserve">Launched Simply Sours, a sour hard candy line (Citrus Berry, Fruit Punch), announced 2026-02-25 and previewed at Natural Products Expo West; pouches added 2026-04-16 and a limited Halloween bundle 2026-09-09</t>
  </si>
  <si>
    <t xml:space="preserve">https://www.simplygum.com/blogs/news/introducing-simply-sours</t>
  </si>
  <si>
    <t xml:space="preserve">https://www.simplygum.com/pages/about</t>
  </si>
  <si>
    <t xml:space="preserve">Peppermint Gum 15 ct pack; Peppermint Mints (tins and individually wrapped)</t>
  </si>
  <si>
    <t xml:space="preserve">Brooklyn (privacy policy: Simply Gum, 630 Flushing Ave, #16, Brooklyn NY 11206)</t>
  </si>
  <si>
    <t xml:space="preserve">https://www.simplygum.com</t>
  </si>
  <si>
    <t xml:space="preserve">Gum and mints are a candy-adjacent fit for a snack drop; sugar-free line cites xylitol 'dental health benefits' on about page (check pack wording)</t>
  </si>
  <si>
    <t xml:space="preserve">https://www.wholefoodsmarket.com/api/search?text=simply%20gum&amp;store=10773&amp;limit=60&amp;offset=0</t>
  </si>
  <si>
    <t xml:space="preserve">Caron</t>
  </si>
  <si>
    <t xml:space="preserve">Proschan</t>
  </si>
  <si>
    <t xml:space="preserve">https://www.snackandbakery.com/articles/112597-video-simply-on-vegan-candy-treats</t>
  </si>
  <si>
    <t xml:space="preserve">Jeannie</t>
  </si>
  <si>
    <t xml:space="preserve">Kim</t>
  </si>
  <si>
    <t xml:space="preserve">Vice President, Marketing</t>
  </si>
  <si>
    <t xml:space="preserve">https://theorg.com/org/simply-gum/person/jeannie-kim</t>
  </si>
  <si>
    <t xml:space="preserve">Gated out: health-claim: explicit health claim in the brand's own copy (opened 2026-10-24): 'sweetened with xylitol to fight cavities and protect enamel while you chew' (h.</t>
  </si>
  <si>
    <t xml:space="preserve">Caron Proschan</t>
  </si>
  <si>
    <t xml:space="preserve">Candy Industry 2024-12-06: "Caron Proschan, founder and CEO". The Org shows "Caron P., CEO".</t>
  </si>
  <si>
    <t xml:space="preserve">Jeannie Kim</t>
  </si>
  <si>
    <t xml:space="preserve">The Org (updated 2024-10-31): VP Marketing since 2019. FoodNavigator 2022 (https://www.foodnavigator-usa.com/Article/2022/01/17/Simply-Gum-expands-into-gummies-chocolate-with-low-key-launches-featuring-clean-labels/) quotes her as vice president of marketing. No 2026 confirmation.</t>
  </si>
  <si>
    <t xml:space="preserve">health-claim: explicit health claim in the brand's own copy (opened 2026-10-24): 'sweetened with xylitol to fight cavities and protect enamel while you chew' (https://www.simplygum.com/products/bubble-gum)</t>
  </si>
  <si>
    <t xml:space="preserve">Gum and mints sold ambient with Best By dates (FAQ); no shelf-life figure, founder to confirm</t>
  </si>
  <si>
    <t xml:space="preserve">explicit health claim in the brand's own copy (opened 2026-10-24): 'sweetened with xylitol to fight cavities and protect enamel while you chew' (https://www.simplygum.com/products/bubble-gum)</t>
  </si>
  <si>
    <t xml:space="preserve">Whole Foods Market (WFM catalog); Amazon; store locator (not machine-readable)</t>
  </si>
  <si>
    <t xml:space="preserve">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</si>
  <si>
    <t xml:space="preserve">https://www.instagram.com/simplygum</t>
  </si>
  <si>
    <t xml:space="preserve">BR4:28</t>
  </si>
  <si>
    <t xml:space="preserve">Female and AANHPI founded (about page). Plastic-free gum, mints, sours, gummies and chocolate. WFM store-scoped catalog lists 5-7 SKUs at each cluster store and flags them Local (2026-10-23).</t>
  </si>
  <si>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excluded &lt;- https://www.simplygum.com/products/bubble-gum (2026-10-24, stage 3 correction); exclusion_reason &lt;- https://www.simplygum.com/products/bubble-gum (2026-10-24, stage 3 correction); </t>
  </si>
  <si>
    <t xml:space="preserve">AB-104</t>
  </si>
  <si>
    <t xml:space="preserve">88 Acres</t>
  </si>
  <si>
    <t xml:space="preserve">https://88acres.com/pages/our-story</t>
  </si>
  <si>
    <t xml:space="preserve">Cookies and Cream Seed + Oat Bar; Dark Chocolate Brownie Seed Protein Bar 1.9 oz</t>
  </si>
  <si>
    <t xml:space="preserve">Canton</t>
  </si>
  <si>
    <t xml:space="preserve">https://88acres.com</t>
  </si>
  <si>
    <t xml:space="preserve">Protein bar line (nutrient-content positioning); allergen-friendly</t>
  </si>
  <si>
    <t xml:space="preserve">https://www.wholefoodsmarket.com/api/search?text=88%20acres&amp;store=10773&amp;limit=60&amp;offset=0</t>
  </si>
  <si>
    <t xml:space="preserve">Ledoux</t>
  </si>
  <si>
    <t xml:space="preserve">Luke</t>
  </si>
  <si>
    <t xml:space="preserve">Jarvis</t>
  </si>
  <si>
    <t xml:space="preserve">Director of Performance Marketing</t>
  </si>
  <si>
    <t xml:space="preserve">https://theorg.com/org/88-acres</t>
  </si>
  <si>
    <t xml:space="preserve">Gated out: health-claim: explicit health claim in the brand's own copy (opened 2026-10-24): 'dark chocolate ..; can help to lower blood pressure and reduce the risk of hea.</t>
  </si>
  <si>
    <t xml:space="preserve">Nicole Ledoux</t>
  </si>
  <si>
    <t xml:space="preserve">2023-03-06</t>
  </si>
  <si>
    <t xml:space="preserve">Stage 3 (entered the top 60). The brand's Our Story page (opened 2026-10-24): 'Co-founder Nicole Ledoux grew up on an 88-acre farm'. The Org (https://theorg.com/org/88-acres, opened 2026-10-24, updated 2023-03-06) lists her as Co-founder &amp; CEO.</t>
  </si>
  <si>
    <t xml:space="preserve">Luke Jarvis</t>
  </si>
  <si>
    <t xml:space="preserve">The Org org chart (opened 2026-10-24); his position was last updated 2023-03-06, so it may be stale. Founder to confirm on LinkedIn before using.</t>
  </si>
  <si>
    <t xml:space="preserve">health-claim: explicit health claim in the brand's own copy (opened 2026-10-24): 'dark chocolate ... can help to lower blood pressure and reduce the risk of heart disease; cocoa butter 'nutrients that support the immune system'' (https://88acres.com/pages/ingredients)</t>
  </si>
  <si>
    <t xml:space="preserve">Brand FAQ: 'Seed Bars have a 12-month shelf life.'</t>
  </si>
  <si>
    <t xml:space="preserve">explicit health claim in the brand's own copy (opened 2026-10-24): 'dark chocolate ... can help to lower blood pressure and reduce the risk of heart disease; cocoa butter 'nutrients that support the immune system'' (https://88acres.com/pages/ingredients)</t>
  </si>
  <si>
    <t xml:space="preserve">4,000+ stores (brand store locator page); Whole Foods</t>
  </si>
  <si>
    <t xml:space="preserve">https://www.wholefoodsmarket.com/api/search?text=88%20acres&amp;store=10162&amp;limit=60&amp;offset=0; https://www.wholefoodsmarket.com/api/search?text=88%20acres&amp;store=10773&amp;limit=60&amp;offset=0; https://www.wholefoodsmarket.com/api/search?text=88%20acres&amp;store=10131&amp;limit=60&amp;offset=0</t>
  </si>
  <si>
    <t xml:space="preserve">https://www.instagram.com/88acres/</t>
  </si>
  <si>
    <t xml:space="preserve">BR2:42</t>
  </si>
  <si>
    <t xml:space="preserve">Northeast brand (Boston). Last new SKU on brand store dated 2025-10-02, outside the 12-month window.</t>
  </si>
  <si>
    <t xml:space="preserve">shelf_stable &lt;- https://88acres.com/pages/faq (2026-10-24, opened); shelf_stable_basis &lt;- https://88acres.com/pages/faq (2026-10-24, opened); hq_city &lt;- https://88acres.com/pages/contact-us (2026-10-24, opened); excluded &lt;- https://88acres.com/pages/ingredients (2026-10-24, stage 3 correction); exclusion_reason &lt;- https://88acres.com/pages/ingredients (2026-10-24, stage 3 correction); </t>
  </si>
  <si>
    <t xml:space="preserve">AB-209</t>
  </si>
  <si>
    <t xml:space="preserve">Brami</t>
  </si>
  <si>
    <t xml:space="preserve">https://enjoybrami.com/pages/faqs</t>
  </si>
  <si>
    <t xml:space="preserve">Chili Lime Lupini Beans snack 5.3 oz (brand is now mainly lupini protein pasta)</t>
  </si>
  <si>
    <t xml:space="preserve">New York (Series B release datelined New York per search result; Dealroom lists Carlsbad CA; unverified, founder to confirm)</t>
  </si>
  <si>
    <t xml:space="preserve">https://enjoybrami.com/pages/shop-all</t>
  </si>
  <si>
    <t xml:space="preserve">Claim is on the website FAQ, not confirmed on pack; $33M Series B (May 2026) suggests above target size; snacks are now a minor line next to pasta; scale signal in the why-now ('Series B'): likely above the $10M band; ask at intake</t>
  </si>
  <si>
    <t xml:space="preserve">https://www.wholefoodsmarket.com/api/search?text=brami&amp;store=10773&amp;limit=60&amp;offset=0</t>
  </si>
  <si>
    <t xml:space="preserve">Gatti</t>
  </si>
  <si>
    <t xml:space="preserve">https://enjoybrami.com/pages/brand-story</t>
  </si>
  <si>
    <t xml:space="preserve">Gated out: health-claim: Explicit structure/function wording on brand FAQ: lupini 'support digestion', 'appetite-suppressing', 'without spiking your blood sugar'.</t>
  </si>
  <si>
    <t xml:space="preserve">Aaron Gatti</t>
  </si>
  <si>
    <t xml:space="preserve">health-claim: Explicit structure/function wording on brand FAQ: lupini 'support digestion', 'appetite-suppressing', 'without spiking your blood sugar'</t>
  </si>
  <si>
    <t xml:space="preserve">https://enjoybrami.com</t>
  </si>
  <si>
    <t xml:space="preserve">NY (unverified)</t>
  </si>
  <si>
    <t xml:space="preserve">Series B ($33M led by VMG Partners, May 2026, PRNewswire seen in search results; unverified, founder to confirm)</t>
  </si>
  <si>
    <t xml:space="preserve">Sold as ambient ready-to-eat snack pouches in WFM grocery catalog; no shelf-life figure found, founder to confirm</t>
  </si>
  <si>
    <t xml:space="preserve">Explicit structure/function wording on brand FAQ: lupini 'support digestion', 'appetite-suppressing', 'without spiking your blood sugar'</t>
  </si>
  <si>
    <t xml:space="preserve">https://www.wholefoodsmarket.com/api/search?text=brami&amp;store=10773&amp;limit=60&amp;offset=0; https://www.wholefoodsmarket.com/api/search?text=brami&amp;store=10162&amp;limit=60&amp;offset=0</t>
  </si>
  <si>
    <t xml:space="preserve">https://www.bakeryandsnacks.com/Article/2020/11/19/Startup-CPG-Pitch-II-15-emerging-brands-to-watch-from-spicy-jackfruit-bites-to-keto-mug-cakes?page=4</t>
  </si>
  <si>
    <t xml:space="preserve">BR4:4</t>
  </si>
  <si>
    <t xml:space="preserve">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 | Why-now without an opened link and a date, kept as a note only: Raised $33M Series B led by VMG Partners (PRNewswire, datelined New York; seen in search results, unverified) (url: none; date: 2026-05-19)</t>
  </si>
  <si>
    <t xml:space="preserve">AB-078</t>
  </si>
  <si>
    <t xml:space="preserve">Greyston Bakery</t>
  </si>
  <si>
    <t xml:space="preserve">https://shop.greyston.org/pages/faq</t>
  </si>
  <si>
    <t xml:space="preserve">Fudge Brownie 2.5 oz; Birthday Cake Blondie 2.5 oz</t>
  </si>
  <si>
    <t xml:space="preserve">Yonkers</t>
  </si>
  <si>
    <t xml:space="preserve">https://shop.greyston.org</t>
  </si>
  <si>
    <t xml:space="preserve">Retail 2.5 oz wrapped SKUs at Whole Foods may carry different dating than gift items; confirm before final exclusion</t>
  </si>
  <si>
    <t xml:space="preserve">https://www.wholefoodsmarket.com/api/search?text=greyston&amp;store=10773&amp;limit=60&amp;offset=0</t>
  </si>
  <si>
    <t xml:space="preserve">Bernie</t>
  </si>
  <si>
    <t xml:space="preserve">Glassman</t>
  </si>
  <si>
    <t xml:space="preserve">https://shop.greyston.org/pages/about-greyston</t>
  </si>
  <si>
    <t xml:space="preserve">Gated out: not-shelf-stable: Shelf life 2 weeks at room temperature per brand FAQ (below 60 days).</t>
  </si>
  <si>
    <t xml:space="preserve">Bernie Glassman</t>
  </si>
  <si>
    <t xml:space="preserve">not-shelf-stable</t>
  </si>
  <si>
    <t xml:space="preserve">not-shelf-stable: Shelf life 2 weeks at room temperature per brand FAQ (below 60 days)</t>
  </si>
  <si>
    <t xml:space="preserve">unknown (social enterprise, Open Hiring since 1982)</t>
  </si>
  <si>
    <t xml:space="preserve">Brand FAQ: brownies and blondies 'stay fresh at room temperature for 2 weeks after receiving them' (gift shop items)</t>
  </si>
  <si>
    <t xml:space="preserve">Shelf life 2 weeks at room temperature per brand FAQ (below 60 days)</t>
  </si>
  <si>
    <t xml:space="preserve">https://www.wholefoodsmarket.com/api/search?text=greyston&amp;store=10162&amp;limit=60&amp;offset=0; https://www.wholefoodsmarket.com/api/search?text=greyston&amp;store=10773&amp;limit=60&amp;offset=0; https://www.wholefoodsmarket.com/api/search?text=greyston&amp;store=10131&amp;limit=60&amp;offset=0</t>
  </si>
  <si>
    <t xml:space="preserve">https://www.instagram.com/greystonbakery/</t>
  </si>
  <si>
    <t xml:space="preserve">BR2:15</t>
  </si>
  <si>
    <t xml:space="preserve">Strong NY story (Yonkers, Open Hiring). Current leadership not identified.</t>
  </si>
  <si>
    <t xml:space="preserve">AB-239</t>
  </si>
  <si>
    <t xml:space="preserve">Hella Cocktail Co.</t>
  </si>
  <si>
    <t xml:space="preserve">https://hellacocktail.co/</t>
  </si>
  <si>
    <t xml:space="preserve">Dry Bitters &amp; Soda, 12 fl oz can (non-alcoholic sparkling aperitif)</t>
  </si>
  <si>
    <t xml:space="preserve">unknown (founders split: Jomaree Pinkard, co-founder and chairman, New York, NY; Eddie Simeón, CMO, Los Angeles, CA; Tobin Ludwig, COO, Ann Arbor, MI; BevNET 2023 headline calls it New York-based, page blocked, unverified, founder to confirm)</t>
  </si>
  <si>
    <t xml:space="preserve">https://hellacocktail.co</t>
  </si>
  <si>
    <t xml:space="preserve">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</si>
  <si>
    <t xml:space="preserve">https://www.wholefoodsmarket.com/api/search?text=hella%20cocktail&amp;store=10773&amp;limit=60&amp;offset=0</t>
  </si>
  <si>
    <t xml:space="preserve">Tobin</t>
  </si>
  <si>
    <t xml:space="preserve">Ludwig</t>
  </si>
  <si>
    <t xml:space="preserve">https://hellacocktail.co/pages/meet-the-founders</t>
  </si>
  <si>
    <t xml:space="preserve">Eddie</t>
  </si>
  <si>
    <t xml:space="preserve">Simeón</t>
  </si>
  <si>
    <t xml:space="preserve">Co-founder and CMO</t>
  </si>
  <si>
    <t xml:space="preserve">Gated out: health-claim: explicit health claim in the brand's own copy (opened 2026-10-24): 'can support healthy digestion by easing gas, bloating, and indigestion.*' (htt.</t>
  </si>
  <si>
    <t xml:space="preserve">Tobin Ludwig</t>
  </si>
  <si>
    <t xml:space="preserve">Meet the Founders page. Co-founder Jomaree Pinkard is now Chairman (backup row).</t>
  </si>
  <si>
    <t xml:space="preserve">Eddie Simeón</t>
  </si>
  <si>
    <t xml:space="preserve">Meet the Founders page: "Eddie Simeón, Co-Founder &amp; CMO".</t>
  </si>
  <si>
    <t xml:space="preserve">health-claim: explicit health claim in the brand's own copy (opened 2026-10-24): 'can support healthy digestion by easing gas, bloating, and indigestion.*' (https://hellacocktail.co/products/grapefruit-bitters-soda-buy-more-save-more)</t>
  </si>
  <si>
    <t xml:space="preserve">Canned sparkling drink sold ambient; no shelf-life figure published, founder to confirm</t>
  </si>
  <si>
    <t xml:space="preserve">explicit health claim in the brand's own copy (opened 2026-10-24): 'can support healthy digestion by easing gas, bloating, and indigestion.*' (https://hellacocktail.co/products/grapefruit-bitters-soda-buy-more-save-more)</t>
  </si>
  <si>
    <t xml:space="preserve">Whole Foods Market (WFM catalog); find-it page</t>
  </si>
  <si>
    <t xml:space="preserve">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</si>
  <si>
    <t xml:space="preserve">https://www.instagram.com/hellacocktailco</t>
  </si>
  <si>
    <t xml:space="preserve">BR4:34</t>
  </si>
  <si>
    <t xml:space="preserve">Homepage: 'line of non-alcoholic, sparkling aperitifs'. Co-founder worked nearly a decade in NYC before co-founding Hella (Meet the Founders). WFM lists Bitters &amp; Soda at all four cluster stores (2026-10-23).</t>
  </si>
  <si>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excluded &lt;- https://hellacocktail.co/products/grapefruit-bitters-soda-buy-more-save-more (2026-10-24, stage 3 correction); exclusion_reason &lt;- https://hellacocktail.co/products/grapefruit-bitters-soda-buy-more-save-more (2026-10-24, stage 3 correction); </t>
  </si>
  <si>
    <t xml:space="preserve">AB-120</t>
  </si>
  <si>
    <t xml:space="preserve">Joolies</t>
  </si>
  <si>
    <t xml:space="preserve">https://joolies.com/pages/story-timeline</t>
  </si>
  <si>
    <t xml:space="preserve">Organic Lemon Bar Date Pops 3.5 oz; Almond Date Rolls</t>
  </si>
  <si>
    <t xml:space="preserve">https://joolies.com</t>
  </si>
  <si>
    <t xml:space="preserve">12,000+ stores may put it above the $10M ceiling; 'superfruit' positioning; single-serve pack not shown on the pages read: ask on the first call; 60-day shelf life not stated</t>
  </si>
  <si>
    <t xml:space="preserve">https://www.wholefoodsmarket.com/api/search?text=joolies&amp;store=10773&amp;limit=60&amp;offset=0</t>
  </si>
  <si>
    <t xml:space="preserve">Kohl</t>
  </si>
  <si>
    <t xml:space="preserve">Greg</t>
  </si>
  <si>
    <t xml:space="preserve">Willsey</t>
  </si>
  <si>
    <t xml:space="preserve">Gated out: health-claim: explicit health claim on the brand's homepage (opened 2026-10-24): 'Dates are naturally rich in fiber to support digestion and keep things moving'.</t>
  </si>
  <si>
    <t xml:space="preserve">David Kohl</t>
  </si>
  <si>
    <t xml:space="preserve">Greg Willsey</t>
  </si>
  <si>
    <t xml:space="preserve">health-claim: explicit health claim on the brand's homepage (opened 2026-10-24): 'Dates are naturally rich in fiber to support digestion and keep things moving'</t>
  </si>
  <si>
    <t xml:space="preserve">scale;format-unconfirmed</t>
  </si>
  <si>
    <t xml:space="preserve">Dates and date snacks sold ambient at Whole Foods; shelf-life figure not found</t>
  </si>
  <si>
    <t xml:space="preserve">explicit health claim on the brand's homepage (opened 2026-10-24): 'Dates are naturally rich in fiber to support digestion and keep things moving'</t>
  </si>
  <si>
    <t xml:space="preserve">12,000+ stores nationwide (brand home page); Whole Foods</t>
  </si>
  <si>
    <t xml:space="preserve">https://www.wholefoodsmarket.com/api/search?text=joolies&amp;store=10162&amp;limit=60&amp;offset=0; https://www.wholefoodsmarket.com/api/search?text=joolies&amp;store=10773&amp;limit=60&amp;offset=0; https://www.wholefoodsmarket.com/api/search?text=joolies&amp;store=10131&amp;limit=60&amp;offset=0</t>
  </si>
  <si>
    <t xml:space="preserve">https://www.instagram.com/jooliesdates/</t>
  </si>
  <si>
    <t xml:space="preserve">BR2:58</t>
  </si>
  <si>
    <t xml:space="preserve">Company name on site: JOOLIES SUPERFRUIT LLC. All products show a 2026-09-29 publish date (likely a store rebuild), so not used as a why-now signal.</t>
  </si>
  <si>
    <t xml:space="preserve">hq_city &lt;- https://joolies.com/policies/refund-policy (2026-10-24, opened); excluded &lt;- https://joolies.com (2026-10-24, stage 3 correction); exclusion_reason &lt;- https://joolies.com (2026-10-24, stage 3 correction); </t>
  </si>
  <si>
    <t xml:space="preserve">AB-244</t>
  </si>
  <si>
    <t xml:space="preserve">Kelly's Four Plus Granola</t>
  </si>
  <si>
    <t xml:space="preserve">https://www.kellysfourplus.com/pages/kfp-story</t>
  </si>
  <si>
    <t xml:space="preserve">Cranberry Nut Granola 12 oz bag (gluten free)</t>
  </si>
  <si>
    <t xml:space="preserve">South Norwalk</t>
  </si>
  <si>
    <t xml:space="preserve">https://www.kellysfourplus.com</t>
  </si>
  <si>
    <t xml:space="preserve">12 oz share bags, not single-serve; granola is snack-adjacent</t>
  </si>
  <si>
    <t xml:space="preserve">https://www.wholefoodsmarket.com/api/search?text=kellys%20four%20plus&amp;store=10773&amp;limit=60&amp;offset=0</t>
  </si>
  <si>
    <t xml:space="preserve">Cordy</t>
  </si>
  <si>
    <t xml:space="preserve">Kelly</t>
  </si>
  <si>
    <t xml:space="preserve">Gated out: health-claim: explicit health claim in the brand's own copy (opened 2026-10-24): 'help reduce the absorption of cholesterol ..; This can help reduce risks assoc.</t>
  </si>
  <si>
    <t xml:space="preserve">Cordy Kelly</t>
  </si>
  <si>
    <t xml:space="preserve">health-claim: explicit health claim in the brand's own copy (opened 2026-10-24): 'help reduce the absorption of cholesterol ... This can help reduce risks associated with diabetes' (https://www.kellysfourplus.com/pages/ingredients)</t>
  </si>
  <si>
    <t xml:space="preserve">family-owned (story page)</t>
  </si>
  <si>
    <t xml:space="preserve">explicit health claim in the brand's own copy (opened 2026-10-24): 'help reduce the absorption of cholesterol ... This can help reduce risks associated with diabetes' (https://www.kellysfourplus.com/pages/ingredients)</t>
  </si>
  <si>
    <t xml:space="preserve">Whole Foods Market (WFM catalog); sold throughout the Northeast and New England and online (story page)</t>
  </si>
  <si>
    <t xml:space="preserve">https://www.wholefoodsmarket.com/api/search?text=kellys%20four%20plus&amp;store=10773&amp;limit=60&amp;offset=0; https://www.wholefoodsmarket.com/api/search?text=kellys%20four%20plus&amp;store=10162&amp;limit=60&amp;offset=0; https://www.wholefoodsmarket.com/api/search?text=kellys%20four%20plus&amp;store=10713&amp;limit=60&amp;offset=0</t>
  </si>
  <si>
    <t xml:space="preserve">BR4:39</t>
  </si>
  <si>
    <t xml:space="preserve">WFM lists Cranberry Nut, Apple Cinnamon and Cherry Chocolate at Union Square and NoMad, flagged Local (sweep 2026-10-23, query 'granola').</t>
  </si>
  <si>
    <t xml:space="preserve">excluded &lt;- https://www.kellysfourplus.com/pages/ingredients (2026-10-24, stage 3 correction); exclusion_reason &lt;- https://www.kellysfourplus.com/pages/ingredients (2026-10-24, stage 3 correction); </t>
  </si>
  <si>
    <t xml:space="preserve">AB-073</t>
  </si>
  <si>
    <t xml:space="preserve">Seed + Mill</t>
  </si>
  <si>
    <t xml:space="preserve">https://www.seedandmill.com/pages/where-to-buy</t>
  </si>
  <si>
    <t xml:space="preserve">Pistachio Halva 8 oz</t>
  </si>
  <si>
    <t xml:space="preserve">New York (Chelsea Market store)</t>
  </si>
  <si>
    <t xml:space="preserve">https://www.seedandmill.com</t>
  </si>
  <si>
    <t xml:space="preserve">No single-serve SKU found (8 oz halva); brand 'About Sesame' page says phytosterols are 'known to help reduce cholesterol' (check labels for claims)</t>
  </si>
  <si>
    <t xml:space="preserve">https://www.wholefoodsmarket.com/api/search?text=seed%20%2B%20mill%20halva&amp;store=10773&amp;limit=60&amp;offset=0</t>
  </si>
  <si>
    <t xml:space="preserve">Simons</t>
  </si>
  <si>
    <t xml:space="preserve">https://www.seedandmill.com/a/press-kit</t>
  </si>
  <si>
    <t xml:space="preserve">Molenaar</t>
  </si>
  <si>
    <t xml:space="preserve">Gated out: health-claim: explicit health claim in the brand's own copy (opened 2026-10-24): 'Phytosterols are plant compounds known to help reduce cholesterol; Anti-Inflam.</t>
  </si>
  <si>
    <t xml:space="preserve">Rachel Simons</t>
  </si>
  <si>
    <t xml:space="preserve">Brand press kit quotes a 2022 article: "Rachel Simons, the Australian-born CEO and Co-Founder of Seed + Mill". About page names three founders, Lisa, Rachel and Monica. Stage 1 source (Goldbelly) returned 403 today.</t>
  </si>
  <si>
    <t xml:space="preserve">Monica Molenaar</t>
  </si>
  <si>
    <t xml:space="preserve">health-claim: explicit health claim in the brand's own copy (opened 2026-10-24): 'Phytosterols are plant compounds known to help reduce cholesterol; Anti-Inflammatory; supporting skin elasticity' (https://www.seedandmill.com/pages/about-sesame)</t>
  </si>
  <si>
    <t xml:space="preserve">Brand FAQ: 'Halva lasts for 4-6 months when stored in a cool, dry place' and 'Halva does not require refrigeration.'</t>
  </si>
  <si>
    <t xml:space="preserve">explicit health claim in the brand's own copy (opened 2026-10-24): 'Phytosterols are plant compounds known to help reduce cholesterol; Anti-Inflammatory; supporting skin elasticity' (https://www.seedandmill.com/pages/about-sesame)</t>
  </si>
  <si>
    <t xml:space="preserve">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</si>
  <si>
    <t xml:space="preserve">Seed + Mill shop (brand_claim, 11.4 blocks out);Chelsea Market Baskets (brand_claim, 11.4 blocks out)</t>
  </si>
  <si>
    <t xml:space="preserve">500+ retailers (brand where-to-buy page); Whole Foods</t>
  </si>
  <si>
    <t xml:space="preserve">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</si>
  <si>
    <t xml:space="preserve">https://www.instagram.com/seedandmill/</t>
  </si>
  <si>
    <t xml:space="preserve">BR2:10</t>
  </si>
  <si>
    <t xml:space="preserve">Opened in Chelsea Market January 2016 per brand about page. Health_claim_flag set from a brand education page, not from a product label; founder to judge. Halva is a sesame confection, filed under chocolate-candy.</t>
  </si>
  <si>
    <t xml:space="preserve">shelf_stable_basis &lt;- https://www.seedandmill.com/pages/faq (2026-10-24, opened); founder_name &lt;- https://www.goldbelly.com/restaurants/seed-mill/best-seller-halva-trio (2026-10-24, opened); excluded &lt;- https://www.seedandmill.com/pages/about-sesame (2026-10-24, stage 3 correction); exclusion_reason &lt;- https://www.seedandmill.com/pages/about-sesame (2026-10-24, stage 3 correction); </t>
  </si>
  <si>
    <t xml:space="preserve">AB-162</t>
  </si>
  <si>
    <t xml:space="preserve">COAQUA</t>
  </si>
  <si>
    <t xml:space="preserve">Jack's Market, 115 W 31st St</t>
  </si>
  <si>
    <t xml:space="preserve">Added to Pop Up Grocer's NYC Flagship directory; new 14-pack variety case listed on own store 2026-10-20</t>
  </si>
  <si>
    <t xml:space="preserve">https://popupgrocer.com/products/coaqua</t>
  </si>
  <si>
    <t xml:space="preserve">https://www.drinkcoaqua.com/pages/store-locator</t>
  </si>
  <si>
    <t xml:space="preserve">COAQUA young green coconut water, 12 fl oz can (OG Still; Espresso'd; Lemony Passion)</t>
  </si>
  <si>
    <t xml:space="preserve">Ponte Vedra Beach</t>
  </si>
  <si>
    <t xml:space="preserve">https://www.drinkcoaqua.com</t>
  </si>
  <si>
    <t xml:space="preserve">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</si>
  <si>
    <t xml:space="preserve">Bruckel</t>
  </si>
  <si>
    <t xml:space="preserve">https://www.drinkcoaqua.com/pages/about-us</t>
  </si>
  <si>
    <t xml:space="preserve">Anthony</t>
  </si>
  <si>
    <t xml:space="preserve">Cadieux II</t>
  </si>
  <si>
    <t xml:space="preserve">Co Founder)</t>
  </si>
  <si>
    <t xml:space="preserve">Gated out: health-claim: explicit health claim in the brand's own copy (opened 2026-10-24): 'From boosting hydration to aiding digestion and even improving heart health' (.</t>
  </si>
  <si>
    <t xml:space="preserve">Justin Bruckel</t>
  </si>
  <si>
    <t xml:space="preserve">Anthony Cadieux II</t>
  </si>
  <si>
    <t xml:space="preserve">health-claim: explicit health claim in the brand's own copy (opened 2026-10-24): 'From boosting hydration to aiding digestion and even improving heart health' (https://www.drinkcoaqua.com/pages/about-us)</t>
  </si>
  <si>
    <t xml:space="preserve">Canned coconut water; no storage statement found on site</t>
  </si>
  <si>
    <t xml:space="preserve">explicit health claim in the brand's own copy (opened 2026-10-24): 'From boosting hydration to aiding digestion and even improving heart health' (https://www.drinkcoaqua.com/pages/about-us)</t>
  </si>
  <si>
    <t xml:space="preserve">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</si>
  <si>
    <t xml:space="preserve">Westside Market; Lincoln Market; D'Agostino; Gristedes; Jack's Market; Elm Drugs (brand Stockist locator, 48 points, 18 near the cluster); Pop Up Grocer NYC Flagship (Pop Up Grocer directory)</t>
  </si>
  <si>
    <t xml:space="preserve">https://www.drinkcoaqua.com/pages/store-locator; https://stockist.co/api/v1/u12267/locations/search?latitude=40.7400&amp;longitude=-73.9900&amp;distance=3; https://popupgrocer.com/products/coaqua</t>
  </si>
  <si>
    <t xml:space="preserve">https://www.instagram.com/coaqua</t>
  </si>
  <si>
    <t xml:space="preserve">BR3:36</t>
  </si>
  <si>
    <t xml:space="preserve">Stockist query 2026-10-23: 48 locations total, heavily NYC (Westside Market, D'Agostino, Gristedes), so likely NYC-based but HQ unconfirmed. Pop Up Grocer directory entry dated 2026-07-01, availability 'NYC Flagship'. Strong near-cluster footprint.</t>
  </si>
  <si>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excluded &lt;- https://www.drinkcoaqua.com/pages/about-us (2026-10-24, stage 3 correction); exclusion_reason &lt;- https://www.drinkcoaqua.com/pages/about-us (2026-10-24, stage 3 correction); </t>
  </si>
  <si>
    <t xml:space="preserve">AB-197</t>
  </si>
  <si>
    <t xml:space="preserve">Corpse Reviver</t>
  </si>
  <si>
    <t xml:space="preserve">Bourke Street Bakery, 15 E 28th St</t>
  </si>
  <si>
    <t xml:space="preserve">https://drinkcorpsereviver.com/pages/about-us</t>
  </si>
  <si>
    <t xml:space="preserve">Corpse Reviver tea-based sparkling hydration drink, can</t>
  </si>
  <si>
    <t xml:space="preserve">https://drinkcorpsereviver.com</t>
  </si>
  <si>
    <t xml:space="preserve">Anna</t>
  </si>
  <si>
    <t xml:space="preserve">Zesbaugh</t>
  </si>
  <si>
    <t xml:space="preserve">Gated out: health-claim: Structure or function claims: 'Zinc to support immunity', 'Magnesium to support energy and muscle comfort', 'L-theanine for calm, focused vibes'.</t>
  </si>
  <si>
    <t xml:space="preserve">Anna Zesbaugh</t>
  </si>
  <si>
    <t xml:space="preserve">health-claim: Structure or function claims: 'Zinc to support immunity', 'Magnesium to support energy and muscle comfort', 'L-theanine for calm, focused vibes'</t>
  </si>
  <si>
    <t xml:space="preserve">Structure or function claims: 'Zinc to support immunity', 'Magnesium to support energy and muscle comfort', 'L-theanine for calm, focused vibes'</t>
  </si>
  <si>
    <t xml:space="preserve">Bourke Street Bakery, 15 E 28th St (brand_claim, inside);Fairway Market Chelsea, 55 W 25th St (brand_claim, inside);Fraiche, 36 Lexington Ave (brand_claim, 0.9 blocks out);Lincoln Market, 501 6th Ave (brand_claim, 1.2 blocks out);West Side Market, 170 W 23rd St (brand_claim, 2.0 blocks out)</t>
  </si>
  <si>
    <t xml:space="preserve">Fairway; West Side Market; Lincoln Market; Fraiche; Bourke Street Bakery (brand Storepoint locator: 75 points, 35 near the cluster)</t>
  </si>
  <si>
    <t xml:space="preserve">https://drinkcorpsereviver.com/pages/find-us; https://api.storepoint.co/v1/165e8ec022755b/locations?lat=40.7400&amp;long=-73.9900&amp;radius=3</t>
  </si>
  <si>
    <t xml:space="preserve">BR3:71</t>
  </si>
  <si>
    <t xml:space="preserve">Founder came from hospitality (furloughed in 2020). Very dense near-cluster footprint, so worth noting if claims change.</t>
  </si>
  <si>
    <t xml:space="preserve">AB-185</t>
  </si>
  <si>
    <t xml:space="preserve">CHUH Matcha</t>
  </si>
  <si>
    <t xml:space="preserve">Launched two new flavors as the brand reached 200 retail doors (Startup CPG Newswire, 2026-06-24); first month after launch: 2,000 cans sold and 19 retail accounts (2025-08-27)</t>
  </si>
  <si>
    <t xml:space="preserve">https://startupcpg.com/startup-cpg-newswire-chuh-matcha-launches-two-new-flavors-as-brand-reaches-200-retail-doors/</t>
  </si>
  <si>
    <t xml:space="preserve">https://www.chuhmatcha.com/pages/about</t>
  </si>
  <si>
    <t xml:space="preserve">CHUH ceremonial-grade organic canned matcha latte (Lavender, Creme Brulee)</t>
  </si>
  <si>
    <t xml:space="preserve">Georgetown (press dateline and PO box); contact page lists an office unit in Bath, ME</t>
  </si>
  <si>
    <t xml:space="preserve">https://www.chuhmatcha.com</t>
  </si>
  <si>
    <t xml:space="preserve">Caffeinated matcha latte with dairy (allergen line); 'crash-free, slow-release caffeine' wording borders on function claims; no current NYC retailer confirmed; 60-day shelf life not stated</t>
  </si>
  <si>
    <t xml:space="preserve">Schundler</t>
  </si>
  <si>
    <t xml:space="preserve">https://startupcpg.com/startup-cpg-newswire-chuh-celebrates-successful-first-month-launch-with-2000-cans-sold-and-19-retail-accounts/</t>
  </si>
  <si>
    <t xml:space="preserve">Gated out: health-claim: explicit health claim on the brand's homepage (opened 2026-10-24): 'These antioxidants fight free radicals and support your immune system daily'.</t>
  </si>
  <si>
    <t xml:space="preserve">Andrew Schundler</t>
  </si>
  <si>
    <t xml:space="preserve">health-claim: explicit health claim on the brand's homepage (opened 2026-10-24): 'These antioxidants fight free radicals and support your immune system daily'</t>
  </si>
  <si>
    <t xml:space="preserve">No storage statement read in FAQ</t>
  </si>
  <si>
    <t xml:space="preserve">explicit health claim on the brand's homepage (opened 2026-10-24): 'These antioxidants fight free radicals and support your immune system daily'</t>
  </si>
  <si>
    <t xml:space="preserve">Pop Up Grocer (past brand, directory); store-location page lists retailers but text not readable</t>
  </si>
  <si>
    <t xml:space="preserve">https://popupgrocer.com/products/chuh-matcha</t>
  </si>
  <si>
    <t xml:space="preserve">https://instagram.com/chuhmatcha</t>
  </si>
  <si>
    <t xml:space="preserve">BR3:59</t>
  </si>
  <si>
    <t xml:space="preserve">About page title: 'Organic Canned Matcha Latte from Georgetown, ME'. Northeast brand. Dates are Shopify publish dates.</t>
  </si>
  <si>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</si>
  <si>
    <t xml:space="preserve">AB-257</t>
  </si>
  <si>
    <t xml:space="preserve">Chenzi</t>
  </si>
  <si>
    <t xml:space="preserve">Introduced Chinese potato balls; exhibited in Startup CPG section at Summer Fancy Food 2026</t>
  </si>
  <si>
    <t xml:space="preserve">https://startupcpg.com/startup-cpg-newswire-chenzi-introduces-chinese-potato-ball-bringing-a-regional-chinese-dish-to-the-u-s-specialty-food-market/</t>
  </si>
  <si>
    <t xml:space="preserve">Chinese potato balls (frozen)</t>
  </si>
  <si>
    <t xml:space="preserve">New York (release datelined New York, NY)</t>
  </si>
  <si>
    <t xml:space="preserve">Christina</t>
  </si>
  <si>
    <t xml:space="preserve">Chen</t>
  </si>
  <si>
    <t xml:space="preserve">Gated out: excluded-category: Frozen; needs preparation.</t>
  </si>
  <si>
    <t xml:space="preserve">Christina Chen</t>
  </si>
  <si>
    <t xml:space="preserve">excluded-category;not-shelf-stable;no-buy-path</t>
  </si>
  <si>
    <t xml:space="preserve">excluded-category: Frozen; needs preparation | not-shelf-stable: Frozen; needs preparation | no-buy-path: no graded store within ten blocks and no online store shown (online store unknown)</t>
  </si>
  <si>
    <t xml:space="preserve">https://chenzi.co</t>
  </si>
  <si>
    <t xml:space="preserve">Release: brings the dish 'to the commercial frozen aisle'</t>
  </si>
  <si>
    <t xml:space="preserve">Frozen; needs preparation</t>
  </si>
  <si>
    <t xml:space="preserve">BR4:52</t>
  </si>
  <si>
    <t xml:space="preserve">Recorded so the gate is visible.</t>
  </si>
  <si>
    <t xml:space="preserve">AB-054</t>
  </si>
  <si>
    <t xml:space="preserve">Coditos</t>
  </si>
  <si>
    <t xml:space="preserve">Launched Avocado Oil Crunchy Macaronis</t>
  </si>
  <si>
    <t xml:space="preserve">https://www.snackandbakery.com/articles/116329-coditos-expands-crunchy-macaronis-snack-line</t>
  </si>
  <si>
    <t xml:space="preserve">Coditos Crunchy Macaronis, Avocado Oil, 2.82 oz</t>
  </si>
  <si>
    <t xml:space="preserve">Rodolfo</t>
  </si>
  <si>
    <t xml:space="preserve">Saccoman</t>
  </si>
  <si>
    <t xml:space="preserve">Yezmin</t>
  </si>
  <si>
    <t xml:space="preserve">León</t>
  </si>
  <si>
    <t xml:space="preserve">Gated out: no-buy-path: no graded store within ten blocks and no online store shown (online store unknown).</t>
  </si>
  <si>
    <t xml:space="preserve">Rodolfo Saccoman</t>
  </si>
  <si>
    <t xml:space="preserve">Yezmin León</t>
  </si>
  <si>
    <t xml:space="preserve">no-buy-path</t>
  </si>
  <si>
    <t xml:space="preserve">no-buy-path: no graded store within ten blocks and no online store shown (online store unknown)</t>
  </si>
  <si>
    <t xml:space="preserve">https://www.coditos.com</t>
  </si>
  <si>
    <t xml:space="preserve">Trade press calls it a crispy, shelf-stable snack</t>
  </si>
  <si>
    <t xml:space="preserve">250+ retail locations (trade press)</t>
  </si>
  <si>
    <t xml:space="preserve">https://www.wholefoodsmarket.com/search?text=coditos (no results in cluster stores, 2026-10-23)</t>
  </si>
  <si>
    <t xml:space="preserve">BR1:55</t>
  </si>
  <si>
    <t xml:space="preserve">Miami-born (Hialeah) family recipe. Site rendered no text without JavaScript; online store unconfirmed.</t>
  </si>
  <si>
    <t xml:space="preserve">AB-038</t>
  </si>
  <si>
    <t xml:space="preserve">Gheelish</t>
  </si>
  <si>
    <t xml:space="preserve">Trade-press feature on growth from kitchen to 4,000+ stores; tortilla chips line added</t>
  </si>
  <si>
    <t xml:space="preserve">https://www.snackandbakery.com/articles/116281-gheelish-clarifies-the-brands-better-for-you-snack-growth</t>
  </si>
  <si>
    <t xml:space="preserve">https://www.gheelish.com/pages/about-us</t>
  </si>
  <si>
    <t xml:space="preserve">Gheelish organic popcorn popped in grass-fed ghee, Lightly Buttered</t>
  </si>
  <si>
    <t xml:space="preserve">Raleigh</t>
  </si>
  <si>
    <t xml:space="preserve">https://www.gheelish.com</t>
  </si>
  <si>
    <t xml:space="preserve">Founder interview says ghee fats 'support gut and immune health' (press, not pack); new line is protein cookies; no NYC retailer found; scale signal in the why-now ('4,000+ stores'): likely above the $10M band; ask at intake; single-serve pack not shown on the pages read: ask on the first call</t>
  </si>
  <si>
    <t xml:space="preserve">Darin</t>
  </si>
  <si>
    <t xml:space="preserve">Alpert</t>
  </si>
  <si>
    <t xml:space="preserve">Founder/CEO</t>
  </si>
  <si>
    <t xml:space="preserve">Gated out: health-claim: explicit health claim in the brand's own copy (opened 2026-10-24): 'butyrate, a short-chain fatty acid linked to gut health' (https://www.gheelish.</t>
  </si>
  <si>
    <t xml:space="preserve">Darin Alpert</t>
  </si>
  <si>
    <t xml:space="preserve">health-claim: explicit health claim in the brand's own copy (opened 2026-10-24): 'butyrate, a short-chain fatty acid linked to gut health' (https://www.gheelish.com/pages/why-ghee)</t>
  </si>
  <si>
    <t xml:space="preserve">nutrient-claim;scale;format-unconfirmed</t>
  </si>
  <si>
    <t xml:space="preserve">Bagged air-popped popcorn and tortilla chips, ambient</t>
  </si>
  <si>
    <t xml:space="preserve">explicit health claim in the brand's own copy (opened 2026-10-24): 'butyrate, a short-chain fatty acid linked to gut health' (https://www.gheelish.com/pages/why-ghee)</t>
  </si>
  <si>
    <t xml:space="preserve">Sprouts (nationwide); 4,000+ stores (brand story page)</t>
  </si>
  <si>
    <t xml:space="preserve">https://www.wholefoodsmarket.com/search?text=gheelish (no results in cluster stores, 2026-10-23)</t>
  </si>
  <si>
    <t xml:space="preserve">BR1:39</t>
  </si>
  <si>
    <t xml:space="preserve">Business address in privacy policy is Raleigh NC. Brand story names co-founder Kelly (first name).</t>
  </si>
  <si>
    <t xml:space="preserve">excluded &lt;- https://www.gheelish.com/pages/why-ghee (2026-10-24, stage 3 correction); exclusion_reason &lt;- https://www.gheelish.com/pages/why-ghee (2026-10-24, stage 3 correction); </t>
  </si>
  <si>
    <t xml:space="preserve">AB-011</t>
  </si>
  <si>
    <t xml:space="preserve">Jöey Nordic Seed Crisps</t>
  </si>
  <si>
    <t xml:space="preserve">Won 2026 Startup CPG Shelfie Award, Healthy Snack category</t>
  </si>
  <si>
    <t xml:space="preserve">https://startupcpg.com/startup-cpg-newswire-joey-nordic-seed-crisps-wins-2026-shelfie-award-in-the-health-snack-category/</t>
  </si>
  <si>
    <t xml:space="preserve">https://joeynordicseedcrisps.com/pages/our-founder</t>
  </si>
  <si>
    <t xml:space="preserve">Jöey Rosemary &amp; Black Pepper Nordic Seed Crisps</t>
  </si>
  <si>
    <t xml:space="preserve">Toronto</t>
  </si>
  <si>
    <t xml:space="preserve">https://joeynordicseedcrisps.com</t>
  </si>
  <si>
    <t xml:space="preserve">Canadian brand (Toronto); US shipping of 275 units and US product liability coverage need checking; single-serve pack not shown on the pages read: ask on the first call</t>
  </si>
  <si>
    <t xml:space="preserve">Joseph</t>
  </si>
  <si>
    <t xml:space="preserve">Goodwin</t>
  </si>
  <si>
    <t xml:space="preserve">Press contact named on release</t>
  </si>
  <si>
    <t xml:space="preserve">Gated out: health-claim: explicit health claim in the brand's own copy (opened 2026-10-24): 'these seeds help boost immunity and promote better sleep quality; sunflower se.</t>
  </si>
  <si>
    <t xml:space="preserve">Joseph Chen</t>
  </si>
  <si>
    <t xml:space="preserve">Zach Goodwin</t>
  </si>
  <si>
    <t xml:space="preserve">health-claim: explicit health claim in the brand's own copy (opened 2026-10-24): 'these seeds help boost immunity and promote better sleep quality; sunflower seeds 'support heart health'' (https://joeynordicseedcrisps.com/pages/our-7-organic-super-seeds)</t>
  </si>
  <si>
    <t xml:space="preserve">Brand wholesale FAQ: 'can be stored for 9 months (up to 274 days)' in a cool, dry place.</t>
  </si>
  <si>
    <t xml:space="preserve">explicit health claim in the brand's own copy (opened 2026-10-24): 'these seeds help boost immunity and promote better sleep quality; sunflower seeds 'support heart health'' (https://joeynordicseedcrisps.com/pages/our-7-organic-super-seeds)</t>
  </si>
  <si>
    <t xml:space="preserve">https://popupgrocer.com/pages/directory (availability 'NYC Flagship', 2026-10-23); https://popupgrocer.com/products/joey-nordic-seed-crisps</t>
  </si>
  <si>
    <t xml:space="preserve">https://instagram.com/joeyseedcrisps</t>
  </si>
  <si>
    <t xml:space="preserve">BR1:12</t>
  </si>
  <si>
    <t xml:space="preserve">Founder previously worked at Kraft, Unilever, Hershey, McDonald's, Mondelez (founder page). Release datelined Toronto ON.</t>
  </si>
  <si>
    <t xml:space="preserve">shelf_stable_basis &lt;- https://joeynordicseedcrisps.com/pages/wholesale (2026-10-24, opened); excluded &lt;- https://joeynordicseedcrisps.com/pages/our-7-organic-super-seeds (2026-10-24, stage 3 correction); exclusion_reason &lt;- https://joeynordicseedcrisps.com/pages/our-7-organic-super-seeds (2026-10-24, stage 3 correction); </t>
  </si>
  <si>
    <t xml:space="preserve">AB-254</t>
  </si>
  <si>
    <t xml:space="preserve">NOON WORLD</t>
  </si>
  <si>
    <t xml:space="preserve">Launched into 878 Target doors</t>
  </si>
  <si>
    <t xml:space="preserve">https://startupcpg.com/startup-cpg-newswire-noon-world-launches-into-878-target-doors/</t>
  </si>
  <si>
    <t xml:space="preserve">SLEEP, FOCUS and CHILL cognitive-wellness supplements</t>
  </si>
  <si>
    <t xml:space="preserve">single-serve pack not shown on the pages read: ask on the first call; 60-day shelf life not stated</t>
  </si>
  <si>
    <t xml:space="preserve">Jane</t>
  </si>
  <si>
    <t xml:space="preserve">Kate Wong</t>
  </si>
  <si>
    <t xml:space="preserve">Gated out: excluded-category: Dietary supplement with cognitive-wellness claims (sold in Target's supplement assortment).</t>
  </si>
  <si>
    <t xml:space="preserve">Jane Kate Wong</t>
  </si>
  <si>
    <t xml:space="preserve">excluded-category;health-claim;no-buy-path</t>
  </si>
  <si>
    <t xml:space="preserve">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</si>
  <si>
    <t xml:space="preserve">https://noon.world</t>
  </si>
  <si>
    <t xml:space="preserve">Dietary supplement with cognitive-wellness claims (sold in Target's supplement assortment)</t>
  </si>
  <si>
    <t xml:space="preserve">BR4:49</t>
  </si>
  <si>
    <t xml:space="preserve">AB-053</t>
  </si>
  <si>
    <t xml:space="preserve">Nick's Sticks (Wenzel's Farm)</t>
  </si>
  <si>
    <t xml:space="preserve">Launched 0.9 oz grab-and-go sticks in a 24-count retail caddy (beef, chicken, turkey)</t>
  </si>
  <si>
    <t xml:space="preserve">https://www.snackandbakery.com/articles/116494-nicks-sticks-offers-retail-ready-caddy-display</t>
  </si>
  <si>
    <t xml:space="preserve">Nick's Sticks grass-fed Beef Stick, 0.9 oz (24-count caddy)</t>
  </si>
  <si>
    <t xml:space="preserve">Marshfield</t>
  </si>
  <si>
    <t xml:space="preserve">Part of Wenzel's Farm (established meat producer); protein and calorie comparisons in release</t>
  </si>
  <si>
    <t xml:space="preserve">Nick</t>
  </si>
  <si>
    <t xml:space="preserve">Wallace</t>
  </si>
  <si>
    <t xml:space="preserve">https://www.cspdailynews.com/snacks-candy/wenzels-farm-buys-nicks-sticks</t>
  </si>
  <si>
    <t xml:space="preserve">Nick Wallace</t>
  </si>
  <si>
    <t xml:space="preserve">brand founder, Keystone, Iowa as of 2017</t>
  </si>
  <si>
    <t xml:space="preserve">https://nickssticks.com</t>
  </si>
  <si>
    <t xml:space="preserve">Shelf-stable meat sticks in a grab-and-go 0.9 oz format (trade press)</t>
  </si>
  <si>
    <t xml:space="preserve">https://www.wholefoodsmarket.com/search?text=nick%27s%20sticks (no results in cluster stores, 2026-10-23)</t>
  </si>
  <si>
    <t xml:space="preserve">BR1:54</t>
  </si>
  <si>
    <t xml:space="preserve">Brand site responded but rendered no text without JavaScript. 0.9 oz singles fit the office format well.</t>
  </si>
  <si>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</si>
  <si>
    <t xml:space="preserve">AB-221</t>
  </si>
  <si>
    <t xml:space="preserve">Quincy</t>
  </si>
  <si>
    <t xml:space="preserve">Launched in 178 The Fresh Market doors</t>
  </si>
  <si>
    <t xml:space="preserve">https://startupcpg.com/startup-cpg-newswire-quincy-launches-in-178-doors-with-the-fresh-market/</t>
  </si>
  <si>
    <t xml:space="preserve">Dirty martini brine and olive mix, jar (about 14 martinis per jar)</t>
  </si>
  <si>
    <t xml:space="preserve">no individually packaged single-serve SKU on the pages read (check for one before outreach); 60-day shelf life not stated</t>
  </si>
  <si>
    <t xml:space="preserve">Halli</t>
  </si>
  <si>
    <t xml:space="preserve">Sigel</t>
  </si>
  <si>
    <t xml:space="preserve">Gated out: excluded-category: Cocktail mixer and garnish in a multi-serve jar: needs preparation, not individually packaged, and tied to alcohol use.</t>
  </si>
  <si>
    <t xml:space="preserve">Halli Sigel</t>
  </si>
  <si>
    <t xml:space="preserve">excluded-category;no-buy-path</t>
  </si>
  <si>
    <t xml:space="preserve">excluded-category: Cocktail mixer and garnish in a multi-serve jar: needs preparation, not individually packaged, and tied to alcohol use | no-buy-path: no graded store within ten blocks and no online store shown (online store unknown)</t>
  </si>
  <si>
    <t xml:space="preserve">https://drinkquincy.com</t>
  </si>
  <si>
    <t xml:space="preserve">Jarred mixer; storage not checked</t>
  </si>
  <si>
    <t xml:space="preserve">Cocktail mixer and garnish in a multi-serve jar: needs preparation, not individually packaged, and tied to alcohol use</t>
  </si>
  <si>
    <t xml:space="preserve">The Fresh Market (178 doors, July 2026); 250+ specialty doors</t>
  </si>
  <si>
    <t xml:space="preserve">BR4:16</t>
  </si>
  <si>
    <t xml:space="preserve">Recorded only so the gate is visible. The mix itself contains no alcohol (release), but the product is a martini mixer.</t>
  </si>
  <si>
    <t xml:space="preserve">AB-255</t>
  </si>
  <si>
    <t xml:space="preserve">Scott's Protein Balls</t>
  </si>
  <si>
    <t xml:space="preserve">Expanded from 86 to 350 Target stores in four months; exhibited at Summer Fancy Food Show 2026 (Javits)</t>
  </si>
  <si>
    <t xml:space="preserve">https://startupcpg.com/startup-cpg-newswire-scotts-protein-balls-expands-from-86-to-350-target-stores-nationwide-in-four-months/</t>
  </si>
  <si>
    <t xml:space="preserve">Plant-protein balls (oats, flax, chia)</t>
  </si>
  <si>
    <t xml:space="preserve">Plainview (Long Island)</t>
  </si>
  <si>
    <t xml:space="preserve">Lori</t>
  </si>
  <si>
    <t xml:space="preserve">Gated out: not-shelf-stable: Refrigerated.</t>
  </si>
  <si>
    <t xml:space="preserve">Lori Levine</t>
  </si>
  <si>
    <t xml:space="preserve">not-shelf-stable;no-buy-path</t>
  </si>
  <si>
    <t xml:space="preserve">not-shelf-stable: Refrigerated | no-buy-path: no graded store within ten blocks and no online store shown (online store unknown)</t>
  </si>
  <si>
    <t xml:space="preserve">http://www.scottsproteinballs.com</t>
  </si>
  <si>
    <t xml:space="preserve">Release: 'fresh, refrigerated snacks'</t>
  </si>
  <si>
    <t xml:space="preserve">Refrigerated</t>
  </si>
  <si>
    <t xml:space="preserve">Target (350 stores nationwide, July 2026)</t>
  </si>
  <si>
    <t xml:space="preserve">BR4:50</t>
  </si>
  <si>
    <t xml:space="preserve">AB-156</t>
  </si>
  <si>
    <t xml:space="preserve">Slate Milk</t>
  </si>
  <si>
    <t xml:space="preserve">LAGO completed a strategic financing facility for Slate (2026-08-19, size not disclosed); raised a 23M Series B to scale US retail distribution (2025-09-22)</t>
  </si>
  <si>
    <t xml:space="preserve">https://www.abfjournal.com/?p=171272</t>
  </si>
  <si>
    <t xml:space="preserve">https://slatemilk.com/pages/our-story</t>
  </si>
  <si>
    <t xml:space="preserve">Slate 20g Protein Milk Shake / Protein Iced Coffee, can</t>
  </si>
  <si>
    <t xml:space="preserve">Boston area (Westwood, MA mailing address; press says Boston-based)</t>
  </si>
  <si>
    <t xml:space="preserve">https://slatemilk.com</t>
  </si>
  <si>
    <t xml:space="preserve">Protein positioning (20g to 42g protein, 0g added sugar) is a nutrient-content claim; dairy product (lactose-free) needs allergen care; possibly above $10M (no figure)</t>
  </si>
  <si>
    <t xml:space="preserve">Manny</t>
  </si>
  <si>
    <t xml:space="preserve">Lubin</t>
  </si>
  <si>
    <t xml:space="preserve">Josh</t>
  </si>
  <si>
    <t xml:space="preserve">Belinsky</t>
  </si>
  <si>
    <t xml:space="preserve">Gated out: health-claim: explicit health claim in the brand's own copy (opened 2026-10-24): 'Our products aid in muscle recovery, strength-building' (https://slatemilk.com.</t>
  </si>
  <si>
    <t xml:space="preserve">Manny Lubin</t>
  </si>
  <si>
    <t xml:space="preserve">Josh Belinsky</t>
  </si>
  <si>
    <t xml:space="preserve">health-claim: explicit health claim in the brand's own copy (opened 2026-10-24): 'Our products aid in muscle recovery, strength-building' (https://slatemilk.com/pages/our-story)</t>
  </si>
  <si>
    <t xml:space="preserve">Series B (23M, 2025-09); debt facility from LAGO (2026-08)</t>
  </si>
  <si>
    <t xml:space="preserve">Brand FAQ: 'Our Slate Cans do NOT require refrigeration and remain shelf-stable in your cabinet for months' (slatemilk.com/pages/slate-faqs, opened 2026-10-23)</t>
  </si>
  <si>
    <t xml:space="preserve">explicit health claim in the brand's own copy (opened 2026-10-24): 'Our products aid in muscle recovery, strength-building' (https://slatemilk.com/pages/our-story)</t>
  </si>
  <si>
    <t xml:space="preserve">unknown (GoToAisle 'Find Stores' widget not readable)</t>
  </si>
  <si>
    <t xml:space="preserve">https://www.instagram.com/slatemilk</t>
  </si>
  <si>
    <t xml:space="preserve">BR3:30</t>
  </si>
  <si>
    <t xml:space="preserve">Story page: Kickstarter, then ABC Shark Tank appearance. HQ not stated on pages read. Date is Shopify publish date.</t>
  </si>
  <si>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excluded &lt;- https://slatemilk.com/pages/our-story (2026-10-24, stage 3 correction); exclusion_reason &lt;- https://slatemilk.com/pages/our-story (2026-10-24, stage 3 correction); </t>
  </si>
  <si>
    <t xml:space="preserve">AB-256</t>
  </si>
  <si>
    <t xml:space="preserve">Small Town Cultures</t>
  </si>
  <si>
    <t xml:space="preserve">Debuted Grab &amp; Go kimchi pouches at Summer Fancy Food Show 2026 (NYC)</t>
  </si>
  <si>
    <t xml:space="preserve">https://startupcpg.com/startup-cpg-newswire-west-indies-peppa-sauce-wips-celebrates-caribbean-heritage-month-at-the-summer-fancy-food-show-and-essence-festival-of-culture/</t>
  </si>
  <si>
    <t xml:space="preserve">Grab &amp; Go kimchi pouches (fresh, living fermented vegetables)</t>
  </si>
  <si>
    <t xml:space="preserve">Plattsburgh</t>
  </si>
  <si>
    <t xml:space="preserve">Cori</t>
  </si>
  <si>
    <t xml:space="preserve">Deans</t>
  </si>
  <si>
    <t xml:space="preserve">Gated out: health-claim: Fresh fermented product (refrigerated) and gut-health positioning ('support gut health').</t>
  </si>
  <si>
    <t xml:space="preserve">Cori Deans</t>
  </si>
  <si>
    <t xml:space="preserve">health-claim;not-shelf-stable;no-buy-path</t>
  </si>
  <si>
    <t xml:space="preserve">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</si>
  <si>
    <t xml:space="preserve">https://www.instagram.com/smalltowncultures/</t>
  </si>
  <si>
    <t xml:space="preserve">Release: 'fresh, living fermented vegetables'</t>
  </si>
  <si>
    <t xml:space="preserve">Fresh fermented product (refrigerated) and gut-health positioning ('support gut health')</t>
  </si>
  <si>
    <t xml:space="preserve">BR4:51</t>
  </si>
  <si>
    <t xml:space="preserve">Recorded so the gate is visible. Startup CPG post slug is mislabelled (WIPS) but the post is the Small Town Cultures release.</t>
  </si>
  <si>
    <t xml:space="preserve">AB-042</t>
  </si>
  <si>
    <t xml:space="preserve">Terranean</t>
  </si>
  <si>
    <t xml:space="preserve">Launched Avocado Oil Pita Chips with World Market rollout (June 2026); Spicy Za'atar Pita Chips added 2026-08-16</t>
  </si>
  <si>
    <t xml:space="preserve">https://startupcpg.com/startup-cpg-newswire-terranean-expands-avocado-oil-pita-chips-and-national-retail-presence/</t>
  </si>
  <si>
    <t xml:space="preserve">https://terraneanherbs.com/pages/about-us</t>
  </si>
  <si>
    <t xml:space="preserve">Terranean Za'atar Pita Chips ($6.99 bag); new Spicy Za'atar</t>
  </si>
  <si>
    <t xml:space="preserve">https://terraneanherbs.com</t>
  </si>
  <si>
    <t xml:space="preserve">Chamoun</t>
  </si>
  <si>
    <t xml:space="preserve">Founder, CPCO</t>
  </si>
  <si>
    <t xml:space="preserve">Mia</t>
  </si>
  <si>
    <t xml:space="preserve">Salvano</t>
  </si>
  <si>
    <t xml:space="preserve">Product Demo &amp; Store Relations Manager</t>
  </si>
  <si>
    <t xml:space="preserve">https://terraneanherbs.com/</t>
  </si>
  <si>
    <t xml:space="preserve">Gated out: health-claim: explicit health claim in the brand's own copy (opened 2026-10-24): 'even regulates blood sugar; It lowers inflammation and can reduce cholesterol'.</t>
  </si>
  <si>
    <t xml:space="preserve">Tina Chamoun</t>
  </si>
  <si>
    <t xml:space="preserve">Mia Salvano</t>
  </si>
  <si>
    <t xml:space="preserve">health-claim: explicit health claim in the brand's own copy (opened 2026-10-24): 'even regulates blood sugar. It lowers inflammation and can reduce cholesterol' (https://terraneanherbs.com/products/sumac)</t>
  </si>
  <si>
    <t xml:space="preserve">Twice-baked pita chips in sealed bags, ambient</t>
  </si>
  <si>
    <t xml:space="preserve">explicit health claim in the brand's own copy (opened 2026-10-24): 'even regulates blood sugar. It lowers inflammation and can reduce cholesterol' (https://terraneanherbs.com/products/sumac)</t>
  </si>
  <si>
    <t xml:space="preserve">World Market (from June 2026); Fresh Thyme Market; Sendik's; Festival Foods; Heinen's; PopUp Grocer (NYC)</t>
  </si>
  <si>
    <t xml:space="preserve">https://popupgrocer.com/pages/directory (Terranean Herbs &amp; Spices availability 'NYC Flagship', 2026-10-23); https://popupgrocer.com/products/terranean-herbs-spices</t>
  </si>
  <si>
    <t xml:space="preserve">https://instagram.com/TerraneanHerbs</t>
  </si>
  <si>
    <t xml:space="preserve">BR1:43</t>
  </si>
  <si>
    <t xml:space="preserve">Homepage banner: 'Good Housekeeping's Best of List 2026!' An award signal to pair with the May 2026 World Market launch already in why_now.</t>
  </si>
  <si>
    <t xml:space="preserve">notes &lt;- https://terraneanherbs.com/ (2026-10-24, opened); excluded &lt;- https://terraneanherbs.com/products/sumac (2026-10-24, stage 3 correction); exclusion_reason &lt;- https://terraneanherbs.com/products/sumac (2026-10-24, stage 3 correction); </t>
  </si>
  <si>
    <t xml:space="preserve">AB-220</t>
  </si>
  <si>
    <t xml:space="preserve">Unhinged</t>
  </si>
  <si>
    <t xml:space="preserve">Raised $1.1M pre-seed</t>
  </si>
  <si>
    <t xml:space="preserve">https://startupcpg.com/startup-cpg-newswire-unhinged-raises-1-1m-pre-seed/</t>
  </si>
  <si>
    <t xml:space="preserve">https://alwaysunhinged.com/pages/faq</t>
  </si>
  <si>
    <t xml:space="preserve">Chocolate + Coffee caffeine and protein bar (75mg caffeine, 11-14g protein)</t>
  </si>
  <si>
    <t xml:space="preserve">New York (privacy-policy contact address 169 Madison Avenue #11442, New York NY 10016, a mailbox-style suite; release datelined New York, NY). A Newport Beach, CA business-directory snippet lists 'Always Unhinged, Inc.' with co-founder Matt Paine in Orange County: unverified, founder to confirm.</t>
  </si>
  <si>
    <t xml:space="preserve">https://alwaysunhinged.com</t>
  </si>
  <si>
    <t xml:space="preserve">Caffeinated protein bar with L-theanine and 'No crash' wording (functional positioning); pre-seed, may be below the $500k floor (no sales figure); 60-day shelf life not stated</t>
  </si>
  <si>
    <t xml:space="preserve">Byron</t>
  </si>
  <si>
    <t xml:space="preserve">Sorrells</t>
  </si>
  <si>
    <t xml:space="preserve">https://business.newportbeach.com/directory/Details/always-unhinged-inc-4636037</t>
  </si>
  <si>
    <t xml:space="preserve">Gated out: health-claim: explicit health claim in the brand's own copy (opened 2026-10-24): 'L-theanine ..; Paired with caffeine, it smooths the curve, steady focus on the.</t>
  </si>
  <si>
    <t xml:space="preserve">Byron Sorrells</t>
  </si>
  <si>
    <t xml:space="preserve">Release (2026-10): "co-founder Byron Sorrells".</t>
  </si>
  <si>
    <t xml:space="preserve">Matt Paine</t>
  </si>
  <si>
    <t xml:space="preserve">Seen only in a search summary of a Newport Beach business directory listing (403). The listing places Always Unhinged, Inc. in Orange County, which conflicts with the New York HQ in the table.</t>
  </si>
  <si>
    <t xml:space="preserve">health-claim: explicit health claim in the brand's own copy (opened 2026-10-24): 'L-theanine ... Paired with caffeine, it smooths the curve, steady focus on the way up, no cliff on the way down' (https://alwaysunhinged.com)</t>
  </si>
  <si>
    <t xml:space="preserve">pre-seed ($1.1M, Republic Ventures participating)</t>
  </si>
  <si>
    <t xml:space="preserve">Bar sold online and via Amazon; FAQ says 'No... preservatives' and gives no shelf life, founder to confirm</t>
  </si>
  <si>
    <t xml:space="preserve">No sales figure published. Online-only, $1.1M pre-seed Oct 2026 (funding not used for band); founder to confirm</t>
  </si>
  <si>
    <t xml:space="preserve">explicit health claim in the brand's own copy (opened 2026-10-24): 'L-theanine ... Paired with caffeine, it smooths the curve, steady focus on the way up, no cliff on the way down' (https://alwaysunhinged.com)</t>
  </si>
  <si>
    <t xml:space="preserve">alwaysunhinged.com; Amazon; TikTok Shop; Faire wholesale</t>
  </si>
  <si>
    <t xml:space="preserve">https://alwaysunhinged.com/</t>
  </si>
  <si>
    <t xml:space="preserve">https://www.instagram.com/always_unhinged</t>
  </si>
  <si>
    <t xml:space="preserve">BR4:15</t>
  </si>
  <si>
    <t xml:space="preserve">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</si>
  <si>
    <t xml:space="preserve">hq_city &lt;- https://alwaysunhinged.com/policies/privacy-policy (2026-10-24, opened); notes &lt;- https://business.newportbeach.com/directory/Details/always-unhinged-inc-4636037 (2026-10-24, snippet-unverified); excluded &lt;- https://alwaysunhinged.com (2026-10-24, stage 3 correction); exclusion_reason &lt;- https://alwaysunhinged.com (2026-10-24, stage 3 correction); </t>
  </si>
  <si>
    <t xml:space="preserve">AB-258</t>
  </si>
  <si>
    <t xml:space="preserve">Wild Mannered</t>
  </si>
  <si>
    <t xml:space="preserve">First expansion outside New York (Total Wine &amp; More NJ)</t>
  </si>
  <si>
    <t xml:space="preserve">https://startupcpg.com/startup-cpg-newswire-wild-mannered-expands-its-ready-to-serve-cocktail-portfolio-into-new-jersey-retail-chains/</t>
  </si>
  <si>
    <t xml:space="preserve">Bottled ready-to-serve cocktails, 375 mL, 13% ABV</t>
  </si>
  <si>
    <t xml:space="preserve">Gu</t>
  </si>
  <si>
    <t xml:space="preserve">Gated out: excluded-category: Alcohol (13% ABV).</t>
  </si>
  <si>
    <t xml:space="preserve">Michael Gu</t>
  </si>
  <si>
    <t xml:space="preserve">excluded-category: Alcohol (13% ABV) | no-buy-path: no graded store within ten blocks and no online store shown (online store unknown)</t>
  </si>
  <si>
    <t xml:space="preserve">https://www.drinkwildmannered.com</t>
  </si>
  <si>
    <t xml:space="preserve">Alcohol (13% ABV)</t>
  </si>
  <si>
    <t xml:space="preserve">BR4:53</t>
  </si>
  <si>
    <t xml:space="preserve">AB-228</t>
  </si>
  <si>
    <t xml:space="preserve">BARIS</t>
  </si>
  <si>
    <t xml:space="preserve">National launch in 470 Sprouts stores with an exclusive Matcha flavor</t>
  </si>
  <si>
    <t xml:space="preserve">https://startupcpg.com/startup-cpg-newswire-baris-sprouts-national-launch-with-exclusive-matcha-flavor/</t>
  </si>
  <si>
    <t xml:space="preserve">2026-03-02</t>
  </si>
  <si>
    <t xml:space="preserve">Chocolate-covered frozen Patagonian raspberries</t>
  </si>
  <si>
    <t xml:space="preserve">Marcos</t>
  </si>
  <si>
    <t xml:space="preserve">Della Pia</t>
  </si>
  <si>
    <t xml:space="preserve">Gated out: not-shelf-stable: Frozen product (refrigerated or perishable).</t>
  </si>
  <si>
    <t xml:space="preserve">Marcos Della Pia</t>
  </si>
  <si>
    <t xml:space="preserve">not-shelf-stable: Frozen product (refrigerated or perishable) | no-buy-path: no graded store within ten blocks and no online store shown (online store unknown)</t>
  </si>
  <si>
    <t xml:space="preserve">https://everybaris.com</t>
  </si>
  <si>
    <t xml:space="preserve">Release: berries are 'frozen at peak ripeness'; frozen treat</t>
  </si>
  <si>
    <t xml:space="preserve">Frozen product (refrigerated or perishable)</t>
  </si>
  <si>
    <t xml:space="preserve">Sprouts Farmers Market (470 stores, national launch Feb 2026)</t>
  </si>
  <si>
    <t xml:space="preserve">BR4:23</t>
  </si>
  <si>
    <t xml:space="preserve">AB-014</t>
  </si>
  <si>
    <t xml:space="preserve">Cob</t>
  </si>
  <si>
    <t xml:space="preserve">New 'Game. Set. Snack.' tin and game bundles published on brand store</t>
  </si>
  <si>
    <t xml:space="preserve">https://cobfoods.com/products/game-set-snack-tin</t>
  </si>
  <si>
    <t xml:space="preserve">https://cobfoods.com/pages/our-story</t>
  </si>
  <si>
    <t xml:space="preserve">Cob popped sorghum snacks (Flavor Sampler; Game. Set. Snack. tin)</t>
  </si>
  <si>
    <t xml:space="preserve">New York (privacy policy mail address 1430 Broadway; contact page lists Sag Harbor NY)</t>
  </si>
  <si>
    <t xml:space="preserve">https://cobfoods.com</t>
  </si>
  <si>
    <t xml:space="preserve">Health-claim gate hinges on site copy vs pack copy; celebrity co-founder (Novak Djokovic) may mean a larger marketing budget and slower approvals; single-serve pack not shown on the pages read: ask on the first call</t>
  </si>
  <si>
    <t xml:space="preserve">Novak</t>
  </si>
  <si>
    <t xml:space="preserve">Djokovic</t>
  </si>
  <si>
    <t xml:space="preserve">Jess</t>
  </si>
  <si>
    <t xml:space="preserve">Gated out: health-claim: Site title positions the snack 'for Energy, Digestion &amp; Performance' (structure/function wording); founder may clear if this is not on pack.</t>
  </si>
  <si>
    <t xml:space="preserve">Novak Djokovic</t>
  </si>
  <si>
    <t xml:space="preserve">health-claim: Site title positions the snack 'for Energy, Digestion &amp; Performance' (structure/function wording); founder may clear if this is not on pack</t>
  </si>
  <si>
    <t xml:space="preserve">Popped sorghum snacks sold ambient online and at PopUp Grocer 'Puffs + Crunch'</t>
  </si>
  <si>
    <t xml:space="preserve">Site title positions the snack 'for Energy, Digestion &amp; Performance' (structure/function wording); founder may clear if this is not on pack</t>
  </si>
  <si>
    <t xml:space="preserve">https://popupgrocer.com/pages/directory (availability 'NYC Flagship', 2026-10-23); https://popupgrocer.com/products/cob</t>
  </si>
  <si>
    <t xml:space="preserve">https://instagram.com/cobfoods</t>
  </si>
  <si>
    <t xml:space="preserve">BR1:15</t>
  </si>
  <si>
    <t xml:space="preserve">Two business addresses on Shopify policy pages: Cob Inc., Sag Harbor NY (contact-information) and 1430 Broadway, New York NY 10018 (privacy policy mail address, Garment District). Homepage claims 20,000+ customers.</t>
  </si>
  <si>
    <t xml:space="preserve">AB-203</t>
  </si>
  <si>
    <t xml:space="preserve">GoodMood Kombucha</t>
  </si>
  <si>
    <t xml:space="preserve">Exhibited at the 2026 Summer Fancy Food Show (booth 4309A); added to Pop Up Grocer NYC Flagship (2026-09-29)</t>
  </si>
  <si>
    <t xml:space="preserve">https://popupgrocer.com/products/goodmood-kombucha-llc</t>
  </si>
  <si>
    <t xml:space="preserve">https://goodmoodkombucha.com/pages/about-us</t>
  </si>
  <si>
    <t xml:space="preserve">GoodMood Kombucha Berry Pomegranate, can</t>
  </si>
  <si>
    <t xml:space="preserve">https://goodmoodkombucha.com</t>
  </si>
  <si>
    <t xml:space="preserve">Li</t>
  </si>
  <si>
    <t xml:space="preserve">Gated out: not-shelf-stable: Refrigerated: brand says to refrigerate on arrival (living kombucha).</t>
  </si>
  <si>
    <t xml:space="preserve">Chris Li</t>
  </si>
  <si>
    <t xml:space="preserve">not-shelf-stable: Refrigerated: brand says to refrigerate on arrival (living kombucha)</t>
  </si>
  <si>
    <t xml:space="preserve">FAQ: 'As soon as it arrives, refrigerate it. Kombucha is a living product...' (goodmoodkombucha.com/pages/faq, opened 2026-10-23)</t>
  </si>
  <si>
    <t xml:space="preserve">Refrigerated: brand says to refrigerate on arrival (living kombucha)</t>
  </si>
  <si>
    <t xml:space="preserve">Pop Up Grocer NYC Flagship (directory); Summer Fancy Food Show 2026 exhibitor</t>
  </si>
  <si>
    <t xml:space="preserve">BR3:77</t>
  </si>
  <si>
    <t xml:space="preserve">About: founded in New York City in 2023; FAQ: brewed and canned in Brooklyn. Fancy Food exhibitor list read via WebFetch (events.specialtyfood.com). Recorded because it is an NYC brand, but fails the refrigeration gate.</t>
  </si>
  <si>
    <t xml:space="preserve">AB-150</t>
  </si>
  <si>
    <t xml:space="preserve">Harney &amp; Sons (bottled iced tea and juice drinks)</t>
  </si>
  <si>
    <t xml:space="preserve">New RTD SKUs: Williamsburg iced tea line (2026-01-23), Organic Hibiscus Iced Tea (2026-04-28), Lavender Lemonade Juice Drink (2026-06-26)</t>
  </si>
  <si>
    <t xml:space="preserve">https://www.harney.com/products/lavender-lemonade-juice-drink</t>
  </si>
  <si>
    <t xml:space="preserve">https://www.harney.com/pages/find-your-matcha</t>
  </si>
  <si>
    <t xml:space="preserve">Harney &amp; Sons Organic Peach Iced Tea, 12 oz can; Lavender Lemonade Juice Drink, 16 oz bottle</t>
  </si>
  <si>
    <t xml:space="preserve">Millerton</t>
  </si>
  <si>
    <t xml:space="preserve">https://www.harney.com/products/organic-peach-iced-tea-cans</t>
  </si>
  <si>
    <t xml:space="preserve">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</si>
  <si>
    <t xml:space="preserve">Harney</t>
  </si>
  <si>
    <t xml:space="preserve">Founder and President</t>
  </si>
  <si>
    <t xml:space="preserve">https://www.harney.com/pages/about-us</t>
  </si>
  <si>
    <t xml:space="preserve">Gated out: excluded-category: explicit health claim in the brand's own copy (opened 2026-10-24): 'this unique combination supports joint health, immunity, healthy digestio.</t>
  </si>
  <si>
    <t xml:space="preserve">John Harney</t>
  </si>
  <si>
    <t xml:space="preserve">excluded-category;health-claim</t>
  </si>
  <si>
    <t xml:space="preserve">excluded-category: explicit health claim in the brand's own copy (opened 2026-10-24): 'this unique combination supports joint health, immunity, healthy digestion (the brand's own site sells CBD and hemp shots with the FDA disclaimer)' (https://www.harney.com/products/the-brothers-apothecary) | health-claim: explicit health claim in the brand's own copy (opened 2026-10-24): 'this unique combination supports joint health, immunity, healthy digestion (the brand's own site sells CBD and hemp shots with the FDA disclaimer)' (https://www.harney.com/products/the-brothers-apothecary)</t>
  </si>
  <si>
    <t xml:space="preserve">claim-functional</t>
  </si>
  <si>
    <t xml:space="preserve">https://www.harney.com</t>
  </si>
  <si>
    <t xml:space="preserve">family-owned (est. 1983)</t>
  </si>
  <si>
    <t xml:space="preserve">No storage statement; cases ship via FedEx ground to the lower 48 (suggests ambient, not confirmed)</t>
  </si>
  <si>
    <t xml:space="preserve">explicit health claim in the brand's own copy (opened 2026-10-24): 'this unique combination supports joint health, immunity, healthy digestion (the brand's own site sells CBD and hemp shots with the FDA disclaimer)' (https://www.harney.com/products/the-brothers-apothecary)</t>
  </si>
  <si>
    <t xml:space="preserve">Harney &amp; Sons SoHo store and Millerton store (own shops)</t>
  </si>
  <si>
    <t xml:space="preserve">https://www.instagram.com/harneytea</t>
  </si>
  <si>
    <t xml:space="preserve">BR3:24</t>
  </si>
  <si>
    <t xml:space="preserve">Matcha page: 'family tea company in Millerton, New York, founded by John Harney in 1983 and now in its third generation'. Founder title is as printed on the about page; current day-to-day leader not confirmed. Dates are Shopify publish dates.</t>
  </si>
  <si>
    <t xml:space="preserve">founder_review_reason &lt;- https://www.harney.com/pages/the-hemp-division (2026-10-24, opened); excluded &lt;- https://www.harney.com/products/the-brothers-apothecary (2026-10-24, stage 3 correction); exclusion_reason &lt;- https://www.harney.com/products/the-brothers-apothecary (2026-10-24, stage 3 correction); </t>
  </si>
  <si>
    <t xml:space="preserve">AB-227</t>
  </si>
  <si>
    <t xml:space="preserve">Hazy Fudge</t>
  </si>
  <si>
    <t xml:space="preserve">Named 2026 sofi Gold Award finalist in Chocolate &amp; Confections</t>
  </si>
  <si>
    <t xml:space="preserve">https://startupcpg.com/startup-cpg-newswire-hazy-fudge-named-2026-sofi-gold-finalist-in-chocolate-confections/</t>
  </si>
  <si>
    <t xml:space="preserve">2025-12-19</t>
  </si>
  <si>
    <t xml:space="preserve">https://hazyfudge.com/</t>
  </si>
  <si>
    <t xml:space="preserve">Cabernet Infused spoonable fudge (2-packs online)</t>
  </si>
  <si>
    <t xml:space="preserve">Dundee</t>
  </si>
  <si>
    <t xml:space="preserve">https://hazyfudge.com</t>
  </si>
  <si>
    <t xml:space="preserve">Fitzgerald</t>
  </si>
  <si>
    <t xml:space="preserve">Gated out: excluded-category: Alcohol: homepage describes the fudge as 'Alcohol Infused' (bourbon and Cabernet Sauvignon).</t>
  </si>
  <si>
    <t xml:space="preserve">Carol Fitzgerald</t>
  </si>
  <si>
    <t xml:space="preserve">excluded-category</t>
  </si>
  <si>
    <t xml:space="preserve">excluded-category: Alcohol: homepage describes the fudge as 'Alcohol Infused' (bourbon and Cabernet Sauvignon)</t>
  </si>
  <si>
    <t xml:space="preserve">unknown (2024 Amber Grant winner per homepage)</t>
  </si>
  <si>
    <t xml:space="preserve">Made with New York dairy; storage not stated on homepage</t>
  </si>
  <si>
    <t xml:space="preserve">No sales figure published. Commercial sales since June 2024, 25+ NY retail locations (store count not used for band)</t>
  </si>
  <si>
    <t xml:space="preserve">Alcohol: homepage describes the fudge as 'Alcohol Infused' (bourbon and Cabernet Sauvignon)</t>
  </si>
  <si>
    <t xml:space="preserve">25+ New York retail locations incl. Official Taste NY stores</t>
  </si>
  <si>
    <t xml:space="preserve">BR4:22</t>
  </si>
  <si>
    <t xml:space="preserve">Recorded so the gate is visible. Finger Lakes (NY State) brand; Cornell Dairy Runway alumna per release.</t>
  </si>
  <si>
    <t xml:space="preserve">AB-230</t>
  </si>
  <si>
    <t xml:space="preserve">KEANU</t>
  </si>
  <si>
    <t xml:space="preserve">Launched inaugural product (Founder's Kits)</t>
  </si>
  <si>
    <t xml:space="preserve">https://startupcpg.com/startup-cpg-newswire-keanu-launches-their-inaugural-product-after-5-years-of-work-on-kava/</t>
  </si>
  <si>
    <t xml:space="preserve">Instant noble kava, 10 g stick packs (Founder's Kit)</t>
  </si>
  <si>
    <t xml:space="preserve">https://drinkkeanu.com</t>
  </si>
  <si>
    <t xml:space="preserve">Founder, KEANU / Nothing Special</t>
  </si>
  <si>
    <t xml:space="preserve">Gated out: excluded-category: Needs preparation (powder to whisk with water); kava is a functional/relaxant product with supplement-like positioning.</t>
  </si>
  <si>
    <t xml:space="preserve">Alex Russell</t>
  </si>
  <si>
    <t xml:space="preserve">excluded-category: Needs preparation (powder to whisk with water); kava is a functional/relaxant product with supplement-like positioning | health-claim: Needs preparation (powder to whisk with water); kava is a functional/relaxant product with supplement-like positioning</t>
  </si>
  <si>
    <t xml:space="preserve">Instant powder stick packs</t>
  </si>
  <si>
    <t xml:space="preserve">under-500k</t>
  </si>
  <si>
    <t xml:space="preserve">Startup CPG 2025-11-14: launched DTC with only 100 Founder's Kits at $79.99 (sales-volume quote)</t>
  </si>
  <si>
    <t xml:space="preserve">Needs preparation (powder to whisk with water); kava is a functional/relaxant product with supplement-like positioning</t>
  </si>
  <si>
    <t xml:space="preserve">DTC only (release)</t>
  </si>
  <si>
    <t xml:space="preserve">BR4:25</t>
  </si>
  <si>
    <t xml:space="preserve">AB-147</t>
  </si>
  <si>
    <t xml:space="preserve">Mingle Mocktails</t>
  </si>
  <si>
    <t xml:space="preserve">Espresso Martini Mocktail can listed on store</t>
  </si>
  <si>
    <t xml:space="preserve">https://www.minglemocktails.com/pages/espresso-martini</t>
  </si>
  <si>
    <t xml:space="preserve">2026-09-26</t>
  </si>
  <si>
    <t xml:space="preserve">https://www.minglemocktails.com/pages/about-mm</t>
  </si>
  <si>
    <t xml:space="preserve">Mingle Espresso Martini Mocktail can (85 mg caffeine); Cucumber Melon Mojito</t>
  </si>
  <si>
    <t xml:space="preserve">Wayne</t>
  </si>
  <si>
    <t xml:space="preserve">https://www.minglemocktails.com</t>
  </si>
  <si>
    <t xml:space="preserve">Core mocktails are fine, but the 'Mingle Mood' line uses adaptogens 'to help you feel relaxed' (structure or function wording); only the non-functional SKUs could be placed; 60-day shelf life not stated</t>
  </si>
  <si>
    <t xml:space="preserve">Founder and Chief Mingle Officer</t>
  </si>
  <si>
    <t xml:space="preserve">https://channel.io/blog/articles/77035651</t>
  </si>
  <si>
    <t xml:space="preserve">Gated out: health-claim: explicit health claim in the brand's own copy (opened 2026-10-24): 'Functional drinks ..; Supports calm, focus, and overall wellness' (https://www.</t>
  </si>
  <si>
    <t xml:space="preserve">Laura Taylor</t>
  </si>
  <si>
    <t xml:space="preserve">health-claim: explicit health claim in the brand's own copy (opened 2026-10-24): 'Functional drinks ... Supports calm, focus, and overall wellness' (https://www.minglemocktails.com)</t>
  </si>
  <si>
    <t xml:space="preserve">explicit health claim in the brand's own copy (opened 2026-10-24): 'Functional drinks ... Supports calm, focus, and overall wellness' (https://www.minglemocktails.com)</t>
  </si>
  <si>
    <t xml:space="preserve">https://www.instagram.com/minglemocktails</t>
  </si>
  <si>
    <t xml:space="preserve">BR3:21</t>
  </si>
  <si>
    <t xml:space="preserve">HQ not confirmed (no address found). Date is Shopify publish date of the Espresso Martini product.</t>
  </si>
  <si>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excluded &lt;- https://www.minglemocktails.com (2026-10-24, stage 3 correction); exclusion_reason &lt;- https://www.minglemocktails.com (2026-10-24, stage 3 correction); </t>
  </si>
  <si>
    <t xml:space="preserve">AB-229</t>
  </si>
  <si>
    <t xml:space="preserve">Pitara Co.</t>
  </si>
  <si>
    <t xml:space="preserve">Launched with four signature coffee blends</t>
  </si>
  <si>
    <t xml:space="preserve">https://startupcpg.com/startup-cpg-newswire-pitara-co-launches/</t>
  </si>
  <si>
    <t xml:space="preserve">2025-11-06</t>
  </si>
  <si>
    <t xml:space="preserve">South Indian filter-style coffee blend (ground or whole coffee)</t>
  </si>
  <si>
    <t xml:space="preserve">https://pitaraco.com</t>
  </si>
  <si>
    <t xml:space="preserve">Aditi</t>
  </si>
  <si>
    <t xml:space="preserve">Luthra</t>
  </si>
  <si>
    <t xml:space="preserve">Gated out: excluded-category: Needs preparation (coffee blends to brew, not ready-to-drink).</t>
  </si>
  <si>
    <t xml:space="preserve">Aditi Luthra</t>
  </si>
  <si>
    <t xml:space="preserve">excluded-category: Needs preparation (coffee blends to brew, not ready-to-drink)</t>
  </si>
  <si>
    <t xml:space="preserve">Packaged coffee</t>
  </si>
  <si>
    <t xml:space="preserve">No sales figure published. Launched online Nov 2025 (Startup CPG 2025-11-06)</t>
  </si>
  <si>
    <t xml:space="preserve">Needs preparation (coffee blends to brew, not ready-to-drink)</t>
  </si>
  <si>
    <t xml:space="preserve">pitaraco.com (DTC)</t>
  </si>
  <si>
    <t xml:space="preserve">BR4:24</t>
  </si>
  <si>
    <t xml:space="preserve">Recorded so the gate is visible; a future RTD line would change the call.</t>
  </si>
  <si>
    <t xml:space="preserve">AB-191</t>
  </si>
  <si>
    <t xml:space="preserve">Pop &amp; Bottle</t>
  </si>
  <si>
    <t xml:space="preserve">New matcha almond milk lattes (Blueberry, Strawberry, Vanilla Bean), Organic Decaf Cold Brew and Matcha Coconut Water listed</t>
  </si>
  <si>
    <t xml:space="preserve">https://www.popandbottle.com/products.json</t>
  </si>
  <si>
    <t xml:space="preserve">https://www.popandbottle.com/pages/our-story</t>
  </si>
  <si>
    <t xml:space="preserve">Pop &amp; Bottle Vanilla Bean Matcha almond milk latte; Organic Decaf Cold Brew</t>
  </si>
  <si>
    <t xml:space="preserve">https://www.popandbottle.com</t>
  </si>
  <si>
    <t xml:space="preserve">One SKU contains marine collagen (check other SKUs for functional add-ins); tree-nut allergen (almond milk); HQ not found</t>
  </si>
  <si>
    <t xml:space="preserve">Jash</t>
  </si>
  <si>
    <t xml:space="preserve">Mehta</t>
  </si>
  <si>
    <t xml:space="preserve">Co-Founder and CEO</t>
  </si>
  <si>
    <t xml:space="preserve">https://karagoldin.com/podcasts/jash-mehta/</t>
  </si>
  <si>
    <t xml:space="preserve">Charis</t>
  </si>
  <si>
    <t xml:space="preserve">Sr. Brand Manager</t>
  </si>
  <si>
    <t xml:space="preserve">https://attend.expowest.com/event/natural-products-expo-west-2026/exhibitor/RXhoaWJpdG9yXzIzNTg4MTU=</t>
  </si>
  <si>
    <t xml:space="preserve">Gated out: health-claim: explicit health claim in the brand's own copy (opened 2026-10-24): 'boosted with functional mushrooms to help you reduce your stress levels and su.</t>
  </si>
  <si>
    <t xml:space="preserve">Jash Mehta</t>
  </si>
  <si>
    <t xml:space="preserve">Charis Lee</t>
  </si>
  <si>
    <t xml:space="preserve">health-claim: explicit health claim in the brand's own copy (opened 2026-10-24): 'boosted with functional mushrooms to help you reduce your stress levels and support your immune system' (https://www.popandbottle.com/products/wholesale-matcha-oat-milk-latte)</t>
  </si>
  <si>
    <t xml:space="preserve">Brand FAQ: oat milk lattes are pantry friendly and do not need to be refrigerated (popandbottle.com/pages/faq, opened 2026-10-24); shelf-life length not stated</t>
  </si>
  <si>
    <t xml:space="preserve">explicit health claim in the brand's own copy (opened 2026-10-24): 'boosted with functional mushrooms to help you reduce your stress levels and support your immune system' (https://www.popandbottle.com/products/wholesale-matcha-oat-milk-latte)</t>
  </si>
  <si>
    <t xml:space="preserve">Pop Up Grocer (past brand, directory); GoToAisle locator not readable</t>
  </si>
  <si>
    <t xml:space="preserve">https://popupgrocer.com/products/pop-bottle</t>
  </si>
  <si>
    <t xml:space="preserve">https://instagram.com/popandbottle</t>
  </si>
  <si>
    <t xml:space="preserve">BR3:65</t>
  </si>
  <si>
    <t xml:space="preserve">Dates are Shopify publish dates; new items show $0.00 (pre-launch or retail-only).</t>
  </si>
  <si>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excluded &lt;- https://www.popandbottle.com/products/wholesale-matcha-oat-milk-latte (2026-10-24, stage 3 correction); exclusion_reason &lt;- https://www.popandbottle.com/products/wholesale-matcha-oat-milk-latte (2026-10-24, stage 3 correction); </t>
  </si>
  <si>
    <t xml:space="preserve">AB-311</t>
  </si>
  <si>
    <t xml:space="preserve">RIND Snacks</t>
  </si>
  <si>
    <t xml:space="preserve">Launched Raspberry Almond Granola Squares exclusively at Sam's Club nationwide (first granola product since acquiring Small Batch Organics)</t>
  </si>
  <si>
    <t xml:space="preserve">https://www.snackandbakery.com/articles/114709-rind-snacks-debuts-raspberry-almond-granola-squares</t>
  </si>
  <si>
    <t xml:space="preserve">2025-11-12</t>
  </si>
  <si>
    <t xml:space="preserve">https://www.rindsnacks.com/pages/about</t>
  </si>
  <si>
    <t xml:space="preserve">Straw-Peary whole fruit medley (skin-on dried fruit)</t>
  </si>
  <si>
    <t xml:space="preserve">https://www.rindsnacks.com</t>
  </si>
  <si>
    <t xml:space="preserve">Every product on the brand store showed as unavailable on 2026-10-23 and no product added since 2021; brand may be paused; single-serve pack not shown on the pages read: ask on the first call; 60-day shelf life not stated</t>
  </si>
  <si>
    <t xml:space="preserve">Weiss</t>
  </si>
  <si>
    <t xml:space="preserve">Gated out: health-claim: explicit health claim in the brand's own copy (opened 2026-10-24): 'essential minerals ..; to enhance your immune system' (https://www.rindsnacks.</t>
  </si>
  <si>
    <t xml:space="preserve">Matt Weiss</t>
  </si>
  <si>
    <t xml:space="preserve">health-claim: explicit health claim in the brand's own copy (opened 2026-10-24): 'essential minerals ... to enhance your immune system' (https://www.rindsnacks.com/products/coconut-crisps)</t>
  </si>
  <si>
    <t xml:space="preserve">Part of Keep It Real Foods platform (Mar 2026)</t>
  </si>
  <si>
    <t xml:space="preserve">Dried fruit sold in bags; shelf-life figure not found</t>
  </si>
  <si>
    <t xml:space="preserve">explicit health claim in the brand's own copy (opened 2026-10-24): 'essential minerals ... to enhance your immune system' (https://www.rindsnacks.com/products/coconut-crisps)</t>
  </si>
  <si>
    <t xml:space="preserve">Target; Hungryroot (logos on brand home page)</t>
  </si>
  <si>
    <t xml:space="preserve">https://www.wholefoodsmarket.com/api/search?text=rind%20snacks&amp;store=10162&amp;limit=60&amp;offset=0</t>
  </si>
  <si>
    <t xml:space="preserve">https://www.instagram.com/rindsnacks/</t>
  </si>
  <si>
    <t xml:space="preserve">BR2:30</t>
  </si>
  <si>
    <t xml:space="preserve">Footer: 'New York, NY'. Not in WFM cluster catalogs.</t>
  </si>
  <si>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excluded &lt;- https://www.rindsnacks.com/products/coconut-crisps (2026-10-24, stage 3 correction); exclusion_reason &lt;- https://www.rindsnacks.com/products/coconut-crisps (2026-10-24, stage 3 correction); </t>
  </si>
  <si>
    <t xml:space="preserve">AB-026</t>
  </si>
  <si>
    <t xml:space="preserve">Righteous Felon</t>
  </si>
  <si>
    <t xml:space="preserve">New 18- and 30-count variety meat stick packs published on brand store</t>
  </si>
  <si>
    <t xml:space="preserve">https://www.righteousfelon.com/products/savoury-variety-sticks-30pack</t>
  </si>
  <si>
    <t xml:space="preserve">https://www.righteousfelon.com/pages/about</t>
  </si>
  <si>
    <t xml:space="preserve">Righteous Felon O.G. Hickory Beef Stick (9-pack); Lil' Rebels mini sticks</t>
  </si>
  <si>
    <t xml:space="preserve">West Chester</t>
  </si>
  <si>
    <t xml:space="preserve">https://www.righteousfelon.com</t>
  </si>
  <si>
    <t xml:space="preserve">Brendan</t>
  </si>
  <si>
    <t xml:space="preserve">Cawley</t>
  </si>
  <si>
    <t xml:space="preserve">https://startupcpg.com/startup-cpg-newswire-righteous-felon-craft-jerky-hits-the-gas-on-the-getaway-car-expands-retail-presence-dominates-holiday-gifting-season/</t>
  </si>
  <si>
    <t xml:space="preserve">Gated out: health-claim: explicit health claim in the brand's own copy (opened 2026-10-24): 'Supports Immunity, Digestion, and a Smooth Skin &amp; Coat (the brand's jerky trea.</t>
  </si>
  <si>
    <t xml:space="preserve">Brendan Cawley</t>
  </si>
  <si>
    <t xml:space="preserve">health-claim: explicit health claim in the brand's own copy (opened 2026-10-24): 'Supports Immunity, Digestion, and a Smooth Skin &amp; Coat (the brand's jerky treats line)' (https://www.righteousfelon.com/products/wild-nature-variety-3-pack)</t>
  </si>
  <si>
    <t xml:space="preserve">Brand FAQ: 'Shelf Life from time of production: Jerky = 18 months, Biltong = 9 months, Sticks = 12 months.' Refrigerate after opening.</t>
  </si>
  <si>
    <t xml:space="preserve">explicit health claim in the brand's own copy (opened 2026-10-24): 'Supports Immunity, Digestion, and a Smooth Skin &amp; Coat (the brand's jerky treats line)' (https://www.righteousfelon.com/products/wild-nature-variety-3-pack)</t>
  </si>
  <si>
    <t xml:space="preserve">Find a Dealer locator on brand site (not readable without JavaScript); Amazon (Buy with Prime)</t>
  </si>
  <si>
    <t xml:space="preserve">https://www.wholefoodsmarket.com/search?text=righteous%20felon (no results in cluster stores, 2026-10-23)</t>
  </si>
  <si>
    <t xml:space="preserve">BR1:27</t>
  </si>
  <si>
    <t xml:space="preserve">Craft jerky and meat sticks; site has an 18+ age gate. Also runs a wholesale/delivery program for luxury operators (rtzn-wholesale page). why_now is Shopify published_at.</t>
  </si>
  <si>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excluded &lt;- https://www.righteousfelon.com/products/wild-nature-variety-3-pack (2026-10-24, stage 3 correction); exclusion_reason &lt;- https://www.righteousfelon.com/products/wild-nature-variety-3-pack (2026-10-24, stage 3 correction); </t>
  </si>
  <si>
    <t xml:space="preserve">AB-259</t>
  </si>
  <si>
    <t xml:space="preserve">SAYSO</t>
  </si>
  <si>
    <t xml:space="preserve">Launched stick pack line after viral sell-out</t>
  </si>
  <si>
    <t xml:space="preserve">https://startupcpg.com/startup-cpg-newswire-sayso-expands-with-launch-of-new-stick-pack-line-after-viral-sell-out/</t>
  </si>
  <si>
    <t xml:space="preserve">Cocktail/mocktail mix stick packs and tea-bag format</t>
  </si>
  <si>
    <t xml:space="preserve">Brooklyn (release datelined Brooklyn, NY)</t>
  </si>
  <si>
    <t xml:space="preserve">Alison</t>
  </si>
  <si>
    <t xml:space="preserve">Evans</t>
  </si>
  <si>
    <t xml:space="preserve">Gated out: excluded-category: Needs preparation (drink-mix stick packs); cocktail-mixer positioning.</t>
  </si>
  <si>
    <t xml:space="preserve">Alison Evans</t>
  </si>
  <si>
    <t xml:space="preserve">excluded-category: Needs preparation (drink-mix stick packs); cocktail-mixer positioning | no-buy-path: no graded store within ten blocks and no online store shown (online store unknown)</t>
  </si>
  <si>
    <t xml:space="preserve">https://drinksayso.com</t>
  </si>
  <si>
    <t xml:space="preserve">Needs preparation (drink-mix stick packs); cocktail-mixer positioning</t>
  </si>
  <si>
    <t xml:space="preserve">BR4:54</t>
  </si>
  <si>
    <t xml:space="preserve">AB-021</t>
  </si>
  <si>
    <t xml:space="preserve">Tierra Farm</t>
  </si>
  <si>
    <t xml:space="preserve">Launched The Tierra Bar chocolate line (70% dark chocolate + macadamia / hazelnut) on brand store</t>
  </si>
  <si>
    <t xml:space="preserve">https://www.tierrafarm.com/products/the-tierra-bar-br-70-dark-chocolate-macadamia-nut</t>
  </si>
  <si>
    <t xml:space="preserve">2026-09-14</t>
  </si>
  <si>
    <t xml:space="preserve">https://www.tierrafarm.com/pages/about-us</t>
  </si>
  <si>
    <t xml:space="preserve">Tierra Farm Organic Roasted Jalapeño Rosemary Almonds (bagged)</t>
  </si>
  <si>
    <t xml:space="preserve">Valatie</t>
  </si>
  <si>
    <t xml:space="preserve">https://www.tierrafarm.com</t>
  </si>
  <si>
    <t xml:space="preserve">Manufacturer/distributor selling mainly to independent and co-op grocers; single-serve format and NYC shelf presence not confirmed; budget owner unclear; single-serve pack not shown on the pages read: ask on the first call</t>
  </si>
  <si>
    <t xml:space="preserve">Gunther</t>
  </si>
  <si>
    <t xml:space="preserve">Fishgold</t>
  </si>
  <si>
    <t xml:space="preserve">https://mainstreetmag.com/keeping-it-simple/</t>
  </si>
  <si>
    <t xml:space="preserve">Gated out: health-claim: explicit health claim in the brand's own copy (opened 2026-10-24): 'Immunity Tea aims to support your immune system and balance your energy; 'Slim.</t>
  </si>
  <si>
    <t xml:space="preserve">Gunther Fishgold</t>
  </si>
  <si>
    <t xml:space="preserve">health-claim: explicit health claim in the brand's own copy (opened 2026-10-24): 'Immunity Tea aims to support your immune system and balance your energy; 'Slim Tea aims to curb cravings and promote weight management'' (https://www.tierrafarm.com/products/organic-br-ayurvedic-immunity-tea-infusion)</t>
  </si>
  <si>
    <t xml:space="preserve">scale-reported;format-unconfirmed</t>
  </si>
  <si>
    <t xml:space="preserve">unknown (family-run farm business per about page)</t>
  </si>
  <si>
    <t xml:space="preserve">Certified-organic roasted nuts and trail mixes in sealed (many compostable) bags, ambient</t>
  </si>
  <si>
    <t xml:space="preserve">press quote from 2021 (over 24 months old)</t>
  </si>
  <si>
    <t xml:space="preserve">Founder interview, Main Street Magazine, 2021-06-29: 'Our revenues are now approaching $30 million a year.'</t>
  </si>
  <si>
    <t xml:space="preserve">explicit health claim in the brand's own copy (opened 2026-10-24): 'Immunity Tea aims to support your immune system and balance your energy; 'Slim Tea aims to curb cravings and promote weight management'' (https://www.tierrafarm.com/products/organic-br-ayurvedic-immunity-tea-infusion)</t>
  </si>
  <si>
    <t xml:space="preserve">Independent and cooperative grocery stores (about page); farm store in Valatie NY</t>
  </si>
  <si>
    <t xml:space="preserve">https://www.wholefoodsmarket.com/search?text=tierra%20farm (no results in Union Square, NoMad or Chelsea context, 2026-10-23)</t>
  </si>
  <si>
    <t xml:space="preserve">BR1:22</t>
  </si>
  <si>
    <t xml:space="preserve">Certified-organic nut and dried fruit maker 20 miles south of Albany NY; started as an organic vegetable farm in the Finger Lakes, nuts since 1999. 100+ products in compostable bags. why_now date is Shopify published_at.</t>
  </si>
  <si>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excluded &lt;- https://www.tierrafarm.com/products/organic-br-ayurvedic-immunity-tea-infusion (2026-10-24, stage 3 correction); exclusion_reason &lt;- https://www.tierrafarm.com/products/organic-br-ayurvedic-immunity-tea-infusion (2026-10-24, stage 3 correction); </t>
  </si>
  <si>
    <t xml:space="preserve">AB-261</t>
  </si>
  <si>
    <t xml:space="preserve">Top Seedz</t>
  </si>
  <si>
    <t xml:space="preserve">Black Pepper &amp; Turmeric Crackers named 2027 sofi Gold Award finalist (Bread, Bakery &amp; Crackers)</t>
  </si>
  <si>
    <t xml:space="preserve">https://topseedz.com/blogs/recipes/2027-specialty-food-association-gold-award-finalist</t>
  </si>
  <si>
    <t xml:space="preserve">https://topseedz.com/</t>
  </si>
  <si>
    <t xml:space="preserve">Black Pepper &amp; Turmeric seed crackers; Organic Sea Salt Roasted Seeds 6 oz</t>
  </si>
  <si>
    <t xml:space="preserve">Buffalo (terms of service: Top Seedz LLC, 101 Oak Street, Suite 105, Buffalo, NY 14203)</t>
  </si>
  <si>
    <t xml:space="preserve">https://topseedz.com</t>
  </si>
  <si>
    <t xml:space="preserve">Homepage wording 'food made for you to feel good' (soft wellness language, no explicit claim); single-serve format not confirmed</t>
  </si>
  <si>
    <t xml:space="preserve">Brady</t>
  </si>
  <si>
    <t xml:space="preserve">Gated out: health-claim: explicit health claim in the brand's own copy (opened 2026-10-24): 'With a high fiber content, seeds are often considered a probiotic and can supp.</t>
  </si>
  <si>
    <t xml:space="preserve">Rebecca Brady</t>
  </si>
  <si>
    <t xml:space="preserve">health-claim: explicit health claim in the brand's own copy (opened 2026-10-24): 'With a high fiber content, seeds are often considered a probiotic and can support healthy digestion' (https://topseedz.com/pages/why-seeds)</t>
  </si>
  <si>
    <t xml:space="preserve">Dry seed crackers and roasted seeds sold ambient; no shelf-life figure published, founder to confirm</t>
  </si>
  <si>
    <t xml:space="preserve">explicit health claim in the brand's own copy (opened 2026-10-24): 'With a high fiber content, seeds are often considered a probiotic and can support healthy digestion' (https://topseedz.com/pages/why-seeds)</t>
  </si>
  <si>
    <t xml:space="preserve">Whole Foods Market Williamsburg, Brooklyn (WFM catalog, flagged Local); 'Find Us' locator; corporate gifting</t>
  </si>
  <si>
    <t xml:space="preserve">https://www.wholefoodsmarket.com/api/search?text=seeds&amp;store=10487&amp;limit=60&amp;offset=0&amp;featured=local</t>
  </si>
  <si>
    <t xml:space="preserve">BR4:56</t>
  </si>
  <si>
    <t xml:space="preserve">Made in Buffalo, NY through the Journey's End refugee workforce program; woman-owned (homepage). Has a Corporate Gifting page.</t>
  </si>
  <si>
    <t xml:space="preserve">hq_city &lt;- https://topseedz.com/policies/terms-of-service (2026-10-24, opened); excluded &lt;- https://topseedz.com/pages/why-seeds (2026-10-24, stage 3 correction); exclusion_reason &lt;- https://topseedz.com/pages/why-seeds (2026-10-24, stage 3 correction); </t>
  </si>
  <si>
    <t xml:space="preserve">AB-262</t>
  </si>
  <si>
    <t xml:space="preserve">Unrefined Foods</t>
  </si>
  <si>
    <t xml:space="preserve">Reached 15,000-muffin production milestone; raising an angel round</t>
  </si>
  <si>
    <t xml:space="preserve">https://startupcpg.com/startup-cpg-newswire-unrefined-foods-reaches-production-milestone-announces-fundraising-round/</t>
  </si>
  <si>
    <t xml:space="preserve">Whole-wheat fruit and vegetable muffins (frozen)</t>
  </si>
  <si>
    <t xml:space="preserve">Amesbury</t>
  </si>
  <si>
    <t xml:space="preserve">Bermudez</t>
  </si>
  <si>
    <t xml:space="preserve">Gated out: not-shelf-stable: Frozen product.</t>
  </si>
  <si>
    <t xml:space="preserve">Melissa Bermudez</t>
  </si>
  <si>
    <t xml:space="preserve">not-shelf-stable: Frozen product | no-buy-path: no graded store within ten blocks and no online store shown (online store unknown)</t>
  </si>
  <si>
    <t xml:space="preserve">http://www.unrefinedfoods.com</t>
  </si>
  <si>
    <t xml:space="preserve">Release: 'farm-to-freezer system... the frozen aisle'</t>
  </si>
  <si>
    <t xml:space="preserve">Startup CPG 2025-11-14: six retail locations, 'moving 50 cases monthly' (sales-volume quote)</t>
  </si>
  <si>
    <t xml:space="preserve">Frozen product</t>
  </si>
  <si>
    <t xml:space="preserve">BR4:57</t>
  </si>
  <si>
    <t xml:space="preserve">AB-188</t>
  </si>
  <si>
    <t xml:space="preserve">Loom</t>
  </si>
  <si>
    <t xml:space="preserve">Original Variety 12 Pack listed on store</t>
  </si>
  <si>
    <t xml:space="preserve">https://www.drinkloom.com/products.json</t>
  </si>
  <si>
    <t xml:space="preserve">2026-03-15</t>
  </si>
  <si>
    <t xml:space="preserve">https://www.drinkloom.com/pages/about</t>
  </si>
  <si>
    <t xml:space="preserve">Loom low-sugar juice drink, bottle (Dark Cherry, Midnight Mango)</t>
  </si>
  <si>
    <t xml:space="preserve">Lakewood</t>
  </si>
  <si>
    <t xml:space="preserve">https://www.drinkloom.com</t>
  </si>
  <si>
    <t xml:space="preserve">HQ and current NYC retail not confirmed; 'no added sugar' nutrient-content claim; 60-day shelf life not stated</t>
  </si>
  <si>
    <t xml:space="preserve">Bill</t>
  </si>
  <si>
    <t xml:space="preserve">Butrymowicz</t>
  </si>
  <si>
    <t xml:space="preserve">Gated out: health-claim: explicit health claim in the brand's own copy (opened 2026-10-24): 'a testimonial the brand publishes on its homepage: 'helped my mother specifica.</t>
  </si>
  <si>
    <t xml:space="preserve">Bill Butrymowicz</t>
  </si>
  <si>
    <t xml:space="preserve">health-claim: explicit health claim in the brand's own copy (opened 2026-10-24): 'a testimonial the brand publishes on its homepage: 'helped my mother specifically with her diabetes management'' (https://www.drinkloom.com)</t>
  </si>
  <si>
    <t xml:space="preserve">About page: 'Each bottle is aseptically filled' (aseptic filling usually means ambient storage, but no explicit statement)</t>
  </si>
  <si>
    <t xml:space="preserve">explicit health claim in the brand's own copy (opened 2026-10-24): 'a testimonial the brand publishes on its homepage: 'helped my mother specifically with her diabetes management'' (https://www.drinkloom.com)</t>
  </si>
  <si>
    <t xml:space="preserve">Pop Up Grocer (past brand, directory); Stockist widget present but no locations returned</t>
  </si>
  <si>
    <t xml:space="preserve">https://popupgrocer.com/products/loom</t>
  </si>
  <si>
    <t xml:space="preserve">https://instagram.com/drinkloom</t>
  </si>
  <si>
    <t xml:space="preserve">BR3:62</t>
  </si>
  <si>
    <t xml:space="preserve">Founder grew up in his father's beverage distribution business (about page). Date is Shopify publish date.</t>
  </si>
  <si>
    <t xml:space="preserve">hq_city &lt;- https://www.drinkloom.com/policies/terms-of-service (2026-10-24, opened); hq_state &lt;- https://www.drinkloom.com/policies/terms-of-service (2026-10-24, opened); excluded &lt;- https://www.drinkloom.com (2026-10-24, stage 3 correction); exclusion_reason &lt;- https://www.drinkloom.com (2026-10-24, stage 3 correction); </t>
  </si>
  <si>
    <t xml:space="preserve">AB-132</t>
  </si>
  <si>
    <t xml:space="preserve">Brooklyn Crafted</t>
  </si>
  <si>
    <t xml:space="preserve">https://www.drinkbrooklyncrafted.com</t>
  </si>
  <si>
    <t xml:space="preserve">Brooklyn Crafted Ginger Beer (Traditional, Extra Spicy, Sugar Free), glass bottle</t>
  </si>
  <si>
    <t xml:space="preserve">No online store and no named retailer near the cluster found (may fail buy-path gate); same parent as Moshi and Bruce Cost: contact once, Moshi is the stronger lead; 60-day shelf life not stated</t>
  </si>
  <si>
    <t xml:space="preserve">Terry</t>
  </si>
  <si>
    <t xml:space="preserve">Tang</t>
  </si>
  <si>
    <t xml:space="preserve">https://ediblebrooklyn.com/?p=78713</t>
  </si>
  <si>
    <t xml:space="preserve">Gated out: no-buy-path: no graded store within ten blocks and no online store shown.</t>
  </si>
  <si>
    <t xml:space="preserve">no-buy-path: no graded store within ten blocks and no online store shown</t>
  </si>
  <si>
    <t xml:space="preserve">supermarkets and delis (Edible Brooklyn 2019, no names)</t>
  </si>
  <si>
    <t xml:space="preserve">http://instagram.com/bklynfnb</t>
  </si>
  <si>
    <t xml:space="preserve">BR3:6</t>
  </si>
  <si>
    <t xml:space="preserve">Site: 'Bottled and brewed in Brooklyn, NY', non-alcoholic, OU kosher. Edible Brooklyn (2019-08-14) describes in-house Brooklyn bottling line and owner Terry Tang. Owner title is from 2019; current role unverified.</t>
  </si>
  <si>
    <t xml:space="preserve">person 'horin yip' shared with AB-130, AB-131; person 'terry tang' shared with AB-131</t>
  </si>
  <si>
    <t xml:space="preserve">AB-122</t>
  </si>
  <si>
    <t xml:space="preserve">Hail Merry</t>
  </si>
  <si>
    <t xml:space="preserve">https://hailmerry.com/pages/faqs</t>
  </si>
  <si>
    <t xml:space="preserve">Cookies N Creme Cups 1.5 oz</t>
  </si>
  <si>
    <t xml:space="preserve">https://hailmerry.com</t>
  </si>
  <si>
    <t xml:space="preserve">Susan</t>
  </si>
  <si>
    <t xml:space="preserve">O'Brien</t>
  </si>
  <si>
    <t xml:space="preserve">https://hailmerry.com/pages/our-story</t>
  </si>
  <si>
    <t xml:space="preserve">Gated out: not-shelf-stable: Refrigerated product (brand FAQ).</t>
  </si>
  <si>
    <t xml:space="preserve">Susan O'Brien</t>
  </si>
  <si>
    <t xml:space="preserve">not-shelf-stable: Refrigerated product (brand FAQ)</t>
  </si>
  <si>
    <t xml:space="preserve">Brand FAQ: 'all of our products must be kept refrigerated until ready to eat'</t>
  </si>
  <si>
    <t xml:space="preserve">Refrigerated product (brand FAQ)</t>
  </si>
  <si>
    <t xml:space="preserve">Store locator ('Find Us in a Refrigerator Near You')</t>
  </si>
  <si>
    <t xml:space="preserve">https://www.wholefoodsmarket.com/api/search?text=hail%20merry&amp;store=10162&amp;limit=60&amp;offset=0</t>
  </si>
  <si>
    <t xml:space="preserve">https://www.instagram.com/hailmerrysnacks/</t>
  </si>
  <si>
    <t xml:space="preserve">BR2:60</t>
  </si>
  <si>
    <t xml:space="preserve">Recorded so the refrigeration gate is visible.</t>
  </si>
  <si>
    <t xml:space="preserve">AB-121</t>
  </si>
  <si>
    <t xml:space="preserve">Honey Mama's</t>
  </si>
  <si>
    <t xml:space="preserve">https://honeymamas.com/pages/faqs</t>
  </si>
  <si>
    <t xml:space="preserve">Peanut Butter Brownie Crunch Bar 1.25 oz</t>
  </si>
  <si>
    <t xml:space="preserve">Portland</t>
  </si>
  <si>
    <t xml:space="preserve">https://honeymamas.com</t>
  </si>
  <si>
    <t xml:space="preserve">Christy</t>
  </si>
  <si>
    <t xml:space="preserve">Goldsby</t>
  </si>
  <si>
    <t xml:space="preserve">https://honeymamas.com/</t>
  </si>
  <si>
    <t xml:space="preserve">Christy Goldsby</t>
  </si>
  <si>
    <t xml:space="preserve">OR</t>
  </si>
  <si>
    <t xml:space="preserve">Brand FAQ: 'maker of delicious refrigerated raw honey-sweetened truffle bars'; find-us page: 'in the fridge'</t>
  </si>
  <si>
    <t xml:space="preserve">All Whole Foods Market locations (brand home page)</t>
  </si>
  <si>
    <t xml:space="preserve">https://www.wholefoodsmarket.com/api/search?text=honey%20mamas&amp;store=10162&amp;limit=60&amp;offset=0</t>
  </si>
  <si>
    <t xml:space="preserve">https://www.instagram.com/honeymamas/</t>
  </si>
  <si>
    <t xml:space="preserve">BR2:59</t>
  </si>
  <si>
    <t xml:space="preserve">Recorded so the refrigeration gate is visible; WFM cluster catalogs list it but it is refrigerated.</t>
  </si>
  <si>
    <t xml:space="preserve">AB-232</t>
  </si>
  <si>
    <t xml:space="preserve">Journée</t>
  </si>
  <si>
    <t xml:space="preserve">https://startupcpg.com/startup-cpg-newswire-journee-launches-mushroom-based-drink-for-juicy-energy-cognitive-wellness/</t>
  </si>
  <si>
    <t xml:space="preserve">Mushroom-based functional energy drink, 12 oz slim can (Soleil Citrus)</t>
  </si>
  <si>
    <t xml:space="preserve">http://drinkjournee.com</t>
  </si>
  <si>
    <t xml:space="preserve">Khoury</t>
  </si>
  <si>
    <t xml:space="preserve">Gated out: health-claim: Explicit health/function positioning: 'Cognitive Wellness', 'caring for your brain' (release); functional mushroom energy drink.</t>
  </si>
  <si>
    <t xml:space="preserve">Nicole Khoury</t>
  </si>
  <si>
    <t xml:space="preserve">health-claim: Explicit health/function positioning: 'Cognitive Wellness', 'caring for your brain' (release); functional mushroom energy drink</t>
  </si>
  <si>
    <t xml:space="preserve">Canned; storage not stated</t>
  </si>
  <si>
    <t xml:space="preserve">No sales figure published. Launched July 2025, DTC only (Startup CPG 2025-08-01)</t>
  </si>
  <si>
    <t xml:space="preserve">Explicit health/function positioning: 'Cognitive Wellness', 'caring for your brain' (release); functional mushroom energy drink</t>
  </si>
  <si>
    <t xml:space="preserve">DTC (release)</t>
  </si>
  <si>
    <t xml:space="preserve">BR4:27</t>
  </si>
  <si>
    <t xml:space="preserve">Launch release dated 2025-08-01 is outside the 12-month why-now window. Recorded so the gate is visible.</t>
  </si>
  <si>
    <t xml:space="preserve">AB-005</t>
  </si>
  <si>
    <t xml:space="preserve">Kings County Jerky Co.</t>
  </si>
  <si>
    <t xml:space="preserve">https://www.kingscountyjerky.com</t>
  </si>
  <si>
    <t xml:space="preserve">unknown (site unreachable)</t>
  </si>
  <si>
    <t xml:space="preserve">Woehrle</t>
  </si>
  <si>
    <t xml:space="preserve">Stout</t>
  </si>
  <si>
    <t xml:space="preserve">Gated out: no-buy-path: No working online store (kingscountyjerky.com returned HTTP 521 on 2026-10-23) and no retailer found near cluster; may be inactive.</t>
  </si>
  <si>
    <t xml:space="preserve">Chris Woehrle</t>
  </si>
  <si>
    <t xml:space="preserve">Robert Stout</t>
  </si>
  <si>
    <t xml:space="preserve">no-buy-path: No working online store (kingscountyjerky.com returned HTTP 521 on 2026-10-23) and no retailer found near cluster; may be inactive</t>
  </si>
  <si>
    <t xml:space="preserve">No working online store (kingscountyjerky.com returned HTTP 521 on 2026-10-23) and no retailer found near cluster; may be inactive</t>
  </si>
  <si>
    <t xml:space="preserve">https://www.wholefoodsmarket.com/search?text=kings%20county%20jerky (no results for Union Square context, 2026-10-23)</t>
  </si>
  <si>
    <t xml:space="preserve">BR1:6</t>
  </si>
  <si>
    <t xml:space="preserve">Brooklyn craft jerky brand from 2011-era press. Checked and parked; recheck only if founder knows it is active.</t>
  </si>
  <si>
    <t xml:space="preserve">AB-030</t>
  </si>
  <si>
    <t xml:space="preserve">Maine Crisp Co.</t>
  </si>
  <si>
    <t xml:space="preserve">https://www.mainecrisp.com/pages/pg-about-2</t>
  </si>
  <si>
    <t xml:space="preserve">Maine Crisps Olive &amp; Za'atar buckwheat crisps, 4 oz</t>
  </si>
  <si>
    <t xml:space="preserve">Waterville</t>
  </si>
  <si>
    <t xml:space="preserve">https://www.mainecrisp.com</t>
  </si>
  <si>
    <t xml:space="preserve">Getz</t>
  </si>
  <si>
    <t xml:space="preserve">https://www.mainecrisp.com/pages/about-us</t>
  </si>
  <si>
    <t xml:space="preserve">Gated out: health-claim: explicit health claim on the brand's homepage (opened 2026-10-24): buckwheat is 'gluten-free, grain-free, low glycemic, anti-inflammatory, rich in.</t>
  </si>
  <si>
    <t xml:space="preserve">Karen Getz</t>
  </si>
  <si>
    <t xml:space="preserve">health-claim: explicit health claim on the brand's homepage (opened 2026-10-24): buckwheat is 'gluten-free, grain-free, low glycemic, anti-inflammatory, rich in fiber'</t>
  </si>
  <si>
    <t xml:space="preserve">Brand wholesale FAQ: 'Our crisps and crackers are shelf stable for 6-12 months.'</t>
  </si>
  <si>
    <t xml:space="preserve">explicit health claim on the brand's homepage (opened 2026-10-24): buckwheat is 'gluten-free, grain-free, low glycemic, anti-inflammatory, rich in fiber'</t>
  </si>
  <si>
    <t xml:space="preserve">Whole Foods Market Union Square, 4 Union Sq S (unverified, inside)</t>
  </si>
  <si>
    <t xml:space="preserve">https://www.wholefoodsmarket.com/search?text=maine%20crisp (Union Square context: Cranberry Almond and Olive &amp; Za'atar Crisps 4 oz IN_STOCK, from category search 2026-10-23)</t>
  </si>
  <si>
    <t xml:space="preserve">BR1:31</t>
  </si>
  <si>
    <t xml:space="preserve">Handmade in Maine. Union Square evidence from the 'cracker crisps' category search run in store context; not re-run per store.</t>
  </si>
  <si>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</si>
  <si>
    <t xml:space="preserve">AB-212</t>
  </si>
  <si>
    <t xml:space="preserve">North Fork Potato Chips</t>
  </si>
  <si>
    <t xml:space="preserve">https://northforkchips.com/our-story/</t>
  </si>
  <si>
    <t xml:space="preserve">Kettle-cooked potato chips in sunflower oil (sampler cases sold online)</t>
  </si>
  <si>
    <t xml:space="preserve">Cutchogue (Long Island)</t>
  </si>
  <si>
    <t xml:space="preserve">https://northforkchips.com</t>
  </si>
  <si>
    <t xml:space="preserve">No Manhattan retailer found; qualifies only through the online store, and discount-code ability is unknown</t>
  </si>
  <si>
    <t xml:space="preserve">Sidor</t>
  </si>
  <si>
    <t xml:space="preserve">Farmer and owner, Martin Sidor Farms</t>
  </si>
  <si>
    <t xml:space="preserve">Gated out: health-claim: explicit health claim in the brand's own copy (opened 2026-10-24): 'This Heart-Healthy oil is also proven to lower cholesterol levels' (https://no.</t>
  </si>
  <si>
    <t xml:space="preserve">Martin Sidor</t>
  </si>
  <si>
    <t xml:space="preserve">health-claim: explicit health claim in the brand's own copy (opened 2026-10-24): 'This Heart-Healthy oil is also proven to lower cholesterol levels' (https://northforkchips.com)</t>
  </si>
  <si>
    <t xml:space="preserve">family-owned farm business (Martin Sidor Farms, per Our Story)</t>
  </si>
  <si>
    <t xml:space="preserve">Bagged kettle chips sold ambient; no shelf-life figure published, founder to confirm 60+ days</t>
  </si>
  <si>
    <t xml:space="preserve">explicit health claim in the brand's own copy (opened 2026-10-24): 'This Heart-Healthy oil is also proven to lower cholesterol levels' (https://northforkchips.com)</t>
  </si>
  <si>
    <t xml:space="preserve">King Kullen (Long Island); LI Welcome Center; local grocers and delis (homepage Find in Stores list)</t>
  </si>
  <si>
    <t xml:space="preserve">https://northforkchips.com/</t>
  </si>
  <si>
    <t xml:space="preserve">https://www.instagram.com/northforkchips</t>
  </si>
  <si>
    <t xml:space="preserve">BR4:7</t>
  </si>
  <si>
    <t xml:space="preserve">Contact page: 8595 Cox Ln, Unit 4, Cutchogue, NY 11935. Family potato farm since 1910 (Our Story). Homepage store list shows Long Island stores only. Not in WFM cluster catalogs on 2026-10-23. No dated 12-month signal on site.</t>
  </si>
  <si>
    <t xml:space="preserve">nyc_retailers_near_cluster &lt;- https://northforkchips.com/ (2026-10-24, opened); excluded &lt;- https://northforkchips.com (2026-10-24, stage 3 correction); exclusion_reason &lt;- https://northforkchips.com (2026-10-24, stage 3 correction); </t>
  </si>
  <si>
    <t xml:space="preserve">AB-067</t>
  </si>
  <si>
    <t xml:space="preserve">Rule Breaker Snacks</t>
  </si>
  <si>
    <t xml:space="preserve">https://www.rulebreakersnacks.com/pages/about-us</t>
  </si>
  <si>
    <t xml:space="preserve">Chocolate Brownie Singles, 1.9 oz individually wrapped (chickpea-based)</t>
  </si>
  <si>
    <t xml:space="preserve">https://www.rulebreakersnacks.com</t>
  </si>
  <si>
    <t xml:space="preserve">Nutrient-content positioning ('packed with protein and fiber', 'guilt-free'); allergen-free kids/lunchbox angle</t>
  </si>
  <si>
    <t xml:space="preserve">Nancy</t>
  </si>
  <si>
    <t xml:space="preserve">Kalish</t>
  </si>
  <si>
    <t xml:space="preserve">https://www.bakeryandsnacks.com/Article/2022/03/30/Bimbo-backed-Rule-Breaker-sets-its-sights-on-2.2m-in-2022</t>
  </si>
  <si>
    <t xml:space="preserve">Gated out: health-claim: explicit health claim in the brand's own copy (opened 2026-10-24): 'Prebiotics are naturally occurring compounds in food that help establish and m.</t>
  </si>
  <si>
    <t xml:space="preserve">Nancy Kalish</t>
  </si>
  <si>
    <t xml:space="preserve">health-claim: explicit health claim in the brand's own copy (opened 2026-10-24): 'Prebiotics are naturally occurring compounds in food that help establish and maintain beneficial gut microorganisms' (https://www.rulebreakersnacks.com/pages/faq)</t>
  </si>
  <si>
    <t xml:space="preserve">strategic (Bimbo Ventures) plus equity crowdfunding (Republic, 2022)</t>
  </si>
  <si>
    <t xml:space="preserve">Brand FAQ: 'stay fresh at room temperature for at least 12 months'</t>
  </si>
  <si>
    <t xml:space="preserve">Bakery and Snacks 2022-03-30: sales $1.3m in 2021 vs $444k in 2020; projected $2.2m 2022 (dated figure)</t>
  </si>
  <si>
    <t xml:space="preserve">explicit health claim in the brand's own copy (opened 2026-10-24): 'Prebiotics are naturally occurring compounds in food that help establish and maintain beneficial gut microorganisms' (https://www.rulebreakersnacks.com/pages/faq)</t>
  </si>
  <si>
    <t xml:space="preserve">2,500+ locations; Kroger; Ralphs; Wegmans (brand locator text); Whole Foods Northeast (WFM supplier story, search result)</t>
  </si>
  <si>
    <t xml:space="preserve">https://www.rulebreakersnacks.com/pages/store-locator; https://www.wholefoodsmarket.com/api/search?text=rule%20breaker&amp;store=10162&amp;limit=60&amp;offset=0</t>
  </si>
  <si>
    <t xml:space="preserve">https://www.instagram.com/rulebreakersnacks/</t>
  </si>
  <si>
    <t xml:space="preserve">BR2:4</t>
  </si>
  <si>
    <t xml:space="preserve">Shark Tank Season 12 (no deal). Not found in WFM Union Square/NoMad/Chelsea catalogs on 2026-10-23. Locator loads dynamically (Secomapp widget) so no store list was readable. No dated signal in the last 12 months found.</t>
  </si>
  <si>
    <t xml:space="preserve">excluded &lt;- https://www.rulebreakersnacks.com/pages/faq (2026-10-24, stage 3 correction); exclusion_reason &lt;- https://www.rulebreakersnacks.com/pages/faq (2026-10-24, stage 3 correction); </t>
  </si>
  <si>
    <t xml:space="preserve">AB-037</t>
  </si>
  <si>
    <t xml:space="preserve">Unbothered Foods</t>
  </si>
  <si>
    <t xml:space="preserve">https://www.unbotheredfoods.com/</t>
  </si>
  <si>
    <t xml:space="preserve">Unbothered Foods sourdough crackers</t>
  </si>
  <si>
    <t xml:space="preserve">https://www.unbotheredfoods.com</t>
  </si>
  <si>
    <t xml:space="preserve">Morgan</t>
  </si>
  <si>
    <t xml:space="preserve">Murdock</t>
  </si>
  <si>
    <t xml:space="preserve">Founder, Registered Dietitian</t>
  </si>
  <si>
    <t xml:space="preserve">Gated out: health-claim: Positioned as 'Gut-Friendly Sourdough Crackers' with 'gut benefit' copy (structure/function wording).</t>
  </si>
  <si>
    <t xml:space="preserve">Morgan Murdock</t>
  </si>
  <si>
    <t xml:space="preserve">health-claim: Positioned as 'Gut-Friendly Sourdough Crackers' with 'gut benefit' copy (structure/function wording)</t>
  </si>
  <si>
    <t xml:space="preserve">Baked sourdough crackers sold ambient (PopUp Grocer 'Puffs + Crunch')</t>
  </si>
  <si>
    <t xml:space="preserve">Positioned as 'Gut-Friendly Sourdough Crackers' with 'gut benefit' copy (structure/function wording)</t>
  </si>
  <si>
    <t xml:space="preserve">https://popupgrocer.com/pages/directory (availability 'NYC Flagship', 2026-10-23); https://popupgrocer.com/products/unbothered-foods</t>
  </si>
  <si>
    <t xml:space="preserve">https://instagram.com/unbotheredfoods</t>
  </si>
  <si>
    <t xml:space="preserve">BR1:38</t>
  </si>
  <si>
    <t xml:space="preserve">Recorded for the gate log; excluded on gut-health positioning.</t>
  </si>
  <si>
    <t xml:space="preserve">AB-155</t>
  </si>
  <si>
    <t xml:space="preserve">Zest Tea</t>
  </si>
  <si>
    <t xml:space="preserve">https://livezesty.com/pages/about-zest</t>
  </si>
  <si>
    <t xml:space="preserve">Zest high-caffeine sparkling energy tea, can</t>
  </si>
  <si>
    <t xml:space="preserve">https://livezesty.com</t>
  </si>
  <si>
    <t xml:space="preserve">Fayal</t>
  </si>
  <si>
    <t xml:space="preserve">Gated out: excluded-category: Functional/supplement positioning: creatine powders, 'sleep, gut health, and immunity blends', energy and focus claims.</t>
  </si>
  <si>
    <t xml:space="preserve">James Fayal</t>
  </si>
  <si>
    <t xml:space="preserve">excluded-category: Functional/supplement positioning: creatine powders, 'sleep, gut health, and immunity blends', energy and focus claims | health-claim: Functional/supplement positioning: creatine powders, 'sleep, gut health, and immunity blends', energy and focus claims</t>
  </si>
  <si>
    <t xml:space="preserve">No statement read</t>
  </si>
  <si>
    <t xml:space="preserve">Functional/supplement positioning: creatine powders, 'sleep, gut health, and immunity blends', energy and focus claims</t>
  </si>
  <si>
    <t xml:space="preserve">https://www.instagram.com/zesthq</t>
  </si>
  <si>
    <t xml:space="preserve">BR3:29</t>
  </si>
  <si>
    <t xml:space="preserve">Domain zesttea.com redirects to livezesty.com. Recorded so it is not re-researched.</t>
  </si>
  <si>
    <t xml:space="preserve">AB-080</t>
  </si>
  <si>
    <t xml:space="preserve">Spring &amp; Mulberry</t>
  </si>
  <si>
    <t xml:space="preserve">New Painterly gift sets and Salted Almond bar added to brand store, Oct 2026</t>
  </si>
  <si>
    <t xml:space="preserve">https://springandmulberry.com/</t>
  </si>
  <si>
    <t xml:space="preserve">https://springandmulberry.com/pages/about</t>
  </si>
  <si>
    <t xml:space="preserve">Date Pecan Date Sweetened Chocolate Bar 2.1 oz</t>
  </si>
  <si>
    <t xml:space="preserve">https://springandmulberry.com</t>
  </si>
  <si>
    <t xml:space="preserve">'No refined sugar' and 'healing power of whole food' wellness language on brand site; check pack copy for claims</t>
  </si>
  <si>
    <t xml:space="preserve">https://www.wholefoodsmarket.com/api/search?text=spring%20mulberry&amp;store=10773&amp;limit=60&amp;offset=0</t>
  </si>
  <si>
    <t xml:space="preserve">Kathryn</t>
  </si>
  <si>
    <t xml:space="preserve">https://springandmulberry.com/pages/founders</t>
  </si>
  <si>
    <t xml:space="preserve">Gated out: health-claim: explicit health claim on the brand's homepage (opened 2026-10-24): 'dates help regulate digestion, slow the absorption of naturally occurring suga.</t>
  </si>
  <si>
    <t xml:space="preserve">Stage 3 (entered the top 60 after re-scoring). The brand's Founders page (opened 2026-10-24) quotes two founders by first name, KATHRYN and SARAH; the FAQ (opened) says the name is the New York intersection where Kathryn met her husband. Surname not public on the brand's pages.</t>
  </si>
  <si>
    <t xml:space="preserve">Founders page (opened 2026-10-24) quotes SARAH as the second founder. First name only.</t>
  </si>
  <si>
    <t xml:space="preserve">health-claim: explicit health claim on the brand's homepage (opened 2026-10-24): 'dates help regulate digestion, slow the absorption of naturally occurring sugars, and improve gut health'; 'Gut Friendly'; footer carries the FDA structure/function disclaimer</t>
  </si>
  <si>
    <t xml:space="preserve">Brand FAQ: best-buy date is 12 months for Embellished Bars with toppings and 14-16 months for the Essence Line; chocolate can melt above 75F.</t>
  </si>
  <si>
    <t xml:space="preserve">explicit health claim on the brand's homepage (opened 2026-10-24): 'dates help regulate digestion, slow the absorption of naturally occurring sugars, and improve gut health'; 'Gut Friendly'; footer carries the FDA structure/function disclaimer</t>
  </si>
  <si>
    <t xml:space="preserve">Whole Foods; wine and cheese shops, boutiques, natural grocers (brand stockist page); Faire wholesale</t>
  </si>
  <si>
    <t xml:space="preserve">https://www.wholefoodsmarket.com/api/search?text=spring%20mulberry&amp;store=10162&amp;limit=60&amp;offset=0; https://www.wholefoodsmarket.com/api/search?text=spring%20mulberry&amp;store=10773&amp;limit=60&amp;offset=0; https://www.wholefoodsmarket.com/api/search?text=spring%20mulberry&amp;store=10131&amp;limit=60&amp;offset=0</t>
  </si>
  <si>
    <t xml:space="preserve">https://www.instagram.com/spring.mulberry/</t>
  </si>
  <si>
    <t xml:space="preserve">BR2:17</t>
  </si>
  <si>
    <t xml:space="preserve">HQ and founder name not found on brand pages; WebSearch budget was exhausted before a lookup. Why-now date from Shopify publish dates.</t>
  </si>
  <si>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</si>
  <si>
    <t xml:space="preserve">AB-044</t>
  </si>
  <si>
    <t xml:space="preserve">Quinn Snacks</t>
  </si>
  <si>
    <t xml:space="preserve">https://quinnsnacks.com/pages/story</t>
  </si>
  <si>
    <t xml:space="preserve">Quinn Peanut Butter Filled Pretzel Nuggets snack pack (1.5 oz x 6)</t>
  </si>
  <si>
    <t xml:space="preserve">https://quinnsnacks.com</t>
  </si>
  <si>
    <t xml:space="preserve">Filled nuggets contain peanuts and tree nuts (allergen-heavy for shared pantries); no direct online store; no online store: buy path is the store only</t>
  </si>
  <si>
    <t xml:space="preserve">https://www.wholefoodsmarket.com/api/search?text=quinn%20snacks&amp;store=10162&amp;limit=60&amp;offset=0</t>
  </si>
  <si>
    <t xml:space="preserve">Kristy</t>
  </si>
  <si>
    <t xml:space="preserve">Gated out: health-claim: explicit health claim in the brand's own copy (opened 2026-10-24): 'sorghum flour ..; aids digestion while making you feel fuller, longer; sunflow.</t>
  </si>
  <si>
    <t xml:space="preserve">first name on brand site</t>
  </si>
  <si>
    <t xml:space="preserve">health-claim: explicit health claim in the brand's own copy (opened 2026-10-24): 'sorghum flour ... aids digestion while making you feel fuller, longer; sunflower oil 'anti-inflammatory'' (https://quinnsnacks.com/pages/ingredients)</t>
  </si>
  <si>
    <t xml:space="preserve">Bagged pretzels and filled pretzel nuggets, ambient</t>
  </si>
  <si>
    <t xml:space="preserve">explicit health claim in the brand's own copy (opened 2026-10-24): 'sorghum flour ... aids digestion while making you feel fuller, longer; sunflower oil 'anti-inflammatory'' (https://quinnsnacks.com/pages/ingredients)</t>
  </si>
  <si>
    <t xml:space="preserve">https://www.wholefoodsmarket.com/search?text=quinn%20pretzel (Union Square context: Pretzel Sticks Sea Salt, PB &amp; Honey Filled Pretzel Sticks, Maple Almond Butter Nuggets IN_STOCK 2026-10-23)</t>
  </si>
  <si>
    <t xml:space="preserve">BR1:45</t>
  </si>
  <si>
    <t xml:space="preserve">Quinn Foods LLC, Boulder CO (terms of service). Founded 2010.</t>
  </si>
  <si>
    <t xml:space="preserve">excluded &lt;- https://quinnsnacks.com/pages/ingredients (2026-10-24, stage 3 correction); exclusion_reason &lt;- https://quinnsnacks.com/pages/ingredients (2026-10-24, stage 3 correction); </t>
  </si>
  <si>
    <t xml:space="preserve">product prices show $0.00 to $1.00; appears to route to retailers</t>
  </si>
  <si>
    <t xml:space="preserve">AB-195</t>
  </si>
  <si>
    <t xml:space="preserve">Pari</t>
  </si>
  <si>
    <t xml:space="preserve">Fairway Market of Chelsea, 766 6th Ave</t>
  </si>
  <si>
    <t xml:space="preserve">New Citrus Sour flavor listed on store</t>
  </si>
  <si>
    <t xml:space="preserve">https://drinkpari.com/products.json</t>
  </si>
  <si>
    <t xml:space="preserve">2026-01-30</t>
  </si>
  <si>
    <t xml:space="preserve">https://drinkpari.com/pages/about</t>
  </si>
  <si>
    <t xml:space="preserve">Pari zero-proof agave-sweetened canned drink (Modern Mule, Citrus Sour)</t>
  </si>
  <si>
    <t xml:space="preserve">https://drinkpari.com</t>
  </si>
  <si>
    <t xml:space="preserve">Claim sits in one FAQ answer about an ingredient, not on the product; otherwise a clean zero-proof drink with a dense near-cluster footprint. Founder may reinstate if the card and landing page avoid that line</t>
  </si>
  <si>
    <t xml:space="preserve">Alessia</t>
  </si>
  <si>
    <t xml:space="preserve">Gated out: health-claim: FAQ says agave 'is also great for brain function and metabolism' (structure or function wording).</t>
  </si>
  <si>
    <t xml:space="preserve">health-claim: FAQ says agave 'is also great for brain function and metabolism' (structure or function wording)</t>
  </si>
  <si>
    <t xml:space="preserve">FAQ: store unopened cans 'in a cool, dark, and dry place'; consume 'within 24 months of production' (drinkpari.com/pages/faq, opened 2026-10-23)</t>
  </si>
  <si>
    <t xml:space="preserve">FAQ says agave 'is also great for brain function and metabolism' (structure or function wording)</t>
  </si>
  <si>
    <t xml:space="preserve">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</si>
  <si>
    <t xml:space="preserve">Fairway; Westside Market; Lincoln Market; Citarella; Elm Wellness; Brooklyn Fare; Pop Up Grocer (brand Stockist locator: 59 points, 15 near the cluster)</t>
  </si>
  <si>
    <t xml:space="preserve">https://drinkpari.com/pages/store-locator; https://stockist.co/api/v1/u20632/locations/search?latitude=40.7400&amp;longitude=-73.9900&amp;distance=3</t>
  </si>
  <si>
    <t xml:space="preserve">https://instagram.com/drinkpari</t>
  </si>
  <si>
    <t xml:space="preserve">BR3:69</t>
  </si>
  <si>
    <t xml:space="preserve">Name from Italian 'pari' (equal). Stockist queried 2026-10-23; NYC-heavy footprint suggests a NYC brand, HQ unconfirmed. Date is Shopify publish date.</t>
  </si>
  <si>
    <t xml:space="preserve">AB-305</t>
  </si>
  <si>
    <t xml:space="preserve">Sourmilk</t>
  </si>
  <si>
    <t xml:space="preserve">Finalist in Naturally New York's 2026 Naturally Rising pitch competition (May 28, 2026)</t>
  </si>
  <si>
    <t xml:space="preserve">Sourmilk L. reuteri Greek yogurt, single serve</t>
  </si>
  <si>
    <t xml:space="preserve">https://www.sourmilk.com</t>
  </si>
  <si>
    <t xml:space="preserve">Elan</t>
  </si>
  <si>
    <t xml:space="preserve">Kiki</t>
  </si>
  <si>
    <t xml:space="preserve">Gated out: not-shelf-stable: Refrigerated dairy; site also claims it 'Supports digestion &amp; immune health'.</t>
  </si>
  <si>
    <t xml:space="preserve">not-shelf-stable: Refrigerated dairy; site also claims it 'Supports digestion &amp; immune health'</t>
  </si>
  <si>
    <t xml:space="preserve">Refrigerated Greek yogurt</t>
  </si>
  <si>
    <t xml:space="preserve">Refrigerated dairy; site also claims it 'Supports digestion &amp; immune health'</t>
  </si>
  <si>
    <t xml:space="preserve">https://www.instagram.com/getsourmilk/</t>
  </si>
  <si>
    <t xml:space="preserve">BR5:41</t>
  </si>
  <si>
    <t xml:space="preserve">Recorded so the refrigeration gate is visible. Homepage: 'Sourmilk is a NYC based greek yogurt designed specifically for your gut.'</t>
  </si>
  <si>
    <t xml:space="preserve">AB-297</t>
  </si>
  <si>
    <t xml:space="preserve">DM Snacks (Damn, Man Snacks)</t>
  </si>
  <si>
    <t xml:space="preserve">Launched a Happy Nuts collection and four 8 oz flavors (Thai Chili, Coconut Curry, Honey Sea Salt, Pineapple Habanero)</t>
  </si>
  <si>
    <t xml:space="preserve">https://www.dmsnacks.com/products.json</t>
  </si>
  <si>
    <t xml:space="preserve">https://events.specialtyfood.com/event/2026-summer-fancy-food-show/exhibitor/RXhoaWJpdG9yXzI0NzYzNzc=</t>
  </si>
  <si>
    <t xml:space="preserve">DM Snacks Thai Chili Peanuts, 8 oz bag; Bourbon Pecans 5 oz</t>
  </si>
  <si>
    <t xml:space="preserve">https://www.dmsnacks.com</t>
  </si>
  <si>
    <t xml:space="preserve">Gift-box company first; share-size bags only. Sister brand Sugar Plum Chocolates sells meat snacks too (check refrigeration if that line is offered)</t>
  </si>
  <si>
    <t xml:space="preserve">Frann</t>
  </si>
  <si>
    <t xml:space="preserve">Neil</t>
  </si>
  <si>
    <t xml:space="preserve">Edley</t>
  </si>
  <si>
    <t xml:space="preserve">Gated out: health-claim: explicit health claim in the brand's own copy (opened 2026-10-24): 'Packed with premium beef and roasted nuts to keep you full and focused' (https.</t>
  </si>
  <si>
    <t xml:space="preserve">Neil Edley</t>
  </si>
  <si>
    <t xml:space="preserve">health-claim: explicit health claim in the brand's own copy (opened 2026-10-24): 'Packed with premium beef and roasted nuts to keep you full and focused' (https://www.dmsnacks.com/products/cowboy-starter-kit)</t>
  </si>
  <si>
    <t xml:space="preserve">Seasoned nuts in resealable 5 oz and 8 oz bags sold ambient online</t>
  </si>
  <si>
    <t xml:space="preserve">explicit health claim in the brand's own copy (opened 2026-10-24): 'Packed with premium beef and roasted nuts to keep you full and focused' (https://www.dmsnacks.com/products/cowboy-starter-kit)</t>
  </si>
  <si>
    <t xml:space="preserve">https://www.instagram.com/damnmansnacks</t>
  </si>
  <si>
    <t xml:space="preserve">BR5:33</t>
  </si>
  <si>
    <t xml:space="preserve">SFFS 2026 (Sugar Plum Inc, State: Pennsylvania): 'Sugar Plum Chocolates and DM Snacks are family-owned Pennsylvania specialty food brands founded by Frann and Neil Edley'. Site: 'Woman-owned. Packed in PA.'</t>
  </si>
  <si>
    <t xml:space="preserve">excluded &lt;- https://www.dmsnacks.com/products/cowboy-starter-kit (2026-10-24, stage 3 correction); exclusion_reason &lt;- https://www.dmsnacks.com/products/cowboy-starter-kit (2026-10-24, stage 3 correction); </t>
  </si>
  <si>
    <t xml:space="preserve">AB-301</t>
  </si>
  <si>
    <t xml:space="preserve">DrinkFolks</t>
  </si>
  <si>
    <t xml:space="preserve">Added new Gut Reset and Immunity 6-pack and 2-pack listings at lower prices than the March 2026 listings</t>
  </si>
  <si>
    <t xml:space="preserve">https://www.drinkfolks.com/products.json</t>
  </si>
  <si>
    <t xml:space="preserve">DrinkFolks Gut Reset jamu root tonic, 6-pack</t>
  </si>
  <si>
    <t xml:space="preserve">New York City (Hot Bread Kitchen incubator alumna)</t>
  </si>
  <si>
    <t xml:space="preserve">https://www.drinkfolks.com</t>
  </si>
  <si>
    <t xml:space="preserve">Tiffany</t>
  </si>
  <si>
    <t xml:space="preserve">Gated out: health-claim: Explicit structure-function claims: 'Supports Digestion &amp; Immune Health', 'Strengthens Immunity', 'Gut Reset calms bloat'.</t>
  </si>
  <si>
    <t xml:space="preserve">health-claim: Explicit structure-function claims: 'Supports Digestion &amp; Immune Health', 'Strengthens Immunity', 'Gut Reset calms bloat'</t>
  </si>
  <si>
    <t xml:space="preserve">Bottled root tonics sold online in 6-packs; storage not checked</t>
  </si>
  <si>
    <t xml:space="preserve">Explicit structure-function claims: 'Supports Digestion &amp; Immune Health', 'Strengthens Immunity', 'Gut Reset calms bloat'</t>
  </si>
  <si>
    <t xml:space="preserve">https://startupcpg.com/13-female-founded-beverage-brands-you-might-not-know-but-should/</t>
  </si>
  <si>
    <t xml:space="preserve">https://instagram.com/drinkfolks</t>
  </si>
  <si>
    <t xml:space="preserve">BR5:37</t>
  </si>
  <si>
    <t xml:space="preserve">Hot Bread Kitchen Breadwinners Marketplace lists DrinkFolks. HBKi quotes 'Tiffany, DrinkFolks' (Seed program). Recorded so the health-claim gate is visible.</t>
  </si>
  <si>
    <t xml:space="preserve">AB-199</t>
  </si>
  <si>
    <t xml:space="preserve">Ghia</t>
  </si>
  <si>
    <t xml:space="preserve">Launched Le Fizz</t>
  </si>
  <si>
    <t xml:space="preserve">https://drinkghia.com/products.json</t>
  </si>
  <si>
    <t xml:space="preserve">2026-09-03</t>
  </si>
  <si>
    <t xml:space="preserve">https://drinkghia.com/pages/faq</t>
  </si>
  <si>
    <t xml:space="preserve">Ghia Le Spritz non-alcoholic aperitif, can</t>
  </si>
  <si>
    <t xml:space="preserve">https://drinkghia.com</t>
  </si>
  <si>
    <t xml:space="preserve">Melanie</t>
  </si>
  <si>
    <t xml:space="preserve">https://drinkghia.com/pages/our-story</t>
  </si>
  <si>
    <t xml:space="preserve">Gated out: health-claim: FAQ: 'Ghia keeps you calm, enhances your appetite, and soothe[s]...' (structure or function wording).</t>
  </si>
  <si>
    <t xml:space="preserve">health-claim: FAQ: 'Ghia keeps you calm, enhances your appetite, and soothe[s]...' (structure or function wording)</t>
  </si>
  <si>
    <t xml:space="preserve">No unopened storage statement read</t>
  </si>
  <si>
    <t xml:space="preserve">FAQ: 'Ghia keeps you calm, enhances your appetite, and soothe[s]...' (structure or function wording)</t>
  </si>
  <si>
    <t xml:space="preserve">https://www.instagram.com/drinkghia</t>
  </si>
  <si>
    <t xml:space="preserve">BR3:73</t>
  </si>
  <si>
    <t xml:space="preserve">Recorded so it is not re-researched.</t>
  </si>
  <si>
    <t xml:space="preserve">AB-142</t>
  </si>
  <si>
    <t xml:space="preserve">Grady's Cold Brew</t>
  </si>
  <si>
    <t xml:space="preserve">New 32 oz Cocoa Mocha concentrate listed on store</t>
  </si>
  <si>
    <t xml:space="preserve">https://www.gradyscoldbrew.com/products.json</t>
  </si>
  <si>
    <t xml:space="preserve">https://www.gradyscoldbrew.com/pages/about-grady-s</t>
  </si>
  <si>
    <t xml:space="preserve">Grady's 32 oz Cold Brew Concentrate</t>
  </si>
  <si>
    <t xml:space="preserve">https://www.gradyscoldbrew.com</t>
  </si>
  <si>
    <t xml:space="preserve">Grady</t>
  </si>
  <si>
    <t xml:space="preserve">Gated out: excluded-category: Refrigerated concentrate that needs preparation (dilution); not individually packaged.</t>
  </si>
  <si>
    <t xml:space="preserve">excluded-category;not-shelf-stable</t>
  </si>
  <si>
    <t xml:space="preserve">excluded-category: Refrigerated concentrate that needs preparation (dilution); not individually packaged | not-shelf-stable: Refrigerated concentrate that needs preparation (dilution); not individually packaged</t>
  </si>
  <si>
    <t xml:space="preserve">Product copy: 'Must be refrigerated before and after opening' (gradyscoldbrew.com/products.json, read 2026-10-23)</t>
  </si>
  <si>
    <t xml:space="preserve">Refrigerated concentrate that needs preparation (dilution); not individually packaged</t>
  </si>
  <si>
    <t xml:space="preserve">unknown (Storemapper locator not queried)</t>
  </si>
  <si>
    <t xml:space="preserve">https://www.instagram.com/gradyscoldbrew</t>
  </si>
  <si>
    <t xml:space="preserve">BR3:16</t>
  </si>
  <si>
    <t xml:space="preserve">About page: started in a Brooklyn kitchen; product copy 'Made in New York City'. Recorded so it is not re-researched.</t>
  </si>
  <si>
    <t xml:space="preserve">AB-139</t>
  </si>
  <si>
    <t xml:space="preserve">Moment</t>
  </si>
  <si>
    <t xml:space="preserve">https://drinkmoment.com/products.json</t>
  </si>
  <si>
    <t xml:space="preserve">Moment sparkling botanical drink with ashwagandha and L-theanine</t>
  </si>
  <si>
    <t xml:space="preserve">https://drinkmoment.com</t>
  </si>
  <si>
    <t xml:space="preserve">Aisha</t>
  </si>
  <si>
    <t xml:space="preserve">https://drinkmoment.com/pages/about</t>
  </si>
  <si>
    <t xml:space="preserve">Gated out: health-claim: Adaptogen drinks with structure or function claims ('supports your mood and focus', 'Balance meets immunity', sleep blends).</t>
  </si>
  <si>
    <t xml:space="preserve">health-claim: Adaptogen drinks with structure or function claims ('supports your mood and focus', 'Balance meets immunity', sleep blends)</t>
  </si>
  <si>
    <t xml:space="preserve">Adaptogen drinks with structure or function claims ('supports your mood and focus', 'Balance meets immunity', sleep blends)</t>
  </si>
  <si>
    <t xml:space="preserve">https://www.instagram.com/drinkmoment</t>
  </si>
  <si>
    <t xml:space="preserve">BR3:13</t>
  </si>
  <si>
    <t xml:space="preserve">Checked as a possible NYC brand; HQ not confirmed. Excluded on claims.</t>
  </si>
  <si>
    <t xml:space="preserve">AB-100</t>
  </si>
  <si>
    <t xml:space="preserve">Munk Pack</t>
  </si>
  <si>
    <t xml:space="preserve">https://munkpack.com/pages/faq</t>
  </si>
  <si>
    <t xml:space="preserve">Cookie Dough Probiotic Protein Bar; Peanut Butter Dark Chocolate Nut &amp; Seed Bar</t>
  </si>
  <si>
    <t xml:space="preserve">https://munkpack.com</t>
  </si>
  <si>
    <t xml:space="preserve">https://munkpack.com/pages/about-us</t>
  </si>
  <si>
    <t xml:space="preserve">Toby</t>
  </si>
  <si>
    <t xml:space="preserve">Gated out: health-claim: Explicit health claims: brand FAQ says probiotics have 'benefits for digestive health' and 'aid in the body's immune response'; 'virtually no impa.</t>
  </si>
  <si>
    <t xml:space="preserve">first names on brand about page</t>
  </si>
  <si>
    <t xml:space="preserve">health-claim: Explicit health claims: brand FAQ says probiotics have 'benefits for digestive health' and 'aid in the body's immune response'; 'virtually no impact on blood sugar'</t>
  </si>
  <si>
    <t xml:space="preserve">Wrapped bars shipped nationally; shelf-life figure not found</t>
  </si>
  <si>
    <t xml:space="preserve">Explicit health claims: brand FAQ says probiotics have 'benefits for digestive health' and 'aid in the body's immune response'; 'virtually no impact on blood sugar'</t>
  </si>
  <si>
    <t xml:space="preserve">Store locator on brand site (not machine-read)</t>
  </si>
  <si>
    <t xml:space="preserve">https://www.wholefoodsmarket.com/api/search?text=munk%20pack&amp;store=10162&amp;limit=60&amp;offset=0</t>
  </si>
  <si>
    <t xml:space="preserve">https://www.instagram.com/munkpack/</t>
  </si>
  <si>
    <t xml:space="preserve">BR2:38</t>
  </si>
  <si>
    <t xml:space="preserve">1g sugar positioning. Not in WFM cluster catalogs.</t>
  </si>
  <si>
    <t xml:space="preserve">AB-148</t>
  </si>
  <si>
    <t xml:space="preserve">Sap!</t>
  </si>
  <si>
    <t xml:space="preserve">https://sapvt.com/pages/faqs</t>
  </si>
  <si>
    <t xml:space="preserve">Sap! Maple Soda / Maple Seltzer, can</t>
  </si>
  <si>
    <t xml:space="preserve">https://sapvt.com</t>
  </si>
  <si>
    <t xml:space="preserve">Chas</t>
  </si>
  <si>
    <t xml:space="preserve">https://sapvt.com/pages/our-story</t>
  </si>
  <si>
    <t xml:space="preserve">Nikita</t>
  </si>
  <si>
    <t xml:space="preserve">Gated out: health-claim: Explicit health claim on product pages: 'Prebiotics (Good for Gut Health)'.</t>
  </si>
  <si>
    <t xml:space="preserve">first names on story page</t>
  </si>
  <si>
    <t xml:space="preserve">health-claim: Explicit health claim on product pages: 'Prebiotics (Good for Gut Health)'</t>
  </si>
  <si>
    <t xml:space="preserve">Brand FAQ: 'Sap! does not require refrigeration' (sapvt.com/pages/faqs, opened 2026-10-23)</t>
  </si>
  <si>
    <t xml:space="preserve">Explicit health claim on product pages: 'Prebiotics (Good for Gut Health)'</t>
  </si>
  <si>
    <t xml:space="preserve">https://www.instagram.com/drinksap</t>
  </si>
  <si>
    <t xml:space="preserve">BR3:22</t>
  </si>
  <si>
    <t xml:space="preserve">Vermont maple and birch sap drinks. Could pass if the gut-health line were removed from copy; founder may revisit.</t>
  </si>
  <si>
    <t xml:space="preserve">AB-194</t>
  </si>
  <si>
    <t xml:space="preserve">Twrl Milk Tea</t>
  </si>
  <si>
    <t xml:space="preserve">https://twrl.com/pages/about-milk-tea</t>
  </si>
  <si>
    <t xml:space="preserve">Twrl Milk Tea (pea-protein milk, whole-leaf tea), 7.5 oz can</t>
  </si>
  <si>
    <t xml:space="preserve">https://twrl.com</t>
  </si>
  <si>
    <t xml:space="preserve">Pauline</t>
  </si>
  <si>
    <t xml:space="preserve">https://twrl.com/pages/our-story</t>
  </si>
  <si>
    <t xml:space="preserve">Gated out: health-claim: Structure or function claims on site: antioxidants 'protects cells and supports health'; 'mild caffeine for improved focus with L-theanine'.</t>
  </si>
  <si>
    <t xml:space="preserve">health-claim: Structure or function claims on site: antioxidants 'protects cells and supports health'; 'mild caffeine for improved focus with L-theanine'</t>
  </si>
  <si>
    <t xml:space="preserve">Structure or function claims on site: antioxidants 'protects cells and supports health'; 'mild caffeine for improved focus with L-theanine'</t>
  </si>
  <si>
    <t xml:space="preserve">https://popupgrocer.com/products/twrl-milk-tea</t>
  </si>
  <si>
    <t xml:space="preserve">https://instagram.com/twrlmilktea</t>
  </si>
  <si>
    <t xml:space="preserve">BR3:68</t>
  </si>
  <si>
    <t xml:space="preserve">twrlmilktea.com redirects to twrl.com. Press page: two mothers, Taiwanese heritage. Product itself (canned milk tea) would otherwise fit.</t>
  </si>
  <si>
    <t xml:space="preserve">AB-117</t>
  </si>
  <si>
    <t xml:space="preserve">GoMacro</t>
  </si>
  <si>
    <t xml:space="preserve">Launched MacroSquare, its first new product format in six years, exclusively at Whole Foods Market nationwide</t>
  </si>
  <si>
    <t xml:space="preserve">https://www.snackandbakery.com/articles/115859-gomacro-launches-its-first-new-product-format-in-six-years</t>
  </si>
  <si>
    <t xml:space="preserve">https://gomacro.com/pages/our-story</t>
  </si>
  <si>
    <t xml:space="preserve">MacroBar Organic Vegan Protein Bar; MacroSquare (Dark Chocolate Nuts + Sea Salt)</t>
  </si>
  <si>
    <t xml:space="preserve">Viola</t>
  </si>
  <si>
    <t xml:space="preserve">https://gomacro.com</t>
  </si>
  <si>
    <t xml:space="preserve">33 to 39 SKUs at each cluster WFM suggests scale above the band; protein positioning; kids MacroBar line; 60-day shelf life not stated</t>
  </si>
  <si>
    <t xml:space="preserve">https://www.wholefoodsmarket.com/api/search?text=gomacro&amp;store=10773&amp;limit=60&amp;offset=0</t>
  </si>
  <si>
    <t xml:space="preserve">Jola</t>
  </si>
  <si>
    <t xml:space="preserve">Sonkin</t>
  </si>
  <si>
    <t xml:space="preserve">https://theorg.com/org/gomacro/person/jola-sonkin</t>
  </si>
  <si>
    <t xml:space="preserve">Dan</t>
  </si>
  <si>
    <t xml:space="preserve">Hickle</t>
  </si>
  <si>
    <t xml:space="preserve">SVP, Head of Marketing</t>
  </si>
  <si>
    <t xml:space="preserve">https://theorg.com/org/gomacro/person/dan-hickle</t>
  </si>
  <si>
    <t xml:space="preserve">Gated out: health-claim: explicit health claim in the brand's own copy (opened 2026-10-24): 'a good source of potassium, helping support heart health; raisins 'helping sup.</t>
  </si>
  <si>
    <t xml:space="preserve">Jola Sonkin</t>
  </si>
  <si>
    <t xml:space="preserve">The Org (updated 2026-08-30): "CEO | Co-Founder". Brand story page: Amelia Kirchoff began GoMacro with her daughter, Jola. Fills the stage-1 surname gap.</t>
  </si>
  <si>
    <t xml:space="preserve">Dan Hickle</t>
  </si>
  <si>
    <t xml:space="preserve">2026-01-18</t>
  </si>
  <si>
    <t xml:space="preserve">The Org (updated 2026-01-18): since 2025.</t>
  </si>
  <si>
    <t xml:space="preserve">health-claim: explicit health claim in the brand's own copy (opened 2026-10-24): 'a good source of potassium, helping support heart health; raisins 'helping support digestive health'' (https://gomacro.com/pages/ingredient-glossary)</t>
  </si>
  <si>
    <t xml:space="preserve">Wrapped bars sold ambient at Whole Foods; shelf-life figure not found</t>
  </si>
  <si>
    <t xml:space="preserve">explicit health claim in the brand's own copy (opened 2026-10-24): 'a good source of potassium, helping support heart health; raisins 'helping support digestive health'' (https://gomacro.com/pages/ingredient-glossary)</t>
  </si>
  <si>
    <t xml:space="preserve">https://www.wholefoodsmarket.com/api/search?text=gomacro&amp;store=10162&amp;limit=60&amp;offset=0; https://www.wholefoodsmarket.com/api/search?text=gomacro&amp;store=10773&amp;limit=60&amp;offset=0; https://www.wholefoodsmarket.com/api/search?text=gomacro&amp;store=10131&amp;limit=60&amp;offset=0</t>
  </si>
  <si>
    <t xml:space="preserve">https://www.instagram.com/gomacro/</t>
  </si>
  <si>
    <t xml:space="preserve">BR2:55</t>
  </si>
  <si>
    <t xml:space="preserve">Founded 2004. Why-now from Shopify publish dates.</t>
  </si>
  <si>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excluded &lt;- https://gomacro.com/pages/ingredient-glossary (2026-10-24, stage 3 correction); exclusion_reason &lt;- https://gomacro.com/pages/ingredient-glossary (2026-10-24, stage 3 correction); </t>
  </si>
  <si>
    <t xml:space="preserve">AB-070</t>
  </si>
  <si>
    <t xml:space="preserve">Raaka Chocolate</t>
  </si>
  <si>
    <t xml:space="preserve">New limited-batch Chili Meltaways truffle box and Pumpkin Crunch Minis launched on brand site for fall 2026</t>
  </si>
  <si>
    <t xml:space="preserve">https://www.raakachocolate.com/</t>
  </si>
  <si>
    <t xml:space="preserve">https://www.raakachocolate.com/pages/our-story-process</t>
  </si>
  <si>
    <t xml:space="preserve">Organic Coconut Chocolate Bar 1.8 oz; Coco Milk Mini 0.28 oz</t>
  </si>
  <si>
    <t xml:space="preserve">Brooklyn (Red Hook factory, 64 Seabring St)</t>
  </si>
  <si>
    <t xml:space="preserve">https://www.raakachocolate.com</t>
  </si>
  <si>
    <t xml:space="preserve">Sells a 'Functional' adaptogen and mushroom chocolate line (Day Break 'Focus &amp; Energy', Mellow Moon 'Rest &amp; Calm'); offer only the classic bars</t>
  </si>
  <si>
    <t xml:space="preserve">https://www.wholefoodsmarket.com/api/search?text=raaka&amp;store=10162&amp;limit=60&amp;offset=0</t>
  </si>
  <si>
    <t xml:space="preserve">Nathan</t>
  </si>
  <si>
    <t xml:space="preserve">Hodge</t>
  </si>
  <si>
    <t xml:space="preserve">CEO and co-founder</t>
  </si>
  <si>
    <t xml:space="preserve">https://theorg.com/org/raaka-chocolate/person/nathan-hodge</t>
  </si>
  <si>
    <t xml:space="preserve">William</t>
  </si>
  <si>
    <t xml:space="preserve">Mullan</t>
  </si>
  <si>
    <t xml:space="preserve">https://theorg.com/org/raaka-chocolate/person/william-mullan</t>
  </si>
  <si>
    <t xml:space="preserve">Gated out: health-claim: explicit health claim in the brand's own copy (opened 2026-10-24): 'Reishi supports a calm mood, lion's mane keeps you sharp (functional line: sev.</t>
  </si>
  <si>
    <t xml:space="preserve">Nathan Hodge</t>
  </si>
  <si>
    <t xml:space="preserve">The Org (updated 2024-10-31): CEO since 2021; Head Chocolate Maker and Co-Founder from 2010. Brand story page names co-founders "Ryan and Nate". Replaces the unverified stage-1 surname.</t>
  </si>
  <si>
    <t xml:space="preserve">William Mullan</t>
  </si>
  <si>
    <t xml:space="preserve">The Org (updated 2024-10-31): Brand Manager since 2014, HQ office. Two years since the page was updated.</t>
  </si>
  <si>
    <t xml:space="preserve">health-claim: explicit health claim in the brand's own copy (opened 2026-10-24): 'Reishi supports a calm mood, lion's mane keeps you sharp (functional line: seven adaptogenic herbs and 530mg of mushrooms)' (https://www.raakachocolate.com/products/functional-gift-bundle)</t>
  </si>
  <si>
    <t xml:space="preserve">Brand wholesale FAQ: coconut-containing products (Coconut Milk, Oat Milk, Cocoa Magic, Holiday Hot Chocolates, Waffle Cone bars) have a 9 month shelf life; all non-coconut products have a 16 month shelf life.</t>
  </si>
  <si>
    <t xml:space="preserve">explicit health claim in the brand's own copy (opened 2026-10-24): 'Reishi supports a calm mood, lion's mane keeps you sharp (functional line: seven adaptogenic herbs and 530mg of mushrooms)' (https://www.raakachocolate.com/products/functional-gift-bundle)</t>
  </si>
  <si>
    <t xml:space="preserve">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</si>
  <si>
    <t xml:space="preserve">Seed + Mill (brand_claim, 11.4 blocks out)</t>
  </si>
  <si>
    <t xml:space="preserve">Whole Foods; Amazon; ~1,700 locator entries (Storemapper)</t>
  </si>
  <si>
    <t xml:space="preserve">https://www.wholefoodsmarket.com/api/search?text=raaka&amp;store=10162&amp;limit=60&amp;offset=0; https://www.wholefoodsmarket.com/api/search?text=raaka&amp;store=10131&amp;limit=60&amp;offset=0; https://www.storemapper.co/api/users/1035/stores.js?callback=SMcallback2 (data behind https://www.raakachocolate.com/pages/store-locator)</t>
  </si>
  <si>
    <t xml:space="preserve">https://www.instagram.com/raakachocolate/</t>
  </si>
  <si>
    <t xml:space="preserve">BR2:7</t>
  </si>
  <si>
    <t xml:space="preserve">WFM NoMad catalog showed 0 Raaka hits on 2026-10-23 although the brand locator lists it, so NoMad is brand_claim only. Locator entries may be stale. Why-now date is the Shopify publish date of the Chili Meltaway product.</t>
  </si>
  <si>
    <t xml:space="preserve">shelf_stable &lt;- https://www.raakachocolate.com/pages/wholesale (2026-10-24, opened); shelf_stable_basis &lt;- https://www.raakachocolate.com/pages/wholesale (2026-10-24, opened); excluded &lt;- https://www.raakachocolate.com/products/functional-gift-bundle (2026-10-24, stage 3 correction); exclusion_reason &lt;- https://www.raakachocolate.com/products/functional-gift-bundle (2026-10-24, stage 3 correction); </t>
  </si>
  <si>
    <t xml:space="preserve">AB-245</t>
  </si>
  <si>
    <t xml:space="preserve">Bear's Fruit</t>
  </si>
  <si>
    <t xml:space="preserve">https://www.bearsfruit.com/pages/our-story</t>
  </si>
  <si>
    <t xml:space="preserve">Blackberry Sage Sparkling Probiotic Water, 12 fl oz can</t>
  </si>
  <si>
    <t xml:space="preserve">unknown (began 'in the back of a cookie shop in Brooklyn' per Our Story; current base not stated)</t>
  </si>
  <si>
    <t xml:space="preserve">https://www.bearsfruit.com</t>
  </si>
  <si>
    <t xml:space="preserve">Probiotic drink; may also need refrigeration; claim is on website, check pack; 60-day shelf life not stated</t>
  </si>
  <si>
    <t xml:space="preserve">https://www.wholefoodsmarket.com/api/search?text=bear%27s%20fruit&amp;store=10773&amp;limit=60&amp;offset=0</t>
  </si>
  <si>
    <t xml:space="preserve">Gated out: health-claim: Health-claim positioning: site title 'Gut Health Drinks'; Our Story: 'make improving gut health something to be enjoyed'.</t>
  </si>
  <si>
    <t xml:space="preserve">first names only on Our Story; surnames founder to confirm</t>
  </si>
  <si>
    <t xml:space="preserve">health-claim: Health-claim positioning: site title 'Gut Health Drinks'; Our Story: 'make improving gut health something to be enjoyed'</t>
  </si>
  <si>
    <t xml:space="preserve">NY (origin)</t>
  </si>
  <si>
    <t xml:space="preserve">Probiotic/fermented drink; storage not stated</t>
  </si>
  <si>
    <t xml:space="preserve">Health-claim positioning: site title 'Gut Health Drinks'; Our Story: 'make improving gut health something to be enjoyed'</t>
  </si>
  <si>
    <t xml:space="preserve">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</si>
  <si>
    <t xml:space="preserve">BR4:40</t>
  </si>
  <si>
    <t xml:space="preserve">Recorded so the gate is visible. WFM lists Blackberry Sage and Mango Habanero Sparkling Probiotic Water at Union Square and NoMad (sweep 2026-10-23, query 'sparkling').</t>
  </si>
  <si>
    <t xml:space="preserve">AB-242</t>
  </si>
  <si>
    <t xml:space="preserve">Baabu Foods</t>
  </si>
  <si>
    <t xml:space="preserve">https://www.pearlriver.com/products/baabu</t>
  </si>
  <si>
    <t xml:space="preserve">Organic Masala Pecans, 6 oz</t>
  </si>
  <si>
    <t xml:space="preserve">unknown, New Jersey (Pearl River listing: 'Small-batch roasted in New Jersey')</t>
  </si>
  <si>
    <t xml:space="preserve">https://baabufoods.com</t>
  </si>
  <si>
    <t xml:space="preserve">Retailer copy for the Chai Biscuits says fennel seeds 'support digestion... promote cardiovascular health' (structure/function); the pecans themselves carry no claim; offer pecans only and check pack wording</t>
  </si>
  <si>
    <t xml:space="preserve">https://baabufoods.com/pages/meet-the-baabus</t>
  </si>
  <si>
    <t xml:space="preserve">Gated out: health-claim: explicit health claim in the brand's own copy (opened 2026-10-24): 'fennel seeds support digestion, boost antioxidants, and promote cardiovascular.</t>
  </si>
  <si>
    <t xml:space="preserve">Lisa</t>
  </si>
  <si>
    <t xml:space="preserve">first names only; surnames founder to confirm</t>
  </si>
  <si>
    <t xml:space="preserve">Mayank</t>
  </si>
  <si>
    <t xml:space="preserve">health-claim: explicit health claim in the brand's own copy (opened 2026-10-24): 'fennel seeds support digestion, boost antioxidants, and promote cardiovascular health' (https://baabufoods.com/products/chai-biscuits)</t>
  </si>
  <si>
    <t xml:space="preserve">Roasted nuts sold ambient; no shelf-life figure published, founder to confirm</t>
  </si>
  <si>
    <t xml:space="preserve">explicit health claim in the brand's own copy (opened 2026-10-24): 'fennel seeds support digestion, boost antioxidants, and promote cardiovascular health' (https://baabufoods.com/products/chai-biscuits)</t>
  </si>
  <si>
    <t xml:space="preserve">BR4:37</t>
  </si>
  <si>
    <t xml:space="preserve">6 oz bag is share size. Brand site reachable but gave no HQ text. Pearl River Mart catalog (pearlriver.com online store; Chelsea Market food store at 75 9th Ave not confirmed for this item)</t>
  </si>
  <si>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excluded &lt;- https://baabufoods.com/products/chai-biscuits (2026-10-24, stage 3 correction); exclusion_reason &lt;- https://baabufoods.com/products/chai-biscuits (2026-10-24, stage 3 correction); </t>
  </si>
  <si>
    <t xml:space="preserve">AB-065</t>
  </si>
  <si>
    <t xml:space="preserve">Belgian Boys</t>
  </si>
  <si>
    <t xml:space="preserve">https://www.belgianboys.com/pages/where-to-buy</t>
  </si>
  <si>
    <t xml:space="preserve">Bite-Sized Waffles (also pancakes, crepes)</t>
  </si>
  <si>
    <t xml:space="preserve">New York (founders live in NYC per brand Our Story; HQ address not stated)</t>
  </si>
  <si>
    <t xml:space="preserve">https://www.belgianboys.com</t>
  </si>
  <si>
    <t xml:space="preserve">scale signal in the why-now ('Costco'): likely above the $10M band; ask at intake; single-serve pack not shown on the pages read: ask on the first call</t>
  </si>
  <si>
    <t xml:space="preserve">https://www.belgianboys.com/pages/our-story</t>
  </si>
  <si>
    <t xml:space="preserve">Gated out: not-shelf-stable: Refrigerated products (brand where-to-buy page: refrigerated aisle).</t>
  </si>
  <si>
    <t xml:space="preserve">Anouck</t>
  </si>
  <si>
    <t xml:space="preserve">surname Gotlib per DeliMarket News search result, unverified, founder to confirm</t>
  </si>
  <si>
    <t xml:space="preserve">not-shelf-stable: Refrigerated products (brand where-to-buy page: refrigerated aisle)</t>
  </si>
  <si>
    <t xml:space="preserve">Brand where-to-buy page says to find products 'in the nearest refrigerated aisle'</t>
  </si>
  <si>
    <t xml:space="preserve">Brand Our Story says 'found in over 12,000 stores' (store count, not used for band)</t>
  </si>
  <si>
    <t xml:space="preserve">Refrigerated products (brand where-to-buy page: refrigerated aisle)</t>
  </si>
  <si>
    <t xml:space="preserve">Costco; Target; Publix; Kroger; Walmart</t>
  </si>
  <si>
    <t xml:space="preserve">https://www.instagram.com/belgianboys/</t>
  </si>
  <si>
    <t xml:space="preserve">BR2:2</t>
  </si>
  <si>
    <t xml:space="preserve">Breakfast items, not a sweet-snack fit; recorded only so the gate is visible. Pages opened 2026-10-23. | Why-now without an opened link and a date, kept as a note only: Debuted Bite-Sized Waffles at Expo West, Costco launch April 2026 (NOSH press release seen in search results; page blocked, unverified, founder to confirm) (url: https://www.nosh.com/pr/2026/02/25/belgian-boys-to-debut-new-bitesized-waffles-at-expo-west; date: 2026-02-25)</t>
  </si>
  <si>
    <t xml:space="preserve">AB-092</t>
  </si>
  <si>
    <t xml:space="preserve">Mid-Day Squares</t>
  </si>
  <si>
    <t xml:space="preserve">Launched PB&amp;J Apple flavor (Sept 2026) after Grape and Strawberry earlier in 2026</t>
  </si>
  <si>
    <t xml:space="preserve">https://www.middaysquares.com/</t>
  </si>
  <si>
    <t xml:space="preserve">2026-09-23</t>
  </si>
  <si>
    <t xml:space="preserve">https://www.middaysquares.com/pages/faq</t>
  </si>
  <si>
    <t xml:space="preserve">Cookie Dough chocolate bar 1.16 oz; PB&amp;J Apple</t>
  </si>
  <si>
    <t xml:space="preserve">Montreal</t>
  </si>
  <si>
    <t xml:space="preserve">https://www.middaysquares.com</t>
  </si>
  <si>
    <t xml:space="preserve">https://www.wholefoodsmarket.com/api/search?text=mid-day%20squares&amp;store=10773&amp;limit=60&amp;offset=0</t>
  </si>
  <si>
    <t xml:space="preserve">Gated out: health-claim: Refrigeration recommended: brand FAQ says store in the fridge, 5 days on the go; WFM lists a 'Functional Bar' SKU.</t>
  </si>
  <si>
    <t xml:space="preserve">health-claim;not-shelf-stable</t>
  </si>
  <si>
    <t xml:space="preserve">health-claim: Refrigeration recommended: brand FAQ says store in the fridge, 5 days on the go; WFM lists a 'Functional Bar' SKU | not-shelf-stable: Refrigeration recommended: brand FAQ says store in the fridge, 5 days on the go; WFM lists a 'Functional Bar' SKU</t>
  </si>
  <si>
    <t xml:space="preserve">QC (Canada)</t>
  </si>
  <si>
    <t xml:space="preserve">Brand FAQ: 'STORE IN THE FRIDGE. TAKE ON THE GO FOR 5 DAYS.'</t>
  </si>
  <si>
    <t xml:space="preserve">Refrigeration recommended: brand FAQ says store in the fridge, 5 days on the go; WFM lists a 'Functional Bar' SKU</t>
  </si>
  <si>
    <t xml:space="preserve">Walmart; Whole Foods; retailer list page</t>
  </si>
  <si>
    <t xml:space="preserve">https://www.wholefoodsmarket.com/api/search?text=mid-day%20squares&amp;store=10162&amp;limit=60&amp;offset=0; https://www.wholefoodsmarket.com/api/search?text=mid-day%20squares&amp;store=10773&amp;limit=60&amp;offset=0; https://www.wholefoodsmarket.com/api/search?text=mid-day%20squares&amp;store=10131&amp;limit=60&amp;offset=0</t>
  </si>
  <si>
    <t xml:space="preserve">https://www.instagram.com/middaysquares/</t>
  </si>
  <si>
    <t xml:space="preserve">BR2:29</t>
  </si>
  <si>
    <t xml:space="preserve">'Made with love in Montreal' footer. Excluded on the refrigeration rule; founder may overrule if 5-day ambient window is acceptable for a 5-day drop. Why-now date from Shopify publish date.</t>
  </si>
  <si>
    <t xml:space="preserve">AB-089</t>
  </si>
  <si>
    <t xml:space="preserve">NuGo Nutrition</t>
  </si>
  <si>
    <t xml:space="preserve">Added GLP-1 Protein Bar variety pack (July 2026) and Matcha Latte bar (June 2026) on brand store</t>
  </si>
  <si>
    <t xml:space="preserve">https://nugo.com/</t>
  </si>
  <si>
    <t xml:space="preserve">2026-07-16</t>
  </si>
  <si>
    <t xml:space="preserve">https://nugo.com/pages/about-us</t>
  </si>
  <si>
    <t xml:space="preserve">NuGo Dark Chocolate Cherry bar (12g plant protein); NuGo Slim bars</t>
  </si>
  <si>
    <t xml:space="preserve">Oakmont</t>
  </si>
  <si>
    <t xml:space="preserve">https://nugo.com</t>
  </si>
  <si>
    <t xml:space="preserve">Markets a 'GLP-1 Protein Bar' pack with 'Low Glycemic' and Weight Watchers points (borderline weight/health positioning); protein nutrient claims; 20-year-old brand may be above size band; 60-day shelf life not stated</t>
  </si>
  <si>
    <t xml:space="preserve">https://www.wholefoodsmarket.com/api/search?text=nugo&amp;store=10773&amp;limit=60&amp;offset=0</t>
  </si>
  <si>
    <t xml:space="preserve">Gated out: health-claim: explicit health positioning on the brand's homepage (opened 2026-10-24): bars sold in 'Diabetes', 'Dialysis', 'GLP-1', 'Digestive Health' and 'Gut.</t>
  </si>
  <si>
    <t xml:space="preserve">health-claim: explicit health positioning on the brand's homepage (opened 2026-10-24): bars sold in 'Diabetes', 'Dialysis', 'GLP-1', 'Digestive Health' and 'Gut Health' collections, which tie the product to medical conditions</t>
  </si>
  <si>
    <t xml:space="preserve">scale;not-emerging;claim-functional;nutrient-claim</t>
  </si>
  <si>
    <t xml:space="preserve">unknown (calls itself an independent company)</t>
  </si>
  <si>
    <t xml:space="preserve">Single wrapped protein bars sold ambient at Whole Foods; shelf-life figure not found</t>
  </si>
  <si>
    <t xml:space="preserve">explicit health positioning on the brand's homepage (opened 2026-10-24): bars sold in 'Diabetes', 'Dialysis', 'GLP-1', 'Digestive Health' and 'Gut Health' collections, which tie the product to medical conditions</t>
  </si>
  <si>
    <t xml:space="preserve">https://www.wholefoodsmarket.com/api/search?text=nugo&amp;store=10162&amp;limit=60&amp;offset=0; https://www.wholefoodsmarket.com/api/search?text=nugo&amp;store=10773&amp;limit=60&amp;offset=0; https://www.wholefoodsmarket.com/api/search?text=nugo&amp;store=10131&amp;limit=60&amp;offset=0</t>
  </si>
  <si>
    <t xml:space="preserve">https://www.instagram.com/nugonutrition/</t>
  </si>
  <si>
    <t xml:space="preserve">BR2:26</t>
  </si>
  <si>
    <t xml:space="preserve">Brand also sells protein powders. Locator is a Secomapp widget (not machine-read). Why-now dates from Shopify publish dates.</t>
  </si>
  <si>
    <t xml:space="preserve">hq_city &lt;- https://nugo.com/pages/contact-faq (2026-10-24, opened); hq_state &lt;- https://nugo.com/pages/contact-faq (2026-10-24, opened); excluded &lt;- https://nugo.com (2026-10-24, stage 3 correction); exclusion_reason &lt;- https://nugo.com (2026-10-24, stage 3 correction); </t>
  </si>
  <si>
    <t xml:space="preserve">AB-023</t>
  </si>
  <si>
    <t xml:space="preserve">SuperSeedz</t>
  </si>
  <si>
    <t xml:space="preserve">Whole Foods Market Chelsea, 250 7th Ave</t>
  </si>
  <si>
    <t xml:space="preserve">New 1 oz single-serve Sea Salt pack of 12 on brand store; Pumpkin Spice flavor announced via Startup CPG Newswire (2025-10-01)</t>
  </si>
  <si>
    <t xml:space="preserve">https://www.superseedz.com/products/sea-salt-1-ounce-pack-of-12</t>
  </si>
  <si>
    <t xml:space="preserve">https://www.superseedz.com</t>
  </si>
  <si>
    <t xml:space="preserve">SuperSeedz Sea Salt gourmet pumpkin seeds, 1 oz single-serve (pack of 12)</t>
  </si>
  <si>
    <t xml:space="preserve">Product titles use 'Antioxidant Boost' and WFM listing leads with '8g Protein' (nutrient-content style wording); check pack</t>
  </si>
  <si>
    <t xml:space="preserve">https://www.wholefoodsmarket.com/api/search?text=superseedz&amp;store=10131&amp;limit=60&amp;offset=0</t>
  </si>
  <si>
    <t xml:space="preserve">Gated out: health-claim: explicit health claim in the brand's own copy (opened 2026-10-24): 'Supports heart health, hormone balance, and immune system' (https://www.supers.</t>
  </si>
  <si>
    <t xml:space="preserve">health-claim: explicit health claim in the brand's own copy (opened 2026-10-24): 'Supports heart health, hormone balance, and immune system' (https://www.superseedz.com/products/in-the-raw)</t>
  </si>
  <si>
    <t xml:space="preserve">Brand FAQ (cinnamon sugar seeds): 'Store your pumpkin seeds in an airtight container at room temperature. They will keep this way for several weeks.' No unopened shelf-life figure found.</t>
  </si>
  <si>
    <t xml:space="preserve">explicit health claim in the brand's own copy (opened 2026-10-24): 'Supports heart health, hormone balance, and immune system' (https://www.superseedz.com/products/in-the-raw)</t>
  </si>
  <si>
    <t xml:space="preserve">Whole Foods Market NoMad, 63 Madison Ave (unverified, inside);Whole Foods Market Chelsea, 250 7th Ave (store_selector, 3.0 blocks out)</t>
  </si>
  <si>
    <t xml:space="preserve">https://www.wholefoodsmarket.com/search?text=superseedz (store context NoMad 10773 and Chelsea 10131: Dry Roasted Pumpkin Seeds with Sea Salt 5 oz IN_STOCK 2026-10-23; not shown for Union Square)</t>
  </si>
  <si>
    <t xml:space="preserve">https://startupcpg.com/startup-cpg-newswire-superseedz-launches-pumpkin-spice/</t>
  </si>
  <si>
    <t xml:space="preserve">BR1:24</t>
  </si>
  <si>
    <t xml:space="preserve">Footer: PO Box 198, Guilford CT. Startup CPG flag from a brand press release on Startup CPG Newswire (title seen in newswire listing via startupcpg.com wp-json post list).</t>
  </si>
  <si>
    <t xml:space="preserve">shelf_stable_basis &lt;- https://www.superseedz.com/pages/faq (2026-10-24, opened); excluded &lt;- https://www.superseedz.com/products/in-the-raw (2026-10-24, stage 3 correction); exclusion_reason &lt;- https://www.superseedz.com/products/in-the-raw (2026-10-24, stage 3 correction); </t>
  </si>
  <si>
    <t xml:space="preserve">AB-234</t>
  </si>
  <si>
    <t xml:space="preserve">Kim's Magic Pop</t>
  </si>
  <si>
    <t xml:space="preserve">Launched Kim's Protein Mini Pop (Dark Chocolate and Salted Caramel drizzled popped cakes, 8 g plant protein, 4 oz bags) on its store</t>
  </si>
  <si>
    <t xml:space="preserve">https://kimsmagicpop.com/products.json?limit=250</t>
  </si>
  <si>
    <t xml:space="preserve">https://kimsmagicpop.com/pages/about-us</t>
  </si>
  <si>
    <t xml:space="preserve">Popped Lentil Snack 2.9 oz; Mini Pop and Protein Mini Pop (air-popped grain sheets)</t>
  </si>
  <si>
    <t xml:space="preserve">Palisades Park, NJ (privacy policy: DELICE GLOBAL, Inc., 150 Roosevelt Place, Palisades Park, NJ 07650)</t>
  </si>
  <si>
    <t xml:space="preserve">https://kimsmagicpop.com</t>
  </si>
  <si>
    <t xml:space="preserve">Founded 1998 with large-scale retail and private-label business; may be an established manufacturer rather than an emerging brand</t>
  </si>
  <si>
    <t xml:space="preserve">https://www.wholefoodsmarket.com/api/search?text=kim%27s%20magic%20pop&amp;store=10773&amp;limit=60&amp;offset=0</t>
  </si>
  <si>
    <t xml:space="preserve">Gated out: health-claim: explicit health claim in the brand's own copy (opened 2026-10-24): 'Brown Rice (helps improve weight loss) Red Rice (strenghtening metabolism, hel.</t>
  </si>
  <si>
    <t xml:space="preserve">health-claim: explicit health claim in the brand's own copy (opened 2026-10-24): 'Brown Rice (helps improve weight loss) Red Rice (strenghtening metabolism, helps in weight management)' (https://kimsmagicpop.com/products/kims-deli-pop-gluten-free)</t>
  </si>
  <si>
    <t xml:space="preserve">Air-popped dry grain snack sold ambient; no shelf-life figure published, founder to confirm</t>
  </si>
  <si>
    <t xml:space="preserve">explicit health claim in the brand's own copy (opened 2026-10-24): 'Brown Rice (helps improve weight loss) Red Rice (strenghtening metabolism, helps in weight management)' (https://kimsmagicpop.com/products/kims-deli-pop-gluten-free)</t>
  </si>
  <si>
    <t xml:space="preserve">Whole Foods Market (WFM catalog); 'large-scale retail distribution' and private label (about page)</t>
  </si>
  <si>
    <t xml:space="preserve">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</si>
  <si>
    <t xml:space="preserve">BR4:29</t>
  </si>
  <si>
    <t xml:space="preserve">Homepage banner: Halloween code BOO15 (shows the brand issues discount codes). WFM flags Local at Union Square and NoMad (2026-10-23).</t>
  </si>
  <si>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excluded &lt;- https://kimsmagicpop.com/products/kims-deli-pop-gluten-free (2026-10-24, stage 3 correction); exclusion_reason &lt;- https://kimsmagicpop.com/products/kims-deli-pop-gluten-free (2026-10-24, stage 3 correction); </t>
  </si>
  <si>
    <t xml:space="preserve">AB-050</t>
  </si>
  <si>
    <t xml:space="preserve">DANG Foods</t>
  </si>
  <si>
    <t xml:space="preserve">https://dangfoods.com/pages/our-dang-story</t>
  </si>
  <si>
    <t xml:space="preserve">Dang Sticky Rice Chips, Original, 3.5 oz</t>
  </si>
  <si>
    <t xml:space="preserve">Sausalito</t>
  </si>
  <si>
    <t xml:space="preserve">https://dangfoods.com</t>
  </si>
  <si>
    <t xml:space="preserve">Main office listed as 'Dang Foods at Safe Catch' (Sausalito), which suggests a parent or partner company; budget owner unclear; no individually packaged single-serve SKU on the pages read (check for one before outreach)</t>
  </si>
  <si>
    <t xml:space="preserve">https://www.wholefoodsmarket.com/api/search?text=dang%20foods&amp;store=10162&amp;limit=60&amp;offset=0</t>
  </si>
  <si>
    <t xml:space="preserve">Gated out: health-claim: explicit health claim in the brand's own copy (opened 2026-10-24): 'we experience improved mental focus, increased energy, reduced inflammation, w.</t>
  </si>
  <si>
    <t xml:space="preserve">health-claim: explicit health claim in the brand's own copy (opened 2026-10-24): 'we experience improved mental focus, increased energy, reduced inflammation, weight loss, better sleep, and improved mood' (https://dangfoods.com/pages/why-keto)</t>
  </si>
  <si>
    <t xml:space="preserve">Bagged rice chips and toasted coconut chips, ambient</t>
  </si>
  <si>
    <t xml:space="preserve">explicit health claim in the brand's own copy (opened 2026-10-24): 'we experience improved mental focus, increased energy, reduced inflammation, weight loss, better sleep, and improved mood' (https://dangfoods.com/pages/why-keto)</t>
  </si>
  <si>
    <t xml:space="preserve">https://www.wholefoodsmarket.com/search?text=rice%20crackers (Union Square context: Dang Sticky Rice Chips Original and Coconut Crunch 3.5 oz IN_STOCK, category search 2026-10-23)</t>
  </si>
  <si>
    <t xml:space="preserve">BR1:51</t>
  </si>
  <si>
    <t xml:space="preserve">Brand story says the founders lived between NYC and Bangkok.</t>
  </si>
  <si>
    <t xml:space="preserve">excluded &lt;- https://dangfoods.com/pages/why-keto (2026-10-24, stage 3 correction); exclusion_reason &lt;- https://dangfoods.com/pages/why-keto (2026-10-24, stage 3 correction); </t>
  </si>
  <si>
    <t xml:space="preserve">AB-238</t>
  </si>
  <si>
    <t xml:space="preserve">QNSY Sparkling Cocktails</t>
  </si>
  <si>
    <t xml:space="preserve">https://www.drinkqnsy.com/</t>
  </si>
  <si>
    <t xml:space="preserve">Cosmo Spiked Sparkling Water 12 fl oz can (5% alcohol)</t>
  </si>
  <si>
    <t xml:space="preserve">Queens, New York</t>
  </si>
  <si>
    <t xml:space="preserve">https://www.wholefoodsmarket.com/api/search?text=qnsy&amp;store=10773&amp;limit=60&amp;offset=0</t>
  </si>
  <si>
    <t xml:space="preserve">Gated out: excluded-category: Alcohol (homepage: 'All with 5% alcohol').</t>
  </si>
  <si>
    <t xml:space="preserve">excluded-category: Alcohol (homepage: 'All with 5% alcohol')</t>
  </si>
  <si>
    <t xml:space="preserve">https://www.drinkqnsy.com</t>
  </si>
  <si>
    <t xml:space="preserve">Canned</t>
  </si>
  <si>
    <t xml:space="preserve">Alcohol (homepage: 'All with 5% alcohol')</t>
  </si>
  <si>
    <t xml:space="preserve">Whole Foods Market (WFM catalog)</t>
  </si>
  <si>
    <t xml:space="preserve">https://www.wholefoodsmarket.com/api/search?text=qnsy&amp;store=10773&amp;limit=60&amp;offset=0; https://www.wholefoodsmarket.com/api/search?text=qnsy&amp;store=10162&amp;limit=60&amp;offset=0</t>
  </si>
  <si>
    <t xml:space="preserve">BR4:33</t>
  </si>
  <si>
    <t xml:space="preserve">Recorded so the gate is visible. Launched summer 2021 per press quote on homepage.</t>
  </si>
  <si>
    <t xml:space="preserve">AB-190</t>
  </si>
  <si>
    <t xml:space="preserve">WAVA Water</t>
  </si>
  <si>
    <t xml:space="preserve">Fairway Chelsea, 766 6th Ave</t>
  </si>
  <si>
    <t xml:space="preserve">New Lemon Ice + Natural pack listed (after Orange Vanilla, Natural, Lemon Ice in 2026-02)</t>
  </si>
  <si>
    <t xml:space="preserve">https://wavawater.com/products.json</t>
  </si>
  <si>
    <t xml:space="preserve">https://wavawater.com/pages/about</t>
  </si>
  <si>
    <t xml:space="preserve">WAVA lightly caffeinated sparkling water (45 mg caffeine, 100 mg L-theanine), can</t>
  </si>
  <si>
    <t xml:space="preserve">https://wavawater.com</t>
  </si>
  <si>
    <t xml:space="preserve">Strong Brooklyn founder story and one of the densest near-cluster footprints in this slice; the exclusion rests on one line of copy. Founder may decide to reinstate if the card and landing page avoid the focus claim; 60-day shelf life not stated</t>
  </si>
  <si>
    <t xml:space="preserve">Gated out: health-claim: Structure or function wording on every product: '100 mg l-theanine for increased focus'.</t>
  </si>
  <si>
    <t xml:space="preserve">health-claim: Structure or function wording on every product: '100 mg l-theanine for increased focus'</t>
  </si>
  <si>
    <t xml:space="preserve">Structure or function wording on every product: '100 mg l-theanine for increased focus'</t>
  </si>
  <si>
    <t xml:space="preserve">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</si>
  <si>
    <t xml:space="preserve">Fairway; Westside Market; Eden Gourmet; Elm Wellness; delis and cafes (brand Stockist locator: 76 points, 19 near the cluster); Pop Up Grocer (past brand)</t>
  </si>
  <si>
    <t xml:space="preserve">https://wavawater.com/pages/find-us; https://stockist.co/api/v1/u23135/locations/search?latitude=40.7400&amp;longitude=-73.9900&amp;distance=3</t>
  </si>
  <si>
    <t xml:space="preserve">BR3:64</t>
  </si>
  <si>
    <t xml:space="preserve">About: founder worked in NYC hospitality in 2020, then quit day jobs in Brooklyn with his wife (marketing background) to launch WAVA. Stockist queried 2026-10-23.</t>
  </si>
  <si>
    <t xml:space="preserve">AB-303</t>
  </si>
  <si>
    <t xml:space="preserve">Chikka Chikka</t>
  </si>
  <si>
    <t xml:space="preserve">Fennel Seed Mouth Freshener named a 2027 sofi Award finalist (Nuts, Seeds, Trail Mix &amp; Dried Fruit)</t>
  </si>
  <si>
    <t xml:space="preserve">Chikka Chikka Mint Fennel Seed Digestive, pocket tin</t>
  </si>
  <si>
    <t xml:space="preserve">https://chikkachikka.com</t>
  </si>
  <si>
    <t xml:space="preserve">Gated out: health-claim: Explicit health claims on the website: 'reduces bloating', 'improve digestion', 'natural antacid', maple syrup 'can help support brain health'.</t>
  </si>
  <si>
    <t xml:space="preserve">health-claim: Explicit health claims on the website: 'reduces bloating', 'improve digestion', 'natural antacid', maple syrup 'can help support brain health'</t>
  </si>
  <si>
    <t xml:space="preserve">Roasted fennel seeds in pocket-sized tins sold ambient</t>
  </si>
  <si>
    <t xml:space="preserve">Explicit health claims on the website: 'reduces bloating', 'improve digestion', 'natural antacid', maple syrup 'can help support brain health'</t>
  </si>
  <si>
    <t xml:space="preserve">https://startupcpg.com/startup-cpg-shelfie-finalists-2025/</t>
  </si>
  <si>
    <t xml:space="preserve">https://www.instagram.com/eat_chikka_chikka/</t>
  </si>
  <si>
    <t xml:space="preserve">BR5:39</t>
  </si>
  <si>
    <t xml:space="preserve">Meta: 'Roasted Fennel Seed Snack Sweetened with Maple Syrup Made in Small Batches in the Hudson Valley NY and packaged in pocket-sized tins'. Recorded so the health-claim gate is visible.</t>
  </si>
  <si>
    <t xml:space="preserve">AB-304</t>
  </si>
  <si>
    <t xml:space="preserve">Cho's Bakeshop</t>
  </si>
  <si>
    <t xml:space="preserve">Chocolate Chip Cookie Mix named a 2027 sofi Award finalist (Baking Ingredients)</t>
  </si>
  <si>
    <t xml:space="preserve">https://events.specialtyfood.com/event/2026-summer-fancy-food-show/exhibitor/RXhoaWJpdG9yXzI0MzI4MDE=</t>
  </si>
  <si>
    <t xml:space="preserve">Cho's Bakeshop Chocolate Chip Cookie Mix</t>
  </si>
  <si>
    <t xml:space="preserve">https://chosbakeshop.com</t>
  </si>
  <si>
    <t xml:space="preserve">Gated out: excluded-category: Needs preparation (baking mixes).</t>
  </si>
  <si>
    <t xml:space="preserve">excluded-category: Needs preparation (baking mixes)</t>
  </si>
  <si>
    <t xml:space="preserve">Dry baking mix</t>
  </si>
  <si>
    <t xml:space="preserve">Needs preparation (baking mixes)</t>
  </si>
  <si>
    <t xml:space="preserve">https://instagram.com/chosbakeshop</t>
  </si>
  <si>
    <t xml:space="preserve">BR5:40</t>
  </si>
  <si>
    <t xml:space="preserve">SFFS 2026: 'NYC-based CPG brand offering premium, chef-crafted baking mixes. Developed by a Michelin-trained pastry chef'. Recorded so the preparation gate is visible.</t>
  </si>
  <si>
    <t xml:space="preserve">AB-302</t>
  </si>
  <si>
    <t xml:space="preserve">Freedom Fluid</t>
  </si>
  <si>
    <t xml:space="preserve">Exhibited at the 2026 Summer Fancy Food Show</t>
  </si>
  <si>
    <t xml:space="preserve">https://events.specialtyfood.com/event/2026-summer-fancy-food-show/exhibitor/RXhoaWJpdG9yXzI0NjY4ODc=</t>
  </si>
  <si>
    <t xml:space="preserve">Freedom Fluid organic yaupon iced tea, Tangerine Mint</t>
  </si>
  <si>
    <t xml:space="preserve">https://www.drinkfreedomfluid.com</t>
  </si>
  <si>
    <t xml:space="preserve">Wording seen on the website only; if the can has no such claim, the founder may reconsider; 60-day shelf life not stated</t>
  </si>
  <si>
    <t xml:space="preserve">Gated out: health-claim: Website calls the tea 'immune boosting' (structure-function claim).</t>
  </si>
  <si>
    <t xml:space="preserve">health-claim: Website calls the tea 'immune boosting' (structure-function claim)</t>
  </si>
  <si>
    <t xml:space="preserve">Bottled or canned iced tea sold online in cases; storage not stated</t>
  </si>
  <si>
    <t xml:space="preserve">Website calls the tea 'immune boosting' (structure-function claim)</t>
  </si>
  <si>
    <t xml:space="preserve">https://www.instagram.com/drinkfreedomfluid/</t>
  </si>
  <si>
    <t xml:space="preserve">BR5:38</t>
  </si>
  <si>
    <t xml:space="preserve">SFFS 2026 (State: Massachusetts): 'mission-driven beverage company founded in Boston in 2024 to revive yaupon... Regenerative Organic Certified, antioxidant-rich iced teas'.</t>
  </si>
  <si>
    <t xml:space="preserve">AB-253</t>
  </si>
  <si>
    <t xml:space="preserve">Goldholly</t>
  </si>
  <si>
    <t xml:space="preserve">Brand refresh and new packaging as 'Clean American Caffeine'</t>
  </si>
  <si>
    <t xml:space="preserve">https://startupcpg.com/startup-cpg-newswire-goldholly-reintroduces-its-flagship-product-as-clean-american-caffeine-with-a-brand-refresh-and-new-packaging/</t>
  </si>
  <si>
    <t xml:space="preserve">Yaupon tea (caffeinated), resealable stand-up pouch</t>
  </si>
  <si>
    <t xml:space="preserve">Gated out: excluded-category: Needs preparation (loose tea to brew, not ready-to-drink).</t>
  </si>
  <si>
    <t xml:space="preserve">excluded-category: Needs preparation (loose tea to brew, not ready-to-drink) | no-buy-path: no graded store within ten blocks and no online store shown (online store unknown)</t>
  </si>
  <si>
    <t xml:space="preserve">https://goldholly.com</t>
  </si>
  <si>
    <t xml:space="preserve">Dry tea</t>
  </si>
  <si>
    <t xml:space="preserve">Needs preparation (loose tea to brew, not ready-to-drink)</t>
  </si>
  <si>
    <t xml:space="preserve">BR4:48</t>
  </si>
  <si>
    <t xml:space="preserve">AB-308</t>
  </si>
  <si>
    <t xml:space="preserve">Hello Honey Iced Tea (Shoop Beverages)</t>
  </si>
  <si>
    <t xml:space="preserve">Showed Hello Honey Iced Tea as a new product in the 'Fancy Bodega' at the 2026 Summer Fancy Food Show</t>
  </si>
  <si>
    <t xml:space="preserve">https://events.specialtyfood.com/event/2026-summer-fancy-food-show/exhibitor/RXhoaWJpdG9yXzI0NzA2MDU=</t>
  </si>
  <si>
    <t xml:space="preserve">Hello Honey all-natural iced tea (organic tea, organic lemon, honey)</t>
  </si>
  <si>
    <t xml:space="preserve">Website has expired, so pack, shelf stability and buy path are all unconfirmed; may be inactive; single-serve pack not shown on the pages read: ask on the first call; 60-day shelf life not stated</t>
  </si>
  <si>
    <t xml:space="preserve">dormant;format-unconfirmed</t>
  </si>
  <si>
    <t xml:space="preserve">https://shoopbeverages.com</t>
  </si>
  <si>
    <t xml:space="preserve">Not confirmed; brand website shows 'Squarespace - Website Expired' (2026-10-24)</t>
  </si>
  <si>
    <t xml:space="preserve">BR5:44</t>
  </si>
  <si>
    <t xml:space="preserve">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</si>
  <si>
    <t xml:space="preserve">AB-300</t>
  </si>
  <si>
    <t xml:space="preserve">Junebar</t>
  </si>
  <si>
    <t xml:space="preserve">https://events.specialtyfood.com/event/2026-summer-fancy-food-show/exhibitor/RXhoaWJpdG9yXzI0Mjc5MjM=</t>
  </si>
  <si>
    <t xml:space="preserve">Junebar Peanut Butter Chocolate Chip whole-food snack bar</t>
  </si>
  <si>
    <t xml:space="preserve">Rochester</t>
  </si>
  <si>
    <t xml:space="preserve">https://junebars.com</t>
  </si>
  <si>
    <t xml:space="preserve">Gated out: not-shelf-stable: Refrigerated product (site says the bars need to be refrigerated).</t>
  </si>
  <si>
    <t xml:space="preserve">not-shelf-stable: Refrigerated product (site says the bars need to be refrigerated)</t>
  </si>
  <si>
    <t xml:space="preserve">Site: 'So real, they need to be refrigerated.'</t>
  </si>
  <si>
    <t xml:space="preserve">Refrigerated product (site says the bars need to be refrigerated)</t>
  </si>
  <si>
    <t xml:space="preserve">Rochester, Ithaca, Buffalo and Syracuse stores; Taste NY (site)</t>
  </si>
  <si>
    <t xml:space="preserve">https://www.instagram.com/junebar_snacks</t>
  </si>
  <si>
    <t xml:space="preserve">BR5:36</t>
  </si>
  <si>
    <t xml:space="preserve">SFFS 2026 as Juniper Granola, LLC (State: New York): 'We make the best better-for-you bars on the market locally here in Rochester, NY.'</t>
  </si>
  <si>
    <t xml:space="preserve">AB-273</t>
  </si>
  <si>
    <t xml:space="preserve">Munch King Snacks</t>
  </si>
  <si>
    <t xml:space="preserve">Exhibited at the 2026 Summer Fancy Food Show with new products flagged</t>
  </si>
  <si>
    <t xml:space="preserve">https://events.specialtyfood.com/event/2026-summer-fancy-food-show/exhibitor/RXhoaWJpdG9yXzI0MjExNzU=</t>
  </si>
  <si>
    <t xml:space="preserve">Munch King Cheese Balls; Kettle Corn Crunch; Salted Plantain Chips</t>
  </si>
  <si>
    <t xml:space="preserve">New York (PO Box 53, NY 10040, Washington Heights)</t>
  </si>
  <si>
    <t xml:space="preserve">Value-tier bodega line from a distributor-turned-brand, relaunched in 2018; may not fit the emerging-brand profile. No online store found (phone ordering), so the buy path near the cluster is unproven; single-serve pack not shown on the pages read: ask on the first call</t>
  </si>
  <si>
    <t xml:space="preserve">https://munchkingsnacks.com</t>
  </si>
  <si>
    <t xml:space="preserve">Bagged puffs, popcorn and plantain chips; shelf life not stated</t>
  </si>
  <si>
    <t xml:space="preserve">Ships to over 25 countries (about page); no store list</t>
  </si>
  <si>
    <t xml:space="preserve">BR5:9</t>
  </si>
  <si>
    <t xml:space="preserve">SFFS description: 'Born on the streets of New York'. Brands listed: Munch King, Blair's (Blair's Death Sauce is a hot sauce, not eligible). SFFS 2026 dates (June 28 to 30) from the Startup CPG pavilion post.</t>
  </si>
  <si>
    <t xml:space="preserve">AB-275</t>
  </si>
  <si>
    <t xml:space="preserve">Pini (Nine Pin Ciderworks)</t>
  </si>
  <si>
    <t xml:space="preserve">Introduced Pini, a new non-alcoholic sparkling cider, at the 2026 Summer Fancy Food Show</t>
  </si>
  <si>
    <t xml:space="preserve">https://events.specialtyfood.com/event/2026-summer-fancy-food-show/exhibitor/RXhoaWJpdG9yXzI0NDk5ODI=</t>
  </si>
  <si>
    <t xml:space="preserve">Pini non-alcoholic sparkling cider from fresh-pressed New York apples</t>
  </si>
  <si>
    <t xml:space="preserve">Albany</t>
  </si>
  <si>
    <t xml:space="preserve">Made by a hard-cider producer (alcohol brand family; Pini itself is non-alcoholic). Shelf stability and pack format unconfirmed. No online store found; single-serve pack not shown on the pages read: ask on the first call; 60-day shelf life not stated</t>
  </si>
  <si>
    <t xml:space="preserve">https://www.pinicider.com</t>
  </si>
  <si>
    <t xml:space="preserve">Unfiltered fresh-pressed juice, 'just colder with added sparkles'; site does not say whether it is pasteurized or needs refrigeration</t>
  </si>
  <si>
    <t xml:space="preserve">unknown ('Carry Pini' wholesale page only)</t>
  </si>
  <si>
    <t xml:space="preserve">https://www.instagram.com/pinicider</t>
  </si>
  <si>
    <t xml:space="preserve">BR5:11</t>
  </si>
  <si>
    <t xml:space="preserve">SFFS listing (Nine Pin Ciderworks LLC): 'Nine Pin Ciderworks is introducing Pini, our new non-alcoholic sparkling apple cider. We are New York's First Farm Cidery.' Address on pinicider.com: 929 Broadway, Albany, NY 12207.</t>
  </si>
  <si>
    <t xml:space="preserve">AB-267</t>
  </si>
  <si>
    <t xml:space="preserve">Heartland NY Popcorn</t>
  </si>
  <si>
    <t xml:space="preserve">Launched its own-brand popcorn line (six flavors) in June 2026 and showed it at the 2026 Summer Fancy Food Show</t>
  </si>
  <si>
    <t xml:space="preserve">https://heartlandnystore.com/products.json</t>
  </si>
  <si>
    <t xml:space="preserve">2026-06-25</t>
  </si>
  <si>
    <t xml:space="preserve">https://events.specialtyfood.com/event/2026-summer-fancy-food-show/exhibitor/RXhoaWJpdG9yXzI0NTQwOTM=</t>
  </si>
  <si>
    <t xml:space="preserve">Heartland NY Matcha Popcorn, 50 g (1.76 oz) bag</t>
  </si>
  <si>
    <t xml:space="preserve">Flushing (Queens)</t>
  </si>
  <si>
    <t xml:space="preserve">https://heartlandnystore.com/products/heartland-ny-matcha-popcorn</t>
  </si>
  <si>
    <t xml:space="preserve">Made in Taiwan and sold by a Flushing vegetarian grocery under its own label; check whether it can ship 275 units and has US product liability cover. Seaweed SKU carries a '7g protein' nutrient claim (use a different SKU or review)</t>
  </si>
  <si>
    <t xml:space="preserve">Gated out: health-claim: explicit health claim in the brand's own copy (opened 2026-10-24): 'the brand's own store sells teas and herbal products with structure/function w.</t>
  </si>
  <si>
    <t xml:space="preserve">health-claim: 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</si>
  <si>
    <t xml:space="preserve">https://heartlandnystore.com</t>
  </si>
  <si>
    <t xml:space="preserve">Product page states 'Shelf Life: One Year'; sealed 50 g bag; allergen statement (soy, shared facility) printed on page</t>
  </si>
  <si>
    <t xml:space="preserve">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</si>
  <si>
    <t xml:space="preserve">Own Heartland NY store (Flushing) and online store</t>
  </si>
  <si>
    <t xml:space="preserve">https://www.instagram.com/heartlandny/</t>
  </si>
  <si>
    <t xml:space="preserve">BR5:3</t>
  </si>
  <si>
    <t xml:space="preserve">SFFS listing: 'based in Flushing NY... new product - Taiwan inspired fun flavors Popcorn'. Product pages say 'Product of Taiwan'. why_now date is Shopify published_at for the popcorn SKUs (opened 2026-10-24). Store is a retailer as well as the brand owner.</t>
  </si>
  <si>
    <t xml:space="preserve">excluded &lt;- https://heartlandnystore.com/products/deer-soul-pine-needle-tea (2026-10-24, stage 3 correction); exclusion_reason &lt;- https://heartlandnystore.com/products/deer-soul-pine-needle-tea (2026-10-24, stage 3 correction); </t>
  </si>
  <si>
    <t xml:space="preserve">AB-103</t>
  </si>
  <si>
    <t xml:space="preserve">IQBAR</t>
  </si>
  <si>
    <t xml:space="preserve">Launched IQBAR Bites (10-count) in three flavors, Oct 2026</t>
  </si>
  <si>
    <t xml:space="preserve">https://www.eatiqbar.com/</t>
  </si>
  <si>
    <t xml:space="preserve">https://www.eatiqbar.com/pages/faq</t>
  </si>
  <si>
    <t xml:space="preserve">Salted Caramel Chip plant protein bar; IQBAR Bites</t>
  </si>
  <si>
    <t xml:space="preserve">https://www.eatiqbar.com</t>
  </si>
  <si>
    <t xml:space="preserve">Confirm whether claims are on pack (structure/function) before final exclusion; 60-day shelf life not stated</t>
  </si>
  <si>
    <t xml:space="preserve">Gated out: health-claim: Function claims: FAQ says bars 'fuel the brain and body' with '5 functional nutrients'; brand also sells hydration drink sticks.</t>
  </si>
  <si>
    <t xml:space="preserve">health-claim: Function claims: FAQ says bars 'fuel the brain and body' with '5 functional nutrients'; brand also sells hydration drink sticks</t>
  </si>
  <si>
    <t xml:space="preserve">Function claims: FAQ says bars 'fuel the brain and body' with '5 functional nutrients'; brand also sells hydration drink sticks</t>
  </si>
  <si>
    <t xml:space="preserve">Local stores and online retailers (brand store locator)</t>
  </si>
  <si>
    <t xml:space="preserve">https://www.wholefoodsmarket.com/api/search?text=iqbar&amp;store=10162&amp;limit=60&amp;offset=0</t>
  </si>
  <si>
    <t xml:space="preserve">https://www.instagram.com/iqbar/</t>
  </si>
  <si>
    <t xml:space="preserve">BR2:41</t>
  </si>
  <si>
    <t xml:space="preserve">Not in WFM cluster catalogs. Why-now date from Shopify publish date.</t>
  </si>
  <si>
    <t xml:space="preserve">AB-109</t>
  </si>
  <si>
    <t xml:space="preserve">Kate's Real Food</t>
  </si>
  <si>
    <t xml:space="preserve">Added Protein Bar Variety Pack (Sept 2026) and new protein bars (Apr 2026)</t>
  </si>
  <si>
    <t xml:space="preserve">https://katesrealfood.com/</t>
  </si>
  <si>
    <t xml:space="preserve">Peanut Butter Dark Chocolate organic energy bar; Coconut Truffle Protein Bar</t>
  </si>
  <si>
    <t xml:space="preserve">Victor</t>
  </si>
  <si>
    <t xml:space="preserve">https://katesrealfood.com</t>
  </si>
  <si>
    <t xml:space="preserve">Protein bar line ('High in protein'); no cluster retailer found | Health-claim scan 2026-10-24: the homepage links a blog post on 'Prebiotic Fiber, &amp; Sustained Energy'. Blog copy, not pack copy; founder to read</t>
  </si>
  <si>
    <t xml:space="preserve">Gated out: health-claim: explicit health claim in the brand's own copy (opened 2026-10-24): '15g of plant-based protein that keeps you full and focused without the sugar c.</t>
  </si>
  <si>
    <t xml:space="preserve">health-claim: explicit health claim in the brand's own copy (opened 2026-10-24): '15g of plant-based protein that keeps you full and focused without the sugar crash' (https://katesrealfood.com/products/coconut-truffle-protein-bar)</t>
  </si>
  <si>
    <t xml:space="preserve">Brand wholesale FAQ: 'Our bars have a 365-day shelf life from the date of production.'</t>
  </si>
  <si>
    <t xml:space="preserve">explicit health claim in the brand's own copy (opened 2026-10-24): '15g of plant-based protein that keeps you full and focused without the sugar crash' (https://katesrealfood.com/products/coconut-truffle-protein-bar)</t>
  </si>
  <si>
    <t xml:space="preserve">Select retailers nationwide and online partners (brand store locator page)</t>
  </si>
  <si>
    <t xml:space="preserve">https://www.wholefoodsmarket.com/api/search?text=kates%20real%20food&amp;store=10162&amp;limit=60&amp;offset=0</t>
  </si>
  <si>
    <t xml:space="preserve">https://www.instagram.com/katesrealfood/</t>
  </si>
  <si>
    <t xml:space="preserve">BR2:47</t>
  </si>
  <si>
    <t xml:space="preserve">Organic honey-based bars. Not in WFM cluster catalogs. Why-now from Shopify publish dates.</t>
  </si>
  <si>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excluded &lt;- https://katesrealfood.com/products/coconut-truffle-protein-bar (2026-10-24, stage 3 correction); exclusion_reason &lt;- https://katesrealfood.com/products/coconut-truffle-protein-bar (2026-10-24, stage 3 correction); </t>
  </si>
  <si>
    <t xml:space="preserve">AB-206</t>
  </si>
  <si>
    <t xml:space="preserve">Lantern Beverages</t>
  </si>
  <si>
    <t xml:space="preserve">https://popupgrocer.com/products/lantern</t>
  </si>
  <si>
    <t xml:space="preserve">Lantern matcha soda (packaged matcha drinks in multiple flavors)</t>
  </si>
  <si>
    <t xml:space="preserve">Almost nothing readable on the brand site (founder, HQ, format, online store unknown); Pop Up Grocer tags it 'Functional', so check the label for claims; contains caffeine (matcha); single-serve pack not shown on the pages read: ask on the first call; 60-day shelf life not stated</t>
  </si>
  <si>
    <t xml:space="preserve">https://www.lanternbeverages.com</t>
  </si>
  <si>
    <t xml:space="preserve">Brand site is script-rendered; no statement readable</t>
  </si>
  <si>
    <t xml:space="preserve">BR3:80</t>
  </si>
  <si>
    <t xml:space="preserve">Brand site title: 'Lantern Beverages | Matcha Soda Brand' (WebFetch 2026-10-23). Thin record; founder to complete.</t>
  </si>
  <si>
    <t xml:space="preserve">AB-017</t>
  </si>
  <si>
    <t xml:space="preserve">MASA Chips</t>
  </si>
  <si>
    <t xml:space="preserve">Launched Vandy Crisps potato chip line (four flavors) on brand store; Vandy Crisps also in WFM NYC stores</t>
  </si>
  <si>
    <t xml:space="preserve">https://www.masachips.com/products/vandy-crisps-original</t>
  </si>
  <si>
    <t xml:space="preserve">2026-07-31</t>
  </si>
  <si>
    <t xml:space="preserve">https://www.masachips.com/pages/about</t>
  </si>
  <si>
    <t xml:space="preserve">MASA Yellow Corn Tortilla Chips cooked in beef tallow, 5 oz; Vandy Crisps potato chips 5 oz</t>
  </si>
  <si>
    <t xml:space="preserve">https://www.masachips.com</t>
  </si>
  <si>
    <t xml:space="preserve">Health wording is on the About page, not confirmed on pack; founder may clear after checking the bag; no individually packaged single-serve SKU on the pages read (check for one before outreach)</t>
  </si>
  <si>
    <t xml:space="preserve">Gated out: health-claim: Brand About page says tallow fats 'have functions for nervous system health, anti-inflammation and anti-bacterial immune function' (structure/func.</t>
  </si>
  <si>
    <t xml:space="preserve">health-claim: Brand About page says tallow fats 'have functions for nervous system health, anti-inflammation and anti-bacterial immune function' (structure/function health wording)</t>
  </si>
  <si>
    <t xml:space="preserve">Bagged chips sold ambient</t>
  </si>
  <si>
    <t xml:space="preserve">Brand About page says tallow fats 'have functions for nervous system health, anti-inflammation and anti-bacterial immune function' (structure/function health wording)</t>
  </si>
  <si>
    <t xml:space="preserve">https://www.wholefoodsmarket.com/search?text=masa%20chips (store context Union Square, NoMad, Chelsea; MASA and Vandy Crisps IN_STOCK 2026-10-23)</t>
  </si>
  <si>
    <t xml:space="preserve">https://instagram.com/masa_chips</t>
  </si>
  <si>
    <t xml:space="preserve">BR1:18</t>
  </si>
  <si>
    <t xml:space="preserve">WFM lists brand as 'Ancient Crunch'. Strong NYC shelf presence; excluded only on the site health wording.</t>
  </si>
  <si>
    <t xml:space="preserve">AB-271</t>
  </si>
  <si>
    <t xml:space="preserve">Upstate Stock (Birch Sap Seltzer)</t>
  </si>
  <si>
    <t xml:space="preserve">Launched the Original Birch Sap Seltzer, after a three-flavor variety pack in March 2026</t>
  </si>
  <si>
    <t xml:space="preserve">https://www.upstatestock.com/products/original-100-pute-ny-organic-birch-sap-seltzer</t>
  </si>
  <si>
    <t xml:space="preserve">https://events.specialtyfood.com/event/2026-summer-fancy-food-show/exhibitor/RXhoaWJpdG9yXzI0MjEzMDQ=</t>
  </si>
  <si>
    <t xml:space="preserve">Original 100% Pure NY Organic Birch Sap Seltzer (can); variety pack of three</t>
  </si>
  <si>
    <t xml:space="preserve">Brooklyn (Gowanus factory; shop at 2 Berry St, Williamsburg)</t>
  </si>
  <si>
    <t xml:space="preserve">https://www.upstatestock.com/products/varierty-pack-birch-sap-seltzer</t>
  </si>
  <si>
    <t xml:space="preserve">Website and SFFS listing say birch sap 'offers numerous health benefits' and cite electrolytes and antioxidants; check the can for health wording before approving. Company is mainly a knitwear and goods maker; drinks are a new line</t>
  </si>
  <si>
    <t xml:space="preserve">Gated out: excluded-category: explicit health claim in the brand's own copy (opened 2026-10-24): 'manganese, along with potassium, calcium, and magnesium, which support bo.</t>
  </si>
  <si>
    <t xml:space="preserve">excluded-category: explicit health claim in the brand's own copy (opened 2026-10-24): 'manganese, along with potassium, calcium, and magnesium, which support bone health and cellular function; the store also lists CBD and THC products' (https://www.upstatestock.com/products/original-100-pute-ny-organic-birch-sap-seltzer) | health-claim: explicit health claim in the brand's own copy (opened 2026-10-24): 'manganese, along with potassium, calcium, and magnesium, which support bone health and cellular function; the store also lists CBD and THC products' (https://www.upstatestock.com/products/original-100-pute-ny-organic-birch-sap-seltzer)</t>
  </si>
  <si>
    <t xml:space="preserve">https://www.upstatestock.com</t>
  </si>
  <si>
    <t xml:space="preserve">Canned seltzer, 'canned in New Hampshire'; 'best served chilled' (not 'keep refrigerated')</t>
  </si>
  <si>
    <t xml:space="preserve">explicit health claim in the brand's own copy (opened 2026-10-24): 'manganese, along with potassium, calcium, and magnesium, which support bone health and cellular function; the store also lists CBD and THC products' (https://www.upstatestock.com/products/original-100-pute-ny-organic-birch-sap-seltzer)</t>
  </si>
  <si>
    <t xml:space="preserve">Upstate Stock (unverified, 39.9 blocks out)</t>
  </si>
  <si>
    <t xml:space="preserve">Own Upstate Stock shop; stocks other NY makers</t>
  </si>
  <si>
    <t xml:space="preserve">https://instagram.com/upstatestock</t>
  </si>
  <si>
    <t xml:space="preserve">BR5:7</t>
  </si>
  <si>
    <t xml:space="preserve">Berry St address comes from Figa's Stockist list (Upstate Stock is a Figa stockist), not from Upstate Stock's own site. why_now dates are Shopify published_at (variety pack 2026-03-22). SFFS flags 'In The Fancy Bodega' and 'Has a New Product'.</t>
  </si>
  <si>
    <t xml:space="preserve">excluded &lt;- https://www.upstatestock.com/products/original-100-pute-ny-organic-birch-sap-seltzer (2026-10-24, stage 3 correction); exclusion_reason &lt;- https://www.upstatestock.com/products/original-100-pute-ny-organic-birch-sap-seltzer (2026-10-24, stage 3 correction); </t>
  </si>
  <si>
    <t xml:space="preserve">AB-184</t>
  </si>
  <si>
    <t xml:space="preserve">nero black coffee</t>
  </si>
  <si>
    <t xml:space="preserve">Appeared in Pop Up Grocer directory (listed 2026-07-01, now a past brand)</t>
  </si>
  <si>
    <t xml:space="preserve">https://popupgrocer.com/products/nero-black-coffee</t>
  </si>
  <si>
    <t xml:space="preserve">https://drinknero.com/pages/about-us</t>
  </si>
  <si>
    <t xml:space="preserve">nero ready-to-drink unsweetened black coffee, can (100 mg caffeine)</t>
  </si>
  <si>
    <t xml:space="preserve">https://drinknero.com</t>
  </si>
  <si>
    <t xml:space="preserve">Very small, little public information (no founder or HQ); find-in-store page lists no stores</t>
  </si>
  <si>
    <t xml:space="preserve">Gated out: health-claim: explicit health claim in the brand's own copy (opened 2026-10-24): 'it delivers smooth caffeine power to keep you focused, active, and energized t.</t>
  </si>
  <si>
    <t xml:space="preserve">health-claim: explicit health claim in the brand's own copy (opened 2026-10-24): 'it delivers smooth caffeine power to keep you focused, active, and energized throughout your day' (https://drinknero.com)</t>
  </si>
  <si>
    <t xml:space="preserve">Product copy: Shelf-stable and ready to drink, no fridge needed (drinknero.com/products.json, nero-black-coffee-can-12-pack, read 2026-10-24)</t>
  </si>
  <si>
    <t xml:space="preserve">explicit health claim in the brand's own copy (opened 2026-10-24): 'it delivers smooth caffeine power to keep you focused, active, and energized throughout your day' (https://drinknero.com)</t>
  </si>
  <si>
    <t xml:space="preserve">BR3:58</t>
  </si>
  <si>
    <t xml:space="preserve">Two-ingredient canned black coffee, 12-pack $24.99. Low priority.</t>
  </si>
  <si>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excluded &lt;- https://drinknero.com (2026-10-24, stage 3 correction); exclusion_reason &lt;- https://drinknero.com (2026-10-24, stage 3 correction); </t>
  </si>
  <si>
    <t xml:space="preserve">AB-299</t>
  </si>
  <si>
    <t xml:space="preserve">MALAPOP (Taste Department)</t>
  </si>
  <si>
    <t xml:space="preserve">Launched MALAPOP 3, 5 and 10 packs online and showed it as a new product at SFFS 2026</t>
  </si>
  <si>
    <t xml:space="preserve">https://malapop.food/products.json</t>
  </si>
  <si>
    <t xml:space="preserve">https://events.specialtyfood.com/event/2026-summer-fancy-food-show/exhibitor/RXhoaWJpdG9yXzI0Njk4NjE=</t>
  </si>
  <si>
    <t xml:space="preserve">MALAPOP Sichuan flavored popcorn, 3-pack</t>
  </si>
  <si>
    <t xml:space="preserve">https://tastedepartment.food</t>
  </si>
  <si>
    <t xml:space="preserve">Claims were seen on the website, not the pack; if the bag carries none, the founder may reconsider</t>
  </si>
  <si>
    <t xml:space="preserve">Gated out: health-claim: Explicit health claims in the website's ingredient panel: 'lowers blood pressure', 'boosts metabolism, fires up digestion', 'anti-inflammatory, be.</t>
  </si>
  <si>
    <t xml:space="preserve">health-claim: Explicit health claims in the website's ingredient panel: 'lowers blood pressure', 'boosts metabolism, fires up digestion', 'anti-inflammatory, benefits digestion'</t>
  </si>
  <si>
    <t xml:space="preserve">https://malapop.food</t>
  </si>
  <si>
    <t xml:space="preserve">Bagged popcorn sold ambient online</t>
  </si>
  <si>
    <t xml:space="preserve">Explicit health claims in the website's ingredient panel: 'lowers blood pressure', 'boosts metabolism, fires up digestion', 'anti-inflammatory, benefits digestion'</t>
  </si>
  <si>
    <t xml:space="preserve">Stockists page is empty</t>
  </si>
  <si>
    <t xml:space="preserve">https://www.instagram.com/tastedeptsnacks</t>
  </si>
  <si>
    <t xml:space="preserve">BR5:35</t>
  </si>
  <si>
    <t xml:space="preserve">SFFS 2026 (Taste Department, LLC; State: New York): 'the company behind MALAPOP - Sichuan Flavored Popcorn. Produced in Brooklyn'. malapop.food redirects to tastedepartment.food.</t>
  </si>
  <si>
    <t xml:space="preserve">AB-138</t>
  </si>
  <si>
    <t xml:space="preserve">Asarasi</t>
  </si>
  <si>
    <t xml:space="preserve">https://asarasi.com/products.json</t>
  </si>
  <si>
    <t xml:space="preserve">Asarasi Probiotic Seltzer (sparkling tree water), can</t>
  </si>
  <si>
    <t xml:space="preserve">https://asarasi.com</t>
  </si>
  <si>
    <t xml:space="preserve">Gated out: health-claim: Explicit health claims: probiotics 'promote digestive wellness, enhance immune support, and foster a healthy gut microbiome'; homepage 'Gut Health.</t>
  </si>
  <si>
    <t xml:space="preserve">health-claim: Explicit health claims: probiotics 'promote digestive wellness, enhance immune support, and foster a healthy gut microbiome'; homepage 'Gut Healthy'</t>
  </si>
  <si>
    <t xml:space="preserve">No statement found</t>
  </si>
  <si>
    <t xml:space="preserve">Explicit health claims: probiotics 'promote digestive wellness, enhance immune support, and foster a healthy gut microbiome'; homepage 'Gut Healthy'</t>
  </si>
  <si>
    <t xml:space="preserve">https://www.instagram.com/asarasi</t>
  </si>
  <si>
    <t xml:space="preserve">BR3:12</t>
  </si>
  <si>
    <t xml:space="preserve">NY state (Adirondack maple tree water) origin is from memory only, so hq_city left unknown. Plain 'Shop Bottles' line may lack probiotics; brand-level claims still exclude it.</t>
  </si>
  <si>
    <t xml:space="preserve">AB-149</t>
  </si>
  <si>
    <t xml:space="preserve">Curious Elixirs</t>
  </si>
  <si>
    <t xml:space="preserve">https://curiouselixirs.com/pages/faq-1</t>
  </si>
  <si>
    <t xml:space="preserve">Curious Elixir No. 1 booze-free cocktail, bottle</t>
  </si>
  <si>
    <t xml:space="preserve">https://curiouselixirs.com</t>
  </si>
  <si>
    <t xml:space="preserve">Gated out: health-claim: Adaptogen drinks with structure or function claims ('support your immune system', 'boost mood, promote relaxation'; elderberry 'for immunity').</t>
  </si>
  <si>
    <t xml:space="preserve">health-claim: Adaptogen drinks with structure or function claims ('support your immune system', 'boost mood, promote relaxation'; elderberry 'for immunity')</t>
  </si>
  <si>
    <t xml:space="preserve">Adaptogen drinks with structure or function claims ('support your immune system', 'boost mood, promote relaxation'; elderberry 'for immunity')</t>
  </si>
  <si>
    <t xml:space="preserve">https://www.instagram.com/curiouselixirs</t>
  </si>
  <si>
    <t xml:space="preserve">BR3:23</t>
  </si>
  <si>
    <t xml:space="preserve">Checked as a possible NY brand; HQ not confirmed on pages read.</t>
  </si>
  <si>
    <t xml:space="preserve">AB-263</t>
  </si>
  <si>
    <t xml:space="preserve">Ginjan Bros</t>
  </si>
  <si>
    <t xml:space="preserve">https://ginjanbros.com/</t>
  </si>
  <si>
    <t xml:space="preserve">Ginger cold-pressed juice (Half &amp; Half 12-pack)</t>
  </si>
  <si>
    <t xml:space="preserve">New York (homepage: 'Made in New York'; cafes in Harlem and Brooklyn)</t>
  </si>
  <si>
    <t xml:space="preserve">https://ginjanbros.com</t>
  </si>
  <si>
    <t xml:space="preserve">Gated out: not-shelf-stable: Refrigerated cold-pressed juice; 'health juices/elixirs' positioning.</t>
  </si>
  <si>
    <t xml:space="preserve">not-shelf-stable: Refrigerated cold-pressed juice; 'health juices/elixirs' positioning</t>
  </si>
  <si>
    <t xml:space="preserve">Homepage: 'African-inspired cold-pressed and organic health juices' (cold-pressed juice is refrigerated)</t>
  </si>
  <si>
    <t xml:space="preserve">Refrigerated cold-pressed juice; 'health juices/elixirs' positioning</t>
  </si>
  <si>
    <t xml:space="preserve">Ginjan Cafe (Harlem, Brooklyn); where-to-buy page</t>
  </si>
  <si>
    <t xml:space="preserve">BR4:58</t>
  </si>
  <si>
    <t xml:space="preserve">Recorded so the gate is visible. Homepage quotes Howard Schultz saying his foundation is an investor.</t>
  </si>
  <si>
    <t xml:space="preserve">AB-201</t>
  </si>
  <si>
    <t xml:space="preserve">JAS</t>
  </si>
  <si>
    <t xml:space="preserve">https://drinkjas.com/pages/mission</t>
  </si>
  <si>
    <t xml:space="preserve">JAS non-alcoholic canned cocktail (Paloma Libre, Mojito Fresco)</t>
  </si>
  <si>
    <t xml:space="preserve">https://drinkjas.com</t>
  </si>
  <si>
    <t xml:space="preserve">Exclusion is ingredient-based, not a claim seen; a non-functional SKU might pass. Texas brand</t>
  </si>
  <si>
    <t xml:space="preserve">Gated out: excluded-category: Functional ingredients: 225 mg KSM-66 ashwagandha (Paloma Libre) and lion's mane (Carajillo Tejas); adaptogens are treated as supplement-styl.</t>
  </si>
  <si>
    <t xml:space="preserve">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</si>
  <si>
    <t xml:space="preserve">FAQ: 'Our cans are shelf-stable for 24 months' (drinkjas.com/pages/faq, opened 2026-10-23)</t>
  </si>
  <si>
    <t xml:space="preserve">Functional ingredients: 225 mg KSM-66 ashwagandha (Paloma Libre) and lion's mane (Carajillo Tejas); adaptogens are treated as supplement-style functional drinks</t>
  </si>
  <si>
    <t xml:space="preserve">https://instagram.com/drinkjas</t>
  </si>
  <si>
    <t xml:space="preserve">BR3:75</t>
  </si>
  <si>
    <t xml:space="preserve">Mission page: 'Latina-founded. Boldly made in Texas.' (basis for hq_state TX).</t>
  </si>
  <si>
    <t xml:space="preserve">AB-198</t>
  </si>
  <si>
    <t xml:space="preserve">Lemon Perfect</t>
  </si>
  <si>
    <t xml:space="preserve">https://lemonperfect.com/pages/sr-faq</t>
  </si>
  <si>
    <t xml:space="preserve">Lemon Perfect lemon water, bottle (Original, Dragon Fruit, Peach)</t>
  </si>
  <si>
    <t xml:space="preserve">https://lemonperfect.com</t>
  </si>
  <si>
    <t xml:space="preserve">Gated out: health-claim: Explicit health claim in FAQ: '100% Daily Value vitamin C for immune support'.</t>
  </si>
  <si>
    <t xml:space="preserve">health-claim: Explicit health claim in FAQ: '100% Daily Value vitamin C for immune support'</t>
  </si>
  <si>
    <t xml:space="preserve">No public sales figure opened</t>
  </si>
  <si>
    <t xml:space="preserve">Explicit health claim in FAQ: '100% Daily Value vitamin C for immune support'</t>
  </si>
  <si>
    <t xml:space="preserve">https://www.instagram.com/lemonperfect</t>
  </si>
  <si>
    <t xml:space="preserve">BR3:72</t>
  </si>
  <si>
    <t xml:space="preserve">Search snippets (not opened) place HQ in Atlanta and describe a large investor-backed brand; recorded so it is not re-researched.</t>
  </si>
  <si>
    <t xml:space="preserve">AB-153</t>
  </si>
  <si>
    <t xml:space="preserve">Maine Root</t>
  </si>
  <si>
    <t xml:space="preserve">https://www.maineroot.com/our-roots</t>
  </si>
  <si>
    <t xml:space="preserve">Maine Root Root Beer (fair trade cane sugar), 12 oz bottle</t>
  </si>
  <si>
    <t xml:space="preserve">Site footer says (c) 2017 and 'Buy Online' link 404s; activity and buy path unclear; 60-day shelf life not stated</t>
  </si>
  <si>
    <t xml:space="preserve">https://www.maineroot.com</t>
  </si>
  <si>
    <t xml:space="preserve">unknown (store locator is a contact form)</t>
  </si>
  <si>
    <t xml:space="preserve">https://www.instagram.com/maineroot</t>
  </si>
  <si>
    <t xml:space="preserve">BR3:27</t>
  </si>
  <si>
    <t xml:space="preserve">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</si>
  <si>
    <t xml:space="preserve">online_store &lt;- https://www.maineroot.com/collections/maine-root (2026-10-24, opened, stage 1); </t>
  </si>
  <si>
    <t xml:space="preserve">AB-115</t>
  </si>
  <si>
    <t xml:space="preserve">Mast</t>
  </si>
  <si>
    <t xml:space="preserve">https://mastmarket.com/pages/faq</t>
  </si>
  <si>
    <t xml:space="preserve">Mast organic chocolate bars (Tanzanian Kokoa Kamili cacao)</t>
  </si>
  <si>
    <t xml:space="preserve">Bedford (contact page; terms list Mt. Kisco)</t>
  </si>
  <si>
    <t xml:space="preserve">https://mastmarket.com</t>
  </si>
  <si>
    <t xml:space="preserve">Brand has pivoted to an organic market (sells many third-party foods); chocolate line not found in cluster WFM catalogs; confirm the chocolate line is still active; 60-day shelf life not stated</t>
  </si>
  <si>
    <t xml:space="preserve">Gated out: health-claim: explicit health claim in the brand's own copy (opened 2026-10-24): 'HEALTH BENEFITS: Chili Peppers have Capsaicin which are known to lower blood p.</t>
  </si>
  <si>
    <t xml:space="preserve">health-claim: 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</si>
  <si>
    <t xml:space="preserve">Wrapped chocolate bars sold nationally at grocery; shelf-life figure not found</t>
  </si>
  <si>
    <t xml:space="preserve">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</si>
  <si>
    <t xml:space="preserve">Mast Market (brand_claim, unplaced)</t>
  </si>
  <si>
    <t xml:space="preserve">Whole Foods; Wegmans; The Fresh Market; hundreds of independent specialty markets (brand FAQ)</t>
  </si>
  <si>
    <t xml:space="preserve">https://mastmarket.com/pages/faq; https://www.wholefoodsmarket.com/api/search?text=mast%20chocolate&amp;store=10162&amp;limit=60&amp;offset=0</t>
  </si>
  <si>
    <t xml:space="preserve">https://www.instagram.com/mastmarket/</t>
  </si>
  <si>
    <t xml:space="preserve">BR2:53</t>
  </si>
  <si>
    <t xml:space="preserve">Formerly Mast Brothers (mastbrothers.com now redirects to mastmarket.com). Mast Market also stocks local brands and could double as a NYC retailer for other rows. Store address not found on pages opened.</t>
  </si>
  <si>
    <t xml:space="preserve">hq_city &lt;- https://mastmarket.com/policies/contact-information (2026-10-24, opened); excluded &lt;- https://mastmarket.com/products/new-york-shuk-harissa-with-preserved-lemon-10oz (2026-10-24, stage 3 correction); exclusion_reason &lt;- https://mastmarket.com/products/new-york-shuk-harissa-with-preserved-lemon-10oz (2026-10-24, stage 3 correction); </t>
  </si>
  <si>
    <t xml:space="preserve">AB-204</t>
  </si>
  <si>
    <t xml:space="preserve">Mía</t>
  </si>
  <si>
    <t xml:space="preserve">https://drinkmia.com</t>
  </si>
  <si>
    <t xml:space="preserve">Mía cold-pressed sugarcane juice (Lime, Yuzu, Passion fruit), bottle</t>
  </si>
  <si>
    <t xml:space="preserve">Gated out: not-shelf-stable: Refrigerated before and after opening (cold-pressed juice).</t>
  </si>
  <si>
    <t xml:space="preserve">not-shelf-stable: Refrigerated before and after opening (cold-pressed juice) | no-buy-path: no graded store within ten blocks and no online store shown</t>
  </si>
  <si>
    <t xml:space="preserve">Site FAQ: 'keep it refrigerated before and after opening' (drinkmia.com, opened 2026-10-23)</t>
  </si>
  <si>
    <t xml:space="preserve">Refrigerated before and after opening (cold-pressed juice)</t>
  </si>
  <si>
    <t xml:space="preserve">Pop Up Grocer NYC Flagship (directory)</t>
  </si>
  <si>
    <t xml:space="preserve">https://popupgrocer.com/products/m-a</t>
  </si>
  <si>
    <t xml:space="preserve">BR3:78</t>
  </si>
  <si>
    <t xml:space="preserve">Products listed at $0.00 (no online sales). Recorded so it is not re-researched.</t>
  </si>
  <si>
    <t xml:space="preserve">AB-113</t>
  </si>
  <si>
    <t xml:space="preserve">Nelly's Organics</t>
  </si>
  <si>
    <t xml:space="preserve">https://nellysorganics.com/pages/faq</t>
  </si>
  <si>
    <t xml:space="preserve">Organic Dark Chocolate Caramel Nougat Bar 1.6 oz; Coconut Bar</t>
  </si>
  <si>
    <t xml:space="preserve">https://nellysorganics.com</t>
  </si>
  <si>
    <t xml:space="preserve">Brand FAQ: 'our bars are refrigerated. They are safe outside the fridge for up to 5 days'</t>
  </si>
  <si>
    <t xml:space="preserve">Refrigerated section of grocery (brand FAQ); Whole Foods</t>
  </si>
  <si>
    <t xml:space="preserve">https://www.instagram.com/nellysorganicsbars/</t>
  </si>
  <si>
    <t xml:space="preserve">BR2:51</t>
  </si>
  <si>
    <t xml:space="preserve">Listed at WFM Union Square in a catalog sweep (Dark Chocolate Caramel Nougat Bar). Excluded on refrigeration.</t>
  </si>
  <si>
    <t xml:space="preserve">AB-166</t>
  </si>
  <si>
    <t xml:space="preserve">Phocus</t>
  </si>
  <si>
    <t xml:space="preserve">https://www.phocus.com/pages/faq</t>
  </si>
  <si>
    <t xml:space="preserve">Phocus caffeinated sparkling water (75 mg tea caffeine plus L-theanine), 12 oz can</t>
  </si>
  <si>
    <t xml:space="preserve">https://www.phocus.com</t>
  </si>
  <si>
    <t xml:space="preserve">Gated out: health-claim: Structure or function wording: L-theanine 'can lead to improved alertness', 'Phocus helps you stay focused, energized' (FAQ).</t>
  </si>
  <si>
    <t xml:space="preserve">health-claim: Structure or function wording: L-theanine 'can lead to improved alertness', 'Phocus helps you stay focused, energized' (FAQ)</t>
  </si>
  <si>
    <t xml:space="preserve">Structure or function wording: L-theanine 'can lead to improved alertness', 'Phocus helps you stay focused, energized' (FAQ)</t>
  </si>
  <si>
    <t xml:space="preserve">https://www.instagram.com/phocus</t>
  </si>
  <si>
    <t xml:space="preserve">BR3:40</t>
  </si>
  <si>
    <t xml:space="preserve">Founded 2017 (our-story page). Gate is borderline: caffeine plus focus wording; founder could reinstate if a non-claim SKU and copy are used.</t>
  </si>
  <si>
    <t xml:space="preserve">AB-167</t>
  </si>
  <si>
    <t xml:space="preserve">Proper Wild</t>
  </si>
  <si>
    <t xml:space="preserve">https://properwild.com/pages/mission</t>
  </si>
  <si>
    <t xml:space="preserve">Proper Wild Clean Energy Shot (100 mg caffeine plus L-theanine), 2.5 oz bottle</t>
  </si>
  <si>
    <t xml:space="preserve">https://properwild.com</t>
  </si>
  <si>
    <t xml:space="preserve">Gated out: excluded-category: Supplement-style energy shots and gummies with asterisked structure or function claims ('boost energy, focus and productivity'); now also sel.</t>
  </si>
  <si>
    <t xml:space="preserve">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</si>
  <si>
    <t xml:space="preserve">FAQ: 'room temperature shelf-life of 18 months at the time of production' (properwild.com/pages/faq, opened 2026-10-23)</t>
  </si>
  <si>
    <t xml:space="preserve">Supplement-style energy shots and gummies with asterisked structure or function claims ('boost energy, focus and productivity'); now also sells a women's daily multivitamin</t>
  </si>
  <si>
    <t xml:space="preserve">unknown (Storemapper/GoToAisle locator not read)</t>
  </si>
  <si>
    <t xml:space="preserve">https://www.instagram.com/properwild</t>
  </si>
  <si>
    <t xml:space="preserve">BR3:41</t>
  </si>
  <si>
    <t xml:space="preserve">Mission page: team 'based in New York City'. Recorded so it is not re-researched.</t>
  </si>
  <si>
    <t xml:space="preserve">AB-137</t>
  </si>
  <si>
    <t xml:space="preserve">Recess</t>
  </si>
  <si>
    <t xml:space="preserve">https://takearecess.com/faq</t>
  </si>
  <si>
    <t xml:space="preserve">Recess Mood sparkling water with magnesium and adaptogens</t>
  </si>
  <si>
    <t xml:space="preserve">https://takearecess.com</t>
  </si>
  <si>
    <t xml:space="preserve">Gated out: excluded-category: Hemp-extract line (cannabis category) and adaptogen/magnesium drinks marketed to 'help you unwind' and feel calm (structure or function claim.</t>
  </si>
  <si>
    <t xml:space="preserve">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</si>
  <si>
    <t xml:space="preserve">Brand FAQ: 'all of our products are shelf stable' (takearecess.com/faq, opened 2026-10-23)</t>
  </si>
  <si>
    <t xml:space="preserve">Hemp-extract line (cannabis category) and adaptogen/magnesium drinks marketed to 'help you unwind' and feel calm (structure or function claims)</t>
  </si>
  <si>
    <t xml:space="preserve">https://www.instagram.com/takearecess</t>
  </si>
  <si>
    <t xml:space="preserve">BR3:11</t>
  </si>
  <si>
    <t xml:space="preserve">FAQ: 'NY is our forever home'. Zero Proof mocktail line alone might pass, but the brand is built on calm claims; recorded so it is not re-researched.</t>
  </si>
  <si>
    <t xml:space="preserve">AB-145</t>
  </si>
  <si>
    <t xml:space="preserve">Red Jacket Orchards</t>
  </si>
  <si>
    <t xml:space="preserve">https://redjacketorchards.com/products/ny-lemonade</t>
  </si>
  <si>
    <t xml:space="preserve">Joe's NY Style Lemonade, 12 oz bottle (cold-pressed apple and lemon)</t>
  </si>
  <si>
    <t xml:space="preserve">https://redjacketorchards.com</t>
  </si>
  <si>
    <t xml:space="preserve">Probably fails the shelf-stable gate (cold-pressed juice); keep only if a shelf-stable SKU exists. Strong NY story and a 2026 sofi Gold</t>
  </si>
  <si>
    <t xml:space="preserve">Gated out: not-shelf-stable: Refrigerated: brand FAQ says all products must be refrigerated before and after opening.</t>
  </si>
  <si>
    <t xml:space="preserve">not-shelf-stable: Refrigerated: brand FAQ says all products must be refrigerated before and after opening</t>
  </si>
  <si>
    <t xml:space="preserve">Brand FAQ: All products must be refrigerated before and after they are opened (redjacketorchards.com/pages/faqs, opened 2026-10-24)</t>
  </si>
  <si>
    <t xml:space="preserve">Refrigerated: brand FAQ says all products must be refrigerated before and after opening</t>
  </si>
  <si>
    <t xml:space="preserve">https://www.instagram.com/redjacketorchards</t>
  </si>
  <si>
    <t xml:space="preserve">BR3:19</t>
  </si>
  <si>
    <t xml:space="preserve">Finalist list opened 2026-10-23 (foodindustryexecutive.com): 'Berryfield Bottling - Joe's NY Style Lemonade'. Gold win per NOSH/Prepared Foods search summaries only. Instagram handle redjacketny also appears. HQ not stated on pages read (Finger Lakes NY farm per brand lore; founder to confirm). | Why-now without an opened link and a date, kept as a note only: Joe's NY Style Lemonade was a 2026 sofi Gold finalist, Non-Alcoholic Beverages (listed under Berryfield Bottling); search summaries report it won Gold on 2026-01-13 (Gold page not opened; unverified, founder to confirm) (url: https://foodindustryexecutive.com/2025/10/specialty-food-association-announces-75-sofi-gold-award-finalists-ahead-of-winter-fancyfaire-2026/; date: 2025-10)</t>
  </si>
  <si>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</si>
  <si>
    <t xml:space="preserve">AB-076</t>
  </si>
  <si>
    <t xml:space="preserve">Sour Strips</t>
  </si>
  <si>
    <t xml:space="preserve">https://www.hersheyland.com/brands/sourstrips/about-us.html</t>
  </si>
  <si>
    <t xml:space="preserve">SOUR STRIPS sour candy strips</t>
  </si>
  <si>
    <t xml:space="preserve">Big-brand ownership: now part of The Hershey Company (2025); unlikely to buy a $600 founder-approved campaign; single-serve pack not shown on the pages read: ask on the first call; 60-day shelf life not stated</t>
  </si>
  <si>
    <t xml:space="preserve">owner;format-unconfirmed</t>
  </si>
  <si>
    <t xml:space="preserve">https://www.hersheyland.com/brands/sourstrips.html</t>
  </si>
  <si>
    <t xml:space="preserve">partnered with The Hershey Company in 2025 (brand about page)</t>
  </si>
  <si>
    <t xml:space="preserve">Packaged sour candy; no shelf-life figure on brand page</t>
  </si>
  <si>
    <t xml:space="preserve">The Hershey Store; wherever Hershey's products are sold</t>
  </si>
  <si>
    <t xml:space="preserve">BR2:13</t>
  </si>
  <si>
    <t xml:space="preserve">sourstrips.com now redirects to hersheyland.com. Recorded so it is not re-researched.</t>
  </si>
  <si>
    <t xml:space="preserve">AB-141</t>
  </si>
  <si>
    <t xml:space="preserve">Superfrau</t>
  </si>
  <si>
    <t xml:space="preserve">https://www.drinksuperfrau.com/pages/faq</t>
  </si>
  <si>
    <t xml:space="preserve">Superfrau sparkling upcycled fresh whey, 12 oz can</t>
  </si>
  <si>
    <t xml:space="preserve">https://www.drinksuperfrau.com</t>
  </si>
  <si>
    <t xml:space="preserve">Gated out: health-claim: Explicit health claims on every product: 'Good for gut health', 'Lactic acid for your gut', 'Natural energy'.</t>
  </si>
  <si>
    <t xml:space="preserve">health-claim: Explicit health claims on every product: 'Good for gut health', 'Lactic acid for your gut', 'Natural energy'</t>
  </si>
  <si>
    <t xml:space="preserve">Brand FAQ: 'Does Superfrau need to be refrigerated? Nope... until after it's opened' (opened 2026-10-23)</t>
  </si>
  <si>
    <t xml:space="preserve">Explicit health claims on every product: 'Good for gut health', 'Lactic acid for your gut', 'Natural energy'</t>
  </si>
  <si>
    <t xml:space="preserve">unknown (Stockist locator tag u11136 not queried)</t>
  </si>
  <si>
    <t xml:space="preserve">https://www.instagram.com/drinksuperfrau</t>
  </si>
  <si>
    <t xml:space="preserve">BR3:15</t>
  </si>
  <si>
    <t xml:space="preserve">Sources whey from yogurt makers in New York and Pennsylvania (FAQ). Newest product listing 2022-12, may be low activity.</t>
  </si>
  <si>
    <t xml:space="preserve">title_match</t>
  </si>
  <si>
    <t xml:space="preserve">lease_status</t>
  </si>
  <si>
    <t xml:space="preserve">onsite_low</t>
  </si>
  <si>
    <t xml:space="preserve">guard</t>
  </si>
  <si>
    <t xml:space="preserve">note</t>
  </si>
  <si>
    <t xml:space="preserve">column</t>
  </si>
  <si>
    <t xml:space="preserve">tables</t>
  </si>
  <si>
    <t xml:space="preserve">group</t>
  </si>
  <si>
    <t xml:space="preserve">edited_by</t>
  </si>
  <si>
    <t xml:space="preserve">values</t>
  </si>
  <si>
    <t xml:space="preserve">meaning</t>
  </si>
  <si>
    <t xml:space="preserve">both</t>
  </si>
  <si>
    <t xml:space="preserve">stable (CONTRACTS 6.2)</t>
  </si>
  <si>
    <t xml:space="preserve">build</t>
  </si>
  <si>
    <t xml:space="preserve">AO-C-### (B's company), AO-W-### (B's coworking site), AB-### (brand)</t>
  </si>
  <si>
    <t xml:space="preserve">Stable row key. Never reused. Use it as org_id in E's pipeline log.</t>
  </si>
  <si>
    <t xml:space="preserve">text</t>
  </si>
  <si>
    <t xml:space="preserve">Company name (offices) or brand name (brands), as the source gives it.</t>
  </si>
  <si>
    <t xml:space="preserve">formula</t>
  </si>
  <si>
    <t xml:space="preserve">text or blank</t>
  </si>
  <si>
    <t xml:space="preserve">First name of the contact the views show (formula: primary_first_name, or backup_first_name once promote_backup = Y). Filled only when an opened page shows the name; a snippet-only name stays in contact_name_as_found.</t>
  </si>
  <si>
    <t xml:space="preserve">text, 'unknown' or blank</t>
  </si>
  <si>
    <t xml:space="preserve">Surname as the page spells it; 'unknown' when only a first name is public. Computed: the primary_ value, or the backup_ value once promote_backup = Y.</t>
  </si>
  <si>
    <t xml:space="preserve">Job title as the opened page gives it. Computed: the primary_ value, or the backup_ value once promote_backup = Y.</t>
  </si>
  <si>
    <t xml:space="preserve">URL or blank</t>
  </si>
  <si>
    <t xml:space="preserve">LinkedIn profile of the contact shown: primary_linkedin_url, or backup_linkedin_url once promote_backup = Y. Agents never open LinkedIn; a URL found on another page is marked in linkedin_status and the founder confirms it in the Friday prep.</t>
  </si>
  <si>
    <t xml:space="preserve">business address or blank</t>
  </si>
  <si>
    <t xml:space="preserve">Work email of the contact shown, read from the Enrichment tab by row_id (primary or backup). Blank on every row today: no waterfall has run. Never guessed from a name pattern.</t>
  </si>
  <si>
    <t xml:space="preserve">verified, unverified, none</t>
  </si>
  <si>
    <t xml:space="preserve">From the Enrichment tab: verified (the validator returned deliverable), unverified (found but catch-all or unknown, or any other word), none (no email). E emails only verified rows.</t>
  </si>
  <si>
    <t xml:space="preserve">email, linkedin, warm-intro, walk-in, or blank</t>
  </si>
  <si>
    <t xml:space="preserve">warm-intro when known_to_founder = Y; else email once email_status = verified; else linkedin when a contact is named; else channel_base (walk-in for a top-50 office with nobody named, linkedin for other offices, blank for a brand with nobody named, which E skips).</t>
  </si>
  <si>
    <t xml:space="preserve">0 to 100</t>
  </si>
  <si>
    <t xml:space="preserve">Fit score; 0 for a row that failed a hard gate. The sum of the score_ parts (see the Scoring tab). In the workbook it recomputes when known_to_founder or title_match changes.</t>
  </si>
  <si>
    <t xml:space="preserve">one sentence</t>
  </si>
  <si>
    <t xml:space="preserve">The score in one plain sentence: score_reason_core, the contact clause of the contact shown, and 'known to the founder' when known_to_founder = Y. Follows promote_backup and known_to_founder.</t>
  </si>
  <si>
    <t xml:space="preserve">40-75, 76-150, 151-250, 251-500, under-40, over-500, unknown (offices); blank (brands)</t>
  </si>
  <si>
    <t xml:space="preserve">Offices: the CONTRACTS band holding the central Tuesday onsite estimate. An estimate until intake replaces it. Never printed in copy.</t>
  </si>
  <si>
    <t xml:space="preserve">'Store, street' or 'none found within ten blocks' (brands); blank (offices)</t>
  </si>
  <si>
    <t xml:space="preserve">Brands: the best graded store within ten blocks of the cluster: store_selector before brand_claim, then fewest blocks out; else the nearest unverified store.</t>
  </si>
  <si>
    <t xml:space="preserve">seen_on_shelf, store_selector, brand_claim, unverified</t>
  </si>
  <si>
    <t xml:space="preserve">Evidence grade of nearest_stocked_retailer (CONTRACTS section 4). seen_on_shelf is the founder's only; no agent sets it.</t>
  </si>
  <si>
    <t xml:space="preserve">A dated reason to write now: brands, news or a new listing in the last 12 months; offices, a lease reported since 2025-11 in an article about the company.</t>
  </si>
  <si>
    <t xml:space="preserve">Source of why_now. E writes a hook only after opening it.</t>
  </si>
  <si>
    <t xml:space="preserve">YYYY-MM-DD or YYYY-MM</t>
  </si>
  <si>
    <t xml:space="preserve">Date of the why_now source.</t>
  </si>
  <si>
    <t xml:space="preserve">Y, N</t>
  </si>
  <si>
    <t xml:space="preserve">Y when the founder knows this person. Adds 15 points (offices) or 10 (brands) and makes the channel warm-intro. N everywhere until the founder marks rows.</t>
  </si>
  <si>
    <t xml:space="preserve">Y, N, unknown</t>
  </si>
  <si>
    <t xml:space="preserve">Brands: Y where a public Startup CPG page shows the brand (participation, not proven membership). Never a hook and no points. Offices: unknown.</t>
  </si>
  <si>
    <t xml:space="preserve">E / founder</t>
  </si>
  <si>
    <t xml:space="preserve">Y the same day anyone opts out, in any words, on any channel. Never reversed. A Y row, and every row in its company_group, never enters a daily view.</t>
  </si>
  <si>
    <t xml:space="preserve">new, queued, contacted, replied, call_booked, call_done, yes_in_principle, materials_sent, signed (office) or paid (brand); side states not_now, no, wrong_person, do_not_contact</t>
  </si>
  <si>
    <t xml:space="preserve">Outreach status. Lives in these tables and nowhere else. queued means it is in today's daily view and picked for sending.</t>
  </si>
  <si>
    <t xml:space="preserve">URL</t>
  </si>
  <si>
    <t xml:space="preserve">Main source for the row: the address source (offices) or the brand's research source (brands).</t>
  </si>
  <si>
    <t xml:space="preserve">YYYY-MM-DD</t>
  </si>
  <si>
    <t xml:space="preserve">Date the row was first found.</t>
  </si>
  <si>
    <t xml:space="preserve">daily view</t>
  </si>
  <si>
    <t xml:space="preserve">office, brand</t>
  </si>
  <si>
    <t xml:space="preserve">Which table the row is from (E asked for it in merged views).</t>
  </si>
  <si>
    <t xml:space="preserve">1, 2, ... or blank</t>
  </si>
  <si>
    <t xml:space="preserve">Position among rows that can go out today: eligible, best in its company_group, by score (ties by row order). Ranks 1 to 10 form the daily view.</t>
  </si>
  <si>
    <t xml:space="preserve">1 to n, blank when gated out</t>
  </si>
  <si>
    <t xml:space="preserve">Rank by score among rows that passed the gates, as built today.</t>
  </si>
  <si>
    <t xml:space="preserve">offices</t>
  </si>
  <si>
    <t xml:space="preserve">Y for the 50 best-scored offices that passed the gates: the rows whose contacts were researched and that get the email waterfall.</t>
  </si>
  <si>
    <t xml:space="preserve">brands</t>
  </si>
  <si>
    <t xml:space="preserve">Y for the 60 best-scored brands that passed the gates: the rows whose contacts were researched and that get the email waterfall.</t>
  </si>
  <si>
    <t xml:space="preserve">The checks left for the morning, for the contact shown: confirm or find the LinkedIn profile, confirm an old record, a New York base or an adjacent title; brands: use the store line only if this week's Friday check confirmed it. Computed: the primary_ value, or the backup_ value once promote_backup = Y.</t>
  </si>
  <si>
    <t xml:space="preserve">Why this person: pantry or office lead (offices); founder, CEO or owner (not shown as a founder), marketing lead, or co-founder or executive (brands). Computed: the primary_ value, or the backup_ value once promote_backup = Y.</t>
  </si>
  <si>
    <t xml:space="preserve">verified-page, crowd-listed, first-name-only, unverified, none</t>
  </si>
  <si>
    <t xml:space="preserve">verified-page: the employer's own page or dated press, event or podcast page shows the full name. crowd-listed: the only page is a crowd-edited directory (The Org, which prints 'Unverified' beside the person); ready, but confirm on LinkedIn before sending, and ranked below employer-page names at equal score. first-name-only: an opened page shows the first name. unverified: a search snippet only (name not in first_name). none: nobody found. Computed: the primary_ value, or the backup_ value once promote_backup = Y.</t>
  </si>
  <si>
    <t xml:space="preserve">employer's own site, The Org (crowd-edited org chart), The Org and the employer's own page, press, event or podcast page, LinkedIn (not opened), search snippet only (not opened)</t>
  </si>
  <si>
    <t xml:space="preserve">What kind of page supports the name, so the founder can weigh it. Computed: the primary_ value, or the backup_ value once promote_backup = Y.</t>
  </si>
  <si>
    <t xml:space="preserve">The opened page that supports the name and title. Computed: the primary_ value, or the backup_ value once promote_backup = Y.</t>
  </si>
  <si>
    <t xml:space="preserve">Date that page was opened (or the row's found date for brands whose contact dates from stage 1). Computed: the primary_ value, or the backup_ value once promote_backup = Y.</t>
  </si>
  <si>
    <t xml:space="preserve">exact, adjacent, none</t>
  </si>
  <si>
    <t xml:space="preserve">exact: one of the five target titles or its direct form (office manager or coordinator, office services, workplace, facilities, people operations, EA to the CEO), on an opened page, placed in New York: 10 points. adjacent: any other named person, a target title with no New York base shown, or a snippet-only name: 5. none: 0. Computed from primary_title_match or backup_title_match (promote_backup); the score follows.</t>
  </si>
  <si>
    <t xml:space="preserve">Business street address as the source gives it.</t>
  </si>
  <si>
    <t xml:space="preserve">text or unknown</t>
  </si>
  <si>
    <t xml:space="preserve">Floor or suite as sourced; 'unknown' when no source names it (never blank).</t>
  </si>
  <si>
    <t xml:space="preserve">occupied, occupancy-unconfirmed, signed-not-occupied, moving-out (companies); open, open-unverified, unverified, possibly-closed (coworking sites)</t>
  </si>
  <si>
    <t xml:space="preserve">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</si>
  <si>
    <t xml:space="preserve">number or unknown</t>
  </si>
  <si>
    <t xml:space="preserve">Low end of the Tuesday onsite estimate (see onsite_basis). An estimate until intake replaces it.</t>
  </si>
  <si>
    <t xml:space="preserve">High end of the Tuesday onsite estimate.</t>
  </si>
  <si>
    <t xml:space="preserve">medium, low, none</t>
  </si>
  <si>
    <t xml:space="preserve">medium: the count is for the New York office. low: a company-wide count with an assumed New York share. none: no count.</t>
  </si>
  <si>
    <t xml:space="preserve">in-office-5, hybrid-4, hybrid-3, hybrid-unspecified, hybrid-2-or-less, remote, unknown</t>
  </si>
  <si>
    <t xml:space="preserve">Attendance read from the employer's own words (Built In policy text, B's notes). The policy sentence beats the 'typical time on-site' box; a range uses its lower figure.</t>
  </si>
  <si>
    <t xml:space="preserve">the row_id, or grp-...</t>
  </si>
  <si>
    <t xml:space="preserve">Rows that share a named parent, an operator, a company name or a named person form one group. The daily view takes one row per group and skips a group with anyone in flight or opted out.</t>
  </si>
  <si>
    <t xml:space="preserve">Y keeps the row out of outreach (B: lease signed but move not confirmed, an address conflict, a tenant still in coworking, a site possibly closed). The founder sets N after the lobby check. Brands: always N today.</t>
  </si>
  <si>
    <t xml:space="preserve">Why the row is held, and what clears it.</t>
  </si>
  <si>
    <t xml:space="preserve">YYYY-MM-DD or blank</t>
  </si>
  <si>
    <t xml:space="preserve">E's column (CONTRACTS 6.2): the day someone opted out. Filled means never contacted again, whatever do_not_contact says.</t>
  </si>
  <si>
    <t xml:space="preserve">A shelf-stable SKU the research found (E's {product} source).</t>
  </si>
  <si>
    <t xml:space="preserve">a CONTRACTS section 4 category key</t>
  </si>
  <si>
    <t xml:space="preserve">Brand category.</t>
  </si>
  <si>
    <t xml:space="preserve">Brands: HQ city as researched, with any evidence note. Offices: B's HQ city.</t>
  </si>
  <si>
    <t xml:space="preserve">The brand's own online store (buy path for a discount code).</t>
  </si>
  <si>
    <t xml:space="preserve">brand research</t>
  </si>
  <si>
    <t xml:space="preserve">What the online store check found when it is not a plain store (for example 'Shop buttons route to Amazon').</t>
  </si>
  <si>
    <t xml:space="preserve">Y when there is something for the founder to read (founder_review_reason). review_blocking says whether it must be cleared before outreach. Not a gate.</t>
  </si>
  <si>
    <t xml:space="preserve">The researcher's reason, the claims review and build notes (shelf life not stated, single-serve pack not shown, no online store).</t>
  </si>
  <si>
    <t xml:space="preserve">control</t>
  </si>
  <si>
    <t xml:space="preserve">Y when the row passed the gates, is not on hold, has a contact named on an opened page, and (offices) its Tuesday band is 40 to 250 or founder_ok_to_queue = Y, (brands) no blocking founder review is pending. Only Y rows can enter a daily view.</t>
  </si>
  <si>
    <t xml:space="preserve">Why a row is not ready, in words.</t>
  </si>
  <si>
    <t xml:space="preserve">Y or blank</t>
  </si>
  <si>
    <t xml:space="preserve">Y lets an office whose Tuesday band is under-40, 251-500 or over-500 into the daily view (the prompt makes 30 to 39 the founder's call).</t>
  </si>
  <si>
    <t xml:space="preserve">Y after a wrong_person reply: the backup becomes the contact everywhere (name, title, LinkedIn URL, email, title_match, score, channel, score_reason, check_before_send). Then set status = new. One cell instead of copying thirteen.</t>
  </si>
  <si>
    <t xml:space="preserve">Y when founder_review_type includes a type that needs a decision before outreach (owner, scale, heritage, dormant, perishable risk, alcohol-adjacent, pack format, functional-ingredient or implied-effect wording). The row waits on the Founder review tab until founder_review_cleared = Y.</t>
  </si>
  <si>
    <t xml:space="preserve">Y once you have read founder_review_reason and want the brand contacted (Friday batch). Set status = no instead to drop it.</t>
  </si>
  <si>
    <t xml:space="preserve">The Friday date you re-checked the store listing with retailer_check_url. Use the retailer line in copy only when it is this week.</t>
  </si>
  <si>
    <t xml:space="preserve">One click: the retailer's own store-scoped catalog answer for nearest_stocked_retailer (Whole Foods' search for that store; no store picker).</t>
  </si>
  <si>
    <t xml:space="preserve">Y when the central Tuesday estimate is outside 40 to 250: the row needs founder_ok_to_queue = Y.</t>
  </si>
  <si>
    <t xml:space="preserve">gate and score</t>
  </si>
  <si>
    <t xml:space="preserve">pass, fail</t>
  </si>
  <si>
    <t xml:space="preserve">Whether the row passed every hard gate (applied before any enrichment spend).</t>
  </si>
  <si>
    <t xml:space="preserve">Every gate the row failed, or 'passes all hard gates'.</t>
  </si>
  <si>
    <t xml:space="preserve">excluded-category, health-claim, not-shelf-stable, no-buy-path</t>
  </si>
  <si>
    <t xml:space="preserve">Machine-readable list of failed brand gates.</t>
  </si>
  <si>
    <t xml:space="preserve">number</t>
  </si>
  <si>
    <t xml:space="preserve">What the row would score if it had passed (gated rows keep it for review).</t>
  </si>
  <si>
    <t xml:space="preserve">0 to 30</t>
  </si>
  <si>
    <t xml:space="preserve">25 x the share of the Tuesday range inside 40 to 250 (ratio scale), plus 5 when the count is for the New York office; 7 when headcount is unknown.</t>
  </si>
  <si>
    <t xml:space="preserve">-4 to 15</t>
  </si>
  <si>
    <t xml:space="preserve">Company size: 500 or fewer 15; 501-1,000 6; 1,001-4,999 2; 5,000+ 0; unknown 8; minus 4 when a controlling parent is named.</t>
  </si>
  <si>
    <t xml:space="preserve">-5 to 15</t>
  </si>
  <si>
    <t xml:space="preserve">On-site 5 days 15; hybrid 4 days 12; 3 days 10; days not stated 7; 2 or fewer 5; no signal 6; remote -5; plus 3 when the policy names Tuesday (cap 15).</t>
  </si>
  <si>
    <t xml:space="preserve">0 to 15</t>
  </si>
  <si>
    <t xml:space="preserve">Occupied 10, occupancy-unconfirmed 5, signed-not-occupied 2 (coworking site: open 10, open-unverified 5, unverified 2); 0 with an address conflict; plus confidence high 5, medium 3, low 0.</t>
  </si>
  <si>
    <t xml:space="preserve">0, 5, 10</t>
  </si>
  <si>
    <t xml:space="preserve">From title_match: exact 10, adjacent 5, none 0.</t>
  </si>
  <si>
    <t xml:space="preserve">0, 15 (offices) or 0, 10 (brands)</t>
  </si>
  <si>
    <t xml:space="preserve">From known_to_founder.</t>
  </si>
  <si>
    <t xml:space="preserve">0 to 25</t>
  </si>
  <si>
    <t xml:space="preserve">Best graded store within ten blocks: store page inside the cluster 25, store page within ten blocks 20, brand locator inside 17, brand locator within ten 13; online store only 6; none 0.</t>
  </si>
  <si>
    <t xml:space="preserve">0 to 20</t>
  </si>
  <si>
    <t xml:space="preserve">HQ New York City 20, rest of New York State 13, Northeast 8, elsewhere 3, unknown 4; minus 3 when a New York HQ is unverified.</t>
  </si>
  <si>
    <t xml:space="preserve">Press in the last 180 days 15, 181 to 365 days 8; own listing in 180 days 8, 181 to 365 days 4; none or unverified 0.</t>
  </si>
  <si>
    <t xml:space="preserve">0 to 10</t>
  </si>
  <si>
    <t xml:space="preserve">Revenue $500k to $10M 10; unknown 5; under $500k 2; over $10M 0.</t>
  </si>
  <si>
    <t xml:space="preserve">Shelf-stable Y 4, likely 2, unknown 1; individually packaged Y 3, unknown 1; online store Y 3, unknown 1.</t>
  </si>
  <si>
    <t xml:space="preserve">Founder named on an opened page 6 (first name only or snippet 3); marketing lead named on an opened page 4 (snippet 2).</t>
  </si>
  <si>
    <t xml:space="preserve">-35 to 0</t>
  </si>
  <si>
    <t xml:space="preserve">The most severe founder-review type: sourced revenue over $10M -35; large-company owner -25; scale signals -12; dormant -12; heritage -10; perishable risk -8; under $500k -5; alcohol-adjacent -5; functional-ingredient wording -4; nutrient wording -4; pack format -4; other -2; single-serve pack not shown 0.</t>
  </si>
  <si>
    <t xml:space="preserve">owner, scale-reported, scale, dormant, not-emerging, perishable-risk, under-floor, alcohol-adjacent, format, format-unconfirmed, claim-functional, nutrient-claim, other</t>
  </si>
  <si>
    <t xml:space="preserve">The founder-review reason sorted into types; the most severe sets score_review; review_blocking follows the blocking types.</t>
  </si>
  <si>
    <t xml:space="preserve">le500, 501-1000, 1001-4999, 5000+, unknown</t>
  </si>
  <si>
    <t xml:space="preserve">Company-wide size class used by score_size.</t>
  </si>
  <si>
    <t xml:space="preserve">Middle of the Tuesday range on a ratio scale (square root of low x high).</t>
  </si>
  <si>
    <t xml:space="preserve">may be under 30, may exceed 250, 30 to 39 is the founder's call, central estimate under 30; under-30 and over-250 mean the row failed the gate.</t>
  </si>
  <si>
    <t xml:space="preserve">Y when the row's leased square footage changed the estimate (review round 1): high at most sf / 125, central at most sf / 150, or a space-based range (sf / 250 to sf / 125) where the headcount math cannot fit or the HQ is outside New York.</t>
  </si>
  <si>
    <t xml:space="preserve">The Tuesday estimate's arithmetic in words: count x New York share x in-office rate, then the space check against the row's own leased square footage.</t>
  </si>
  <si>
    <t xml:space="preserve">Always 'estimate until intake replaces it'.</t>
  </si>
  <si>
    <t xml:space="preserve">0 to 1 or unknown</t>
  </si>
  <si>
    <t xml:space="preserve">Share of the Tuesday range inside 40 to 250 (ratio scale); the first tie-break.</t>
  </si>
  <si>
    <t xml:space="preserve">contact</t>
  </si>
  <si>
    <t xml:space="preserve">The primary contact's name as found, even when it is not verified enough for first_name.</t>
  </si>
  <si>
    <t xml:space="preserve">YYYY-MM-DD, YYYY or blank</t>
  </si>
  <si>
    <t xml:space="preserve">The source's own date for the contact (The Org 'updated' date, article date). Older than 12 months adds a check to check_before_send.</t>
  </si>
  <si>
    <t xml:space="preserve">What the page said, where it was found and any doubt.</t>
  </si>
  <si>
    <t xml:space="preserve">confirmed, likely, unconfirmed</t>
  </si>
  <si>
    <t xml:space="preserve">Whether the contact works from the New York office: confirmed (the employer's page or The Org's office record), likely (New York area or a New York firm's page with no city), unconfirmed.</t>
  </si>
  <si>
    <t xml:space="preserve">Where the primary's LinkedIn URL came from (The Org, the employer's page, a search result). LinkedIn itself was never opened.</t>
  </si>
  <si>
    <t xml:space="preserve">Y, N (offices); stage 2, stage 3, review round 1, stage 1 only (brands)</t>
  </si>
  <si>
    <t xml:space="preserve">Whether contact research beyond the first pass covered this row.</t>
  </si>
  <si>
    <t xml:space="preserve">Researched primary contact's first name (opened page only).</t>
  </si>
  <si>
    <t xml:space="preserve">text, unknown or blank</t>
  </si>
  <si>
    <t xml:space="preserve">Researched primary contact's surname.</t>
  </si>
  <si>
    <t xml:space="preserve">Researched primary contact's title.</t>
  </si>
  <si>
    <t xml:space="preserve">Primary contact's LinkedIn profile. Prefilled only when another opened page lists it (linkedin_status says which); the founder pastes or confirms it in the Friday prep.</t>
  </si>
  <si>
    <t xml:space="preserve">address or blank</t>
  </si>
  <si>
    <t xml:space="preserve">work_email for row_id on the Enrichment tab.</t>
  </si>
  <si>
    <t xml:space="preserve">email_status for row_id on the Enrichment tab (none when there is no address).</t>
  </si>
  <si>
    <t xml:space="preserve">Why the researched primary was chosen.</t>
  </si>
  <si>
    <t xml:space="preserve">As contact_status, for the researched primary.</t>
  </si>
  <si>
    <t xml:space="preserve">as contact_evidence</t>
  </si>
  <si>
    <t xml:space="preserve">What kind of page supports the primary.</t>
  </si>
  <si>
    <t xml:space="preserve">The page that supports the primary.</t>
  </si>
  <si>
    <t xml:space="preserve">Date that page was opened.</t>
  </si>
  <si>
    <t xml:space="preserve">title_match for the primary.</t>
  </si>
  <si>
    <t xml:space="preserve">check_before_send when the primary is shown.</t>
  </si>
  <si>
    <t xml:space="preserve">The contact clause of score_reason for the primary.</t>
  </si>
  <si>
    <t xml:space="preserve">Date the backup's page was opened.</t>
  </si>
  <si>
    <t xml:space="preserve">title_match for the backup.</t>
  </si>
  <si>
    <t xml:space="preserve">check_before_send when the backup is shown.</t>
  </si>
  <si>
    <t xml:space="preserve">The contact clause of score_reason for the backup.</t>
  </si>
  <si>
    <t xml:space="preserve">confirmed, likely, unconfirmed or blank</t>
  </si>
  <si>
    <t xml:space="preserve">As contact_ny_base, for the backup.</t>
  </si>
  <si>
    <t xml:space="preserve">score_reason without its contact clause (or the whole gated-out sentence).</t>
  </si>
  <si>
    <t xml:space="preserve">The founder-review clause that follows the contact clause in score_reason.</t>
  </si>
  <si>
    <t xml:space="preserve">walk-in, linkedin or blank</t>
  </si>
  <si>
    <t xml:space="preserve">The channel when nobody is named and no email or known flag applies.</t>
  </si>
  <si>
    <t xml:space="preserve">Backup contact's first name (opened page only).</t>
  </si>
  <si>
    <t xml:space="preserve">Backup contact's surname.</t>
  </si>
  <si>
    <t xml:space="preserve">Backup contact's title.</t>
  </si>
  <si>
    <t xml:space="preserve">Backup contact's LinkedIn profile (as primary_linkedin_url).</t>
  </si>
  <si>
    <t xml:space="preserve">backup_work_email for row_id on the Enrichment tab.</t>
  </si>
  <si>
    <t xml:space="preserve">backup_email_status for row_id on the Enrichment tab.</t>
  </si>
  <si>
    <t xml:space="preserve">Why the backup: pantry or office lead (offices); marketing lead or co-founder or executive (brands).</t>
  </si>
  <si>
    <t xml:space="preserve">Backup's name as found.</t>
  </si>
  <si>
    <t xml:space="preserve">As contact_status, for the backup.</t>
  </si>
  <si>
    <t xml:space="preserve">What kind of page supports the backup.</t>
  </si>
  <si>
    <t xml:space="preserve">The page that supports the backup.</t>
  </si>
  <si>
    <t xml:space="preserve">date or blank</t>
  </si>
  <si>
    <t xml:space="preserve">The backup source's own date.</t>
  </si>
  <si>
    <t xml:space="preserve">Notes on the backup.</t>
  </si>
  <si>
    <t xml:space="preserve">Where the backup's LinkedIn URL came from.</t>
  </si>
  <si>
    <t xml:space="preserve">What the group's rows share (parent, operator, name or person).</t>
  </si>
  <si>
    <t xml:space="preserve">office research</t>
  </si>
  <si>
    <t xml:space="preserve">company, coworking-operator</t>
  </si>
  <si>
    <t xml:space="preserve">A company office, or a coworking site that may join as one office if the operator controls the pantry.</t>
  </si>
  <si>
    <t xml:space="preserve">B-C-### or B-W-###</t>
  </si>
  <si>
    <t xml:space="preserve">The row's ID in B's files.</t>
  </si>
  <si>
    <t xml:space="preserve">URL or unknown</t>
  </si>
  <si>
    <t xml:space="preserve">Company or brand website (the domain the email waterfall uses).</t>
  </si>
  <si>
    <t xml:space="preserve">Short industry label from the research slice.</t>
  </si>
  <si>
    <t xml:space="preserve">number as sourced or unknown</t>
  </si>
  <si>
    <t xml:space="preserve">The sourced headcount the estimate starts from (B's headcount_count, else the company-wide count cited).</t>
  </si>
  <si>
    <t xml:space="preserve">number or blank</t>
  </si>
  <si>
    <t xml:space="preserve">B's second, independent count.</t>
  </si>
  <si>
    <t xml:space="preserve">CONTRACTS band</t>
  </si>
  <si>
    <t xml:space="preserve">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</si>
  <si>
    <t xml:space="preserve">whole-company, nyc-office, unknown</t>
  </si>
  <si>
    <t xml:space="preserve">whole-company (the count covers the whole firm), nyc-office (the source counts the New York office), or unknown.</t>
  </si>
  <si>
    <t xml:space="preserve">agree, disagree, single-source, scope-differs, no-count, over-500-second-source</t>
  </si>
  <si>
    <t xml:space="preserve">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</si>
  <si>
    <t xml:space="preserve">Where the count came from.</t>
  </si>
  <si>
    <t xml:space="preserve">Source of headcount_second_count: a Revelio Labs public page (reveliolabs.com/companies/&lt;slug&gt;/employees, matched on legal name and description), the company's own page, or for swapped rows the original Built In page.</t>
  </si>
  <si>
    <t xml:space="preserve">Y if hq_city is New York, N if elsewhere, unknown. A whole-company band for an N row can be far larger than the New York office.</t>
  </si>
  <si>
    <t xml:space="preserve">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</si>
  <si>
    <t xml:space="preserve">Company LinkedIn page, as linked from the company's own website (linkedin_company_source); unknown where the site links none. LinkedIn not opened.</t>
  </si>
  <si>
    <t xml:space="preserve">The page that links linkedin_company_url and the date it was opened.</t>
  </si>
  <si>
    <t xml:space="preserve">5 digits</t>
  </si>
  <si>
    <t xml:space="preserve">ZIP code from a source for the building, else from NYC PLUTO (2026 v2) for the tax lot.</t>
  </si>
  <si>
    <t xml:space="preserve">decimal degrees</t>
  </si>
  <si>
    <t xml:space="preserve">Latitude, WGS84 decimal degrees. From the project geocoder (_shared/geocode.py: NYC Planning GeoSearch, the city's own address database). A pin that landed on the far side of its tax lot was moved to the addressed block face; that row's notes say so.</t>
  </si>
  <si>
    <t xml:space="preserve">Longitude, WGS84 decimal degrees. Same source as lat.</t>
  </si>
  <si>
    <t xml:space="preserve">Y if the pin is inside boundary.geojson, else N (computed, not judged).</t>
  </si>
  <si>
    <t xml:space="preserve">Walking distance from the boundary on the street grid, in street blocks (79.4 m each); 0 inside. Crosstown metres count at their length, so the Sixth-to-Fifth block counts as about 3.9.</t>
  </si>
  <si>
    <t xml:space="preserve">B-B-### or blank</t>
  </si>
  <si>
    <t xml:space="preserve">B-B-### of the building row in the Buildings tab; blank if the building is not in that tab (near-miss rows outside the line).</t>
  </si>
  <si>
    <t xml:space="preserve">Building name from research (landlord or common name).</t>
  </si>
  <si>
    <t xml:space="preserve">Source that places the company at the address.</t>
  </si>
  <si>
    <t xml:space="preserve">date</t>
  </si>
  <si>
    <t xml:space="preserve">Date of that source (publication date, or the date a live page was opened).</t>
  </si>
  <si>
    <t xml:space="preserve">company-site, leasing-press, builtin, building-site, press-release, wikipedia, other, operator-site</t>
  </si>
  <si>
    <t xml:space="preserve">company-site, leasing-press, builtin, building-site, press-release, wikipedia or other.</t>
  </si>
  <si>
    <t xml:space="preserve">Independent confirmation, if any: press, a landlord or broker release, a filing or an encyclopedia. On a high row it is never an employer-editable profile when the first source is the company's own page (review round 3).</t>
  </si>
  <si>
    <t xml:space="preserve">Date of the second source.</t>
  </si>
  <si>
    <t xml:space="preserve">Set when a source is a sec.gov filing agents do not open (the founder may open it in a browser).</t>
  </si>
  <si>
    <t xml:space="preserve">high, medium, low</t>
  </si>
  <si>
    <t xml:space="preserve">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</si>
  <si>
    <t xml:space="preserve">YYYY-MM, unknown or blank</t>
  </si>
  <si>
    <t xml:space="preserve">For signed-not-occupied and moving-out rows: YYYY-MM if a source states the month, else 'unknown' (a planned season is written in notes). Blank when the row is occupied or occupancy-unconfirmed.</t>
  </si>
  <si>
    <t xml:space="preserve">Y if the company is inside a coworking or serviced-office space (listed as a resident, or on a floor the operator holds), else N. Y rows are excluded as offices.</t>
  </si>
  <si>
    <t xml:space="preserve">B-W-### or blank</t>
  </si>
  <si>
    <t xml:space="preserve">B-W-### of the coworking site the company is inside (only when in_coworking = Y). For a company that merely shares a building with a coworking site, see coworking_check and the building's coworking_ids.</t>
  </si>
  <si>
    <t xml:space="preserve">operator, tenant, unknown (coworking rows)</t>
  </si>
  <si>
    <t xml:space="preserve">operator (the operator's own page or listing says it supplies coffee, drinks or snacks), tenant, or unknown.</t>
  </si>
  <si>
    <t xml:space="preserve">walk-up, security desk, loading dock, unknown</t>
  </si>
  <si>
    <t xml:space="preserve">walk-up, security desk, loading dock or unknown. Set only from an opened source (broker page, building site, press); undated broker pages are a starting point for the walk, not a verification.</t>
  </si>
  <si>
    <t xml:space="preserve">Source for lobby_type.</t>
  </si>
  <si>
    <t xml:space="preserve">Set when B lists a lobby type with no source: the type stays unknown until the walk.</t>
  </si>
  <si>
    <t xml:space="preserve">yes, no, unknown</t>
  </si>
  <si>
    <t xml:space="preserve">yes, no or unknown: whether the building requires a certificate of insurance for deliveries. No opened source states a delivery rule, so every row is unknown.</t>
  </si>
  <si>
    <t xml:space="preserve">Y when the employer's own policy text names Tuesday as an office day.</t>
  </si>
  <si>
    <t xml:space="preserve">The words the attendance signal rests on.</t>
  </si>
  <si>
    <t xml:space="preserve">Page the attendance signal comes from (Built In offices page, opened 2026-10-24, or B's source).</t>
  </si>
  <si>
    <t xml:space="preserve">candidate, excluded-coworking, excluded-not-office, near-miss, coworking-operator</t>
  </si>
  <si>
    <t xml:space="preserve">candidate (in the boundary, 40-500 or unknown band, not in coworking); excluded-coworking; excluded-not-office (for example a mailbox suite); near-miss-over-500; near-miss-outside.</t>
  </si>
  <si>
    <t xml:space="preserve">Near-miss tab only: just-over-500 (501 to 1,000, the brief's 'just over 500'), over-1,000 (1,001 to 4,999), not-near (5,000 or more), over-500-count-not-cited, or outside-line (past the boundary).</t>
  </si>
  <si>
    <t xml:space="preserve">Near-miss tab only: Y where a source suggests the New York office alone could fit the 40-250 band (a small NYC lease against an HQ elsewhere, or the source says so). A flag for a founder look, not a size estimate.</t>
  </si>
  <si>
    <t xml:space="preserve">numbers</t>
  </si>
  <si>
    <t xml:space="preserve">Office sizes (square feet) that appear in the sourced notes. A fact from the source, not a headcount.</t>
  </si>
  <si>
    <t xml:space="preserve">Where leased_sf_mentioned comes from: B's sources, or (review round 1) the row's own lease article, quoted, when B recorded none.</t>
  </si>
  <si>
    <t xml:space="preserve">B's research notes for the row, with sources.</t>
  </si>
  <si>
    <t xml:space="preserve">Facts this workstream changed after B, each with its source and date (_work/stage3_corrections.csv).</t>
  </si>
  <si>
    <t xml:space="preserve">two-letter state, country or unknown</t>
  </si>
  <si>
    <t xml:space="preserve">Brand HQ state.</t>
  </si>
  <si>
    <t xml:space="preserve">nyc, nys, northeast, elsewhere, unknown, with '(unverified)'</t>
  </si>
  <si>
    <t xml:space="preserve">HQ class used by score_ny (New York brands come first).</t>
  </si>
  <si>
    <t xml:space="preserve">Funding stage as researched.</t>
  </si>
  <si>
    <t xml:space="preserve">Source of funding_stage.</t>
  </si>
  <si>
    <t xml:space="preserve">Y, likely, unknown, N</t>
  </si>
  <si>
    <t xml:space="preserve">Sealed and shelf-stable; N fails the gate; likely or unknown pass with founder_review (the 60-day shelf life is asked at intake, q1).</t>
  </si>
  <si>
    <t xml:space="preserve">The page and words shelf_stable rests on.</t>
  </si>
  <si>
    <t xml:space="preserve">Y, unknown, N</t>
  </si>
  <si>
    <t xml:space="preserve">Single-serve, individually packaged SKU.</t>
  </si>
  <si>
    <t xml:space="preserve">The brand sells online (its own store, or Amazon linked from its site).</t>
  </si>
  <si>
    <t xml:space="preserve">under-500k, 500k-10m, over-10m, unknown</t>
  </si>
  <si>
    <t xml:space="preserve">Revenue band with basis, or unknown. Over $10M sets the -35 review penalty.</t>
  </si>
  <si>
    <t xml:space="preserve">reported, company projection, press quote, and its age.</t>
  </si>
  <si>
    <t xml:space="preserve">The figure and its source, or unknown.</t>
  </si>
  <si>
    <t xml:space="preserve">Researcher's note on claims (nutrient-content claims are allowed with founder_review; structure or function claims fail the gate).</t>
  </si>
  <si>
    <t xml:space="preserve">The researcher's own exclusion call.</t>
  </si>
  <si>
    <t xml:space="preserve">Why the researcher excluded it.</t>
  </si>
  <si>
    <t xml:space="preserve">Street blocks from the boundary to nearest_stocked_retailer (B's grid measure); 0 is inside.</t>
  </si>
  <si>
    <t xml:space="preserve">The nearest graded store is inside the line.</t>
  </si>
  <si>
    <t xml:space="preserve">Stores within ten blocks graded store_selector or brand_claim.</t>
  </si>
  <si>
    <t xml:space="preserve">list</t>
  </si>
  <si>
    <t xml:space="preserve">Every store within ten blocks with grade and distance.</t>
  </si>
  <si>
    <t xml:space="preserve">Stores further out or with no address.</t>
  </si>
  <si>
    <t xml:space="preserve">Retailers the researcher found (any distance).</t>
  </si>
  <si>
    <t xml:space="preserve">URLs</t>
  </si>
  <si>
    <t xml:space="preserve">Pages behind the store links (store catalog, locator).</t>
  </si>
  <si>
    <t xml:space="preserve">press, listing, unverified, none, stale (over 12 months)</t>
  </si>
  <si>
    <t xml:space="preserve">press: a third party; listing: the brand's own site or store feed; unverified earns nothing.</t>
  </si>
  <si>
    <t xml:space="preserve">Days from why_now_date to 2026-10-24.</t>
  </si>
  <si>
    <t xml:space="preserve">The public Startup CPG page behind startup_cpg_member = Y.</t>
  </si>
  <si>
    <t xml:space="preserve">Brand Instagram (not opened).</t>
  </si>
  <si>
    <t xml:space="preserve">BR1 to BR5</t>
  </si>
  <si>
    <t xml:space="preserve">Which research slice found the brand.</t>
  </si>
  <si>
    <t xml:space="preserve">BRn:line</t>
  </si>
  <si>
    <t xml:space="preserve">The line in that slice file.</t>
  </si>
  <si>
    <t xml:space="preserve">Research notes with sources, then build notes after ' | '.</t>
  </si>
  <si>
    <t xml:space="preserve">Every field update applied to the row, with source, date and confidence.</t>
  </si>
  <si>
    <t xml:space="preserve">outreach tracking (E)</t>
  </si>
  <si>
    <t xml:space="preserve">&lt;side&gt;-&lt;stage&gt;-&lt;variant&gt;, e.g. office-discovery-A</t>
  </si>
  <si>
    <t xml:space="preserve">E: the sequence started (desk-drop-outreach/tracking/csv/clay_tracking_columns.csv).</t>
  </si>
  <si>
    <t xml:space="preserve">E: day the first message with the ask was sent.</t>
  </si>
  <si>
    <t xml:space="preserve">E: day touch 2 was sent.</t>
  </si>
  <si>
    <t xml:space="preserve">E: day touch 3 was sent (last touch).</t>
  </si>
  <si>
    <t xml:space="preserve">E: the latest reply.</t>
  </si>
  <si>
    <t xml:space="preserve">E's list</t>
  </si>
  <si>
    <t xml:space="preserve">E: the latest meaningful reply type.</t>
  </si>
  <si>
    <t xml:space="preserve">E: the latest conversation.</t>
  </si>
  <si>
    <t xml:space="preserve">one line</t>
  </si>
  <si>
    <t xml:space="preserve">E: one line plus 'see tracker &lt;call_date&gt;'.</t>
  </si>
  <si>
    <t xml:space="preserve">E: Y if any conversation said yes in principle.</t>
  </si>
  <si>
    <t xml:space="preserve">E: the next step (drives the follow-up view).</t>
  </si>
  <si>
    <t xml:space="preserve">E: when the next step is due.</t>
  </si>
  <si>
    <t xml:space="preserve">E: the row that referred this person (a new row E adds).</t>
  </si>
  <si>
    <t xml:space="preserve">E: the street name with no number, for {area}.</t>
  </si>
  <si>
    <t xml:space="preserve">E: the hook written after opening why_now_url.</t>
  </si>
  <si>
    <t xml:space="preserve">two to four words</t>
  </si>
  <si>
    <t xml:space="preserve">E: the product's own name for {product}.</t>
  </si>
  <si>
    <t xml:space="preserve">twelve words or fewer</t>
  </si>
  <si>
    <t xml:space="preserve">E: what they said on the call.</t>
  </si>
  <si>
    <t xml:space="preserve">fifteen words or fewer</t>
  </si>
  <si>
    <t xml:space="preserve">E: how the founder knows them (warm templates).</t>
  </si>
  <si>
    <t xml:space="preserve">E: the referrer agreed to be named.</t>
  </si>
  <si>
    <t xml:space="preserve">E: every office on the brand's route said yes (gates the agreement and invoice).</t>
  </si>
  <si>
    <t xml:space="preserve">view helper</t>
  </si>
  <si>
    <t xml:space="preserve">Y when status is queued, contacted, replied, call_booked, call_done, yes_in_principle or materials_sent.</t>
  </si>
  <si>
    <t xml:space="preserve">Y when do_not_contact = Y, status = do_not_contact or opt_out_date is filled: any one of the three blocks the row and its group.</t>
  </si>
  <si>
    <t xml:space="preserve">company_group, or the row_id when company_group is blank (a row added by hand).</t>
  </si>
  <si>
    <t xml:space="preserve">Y when any row with the same group_key is in flight or has any do-not-contact signal (dnc_any).</t>
  </si>
  <si>
    <t xml:space="preserve">Y when status = new, do_not_contact = N, dnc_any = N, ready_for_outreach = Y and the group is not blocked.</t>
  </si>
  <si>
    <t xml:space="preserve">Y for the best-scored eligible row of its group (one contact per company).</t>
  </si>
  <si>
    <t xml:space="preserve">Y when the row is eligible, best in its group and daily_view_rank is 1 to 10 (a pasted rank alone cannot put a row in the view).</t>
  </si>
  <si>
    <t xml:space="preserve">1 to 10 or blank</t>
  </si>
  <si>
    <t xml:space="preserve">The row's line on the Daily view tab.</t>
  </si>
  <si>
    <t xml:space="preserve">Y for a passed, new, unblocked, unheld office whose channel is walk-in.</t>
  </si>
  <si>
    <t xml:space="preserve">1 to 25 or blank</t>
  </si>
  <si>
    <t xml:space="preserve">The row's line on the Walk list tab.</t>
  </si>
  <si>
    <t xml:space="preserve">Y for a passed, new brand with a blocking founder review not yet cleared.</t>
  </si>
  <si>
    <t xml:space="preserve">1 to 30 or blank</t>
  </si>
  <si>
    <t xml:space="preserve">The row's line on the Founder review tab.</t>
  </si>
  <si>
    <t xml:space="preserve">N when this row's formulas were pasted over (the views then show a warning instead of rows).</t>
  </si>
  <si>
    <t xml:space="preserve">The row's position (the workbook uses ROW()); the last tie-break.</t>
  </si>
  <si>
    <t xml:space="preserve">table</t>
  </si>
  <si>
    <t xml:space="preserve">part</t>
  </si>
  <si>
    <t xml:space="preserve">points</t>
  </si>
  <si>
    <t xml:space="preserve">rule in plain words</t>
  </si>
  <si>
    <t xml:space="preserve">Offices</t>
  </si>
  <si>
    <t xml:space="preserve">HARD GATES</t>
  </si>
  <si>
    <t xml:space="preserve">Applied before any enrichment spend. A row fails if any one holds; a failed row scores 0.</t>
  </si>
  <si>
    <t xml:space="preserve">gate</t>
  </si>
  <si>
    <t xml:space="preserve">Outside the cluster: B's in_boundary = N against cluster-1-flatiron/boundary.geojson.</t>
  </si>
  <si>
    <t xml:space="preserve">Inside a coworking space (B's in_coworking = Y, or still a coworking tenant until a move B reports), or no staffed office at the address.</t>
  </si>
  <si>
    <t xml:space="preserve">Tuesday estimate wholly under 30 or wholly over 250. A range that crosses 30 or 250 passes with a flag.</t>
  </si>
  <si>
    <t xml:space="preserve">Coworking site whose operator is not shown to control the pantry, or a site possibly closed.</t>
  </si>
  <si>
    <t xml:space="preserve">SCORE</t>
  </si>
  <si>
    <t xml:space="preserve">How likely this office fits the drop and can say yes, from what is known today.</t>
  </si>
  <si>
    <t xml:space="preserve">25 x the share of the Tuesday range inside 40 to 250 (ratio scale), plus 5 when the count is for the New York office; unknown headcount 7.</t>
  </si>
  <si>
    <t xml:space="preserve">500 or fewer staff 15; 501 to 1,000 6; 1,001 to 4,999 2; 5,000+ 0; unknown 8; minus 4 when a controlling parent is named.</t>
  </si>
  <si>
    <t xml:space="preserve">Occupied 10, occupancy-unconfirmed 5, signed-not-occupied 2; 0 with an address conflict; plus source confidence high 5, medium 3, low 0.</t>
  </si>
  <si>
    <t xml:space="preserve">The contact shown (primary, or the backup once promote_backup = Y) in the five target titles (or their direct forms), on an opened page, in New York: 10. Any other named person: 5. Nobody: 0.</t>
  </si>
  <si>
    <t xml:space="preserve">0 or 15</t>
  </si>
  <si>
    <t xml:space="preserve">known_to_founder = Y (the channel also becomes warm-intro).</t>
  </si>
  <si>
    <t xml:space="preserve">ties</t>
  </si>
  <si>
    <t xml:space="preserve">Contacts named on the employer's own page or in dated press before names only The Org lists, then the share of the range inside 40 to 250, source confidence, name.</t>
  </si>
  <si>
    <t xml:space="preserve">Tuesday estimate</t>
  </si>
  <si>
    <t xml:space="preserve">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t>
  </si>
  <si>
    <t xml:space="preserve">space check</t>
  </si>
  <si>
    <t xml:space="preserve">The estimate never exceeds what the row's own leased square footage seats: high at most sf / 125, central at most sf / 150. Where the headcount math exceeds the space, the range comes from the space (sf / 250 to sf / 125). For a company headquartered outside New York with one square-footage figure, the space replaces the 5% to 100% guess, within the headcount math. onsite_basis says which rule applied. An estimate until intake replaces it.</t>
  </si>
  <si>
    <t xml:space="preserve">Brands</t>
  </si>
  <si>
    <t xml:space="preserve">A row fails if any one holds; a failed row scores 0.</t>
  </si>
  <si>
    <t xml:space="preserve">Excluded category: alcohol, cannabis or hemp, supplements, anything needing preparation.</t>
  </si>
  <si>
    <t xml:space="preserve">An explicit health claim anywhere on the brand's own site: homepage, product pages and descriptions (Shopify catalog), About, FAQ and similar pages. Structure or function wording ('supports a calm mood', 'helps support gut health', 'fights cavities', 'immunity boosting'), disease wording, or the FDA supplement disclaimer. Nutrient-content wording ('10g protein') passes with founder review.</t>
  </si>
  <si>
    <t xml:space="preserve">Not shelf-stable: refrigerated, frozen, under 60 days, or shelf_stable = N.</t>
  </si>
  <si>
    <t xml:space="preserve">No buy path: no graded store (store_selector or brand_claim) within ten blocks of the cluster and no online store.</t>
  </si>
  <si>
    <t xml:space="preserve">How likely this brand fits a founding campaign now: buyable near the offices, New York first, with a reason to sample now and a reachable owner.</t>
  </si>
  <si>
    <t xml:space="preserve">Store page inside the cluster 25; store page within ten blocks 20; brand locator inside 17; brand locator within ten 13; online store only 6; none 0.</t>
  </si>
  <si>
    <t xml:space="preserve">HQ New York City 20; rest of New York State 13; Northeast 8; elsewhere 3; unknown 4; minus 3 when a New York HQ is unverified.</t>
  </si>
  <si>
    <t xml:space="preserve">Press in the last 180 days 15, 181 to 365 days 8; own new listing in 180 days 8, 181 to 365 days 4; none, undated or unlinked 0.</t>
  </si>
  <si>
    <t xml:space="preserve">$500k to $10M 10; unknown 5; under $500k 2; over $10M 0.</t>
  </si>
  <si>
    <t xml:space="preserve">Founder named on an opened page 6 (first name only or snippet 3); marketing lead on an opened page 4 (snippet 2).</t>
  </si>
  <si>
    <t xml:space="preserve">0 or 10</t>
  </si>
  <si>
    <t xml:space="preserve">The most severe founder-review type: revenue over $10M sourced -35; owned by a large company -25; scale signals -12; dormant -12; heritage -10; perishable risk -8; under $500k -5; alcohol-adjacent -5; functional-ingredient wording -4; nutrient wording -4; pack format -4; other -2.</t>
  </si>
  <si>
    <t xml:space="preserve">founder review</t>
  </si>
  <si>
    <t xml:space="preserve">review_blocking = Y for owner, scale, heritage (not emerging), dormant, perishable risk, alcohol-adjacent, pack format (no single-serve SKU seen) and functional-ingredient or implied-effect wording: the row waits on the Founder review tab until you set founder_review_cleared = Y (or status = no). Nutrient wording, under $500k, other notes, a single-serve pack not yet shown, an unstated shelf life and a store-only buy path are notes for copy and intake, not blocks.</t>
  </si>
  <si>
    <t xml:space="preserve">Contacts named on the brand's own page or in dated press before The Org-only names, then store grade, why-now points, name.</t>
  </si>
  <si>
    <t xml:space="preserve">Both</t>
  </si>
  <si>
    <t xml:space="preserve">DAILY VIEW</t>
  </si>
  <si>
    <t xml:space="preserve">The ten best-scored rows with status = new, do_not_contact = N, no opt-out, ready_for_outreach = Y, one row per company_group, skipping any group with a row in flight (queued to materials_sent) or any do-not-contact signal (the flag, the status or an opt-out date).</t>
  </si>
  <si>
    <t xml:space="preserve">Y/N</t>
  </si>
  <si>
    <t xml:space="preserve">Passed the gates, not on hold, a contact named on an opened page, and (offices) a Tuesday band of 40 to 250 or founder_ok_to_queue = Y; (brands) no founder review pending.</t>
  </si>
  <si>
    <t xml:space="preserve">company_name</t>
  </si>
  <si>
    <t xml:space="preserve">Desk Drop</t>
  </si>
  <si>
    <t xml:space="preserve">The working name lives in this one cell.</t>
  </si>
  <si>
    <t xml:space="preserve">TAGLINE</t>
  </si>
  <si>
    <t xml:space="preserve">Emerging brands. Delivered to your workday.</t>
  </si>
  <si>
    <t xml:space="preserve">minute</t>
  </si>
  <si>
    <t xml:space="preserve">step</t>
  </si>
  <si>
    <t xml:space="preserve">where</t>
  </si>
  <si>
    <t xml:space="preserve">what to do</t>
  </si>
  <si>
    <t xml:space="preserve">0:00-3:00</t>
  </si>
  <si>
    <t xml:space="preserve">1. Log yesterday</t>
  </si>
  <si>
    <t xml:space="preserve">Offices and Brands tabs</t>
  </si>
  <si>
    <t xml:space="preserve">For every reply, bounce and opt-out since yesterday set status (the cell takes CONTRACTS words only) and E's columns. Any opt-out in any words: status = do_not_contact, do_not_contact = Y, opt_out_date = today, all three (the cells turn red if they disagree). Never reverse it. A wrong_person reply: promote_backup = Y and status = new; the backup becomes the contact in every view.</t>
  </si>
  <si>
    <t xml:space="preserve">3:00-4:00</t>
  </si>
  <si>
    <t xml:space="preserve">2. Open both daily views</t>
  </si>
  <si>
    <t xml:space="preserve">Daily view - Offices, Daily view - Brands</t>
  </si>
  <si>
    <t xml:space="preserve">They have already updated. Take the top five of each (ten a day, the plan's pace). Rows 6 to 10 are spares.</t>
  </si>
  <si>
    <t xml:space="preserve">4:00-11:00</t>
  </si>
  <si>
    <t xml:space="preserve">3. Forty seconds a row, ten rows</t>
  </si>
  <si>
    <t xml:space="preserve">check_before_send column</t>
  </si>
  <si>
    <t xml:space="preserve">Read score_reason and check_before_send. Open the LinkedIn URL (pasted on Friday) and confirm the person still holds the title. If a row still says 'find ... on LinkedIn', do it or skip the row to a spare. A brand's store line: use it only if retailer_checked_date is this week. If the person has left, set status = wrong_person and promote_backup = Y (it comes back tomorrow with the backup).</t>
  </si>
  <si>
    <t xml:space="preserve">11:00-12:00</t>
  </si>
  <si>
    <t xml:space="preserve">4. Export</t>
  </si>
  <si>
    <t xml:space="preserve">File &gt; Download &gt; CSV (each daily view tab)</t>
  </si>
  <si>
    <t xml:space="preserve">Google names the files '&lt;workbook&gt; - Daily view - Offices.csv' and '... - Brands.csv'. Rename them daily-view-offices.csv and daily-view-brands.csv and save them in clay-icp-tables/live/ for E's draft maker (from desk-drop-outreach/messages: python3 _render/fill.py drafts --daily ../../clay-icp-tables/live/daily-view-offices.csv ...). Export before step 5: a queued row leaves the live view at once.</t>
  </si>
  <si>
    <t xml:space="preserve">12:00-13:00</t>
  </si>
  <si>
    <t xml:space="preserve">5. Queue</t>
  </si>
  <si>
    <t xml:space="preserve">status column</t>
  </si>
  <si>
    <t xml:space="preserve">Set status = queued on the rows you will send today (about five per side). They leave the daily view and their company_group is blocked, so no second person from the same company is in flight. Rows you skipped stay new for tomorrow.</t>
  </si>
  <si>
    <t xml:space="preserve">FRIDAY PREP</t>
  </si>
  <si>
    <t xml:space="preserve">Friday, 60 to 90 min</t>
  </si>
  <si>
    <t xml:space="preserve">1. LinkedIn batch</t>
  </si>
  <si>
    <t xml:space="preserve">Offices and Brands tabs, filter eligible = Y</t>
  </si>
  <si>
    <t xml:space="preserve">Work down the next 25 eligible rows per side (the tabs are already in score order). Where primary_linkedin_url is blank, find the person on LinkedIn and paste the profile URL; where it is filled from another page, open it and confirm the name and title. About 60 to 90 seconds a row, so most of the Friday hour; it shrinks once Clay or Hunter return verified emails. This is the research that used to happen at send time.</t>
  </si>
  <si>
    <t xml:space="preserve">2. Store check</t>
  </si>
  <si>
    <t xml:space="preserve">Brands tab, retailer_check_url</t>
  </si>
  <si>
    <t xml:space="preserve">For the next 25 eligible brands with a store_selector line, click retailer_check_url (the store's own catalog answer, no store picker). If the product is still listed, type today's date in retailer_checked_date; if not, leave it blank and do not use the store line.</t>
  </si>
  <si>
    <t xml:space="preserve">3. Founder review batch</t>
  </si>
  <si>
    <t xml:space="preserve">Founder review - Brands</t>
  </si>
  <si>
    <t xml:space="preserve">Read each founder_review_reason. Clear the row with founder_review_cleared = Y, or set status = no. Only cleared rows (or rows with no blocking review) reach the daily view. The first Friday holds the whole backlog (107 brands); clear the top 30 first, the tab lists them best score first.</t>
  </si>
  <si>
    <t xml:space="preserve">4. Walks and holds</t>
  </si>
  <si>
    <t xml:space="preserve">Walk list - Offices; Offices tab</t>
  </si>
  <si>
    <t xml:space="preserve">Plan the week's lobby walk from the Walk list tab (offices with nobody named). Copy B's walk notes into hold_before_outreach (N once the lobby directory shows the company).</t>
  </si>
  <si>
    <t xml:space="preserve">5. Known, referrals, emails</t>
  </si>
  <si>
    <t xml:space="preserve">Offices and Brands tabs; Enrichment tab</t>
  </si>
  <si>
    <t xml:space="preserve">Mark known_to_founder for anyone you know (the channel becomes warm-intro). Add a row at the bottom for each referral: a new row_id (AO-R-### or AB-R-###), company, primary_first_name, primary_last_name, primary_title, do_not_contact = N, status = new, referral_from = the referrer's row_id, and company_group = the referrer's company_group when it is the same company (the formulas are already in every row to 1000). A referral is warm: write to it yourself with E's referral message (desk-drop-outreach/messages/08-warm-intro-referral-walk-in.md, part 2) and set status = queued when you do. It does not wait in the cold daily view, which only takes rows that passed the researched gates; a queued colleague blocks the rest of that company at once. Paste the week's Clay or Hunter email results on the Enrichment tab. Never paste anything over the Offices or Brands tabs.</t>
  </si>
  <si>
    <t xml:space="preserve">6. Save the live tables</t>
  </si>
  <si>
    <t xml:space="preserve">File &gt; Download &gt; CSV</t>
  </si>
  <si>
    <t xml:space="preserve">Download the Offices, Brands and Enrichment tabs into clay-icp-tables/live/ as offices-live.csv, brands-live.csv and enrichment-live.csv, so a rebuild carries everything over (clay-build-sheet.md, section 4).</t>
  </si>
  <si>
    <t xml:space="preserve">COLOR KEY</t>
  </si>
  <si>
    <t xml:space="preserve">yellow header</t>
  </si>
  <si>
    <t xml:space="preserve">you edit</t>
  </si>
  <si>
    <t xml:space="preserve">known_to_founder, hold_before_outreach, founder_ok_to_queue, promote_backup, primary_linkedin_url, backup_linkedin_url, founder_review_cleared, retailer_checked_date</t>
  </si>
  <si>
    <t xml:space="preserve">blue header</t>
  </si>
  <si>
    <t xml:space="preserve">outreach edits</t>
  </si>
  <si>
    <t xml:space="preserve">status, do_not_contact, opt_out_date and E's tracking columns, written the same day</t>
  </si>
  <si>
    <t xml:space="preserve">grey header</t>
  </si>
  <si>
    <t xml:space="preserve">never type here: the contact shown, emails (from the Enrichment tab), channel, score, score_reason, readiness and the view helpers</t>
  </si>
  <si>
    <t xml:space="preserve">white header</t>
  </si>
  <si>
    <t xml:space="preserve">researched facts (including primary_* and backup_* people); change them by fixing the source in _build/ and rebuilding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</si>
</sst>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name val="Arial"/>
      <family val="2"/>
    </font>
  </fonts>
  <fills count="6">
    <fill>
      <patternFill patternType="none"/>
    </fill>
    <fill>
      <patternFill patternType="gray125"/>
    </fill>
    <fill>
      <patternFill patternType="solid">
        <fgColor rgb="FFFFFFFF"/>
        <bgColor rgb="FFFFF2CC"/>
      </patternFill>
    </fill>
    <fill>
      <patternFill patternType="solid">
        <fgColor rgb="FFD9D9D9"/>
        <bgColor rgb="FFDDEBF7"/>
      </patternFill>
    </fill>
    <fill>
      <patternFill patternType="solid">
        <fgColor rgb="FFFFF2CC"/>
        <bgColor rgb="FFFFFFFF"/>
      </patternFill>
    </fill>
    <fill>
      <patternFill patternType="solid">
        <fgColor rgb="FFDDEB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F2CC"/>
          <bgColor rgb="FF000000"/>
        </patternFill>
      </fill>
    </dxf>
    <dxf>
      <fill>
        <patternFill patternType="solid">
          <fgColor rgb="FFDDEBF7"/>
          <bgColor rgb="FF000000"/>
        </patternFill>
      </fill>
    </dxf>
    <dxf>
      <fill>
        <patternFill patternType="solid">
          <fgColor rgb="FFF4CCCC"/>
          <bgColor rgb="FF000000"/>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D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43" min="29" style="0" width="14"/>
    <col collapsed="false" customWidth="true" hidden="false" outlineLevel="0" max="44" min="44" style="0" width="40"/>
    <col collapsed="false" customWidth="true" hidden="false" outlineLevel="0" max="46" min="45" style="0" width="14"/>
    <col collapsed="false" customWidth="true" hidden="false" outlineLevel="0" max="47" min="47" style="0" width="40"/>
    <col collapsed="false" customWidth="true" hidden="false" outlineLevel="0" max="82" min="48" style="0" width="14"/>
    <col collapsed="false" customWidth="true" hidden="false" outlineLevel="0" max="83" min="83" style="0" width="40"/>
    <col collapsed="false" customWidth="true" hidden="false" outlineLevel="0" max="92" min="84" style="0" width="14"/>
    <col collapsed="false" customWidth="true" hidden="false" outlineLevel="0" max="93" min="93" style="0" width="40"/>
    <col collapsed="false" customWidth="true" hidden="false" outlineLevel="0" max="138" min="94" style="0" width="14"/>
    <col collapsed="false" customWidth="true" hidden="false" outlineLevel="0" max="139" min="139" style="0" width="40"/>
    <col collapsed="false" customWidth="true" hidden="false" outlineLevel="0" max="153" min="140" style="0" width="14"/>
    <col collapsed="false" customWidth="true" hidden="false" outlineLevel="0" max="154" min="154" style="0" width="40"/>
    <col collapsed="false" customWidth="true" hidden="false" outlineLevel="0" max="186" min="155" style="0" width="14"/>
  </cols>
  <sheetData>
    <row r="1" customFormat="false" ht="15" hidden="false" customHeight="false" outlineLevel="0" collapsed="false">
      <c r="A1" s="1" t="s">
        <v>0</v>
      </c>
      <c r="B1" s="1" t="s">
        <v>1</v>
      </c>
      <c r="C1" s="2" t="s">
        <v>2</v>
      </c>
      <c r="D1" s="2" t="s">
        <v>3</v>
      </c>
      <c r="E1" s="2" t="s">
        <v>4</v>
      </c>
      <c r="F1" s="2" t="s">
        <v>5</v>
      </c>
      <c r="G1" s="2" t="s">
        <v>6</v>
      </c>
      <c r="H1" s="2" t="s">
        <v>7</v>
      </c>
      <c r="I1" s="2" t="s">
        <v>8</v>
      </c>
      <c r="J1" s="2" t="s">
        <v>9</v>
      </c>
      <c r="K1" s="2" t="s">
        <v>10</v>
      </c>
      <c r="L1" s="1" t="s">
        <v>11</v>
      </c>
      <c r="M1" s="1" t="s">
        <v>12</v>
      </c>
      <c r="N1" s="1" t="s">
        <v>13</v>
      </c>
      <c r="O1" s="1" t="s">
        <v>14</v>
      </c>
      <c r="P1" s="1" t="s">
        <v>15</v>
      </c>
      <c r="Q1" s="1" t="s">
        <v>16</v>
      </c>
      <c r="R1" s="3" t="s">
        <v>17</v>
      </c>
      <c r="S1" s="1" t="s">
        <v>18</v>
      </c>
      <c r="T1" s="4" t="s">
        <v>19</v>
      </c>
      <c r="U1" s="4" t="s">
        <v>20</v>
      </c>
      <c r="V1" s="1" t="s">
        <v>21</v>
      </c>
      <c r="W1" s="1" t="s">
        <v>22</v>
      </c>
      <c r="X1" s="1" t="s">
        <v>23</v>
      </c>
      <c r="Y1" s="2" t="s">
        <v>24</v>
      </c>
      <c r="Z1" s="1" t="s">
        <v>25</v>
      </c>
      <c r="AA1" s="1" t="s">
        <v>26</v>
      </c>
      <c r="AB1" s="2" t="s">
        <v>27</v>
      </c>
      <c r="AC1" s="2" t="s">
        <v>28</v>
      </c>
      <c r="AD1" s="2" t="s">
        <v>29</v>
      </c>
      <c r="AE1" s="2" t="s">
        <v>30</v>
      </c>
      <c r="AF1" s="2" t="s">
        <v>31</v>
      </c>
      <c r="AG1" s="2" t="s">
        <v>32</v>
      </c>
      <c r="AH1" s="2" t="s">
        <v>33</v>
      </c>
      <c r="AI1" s="1" t="s">
        <v>34</v>
      </c>
      <c r="AJ1" s="1" t="s">
        <v>35</v>
      </c>
      <c r="AK1" s="1" t="s">
        <v>36</v>
      </c>
      <c r="AL1" s="1" t="s">
        <v>37</v>
      </c>
      <c r="AM1" s="1" t="s">
        <v>38</v>
      </c>
      <c r="AN1" s="1" t="s">
        <v>39</v>
      </c>
      <c r="AO1" s="1" t="s">
        <v>40</v>
      </c>
      <c r="AP1" s="1" t="s">
        <v>41</v>
      </c>
      <c r="AQ1" s="3" t="s">
        <v>42</v>
      </c>
      <c r="AR1" s="1" t="s">
        <v>43</v>
      </c>
      <c r="AS1" s="4" t="s">
        <v>44</v>
      </c>
      <c r="AT1" s="2" t="s">
        <v>45</v>
      </c>
      <c r="AU1" s="2" t="s">
        <v>46</v>
      </c>
      <c r="AV1" s="3" t="s">
        <v>47</v>
      </c>
      <c r="AW1" s="3" t="s">
        <v>48</v>
      </c>
      <c r="AX1" s="1" t="s">
        <v>49</v>
      </c>
      <c r="AY1" s="1" t="s">
        <v>7</v>
      </c>
      <c r="AZ1" s="1" t="s">
        <v>8</v>
      </c>
      <c r="BA1" s="1" t="s">
        <v>9</v>
      </c>
      <c r="BB1" s="3" t="s">
        <v>10</v>
      </c>
      <c r="BC1" s="2" t="s">
        <v>50</v>
      </c>
      <c r="BD1" s="2" t="s">
        <v>51</v>
      </c>
      <c r="BE1" s="1" t="s">
        <v>11</v>
      </c>
      <c r="BF1" s="1" t="s">
        <v>12</v>
      </c>
      <c r="BG1" s="1" t="s">
        <v>13</v>
      </c>
      <c r="BH1" s="1" t="s">
        <v>14</v>
      </c>
      <c r="BI1" s="1" t="s">
        <v>15</v>
      </c>
      <c r="BJ1" s="1" t="s">
        <v>52</v>
      </c>
      <c r="BK1" s="1" t="s">
        <v>53</v>
      </c>
      <c r="BL1" s="1" t="s">
        <v>54</v>
      </c>
      <c r="BM1" s="1" t="s">
        <v>16</v>
      </c>
      <c r="BN1" s="1" t="s">
        <v>17</v>
      </c>
      <c r="BO1" s="1" t="s">
        <v>18</v>
      </c>
      <c r="BP1" s="3" t="s">
        <v>19</v>
      </c>
      <c r="BQ1" s="2" t="s">
        <v>55</v>
      </c>
      <c r="BR1" s="2" t="s">
        <v>56</v>
      </c>
      <c r="BS1" s="1" t="s">
        <v>20</v>
      </c>
      <c r="BT1" s="1" t="s">
        <v>21</v>
      </c>
      <c r="BU1" s="1" t="s">
        <v>22</v>
      </c>
      <c r="BV1" s="1" t="s">
        <v>23</v>
      </c>
      <c r="BW1" s="1" t="s">
        <v>24</v>
      </c>
      <c r="BX1" s="1" t="s">
        <v>57</v>
      </c>
      <c r="BY1" s="1" t="s">
        <v>58</v>
      </c>
      <c r="BZ1" s="1" t="s">
        <v>59</v>
      </c>
      <c r="CA1" s="1" t="s">
        <v>60</v>
      </c>
      <c r="CB1" s="1" t="s">
        <v>61</v>
      </c>
      <c r="CC1" s="1" t="s">
        <v>62</v>
      </c>
      <c r="CD1" s="1" t="s">
        <v>63</v>
      </c>
      <c r="CE1" s="1" t="s">
        <v>64</v>
      </c>
      <c r="CF1" s="1" t="s">
        <v>65</v>
      </c>
      <c r="CG1" s="1" t="s">
        <v>66</v>
      </c>
      <c r="CH1" s="1" t="s">
        <v>25</v>
      </c>
      <c r="CI1" s="1" t="s">
        <v>26</v>
      </c>
      <c r="CJ1" s="1" t="s">
        <v>27</v>
      </c>
      <c r="CK1" s="1" t="s">
        <v>28</v>
      </c>
      <c r="CL1" s="1" t="s">
        <v>29</v>
      </c>
      <c r="CM1" s="1" t="s">
        <v>37</v>
      </c>
      <c r="CN1" s="1" t="s">
        <v>67</v>
      </c>
      <c r="CO1" s="1" t="s">
        <v>68</v>
      </c>
      <c r="CP1" s="1" t="s">
        <v>69</v>
      </c>
      <c r="CQ1" s="1" t="s">
        <v>70</v>
      </c>
      <c r="CR1" s="1" t="s">
        <v>2</v>
      </c>
      <c r="CS1" s="1" t="s">
        <v>32</v>
      </c>
      <c r="CT1" s="1" t="s">
        <v>33</v>
      </c>
      <c r="CU1" s="1" t="s">
        <v>71</v>
      </c>
      <c r="CV1" s="1" t="s">
        <v>72</v>
      </c>
      <c r="CW1" s="1" t="s">
        <v>73</v>
      </c>
      <c r="CX1" s="1" t="s">
        <v>74</v>
      </c>
      <c r="CY1" s="1" t="s">
        <v>75</v>
      </c>
      <c r="CZ1" s="1" t="s">
        <v>76</v>
      </c>
      <c r="DA1" s="1" t="s">
        <v>77</v>
      </c>
      <c r="DB1" s="1" t="s">
        <v>78</v>
      </c>
      <c r="DC1" s="1" t="s">
        <v>79</v>
      </c>
      <c r="DD1" s="1" t="s">
        <v>80</v>
      </c>
      <c r="DE1" s="1" t="s">
        <v>34</v>
      </c>
      <c r="DF1" s="1" t="s">
        <v>81</v>
      </c>
      <c r="DG1" s="1" t="s">
        <v>82</v>
      </c>
      <c r="DH1" s="1" t="s">
        <v>83</v>
      </c>
      <c r="DI1" s="1" t="s">
        <v>84</v>
      </c>
      <c r="DJ1" s="1" t="s">
        <v>85</v>
      </c>
      <c r="DK1" s="1" t="s">
        <v>86</v>
      </c>
      <c r="DL1" s="1" t="s">
        <v>87</v>
      </c>
      <c r="DM1" s="1" t="s">
        <v>88</v>
      </c>
      <c r="DN1" s="1" t="s">
        <v>89</v>
      </c>
      <c r="DO1" s="1" t="s">
        <v>90</v>
      </c>
      <c r="DP1" s="1" t="s">
        <v>91</v>
      </c>
      <c r="DQ1" s="1" t="s">
        <v>92</v>
      </c>
      <c r="DR1" s="1" t="s">
        <v>93</v>
      </c>
      <c r="DS1" s="1" t="s">
        <v>94</v>
      </c>
      <c r="DT1" s="1" t="s">
        <v>95</v>
      </c>
      <c r="DU1" s="1" t="s">
        <v>96</v>
      </c>
      <c r="DV1" s="1" t="s">
        <v>97</v>
      </c>
      <c r="DW1" s="1" t="s">
        <v>98</v>
      </c>
      <c r="DX1" s="1" t="s">
        <v>99</v>
      </c>
      <c r="DY1" s="1" t="s">
        <v>100</v>
      </c>
      <c r="DZ1" s="1" t="s">
        <v>101</v>
      </c>
      <c r="EA1" s="1" t="s">
        <v>102</v>
      </c>
      <c r="EB1" s="1" t="s">
        <v>103</v>
      </c>
      <c r="EC1" s="1" t="s">
        <v>104</v>
      </c>
      <c r="ED1" s="1" t="s">
        <v>105</v>
      </c>
      <c r="EE1" s="1" t="s">
        <v>106</v>
      </c>
      <c r="EF1" s="1" t="s">
        <v>107</v>
      </c>
      <c r="EG1" s="1" t="s">
        <v>108</v>
      </c>
      <c r="EH1" s="1" t="s">
        <v>109</v>
      </c>
      <c r="EI1" s="1" t="s">
        <v>110</v>
      </c>
      <c r="EJ1" s="1" t="s">
        <v>111</v>
      </c>
      <c r="EK1" s="1" t="s">
        <v>112</v>
      </c>
      <c r="EL1" s="1" t="s">
        <v>113</v>
      </c>
      <c r="EM1" s="1" t="s">
        <v>114</v>
      </c>
      <c r="EN1" s="1" t="s">
        <v>115</v>
      </c>
      <c r="EO1" s="1" t="s">
        <v>116</v>
      </c>
      <c r="EP1" s="1" t="s">
        <v>117</v>
      </c>
      <c r="EQ1" s="2" t="s">
        <v>118</v>
      </c>
      <c r="ER1" s="2" t="s">
        <v>119</v>
      </c>
      <c r="ES1" s="1" t="s">
        <v>120</v>
      </c>
      <c r="ET1" s="1" t="s">
        <v>121</v>
      </c>
      <c r="EU1" s="1" t="s">
        <v>122</v>
      </c>
      <c r="EV1" s="1" t="s">
        <v>123</v>
      </c>
      <c r="EW1" s="1" t="s">
        <v>124</v>
      </c>
      <c r="EX1" s="1" t="s">
        <v>125</v>
      </c>
      <c r="EY1" s="1" t="s">
        <v>126</v>
      </c>
      <c r="EZ1" s="1" t="s">
        <v>127</v>
      </c>
      <c r="FA1" s="1" t="s">
        <v>128</v>
      </c>
      <c r="FB1" s="4" t="s">
        <v>129</v>
      </c>
      <c r="FC1" s="4" t="s">
        <v>130</v>
      </c>
      <c r="FD1" s="4" t="s">
        <v>131</v>
      </c>
      <c r="FE1" s="4" t="s">
        <v>132</v>
      </c>
      <c r="FF1" s="4" t="s">
        <v>133</v>
      </c>
      <c r="FG1" s="4" t="s">
        <v>134</v>
      </c>
      <c r="FH1" s="4" t="s">
        <v>135</v>
      </c>
      <c r="FI1" s="4" t="s">
        <v>136</v>
      </c>
      <c r="FJ1" s="4" t="s">
        <v>137</v>
      </c>
      <c r="FK1" s="4" t="s">
        <v>138</v>
      </c>
      <c r="FL1" s="4" t="s">
        <v>139</v>
      </c>
      <c r="FM1" s="4" t="s">
        <v>140</v>
      </c>
      <c r="FN1" s="4" t="s">
        <v>141</v>
      </c>
      <c r="FO1" s="4" t="s">
        <v>142</v>
      </c>
      <c r="FP1" s="4" t="s">
        <v>143</v>
      </c>
      <c r="FQ1" s="4" t="s">
        <v>144</v>
      </c>
      <c r="FR1" s="4" t="s">
        <v>145</v>
      </c>
      <c r="FS1" s="2" t="s">
        <v>146</v>
      </c>
      <c r="FT1" s="2" t="s">
        <v>147</v>
      </c>
      <c r="FU1" s="2" t="s">
        <v>148</v>
      </c>
      <c r="FV1" s="2" t="s">
        <v>149</v>
      </c>
      <c r="FW1" s="2" t="s">
        <v>150</v>
      </c>
      <c r="FX1" s="2" t="s">
        <v>151</v>
      </c>
      <c r="FY1" s="2" t="s">
        <v>152</v>
      </c>
      <c r="FZ1" s="2" t="s">
        <v>153</v>
      </c>
      <c r="GA1" s="2" t="s">
        <v>154</v>
      </c>
      <c r="GB1" s="2" t="s">
        <v>155</v>
      </c>
      <c r="GC1" s="2" t="s">
        <v>156</v>
      </c>
      <c r="GD1" s="2" t="s">
        <v>157</v>
      </c>
    </row>
    <row r="2" customFormat="false" ht="15" hidden="false" customHeight="false" outlineLevel="0" collapsed="false">
      <c r="A2" s="0" t="s">
        <v>158</v>
      </c>
      <c r="B2" s="0" t="s">
        <v>159</v>
      </c>
      <c r="C2" s="0" t="s">
        <v>160</v>
      </c>
      <c r="D2" s="0" t="s">
        <v>161</v>
      </c>
      <c r="E2" s="0" t="s">
        <v>162</v>
      </c>
      <c r="F2" s="0" t="s">
        <v>163</v>
      </c>
      <c r="G2" s="0" t="s">
        <v>164</v>
      </c>
      <c r="H2" s="0" t="s">
        <v>165</v>
      </c>
      <c r="I2" s="0" t="s">
        <v>166</v>
      </c>
      <c r="J2" s="0" t="s">
        <v>167</v>
      </c>
      <c r="L2" s="0" t="s">
        <v>168</v>
      </c>
      <c r="M2" s="0" t="s">
        <v>169</v>
      </c>
      <c r="N2" s="0" t="s">
        <v>170</v>
      </c>
      <c r="O2" s="0" t="s">
        <v>171</v>
      </c>
      <c r="P2" s="0" t="s">
        <v>172</v>
      </c>
      <c r="Q2" s="0" t="s">
        <v>173</v>
      </c>
      <c r="R2" s="5" t="s">
        <v>174</v>
      </c>
      <c r="S2" s="0" t="s">
        <v>175</v>
      </c>
      <c r="U2" s="5" t="s">
        <v>176</v>
      </c>
      <c r="V2" s="0" t="s">
        <v>169</v>
      </c>
      <c r="W2" s="0" t="s">
        <v>170</v>
      </c>
      <c r="X2" s="0" t="s">
        <v>171</v>
      </c>
      <c r="Y2" s="0" t="s">
        <v>172</v>
      </c>
      <c r="Z2" s="0" t="s">
        <v>177</v>
      </c>
      <c r="AA2" s="0" t="s">
        <v>178</v>
      </c>
      <c r="AB2" s="0" t="s">
        <v>179</v>
      </c>
      <c r="AC2" s="0" t="s">
        <v>180</v>
      </c>
      <c r="AE2" s="0" t="s">
        <v>181</v>
      </c>
      <c r="AF2" s="0" t="s">
        <v>182</v>
      </c>
      <c r="AG2" s="0" t="s">
        <v>183</v>
      </c>
      <c r="AH2" s="0" t="s">
        <v>184</v>
      </c>
      <c r="AI2" s="0" t="s">
        <v>185</v>
      </c>
      <c r="AJ2" s="0" t="s">
        <v>164</v>
      </c>
      <c r="AK2" s="0" t="s">
        <v>186</v>
      </c>
      <c r="AL2" s="0" t="s">
        <v>164</v>
      </c>
      <c r="AM2" s="0" t="n">
        <v>136</v>
      </c>
      <c r="AN2" s="0" t="s">
        <v>187</v>
      </c>
      <c r="AO2" s="0" t="s">
        <v>188</v>
      </c>
      <c r="AP2" s="0" t="s">
        <v>158</v>
      </c>
      <c r="AQ2" s="5" t="s">
        <v>189</v>
      </c>
      <c r="AT2" s="0" t="str">
        <f aca="false">IF($A2="","",IF(AND(CN2="pass",AQ2&lt;&gt;"Y",C2&lt;&gt;"",OR(AX2&lt;&gt;"Y",AV2="Y")),"Y","N"))</f>
        <v>Y</v>
      </c>
      <c r="AU2" s="0" t="str">
        <f aca="false">IF($A2="","",_xlfn.TEXTJOIN("; ",TRUE(),IF(CN2&lt;&gt;"pass","gated out",""),IF(AQ2="Y","on hold: "&amp;AR2,""),IF(C2="","no contact named on an opened page",""),IF(AND(AX2="Y",AV2&lt;&gt;"Y"),"Tuesday estimate band "&amp;L2&amp;": founder's call","")))</f>
        <v/>
      </c>
      <c r="AX2" s="0" t="s">
        <v>189</v>
      </c>
      <c r="AY2" s="0" t="s">
        <v>165</v>
      </c>
      <c r="AZ2" s="0" t="s">
        <v>166</v>
      </c>
      <c r="BA2" s="0" t="s">
        <v>167</v>
      </c>
      <c r="BC2" s="0" t="str">
        <f aca="false">IF($A2="","",IFERROR(INDEX(Enrichment!$A$2:$GZ$2000,MATCH($A2,INDEX(Enrichment!$A$2:$GZ$2000,0,MATCH("row_id",Enrichment!$A$1:$GZ$1,0)),0),MATCH("work_email",Enrichment!$A$1:$GZ$1,0))&amp;"",""))</f>
        <v/>
      </c>
      <c r="BD2" s="0" t="str">
        <f aca="false">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none</v>
      </c>
      <c r="BE2" s="0" t="s">
        <v>168</v>
      </c>
      <c r="BF2" s="0" t="s">
        <v>169</v>
      </c>
      <c r="BG2" s="0" t="s">
        <v>170</v>
      </c>
      <c r="BH2" s="0" t="s">
        <v>171</v>
      </c>
      <c r="BI2" s="0" t="s">
        <v>172</v>
      </c>
      <c r="BJ2" s="0" t="s">
        <v>190</v>
      </c>
      <c r="BK2" s="0" t="s">
        <v>191</v>
      </c>
      <c r="BL2" s="0" t="s">
        <v>192</v>
      </c>
      <c r="BM2" s="0" t="s">
        <v>173</v>
      </c>
      <c r="BN2" s="0" t="s">
        <v>174</v>
      </c>
      <c r="BO2" s="0" t="s">
        <v>175</v>
      </c>
      <c r="BQ2" s="0" t="str">
        <f aca="false">IF($A2="","",IFERROR(INDEX(Enrichment!$A$2:$GZ$2000,MATCH($A2,INDEX(Enrichment!$A$2:$GZ$2000,0,MATCH("row_id",Enrichment!$A$1:$GZ$1,0)),0),MATCH("backup_work_email",Enrichment!$A$1:$GZ$1,0))&amp;"",""))</f>
        <v/>
      </c>
      <c r="BR2" s="0" t="str">
        <f aca="false">IF($A2="","",IF(BQ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none</v>
      </c>
      <c r="BS2" s="0" t="s">
        <v>176</v>
      </c>
      <c r="BT2" s="0" t="s">
        <v>169</v>
      </c>
      <c r="BU2" s="0" t="s">
        <v>170</v>
      </c>
      <c r="BV2" s="0" t="s">
        <v>171</v>
      </c>
      <c r="BW2" s="0" t="s">
        <v>172</v>
      </c>
      <c r="BX2" s="0" t="s">
        <v>190</v>
      </c>
      <c r="BY2" s="0" t="s">
        <v>193</v>
      </c>
      <c r="BZ2" s="0" t="s">
        <v>194</v>
      </c>
      <c r="CA2" s="0" t="s">
        <v>195</v>
      </c>
      <c r="CB2" s="0" t="s">
        <v>196</v>
      </c>
      <c r="CC2" s="0" t="s">
        <v>197</v>
      </c>
      <c r="CD2" s="0" t="s">
        <v>198</v>
      </c>
      <c r="CE2" s="0" t="s">
        <v>199</v>
      </c>
      <c r="CF2" s="0" t="s">
        <v>180</v>
      </c>
      <c r="CH2" s="0" t="s">
        <v>177</v>
      </c>
      <c r="CI2" s="0" t="s">
        <v>178</v>
      </c>
      <c r="CJ2" s="0" t="s">
        <v>179</v>
      </c>
      <c r="CK2" s="0" t="s">
        <v>180</v>
      </c>
      <c r="CM2" s="0" t="s">
        <v>164</v>
      </c>
      <c r="CN2" s="0" t="s">
        <v>200</v>
      </c>
      <c r="CO2" s="0" t="s">
        <v>201</v>
      </c>
      <c r="CP2" s="0" t="s">
        <v>1</v>
      </c>
      <c r="CQ2" s="0" t="s">
        <v>202</v>
      </c>
      <c r="CR2" s="0" t="s">
        <v>160</v>
      </c>
      <c r="CS2" s="0" t="s">
        <v>183</v>
      </c>
      <c r="CT2" s="0" t="s">
        <v>184</v>
      </c>
      <c r="CV2" s="0" t="s">
        <v>203</v>
      </c>
      <c r="CW2" s="0" t="s">
        <v>204</v>
      </c>
      <c r="CX2" s="0" t="s">
        <v>205</v>
      </c>
      <c r="CY2" s="0" t="s">
        <v>206</v>
      </c>
      <c r="DA2" s="0" t="s">
        <v>207</v>
      </c>
      <c r="DB2" s="0" t="s">
        <v>208</v>
      </c>
      <c r="DC2" s="0" t="s">
        <v>189</v>
      </c>
      <c r="DD2" s="0" t="s">
        <v>209</v>
      </c>
      <c r="DE2" s="0" t="s">
        <v>185</v>
      </c>
      <c r="DF2" s="0" t="s">
        <v>210</v>
      </c>
      <c r="DG2" s="0" t="n">
        <v>40.733674</v>
      </c>
      <c r="DH2" s="0" t="n">
        <v>-73.988766</v>
      </c>
      <c r="DI2" s="0" t="s">
        <v>164</v>
      </c>
      <c r="DJ2" s="0" t="n">
        <v>0</v>
      </c>
      <c r="DK2" s="0" t="s">
        <v>211</v>
      </c>
      <c r="DL2" s="0" t="s">
        <v>212</v>
      </c>
      <c r="DM2" s="0" t="s">
        <v>213</v>
      </c>
      <c r="DN2" s="0" t="s">
        <v>172</v>
      </c>
      <c r="DO2" s="0" t="s">
        <v>214</v>
      </c>
      <c r="DP2" s="0" t="s">
        <v>215</v>
      </c>
      <c r="DQ2" s="0" t="s">
        <v>216</v>
      </c>
      <c r="DS2" s="0" t="s">
        <v>217</v>
      </c>
      <c r="DU2" s="0" t="s">
        <v>189</v>
      </c>
      <c r="DX2" s="0" t="s">
        <v>209</v>
      </c>
      <c r="EA2" s="0" t="s">
        <v>209</v>
      </c>
      <c r="EB2" s="0" t="s">
        <v>189</v>
      </c>
      <c r="EC2" s="0" t="s">
        <v>218</v>
      </c>
      <c r="ED2" s="0" t="s">
        <v>219</v>
      </c>
      <c r="EE2" s="0" t="s">
        <v>172</v>
      </c>
      <c r="EF2" s="0" t="n">
        <v>109</v>
      </c>
      <c r="EH2" s="0" t="s">
        <v>164</v>
      </c>
      <c r="EI2" s="0" t="s">
        <v>220</v>
      </c>
      <c r="EJ2" s="0" t="s">
        <v>221</v>
      </c>
      <c r="EK2" s="0" t="n">
        <v>1</v>
      </c>
      <c r="EL2" s="0" t="n">
        <v>80</v>
      </c>
      <c r="EM2" s="0" t="n">
        <v>25</v>
      </c>
      <c r="EN2" s="0" t="n">
        <v>15</v>
      </c>
      <c r="EO2" s="0" t="n">
        <v>15</v>
      </c>
      <c r="EP2" s="0" t="n">
        <v>15</v>
      </c>
      <c r="EQ2" s="0" t="n">
        <f aca="false">IF($A2="","",IF(AH2="exact",10,IF(AH2="adjacent",5,0)))</f>
        <v>0</v>
      </c>
      <c r="ER2" s="0" t="n">
        <f aca="false">IF($A2="","",IF(R2="Y",15,0))</f>
        <v>0</v>
      </c>
      <c r="ES2" s="0" t="s">
        <v>222</v>
      </c>
      <c r="EV2" s="0" t="s">
        <v>223</v>
      </c>
      <c r="EW2" s="0" t="s">
        <v>224</v>
      </c>
      <c r="EX2" s="0" t="s">
        <v>225</v>
      </c>
      <c r="EZ2" s="0" t="s">
        <v>226</v>
      </c>
      <c r="FS2" s="0" t="str">
        <f aca="false">IF($A2="","",IF(ISNUMBER(MATCH(U2,{"queued","contacted","replied","call_booked","call_done","yes_in_principle","materials_sent"},0)),"Y","N"))</f>
        <v>N</v>
      </c>
      <c r="FT2" s="0" t="str">
        <f aca="false">IF($A2="","",IF(OR(T2="Y",U2="do_not_contact",AS2&amp;""&lt;&gt;""),"Y","N"))</f>
        <v>N</v>
      </c>
      <c r="FU2" s="0" t="str">
        <f aca="false">IF($A2="","",IF(AP2&amp;""&lt;&gt;"",AP2&amp;"",$A2))</f>
        <v>AO-C-009</v>
      </c>
      <c r="FV2" s="0" t="str">
        <f aca="false">IF($A2="","",IF(COUNTIFS($FU$2:$FU$1000,FU2,$FS$2:$FS$1000,"Y")+COUNTIFS($FU$2:$FU$1000,FU2,$FT$2:$FT$1000,"Y")&gt;0,"Y","N"))</f>
        <v>N</v>
      </c>
      <c r="FW2" s="0" t="str">
        <f aca="false">IF($A2="","",IF(AND(U2="new",T2="N",FT2="N",AT2="Y",FV2="N"),"Y","N"))</f>
        <v>N</v>
      </c>
      <c r="FX2" s="0" t="str">
        <f aca="false">IF($A2="","",IF(FW2&lt;&gt;"Y","N",IF(COUNTIFS($FU$2:$FU$1000,FU2,$FW$2:$FW$1000,"Y",$J$2:$J$1000,"&gt;"&amp;J2)+COUNTIFS($FU$2:$FU$1000,FU2,$FW$2:$FW$1000,"Y",$J$2:$J$1000,J2,$GD$2:$GD$1000,"&lt;"&amp;GD2)=0,"Y","N")))</f>
        <v>N</v>
      </c>
      <c r="FY2" s="0" t="str">
        <f aca="false">IF($A2="","",IF(AND(FW2="Y",FX2="Y",Y2&amp;""&lt;&gt;""),IF(Y2&lt;=10,"Y","N"),"N"))</f>
        <v>N</v>
      </c>
      <c r="FZ2" s="0" t="str">
        <f aca="false">IF(FY2="Y",Y2,"")</f>
        <v/>
      </c>
      <c r="GA2" s="0" t="str">
        <f aca="false">IF($A2="","",IF(AND(I2="walk-in",CN2="pass",U2="new",FT2="N",FV2="N",AQ2&lt;&gt;"Y"),"Y","N"))</f>
        <v>N</v>
      </c>
      <c r="GB2" s="0" t="str">
        <f aca="false">IF(GA2&lt;&gt;"Y","",IF(COUNTIFS($GA$2:$GA$1000,"Y",$J$2:$J$1000,"&gt;"&amp;J2)+COUNTIFS($GA$2:$GA$1000,"Y",$J$2:$J$1000,J2,$GD$2:$GD$1000,"&lt;"&amp;GD2)+1&lt;=25,COUNTIFS($GA$2:$GA$1000,"Y",$J$2:$J$1000,"&gt;"&amp;J2)+COUNTIFS($GA$2:$GA$1000,"Y",$J$2:$J$1000,J2,$GD$2:$GD$1000,"&lt;"&amp;GD2)+1,""))</f>
        <v/>
      </c>
      <c r="GC2" s="0" t="str">
        <f aca="false">IF(AND(_xlfn.ISFORMULA(C2),_xlfn.ISFORMULA(J2)),"Y","N")</f>
        <v>N</v>
      </c>
      <c r="GD2" s="0" t="n">
        <f aca="false">ROW()-1</f>
        <v>1</v>
      </c>
    </row>
    <row r="3" customFormat="false" ht="15" hidden="false" customHeight="false" outlineLevel="0" collapsed="false">
      <c r="A3" s="0" t="s">
        <v>227</v>
      </c>
      <c r="B3" s="0" t="s">
        <v>228</v>
      </c>
      <c r="C3" s="0" t="s">
        <v>229</v>
      </c>
      <c r="D3" s="0" t="s">
        <v>230</v>
      </c>
      <c r="E3" s="0" t="s">
        <v>231</v>
      </c>
      <c r="F3" s="0" t="s">
        <v>163</v>
      </c>
      <c r="G3" s="0" t="s">
        <v>164</v>
      </c>
      <c r="H3" s="0" t="s">
        <v>232</v>
      </c>
      <c r="I3" s="0" t="s">
        <v>233</v>
      </c>
      <c r="J3" s="0" t="s">
        <v>234</v>
      </c>
      <c r="L3" s="0" t="s">
        <v>168</v>
      </c>
      <c r="M3" s="0" t="s">
        <v>169</v>
      </c>
      <c r="N3" s="0" t="s">
        <v>170</v>
      </c>
      <c r="O3" s="0" t="s">
        <v>235</v>
      </c>
      <c r="P3" s="0" t="s">
        <v>172</v>
      </c>
      <c r="Q3" s="0" t="s">
        <v>236</v>
      </c>
      <c r="R3" s="5" t="s">
        <v>237</v>
      </c>
      <c r="S3" s="0" t="s">
        <v>238</v>
      </c>
      <c r="T3" s="0" t="s">
        <v>239</v>
      </c>
      <c r="U3" s="5" t="s">
        <v>176</v>
      </c>
      <c r="V3" s="0" t="s">
        <v>169</v>
      </c>
      <c r="W3" s="0" t="s">
        <v>170</v>
      </c>
      <c r="X3" s="0" t="s">
        <v>240</v>
      </c>
      <c r="Y3" s="0" t="s">
        <v>172</v>
      </c>
      <c r="Z3" s="0" t="s">
        <v>241</v>
      </c>
      <c r="AA3" s="0" t="s">
        <v>242</v>
      </c>
      <c r="AB3" s="0" t="s">
        <v>243</v>
      </c>
      <c r="AC3" s="0" t="s">
        <v>180</v>
      </c>
      <c r="AD3" s="0" t="s">
        <v>244</v>
      </c>
      <c r="AE3" s="0" t="s">
        <v>245</v>
      </c>
      <c r="AF3" s="0" t="s">
        <v>246</v>
      </c>
      <c r="AG3" s="0" t="s">
        <v>247</v>
      </c>
      <c r="AH3" s="0" t="s">
        <v>248</v>
      </c>
      <c r="AI3" s="0" t="s">
        <v>249</v>
      </c>
      <c r="AJ3" s="0" t="s">
        <v>164</v>
      </c>
      <c r="AK3" s="0" t="s">
        <v>186</v>
      </c>
      <c r="AL3" s="0" t="s">
        <v>164</v>
      </c>
      <c r="AM3" s="0" t="n">
        <v>125</v>
      </c>
      <c r="AN3" s="0" t="s">
        <v>187</v>
      </c>
      <c r="AO3" s="0" t="s">
        <v>188</v>
      </c>
      <c r="AP3" s="0" t="s">
        <v>227</v>
      </c>
      <c r="AQ3" s="5" t="s">
        <v>189</v>
      </c>
      <c r="AT3" s="0" t="str">
        <f aca="false">IF($A3="","",IF(AND(CN3="pass",AQ3&lt;&gt;"Y",C3&lt;&gt;"",OR(AX3&lt;&gt;"Y",AV3="Y")),"Y","N"))</f>
        <v>Y</v>
      </c>
      <c r="AU3" s="0" t="str">
        <f aca="false">IF($A3="","",_xlfn.TEXTJOIN("; ",TRUE(),IF(CN3&lt;&gt;"pass","gated out",""),IF(AQ3="Y","on hold: "&amp;AR3,""),IF(C3="","no contact named on an opened page",""),IF(AND(AX3="Y",AV3&lt;&gt;"Y"),"Tuesday estimate band "&amp;L3&amp;": founder's call","")))</f>
        <v/>
      </c>
      <c r="AX3" s="0" t="s">
        <v>189</v>
      </c>
      <c r="AY3" s="0" t="s">
        <v>232</v>
      </c>
      <c r="AZ3" s="0" t="s">
        <v>233</v>
      </c>
      <c r="BA3" s="0" t="s">
        <v>234</v>
      </c>
      <c r="BC3" s="0" t="str">
        <f aca="false">IF($A3="","",IFERROR(INDEX(Enrichment!$A$2:$GZ$2000,MATCH($A3,INDEX(Enrichment!$A$2:$GZ$2000,0,MATCH("row_id",Enrichment!$A$1:$GZ$1,0)),0),MATCH("work_email",Enrichment!$A$1:$GZ$1,0))&amp;"",""))</f>
        <v/>
      </c>
      <c r="BD3" s="0" t="str">
        <f aca="false">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none</v>
      </c>
      <c r="BE3" s="0" t="s">
        <v>168</v>
      </c>
      <c r="BF3" s="0" t="s">
        <v>169</v>
      </c>
      <c r="BG3" s="0" t="s">
        <v>170</v>
      </c>
      <c r="BH3" s="0" t="s">
        <v>235</v>
      </c>
      <c r="BI3" s="0" t="s">
        <v>172</v>
      </c>
      <c r="BJ3" s="0" t="s">
        <v>190</v>
      </c>
      <c r="BK3" s="0" t="s">
        <v>250</v>
      </c>
      <c r="BL3" s="0" t="s">
        <v>251</v>
      </c>
      <c r="BM3" s="0" t="s">
        <v>236</v>
      </c>
      <c r="BN3" s="0" t="s">
        <v>237</v>
      </c>
      <c r="BO3" s="0" t="s">
        <v>238</v>
      </c>
      <c r="BP3" s="0" t="s">
        <v>239</v>
      </c>
      <c r="BQ3" s="0" t="str">
        <f aca="false">IF($A3="","",IFERROR(INDEX(Enrichment!$A$2:$GZ$2000,MATCH($A3,INDEX(Enrichment!$A$2:$GZ$2000,0,MATCH("row_id",Enrichment!$A$1:$GZ$1,0)),0),MATCH("backup_work_email",Enrichment!$A$1:$GZ$1,0))&amp;"",""))</f>
        <v/>
      </c>
      <c r="BR3" s="0" t="str">
        <f aca="false">IF($A3="","",IF(BQ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none</v>
      </c>
      <c r="BS3" s="0" t="s">
        <v>176</v>
      </c>
      <c r="BT3" s="0" t="s">
        <v>169</v>
      </c>
      <c r="BU3" s="0" t="s">
        <v>170</v>
      </c>
      <c r="BV3" s="0" t="s">
        <v>240</v>
      </c>
      <c r="BW3" s="0" t="s">
        <v>172</v>
      </c>
      <c r="BX3" s="0" t="s">
        <v>190</v>
      </c>
      <c r="BY3" s="0" t="s">
        <v>252</v>
      </c>
      <c r="BZ3" s="0" t="s">
        <v>253</v>
      </c>
      <c r="CA3" s="0" t="s">
        <v>254</v>
      </c>
      <c r="CB3" s="0" t="s">
        <v>196</v>
      </c>
      <c r="CC3" s="0" t="s">
        <v>255</v>
      </c>
      <c r="CE3" s="0" t="s">
        <v>256</v>
      </c>
      <c r="CF3" s="0" t="s">
        <v>180</v>
      </c>
      <c r="CH3" s="0" t="s">
        <v>241</v>
      </c>
      <c r="CI3" s="0" t="s">
        <v>242</v>
      </c>
      <c r="CJ3" s="0" t="s">
        <v>243</v>
      </c>
      <c r="CK3" s="0" t="s">
        <v>180</v>
      </c>
      <c r="CL3" s="0" t="s">
        <v>244</v>
      </c>
      <c r="CM3" s="0" t="s">
        <v>164</v>
      </c>
      <c r="CN3" s="0" t="s">
        <v>200</v>
      </c>
      <c r="CO3" s="0" t="s">
        <v>201</v>
      </c>
      <c r="CP3" s="0" t="s">
        <v>1</v>
      </c>
      <c r="CQ3" s="0" t="s">
        <v>257</v>
      </c>
      <c r="CR3" s="0" t="s">
        <v>229</v>
      </c>
      <c r="CS3" s="0" t="s">
        <v>247</v>
      </c>
      <c r="CT3" s="0" t="s">
        <v>248</v>
      </c>
      <c r="CV3" s="0" t="s">
        <v>203</v>
      </c>
      <c r="CW3" s="0" t="s">
        <v>204</v>
      </c>
      <c r="CX3" s="0" t="s">
        <v>205</v>
      </c>
      <c r="CY3" s="0" t="s">
        <v>258</v>
      </c>
      <c r="DA3" s="0" t="s">
        <v>207</v>
      </c>
      <c r="DB3" s="0" t="s">
        <v>259</v>
      </c>
      <c r="DC3" s="0" t="s">
        <v>164</v>
      </c>
      <c r="DD3" s="0" t="s">
        <v>209</v>
      </c>
      <c r="DE3" s="0" t="s">
        <v>249</v>
      </c>
      <c r="DF3" s="0" t="s">
        <v>210</v>
      </c>
      <c r="DG3" s="0" t="n">
        <v>40.73686</v>
      </c>
      <c r="DH3" s="0" t="n">
        <v>-73.988546</v>
      </c>
      <c r="DI3" s="0" t="s">
        <v>164</v>
      </c>
      <c r="DJ3" s="0" t="n">
        <v>0</v>
      </c>
      <c r="DK3" s="0" t="s">
        <v>260</v>
      </c>
      <c r="DL3" s="0" t="s">
        <v>261</v>
      </c>
      <c r="DM3" s="0" t="s">
        <v>262</v>
      </c>
      <c r="DN3" s="0" t="s">
        <v>263</v>
      </c>
      <c r="DO3" s="0" t="s">
        <v>214</v>
      </c>
      <c r="DP3" s="0" t="s">
        <v>264</v>
      </c>
      <c r="DQ3" s="0" t="s">
        <v>265</v>
      </c>
      <c r="DR3" s="0" t="s">
        <v>266</v>
      </c>
      <c r="DS3" s="0" t="s">
        <v>217</v>
      </c>
      <c r="DU3" s="0" t="s">
        <v>189</v>
      </c>
      <c r="DX3" s="0" t="s">
        <v>267</v>
      </c>
      <c r="DY3" s="0" t="s">
        <v>268</v>
      </c>
      <c r="EA3" s="0" t="s">
        <v>209</v>
      </c>
      <c r="EB3" s="0" t="s">
        <v>189</v>
      </c>
      <c r="EC3" s="0" t="s">
        <v>269</v>
      </c>
      <c r="ED3" s="0" t="s">
        <v>270</v>
      </c>
      <c r="EE3" s="0" t="s">
        <v>172</v>
      </c>
      <c r="EF3" s="0" t="n">
        <v>89</v>
      </c>
      <c r="EH3" s="0" t="s">
        <v>189</v>
      </c>
      <c r="EI3" s="0" t="s">
        <v>271</v>
      </c>
      <c r="EJ3" s="0" t="s">
        <v>221</v>
      </c>
      <c r="EK3" s="0" t="n">
        <v>1</v>
      </c>
      <c r="EL3" s="0" t="n">
        <v>80</v>
      </c>
      <c r="EM3" s="0" t="n">
        <v>25</v>
      </c>
      <c r="EN3" s="0" t="n">
        <v>15</v>
      </c>
      <c r="EO3" s="0" t="n">
        <v>15</v>
      </c>
      <c r="EP3" s="0" t="n">
        <v>15</v>
      </c>
      <c r="EQ3" s="0" t="n">
        <f aca="false">IF($A3="","",IF(AH3="exact",10,IF(AH3="adjacent",5,0)))</f>
        <v>0</v>
      </c>
      <c r="ER3" s="0" t="n">
        <f aca="false">IF($A3="","",IF(R3="Y",15,0))</f>
        <v>0</v>
      </c>
      <c r="ES3" s="0" t="s">
        <v>222</v>
      </c>
      <c r="EV3" s="0" t="s">
        <v>272</v>
      </c>
      <c r="EW3" s="0" t="s">
        <v>224</v>
      </c>
      <c r="EX3" s="0" t="s">
        <v>273</v>
      </c>
      <c r="EZ3" s="0" t="s">
        <v>274</v>
      </c>
      <c r="FS3" s="0" t="str">
        <f aca="false">IF($A3="","",IF(ISNUMBER(MATCH(U3,{"queued","contacted","replied","call_booked","call_done","yes_in_principle","materials_sent"},0)),"Y","N"))</f>
        <v>N</v>
      </c>
      <c r="FT3" s="0" t="str">
        <f aca="false">IF($A3="","",IF(OR(T3="Y",U3="do_not_contact",AS3&amp;""&lt;&gt;""),"Y","N"))</f>
        <v>N</v>
      </c>
      <c r="FU3" s="0" t="str">
        <f aca="false">IF($A3="","",IF(AP3&amp;""&lt;&gt;"",AP3&amp;"",$A3))</f>
        <v>AO-C-035</v>
      </c>
      <c r="FV3" s="0" t="str">
        <f aca="false">IF($A3="","",IF(COUNTIFS($FU$2:$FU$1000,FU3,$FS$2:$FS$1000,"Y")+COUNTIFS($FU$2:$FU$1000,FU3,$FT$2:$FT$1000,"Y")&gt;0,"Y","N"))</f>
        <v>N</v>
      </c>
      <c r="FW3" s="0" t="str">
        <f aca="false">IF($A3="","",IF(AND(U3="new",T3="N",FT3="N",AT3="Y",FV3="N"),"Y","N"))</f>
        <v>N</v>
      </c>
      <c r="FX3" s="0" t="str">
        <f aca="false">IF($A3="","",IF(FW3&lt;&gt;"Y","N",IF(COUNTIFS($FU$2:$FU$1000,FU3,$FW$2:$FW$1000,"Y",$J$2:$J$1000,"&gt;"&amp;J3)+COUNTIFS($FU$2:$FU$1000,FU3,$FW$2:$FW$1000,"Y",$J$2:$J$1000,J3,$GD$2:$GD$1000,"&lt;"&amp;GD3)=0,"Y","N")))</f>
        <v>N</v>
      </c>
      <c r="FY3" s="0" t="str">
        <f aca="false">IF($A3="","",IF(AND(FW3="Y",FX3="Y",Y3&amp;""&lt;&gt;""),IF(Y3&lt;=10,"Y","N"),"N"))</f>
        <v>N</v>
      </c>
      <c r="FZ3" s="0" t="str">
        <f aca="false">IF(FY3="Y",Y3,"")</f>
        <v/>
      </c>
      <c r="GA3" s="0" t="str">
        <f aca="false">IF($A3="","",IF(AND(I3="walk-in",CN3="pass",U3="new",FT3="N",FV3="N",AQ3&lt;&gt;"Y"),"Y","N"))</f>
        <v>N</v>
      </c>
      <c r="GB3" s="0" t="str">
        <f aca="false">IF(GA3&lt;&gt;"Y","",IF(COUNTIFS($GA$2:$GA$1000,"Y",$J$2:$J$1000,"&gt;"&amp;J3)+COUNTIFS($GA$2:$GA$1000,"Y",$J$2:$J$1000,J3,$GD$2:$GD$1000,"&lt;"&amp;GD3)+1&lt;=25,COUNTIFS($GA$2:$GA$1000,"Y",$J$2:$J$1000,"&gt;"&amp;J3)+COUNTIFS($GA$2:$GA$1000,"Y",$J$2:$J$1000,J3,$GD$2:$GD$1000,"&lt;"&amp;GD3)+1,""))</f>
        <v/>
      </c>
      <c r="GC3" s="0" t="str">
        <f aca="false">IF(AND(_xlfn.ISFORMULA(C3),_xlfn.ISFORMULA(J3)),"Y","N")</f>
        <v>N</v>
      </c>
      <c r="GD3" s="0" t="n">
        <f aca="false">ROW()-1</f>
        <v>2</v>
      </c>
    </row>
    <row r="4" customFormat="false" ht="15" hidden="false" customHeight="false" outlineLevel="0" collapsed="false">
      <c r="A4" s="0" t="s">
        <v>275</v>
      </c>
      <c r="B4" s="0" t="s">
        <v>276</v>
      </c>
      <c r="C4" s="0" t="s">
        <v>277</v>
      </c>
      <c r="D4" s="0" t="s">
        <v>278</v>
      </c>
      <c r="E4" s="0" t="s">
        <v>279</v>
      </c>
      <c r="F4" s="0" t="s">
        <v>163</v>
      </c>
      <c r="G4" s="0" t="s">
        <v>164</v>
      </c>
      <c r="H4" s="0" t="s">
        <v>280</v>
      </c>
      <c r="I4" s="0" t="s">
        <v>281</v>
      </c>
      <c r="J4" s="0" t="s">
        <v>282</v>
      </c>
      <c r="L4" s="0" t="s">
        <v>168</v>
      </c>
      <c r="M4" s="0" t="s">
        <v>283</v>
      </c>
      <c r="N4" s="0" t="s">
        <v>284</v>
      </c>
      <c r="O4" s="0" t="s">
        <v>285</v>
      </c>
      <c r="P4" s="0" t="s">
        <v>172</v>
      </c>
      <c r="Q4" s="0" t="s">
        <v>286</v>
      </c>
      <c r="R4" s="5" t="s">
        <v>287</v>
      </c>
      <c r="S4" s="0" t="s">
        <v>288</v>
      </c>
      <c r="U4" s="5" t="s">
        <v>176</v>
      </c>
      <c r="V4" s="0" t="s">
        <v>283</v>
      </c>
      <c r="W4" s="0" t="s">
        <v>284</v>
      </c>
      <c r="X4" s="0" t="s">
        <v>289</v>
      </c>
      <c r="Y4" s="0" t="s">
        <v>172</v>
      </c>
      <c r="Z4" s="0" t="s">
        <v>290</v>
      </c>
      <c r="AA4" s="0" t="s">
        <v>291</v>
      </c>
      <c r="AB4" s="0" t="s">
        <v>292</v>
      </c>
      <c r="AC4" s="0" t="s">
        <v>180</v>
      </c>
      <c r="AE4" s="0" t="s">
        <v>293</v>
      </c>
      <c r="AF4" s="0" t="s">
        <v>294</v>
      </c>
      <c r="AG4" s="0" t="s">
        <v>295</v>
      </c>
      <c r="AH4" s="0" t="s">
        <v>296</v>
      </c>
      <c r="AI4" s="0" t="s">
        <v>297</v>
      </c>
      <c r="AJ4" s="0" t="s">
        <v>164</v>
      </c>
      <c r="AK4" s="0" t="s">
        <v>298</v>
      </c>
      <c r="AL4" s="0" t="s">
        <v>164</v>
      </c>
      <c r="AM4" s="0" t="n">
        <v>89</v>
      </c>
      <c r="AN4" s="0" t="s">
        <v>187</v>
      </c>
      <c r="AO4" s="0" t="s">
        <v>188</v>
      </c>
      <c r="AP4" s="0" t="s">
        <v>275</v>
      </c>
      <c r="AQ4" s="5" t="s">
        <v>189</v>
      </c>
      <c r="AT4" s="0" t="str">
        <f aca="false">IF($A4="","",IF(AND(CN4="pass",AQ4&lt;&gt;"Y",C4&lt;&gt;"",OR(AX4&lt;&gt;"Y",AV4="Y")),"Y","N"))</f>
        <v>Y</v>
      </c>
      <c r="AU4" s="0" t="str">
        <f aca="false">IF($A4="","",_xlfn.TEXTJOIN("; ",TRUE(),IF(CN4&lt;&gt;"pass","gated out",""),IF(AQ4="Y","on hold: "&amp;AR4,""),IF(C4="","no contact named on an opened page",""),IF(AND(AX4="Y",AV4&lt;&gt;"Y"),"Tuesday estimate band "&amp;L4&amp;": founder's call","")))</f>
        <v/>
      </c>
      <c r="AX4" s="0" t="s">
        <v>189</v>
      </c>
      <c r="AY4" s="0" t="s">
        <v>280</v>
      </c>
      <c r="AZ4" s="0" t="s">
        <v>281</v>
      </c>
      <c r="BA4" s="0" t="s">
        <v>282</v>
      </c>
      <c r="BC4" s="0" t="str">
        <f aca="false">IF($A4="","",IFERROR(INDEX(Enrichment!$A$2:$GZ$2000,MATCH($A4,INDEX(Enrichment!$A$2:$GZ$2000,0,MATCH("row_id",Enrichment!$A$1:$GZ$1,0)),0),MATCH("work_email",Enrichment!$A$1:$GZ$1,0))&amp;"",""))</f>
        <v/>
      </c>
      <c r="BD4" s="0" t="str">
        <f aca="false">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none</v>
      </c>
      <c r="BE4" s="0" t="s">
        <v>168</v>
      </c>
      <c r="BF4" s="0" t="s">
        <v>283</v>
      </c>
      <c r="BG4" s="0" t="s">
        <v>284</v>
      </c>
      <c r="BH4" s="0" t="s">
        <v>285</v>
      </c>
      <c r="BI4" s="0" t="s">
        <v>172</v>
      </c>
      <c r="BJ4" s="0" t="s">
        <v>190</v>
      </c>
      <c r="BK4" s="0" t="s">
        <v>299</v>
      </c>
      <c r="BL4" s="0" t="s">
        <v>300</v>
      </c>
      <c r="BM4" s="0" t="s">
        <v>286</v>
      </c>
      <c r="BN4" s="0" t="s">
        <v>287</v>
      </c>
      <c r="BO4" s="0" t="s">
        <v>288</v>
      </c>
      <c r="BQ4" s="0" t="str">
        <f aca="false">IF($A4="","",IFERROR(INDEX(Enrichment!$A$2:$GZ$2000,MATCH($A4,INDEX(Enrichment!$A$2:$GZ$2000,0,MATCH("row_id",Enrichment!$A$1:$GZ$1,0)),0),MATCH("backup_work_email",Enrichment!$A$1:$GZ$1,0))&amp;"",""))</f>
        <v/>
      </c>
      <c r="BR4" s="0" t="str">
        <f aca="false">IF($A4="","",IF(BQ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none</v>
      </c>
      <c r="BS4" s="0" t="s">
        <v>176</v>
      </c>
      <c r="BT4" s="0" t="s">
        <v>283</v>
      </c>
      <c r="BU4" s="0" t="s">
        <v>284</v>
      </c>
      <c r="BV4" s="0" t="s">
        <v>289</v>
      </c>
      <c r="BW4" s="0" t="s">
        <v>172</v>
      </c>
      <c r="BX4" s="0" t="s">
        <v>301</v>
      </c>
      <c r="BY4" s="0" t="s">
        <v>302</v>
      </c>
      <c r="BZ4" s="0" t="s">
        <v>303</v>
      </c>
      <c r="CA4" s="0" t="s">
        <v>304</v>
      </c>
      <c r="CB4" s="0" t="s">
        <v>196</v>
      </c>
      <c r="CC4" s="0" t="s">
        <v>305</v>
      </c>
      <c r="CD4" s="0" t="s">
        <v>306</v>
      </c>
      <c r="CE4" s="0" t="s">
        <v>307</v>
      </c>
      <c r="CF4" s="0" t="s">
        <v>180</v>
      </c>
      <c r="CH4" s="0" t="s">
        <v>290</v>
      </c>
      <c r="CI4" s="0" t="s">
        <v>291</v>
      </c>
      <c r="CJ4" s="0" t="s">
        <v>292</v>
      </c>
      <c r="CK4" s="0" t="s">
        <v>180</v>
      </c>
      <c r="CM4" s="0" t="s">
        <v>164</v>
      </c>
      <c r="CN4" s="0" t="s">
        <v>200</v>
      </c>
      <c r="CO4" s="0" t="s">
        <v>201</v>
      </c>
      <c r="CP4" s="0" t="s">
        <v>1</v>
      </c>
      <c r="CQ4" s="0" t="s">
        <v>308</v>
      </c>
      <c r="CR4" s="0" t="s">
        <v>277</v>
      </c>
      <c r="CS4" s="0" t="s">
        <v>295</v>
      </c>
      <c r="CT4" s="0" t="s">
        <v>296</v>
      </c>
      <c r="CV4" s="0" t="s">
        <v>203</v>
      </c>
      <c r="CW4" s="0" t="s">
        <v>204</v>
      </c>
      <c r="CX4" s="0" t="s">
        <v>205</v>
      </c>
      <c r="CY4" s="0" t="s">
        <v>309</v>
      </c>
      <c r="DA4" s="0" t="s">
        <v>207</v>
      </c>
      <c r="DB4" s="0" t="s">
        <v>310</v>
      </c>
      <c r="DC4" s="0" t="s">
        <v>189</v>
      </c>
      <c r="DD4" s="0" t="s">
        <v>209</v>
      </c>
      <c r="DE4" s="0" t="s">
        <v>297</v>
      </c>
      <c r="DF4" s="0" t="s">
        <v>311</v>
      </c>
      <c r="DG4" s="0" t="n">
        <v>40.744442</v>
      </c>
      <c r="DH4" s="0" t="n">
        <v>-73.983525</v>
      </c>
      <c r="DI4" s="0" t="s">
        <v>164</v>
      </c>
      <c r="DJ4" s="0" t="n">
        <v>0</v>
      </c>
      <c r="DK4" s="0" t="s">
        <v>312</v>
      </c>
      <c r="DL4" s="0" t="s">
        <v>313</v>
      </c>
      <c r="DM4" s="0" t="s">
        <v>314</v>
      </c>
      <c r="DN4" s="0" t="s">
        <v>172</v>
      </c>
      <c r="DO4" s="0" t="s">
        <v>214</v>
      </c>
      <c r="DP4" s="0" t="s">
        <v>315</v>
      </c>
      <c r="DQ4" s="0" t="s">
        <v>316</v>
      </c>
      <c r="DS4" s="0" t="s">
        <v>217</v>
      </c>
      <c r="DU4" s="0" t="s">
        <v>189</v>
      </c>
      <c r="DX4" s="0" t="s">
        <v>209</v>
      </c>
      <c r="EA4" s="0" t="s">
        <v>209</v>
      </c>
      <c r="EB4" s="0" t="s">
        <v>189</v>
      </c>
      <c r="EC4" s="0" t="s">
        <v>218</v>
      </c>
      <c r="ED4" s="0" t="s">
        <v>309</v>
      </c>
      <c r="EE4" s="0" t="s">
        <v>172</v>
      </c>
      <c r="EF4" s="0" t="n">
        <v>63</v>
      </c>
      <c r="EH4" s="0" t="s">
        <v>164</v>
      </c>
      <c r="EI4" s="0" t="s">
        <v>317</v>
      </c>
      <c r="EJ4" s="0" t="s">
        <v>221</v>
      </c>
      <c r="EK4" s="0" t="n">
        <v>1</v>
      </c>
      <c r="EL4" s="0" t="n">
        <v>80</v>
      </c>
      <c r="EM4" s="0" t="n">
        <v>25</v>
      </c>
      <c r="EN4" s="0" t="n">
        <v>15</v>
      </c>
      <c r="EO4" s="0" t="n">
        <v>15</v>
      </c>
      <c r="EP4" s="0" t="n">
        <v>15</v>
      </c>
      <c r="EQ4" s="0" t="n">
        <f aca="false">IF($A4="","",IF(AH4="exact",10,IF(AH4="adjacent",5,0)))</f>
        <v>0</v>
      </c>
      <c r="ER4" s="0" t="n">
        <f aca="false">IF($A4="","",IF(R4="Y",15,0))</f>
        <v>0</v>
      </c>
      <c r="ES4" s="0" t="s">
        <v>222</v>
      </c>
      <c r="EV4" s="0" t="s">
        <v>318</v>
      </c>
      <c r="EW4" s="0" t="s">
        <v>224</v>
      </c>
      <c r="EX4" s="0" t="s">
        <v>319</v>
      </c>
      <c r="EZ4" s="0" t="s">
        <v>320</v>
      </c>
      <c r="FS4" s="0" t="str">
        <f aca="false">IF($A4="","",IF(ISNUMBER(MATCH(U4,{"queued","contacted","replied","call_booked","call_done","yes_in_principle","materials_sent"},0)),"Y","N"))</f>
        <v>N</v>
      </c>
      <c r="FT4" s="0" t="str">
        <f aca="false">IF($A4="","",IF(OR(T4="Y",U4="do_not_contact",AS4&amp;""&lt;&gt;""),"Y","N"))</f>
        <v>N</v>
      </c>
      <c r="FU4" s="0" t="str">
        <f aca="false">IF($A4="","",IF(AP4&amp;""&lt;&gt;"",AP4&amp;"",$A4))</f>
        <v>AO-C-171</v>
      </c>
      <c r="FV4" s="0" t="str">
        <f aca="false">IF($A4="","",IF(COUNTIFS($FU$2:$FU$1000,FU4,$FS$2:$FS$1000,"Y")+COUNTIFS($FU$2:$FU$1000,FU4,$FT$2:$FT$1000,"Y")&gt;0,"Y","N"))</f>
        <v>N</v>
      </c>
      <c r="FW4" s="0" t="str">
        <f aca="false">IF($A4="","",IF(AND(U4="new",T4="N",FT4="N",AT4="Y",FV4="N"),"Y","N"))</f>
        <v>N</v>
      </c>
      <c r="FX4" s="0" t="str">
        <f aca="false">IF($A4="","",IF(FW4&lt;&gt;"Y","N",IF(COUNTIFS($FU$2:$FU$1000,FU4,$FW$2:$FW$1000,"Y",$J$2:$J$1000,"&gt;"&amp;J4)+COUNTIFS($FU$2:$FU$1000,FU4,$FW$2:$FW$1000,"Y",$J$2:$J$1000,J4,$GD$2:$GD$1000,"&lt;"&amp;GD4)=0,"Y","N")))</f>
        <v>N</v>
      </c>
      <c r="FY4" s="0" t="str">
        <f aca="false">IF($A4="","",IF(AND(FW4="Y",FX4="Y",Y4&amp;""&lt;&gt;""),IF(Y4&lt;=10,"Y","N"),"N"))</f>
        <v>N</v>
      </c>
      <c r="FZ4" s="0" t="str">
        <f aca="false">IF(FY4="Y",Y4,"")</f>
        <v/>
      </c>
      <c r="GA4" s="0" t="str">
        <f aca="false">IF($A4="","",IF(AND(I4="walk-in",CN4="pass",U4="new",FT4="N",FV4="N",AQ4&lt;&gt;"Y"),"Y","N"))</f>
        <v>N</v>
      </c>
      <c r="GB4" s="0" t="str">
        <f aca="false">IF(GA4&lt;&gt;"Y","",IF(COUNTIFS($GA$2:$GA$1000,"Y",$J$2:$J$1000,"&gt;"&amp;J4)+COUNTIFS($GA$2:$GA$1000,"Y",$J$2:$J$1000,J4,$GD$2:$GD$1000,"&lt;"&amp;GD4)+1&lt;=25,COUNTIFS($GA$2:$GA$1000,"Y",$J$2:$J$1000,"&gt;"&amp;J4)+COUNTIFS($GA$2:$GA$1000,"Y",$J$2:$J$1000,J4,$GD$2:$GD$1000,"&lt;"&amp;GD4)+1,""))</f>
        <v/>
      </c>
      <c r="GC4" s="0" t="str">
        <f aca="false">IF(AND(_xlfn.ISFORMULA(C4),_xlfn.ISFORMULA(J4)),"Y","N")</f>
        <v>N</v>
      </c>
      <c r="GD4" s="0" t="n">
        <f aca="false">ROW()-1</f>
        <v>3</v>
      </c>
    </row>
    <row r="5" customFormat="false" ht="15" hidden="false" customHeight="false" outlineLevel="0" collapsed="false">
      <c r="A5" s="0" t="s">
        <v>321</v>
      </c>
      <c r="B5" s="0" t="s">
        <v>322</v>
      </c>
      <c r="C5" s="0" t="s">
        <v>323</v>
      </c>
      <c r="D5" s="0" t="s">
        <v>324</v>
      </c>
      <c r="E5" s="0" t="s">
        <v>325</v>
      </c>
      <c r="F5" s="0" t="s">
        <v>326</v>
      </c>
      <c r="G5" s="0" t="s">
        <v>164</v>
      </c>
      <c r="H5" s="0" t="s">
        <v>327</v>
      </c>
      <c r="I5" s="0" t="s">
        <v>328</v>
      </c>
      <c r="J5" s="0" t="s">
        <v>329</v>
      </c>
      <c r="L5" s="0" t="s">
        <v>168</v>
      </c>
      <c r="M5" s="0" t="s">
        <v>283</v>
      </c>
      <c r="N5" s="0" t="s">
        <v>284</v>
      </c>
      <c r="O5" s="0" t="s">
        <v>330</v>
      </c>
      <c r="P5" s="0" t="s">
        <v>172</v>
      </c>
      <c r="Q5" s="0" t="s">
        <v>331</v>
      </c>
      <c r="R5" s="5" t="s">
        <v>332</v>
      </c>
      <c r="S5" s="0" t="s">
        <v>333</v>
      </c>
      <c r="U5" s="5" t="s">
        <v>176</v>
      </c>
      <c r="V5" s="0" t="s">
        <v>283</v>
      </c>
      <c r="W5" s="0" t="s">
        <v>284</v>
      </c>
      <c r="X5" s="0" t="s">
        <v>334</v>
      </c>
      <c r="Y5" s="0" t="s">
        <v>172</v>
      </c>
      <c r="Z5" s="0" t="s">
        <v>335</v>
      </c>
      <c r="AA5" s="0" t="s">
        <v>336</v>
      </c>
      <c r="AB5" s="0" t="s">
        <v>337</v>
      </c>
      <c r="AC5" s="0" t="s">
        <v>180</v>
      </c>
      <c r="AE5" s="0" t="s">
        <v>338</v>
      </c>
      <c r="AF5" s="0" t="s">
        <v>339</v>
      </c>
      <c r="AG5" s="0" t="s">
        <v>340</v>
      </c>
      <c r="AH5" s="0" t="s">
        <v>341</v>
      </c>
      <c r="AI5" s="0" t="s">
        <v>342</v>
      </c>
      <c r="AJ5" s="0" t="s">
        <v>164</v>
      </c>
      <c r="AK5" s="0" t="s">
        <v>203</v>
      </c>
      <c r="AL5" s="0" t="s">
        <v>164</v>
      </c>
      <c r="AM5" s="0" t="n">
        <v>281</v>
      </c>
      <c r="AN5" s="0" t="s">
        <v>187</v>
      </c>
      <c r="AO5" s="0" t="s">
        <v>188</v>
      </c>
      <c r="AP5" s="0" t="s">
        <v>321</v>
      </c>
      <c r="AQ5" s="5" t="s">
        <v>189</v>
      </c>
      <c r="AS5" s="0" t="s">
        <v>343</v>
      </c>
      <c r="AT5" s="0" t="str">
        <f aca="false">IF($A5="","",IF(AND(CN5="pass",AQ5&lt;&gt;"Y",C5&lt;&gt;"",OR(AX5&lt;&gt;"Y",AV5="Y")),"Y","N"))</f>
        <v>Y</v>
      </c>
      <c r="AU5" s="0" t="str">
        <f aca="false">IF($A5="","",_xlfn.TEXTJOIN("; ",TRUE(),IF(CN5&lt;&gt;"pass","gated out",""),IF(AQ5="Y","on hold: "&amp;AR5,""),IF(C5="","no contact named on an opened page",""),IF(AND(AX5="Y",AV5&lt;&gt;"Y"),"Tuesday estimate band "&amp;L5&amp;": founder's call","")))</f>
        <v/>
      </c>
      <c r="AX5" s="0" t="s">
        <v>189</v>
      </c>
      <c r="AY5" s="0" t="s">
        <v>327</v>
      </c>
      <c r="AZ5" s="0" t="s">
        <v>328</v>
      </c>
      <c r="BA5" s="0" t="s">
        <v>329</v>
      </c>
      <c r="BC5" s="0" t="str">
        <f aca="false">IF($A5="","",IFERROR(INDEX(Enrichment!$A$2:$GZ$2000,MATCH($A5,INDEX(Enrichment!$A$2:$GZ$2000,0,MATCH("row_id",Enrichment!$A$1:$GZ$1,0)),0),MATCH("work_email",Enrichment!$A$1:$GZ$1,0))&amp;"",""))</f>
        <v/>
      </c>
      <c r="BD5" s="0" t="str">
        <f aca="false">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none</v>
      </c>
      <c r="BE5" s="0" t="s">
        <v>168</v>
      </c>
      <c r="BF5" s="0" t="s">
        <v>283</v>
      </c>
      <c r="BG5" s="0" t="s">
        <v>284</v>
      </c>
      <c r="BH5" s="0" t="s">
        <v>330</v>
      </c>
      <c r="BI5" s="0" t="s">
        <v>172</v>
      </c>
      <c r="BJ5" s="0" t="s">
        <v>190</v>
      </c>
      <c r="BK5" s="0" t="s">
        <v>344</v>
      </c>
      <c r="BL5" s="0" t="s">
        <v>345</v>
      </c>
      <c r="BM5" s="0" t="s">
        <v>331</v>
      </c>
      <c r="BN5" s="0" t="s">
        <v>332</v>
      </c>
      <c r="BO5" s="0" t="s">
        <v>333</v>
      </c>
      <c r="BQ5" s="0" t="str">
        <f aca="false">IF($A5="","",IFERROR(INDEX(Enrichment!$A$2:$GZ$2000,MATCH($A5,INDEX(Enrichment!$A$2:$GZ$2000,0,MATCH("row_id",Enrichment!$A$1:$GZ$1,0)),0),MATCH("backup_work_email",Enrichment!$A$1:$GZ$1,0))&amp;"",""))</f>
        <v/>
      </c>
      <c r="BR5" s="0" t="str">
        <f aca="false">IF($A5="","",IF(BQ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none</v>
      </c>
      <c r="BS5" s="0" t="s">
        <v>176</v>
      </c>
      <c r="BT5" s="0" t="s">
        <v>283</v>
      </c>
      <c r="BU5" s="0" t="s">
        <v>284</v>
      </c>
      <c r="BV5" s="0" t="s">
        <v>334</v>
      </c>
      <c r="BW5" s="0" t="s">
        <v>172</v>
      </c>
      <c r="BX5" s="0" t="s">
        <v>301</v>
      </c>
      <c r="BY5" s="0" t="s">
        <v>346</v>
      </c>
      <c r="BZ5" s="0" t="s">
        <v>347</v>
      </c>
      <c r="CA5" s="0" t="s">
        <v>348</v>
      </c>
      <c r="CB5" s="0" t="s">
        <v>196</v>
      </c>
      <c r="CC5" s="0" t="s">
        <v>349</v>
      </c>
      <c r="CD5" s="0" t="s">
        <v>350</v>
      </c>
      <c r="CE5" s="0" t="s">
        <v>351</v>
      </c>
      <c r="CF5" s="0" t="s">
        <v>352</v>
      </c>
      <c r="CH5" s="0" t="s">
        <v>335</v>
      </c>
      <c r="CI5" s="0" t="s">
        <v>336</v>
      </c>
      <c r="CJ5" s="0" t="s">
        <v>337</v>
      </c>
      <c r="CK5" s="0" t="s">
        <v>180</v>
      </c>
      <c r="CM5" s="0" t="s">
        <v>164</v>
      </c>
      <c r="CN5" s="0" t="s">
        <v>200</v>
      </c>
      <c r="CO5" s="0" t="s">
        <v>201</v>
      </c>
      <c r="CP5" s="0" t="s">
        <v>1</v>
      </c>
      <c r="CQ5" s="0" t="s">
        <v>353</v>
      </c>
      <c r="CR5" s="0" t="s">
        <v>323</v>
      </c>
      <c r="CS5" s="0" t="s">
        <v>340</v>
      </c>
      <c r="CT5" s="0" t="s">
        <v>341</v>
      </c>
      <c r="CU5" s="0" t="s">
        <v>354</v>
      </c>
      <c r="CV5" s="0" t="s">
        <v>355</v>
      </c>
      <c r="CW5" s="0" t="s">
        <v>204</v>
      </c>
      <c r="CX5" s="0" t="s">
        <v>356</v>
      </c>
      <c r="CY5" s="0" t="s">
        <v>357</v>
      </c>
      <c r="CZ5" s="0" t="s">
        <v>358</v>
      </c>
      <c r="DA5" s="0" t="s">
        <v>207</v>
      </c>
      <c r="DB5" s="0" t="s">
        <v>259</v>
      </c>
      <c r="DC5" s="0" t="s">
        <v>164</v>
      </c>
      <c r="DD5" s="0" t="s">
        <v>209</v>
      </c>
      <c r="DE5" s="0" t="s">
        <v>342</v>
      </c>
      <c r="DF5" s="0" t="s">
        <v>311</v>
      </c>
      <c r="DG5" s="0" t="n">
        <v>40.742833</v>
      </c>
      <c r="DH5" s="0" t="n">
        <v>-73.984174</v>
      </c>
      <c r="DI5" s="0" t="s">
        <v>164</v>
      </c>
      <c r="DJ5" s="0" t="n">
        <v>0</v>
      </c>
      <c r="DK5" s="0" t="s">
        <v>359</v>
      </c>
      <c r="DL5" s="0" t="s">
        <v>360</v>
      </c>
      <c r="DM5" s="0" t="s">
        <v>361</v>
      </c>
      <c r="DN5" s="0" t="s">
        <v>362</v>
      </c>
      <c r="DO5" s="0" t="s">
        <v>363</v>
      </c>
      <c r="DP5" s="0" t="s">
        <v>364</v>
      </c>
      <c r="DQ5" s="0" t="s">
        <v>172</v>
      </c>
      <c r="DS5" s="0" t="s">
        <v>217</v>
      </c>
      <c r="DU5" s="0" t="s">
        <v>189</v>
      </c>
      <c r="DX5" s="0" t="s">
        <v>209</v>
      </c>
      <c r="EA5" s="0" t="s">
        <v>209</v>
      </c>
      <c r="EB5" s="0" t="s">
        <v>189</v>
      </c>
      <c r="EC5" s="0" t="s">
        <v>365</v>
      </c>
      <c r="ED5" s="0" t="s">
        <v>357</v>
      </c>
      <c r="EE5" s="0" t="s">
        <v>263</v>
      </c>
      <c r="EF5" s="0" t="n">
        <v>185</v>
      </c>
      <c r="EG5" s="0" t="s">
        <v>366</v>
      </c>
      <c r="EH5" s="0" t="s">
        <v>189</v>
      </c>
      <c r="EI5" s="0" t="s">
        <v>367</v>
      </c>
      <c r="EJ5" s="0" t="s">
        <v>221</v>
      </c>
      <c r="EK5" s="0" t="n">
        <v>0.86</v>
      </c>
      <c r="EL5" s="0" t="n">
        <v>76.5</v>
      </c>
      <c r="EM5" s="0" t="n">
        <v>21.5</v>
      </c>
      <c r="EN5" s="0" t="n">
        <v>15</v>
      </c>
      <c r="EO5" s="0" t="n">
        <v>15</v>
      </c>
      <c r="EP5" s="0" t="n">
        <v>15</v>
      </c>
      <c r="EQ5" s="0" t="n">
        <f aca="false">IF($A5="","",IF(AH5="exact",10,IF(AH5="adjacent",5,0)))</f>
        <v>0</v>
      </c>
      <c r="ER5" s="0" t="n">
        <f aca="false">IF($A5="","",IF(R5="Y",15,0))</f>
        <v>0</v>
      </c>
      <c r="ES5" s="0" t="s">
        <v>222</v>
      </c>
      <c r="EX5" s="0" t="s">
        <v>368</v>
      </c>
      <c r="EZ5" s="0" t="s">
        <v>369</v>
      </c>
      <c r="FS5" s="0" t="str">
        <f aca="false">IF($A5="","",IF(ISNUMBER(MATCH(U5,{"queued","contacted","replied","call_booked","call_done","yes_in_principle","materials_sent"},0)),"Y","N"))</f>
        <v>N</v>
      </c>
      <c r="FT5" s="0" t="str">
        <f aca="false">IF($A5="","",IF(OR(T5="Y",U5="do_not_contact",AS5&amp;""&lt;&gt;""),"Y","N"))</f>
        <v>Y</v>
      </c>
      <c r="FU5" s="0" t="str">
        <f aca="false">IF($A5="","",IF(AP5&amp;""&lt;&gt;"",AP5&amp;"",$A5))</f>
        <v>AO-C-160</v>
      </c>
      <c r="FV5" s="0" t="str">
        <f aca="false">IF($A5="","",IF(COUNTIFS($FU$2:$FU$1000,FU5,$FS$2:$FS$1000,"Y")+COUNTIFS($FU$2:$FU$1000,FU5,$FT$2:$FT$1000,"Y")&gt;0,"Y","N"))</f>
        <v>Y</v>
      </c>
      <c r="FW5" s="0" t="str">
        <f aca="false">IF($A5="","",IF(AND(U5="new",T5="N",FT5="N",AT5="Y",FV5="N"),"Y","N"))</f>
        <v>N</v>
      </c>
      <c r="FX5" s="0" t="str">
        <f aca="false">IF($A5="","",IF(FW5&lt;&gt;"Y","N",IF(COUNTIFS($FU$2:$FU$1000,FU5,$FW$2:$FW$1000,"Y",$J$2:$J$1000,"&gt;"&amp;J5)+COUNTIFS($FU$2:$FU$1000,FU5,$FW$2:$FW$1000,"Y",$J$2:$J$1000,J5,$GD$2:$GD$1000,"&lt;"&amp;GD5)=0,"Y","N")))</f>
        <v>N</v>
      </c>
      <c r="FY5" s="0" t="str">
        <f aca="false">IF($A5="","",IF(AND(FW5="Y",FX5="Y",Y5&amp;""&lt;&gt;""),IF(Y5&lt;=10,"Y","N"),"N"))</f>
        <v>N</v>
      </c>
      <c r="FZ5" s="0" t="str">
        <f aca="false">IF(FY5="Y",Y5,"")</f>
        <v/>
      </c>
      <c r="GA5" s="0" t="str">
        <f aca="false">IF($A5="","",IF(AND(I5="walk-in",CN5="pass",U5="new",FT5="N",FV5="N",AQ5&lt;&gt;"Y"),"Y","N"))</f>
        <v>N</v>
      </c>
      <c r="GB5" s="0" t="str">
        <f aca="false">IF(GA5&lt;&gt;"Y","",IF(COUNTIFS($GA$2:$GA$1000,"Y",$J$2:$J$1000,"&gt;"&amp;J5)+COUNTIFS($GA$2:$GA$1000,"Y",$J$2:$J$1000,J5,$GD$2:$GD$1000,"&lt;"&amp;GD5)+1&lt;=25,COUNTIFS($GA$2:$GA$1000,"Y",$J$2:$J$1000,"&gt;"&amp;J5)+COUNTIFS($GA$2:$GA$1000,"Y",$J$2:$J$1000,J5,$GD$2:$GD$1000,"&lt;"&amp;GD5)+1,""))</f>
        <v/>
      </c>
      <c r="GC5" s="0" t="str">
        <f aca="false">IF(AND(_xlfn.ISFORMULA(C5),_xlfn.ISFORMULA(J5)),"Y","N")</f>
        <v>N</v>
      </c>
      <c r="GD5" s="0" t="n">
        <f aca="false">ROW()-1</f>
        <v>4</v>
      </c>
    </row>
    <row r="6" customFormat="false" ht="15" hidden="false" customHeight="false" outlineLevel="0" collapsed="false">
      <c r="A6" s="0" t="s">
        <v>370</v>
      </c>
      <c r="B6" s="0" t="s">
        <v>371</v>
      </c>
      <c r="C6" s="0" t="s">
        <v>372</v>
      </c>
      <c r="D6" s="0" t="s">
        <v>373</v>
      </c>
      <c r="E6" s="0" t="s">
        <v>374</v>
      </c>
      <c r="F6" s="0" t="s">
        <v>375</v>
      </c>
      <c r="G6" s="0" t="s">
        <v>164</v>
      </c>
      <c r="H6" s="0" t="s">
        <v>376</v>
      </c>
      <c r="I6" s="0" t="s">
        <v>377</v>
      </c>
      <c r="J6" s="0" t="s">
        <v>378</v>
      </c>
      <c r="L6" s="0" t="s">
        <v>168</v>
      </c>
      <c r="M6" s="0" t="s">
        <v>283</v>
      </c>
      <c r="N6" s="0" t="s">
        <v>284</v>
      </c>
      <c r="O6" s="0" t="s">
        <v>379</v>
      </c>
      <c r="P6" s="0" t="s">
        <v>172</v>
      </c>
      <c r="R6" s="5"/>
      <c r="U6" s="5"/>
      <c r="V6" s="0" t="s">
        <v>380</v>
      </c>
      <c r="AE6" s="0" t="s">
        <v>381</v>
      </c>
      <c r="AF6" s="0" t="s">
        <v>279</v>
      </c>
      <c r="AG6" s="0" t="s">
        <v>382</v>
      </c>
      <c r="AH6" s="0" t="s">
        <v>383</v>
      </c>
      <c r="AI6" s="0" t="s">
        <v>384</v>
      </c>
      <c r="AJ6" s="0" t="s">
        <v>164</v>
      </c>
      <c r="AK6" s="0" t="s">
        <v>203</v>
      </c>
      <c r="AL6" s="0" t="s">
        <v>164</v>
      </c>
      <c r="AM6" s="0" t="n">
        <v>281</v>
      </c>
      <c r="AN6" s="0" t="s">
        <v>187</v>
      </c>
      <c r="AO6" s="0" t="s">
        <v>188</v>
      </c>
      <c r="AP6" s="0" t="s">
        <v>370</v>
      </c>
      <c r="AQ6" s="5" t="s">
        <v>189</v>
      </c>
      <c r="AT6" s="0" t="str">
        <f aca="false">IF($A6="","",IF(AND(CN6="pass",AQ6&lt;&gt;"Y",C6&lt;&gt;"",OR(AX6&lt;&gt;"Y",AV6="Y")),"Y","N"))</f>
        <v>Y</v>
      </c>
      <c r="AU6" s="0" t="str">
        <f aca="false">IF($A6="","",_xlfn.TEXTJOIN("; ",TRUE(),IF(CN6&lt;&gt;"pass","gated out",""),IF(AQ6="Y","on hold: "&amp;AR6,""),IF(C6="","no contact named on an opened page",""),IF(AND(AX6="Y",AV6&lt;&gt;"Y"),"Tuesday estimate band "&amp;L6&amp;": founder's call","")))</f>
        <v/>
      </c>
      <c r="AX6" s="0" t="s">
        <v>189</v>
      </c>
      <c r="AY6" s="0" t="s">
        <v>376</v>
      </c>
      <c r="AZ6" s="0" t="s">
        <v>377</v>
      </c>
      <c r="BA6" s="0" t="s">
        <v>378</v>
      </c>
      <c r="BC6" s="0" t="str">
        <f aca="false">IF($A6="","",IFERROR(INDEX(Enrichment!$A$2:$GZ$2000,MATCH($A6,INDEX(Enrichment!$A$2:$GZ$2000,0,MATCH("row_id",Enrichment!$A$1:$GZ$1,0)),0),MATCH("work_email",Enrichment!$A$1:$GZ$1,0))&amp;"",""))</f>
        <v/>
      </c>
      <c r="BD6" s="0" t="str">
        <f aca="false">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none</v>
      </c>
      <c r="BE6" s="0" t="s">
        <v>168</v>
      </c>
      <c r="BF6" s="0" t="s">
        <v>283</v>
      </c>
      <c r="BG6" s="0" t="s">
        <v>284</v>
      </c>
      <c r="BH6" s="0" t="s">
        <v>379</v>
      </c>
      <c r="BI6" s="0" t="s">
        <v>172</v>
      </c>
      <c r="BJ6" s="0" t="s">
        <v>190</v>
      </c>
      <c r="BK6" s="0" t="s">
        <v>385</v>
      </c>
      <c r="BL6" s="0" t="s">
        <v>386</v>
      </c>
      <c r="BQ6" s="0" t="str">
        <f aca="false">IF($A6="","",IFERROR(INDEX(Enrichment!$A$2:$GZ$2000,MATCH($A6,INDEX(Enrichment!$A$2:$GZ$2000,0,MATCH("row_id",Enrichment!$A$1:$GZ$1,0)),0),MATCH("backup_work_email",Enrichment!$A$1:$GZ$1,0))&amp;"",""))</f>
        <v/>
      </c>
      <c r="BR6" s="0" t="str">
        <f aca="false">IF($A6="","",IF(BQ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none</v>
      </c>
      <c r="BT6" s="0" t="s">
        <v>380</v>
      </c>
      <c r="BX6" s="0" t="s">
        <v>380</v>
      </c>
      <c r="BY6" s="0" t="s">
        <v>387</v>
      </c>
      <c r="BZ6" s="0" t="s">
        <v>388</v>
      </c>
      <c r="CA6" s="0" t="s">
        <v>389</v>
      </c>
      <c r="CB6" s="0" t="s">
        <v>196</v>
      </c>
      <c r="CC6" s="0" t="s">
        <v>390</v>
      </c>
      <c r="CD6" s="0" t="s">
        <v>391</v>
      </c>
      <c r="CE6" s="0" t="s">
        <v>392</v>
      </c>
      <c r="CF6" s="0" t="s">
        <v>180</v>
      </c>
      <c r="CM6" s="0" t="s">
        <v>164</v>
      </c>
      <c r="CN6" s="0" t="s">
        <v>200</v>
      </c>
      <c r="CO6" s="0" t="s">
        <v>201</v>
      </c>
      <c r="CP6" s="0" t="s">
        <v>1</v>
      </c>
      <c r="CQ6" s="0" t="s">
        <v>393</v>
      </c>
      <c r="CR6" s="0" t="s">
        <v>372</v>
      </c>
      <c r="CS6" s="0" t="s">
        <v>382</v>
      </c>
      <c r="CT6" s="0" t="s">
        <v>383</v>
      </c>
      <c r="CU6" s="0" t="s">
        <v>394</v>
      </c>
      <c r="CV6" s="0" t="s">
        <v>355</v>
      </c>
      <c r="CW6" s="0" t="s">
        <v>204</v>
      </c>
      <c r="CX6" s="0" t="s">
        <v>356</v>
      </c>
      <c r="CY6" s="0" t="s">
        <v>395</v>
      </c>
      <c r="CZ6" s="0" t="s">
        <v>396</v>
      </c>
      <c r="DA6" s="0" t="s">
        <v>207</v>
      </c>
      <c r="DB6" s="0" t="s">
        <v>259</v>
      </c>
      <c r="DC6" s="0" t="s">
        <v>164</v>
      </c>
      <c r="DD6" s="0" t="s">
        <v>209</v>
      </c>
      <c r="DE6" s="0" t="s">
        <v>384</v>
      </c>
      <c r="DF6" s="0" t="s">
        <v>397</v>
      </c>
      <c r="DG6" s="0" t="n">
        <v>40.74024</v>
      </c>
      <c r="DH6" s="0" t="n">
        <v>-73.994996</v>
      </c>
      <c r="DI6" s="0" t="s">
        <v>164</v>
      </c>
      <c r="DJ6" s="0" t="n">
        <v>0</v>
      </c>
      <c r="DK6" s="0" t="s">
        <v>398</v>
      </c>
      <c r="DL6" s="0" t="s">
        <v>399</v>
      </c>
      <c r="DM6" s="0" t="s">
        <v>400</v>
      </c>
      <c r="DN6" s="0" t="s">
        <v>401</v>
      </c>
      <c r="DO6" s="0" t="s">
        <v>363</v>
      </c>
      <c r="DP6" s="0" t="s">
        <v>402</v>
      </c>
      <c r="DQ6" s="0" t="s">
        <v>172</v>
      </c>
      <c r="DS6" s="0" t="s">
        <v>217</v>
      </c>
      <c r="DU6" s="0" t="s">
        <v>189</v>
      </c>
      <c r="DX6" s="0" t="s">
        <v>209</v>
      </c>
      <c r="EA6" s="0" t="s">
        <v>209</v>
      </c>
      <c r="EB6" s="0" t="s">
        <v>189</v>
      </c>
      <c r="EC6" s="0" t="s">
        <v>218</v>
      </c>
      <c r="ED6" s="0" t="s">
        <v>403</v>
      </c>
      <c r="EE6" s="0" t="s">
        <v>172</v>
      </c>
      <c r="EF6" s="0" t="n">
        <v>196</v>
      </c>
      <c r="EG6" s="0" t="s">
        <v>366</v>
      </c>
      <c r="EH6" s="0" t="s">
        <v>189</v>
      </c>
      <c r="EI6" s="0" t="s">
        <v>404</v>
      </c>
      <c r="EJ6" s="0" t="s">
        <v>221</v>
      </c>
      <c r="EK6" s="0" t="n">
        <v>0.84</v>
      </c>
      <c r="EL6" s="0" t="n">
        <v>75.9</v>
      </c>
      <c r="EM6" s="0" t="n">
        <v>20.9</v>
      </c>
      <c r="EN6" s="0" t="n">
        <v>15</v>
      </c>
      <c r="EO6" s="0" t="n">
        <v>15</v>
      </c>
      <c r="EP6" s="0" t="n">
        <v>15</v>
      </c>
      <c r="EQ6" s="0" t="n">
        <f aca="false">IF($A6="","",IF(AH6="exact",10,IF(AH6="adjacent",5,0)))</f>
        <v>0</v>
      </c>
      <c r="ER6" s="0" t="n">
        <f aca="false">IF($A6="","",IF(R6="Y",15,0))</f>
        <v>0</v>
      </c>
      <c r="ES6" s="0" t="s">
        <v>222</v>
      </c>
      <c r="EV6" s="0" t="s">
        <v>405</v>
      </c>
      <c r="EW6" s="0" t="s">
        <v>224</v>
      </c>
      <c r="EX6" s="0" t="s">
        <v>406</v>
      </c>
      <c r="EZ6" s="0" t="s">
        <v>407</v>
      </c>
      <c r="FS6" s="0" t="str">
        <f aca="false">IF($A6="","",IF(ISNUMBER(MATCH(U6,{"queued","contacted","replied","call_booked","call_done","yes_in_principle","materials_sent"},0)),"Y","N"))</f>
        <v>N</v>
      </c>
      <c r="FT6" s="0" t="str">
        <f aca="false">IF($A6="","",IF(OR(T6="Y",U6="do_not_contact",AS6&amp;""&lt;&gt;""),"Y","N"))</f>
        <v>N</v>
      </c>
      <c r="FU6" s="0" t="str">
        <f aca="false">IF($A6="","",IF(AP6&amp;""&lt;&gt;"",AP6&amp;"",$A6))</f>
        <v>AO-C-050</v>
      </c>
      <c r="FV6" s="0" t="str">
        <f aca="false">IF($A6="","",IF(COUNTIFS($FU$2:$FU$1000,FU6,$FS$2:$FS$1000,"Y")+COUNTIFS($FU$2:$FU$1000,FU6,$FT$2:$FT$1000,"Y")&gt;0,"Y","N"))</f>
        <v>N</v>
      </c>
      <c r="FW6" s="0" t="str">
        <f aca="false">IF($A6="","",IF(AND(U6="new",T6="N",FT6="N",AT6="Y",FV6="N"),"Y","N"))</f>
        <v>N</v>
      </c>
      <c r="FX6" s="0" t="str">
        <f aca="false">IF($A6="","",IF(FW6&lt;&gt;"Y","N",IF(COUNTIFS($FU$2:$FU$1000,FU6,$FW$2:$FW$1000,"Y",$J$2:$J$1000,"&gt;"&amp;J6)+COUNTIFS($FU$2:$FU$1000,FU6,$FW$2:$FW$1000,"Y",$J$2:$J$1000,J6,$GD$2:$GD$1000,"&lt;"&amp;GD6)=0,"Y","N")))</f>
        <v>N</v>
      </c>
      <c r="FY6" s="0" t="str">
        <f aca="false">IF($A6="","",IF(AND(FW6="Y",FX6="Y",Y6&amp;""&lt;&gt;""),IF(Y6&lt;=10,"Y","N"),"N"))</f>
        <v>N</v>
      </c>
      <c r="FZ6" s="0" t="str">
        <f aca="false">IF(FY6="Y",Y6,"")</f>
        <v/>
      </c>
      <c r="GA6" s="0" t="str">
        <f aca="false">IF($A6="","",IF(AND(I6="walk-in",CN6="pass",U6="new",FT6="N",FV6="N",AQ6&lt;&gt;"Y"),"Y","N"))</f>
        <v>N</v>
      </c>
      <c r="GB6" s="0" t="str">
        <f aca="false">IF(GA6&lt;&gt;"Y","",IF(COUNTIFS($GA$2:$GA$1000,"Y",$J$2:$J$1000,"&gt;"&amp;J6)+COUNTIFS($GA$2:$GA$1000,"Y",$J$2:$J$1000,J6,$GD$2:$GD$1000,"&lt;"&amp;GD6)+1&lt;=25,COUNTIFS($GA$2:$GA$1000,"Y",$J$2:$J$1000,"&gt;"&amp;J6)+COUNTIFS($GA$2:$GA$1000,"Y",$J$2:$J$1000,J6,$GD$2:$GD$1000,"&lt;"&amp;GD6)+1,""))</f>
        <v/>
      </c>
      <c r="GC6" s="0" t="str">
        <f aca="false">IF(AND(_xlfn.ISFORMULA(C6),_xlfn.ISFORMULA(J6)),"Y","N")</f>
        <v>N</v>
      </c>
      <c r="GD6" s="0" t="n">
        <f aca="false">ROW()-1</f>
        <v>5</v>
      </c>
    </row>
    <row r="7" customFormat="false" ht="15" hidden="false" customHeight="false" outlineLevel="0" collapsed="false">
      <c r="A7" s="0" t="s">
        <v>408</v>
      </c>
      <c r="B7" s="0" t="s">
        <v>409</v>
      </c>
      <c r="C7" s="0" t="s">
        <v>410</v>
      </c>
      <c r="D7" s="0" t="s">
        <v>411</v>
      </c>
      <c r="E7" s="0" t="s">
        <v>412</v>
      </c>
      <c r="F7" s="0" t="s">
        <v>413</v>
      </c>
      <c r="G7" s="0" t="s">
        <v>164</v>
      </c>
      <c r="H7" s="0" t="s">
        <v>414</v>
      </c>
      <c r="I7" s="0" t="s">
        <v>415</v>
      </c>
      <c r="J7" s="0" t="s">
        <v>416</v>
      </c>
      <c r="L7" s="0" t="s">
        <v>168</v>
      </c>
      <c r="M7" s="0" t="s">
        <v>283</v>
      </c>
      <c r="N7" s="0" t="s">
        <v>284</v>
      </c>
      <c r="O7" s="0" t="s">
        <v>417</v>
      </c>
      <c r="P7" s="0" t="s">
        <v>172</v>
      </c>
      <c r="Q7" s="0" t="s">
        <v>418</v>
      </c>
      <c r="R7" s="5" t="s">
        <v>419</v>
      </c>
      <c r="S7" s="0" t="s">
        <v>420</v>
      </c>
      <c r="U7" s="5" t="s">
        <v>176</v>
      </c>
      <c r="V7" s="0" t="s">
        <v>283</v>
      </c>
      <c r="W7" s="0" t="s">
        <v>284</v>
      </c>
      <c r="X7" s="0" t="s">
        <v>421</v>
      </c>
      <c r="Y7" s="0" t="s">
        <v>172</v>
      </c>
      <c r="Z7" s="0" t="s">
        <v>422</v>
      </c>
      <c r="AA7" s="0" t="s">
        <v>423</v>
      </c>
      <c r="AB7" s="0" t="s">
        <v>424</v>
      </c>
      <c r="AC7" s="0" t="s">
        <v>425</v>
      </c>
      <c r="AE7" s="0" t="s">
        <v>245</v>
      </c>
      <c r="AF7" s="0" t="s">
        <v>325</v>
      </c>
      <c r="AG7" s="0" t="s">
        <v>426</v>
      </c>
      <c r="AH7" s="0" t="s">
        <v>427</v>
      </c>
      <c r="AI7" s="0" t="s">
        <v>428</v>
      </c>
      <c r="AJ7" s="0" t="s">
        <v>164</v>
      </c>
      <c r="AK7" s="0" t="s">
        <v>186</v>
      </c>
      <c r="AL7" s="0" t="s">
        <v>164</v>
      </c>
      <c r="AM7" s="0" t="n">
        <v>134</v>
      </c>
      <c r="AN7" s="0" t="s">
        <v>187</v>
      </c>
      <c r="AO7" s="0" t="s">
        <v>429</v>
      </c>
      <c r="AP7" s="0" t="s">
        <v>408</v>
      </c>
      <c r="AQ7" s="5" t="s">
        <v>189</v>
      </c>
      <c r="AT7" s="0" t="str">
        <f aca="false">IF($A7="","",IF(AND(CN7="pass",AQ7&lt;&gt;"Y",C7&lt;&gt;"",OR(AX7&lt;&gt;"Y",AV7="Y")),"Y","N"))</f>
        <v>Y</v>
      </c>
      <c r="AU7" s="0" t="str">
        <f aca="false">IF($A7="","",_xlfn.TEXTJOIN("; ",TRUE(),IF(CN7&lt;&gt;"pass","gated out",""),IF(AQ7="Y","on hold: "&amp;AR7,""),IF(C7="","no contact named on an opened page",""),IF(AND(AX7="Y",AV7&lt;&gt;"Y"),"Tuesday estimate band "&amp;L7&amp;": founder's call","")))</f>
        <v/>
      </c>
      <c r="AX7" s="0" t="s">
        <v>189</v>
      </c>
      <c r="AY7" s="0" t="s">
        <v>414</v>
      </c>
      <c r="AZ7" s="0" t="s">
        <v>415</v>
      </c>
      <c r="BA7" s="0" t="s">
        <v>416</v>
      </c>
      <c r="BC7" s="0" t="str">
        <f aca="false">IF($A7="","",IFERROR(INDEX(Enrichment!$A$2:$GZ$2000,MATCH($A7,INDEX(Enrichment!$A$2:$GZ$2000,0,MATCH("row_id",Enrichment!$A$1:$GZ$1,0)),0),MATCH("work_email",Enrichment!$A$1:$GZ$1,0))&amp;"",""))</f>
        <v/>
      </c>
      <c r="BD7" s="0" t="str">
        <f aca="false">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none</v>
      </c>
      <c r="BE7" s="0" t="s">
        <v>168</v>
      </c>
      <c r="BF7" s="0" t="s">
        <v>283</v>
      </c>
      <c r="BG7" s="0" t="s">
        <v>284</v>
      </c>
      <c r="BH7" s="0" t="s">
        <v>417</v>
      </c>
      <c r="BI7" s="0" t="s">
        <v>172</v>
      </c>
      <c r="BJ7" s="0" t="s">
        <v>190</v>
      </c>
      <c r="BK7" s="0" t="s">
        <v>430</v>
      </c>
      <c r="BL7" s="0" t="s">
        <v>431</v>
      </c>
      <c r="BM7" s="0" t="s">
        <v>418</v>
      </c>
      <c r="BN7" s="0" t="s">
        <v>419</v>
      </c>
      <c r="BO7" s="0" t="s">
        <v>420</v>
      </c>
      <c r="BQ7" s="0" t="str">
        <f aca="false">IF($A7="","",IFERROR(INDEX(Enrichment!$A$2:$GZ$2000,MATCH($A7,INDEX(Enrichment!$A$2:$GZ$2000,0,MATCH("row_id",Enrichment!$A$1:$GZ$1,0)),0),MATCH("backup_work_email",Enrichment!$A$1:$GZ$1,0))&amp;"",""))</f>
        <v/>
      </c>
      <c r="BR7" s="0" t="str">
        <f aca="false">IF($A7="","",IF(BQ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none</v>
      </c>
      <c r="BS7" s="0" t="s">
        <v>176</v>
      </c>
      <c r="BT7" s="0" t="s">
        <v>283</v>
      </c>
      <c r="BU7" s="0" t="s">
        <v>284</v>
      </c>
      <c r="BV7" s="0" t="s">
        <v>421</v>
      </c>
      <c r="BW7" s="0" t="s">
        <v>172</v>
      </c>
      <c r="BX7" s="0" t="s">
        <v>301</v>
      </c>
      <c r="BY7" s="0" t="s">
        <v>432</v>
      </c>
      <c r="BZ7" s="0" t="s">
        <v>433</v>
      </c>
      <c r="CA7" s="0" t="s">
        <v>434</v>
      </c>
      <c r="CB7" s="0" t="s">
        <v>196</v>
      </c>
      <c r="CC7" s="0" t="s">
        <v>435</v>
      </c>
      <c r="CD7" s="0" t="s">
        <v>436</v>
      </c>
      <c r="CE7" s="0" t="s">
        <v>437</v>
      </c>
      <c r="CF7" s="0" t="s">
        <v>352</v>
      </c>
      <c r="CH7" s="0" t="s">
        <v>422</v>
      </c>
      <c r="CI7" s="0" t="s">
        <v>423</v>
      </c>
      <c r="CJ7" s="0" t="s">
        <v>424</v>
      </c>
      <c r="CK7" s="0" t="s">
        <v>425</v>
      </c>
      <c r="CM7" s="0" t="s">
        <v>164</v>
      </c>
      <c r="CN7" s="0" t="s">
        <v>200</v>
      </c>
      <c r="CO7" s="0" t="s">
        <v>201</v>
      </c>
      <c r="CP7" s="0" t="s">
        <v>1</v>
      </c>
      <c r="CQ7" s="0" t="s">
        <v>438</v>
      </c>
      <c r="CR7" s="0" t="s">
        <v>410</v>
      </c>
      <c r="CS7" s="0" t="s">
        <v>426</v>
      </c>
      <c r="CT7" s="0" t="s">
        <v>427</v>
      </c>
      <c r="CU7" s="0" t="s">
        <v>439</v>
      </c>
      <c r="CV7" s="0" t="s">
        <v>209</v>
      </c>
      <c r="CW7" s="0" t="s">
        <v>209</v>
      </c>
      <c r="CX7" s="0" t="s">
        <v>440</v>
      </c>
      <c r="CY7" s="0" t="s">
        <v>441</v>
      </c>
      <c r="CZ7" s="0" t="s">
        <v>442</v>
      </c>
      <c r="DA7" s="0" t="s">
        <v>207</v>
      </c>
      <c r="DB7" s="0" t="s">
        <v>259</v>
      </c>
      <c r="DC7" s="0" t="s">
        <v>164</v>
      </c>
      <c r="DD7" s="0" t="s">
        <v>209</v>
      </c>
      <c r="DE7" s="0" t="s">
        <v>428</v>
      </c>
      <c r="DF7" s="0" t="s">
        <v>210</v>
      </c>
      <c r="DG7" s="0" t="n">
        <v>40.73686</v>
      </c>
      <c r="DH7" s="0" t="n">
        <v>-73.988546</v>
      </c>
      <c r="DI7" s="0" t="s">
        <v>164</v>
      </c>
      <c r="DJ7" s="0" t="n">
        <v>0</v>
      </c>
      <c r="DK7" s="0" t="s">
        <v>260</v>
      </c>
      <c r="DL7" s="0" t="s">
        <v>261</v>
      </c>
      <c r="DM7" s="0" t="s">
        <v>264</v>
      </c>
      <c r="DN7" s="0" t="s">
        <v>265</v>
      </c>
      <c r="DO7" s="0" t="s">
        <v>443</v>
      </c>
      <c r="DP7" s="0" t="s">
        <v>444</v>
      </c>
      <c r="DQ7" s="0" t="s">
        <v>445</v>
      </c>
      <c r="DR7" s="0" t="s">
        <v>266</v>
      </c>
      <c r="DS7" s="0" t="s">
        <v>217</v>
      </c>
      <c r="DU7" s="0" t="s">
        <v>189</v>
      </c>
      <c r="DX7" s="0" t="s">
        <v>267</v>
      </c>
      <c r="DY7" s="0" t="s">
        <v>268</v>
      </c>
      <c r="EA7" s="0" t="s">
        <v>209</v>
      </c>
      <c r="EB7" s="0" t="s">
        <v>189</v>
      </c>
      <c r="EC7" s="0" t="s">
        <v>446</v>
      </c>
      <c r="ED7" s="0" t="s">
        <v>447</v>
      </c>
      <c r="EE7" s="0" t="s">
        <v>172</v>
      </c>
      <c r="EF7" s="0" t="n">
        <v>82</v>
      </c>
      <c r="EH7" s="0" t="s">
        <v>189</v>
      </c>
      <c r="EI7" s="0" t="s">
        <v>448</v>
      </c>
      <c r="EJ7" s="0" t="s">
        <v>221</v>
      </c>
      <c r="EK7" s="0" t="n">
        <v>1</v>
      </c>
      <c r="EL7" s="0" t="n">
        <v>75</v>
      </c>
      <c r="EM7" s="0" t="n">
        <v>25</v>
      </c>
      <c r="EN7" s="0" t="n">
        <v>15</v>
      </c>
      <c r="EO7" s="0" t="n">
        <v>10</v>
      </c>
      <c r="EP7" s="0" t="n">
        <v>15</v>
      </c>
      <c r="EQ7" s="0" t="n">
        <f aca="false">IF($A7="","",IF(AH7="exact",10,IF(AH7="adjacent",5,0)))</f>
        <v>0</v>
      </c>
      <c r="ER7" s="0" t="n">
        <f aca="false">IF($A7="","",IF(R7="Y",15,0))</f>
        <v>0</v>
      </c>
      <c r="ES7" s="0" t="s">
        <v>222</v>
      </c>
      <c r="EV7" s="0" t="s">
        <v>449</v>
      </c>
      <c r="EW7" s="0" t="s">
        <v>224</v>
      </c>
      <c r="EX7" s="0" t="s">
        <v>450</v>
      </c>
      <c r="EZ7" s="0" t="s">
        <v>451</v>
      </c>
      <c r="FS7" s="0" t="str">
        <f aca="false">IF($A7="","",IF(ISNUMBER(MATCH(U7,{"queued","contacted","replied","call_booked","call_done","yes_in_principle","materials_sent"},0)),"Y","N"))</f>
        <v>N</v>
      </c>
      <c r="FT7" s="0" t="str">
        <f aca="false">IF($A7="","",IF(OR(T7="Y",U7="do_not_contact",AS7&amp;""&lt;&gt;""),"Y","N"))</f>
        <v>N</v>
      </c>
      <c r="FU7" s="0" t="str">
        <f aca="false">IF($A7="","",IF(AP7&amp;""&lt;&gt;"",AP7&amp;"",$A7))</f>
        <v>AO-C-037</v>
      </c>
      <c r="FV7" s="0" t="str">
        <f aca="false">IF($A7="","",IF(COUNTIFS($FU$2:$FU$1000,FU7,$FS$2:$FS$1000,"Y")+COUNTIFS($FU$2:$FU$1000,FU7,$FT$2:$FT$1000,"Y")&gt;0,"Y","N"))</f>
        <v>N</v>
      </c>
      <c r="FW7" s="0" t="str">
        <f aca="false">IF($A7="","",IF(AND(U7="new",T7="N",FT7="N",AT7="Y",FV7="N"),"Y","N"))</f>
        <v>N</v>
      </c>
      <c r="FX7" s="0" t="str">
        <f aca="false">IF($A7="","",IF(FW7&lt;&gt;"Y","N",IF(COUNTIFS($FU$2:$FU$1000,FU7,$FW$2:$FW$1000,"Y",$J$2:$J$1000,"&gt;"&amp;J7)+COUNTIFS($FU$2:$FU$1000,FU7,$FW$2:$FW$1000,"Y",$J$2:$J$1000,J7,$GD$2:$GD$1000,"&lt;"&amp;GD7)=0,"Y","N")))</f>
        <v>N</v>
      </c>
      <c r="FY7" s="0" t="str">
        <f aca="false">IF($A7="","",IF(AND(FW7="Y",FX7="Y",Y7&amp;""&lt;&gt;""),IF(Y7&lt;=10,"Y","N"),"N"))</f>
        <v>N</v>
      </c>
      <c r="FZ7" s="0" t="str">
        <f aca="false">IF(FY7="Y",Y7,"")</f>
        <v/>
      </c>
      <c r="GA7" s="0" t="str">
        <f aca="false">IF($A7="","",IF(AND(I7="walk-in",CN7="pass",U7="new",FT7="N",FV7="N",AQ7&lt;&gt;"Y"),"Y","N"))</f>
        <v>N</v>
      </c>
      <c r="GB7" s="0" t="str">
        <f aca="false">IF(GA7&lt;&gt;"Y","",IF(COUNTIFS($GA$2:$GA$1000,"Y",$J$2:$J$1000,"&gt;"&amp;J7)+COUNTIFS($GA$2:$GA$1000,"Y",$J$2:$J$1000,J7,$GD$2:$GD$1000,"&lt;"&amp;GD7)+1&lt;=25,COUNTIFS($GA$2:$GA$1000,"Y",$J$2:$J$1000,"&gt;"&amp;J7)+COUNTIFS($GA$2:$GA$1000,"Y",$J$2:$J$1000,J7,$GD$2:$GD$1000,"&lt;"&amp;GD7)+1,""))</f>
        <v/>
      </c>
      <c r="GC7" s="0" t="str">
        <f aca="false">IF(AND(_xlfn.ISFORMULA(C7),_xlfn.ISFORMULA(J7)),"Y","N")</f>
        <v>N</v>
      </c>
      <c r="GD7" s="0" t="n">
        <f aca="false">ROW()-1</f>
        <v>6</v>
      </c>
    </row>
    <row r="8" customFormat="false" ht="15" hidden="false" customHeight="false" outlineLevel="0" collapsed="false">
      <c r="A8" s="0" t="s">
        <v>452</v>
      </c>
      <c r="B8" s="0" t="s">
        <v>453</v>
      </c>
      <c r="C8" s="0" t="s">
        <v>454</v>
      </c>
      <c r="D8" s="0" t="s">
        <v>455</v>
      </c>
      <c r="E8" s="0" t="s">
        <v>456</v>
      </c>
      <c r="F8" s="0" t="s">
        <v>457</v>
      </c>
      <c r="G8" s="0" t="s">
        <v>164</v>
      </c>
      <c r="H8" s="0" t="s">
        <v>458</v>
      </c>
      <c r="I8" s="0" t="s">
        <v>459</v>
      </c>
      <c r="J8" s="0" t="s">
        <v>460</v>
      </c>
      <c r="L8" s="0" t="s">
        <v>168</v>
      </c>
      <c r="M8" s="0" t="s">
        <v>169</v>
      </c>
      <c r="N8" s="0" t="s">
        <v>170</v>
      </c>
      <c r="O8" s="0" t="s">
        <v>461</v>
      </c>
      <c r="P8" s="0" t="s">
        <v>172</v>
      </c>
      <c r="Q8" s="0" t="s">
        <v>462</v>
      </c>
      <c r="R8" s="5" t="s">
        <v>463</v>
      </c>
      <c r="S8" s="0" t="s">
        <v>464</v>
      </c>
      <c r="U8" s="5" t="s">
        <v>176</v>
      </c>
      <c r="V8" s="0" t="s">
        <v>283</v>
      </c>
      <c r="W8" s="0" t="s">
        <v>284</v>
      </c>
      <c r="X8" s="0" t="s">
        <v>465</v>
      </c>
      <c r="Y8" s="0" t="s">
        <v>172</v>
      </c>
      <c r="Z8" s="0" t="s">
        <v>466</v>
      </c>
      <c r="AA8" s="0" t="s">
        <v>336</v>
      </c>
      <c r="AB8" s="0" t="s">
        <v>467</v>
      </c>
      <c r="AC8" s="0" t="s">
        <v>180</v>
      </c>
      <c r="AE8" s="0" t="s">
        <v>245</v>
      </c>
      <c r="AF8" s="0" t="s">
        <v>468</v>
      </c>
      <c r="AG8" s="0" t="s">
        <v>469</v>
      </c>
      <c r="AH8" s="0" t="s">
        <v>470</v>
      </c>
      <c r="AI8" s="0" t="s">
        <v>471</v>
      </c>
      <c r="AJ8" s="0" t="s">
        <v>164</v>
      </c>
      <c r="AK8" s="0" t="s">
        <v>186</v>
      </c>
      <c r="AL8" s="0" t="s">
        <v>164</v>
      </c>
      <c r="AM8" s="0" t="n">
        <v>114</v>
      </c>
      <c r="AN8" s="0" t="s">
        <v>187</v>
      </c>
      <c r="AO8" s="0" t="s">
        <v>429</v>
      </c>
      <c r="AP8" s="0" t="s">
        <v>452</v>
      </c>
      <c r="AQ8" s="5" t="s">
        <v>189</v>
      </c>
      <c r="AT8" s="0" t="str">
        <f aca="false">IF($A8="","",IF(AND(CN8="pass",AQ8&lt;&gt;"Y",C8&lt;&gt;"",OR(AX8&lt;&gt;"Y",AV8="Y")),"Y","N"))</f>
        <v>Y</v>
      </c>
      <c r="AU8" s="0" t="str">
        <f aca="false">IF($A8="","",_xlfn.TEXTJOIN("; ",TRUE(),IF(CN8&lt;&gt;"pass","gated out",""),IF(AQ8="Y","on hold: "&amp;AR8,""),IF(C8="","no contact named on an opened page",""),IF(AND(AX8="Y",AV8&lt;&gt;"Y"),"Tuesday estimate band "&amp;L8&amp;": founder's call","")))</f>
        <v/>
      </c>
      <c r="AX8" s="0" t="s">
        <v>189</v>
      </c>
      <c r="AY8" s="0" t="s">
        <v>458</v>
      </c>
      <c r="AZ8" s="0" t="s">
        <v>459</v>
      </c>
      <c r="BA8" s="0" t="s">
        <v>460</v>
      </c>
      <c r="BC8" s="0" t="str">
        <f aca="false">IF($A8="","",IFERROR(INDEX(Enrichment!$A$2:$GZ$2000,MATCH($A8,INDEX(Enrichment!$A$2:$GZ$2000,0,MATCH("row_id",Enrichment!$A$1:$GZ$1,0)),0),MATCH("work_email",Enrichment!$A$1:$GZ$1,0))&amp;"",""))</f>
        <v/>
      </c>
      <c r="BD8" s="0" t="str">
        <f aca="false">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none</v>
      </c>
      <c r="BE8" s="0" t="s">
        <v>168</v>
      </c>
      <c r="BF8" s="0" t="s">
        <v>169</v>
      </c>
      <c r="BG8" s="0" t="s">
        <v>170</v>
      </c>
      <c r="BH8" s="0" t="s">
        <v>461</v>
      </c>
      <c r="BI8" s="0" t="s">
        <v>172</v>
      </c>
      <c r="BJ8" s="0" t="s">
        <v>301</v>
      </c>
      <c r="BK8" s="0" t="s">
        <v>472</v>
      </c>
      <c r="BL8" s="0" t="s">
        <v>473</v>
      </c>
      <c r="BM8" s="0" t="s">
        <v>462</v>
      </c>
      <c r="BN8" s="0" t="s">
        <v>463</v>
      </c>
      <c r="BO8" s="0" t="s">
        <v>464</v>
      </c>
      <c r="BQ8" s="0" t="str">
        <f aca="false">IF($A8="","",IFERROR(INDEX(Enrichment!$A$2:$GZ$2000,MATCH($A8,INDEX(Enrichment!$A$2:$GZ$2000,0,MATCH("row_id",Enrichment!$A$1:$GZ$1,0)),0),MATCH("backup_work_email",Enrichment!$A$1:$GZ$1,0))&amp;"",""))</f>
        <v/>
      </c>
      <c r="BR8" s="0" t="str">
        <f aca="false">IF($A8="","",IF(BQ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none</v>
      </c>
      <c r="BS8" s="0" t="s">
        <v>176</v>
      </c>
      <c r="BT8" s="0" t="s">
        <v>283</v>
      </c>
      <c r="BU8" s="0" t="s">
        <v>284</v>
      </c>
      <c r="BV8" s="0" t="s">
        <v>465</v>
      </c>
      <c r="BW8" s="0" t="s">
        <v>172</v>
      </c>
      <c r="BX8" s="0" t="s">
        <v>301</v>
      </c>
      <c r="BY8" s="0" t="s">
        <v>474</v>
      </c>
      <c r="BZ8" s="0" t="s">
        <v>475</v>
      </c>
      <c r="CA8" s="0" t="s">
        <v>476</v>
      </c>
      <c r="CB8" s="0" t="s">
        <v>196</v>
      </c>
      <c r="CC8" s="0" t="s">
        <v>477</v>
      </c>
      <c r="CD8" s="0" t="s">
        <v>478</v>
      </c>
      <c r="CE8" s="0" t="s">
        <v>479</v>
      </c>
      <c r="CF8" s="0" t="s">
        <v>180</v>
      </c>
      <c r="CH8" s="0" t="s">
        <v>466</v>
      </c>
      <c r="CI8" s="0" t="s">
        <v>336</v>
      </c>
      <c r="CJ8" s="0" t="s">
        <v>467</v>
      </c>
      <c r="CK8" s="0" t="s">
        <v>180</v>
      </c>
      <c r="CM8" s="0" t="s">
        <v>164</v>
      </c>
      <c r="CN8" s="0" t="s">
        <v>200</v>
      </c>
      <c r="CO8" s="0" t="s">
        <v>201</v>
      </c>
      <c r="CP8" s="0" t="s">
        <v>1</v>
      </c>
      <c r="CQ8" s="0" t="s">
        <v>480</v>
      </c>
      <c r="CR8" s="0" t="s">
        <v>454</v>
      </c>
      <c r="CS8" s="0" t="s">
        <v>469</v>
      </c>
      <c r="CT8" s="0" t="s">
        <v>470</v>
      </c>
      <c r="CU8" s="0" t="s">
        <v>481</v>
      </c>
      <c r="CV8" s="0" t="s">
        <v>203</v>
      </c>
      <c r="CW8" s="0" t="s">
        <v>204</v>
      </c>
      <c r="CX8" s="0" t="s">
        <v>356</v>
      </c>
      <c r="CY8" s="0" t="s">
        <v>482</v>
      </c>
      <c r="CZ8" s="0" t="s">
        <v>483</v>
      </c>
      <c r="DA8" s="0" t="s">
        <v>207</v>
      </c>
      <c r="DB8" s="0" t="s">
        <v>259</v>
      </c>
      <c r="DC8" s="0" t="s">
        <v>164</v>
      </c>
      <c r="DD8" s="0" t="s">
        <v>209</v>
      </c>
      <c r="DE8" s="0" t="s">
        <v>471</v>
      </c>
      <c r="DF8" s="0" t="s">
        <v>210</v>
      </c>
      <c r="DG8" s="0" t="n">
        <v>40.73686</v>
      </c>
      <c r="DH8" s="0" t="n">
        <v>-73.988546</v>
      </c>
      <c r="DI8" s="0" t="s">
        <v>164</v>
      </c>
      <c r="DJ8" s="0" t="n">
        <v>0</v>
      </c>
      <c r="DK8" s="0" t="s">
        <v>260</v>
      </c>
      <c r="DL8" s="0" t="s">
        <v>261</v>
      </c>
      <c r="DM8" s="0" t="s">
        <v>484</v>
      </c>
      <c r="DN8" s="0" t="s">
        <v>263</v>
      </c>
      <c r="DO8" s="0" t="s">
        <v>214</v>
      </c>
      <c r="DP8" s="0" t="s">
        <v>264</v>
      </c>
      <c r="DQ8" s="0" t="s">
        <v>265</v>
      </c>
      <c r="DR8" s="0" t="s">
        <v>266</v>
      </c>
      <c r="DS8" s="0" t="s">
        <v>217</v>
      </c>
      <c r="DU8" s="0" t="s">
        <v>189</v>
      </c>
      <c r="DX8" s="0" t="s">
        <v>267</v>
      </c>
      <c r="DY8" s="0" t="s">
        <v>268</v>
      </c>
      <c r="EA8" s="0" t="s">
        <v>209</v>
      </c>
      <c r="EB8" s="0" t="s">
        <v>164</v>
      </c>
      <c r="EC8" s="0" t="s">
        <v>446</v>
      </c>
      <c r="ED8" s="0" t="s">
        <v>485</v>
      </c>
      <c r="EE8" s="0" t="s">
        <v>172</v>
      </c>
      <c r="EF8" s="0" t="n">
        <v>80</v>
      </c>
      <c r="EH8" s="0" t="s">
        <v>189</v>
      </c>
      <c r="EI8" s="0" t="s">
        <v>486</v>
      </c>
      <c r="EJ8" s="0" t="s">
        <v>221</v>
      </c>
      <c r="EK8" s="0" t="n">
        <v>1</v>
      </c>
      <c r="EL8" s="0" t="n">
        <v>73</v>
      </c>
      <c r="EM8" s="0" t="n">
        <v>25</v>
      </c>
      <c r="EN8" s="0" t="n">
        <v>15</v>
      </c>
      <c r="EO8" s="0" t="n">
        <v>13</v>
      </c>
      <c r="EP8" s="0" t="n">
        <v>15</v>
      </c>
      <c r="EQ8" s="0" t="n">
        <f aca="false">IF($A8="","",IF(AH8="exact",10,IF(AH8="adjacent",5,0)))</f>
        <v>0</v>
      </c>
      <c r="ER8" s="0" t="n">
        <f aca="false">IF($A8="","",IF(R8="Y",15,0))</f>
        <v>0</v>
      </c>
      <c r="ES8" s="0" t="s">
        <v>222</v>
      </c>
      <c r="EV8" s="0" t="s">
        <v>487</v>
      </c>
      <c r="EW8" s="0" t="s">
        <v>224</v>
      </c>
      <c r="EX8" s="0" t="s">
        <v>488</v>
      </c>
      <c r="EZ8" s="0" t="s">
        <v>489</v>
      </c>
      <c r="FS8" s="0" t="str">
        <f aca="false">IF($A8="","",IF(ISNUMBER(MATCH(U8,{"queued","contacted","replied","call_booked","call_done","yes_in_principle","materials_sent"},0)),"Y","N"))</f>
        <v>N</v>
      </c>
      <c r="FT8" s="0" t="str">
        <f aca="false">IF($A8="","",IF(OR(T8="Y",U8="do_not_contact",AS8&amp;""&lt;&gt;""),"Y","N"))</f>
        <v>N</v>
      </c>
      <c r="FU8" s="0" t="str">
        <f aca="false">IF($A8="","",IF(AP8&amp;""&lt;&gt;"",AP8&amp;"",$A8))</f>
        <v>AO-C-034</v>
      </c>
      <c r="FV8" s="0" t="str">
        <f aca="false">IF($A8="","",IF(COUNTIFS($FU$2:$FU$1000,FU8,$FS$2:$FS$1000,"Y")+COUNTIFS($FU$2:$FU$1000,FU8,$FT$2:$FT$1000,"Y")&gt;0,"Y","N"))</f>
        <v>N</v>
      </c>
      <c r="FW8" s="0" t="str">
        <f aca="false">IF($A8="","",IF(AND(U8="new",T8="N",FT8="N",AT8="Y",FV8="N"),"Y","N"))</f>
        <v>N</v>
      </c>
      <c r="FX8" s="0" t="str">
        <f aca="false">IF($A8="","",IF(FW8&lt;&gt;"Y","N",IF(COUNTIFS($FU$2:$FU$1000,FU8,$FW$2:$FW$1000,"Y",$J$2:$J$1000,"&gt;"&amp;J8)+COUNTIFS($FU$2:$FU$1000,FU8,$FW$2:$FW$1000,"Y",$J$2:$J$1000,J8,$GD$2:$GD$1000,"&lt;"&amp;GD8)=0,"Y","N")))</f>
        <v>N</v>
      </c>
      <c r="FY8" s="0" t="str">
        <f aca="false">IF($A8="","",IF(AND(FW8="Y",FX8="Y",Y8&amp;""&lt;&gt;""),IF(Y8&lt;=10,"Y","N"),"N"))</f>
        <v>N</v>
      </c>
      <c r="FZ8" s="0" t="str">
        <f aca="false">IF(FY8="Y",Y8,"")</f>
        <v/>
      </c>
      <c r="GA8" s="0" t="str">
        <f aca="false">IF($A8="","",IF(AND(I8="walk-in",CN8="pass",U8="new",FT8="N",FV8="N",AQ8&lt;&gt;"Y"),"Y","N"))</f>
        <v>N</v>
      </c>
      <c r="GB8" s="0" t="str">
        <f aca="false">IF(GA8&lt;&gt;"Y","",IF(COUNTIFS($GA$2:$GA$1000,"Y",$J$2:$J$1000,"&gt;"&amp;J8)+COUNTIFS($GA$2:$GA$1000,"Y",$J$2:$J$1000,J8,$GD$2:$GD$1000,"&lt;"&amp;GD8)+1&lt;=25,COUNTIFS($GA$2:$GA$1000,"Y",$J$2:$J$1000,"&gt;"&amp;J8)+COUNTIFS($GA$2:$GA$1000,"Y",$J$2:$J$1000,J8,$GD$2:$GD$1000,"&lt;"&amp;GD8)+1,""))</f>
        <v/>
      </c>
      <c r="GC8" s="0" t="str">
        <f aca="false">IF(AND(_xlfn.ISFORMULA(C8),_xlfn.ISFORMULA(J8)),"Y","N")</f>
        <v>N</v>
      </c>
      <c r="GD8" s="0" t="n">
        <f aca="false">ROW()-1</f>
        <v>7</v>
      </c>
    </row>
    <row r="9" customFormat="false" ht="15" hidden="false" customHeight="false" outlineLevel="0" collapsed="false">
      <c r="A9" s="0" t="s">
        <v>490</v>
      </c>
      <c r="B9" s="0" t="s">
        <v>491</v>
      </c>
      <c r="C9" s="0" t="s">
        <v>492</v>
      </c>
      <c r="D9" s="0" t="s">
        <v>493</v>
      </c>
      <c r="E9" s="0" t="s">
        <v>494</v>
      </c>
      <c r="F9" s="0" t="s">
        <v>495</v>
      </c>
      <c r="G9" s="0" t="s">
        <v>164</v>
      </c>
      <c r="H9" s="0" t="s">
        <v>496</v>
      </c>
      <c r="I9" s="0" t="s">
        <v>497</v>
      </c>
      <c r="J9" s="0" t="s">
        <v>498</v>
      </c>
      <c r="L9" s="0" t="s">
        <v>168</v>
      </c>
      <c r="M9" s="0" t="s">
        <v>283</v>
      </c>
      <c r="N9" s="0" t="s">
        <v>284</v>
      </c>
      <c r="O9" s="0" t="s">
        <v>499</v>
      </c>
      <c r="P9" s="0" t="s">
        <v>172</v>
      </c>
      <c r="Q9" s="0" t="s">
        <v>500</v>
      </c>
      <c r="R9" s="5" t="s">
        <v>501</v>
      </c>
      <c r="S9" s="0" t="s">
        <v>502</v>
      </c>
      <c r="U9" s="5" t="s">
        <v>176</v>
      </c>
      <c r="V9" s="0" t="s">
        <v>283</v>
      </c>
      <c r="W9" s="0" t="s">
        <v>284</v>
      </c>
      <c r="X9" s="0" t="s">
        <v>503</v>
      </c>
      <c r="Y9" s="0" t="s">
        <v>172</v>
      </c>
      <c r="Z9" s="0" t="s">
        <v>504</v>
      </c>
      <c r="AA9" s="0" t="s">
        <v>505</v>
      </c>
      <c r="AB9" s="0" t="s">
        <v>506</v>
      </c>
      <c r="AC9" s="0" t="s">
        <v>352</v>
      </c>
      <c r="AE9" s="0" t="s">
        <v>507</v>
      </c>
      <c r="AF9" s="0" t="s">
        <v>508</v>
      </c>
      <c r="AG9" s="0" t="s">
        <v>509</v>
      </c>
      <c r="AH9" s="0" t="s">
        <v>510</v>
      </c>
      <c r="AI9" s="0" t="s">
        <v>511</v>
      </c>
      <c r="AJ9" s="0" t="s">
        <v>164</v>
      </c>
      <c r="AK9" s="0" t="s">
        <v>186</v>
      </c>
      <c r="AL9" s="0" t="s">
        <v>164</v>
      </c>
      <c r="AM9" s="0" t="n">
        <v>109</v>
      </c>
      <c r="AN9" s="0" t="s">
        <v>187</v>
      </c>
      <c r="AO9" s="0" t="s">
        <v>512</v>
      </c>
      <c r="AP9" s="0" t="s">
        <v>490</v>
      </c>
      <c r="AQ9" s="5" t="s">
        <v>189</v>
      </c>
      <c r="AT9" s="0" t="str">
        <f aca="false">IF($A9="","",IF(AND(CN9="pass",AQ9&lt;&gt;"Y",C9&lt;&gt;"",OR(AX9&lt;&gt;"Y",AV9="Y")),"Y","N"))</f>
        <v>Y</v>
      </c>
      <c r="AU9" s="0" t="str">
        <f aca="false">IF($A9="","",_xlfn.TEXTJOIN("; ",TRUE(),IF(CN9&lt;&gt;"pass","gated out",""),IF(AQ9="Y","on hold: "&amp;AR9,""),IF(C9="","no contact named on an opened page",""),IF(AND(AX9="Y",AV9&lt;&gt;"Y"),"Tuesday estimate band "&amp;L9&amp;": founder's call","")))</f>
        <v/>
      </c>
      <c r="AX9" s="0" t="s">
        <v>189</v>
      </c>
      <c r="AY9" s="0" t="s">
        <v>496</v>
      </c>
      <c r="AZ9" s="0" t="s">
        <v>497</v>
      </c>
      <c r="BA9" s="0" t="s">
        <v>498</v>
      </c>
      <c r="BC9" s="0" t="str">
        <f aca="false">IF($A9="","",IFERROR(INDEX(Enrichment!$A$2:$GZ$2000,MATCH($A9,INDEX(Enrichment!$A$2:$GZ$2000,0,MATCH("row_id",Enrichment!$A$1:$GZ$1,0)),0),MATCH("work_email",Enrichment!$A$1:$GZ$1,0))&amp;"",""))</f>
        <v/>
      </c>
      <c r="BD9" s="0" t="str">
        <f aca="false">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none</v>
      </c>
      <c r="BE9" s="0" t="s">
        <v>168</v>
      </c>
      <c r="BF9" s="0" t="s">
        <v>283</v>
      </c>
      <c r="BG9" s="0" t="s">
        <v>284</v>
      </c>
      <c r="BH9" s="0" t="s">
        <v>499</v>
      </c>
      <c r="BI9" s="0" t="s">
        <v>172</v>
      </c>
      <c r="BJ9" s="0" t="s">
        <v>190</v>
      </c>
      <c r="BK9" s="0" t="s">
        <v>513</v>
      </c>
      <c r="BL9" s="0" t="s">
        <v>514</v>
      </c>
      <c r="BM9" s="0" t="s">
        <v>500</v>
      </c>
      <c r="BN9" s="0" t="s">
        <v>501</v>
      </c>
      <c r="BO9" s="0" t="s">
        <v>502</v>
      </c>
      <c r="BQ9" s="0" t="str">
        <f aca="false">IF($A9="","",IFERROR(INDEX(Enrichment!$A$2:$GZ$2000,MATCH($A9,INDEX(Enrichment!$A$2:$GZ$2000,0,MATCH("row_id",Enrichment!$A$1:$GZ$1,0)),0),MATCH("backup_work_email",Enrichment!$A$1:$GZ$1,0))&amp;"",""))</f>
        <v/>
      </c>
      <c r="BR9" s="0" t="str">
        <f aca="false">IF($A9="","",IF(BQ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none</v>
      </c>
      <c r="BS9" s="0" t="s">
        <v>176</v>
      </c>
      <c r="BT9" s="0" t="s">
        <v>283</v>
      </c>
      <c r="BU9" s="0" t="s">
        <v>284</v>
      </c>
      <c r="BV9" s="0" t="s">
        <v>503</v>
      </c>
      <c r="BW9" s="0" t="s">
        <v>172</v>
      </c>
      <c r="BX9" s="0" t="s">
        <v>301</v>
      </c>
      <c r="BY9" s="0" t="s">
        <v>515</v>
      </c>
      <c r="BZ9" s="0" t="s">
        <v>516</v>
      </c>
      <c r="CA9" s="0" t="s">
        <v>517</v>
      </c>
      <c r="CB9" s="0" t="s">
        <v>196</v>
      </c>
      <c r="CC9" s="0" t="s">
        <v>518</v>
      </c>
      <c r="CD9" s="0" t="s">
        <v>519</v>
      </c>
      <c r="CE9" s="0" t="s">
        <v>520</v>
      </c>
      <c r="CF9" s="0" t="s">
        <v>180</v>
      </c>
      <c r="CH9" s="0" t="s">
        <v>504</v>
      </c>
      <c r="CI9" s="0" t="s">
        <v>505</v>
      </c>
      <c r="CJ9" s="0" t="s">
        <v>506</v>
      </c>
      <c r="CK9" s="0" t="s">
        <v>352</v>
      </c>
      <c r="CM9" s="0" t="s">
        <v>164</v>
      </c>
      <c r="CN9" s="0" t="s">
        <v>200</v>
      </c>
      <c r="CO9" s="0" t="s">
        <v>201</v>
      </c>
      <c r="CP9" s="0" t="s">
        <v>1</v>
      </c>
      <c r="CQ9" s="0" t="s">
        <v>521</v>
      </c>
      <c r="CR9" s="0" t="s">
        <v>492</v>
      </c>
      <c r="CS9" s="0" t="s">
        <v>509</v>
      </c>
      <c r="CT9" s="0" t="s">
        <v>510</v>
      </c>
      <c r="CU9" s="0" t="s">
        <v>522</v>
      </c>
      <c r="CV9" s="0" t="s">
        <v>355</v>
      </c>
      <c r="CW9" s="0" t="s">
        <v>204</v>
      </c>
      <c r="CX9" s="0" t="s">
        <v>356</v>
      </c>
      <c r="CY9" s="0" t="s">
        <v>523</v>
      </c>
      <c r="CZ9" s="0" t="s">
        <v>524</v>
      </c>
      <c r="DA9" s="0" t="s">
        <v>207</v>
      </c>
      <c r="DB9" s="0" t="s">
        <v>259</v>
      </c>
      <c r="DC9" s="0" t="s">
        <v>164</v>
      </c>
      <c r="DD9" s="0" t="s">
        <v>209</v>
      </c>
      <c r="DE9" s="0" t="s">
        <v>511</v>
      </c>
      <c r="DF9" s="0" t="s">
        <v>525</v>
      </c>
      <c r="DG9" s="0" t="n">
        <v>40.739819</v>
      </c>
      <c r="DH9" s="0" t="n">
        <v>-73.986885</v>
      </c>
      <c r="DI9" s="0" t="s">
        <v>164</v>
      </c>
      <c r="DJ9" s="0" t="n">
        <v>0</v>
      </c>
      <c r="DK9" s="0" t="s">
        <v>526</v>
      </c>
      <c r="DL9" s="0" t="s">
        <v>527</v>
      </c>
      <c r="DM9" s="0" t="s">
        <v>528</v>
      </c>
      <c r="DN9" s="0" t="s">
        <v>263</v>
      </c>
      <c r="DO9" s="0" t="s">
        <v>214</v>
      </c>
      <c r="DP9" s="0" t="s">
        <v>529</v>
      </c>
      <c r="DQ9" s="0" t="s">
        <v>530</v>
      </c>
      <c r="DS9" s="0" t="s">
        <v>217</v>
      </c>
      <c r="DU9" s="0" t="s">
        <v>189</v>
      </c>
      <c r="DX9" s="0" t="s">
        <v>267</v>
      </c>
      <c r="DY9" s="0" t="s">
        <v>531</v>
      </c>
      <c r="EA9" s="0" t="s">
        <v>209</v>
      </c>
      <c r="EB9" s="0" t="s">
        <v>189</v>
      </c>
      <c r="EC9" s="0" t="s">
        <v>532</v>
      </c>
      <c r="ED9" s="0" t="s">
        <v>523</v>
      </c>
      <c r="EE9" s="0" t="s">
        <v>172</v>
      </c>
      <c r="EF9" s="0" t="n">
        <v>94</v>
      </c>
      <c r="EH9" s="0" t="s">
        <v>164</v>
      </c>
      <c r="EI9" s="0" t="s">
        <v>533</v>
      </c>
      <c r="EJ9" s="0" t="s">
        <v>221</v>
      </c>
      <c r="EK9" s="0" t="n">
        <v>1</v>
      </c>
      <c r="EL9" s="0" t="n">
        <v>72</v>
      </c>
      <c r="EM9" s="0" t="n">
        <v>25</v>
      </c>
      <c r="EN9" s="0" t="n">
        <v>15</v>
      </c>
      <c r="EO9" s="0" t="n">
        <v>7</v>
      </c>
      <c r="EP9" s="0" t="n">
        <v>15</v>
      </c>
      <c r="EQ9" s="0" t="n">
        <f aca="false">IF($A9="","",IF(AH9="exact",10,IF(AH9="adjacent",5,0)))</f>
        <v>0</v>
      </c>
      <c r="ER9" s="0" t="n">
        <f aca="false">IF($A9="","",IF(R9="Y",15,0))</f>
        <v>0</v>
      </c>
      <c r="ES9" s="0" t="s">
        <v>222</v>
      </c>
      <c r="EV9" s="0" t="s">
        <v>534</v>
      </c>
      <c r="EW9" s="0" t="s">
        <v>224</v>
      </c>
      <c r="EX9" s="0" t="s">
        <v>535</v>
      </c>
      <c r="EZ9" s="0" t="s">
        <v>536</v>
      </c>
      <c r="FS9" s="0" t="str">
        <f aca="false">IF($A9="","",IF(ISNUMBER(MATCH(U9,{"queued","contacted","replied","call_booked","call_done","yes_in_principle","materials_sent"},0)),"Y","N"))</f>
        <v>N</v>
      </c>
      <c r="FT9" s="0" t="str">
        <f aca="false">IF($A9="","",IF(OR(T9="Y",U9="do_not_contact",AS9&amp;""&lt;&gt;""),"Y","N"))</f>
        <v>N</v>
      </c>
      <c r="FU9" s="0" t="str">
        <f aca="false">IF($A9="","",IF(AP9&amp;""&lt;&gt;"",AP9&amp;"",$A9))</f>
        <v>AO-C-091</v>
      </c>
      <c r="FV9" s="0" t="str">
        <f aca="false">IF($A9="","",IF(COUNTIFS($FU$2:$FU$1000,FU9,$FS$2:$FS$1000,"Y")+COUNTIFS($FU$2:$FU$1000,FU9,$FT$2:$FT$1000,"Y")&gt;0,"Y","N"))</f>
        <v>N</v>
      </c>
      <c r="FW9" s="0" t="str">
        <f aca="false">IF($A9="","",IF(AND(U9="new",T9="N",FT9="N",AT9="Y",FV9="N"),"Y","N"))</f>
        <v>N</v>
      </c>
      <c r="FX9" s="0" t="str">
        <f aca="false">IF($A9="","",IF(FW9&lt;&gt;"Y","N",IF(COUNTIFS($FU$2:$FU$1000,FU9,$FW$2:$FW$1000,"Y",$J$2:$J$1000,"&gt;"&amp;J9)+COUNTIFS($FU$2:$FU$1000,FU9,$FW$2:$FW$1000,"Y",$J$2:$J$1000,J9,$GD$2:$GD$1000,"&lt;"&amp;GD9)=0,"Y","N")))</f>
        <v>N</v>
      </c>
      <c r="FY9" s="0" t="str">
        <f aca="false">IF($A9="","",IF(AND(FW9="Y",FX9="Y",Y9&amp;""&lt;&gt;""),IF(Y9&lt;=10,"Y","N"),"N"))</f>
        <v>N</v>
      </c>
      <c r="FZ9" s="0" t="str">
        <f aca="false">IF(FY9="Y",Y9,"")</f>
        <v/>
      </c>
      <c r="GA9" s="0" t="str">
        <f aca="false">IF($A9="","",IF(AND(I9="walk-in",CN9="pass",U9="new",FT9="N",FV9="N",AQ9&lt;&gt;"Y"),"Y","N"))</f>
        <v>N</v>
      </c>
      <c r="GB9" s="0" t="str">
        <f aca="false">IF(GA9&lt;&gt;"Y","",IF(COUNTIFS($GA$2:$GA$1000,"Y",$J$2:$J$1000,"&gt;"&amp;J9)+COUNTIFS($GA$2:$GA$1000,"Y",$J$2:$J$1000,J9,$GD$2:$GD$1000,"&lt;"&amp;GD9)+1&lt;=25,COUNTIFS($GA$2:$GA$1000,"Y",$J$2:$J$1000,"&gt;"&amp;J9)+COUNTIFS($GA$2:$GA$1000,"Y",$J$2:$J$1000,J9,$GD$2:$GD$1000,"&lt;"&amp;GD9)+1,""))</f>
        <v/>
      </c>
      <c r="GC9" s="0" t="str">
        <f aca="false">IF(AND(_xlfn.ISFORMULA(C9),_xlfn.ISFORMULA(J9)),"Y","N")</f>
        <v>N</v>
      </c>
      <c r="GD9" s="0" t="n">
        <f aca="false">ROW()-1</f>
        <v>8</v>
      </c>
    </row>
    <row r="10" customFormat="false" ht="15" hidden="false" customHeight="false" outlineLevel="0" collapsed="false">
      <c r="A10" s="0" t="s">
        <v>537</v>
      </c>
      <c r="B10" s="0" t="s">
        <v>538</v>
      </c>
      <c r="C10" s="0" t="s">
        <v>539</v>
      </c>
      <c r="D10" s="0" t="s">
        <v>540</v>
      </c>
      <c r="E10" s="0" t="s">
        <v>339</v>
      </c>
      <c r="F10" s="0" t="s">
        <v>495</v>
      </c>
      <c r="G10" s="0" t="s">
        <v>164</v>
      </c>
      <c r="H10" s="0" t="s">
        <v>541</v>
      </c>
      <c r="I10" s="0" t="s">
        <v>542</v>
      </c>
      <c r="J10" s="0" t="s">
        <v>543</v>
      </c>
      <c r="L10" s="0" t="s">
        <v>168</v>
      </c>
      <c r="M10" s="0" t="s">
        <v>283</v>
      </c>
      <c r="N10" s="0" t="s">
        <v>284</v>
      </c>
      <c r="O10" s="0" t="s">
        <v>544</v>
      </c>
      <c r="P10" s="0" t="s">
        <v>172</v>
      </c>
      <c r="Q10" s="0" t="s">
        <v>545</v>
      </c>
      <c r="R10" s="5" t="s">
        <v>546</v>
      </c>
      <c r="S10" s="0" t="s">
        <v>547</v>
      </c>
      <c r="U10" s="5" t="s">
        <v>176</v>
      </c>
      <c r="V10" s="0" t="s">
        <v>169</v>
      </c>
      <c r="W10" s="0" t="s">
        <v>170</v>
      </c>
      <c r="X10" s="0" t="s">
        <v>548</v>
      </c>
      <c r="Y10" s="0" t="s">
        <v>172</v>
      </c>
      <c r="Z10" s="0" t="s">
        <v>549</v>
      </c>
      <c r="AB10" s="0" t="s">
        <v>550</v>
      </c>
      <c r="AC10" s="0" t="s">
        <v>352</v>
      </c>
      <c r="AE10" s="0" t="s">
        <v>551</v>
      </c>
      <c r="AF10" s="0" t="s">
        <v>325</v>
      </c>
      <c r="AG10" s="0" t="s">
        <v>552</v>
      </c>
      <c r="AH10" s="0" t="s">
        <v>553</v>
      </c>
      <c r="AI10" s="0" t="s">
        <v>554</v>
      </c>
      <c r="AJ10" s="0" t="s">
        <v>164</v>
      </c>
      <c r="AK10" s="0" t="s">
        <v>186</v>
      </c>
      <c r="AL10" s="0" t="s">
        <v>164</v>
      </c>
      <c r="AM10" s="0" t="n">
        <v>133</v>
      </c>
      <c r="AN10" s="0" t="s">
        <v>187</v>
      </c>
      <c r="AO10" s="0" t="s">
        <v>512</v>
      </c>
      <c r="AP10" s="0" t="s">
        <v>537</v>
      </c>
      <c r="AQ10" s="5" t="s">
        <v>189</v>
      </c>
      <c r="AT10" s="0" t="str">
        <f aca="false">IF($A10="","",IF(AND(CN10="pass",AQ10&lt;&gt;"Y",C10&lt;&gt;"",OR(AX10&lt;&gt;"Y",AV10="Y")),"Y","N"))</f>
        <v>Y</v>
      </c>
      <c r="AU10" s="0" t="str">
        <f aca="false">IF($A10="","",_xlfn.TEXTJOIN("; ",TRUE(),IF(CN10&lt;&gt;"pass","gated out",""),IF(AQ10="Y","on hold: "&amp;AR10,""),IF(C10="","no contact named on an opened page",""),IF(AND(AX10="Y",AV10&lt;&gt;"Y"),"Tuesday estimate band "&amp;L10&amp;": founder's call","")))</f>
        <v/>
      </c>
      <c r="AX10" s="0" t="s">
        <v>189</v>
      </c>
      <c r="AY10" s="0" t="s">
        <v>541</v>
      </c>
      <c r="AZ10" s="0" t="s">
        <v>542</v>
      </c>
      <c r="BA10" s="0" t="s">
        <v>543</v>
      </c>
      <c r="BC10" s="0" t="str">
        <f aca="false">IF($A10="","",IFERROR(INDEX(Enrichment!$A$2:$GZ$2000,MATCH($A10,INDEX(Enrichment!$A$2:$GZ$2000,0,MATCH("row_id",Enrichment!$A$1:$GZ$1,0)),0),MATCH("work_email",Enrichment!$A$1:$GZ$1,0))&amp;"",""))</f>
        <v/>
      </c>
      <c r="BD10" s="0" t="str">
        <f aca="false">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none</v>
      </c>
      <c r="BE10" s="0" t="s">
        <v>168</v>
      </c>
      <c r="BF10" s="0" t="s">
        <v>283</v>
      </c>
      <c r="BG10" s="0" t="s">
        <v>284</v>
      </c>
      <c r="BH10" s="0" t="s">
        <v>544</v>
      </c>
      <c r="BI10" s="0" t="s">
        <v>172</v>
      </c>
      <c r="BJ10" s="0" t="s">
        <v>190</v>
      </c>
      <c r="BK10" s="0" t="s">
        <v>555</v>
      </c>
      <c r="BL10" s="0" t="s">
        <v>556</v>
      </c>
      <c r="BM10" s="0" t="s">
        <v>545</v>
      </c>
      <c r="BN10" s="0" t="s">
        <v>546</v>
      </c>
      <c r="BO10" s="0" t="s">
        <v>547</v>
      </c>
      <c r="BQ10" s="0" t="str">
        <f aca="false">IF($A10="","",IFERROR(INDEX(Enrichment!$A$2:$GZ$2000,MATCH($A10,INDEX(Enrichment!$A$2:$GZ$2000,0,MATCH("row_id",Enrichment!$A$1:$GZ$1,0)),0),MATCH("backup_work_email",Enrichment!$A$1:$GZ$1,0))&amp;"",""))</f>
        <v/>
      </c>
      <c r="BR10" s="0" t="str">
        <f aca="false">IF($A10="","",IF(BQ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none</v>
      </c>
      <c r="BS10" s="0" t="s">
        <v>176</v>
      </c>
      <c r="BT10" s="0" t="s">
        <v>169</v>
      </c>
      <c r="BU10" s="0" t="s">
        <v>170</v>
      </c>
      <c r="BV10" s="0" t="s">
        <v>548</v>
      </c>
      <c r="BW10" s="0" t="s">
        <v>172</v>
      </c>
      <c r="BX10" s="0" t="s">
        <v>301</v>
      </c>
      <c r="BY10" s="0" t="s">
        <v>557</v>
      </c>
      <c r="BZ10" s="0" t="s">
        <v>558</v>
      </c>
      <c r="CA10" s="0" t="s">
        <v>559</v>
      </c>
      <c r="CB10" s="0" t="s">
        <v>196</v>
      </c>
      <c r="CC10" s="0" t="s">
        <v>560</v>
      </c>
      <c r="CD10" s="0" t="s">
        <v>561</v>
      </c>
      <c r="CE10" s="0" t="s">
        <v>562</v>
      </c>
      <c r="CF10" s="0" t="s">
        <v>352</v>
      </c>
      <c r="CH10" s="0" t="s">
        <v>549</v>
      </c>
      <c r="CJ10" s="0" t="s">
        <v>550</v>
      </c>
      <c r="CK10" s="0" t="s">
        <v>352</v>
      </c>
      <c r="CM10" s="0" t="s">
        <v>164</v>
      </c>
      <c r="CN10" s="0" t="s">
        <v>200</v>
      </c>
      <c r="CO10" s="0" t="s">
        <v>201</v>
      </c>
      <c r="CP10" s="0" t="s">
        <v>1</v>
      </c>
      <c r="CQ10" s="0" t="s">
        <v>563</v>
      </c>
      <c r="CR10" s="0" t="s">
        <v>539</v>
      </c>
      <c r="CS10" s="0" t="s">
        <v>552</v>
      </c>
      <c r="CT10" s="0" t="s">
        <v>553</v>
      </c>
      <c r="CU10" s="0" t="s">
        <v>564</v>
      </c>
      <c r="CV10" s="0" t="s">
        <v>355</v>
      </c>
      <c r="CW10" s="0" t="s">
        <v>204</v>
      </c>
      <c r="CX10" s="0" t="s">
        <v>356</v>
      </c>
      <c r="CY10" s="0" t="s">
        <v>565</v>
      </c>
      <c r="CZ10" s="0" t="s">
        <v>566</v>
      </c>
      <c r="DA10" s="0" t="s">
        <v>207</v>
      </c>
      <c r="DB10" s="0" t="s">
        <v>259</v>
      </c>
      <c r="DC10" s="0" t="s">
        <v>164</v>
      </c>
      <c r="DD10" s="0" t="s">
        <v>209</v>
      </c>
      <c r="DE10" s="0" t="s">
        <v>554</v>
      </c>
      <c r="DF10" s="0" t="s">
        <v>397</v>
      </c>
      <c r="DG10" s="0" t="n">
        <v>40.739342</v>
      </c>
      <c r="DH10" s="0" t="n">
        <v>-73.994287</v>
      </c>
      <c r="DI10" s="0" t="s">
        <v>164</v>
      </c>
      <c r="DJ10" s="0" t="n">
        <v>0</v>
      </c>
      <c r="DK10" s="0" t="s">
        <v>567</v>
      </c>
      <c r="DL10" s="0" t="s">
        <v>551</v>
      </c>
      <c r="DM10" s="0" t="s">
        <v>568</v>
      </c>
      <c r="DN10" s="0" t="s">
        <v>263</v>
      </c>
      <c r="DO10" s="0" t="s">
        <v>214</v>
      </c>
      <c r="DP10" s="0" t="s">
        <v>569</v>
      </c>
      <c r="DQ10" s="0" t="s">
        <v>570</v>
      </c>
      <c r="DS10" s="0" t="s">
        <v>217</v>
      </c>
      <c r="DU10" s="0" t="s">
        <v>189</v>
      </c>
      <c r="DX10" s="0" t="s">
        <v>209</v>
      </c>
      <c r="EA10" s="0" t="s">
        <v>209</v>
      </c>
      <c r="EB10" s="0" t="s">
        <v>189</v>
      </c>
      <c r="EC10" s="0" t="s">
        <v>571</v>
      </c>
      <c r="ED10" s="0" t="s">
        <v>572</v>
      </c>
      <c r="EE10" s="0" t="s">
        <v>172</v>
      </c>
      <c r="EF10" s="0" t="n">
        <v>111</v>
      </c>
      <c r="EH10" s="0" t="s">
        <v>164</v>
      </c>
      <c r="EI10" s="0" t="s">
        <v>573</v>
      </c>
      <c r="EJ10" s="0" t="s">
        <v>221</v>
      </c>
      <c r="EK10" s="0" t="n">
        <v>1</v>
      </c>
      <c r="EL10" s="0" t="n">
        <v>72</v>
      </c>
      <c r="EM10" s="0" t="n">
        <v>25</v>
      </c>
      <c r="EN10" s="0" t="n">
        <v>15</v>
      </c>
      <c r="EO10" s="0" t="n">
        <v>7</v>
      </c>
      <c r="EP10" s="0" t="n">
        <v>15</v>
      </c>
      <c r="EQ10" s="0" t="n">
        <f aca="false">IF($A10="","",IF(AH10="exact",10,IF(AH10="adjacent",5,0)))</f>
        <v>0</v>
      </c>
      <c r="ER10" s="0" t="n">
        <f aca="false">IF($A10="","",IF(R10="Y",15,0))</f>
        <v>0</v>
      </c>
      <c r="ES10" s="0" t="s">
        <v>222</v>
      </c>
      <c r="EV10" s="0" t="s">
        <v>574</v>
      </c>
      <c r="EW10" s="0" t="s">
        <v>575</v>
      </c>
      <c r="EX10" s="0" t="s">
        <v>576</v>
      </c>
      <c r="EZ10" s="0" t="s">
        <v>577</v>
      </c>
      <c r="FS10" s="0" t="str">
        <f aca="false">IF($A10="","",IF(ISNUMBER(MATCH(U10,{"queued","contacted","replied","call_booked","call_done","yes_in_principle","materials_sent"},0)),"Y","N"))</f>
        <v>N</v>
      </c>
      <c r="FT10" s="0" t="str">
        <f aca="false">IF($A10="","",IF(OR(T10="Y",U10="do_not_contact",AS10&amp;""&lt;&gt;""),"Y","N"))</f>
        <v>N</v>
      </c>
      <c r="FU10" s="0" t="str">
        <f aca="false">IF($A10="","",IF(AP10&amp;""&lt;&gt;"",AP10&amp;"",$A10))</f>
        <v>AO-C-031</v>
      </c>
      <c r="FV10" s="0" t="str">
        <f aca="false">IF($A10="","",IF(COUNTIFS($FU$2:$FU$1000,FU10,$FS$2:$FS$1000,"Y")+COUNTIFS($FU$2:$FU$1000,FU10,$FT$2:$FT$1000,"Y")&gt;0,"Y","N"))</f>
        <v>N</v>
      </c>
      <c r="FW10" s="0" t="str">
        <f aca="false">IF($A10="","",IF(AND(U10="new",T10="N",FT10="N",AT10="Y",FV10="N"),"Y","N"))</f>
        <v>N</v>
      </c>
      <c r="FX10" s="0" t="str">
        <f aca="false">IF($A10="","",IF(FW10&lt;&gt;"Y","N",IF(COUNTIFS($FU$2:$FU$1000,FU10,$FW$2:$FW$1000,"Y",$J$2:$J$1000,"&gt;"&amp;J10)+COUNTIFS($FU$2:$FU$1000,FU10,$FW$2:$FW$1000,"Y",$J$2:$J$1000,J10,$GD$2:$GD$1000,"&lt;"&amp;GD10)=0,"Y","N")))</f>
        <v>N</v>
      </c>
      <c r="FY10" s="0" t="str">
        <f aca="false">IF($A10="","",IF(AND(FW10="Y",FX10="Y",Y10&amp;""&lt;&gt;""),IF(Y10&lt;=10,"Y","N"),"N"))</f>
        <v>N</v>
      </c>
      <c r="FZ10" s="0" t="str">
        <f aca="false">IF(FY10="Y",Y10,"")</f>
        <v/>
      </c>
      <c r="GA10" s="0" t="str">
        <f aca="false">IF($A10="","",IF(AND(I10="walk-in",CN10="pass",U10="new",FT10="N",FV10="N",AQ10&lt;&gt;"Y"),"Y","N"))</f>
        <v>N</v>
      </c>
      <c r="GB10" s="0" t="str">
        <f aca="false">IF(GA10&lt;&gt;"Y","",IF(COUNTIFS($GA$2:$GA$1000,"Y",$J$2:$J$1000,"&gt;"&amp;J10)+COUNTIFS($GA$2:$GA$1000,"Y",$J$2:$J$1000,J10,$GD$2:$GD$1000,"&lt;"&amp;GD10)+1&lt;=25,COUNTIFS($GA$2:$GA$1000,"Y",$J$2:$J$1000,"&gt;"&amp;J10)+COUNTIFS($GA$2:$GA$1000,"Y",$J$2:$J$1000,J10,$GD$2:$GD$1000,"&lt;"&amp;GD10)+1,""))</f>
        <v/>
      </c>
      <c r="GC10" s="0" t="str">
        <f aca="false">IF(AND(_xlfn.ISFORMULA(C10),_xlfn.ISFORMULA(J10)),"Y","N")</f>
        <v>N</v>
      </c>
      <c r="GD10" s="0" t="n">
        <f aca="false">ROW()-1</f>
        <v>9</v>
      </c>
    </row>
    <row r="11" customFormat="false" ht="15" hidden="false" customHeight="false" outlineLevel="0" collapsed="false">
      <c r="A11" s="0" t="s">
        <v>578</v>
      </c>
      <c r="B11" s="0" t="s">
        <v>579</v>
      </c>
      <c r="C11" s="0" t="s">
        <v>580</v>
      </c>
      <c r="D11" s="0" t="s">
        <v>581</v>
      </c>
      <c r="E11" s="0" t="s">
        <v>508</v>
      </c>
      <c r="F11" s="0" t="s">
        <v>582</v>
      </c>
      <c r="G11" s="0" t="s">
        <v>164</v>
      </c>
      <c r="H11" s="0" t="s">
        <v>583</v>
      </c>
      <c r="I11" s="0" t="s">
        <v>584</v>
      </c>
      <c r="J11" s="0" t="s">
        <v>585</v>
      </c>
      <c r="L11" s="0" t="s">
        <v>168</v>
      </c>
      <c r="M11" s="0" t="s">
        <v>283</v>
      </c>
      <c r="N11" s="0" t="s">
        <v>284</v>
      </c>
      <c r="O11" s="0" t="s">
        <v>586</v>
      </c>
      <c r="P11" s="0" t="s">
        <v>172</v>
      </c>
      <c r="Q11" s="0" t="s">
        <v>587</v>
      </c>
      <c r="R11" s="5" t="s">
        <v>588</v>
      </c>
      <c r="S11" s="0" t="s">
        <v>589</v>
      </c>
      <c r="U11" s="5" t="s">
        <v>176</v>
      </c>
      <c r="V11" s="0" t="s">
        <v>283</v>
      </c>
      <c r="W11" s="0" t="s">
        <v>284</v>
      </c>
      <c r="X11" s="0" t="s">
        <v>590</v>
      </c>
      <c r="Y11" s="0" t="s">
        <v>172</v>
      </c>
      <c r="Z11" s="0" t="s">
        <v>591</v>
      </c>
      <c r="AA11" s="0" t="s">
        <v>592</v>
      </c>
      <c r="AB11" s="0" t="s">
        <v>593</v>
      </c>
      <c r="AC11" s="0" t="s">
        <v>425</v>
      </c>
      <c r="AE11" s="0" t="s">
        <v>594</v>
      </c>
      <c r="AF11" s="0" t="s">
        <v>325</v>
      </c>
      <c r="AG11" s="0" t="s">
        <v>595</v>
      </c>
      <c r="AH11" s="0" t="s">
        <v>427</v>
      </c>
      <c r="AI11" s="0" t="s">
        <v>596</v>
      </c>
      <c r="AJ11" s="0" t="s">
        <v>164</v>
      </c>
      <c r="AK11" s="0" t="s">
        <v>298</v>
      </c>
      <c r="AL11" s="0" t="s">
        <v>164</v>
      </c>
      <c r="AM11" s="0" t="n">
        <v>105</v>
      </c>
      <c r="AN11" s="0" t="s">
        <v>187</v>
      </c>
      <c r="AO11" s="0" t="s">
        <v>429</v>
      </c>
      <c r="AP11" s="0" t="s">
        <v>578</v>
      </c>
      <c r="AQ11" s="5" t="s">
        <v>189</v>
      </c>
      <c r="AT11" s="0" t="str">
        <f aca="false">IF($A11="","",IF(AND(CN11="pass",AQ11&lt;&gt;"Y",C11&lt;&gt;"",OR(AX11&lt;&gt;"Y",AV11="Y")),"Y","N"))</f>
        <v>Y</v>
      </c>
      <c r="AU11" s="0" t="str">
        <f aca="false">IF($A11="","",_xlfn.TEXTJOIN("; ",TRUE(),IF(CN11&lt;&gt;"pass","gated out",""),IF(AQ11="Y","on hold: "&amp;AR11,""),IF(C11="","no contact named on an opened page",""),IF(AND(AX11="Y",AV11&lt;&gt;"Y"),"Tuesday estimate band "&amp;L11&amp;": founder's call","")))</f>
        <v/>
      </c>
      <c r="AX11" s="0" t="s">
        <v>189</v>
      </c>
      <c r="AY11" s="0" t="s">
        <v>583</v>
      </c>
      <c r="AZ11" s="0" t="s">
        <v>584</v>
      </c>
      <c r="BA11" s="0" t="s">
        <v>585</v>
      </c>
      <c r="BC11" s="0" t="str">
        <f aca="false">IF($A11="","",IFERROR(INDEX(Enrichment!$A$2:$GZ$2000,MATCH($A11,INDEX(Enrichment!$A$2:$GZ$2000,0,MATCH("row_id",Enrichment!$A$1:$GZ$1,0)),0),MATCH("work_email",Enrichment!$A$1:$GZ$1,0))&amp;"",""))</f>
        <v/>
      </c>
      <c r="BD11" s="0" t="str">
        <f aca="false">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none</v>
      </c>
      <c r="BE11" s="0" t="s">
        <v>168</v>
      </c>
      <c r="BF11" s="0" t="s">
        <v>283</v>
      </c>
      <c r="BG11" s="0" t="s">
        <v>284</v>
      </c>
      <c r="BH11" s="0" t="s">
        <v>586</v>
      </c>
      <c r="BI11" s="0" t="s">
        <v>172</v>
      </c>
      <c r="BJ11" s="0" t="s">
        <v>301</v>
      </c>
      <c r="BK11" s="0" t="s">
        <v>597</v>
      </c>
      <c r="BL11" s="0" t="s">
        <v>598</v>
      </c>
      <c r="BM11" s="0" t="s">
        <v>587</v>
      </c>
      <c r="BN11" s="0" t="s">
        <v>588</v>
      </c>
      <c r="BO11" s="0" t="s">
        <v>589</v>
      </c>
      <c r="BQ11" s="0" t="str">
        <f aca="false">IF($A11="","",IFERROR(INDEX(Enrichment!$A$2:$GZ$2000,MATCH($A11,INDEX(Enrichment!$A$2:$GZ$2000,0,MATCH("row_id",Enrichment!$A$1:$GZ$1,0)),0),MATCH("backup_work_email",Enrichment!$A$1:$GZ$1,0))&amp;"",""))</f>
        <v/>
      </c>
      <c r="BR11" s="0" t="str">
        <f aca="false">IF($A11="","",IF(BQ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none</v>
      </c>
      <c r="BS11" s="0" t="s">
        <v>176</v>
      </c>
      <c r="BT11" s="0" t="s">
        <v>283</v>
      </c>
      <c r="BU11" s="0" t="s">
        <v>284</v>
      </c>
      <c r="BV11" s="0" t="s">
        <v>590</v>
      </c>
      <c r="BW11" s="0" t="s">
        <v>172</v>
      </c>
      <c r="BX11" s="0" t="s">
        <v>301</v>
      </c>
      <c r="BY11" s="0" t="s">
        <v>599</v>
      </c>
      <c r="BZ11" s="0" t="s">
        <v>600</v>
      </c>
      <c r="CA11" s="0" t="s">
        <v>601</v>
      </c>
      <c r="CB11" s="0" t="s">
        <v>196</v>
      </c>
      <c r="CC11" s="0" t="s">
        <v>602</v>
      </c>
      <c r="CD11" s="0" t="s">
        <v>603</v>
      </c>
      <c r="CE11" s="0" t="s">
        <v>604</v>
      </c>
      <c r="CF11" s="0" t="s">
        <v>180</v>
      </c>
      <c r="CH11" s="0" t="s">
        <v>591</v>
      </c>
      <c r="CI11" s="0" t="s">
        <v>592</v>
      </c>
      <c r="CJ11" s="0" t="s">
        <v>593</v>
      </c>
      <c r="CK11" s="0" t="s">
        <v>425</v>
      </c>
      <c r="CM11" s="0" t="s">
        <v>164</v>
      </c>
      <c r="CN11" s="0" t="s">
        <v>200</v>
      </c>
      <c r="CO11" s="0" t="s">
        <v>201</v>
      </c>
      <c r="CP11" s="0" t="s">
        <v>1</v>
      </c>
      <c r="CQ11" s="0" t="s">
        <v>605</v>
      </c>
      <c r="CR11" s="0" t="s">
        <v>580</v>
      </c>
      <c r="CS11" s="0" t="s">
        <v>595</v>
      </c>
      <c r="CT11" s="0" t="s">
        <v>427</v>
      </c>
      <c r="CU11" s="0" t="s">
        <v>606</v>
      </c>
      <c r="CV11" s="0" t="s">
        <v>209</v>
      </c>
      <c r="CW11" s="0" t="s">
        <v>209</v>
      </c>
      <c r="CX11" s="0" t="s">
        <v>440</v>
      </c>
      <c r="CY11" s="0" t="s">
        <v>607</v>
      </c>
      <c r="CZ11" s="0" t="s">
        <v>608</v>
      </c>
      <c r="DA11" s="0" t="s">
        <v>207</v>
      </c>
      <c r="DB11" s="0" t="s">
        <v>259</v>
      </c>
      <c r="DC11" s="0" t="s">
        <v>164</v>
      </c>
      <c r="DD11" s="0" t="s">
        <v>209</v>
      </c>
      <c r="DE11" s="0" t="s">
        <v>596</v>
      </c>
      <c r="DF11" s="0" t="s">
        <v>525</v>
      </c>
      <c r="DG11" s="0" t="n">
        <v>40.742014</v>
      </c>
      <c r="DH11" s="0" t="n">
        <v>-73.993705</v>
      </c>
      <c r="DI11" s="0" t="s">
        <v>164</v>
      </c>
      <c r="DJ11" s="0" t="n">
        <v>0</v>
      </c>
      <c r="DK11" s="0" t="s">
        <v>609</v>
      </c>
      <c r="DL11" s="0" t="s">
        <v>610</v>
      </c>
      <c r="DM11" s="0" t="s">
        <v>611</v>
      </c>
      <c r="DN11" s="0" t="s">
        <v>172</v>
      </c>
      <c r="DO11" s="0" t="s">
        <v>214</v>
      </c>
      <c r="DP11" s="0" t="s">
        <v>612</v>
      </c>
      <c r="DQ11" s="0" t="s">
        <v>613</v>
      </c>
      <c r="DS11" s="0" t="s">
        <v>217</v>
      </c>
      <c r="DU11" s="0" t="s">
        <v>189</v>
      </c>
      <c r="DX11" s="0" t="s">
        <v>209</v>
      </c>
      <c r="EA11" s="0" t="s">
        <v>209</v>
      </c>
      <c r="EB11" s="0" t="s">
        <v>189</v>
      </c>
      <c r="EC11" s="0" t="s">
        <v>446</v>
      </c>
      <c r="ED11" s="0" t="s">
        <v>614</v>
      </c>
      <c r="EE11" s="0" t="s">
        <v>172</v>
      </c>
      <c r="EF11" s="0" t="n">
        <v>72</v>
      </c>
      <c r="EH11" s="0" t="s">
        <v>189</v>
      </c>
      <c r="EI11" s="0" t="s">
        <v>615</v>
      </c>
      <c r="EJ11" s="0" t="s">
        <v>221</v>
      </c>
      <c r="EK11" s="0" t="n">
        <v>1</v>
      </c>
      <c r="EL11" s="0" t="n">
        <v>70</v>
      </c>
      <c r="EM11" s="0" t="n">
        <v>25</v>
      </c>
      <c r="EN11" s="0" t="n">
        <v>15</v>
      </c>
      <c r="EO11" s="0" t="n">
        <v>10</v>
      </c>
      <c r="EP11" s="0" t="n">
        <v>15</v>
      </c>
      <c r="EQ11" s="0" t="n">
        <f aca="false">IF($A11="","",IF(AH11="exact",10,IF(AH11="adjacent",5,0)))</f>
        <v>0</v>
      </c>
      <c r="ER11" s="0" t="n">
        <f aca="false">IF($A11="","",IF(R11="Y",15,0))</f>
        <v>0</v>
      </c>
      <c r="ES11" s="0" t="s">
        <v>222</v>
      </c>
      <c r="EV11" s="0" t="s">
        <v>616</v>
      </c>
      <c r="EW11" s="0" t="s">
        <v>224</v>
      </c>
      <c r="EX11" s="0" t="s">
        <v>617</v>
      </c>
      <c r="EZ11" s="0" t="s">
        <v>618</v>
      </c>
      <c r="FS11" s="0" t="str">
        <f aca="false">IF($A11="","",IF(ISNUMBER(MATCH(U11,{"queued","contacted","replied","call_booked","call_done","yes_in_principle","materials_sent"},0)),"Y","N"))</f>
        <v>N</v>
      </c>
      <c r="FT11" s="0" t="str">
        <f aca="false">IF($A11="","",IF(OR(T11="Y",U11="do_not_contact",AS11&amp;""&lt;&gt;""),"Y","N"))</f>
        <v>N</v>
      </c>
      <c r="FU11" s="0" t="str">
        <f aca="false">IF($A11="","",IF(AP11&amp;""&lt;&gt;"",AP11&amp;"",$A11))</f>
        <v>AO-C-083</v>
      </c>
      <c r="FV11" s="0" t="str">
        <f aca="false">IF($A11="","",IF(COUNTIFS($FU$2:$FU$1000,FU11,$FS$2:$FS$1000,"Y")+COUNTIFS($FU$2:$FU$1000,FU11,$FT$2:$FT$1000,"Y")&gt;0,"Y","N"))</f>
        <v>N</v>
      </c>
      <c r="FW11" s="0" t="str">
        <f aca="false">IF($A11="","",IF(AND(U11="new",T11="N",FT11="N",AT11="Y",FV11="N"),"Y","N"))</f>
        <v>N</v>
      </c>
      <c r="FX11" s="0" t="str">
        <f aca="false">IF($A11="","",IF(FW11&lt;&gt;"Y","N",IF(COUNTIFS($FU$2:$FU$1000,FU11,$FW$2:$FW$1000,"Y",$J$2:$J$1000,"&gt;"&amp;J11)+COUNTIFS($FU$2:$FU$1000,FU11,$FW$2:$FW$1000,"Y",$J$2:$J$1000,J11,$GD$2:$GD$1000,"&lt;"&amp;GD11)=0,"Y","N")))</f>
        <v>N</v>
      </c>
      <c r="FY11" s="0" t="str">
        <f aca="false">IF($A11="","",IF(AND(FW11="Y",FX11="Y",Y11&amp;""&lt;&gt;""),IF(Y11&lt;=10,"Y","N"),"N"))</f>
        <v>N</v>
      </c>
      <c r="FZ11" s="0" t="str">
        <f aca="false">IF(FY11="Y",Y11,"")</f>
        <v/>
      </c>
      <c r="GA11" s="0" t="str">
        <f aca="false">IF($A11="","",IF(AND(I11="walk-in",CN11="pass",U11="new",FT11="N",FV11="N",AQ11&lt;&gt;"Y"),"Y","N"))</f>
        <v>N</v>
      </c>
      <c r="GB11" s="0" t="str">
        <f aca="false">IF(GA11&lt;&gt;"Y","",IF(COUNTIFS($GA$2:$GA$1000,"Y",$J$2:$J$1000,"&gt;"&amp;J11)+COUNTIFS($GA$2:$GA$1000,"Y",$J$2:$J$1000,J11,$GD$2:$GD$1000,"&lt;"&amp;GD11)+1&lt;=25,COUNTIFS($GA$2:$GA$1000,"Y",$J$2:$J$1000,"&gt;"&amp;J11)+COUNTIFS($GA$2:$GA$1000,"Y",$J$2:$J$1000,J11,$GD$2:$GD$1000,"&lt;"&amp;GD11)+1,""))</f>
        <v/>
      </c>
      <c r="GC11" s="0" t="str">
        <f aca="false">IF(AND(_xlfn.ISFORMULA(C11),_xlfn.ISFORMULA(J11)),"Y","N")</f>
        <v>N</v>
      </c>
      <c r="GD11" s="0" t="n">
        <f aca="false">ROW()-1</f>
        <v>10</v>
      </c>
    </row>
    <row r="12" customFormat="false" ht="15" hidden="false" customHeight="false" outlineLevel="0" collapsed="false">
      <c r="A12" s="0" t="s">
        <v>619</v>
      </c>
      <c r="B12" s="0" t="s">
        <v>620</v>
      </c>
      <c r="C12" s="0" t="s">
        <v>621</v>
      </c>
      <c r="D12" s="0" t="s">
        <v>622</v>
      </c>
      <c r="E12" s="0" t="s">
        <v>623</v>
      </c>
      <c r="F12" s="0" t="s">
        <v>582</v>
      </c>
      <c r="G12" s="0" t="s">
        <v>164</v>
      </c>
      <c r="H12" s="0" t="s">
        <v>624</v>
      </c>
      <c r="I12" s="0" t="s">
        <v>625</v>
      </c>
      <c r="J12" s="0" t="s">
        <v>626</v>
      </c>
      <c r="L12" s="0" t="s">
        <v>168</v>
      </c>
      <c r="M12" s="0" t="s">
        <v>283</v>
      </c>
      <c r="N12" s="0" t="s">
        <v>284</v>
      </c>
      <c r="O12" s="0" t="s">
        <v>627</v>
      </c>
      <c r="P12" s="0" t="s">
        <v>172</v>
      </c>
      <c r="Q12" s="0" t="s">
        <v>628</v>
      </c>
      <c r="R12" s="5" t="s">
        <v>629</v>
      </c>
      <c r="S12" s="0" t="s">
        <v>420</v>
      </c>
      <c r="U12" s="5" t="s">
        <v>176</v>
      </c>
      <c r="V12" s="0" t="s">
        <v>283</v>
      </c>
      <c r="W12" s="0" t="s">
        <v>284</v>
      </c>
      <c r="X12" s="0" t="s">
        <v>630</v>
      </c>
      <c r="Y12" s="0" t="s">
        <v>172</v>
      </c>
      <c r="Z12" s="0" t="s">
        <v>631</v>
      </c>
      <c r="AA12" s="0" t="s">
        <v>632</v>
      </c>
      <c r="AB12" s="0" t="s">
        <v>633</v>
      </c>
      <c r="AC12" s="0" t="s">
        <v>180</v>
      </c>
      <c r="AE12" s="0" t="s">
        <v>634</v>
      </c>
      <c r="AF12" s="0" t="s">
        <v>231</v>
      </c>
      <c r="AG12" s="0" t="s">
        <v>635</v>
      </c>
      <c r="AH12" s="0" t="s">
        <v>636</v>
      </c>
      <c r="AI12" s="0" t="s">
        <v>209</v>
      </c>
      <c r="AJ12" s="0" t="s">
        <v>164</v>
      </c>
      <c r="AK12" s="0" t="s">
        <v>186</v>
      </c>
      <c r="AL12" s="0" t="s">
        <v>164</v>
      </c>
      <c r="AM12" s="0" t="n">
        <v>203</v>
      </c>
      <c r="AN12" s="0" t="s">
        <v>187</v>
      </c>
      <c r="AO12" s="0" t="s">
        <v>188</v>
      </c>
      <c r="AP12" s="0" t="s">
        <v>619</v>
      </c>
      <c r="AQ12" s="5" t="s">
        <v>189</v>
      </c>
      <c r="AT12" s="0" t="str">
        <f aca="false">IF($A12="","",IF(AND(CN12="pass",AQ12&lt;&gt;"Y",C12&lt;&gt;"",OR(AX12&lt;&gt;"Y",AV12="Y")),"Y","N"))</f>
        <v>Y</v>
      </c>
      <c r="AU12" s="0" t="str">
        <f aca="false">IF($A12="","",_xlfn.TEXTJOIN("; ",TRUE(),IF(CN12&lt;&gt;"pass","gated out",""),IF(AQ12="Y","on hold: "&amp;AR12,""),IF(C12="","no contact named on an opened page",""),IF(AND(AX12="Y",AV12&lt;&gt;"Y"),"Tuesday estimate band "&amp;L12&amp;": founder's call","")))</f>
        <v/>
      </c>
      <c r="AX12" s="0" t="s">
        <v>189</v>
      </c>
      <c r="AY12" s="0" t="s">
        <v>624</v>
      </c>
      <c r="AZ12" s="0" t="s">
        <v>625</v>
      </c>
      <c r="BA12" s="0" t="s">
        <v>626</v>
      </c>
      <c r="BC12" s="0" t="str">
        <f aca="false">IF($A12="","",IFERROR(INDEX(Enrichment!$A$2:$GZ$2000,MATCH($A12,INDEX(Enrichment!$A$2:$GZ$2000,0,MATCH("row_id",Enrichment!$A$1:$GZ$1,0)),0),MATCH("work_email",Enrichment!$A$1:$GZ$1,0))&amp;"",""))</f>
        <v/>
      </c>
      <c r="BD12" s="0" t="str">
        <f aca="false">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none</v>
      </c>
      <c r="BE12" s="0" t="s">
        <v>168</v>
      </c>
      <c r="BF12" s="0" t="s">
        <v>283</v>
      </c>
      <c r="BG12" s="0" t="s">
        <v>284</v>
      </c>
      <c r="BH12" s="0" t="s">
        <v>627</v>
      </c>
      <c r="BI12" s="0" t="s">
        <v>172</v>
      </c>
      <c r="BJ12" s="0" t="s">
        <v>190</v>
      </c>
      <c r="BK12" s="0" t="s">
        <v>637</v>
      </c>
      <c r="BL12" s="0" t="s">
        <v>638</v>
      </c>
      <c r="BM12" s="0" t="s">
        <v>628</v>
      </c>
      <c r="BN12" s="0" t="s">
        <v>629</v>
      </c>
      <c r="BO12" s="0" t="s">
        <v>420</v>
      </c>
      <c r="BQ12" s="0" t="str">
        <f aca="false">IF($A12="","",IFERROR(INDEX(Enrichment!$A$2:$GZ$2000,MATCH($A12,INDEX(Enrichment!$A$2:$GZ$2000,0,MATCH("row_id",Enrichment!$A$1:$GZ$1,0)),0),MATCH("backup_work_email",Enrichment!$A$1:$GZ$1,0))&amp;"",""))</f>
        <v/>
      </c>
      <c r="BR12" s="0" t="str">
        <f aca="false">IF($A12="","",IF(BQ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none</v>
      </c>
      <c r="BS12" s="0" t="s">
        <v>176</v>
      </c>
      <c r="BT12" s="0" t="s">
        <v>283</v>
      </c>
      <c r="BU12" s="0" t="s">
        <v>284</v>
      </c>
      <c r="BV12" s="0" t="s">
        <v>630</v>
      </c>
      <c r="BW12" s="0" t="s">
        <v>172</v>
      </c>
      <c r="BX12" s="0" t="s">
        <v>301</v>
      </c>
      <c r="BY12" s="0" t="s">
        <v>639</v>
      </c>
      <c r="BZ12" s="0" t="s">
        <v>433</v>
      </c>
      <c r="CA12" s="0" t="s">
        <v>640</v>
      </c>
      <c r="CB12" s="0" t="s">
        <v>196</v>
      </c>
      <c r="CC12" s="0" t="s">
        <v>641</v>
      </c>
      <c r="CD12" s="0" t="s">
        <v>642</v>
      </c>
      <c r="CE12" s="0" t="s">
        <v>643</v>
      </c>
      <c r="CF12" s="0" t="s">
        <v>352</v>
      </c>
      <c r="CH12" s="0" t="s">
        <v>631</v>
      </c>
      <c r="CI12" s="0" t="s">
        <v>632</v>
      </c>
      <c r="CJ12" s="0" t="s">
        <v>633</v>
      </c>
      <c r="CK12" s="0" t="s">
        <v>180</v>
      </c>
      <c r="CM12" s="0" t="s">
        <v>164</v>
      </c>
      <c r="CN12" s="0" t="s">
        <v>200</v>
      </c>
      <c r="CO12" s="0" t="s">
        <v>201</v>
      </c>
      <c r="CP12" s="0" t="s">
        <v>1</v>
      </c>
      <c r="CQ12" s="0" t="s">
        <v>644</v>
      </c>
      <c r="CR12" s="0" t="s">
        <v>621</v>
      </c>
      <c r="CS12" s="0" t="s">
        <v>635</v>
      </c>
      <c r="CT12" s="0" t="s">
        <v>636</v>
      </c>
      <c r="CU12" s="0" t="s">
        <v>645</v>
      </c>
      <c r="CV12" s="0" t="s">
        <v>209</v>
      </c>
      <c r="CW12" s="0" t="s">
        <v>209</v>
      </c>
      <c r="CX12" s="0" t="s">
        <v>440</v>
      </c>
      <c r="CY12" s="0" t="s">
        <v>646</v>
      </c>
      <c r="CZ12" s="0" t="s">
        <v>647</v>
      </c>
      <c r="DA12" s="0" t="s">
        <v>207</v>
      </c>
      <c r="DB12" s="0" t="s">
        <v>259</v>
      </c>
      <c r="DC12" s="0" t="s">
        <v>164</v>
      </c>
      <c r="DD12" s="0" t="s">
        <v>209</v>
      </c>
      <c r="DE12" s="0" t="s">
        <v>209</v>
      </c>
      <c r="DF12" s="0" t="s">
        <v>210</v>
      </c>
      <c r="DG12" s="0" t="n">
        <v>40.738311</v>
      </c>
      <c r="DH12" s="0" t="n">
        <v>-73.990185</v>
      </c>
      <c r="DI12" s="0" t="s">
        <v>164</v>
      </c>
      <c r="DJ12" s="0" t="n">
        <v>0</v>
      </c>
      <c r="DK12" s="0" t="s">
        <v>648</v>
      </c>
      <c r="DL12" s="0" t="s">
        <v>649</v>
      </c>
      <c r="DM12" s="0" t="s">
        <v>650</v>
      </c>
      <c r="DN12" s="0" t="s">
        <v>263</v>
      </c>
      <c r="DO12" s="0" t="s">
        <v>651</v>
      </c>
      <c r="DP12" s="0" t="s">
        <v>652</v>
      </c>
      <c r="DQ12" s="0" t="s">
        <v>653</v>
      </c>
      <c r="DS12" s="0" t="s">
        <v>187</v>
      </c>
      <c r="DU12" s="0" t="s">
        <v>189</v>
      </c>
      <c r="DX12" s="0" t="s">
        <v>267</v>
      </c>
      <c r="DY12" s="0" t="s">
        <v>654</v>
      </c>
      <c r="EA12" s="0" t="s">
        <v>209</v>
      </c>
      <c r="EB12" s="0" t="s">
        <v>189</v>
      </c>
      <c r="EC12" s="0" t="s">
        <v>655</v>
      </c>
      <c r="ED12" s="0" t="s">
        <v>650</v>
      </c>
      <c r="EE12" s="0" t="s">
        <v>172</v>
      </c>
      <c r="EF12" s="0" t="n">
        <v>123</v>
      </c>
      <c r="EH12" s="0" t="s">
        <v>189</v>
      </c>
      <c r="EI12" s="0" t="s">
        <v>656</v>
      </c>
      <c r="EJ12" s="0" t="s">
        <v>221</v>
      </c>
      <c r="EK12" s="0" t="n">
        <v>1</v>
      </c>
      <c r="EL12" s="0" t="n">
        <v>70</v>
      </c>
      <c r="EM12" s="0" t="n">
        <v>25</v>
      </c>
      <c r="EN12" s="0" t="n">
        <v>15</v>
      </c>
      <c r="EO12" s="0" t="n">
        <v>15</v>
      </c>
      <c r="EP12" s="0" t="n">
        <v>5</v>
      </c>
      <c r="EQ12" s="0" t="n">
        <f aca="false">IF($A12="","",IF(AH12="exact",10,IF(AH12="adjacent",5,0)))</f>
        <v>0</v>
      </c>
      <c r="ER12" s="0" t="n">
        <f aca="false">IF($A12="","",IF(R12="Y",15,0))</f>
        <v>0</v>
      </c>
      <c r="ES12" s="0" t="s">
        <v>222</v>
      </c>
      <c r="EV12" s="0" t="s">
        <v>657</v>
      </c>
      <c r="EW12" s="0" t="s">
        <v>224</v>
      </c>
      <c r="EX12" s="0" t="s">
        <v>658</v>
      </c>
      <c r="FS12" s="0" t="str">
        <f aca="false">IF($A12="","",IF(ISNUMBER(MATCH(U12,{"queued","contacted","replied","call_booked","call_done","yes_in_principle","materials_sent"},0)),"Y","N"))</f>
        <v>N</v>
      </c>
      <c r="FT12" s="0" t="str">
        <f aca="false">IF($A12="","",IF(OR(T12="Y",U12="do_not_contact",AS12&amp;""&lt;&gt;""),"Y","N"))</f>
        <v>N</v>
      </c>
      <c r="FU12" s="0" t="str">
        <f aca="false">IF($A12="","",IF(AP12&amp;""&lt;&gt;"",AP12&amp;"",$A12))</f>
        <v>AO-C-052</v>
      </c>
      <c r="FV12" s="0" t="str">
        <f aca="false">IF($A12="","",IF(COUNTIFS($FU$2:$FU$1000,FU12,$FS$2:$FS$1000,"Y")+COUNTIFS($FU$2:$FU$1000,FU12,$FT$2:$FT$1000,"Y")&gt;0,"Y","N"))</f>
        <v>N</v>
      </c>
      <c r="FW12" s="0" t="str">
        <f aca="false">IF($A12="","",IF(AND(U12="new",T12="N",FT12="N",AT12="Y",FV12="N"),"Y","N"))</f>
        <v>N</v>
      </c>
      <c r="FX12" s="0" t="str">
        <f aca="false">IF($A12="","",IF(FW12&lt;&gt;"Y","N",IF(COUNTIFS($FU$2:$FU$1000,FU12,$FW$2:$FW$1000,"Y",$J$2:$J$1000,"&gt;"&amp;J12)+COUNTIFS($FU$2:$FU$1000,FU12,$FW$2:$FW$1000,"Y",$J$2:$J$1000,J12,$GD$2:$GD$1000,"&lt;"&amp;GD12)=0,"Y","N")))</f>
        <v>N</v>
      </c>
      <c r="FY12" s="0" t="str">
        <f aca="false">IF($A12="","",IF(AND(FW12="Y",FX12="Y",Y12&amp;""&lt;&gt;""),IF(Y12&lt;=10,"Y","N"),"N"))</f>
        <v>N</v>
      </c>
      <c r="FZ12" s="0" t="str">
        <f aca="false">IF(FY12="Y",Y12,"")</f>
        <v/>
      </c>
      <c r="GA12" s="0" t="str">
        <f aca="false">IF($A12="","",IF(AND(I12="walk-in",CN12="pass",U12="new",FT12="N",FV12="N",AQ12&lt;&gt;"Y"),"Y","N"))</f>
        <v>N</v>
      </c>
      <c r="GB12" s="0" t="str">
        <f aca="false">IF(GA12&lt;&gt;"Y","",IF(COUNTIFS($GA$2:$GA$1000,"Y",$J$2:$J$1000,"&gt;"&amp;J12)+COUNTIFS($GA$2:$GA$1000,"Y",$J$2:$J$1000,J12,$GD$2:$GD$1000,"&lt;"&amp;GD12)+1&lt;=25,COUNTIFS($GA$2:$GA$1000,"Y",$J$2:$J$1000,"&gt;"&amp;J12)+COUNTIFS($GA$2:$GA$1000,"Y",$J$2:$J$1000,J12,$GD$2:$GD$1000,"&lt;"&amp;GD12)+1,""))</f>
        <v/>
      </c>
      <c r="GC12" s="0" t="str">
        <f aca="false">IF(AND(_xlfn.ISFORMULA(C12),_xlfn.ISFORMULA(J12)),"Y","N")</f>
        <v>N</v>
      </c>
      <c r="GD12" s="0" t="n">
        <f aca="false">ROW()-1</f>
        <v>11</v>
      </c>
    </row>
    <row r="13" customFormat="false" ht="15" hidden="false" customHeight="false" outlineLevel="0" collapsed="false">
      <c r="A13" s="0" t="s">
        <v>659</v>
      </c>
      <c r="B13" s="0" t="s">
        <v>660</v>
      </c>
      <c r="C13" s="0" t="s">
        <v>661</v>
      </c>
      <c r="D13" s="0" t="s">
        <v>662</v>
      </c>
      <c r="E13" s="0" t="s">
        <v>182</v>
      </c>
      <c r="F13" s="0" t="s">
        <v>663</v>
      </c>
      <c r="G13" s="0" t="s">
        <v>164</v>
      </c>
      <c r="H13" s="0" t="s">
        <v>664</v>
      </c>
      <c r="I13" s="0" t="s">
        <v>665</v>
      </c>
      <c r="J13" s="0" t="s">
        <v>666</v>
      </c>
      <c r="L13" s="0" t="s">
        <v>168</v>
      </c>
      <c r="M13" s="0" t="s">
        <v>283</v>
      </c>
      <c r="N13" s="0" t="s">
        <v>284</v>
      </c>
      <c r="O13" s="0" t="s">
        <v>667</v>
      </c>
      <c r="P13" s="0" t="s">
        <v>172</v>
      </c>
      <c r="R13" s="5"/>
      <c r="U13" s="5"/>
      <c r="V13" s="0" t="s">
        <v>380</v>
      </c>
      <c r="AE13" s="0" t="s">
        <v>668</v>
      </c>
      <c r="AF13" s="0" t="s">
        <v>669</v>
      </c>
      <c r="AG13" s="0" t="s">
        <v>670</v>
      </c>
      <c r="AH13" s="0" t="s">
        <v>427</v>
      </c>
      <c r="AI13" s="0" t="s">
        <v>671</v>
      </c>
      <c r="AJ13" s="0" t="s">
        <v>164</v>
      </c>
      <c r="AK13" s="0" t="s">
        <v>298</v>
      </c>
      <c r="AL13" s="0" t="s">
        <v>164</v>
      </c>
      <c r="AM13" s="0" t="n">
        <v>67</v>
      </c>
      <c r="AN13" s="0" t="s">
        <v>187</v>
      </c>
      <c r="AO13" s="0" t="s">
        <v>512</v>
      </c>
      <c r="AP13" s="0" t="s">
        <v>659</v>
      </c>
      <c r="AQ13" s="5" t="s">
        <v>189</v>
      </c>
      <c r="AT13" s="0" t="str">
        <f aca="false">IF($A13="","",IF(AND(CN13="pass",AQ13&lt;&gt;"Y",C13&lt;&gt;"",OR(AX13&lt;&gt;"Y",AV13="Y")),"Y","N"))</f>
        <v>Y</v>
      </c>
      <c r="AU13" s="0" t="str">
        <f aca="false">IF($A13="","",_xlfn.TEXTJOIN("; ",TRUE(),IF(CN13&lt;&gt;"pass","gated out",""),IF(AQ13="Y","on hold: "&amp;AR13,""),IF(C13="","no contact named on an opened page",""),IF(AND(AX13="Y",AV13&lt;&gt;"Y"),"Tuesday estimate band "&amp;L13&amp;": founder's call","")))</f>
        <v/>
      </c>
      <c r="AX13" s="0" t="s">
        <v>189</v>
      </c>
      <c r="AY13" s="0" t="s">
        <v>664</v>
      </c>
      <c r="AZ13" s="0" t="s">
        <v>665</v>
      </c>
      <c r="BA13" s="0" t="s">
        <v>666</v>
      </c>
      <c r="BC13" s="0" t="str">
        <f aca="false">IF($A13="","",IFERROR(INDEX(Enrichment!$A$2:$GZ$2000,MATCH($A13,INDEX(Enrichment!$A$2:$GZ$2000,0,MATCH("row_id",Enrichment!$A$1:$GZ$1,0)),0),MATCH("work_email",Enrichment!$A$1:$GZ$1,0))&amp;"",""))</f>
        <v/>
      </c>
      <c r="BD13" s="0" t="str">
        <f aca="false">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none</v>
      </c>
      <c r="BE13" s="0" t="s">
        <v>168</v>
      </c>
      <c r="BF13" s="0" t="s">
        <v>283</v>
      </c>
      <c r="BG13" s="0" t="s">
        <v>284</v>
      </c>
      <c r="BH13" s="0" t="s">
        <v>667</v>
      </c>
      <c r="BI13" s="0" t="s">
        <v>172</v>
      </c>
      <c r="BJ13" s="0" t="s">
        <v>301</v>
      </c>
      <c r="BK13" s="0" t="s">
        <v>672</v>
      </c>
      <c r="BL13" s="0" t="s">
        <v>673</v>
      </c>
      <c r="BQ13" s="0" t="str">
        <f aca="false">IF($A13="","",IFERROR(INDEX(Enrichment!$A$2:$GZ$2000,MATCH($A13,INDEX(Enrichment!$A$2:$GZ$2000,0,MATCH("row_id",Enrichment!$A$1:$GZ$1,0)),0),MATCH("backup_work_email",Enrichment!$A$1:$GZ$1,0))&amp;"",""))</f>
        <v/>
      </c>
      <c r="BR13" s="0" t="str">
        <f aca="false">IF($A13="","",IF(BQ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none</v>
      </c>
      <c r="BT13" s="0" t="s">
        <v>380</v>
      </c>
      <c r="BX13" s="0" t="s">
        <v>380</v>
      </c>
      <c r="BY13" s="0" t="s">
        <v>387</v>
      </c>
      <c r="BZ13" s="0" t="s">
        <v>388</v>
      </c>
      <c r="CA13" s="0" t="s">
        <v>674</v>
      </c>
      <c r="CB13" s="0" t="s">
        <v>196</v>
      </c>
      <c r="CC13" s="0" t="s">
        <v>675</v>
      </c>
      <c r="CD13" s="0" t="s">
        <v>676</v>
      </c>
      <c r="CE13" s="0" t="s">
        <v>677</v>
      </c>
      <c r="CF13" s="0" t="s">
        <v>352</v>
      </c>
      <c r="CM13" s="0" t="s">
        <v>164</v>
      </c>
      <c r="CN13" s="0" t="s">
        <v>200</v>
      </c>
      <c r="CO13" s="0" t="s">
        <v>201</v>
      </c>
      <c r="CP13" s="0" t="s">
        <v>1</v>
      </c>
      <c r="CQ13" s="0" t="s">
        <v>678</v>
      </c>
      <c r="CR13" s="0" t="s">
        <v>661</v>
      </c>
      <c r="CS13" s="0" t="s">
        <v>670</v>
      </c>
      <c r="CT13" s="0" t="s">
        <v>427</v>
      </c>
      <c r="CV13" s="0" t="s">
        <v>186</v>
      </c>
      <c r="CW13" s="0" t="s">
        <v>204</v>
      </c>
      <c r="CX13" s="0" t="s">
        <v>205</v>
      </c>
      <c r="CY13" s="0" t="s">
        <v>679</v>
      </c>
      <c r="DA13" s="0" t="s">
        <v>207</v>
      </c>
      <c r="DB13" s="0" t="s">
        <v>259</v>
      </c>
      <c r="DC13" s="0" t="s">
        <v>164</v>
      </c>
      <c r="DD13" s="0" t="s">
        <v>209</v>
      </c>
      <c r="DE13" s="0" t="s">
        <v>671</v>
      </c>
      <c r="DF13" s="0" t="s">
        <v>525</v>
      </c>
      <c r="DG13" s="0" t="n">
        <v>40.742771</v>
      </c>
      <c r="DH13" s="0" t="n">
        <v>-73.991782</v>
      </c>
      <c r="DI13" s="0" t="s">
        <v>164</v>
      </c>
      <c r="DJ13" s="0" t="n">
        <v>0</v>
      </c>
      <c r="DK13" s="0" t="s">
        <v>680</v>
      </c>
      <c r="DL13" s="0" t="s">
        <v>681</v>
      </c>
      <c r="DM13" s="0" t="s">
        <v>682</v>
      </c>
      <c r="DN13" s="0" t="s">
        <v>683</v>
      </c>
      <c r="DO13" s="0" t="s">
        <v>363</v>
      </c>
      <c r="DP13" s="0" t="s">
        <v>679</v>
      </c>
      <c r="DQ13" s="0" t="s">
        <v>263</v>
      </c>
      <c r="DS13" s="0" t="s">
        <v>217</v>
      </c>
      <c r="DU13" s="0" t="s">
        <v>189</v>
      </c>
      <c r="DX13" s="0" t="s">
        <v>209</v>
      </c>
      <c r="EA13" s="0" t="s">
        <v>209</v>
      </c>
      <c r="EB13" s="0" t="s">
        <v>189</v>
      </c>
      <c r="EC13" s="0" t="s">
        <v>684</v>
      </c>
      <c r="ED13" s="0" t="s">
        <v>679</v>
      </c>
      <c r="EE13" s="0" t="s">
        <v>172</v>
      </c>
      <c r="EF13" s="0" t="n">
        <v>56</v>
      </c>
      <c r="EH13" s="0" t="s">
        <v>164</v>
      </c>
      <c r="EI13" s="0" t="s">
        <v>685</v>
      </c>
      <c r="EJ13" s="0" t="s">
        <v>221</v>
      </c>
      <c r="EK13" s="0" t="n">
        <v>1</v>
      </c>
      <c r="EL13" s="0" t="n">
        <v>67</v>
      </c>
      <c r="EM13" s="0" t="n">
        <v>25</v>
      </c>
      <c r="EN13" s="0" t="n">
        <v>15</v>
      </c>
      <c r="EO13" s="0" t="n">
        <v>7</v>
      </c>
      <c r="EP13" s="0" t="n">
        <v>15</v>
      </c>
      <c r="EQ13" s="0" t="n">
        <f aca="false">IF($A13="","",IF(AH13="exact",10,IF(AH13="adjacent",5,0)))</f>
        <v>0</v>
      </c>
      <c r="ER13" s="0" t="n">
        <f aca="false">IF($A13="","",IF(R13="Y",15,0))</f>
        <v>0</v>
      </c>
      <c r="ES13" s="0" t="s">
        <v>222</v>
      </c>
      <c r="EV13" s="0" t="s">
        <v>686</v>
      </c>
      <c r="EW13" s="0" t="s">
        <v>224</v>
      </c>
      <c r="EX13" s="0" t="s">
        <v>687</v>
      </c>
      <c r="EZ13" s="0" t="s">
        <v>688</v>
      </c>
      <c r="FS13" s="0" t="str">
        <f aca="false">IF($A13="","",IF(ISNUMBER(MATCH(U13,{"queued","contacted","replied","call_booked","call_done","yes_in_principle","materials_sent"},0)),"Y","N"))</f>
        <v>N</v>
      </c>
      <c r="FT13" s="0" t="str">
        <f aca="false">IF($A13="","",IF(OR(T13="Y",U13="do_not_contact",AS13&amp;""&lt;&gt;""),"Y","N"))</f>
        <v>N</v>
      </c>
      <c r="FU13" s="0" t="str">
        <f aca="false">IF($A13="","",IF(AP13&amp;""&lt;&gt;"",AP13&amp;"",$A13))</f>
        <v>AO-C-096</v>
      </c>
      <c r="FV13" s="0" t="str">
        <f aca="false">IF($A13="","",IF(COUNTIFS($FU$2:$FU$1000,FU13,$FS$2:$FS$1000,"Y")+COUNTIFS($FU$2:$FU$1000,FU13,$FT$2:$FT$1000,"Y")&gt;0,"Y","N"))</f>
        <v>N</v>
      </c>
      <c r="FW13" s="0" t="str">
        <f aca="false">IF($A13="","",IF(AND(U13="new",T13="N",FT13="N",AT13="Y",FV13="N"),"Y","N"))</f>
        <v>N</v>
      </c>
      <c r="FX13" s="0" t="str">
        <f aca="false">IF($A13="","",IF(FW13&lt;&gt;"Y","N",IF(COUNTIFS($FU$2:$FU$1000,FU13,$FW$2:$FW$1000,"Y",$J$2:$J$1000,"&gt;"&amp;J13)+COUNTIFS($FU$2:$FU$1000,FU13,$FW$2:$FW$1000,"Y",$J$2:$J$1000,J13,$GD$2:$GD$1000,"&lt;"&amp;GD13)=0,"Y","N")))</f>
        <v>N</v>
      </c>
      <c r="FY13" s="0" t="str">
        <f aca="false">IF($A13="","",IF(AND(FW13="Y",FX13="Y",Y13&amp;""&lt;&gt;""),IF(Y13&lt;=10,"Y","N"),"N"))</f>
        <v>N</v>
      </c>
      <c r="FZ13" s="0" t="str">
        <f aca="false">IF(FY13="Y",Y13,"")</f>
        <v/>
      </c>
      <c r="GA13" s="0" t="str">
        <f aca="false">IF($A13="","",IF(AND(I13="walk-in",CN13="pass",U13="new",FT13="N",FV13="N",AQ13&lt;&gt;"Y"),"Y","N"))</f>
        <v>N</v>
      </c>
      <c r="GB13" s="0" t="str">
        <f aca="false">IF(GA13&lt;&gt;"Y","",IF(COUNTIFS($GA$2:$GA$1000,"Y",$J$2:$J$1000,"&gt;"&amp;J13)+COUNTIFS($GA$2:$GA$1000,"Y",$J$2:$J$1000,J13,$GD$2:$GD$1000,"&lt;"&amp;GD13)+1&lt;=25,COUNTIFS($GA$2:$GA$1000,"Y",$J$2:$J$1000,"&gt;"&amp;J13)+COUNTIFS($GA$2:$GA$1000,"Y",$J$2:$J$1000,J13,$GD$2:$GD$1000,"&lt;"&amp;GD13)+1,""))</f>
        <v/>
      </c>
      <c r="GC13" s="0" t="str">
        <f aca="false">IF(AND(_xlfn.ISFORMULA(C13),_xlfn.ISFORMULA(J13)),"Y","N")</f>
        <v>N</v>
      </c>
      <c r="GD13" s="0" t="n">
        <f aca="false">ROW()-1</f>
        <v>12</v>
      </c>
    </row>
    <row r="14" customFormat="false" ht="15" hidden="false" customHeight="false" outlineLevel="0" collapsed="false">
      <c r="A14" s="0" t="s">
        <v>689</v>
      </c>
      <c r="B14" s="0" t="s">
        <v>690</v>
      </c>
      <c r="C14" s="0" t="s">
        <v>691</v>
      </c>
      <c r="D14" s="0" t="s">
        <v>692</v>
      </c>
      <c r="E14" s="0" t="s">
        <v>693</v>
      </c>
      <c r="F14" s="0" t="s">
        <v>663</v>
      </c>
      <c r="G14" s="0" t="s">
        <v>164</v>
      </c>
      <c r="H14" s="0" t="s">
        <v>694</v>
      </c>
      <c r="I14" s="0" t="s">
        <v>695</v>
      </c>
      <c r="J14" s="0" t="s">
        <v>696</v>
      </c>
      <c r="L14" s="0" t="s">
        <v>168</v>
      </c>
      <c r="M14" s="0" t="s">
        <v>283</v>
      </c>
      <c r="N14" s="0" t="s">
        <v>284</v>
      </c>
      <c r="O14" s="0" t="s">
        <v>697</v>
      </c>
      <c r="P14" s="0" t="s">
        <v>172</v>
      </c>
      <c r="Q14" s="0" t="s">
        <v>698</v>
      </c>
      <c r="R14" s="5" t="s">
        <v>699</v>
      </c>
      <c r="S14" s="0" t="s">
        <v>700</v>
      </c>
      <c r="U14" s="5" t="s">
        <v>176</v>
      </c>
      <c r="V14" s="0" t="s">
        <v>283</v>
      </c>
      <c r="W14" s="0" t="s">
        <v>284</v>
      </c>
      <c r="X14" s="0" t="s">
        <v>701</v>
      </c>
      <c r="Y14" s="0" t="s">
        <v>172</v>
      </c>
      <c r="Z14" s="0" t="s">
        <v>702</v>
      </c>
      <c r="AA14" s="0" t="s">
        <v>703</v>
      </c>
      <c r="AB14" s="0" t="s">
        <v>704</v>
      </c>
      <c r="AC14" s="0" t="s">
        <v>352</v>
      </c>
      <c r="AE14" s="0" t="s">
        <v>245</v>
      </c>
      <c r="AF14" s="0" t="s">
        <v>209</v>
      </c>
      <c r="AG14" s="0" t="s">
        <v>705</v>
      </c>
      <c r="AH14" s="0" t="s">
        <v>706</v>
      </c>
      <c r="AI14" s="0" t="s">
        <v>209</v>
      </c>
      <c r="AJ14" s="0" t="s">
        <v>164</v>
      </c>
      <c r="AK14" s="0" t="s">
        <v>186</v>
      </c>
      <c r="AL14" s="0" t="s">
        <v>164</v>
      </c>
      <c r="AM14" s="0" t="n">
        <v>126</v>
      </c>
      <c r="AN14" s="0" t="s">
        <v>187</v>
      </c>
      <c r="AO14" s="0" t="s">
        <v>512</v>
      </c>
      <c r="AP14" s="0" t="s">
        <v>689</v>
      </c>
      <c r="AQ14" s="5" t="s">
        <v>189</v>
      </c>
      <c r="AT14" s="0" t="str">
        <f aca="false">IF($A14="","",IF(AND(CN14="pass",AQ14&lt;&gt;"Y",C14&lt;&gt;"",OR(AX14&lt;&gt;"Y",AV14="Y")),"Y","N"))</f>
        <v>Y</v>
      </c>
      <c r="AU14" s="0" t="str">
        <f aca="false">IF($A14="","",_xlfn.TEXTJOIN("; ",TRUE(),IF(CN14&lt;&gt;"pass","gated out",""),IF(AQ14="Y","on hold: "&amp;AR14,""),IF(C14="","no contact named on an opened page",""),IF(AND(AX14="Y",AV14&lt;&gt;"Y"),"Tuesday estimate band "&amp;L14&amp;": founder's call","")))</f>
        <v/>
      </c>
      <c r="AX14" s="0" t="s">
        <v>189</v>
      </c>
      <c r="AY14" s="0" t="s">
        <v>694</v>
      </c>
      <c r="AZ14" s="0" t="s">
        <v>695</v>
      </c>
      <c r="BA14" s="0" t="s">
        <v>696</v>
      </c>
      <c r="BC14" s="0" t="str">
        <f aca="false">IF($A14="","",IFERROR(INDEX(Enrichment!$A$2:$GZ$2000,MATCH($A14,INDEX(Enrichment!$A$2:$GZ$2000,0,MATCH("row_id",Enrichment!$A$1:$GZ$1,0)),0),MATCH("work_email",Enrichment!$A$1:$GZ$1,0))&amp;"",""))</f>
        <v/>
      </c>
      <c r="BD14" s="0" t="str">
        <f aca="false">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none</v>
      </c>
      <c r="BE14" s="0" t="s">
        <v>168</v>
      </c>
      <c r="BF14" s="0" t="s">
        <v>283</v>
      </c>
      <c r="BG14" s="0" t="s">
        <v>284</v>
      </c>
      <c r="BH14" s="0" t="s">
        <v>697</v>
      </c>
      <c r="BI14" s="0" t="s">
        <v>172</v>
      </c>
      <c r="BJ14" s="0" t="s">
        <v>301</v>
      </c>
      <c r="BK14" s="0" t="s">
        <v>707</v>
      </c>
      <c r="BL14" s="0" t="s">
        <v>708</v>
      </c>
      <c r="BM14" s="0" t="s">
        <v>698</v>
      </c>
      <c r="BN14" s="0" t="s">
        <v>699</v>
      </c>
      <c r="BO14" s="0" t="s">
        <v>700</v>
      </c>
      <c r="BQ14" s="0" t="str">
        <f aca="false">IF($A14="","",IFERROR(INDEX(Enrichment!$A$2:$GZ$2000,MATCH($A14,INDEX(Enrichment!$A$2:$GZ$2000,0,MATCH("row_id",Enrichment!$A$1:$GZ$1,0)),0),MATCH("backup_work_email",Enrichment!$A$1:$GZ$1,0))&amp;"",""))</f>
        <v/>
      </c>
      <c r="BR14" s="0" t="str">
        <f aca="false">IF($A14="","",IF(BQ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none</v>
      </c>
      <c r="BS14" s="0" t="s">
        <v>176</v>
      </c>
      <c r="BT14" s="0" t="s">
        <v>283</v>
      </c>
      <c r="BU14" s="0" t="s">
        <v>284</v>
      </c>
      <c r="BV14" s="0" t="s">
        <v>701</v>
      </c>
      <c r="BW14" s="0" t="s">
        <v>172</v>
      </c>
      <c r="BX14" s="0" t="s">
        <v>301</v>
      </c>
      <c r="BY14" s="0" t="s">
        <v>709</v>
      </c>
      <c r="BZ14" s="0" t="s">
        <v>710</v>
      </c>
      <c r="CA14" s="0" t="s">
        <v>711</v>
      </c>
      <c r="CB14" s="0" t="s">
        <v>196</v>
      </c>
      <c r="CC14" s="0" t="s">
        <v>712</v>
      </c>
      <c r="CD14" s="0" t="s">
        <v>713</v>
      </c>
      <c r="CE14" s="0" t="s">
        <v>714</v>
      </c>
      <c r="CF14" s="0" t="s">
        <v>180</v>
      </c>
      <c r="CH14" s="0" t="s">
        <v>702</v>
      </c>
      <c r="CI14" s="0" t="s">
        <v>703</v>
      </c>
      <c r="CJ14" s="0" t="s">
        <v>704</v>
      </c>
      <c r="CK14" s="0" t="s">
        <v>352</v>
      </c>
      <c r="CM14" s="0" t="s">
        <v>164</v>
      </c>
      <c r="CN14" s="0" t="s">
        <v>200</v>
      </c>
      <c r="CO14" s="0" t="s">
        <v>201</v>
      </c>
      <c r="CP14" s="0" t="s">
        <v>1</v>
      </c>
      <c r="CQ14" s="0" t="s">
        <v>715</v>
      </c>
      <c r="CR14" s="0" t="s">
        <v>691</v>
      </c>
      <c r="CS14" s="0" t="s">
        <v>705</v>
      </c>
      <c r="CT14" s="0" t="s">
        <v>706</v>
      </c>
      <c r="CU14" s="0" t="s">
        <v>716</v>
      </c>
      <c r="CV14" s="0" t="s">
        <v>203</v>
      </c>
      <c r="CW14" s="0" t="s">
        <v>204</v>
      </c>
      <c r="CX14" s="0" t="s">
        <v>356</v>
      </c>
      <c r="CY14" s="0" t="s">
        <v>717</v>
      </c>
      <c r="CZ14" s="0" t="s">
        <v>718</v>
      </c>
      <c r="DA14" s="0" t="s">
        <v>207</v>
      </c>
      <c r="DB14" s="0" t="s">
        <v>259</v>
      </c>
      <c r="DC14" s="0" t="s">
        <v>164</v>
      </c>
      <c r="DD14" s="0" t="s">
        <v>209</v>
      </c>
      <c r="DE14" s="0" t="s">
        <v>209</v>
      </c>
      <c r="DF14" s="0" t="s">
        <v>210</v>
      </c>
      <c r="DG14" s="0" t="n">
        <v>40.73686</v>
      </c>
      <c r="DH14" s="0" t="n">
        <v>-73.988546</v>
      </c>
      <c r="DI14" s="0" t="s">
        <v>164</v>
      </c>
      <c r="DJ14" s="0" t="n">
        <v>0</v>
      </c>
      <c r="DK14" s="0" t="s">
        <v>260</v>
      </c>
      <c r="DL14" s="0" t="s">
        <v>261</v>
      </c>
      <c r="DM14" s="0" t="s">
        <v>264</v>
      </c>
      <c r="DN14" s="0" t="s">
        <v>265</v>
      </c>
      <c r="DO14" s="0" t="s">
        <v>443</v>
      </c>
      <c r="DP14" s="0" t="s">
        <v>444</v>
      </c>
      <c r="DQ14" s="0" t="s">
        <v>445</v>
      </c>
      <c r="DR14" s="0" t="s">
        <v>266</v>
      </c>
      <c r="DS14" s="0" t="s">
        <v>217</v>
      </c>
      <c r="DU14" s="0" t="s">
        <v>189</v>
      </c>
      <c r="DX14" s="0" t="s">
        <v>267</v>
      </c>
      <c r="DY14" s="0" t="s">
        <v>268</v>
      </c>
      <c r="EA14" s="0" t="s">
        <v>209</v>
      </c>
      <c r="EB14" s="0" t="s">
        <v>189</v>
      </c>
      <c r="EC14" s="0" t="s">
        <v>719</v>
      </c>
      <c r="ED14" s="0" t="s">
        <v>720</v>
      </c>
      <c r="EE14" s="0" t="s">
        <v>172</v>
      </c>
      <c r="EF14" s="0" t="n">
        <v>83</v>
      </c>
      <c r="EH14" s="0" t="s">
        <v>189</v>
      </c>
      <c r="EI14" s="0" t="s">
        <v>721</v>
      </c>
      <c r="EJ14" s="0" t="s">
        <v>221</v>
      </c>
      <c r="EK14" s="0" t="n">
        <v>1</v>
      </c>
      <c r="EL14" s="0" t="n">
        <v>67</v>
      </c>
      <c r="EM14" s="0" t="n">
        <v>25</v>
      </c>
      <c r="EN14" s="0" t="n">
        <v>15</v>
      </c>
      <c r="EO14" s="0" t="n">
        <v>7</v>
      </c>
      <c r="EP14" s="0" t="n">
        <v>15</v>
      </c>
      <c r="EQ14" s="0" t="n">
        <f aca="false">IF($A14="","",IF(AH14="exact",10,IF(AH14="adjacent",5,0)))</f>
        <v>0</v>
      </c>
      <c r="ER14" s="0" t="n">
        <f aca="false">IF($A14="","",IF(R14="Y",15,0))</f>
        <v>0</v>
      </c>
      <c r="ES14" s="0" t="s">
        <v>222</v>
      </c>
      <c r="EV14" s="0" t="s">
        <v>722</v>
      </c>
      <c r="EW14" s="0" t="s">
        <v>224</v>
      </c>
      <c r="EX14" s="0" t="s">
        <v>723</v>
      </c>
      <c r="FS14" s="0" t="str">
        <f aca="false">IF($A14="","",IF(ISNUMBER(MATCH(U14,{"queued","contacted","replied","call_booked","call_done","yes_in_principle","materials_sent"},0)),"Y","N"))</f>
        <v>N</v>
      </c>
      <c r="FT14" s="0" t="str">
        <f aca="false">IF($A14="","",IF(OR(T14="Y",U14="do_not_contact",AS14&amp;""&lt;&gt;""),"Y","N"))</f>
        <v>N</v>
      </c>
      <c r="FU14" s="0" t="str">
        <f aca="false">IF($A14="","",IF(AP14&amp;""&lt;&gt;"",AP14&amp;"",$A14))</f>
        <v>AO-C-038</v>
      </c>
      <c r="FV14" s="0" t="str">
        <f aca="false">IF($A14="","",IF(COUNTIFS($FU$2:$FU$1000,FU14,$FS$2:$FS$1000,"Y")+COUNTIFS($FU$2:$FU$1000,FU14,$FT$2:$FT$1000,"Y")&gt;0,"Y","N"))</f>
        <v>N</v>
      </c>
      <c r="FW14" s="0" t="str">
        <f aca="false">IF($A14="","",IF(AND(U14="new",T14="N",FT14="N",AT14="Y",FV14="N"),"Y","N"))</f>
        <v>N</v>
      </c>
      <c r="FX14" s="0" t="str">
        <f aca="false">IF($A14="","",IF(FW14&lt;&gt;"Y","N",IF(COUNTIFS($FU$2:$FU$1000,FU14,$FW$2:$FW$1000,"Y",$J$2:$J$1000,"&gt;"&amp;J14)+COUNTIFS($FU$2:$FU$1000,FU14,$FW$2:$FW$1000,"Y",$J$2:$J$1000,J14,$GD$2:$GD$1000,"&lt;"&amp;GD14)=0,"Y","N")))</f>
        <v>N</v>
      </c>
      <c r="FY14" s="0" t="str">
        <f aca="false">IF($A14="","",IF(AND(FW14="Y",FX14="Y",Y14&amp;""&lt;&gt;""),IF(Y14&lt;=10,"Y","N"),"N"))</f>
        <v>N</v>
      </c>
      <c r="FZ14" s="0" t="str">
        <f aca="false">IF(FY14="Y",Y14,"")</f>
        <v/>
      </c>
      <c r="GA14" s="0" t="str">
        <f aca="false">IF($A14="","",IF(AND(I14="walk-in",CN14="pass",U14="new",FT14="N",FV14="N",AQ14&lt;&gt;"Y"),"Y","N"))</f>
        <v>N</v>
      </c>
      <c r="GB14" s="0" t="str">
        <f aca="false">IF(GA14&lt;&gt;"Y","",IF(COUNTIFS($GA$2:$GA$1000,"Y",$J$2:$J$1000,"&gt;"&amp;J14)+COUNTIFS($GA$2:$GA$1000,"Y",$J$2:$J$1000,J14,$GD$2:$GD$1000,"&lt;"&amp;GD14)+1&lt;=25,COUNTIFS($GA$2:$GA$1000,"Y",$J$2:$J$1000,"&gt;"&amp;J14)+COUNTIFS($GA$2:$GA$1000,"Y",$J$2:$J$1000,J14,$GD$2:$GD$1000,"&lt;"&amp;GD14)+1,""))</f>
        <v/>
      </c>
      <c r="GC14" s="0" t="str">
        <f aca="false">IF(AND(_xlfn.ISFORMULA(C14),_xlfn.ISFORMULA(J14)),"Y","N")</f>
        <v>N</v>
      </c>
      <c r="GD14" s="0" t="n">
        <f aca="false">ROW()-1</f>
        <v>13</v>
      </c>
    </row>
    <row r="15" customFormat="false" ht="15" hidden="false" customHeight="false" outlineLevel="0" collapsed="false">
      <c r="A15" s="0" t="s">
        <v>724</v>
      </c>
      <c r="B15" s="0" t="s">
        <v>725</v>
      </c>
      <c r="C15" s="0" t="s">
        <v>726</v>
      </c>
      <c r="D15" s="0" t="s">
        <v>727</v>
      </c>
      <c r="E15" s="0" t="s">
        <v>728</v>
      </c>
      <c r="F15" s="0" t="s">
        <v>729</v>
      </c>
      <c r="G15" s="0" t="s">
        <v>164</v>
      </c>
      <c r="H15" s="0" t="s">
        <v>730</v>
      </c>
      <c r="I15" s="0" t="s">
        <v>731</v>
      </c>
      <c r="J15" s="0" t="s">
        <v>732</v>
      </c>
      <c r="L15" s="0" t="s">
        <v>168</v>
      </c>
      <c r="M15" s="0" t="s">
        <v>283</v>
      </c>
      <c r="N15" s="0" t="s">
        <v>284</v>
      </c>
      <c r="O15" s="0" t="s">
        <v>733</v>
      </c>
      <c r="P15" s="0" t="s">
        <v>172</v>
      </c>
      <c r="R15" s="5"/>
      <c r="U15" s="5"/>
      <c r="V15" s="0" t="s">
        <v>380</v>
      </c>
      <c r="AE15" s="0" t="s">
        <v>734</v>
      </c>
      <c r="AF15" s="0" t="s">
        <v>735</v>
      </c>
      <c r="AG15" s="0" t="s">
        <v>736</v>
      </c>
      <c r="AH15" s="0" t="s">
        <v>737</v>
      </c>
      <c r="AI15" s="0" t="s">
        <v>738</v>
      </c>
      <c r="AJ15" s="0" t="s">
        <v>164</v>
      </c>
      <c r="AK15" s="0" t="s">
        <v>298</v>
      </c>
      <c r="AL15" s="0" t="s">
        <v>164</v>
      </c>
      <c r="AM15" s="0" t="n">
        <v>180</v>
      </c>
      <c r="AN15" s="0" t="s">
        <v>187</v>
      </c>
      <c r="AO15" s="0" t="s">
        <v>209</v>
      </c>
      <c r="AP15" s="0" t="s">
        <v>739</v>
      </c>
      <c r="AQ15" s="5" t="s">
        <v>189</v>
      </c>
      <c r="AT15" s="0" t="str">
        <f aca="false">IF($A15="","",IF(AND(CN15="pass",AQ15&lt;&gt;"Y",C15&lt;&gt;"",OR(AX15&lt;&gt;"Y",AV15="Y")),"Y","N"))</f>
        <v>Y</v>
      </c>
      <c r="AU15" s="0" t="str">
        <f aca="false">IF($A15="","",_xlfn.TEXTJOIN("; ",TRUE(),IF(CN15&lt;&gt;"pass","gated out",""),IF(AQ15="Y","on hold: "&amp;AR15,""),IF(C15="","no contact named on an opened page",""),IF(AND(AX15="Y",AV15&lt;&gt;"Y"),"Tuesday estimate band "&amp;L15&amp;": founder's call","")))</f>
        <v/>
      </c>
      <c r="AX15" s="0" t="s">
        <v>189</v>
      </c>
      <c r="BC15" s="0" t="str">
        <f aca="false">IF($A15="","",IFERROR(INDEX(Enrichment!$A$2:$GZ$2000,MATCH($A15,INDEX(Enrichment!$A$2:$GZ$2000,0,MATCH("row_id",Enrichment!$A$1:$GZ$1,0)),0),MATCH("work_email",Enrichment!$A$1:$GZ$1,0))&amp;"",""))</f>
        <v/>
      </c>
      <c r="BD15" s="0" t="str">
        <f aca="false">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none</v>
      </c>
      <c r="BE15" s="0" t="s">
        <v>168</v>
      </c>
      <c r="BF15" s="0" t="s">
        <v>740</v>
      </c>
      <c r="BG15" s="0" t="s">
        <v>741</v>
      </c>
      <c r="BH15" s="0" t="s">
        <v>742</v>
      </c>
      <c r="BI15" s="0" t="s">
        <v>172</v>
      </c>
      <c r="BJ15" s="0" t="s">
        <v>301</v>
      </c>
      <c r="BK15" s="0" t="s">
        <v>743</v>
      </c>
      <c r="BL15" s="0" t="s">
        <v>744</v>
      </c>
      <c r="BQ15" s="0" t="str">
        <f aca="false">IF($A15="","",IFERROR(INDEX(Enrichment!$A$2:$GZ$2000,MATCH($A15,INDEX(Enrichment!$A$2:$GZ$2000,0,MATCH("row_id",Enrichment!$A$1:$GZ$1,0)),0),MATCH("backup_work_email",Enrichment!$A$1:$GZ$1,0))&amp;"",""))</f>
        <v/>
      </c>
      <c r="BR15" s="0" t="str">
        <f aca="false">IF($A15="","",IF(BQ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none</v>
      </c>
      <c r="BT15" s="0" t="s">
        <v>380</v>
      </c>
      <c r="BX15" s="0" t="s">
        <v>380</v>
      </c>
      <c r="BY15" s="0" t="s">
        <v>387</v>
      </c>
      <c r="BZ15" s="0" t="s">
        <v>388</v>
      </c>
      <c r="CA15" s="0" t="s">
        <v>745</v>
      </c>
      <c r="CB15" s="0" t="s">
        <v>746</v>
      </c>
      <c r="CC15" s="0" t="s">
        <v>747</v>
      </c>
      <c r="CE15" s="0" t="s">
        <v>748</v>
      </c>
      <c r="CF15" s="0" t="s">
        <v>425</v>
      </c>
      <c r="CM15" s="0" t="s">
        <v>164</v>
      </c>
      <c r="CN15" s="0" t="s">
        <v>200</v>
      </c>
      <c r="CO15" s="0" t="s">
        <v>201</v>
      </c>
      <c r="CP15" s="0" t="s">
        <v>1</v>
      </c>
      <c r="CQ15" s="0" t="s">
        <v>749</v>
      </c>
      <c r="CR15" s="0" t="s">
        <v>750</v>
      </c>
      <c r="CS15" s="0" t="s">
        <v>751</v>
      </c>
      <c r="CT15" s="0" t="s">
        <v>752</v>
      </c>
      <c r="CU15" s="0" t="s">
        <v>753</v>
      </c>
      <c r="CV15" s="0" t="s">
        <v>355</v>
      </c>
      <c r="CW15" s="0" t="s">
        <v>204</v>
      </c>
      <c r="CX15" s="0" t="s">
        <v>356</v>
      </c>
      <c r="CY15" s="0" t="s">
        <v>754</v>
      </c>
      <c r="CZ15" s="0" t="s">
        <v>755</v>
      </c>
      <c r="DA15" s="0" t="s">
        <v>207</v>
      </c>
      <c r="DB15" s="0" t="s">
        <v>259</v>
      </c>
      <c r="DC15" s="0" t="s">
        <v>164</v>
      </c>
      <c r="DD15" s="0" t="s">
        <v>209</v>
      </c>
      <c r="DE15" s="0" t="s">
        <v>209</v>
      </c>
      <c r="DF15" s="0" t="s">
        <v>210</v>
      </c>
      <c r="DG15" s="0" t="n">
        <v>40.73865</v>
      </c>
      <c r="DH15" s="0" t="n">
        <v>-73.991471</v>
      </c>
      <c r="DI15" s="0" t="s">
        <v>164</v>
      </c>
      <c r="DJ15" s="0" t="n">
        <v>0</v>
      </c>
      <c r="DK15" s="0" t="s">
        <v>756</v>
      </c>
      <c r="DL15" s="0" t="s">
        <v>757</v>
      </c>
      <c r="DM15" s="0" t="s">
        <v>754</v>
      </c>
      <c r="DN15" s="0" t="s">
        <v>758</v>
      </c>
      <c r="DO15" s="0" t="s">
        <v>443</v>
      </c>
      <c r="DP15" s="0" t="s">
        <v>759</v>
      </c>
      <c r="DQ15" s="0" t="s">
        <v>760</v>
      </c>
      <c r="DR15" s="0" t="s">
        <v>266</v>
      </c>
      <c r="DS15" s="0" t="s">
        <v>217</v>
      </c>
      <c r="DU15" s="0" t="s">
        <v>189</v>
      </c>
      <c r="DX15" s="0" t="s">
        <v>209</v>
      </c>
      <c r="EA15" s="0" t="s">
        <v>209</v>
      </c>
      <c r="EB15" s="0" t="s">
        <v>189</v>
      </c>
      <c r="EC15" s="0" t="s">
        <v>209</v>
      </c>
      <c r="EF15" s="0" t="n">
        <v>143</v>
      </c>
      <c r="EH15" s="0" t="s">
        <v>164</v>
      </c>
      <c r="EI15" s="0" t="s">
        <v>761</v>
      </c>
      <c r="EJ15" s="0" t="s">
        <v>221</v>
      </c>
      <c r="EK15" s="0" t="n">
        <v>1</v>
      </c>
      <c r="EL15" s="0" t="n">
        <v>66</v>
      </c>
      <c r="EM15" s="0" t="n">
        <v>25</v>
      </c>
      <c r="EN15" s="0" t="n">
        <v>15</v>
      </c>
      <c r="EO15" s="0" t="n">
        <v>6</v>
      </c>
      <c r="EP15" s="0" t="n">
        <v>15</v>
      </c>
      <c r="EQ15" s="0" t="n">
        <f aca="false">IF($A15="","",IF(AH15="exact",10,IF(AH15="adjacent",5,0)))</f>
        <v>0</v>
      </c>
      <c r="ER15" s="0" t="n">
        <f aca="false">IF($A15="","",IF(R15="Y",15,0))</f>
        <v>0</v>
      </c>
      <c r="ES15" s="0" t="s">
        <v>222</v>
      </c>
      <c r="EV15" s="0" t="s">
        <v>762</v>
      </c>
      <c r="EW15" s="0" t="s">
        <v>224</v>
      </c>
      <c r="EX15" s="0" t="s">
        <v>763</v>
      </c>
      <c r="FS15" s="0" t="str">
        <f aca="false">IF($A15="","",IF(ISNUMBER(MATCH(U15,{"queued","contacted","replied","call_booked","call_done","yes_in_principle","materials_sent"},0)),"Y","N"))</f>
        <v>N</v>
      </c>
      <c r="FT15" s="0" t="str">
        <f aca="false">IF($A15="","",IF(OR(T15="Y",U15="do_not_contact",AS15&amp;""&lt;&gt;""),"Y","N"))</f>
        <v>N</v>
      </c>
      <c r="FU15" s="0" t="str">
        <f aca="false">IF($A15="","",IF(AP15&amp;""&lt;&gt;"",AP15&amp;"",$A15))</f>
        <v>AO-C-047</v>
      </c>
      <c r="FV15" s="0" t="str">
        <f aca="false">IF($A15="","",IF(COUNTIFS($FU$2:$FU$1000,FU15,$FS$2:$FS$1000,"Y")+COUNTIFS($FU$2:$FU$1000,FU15,$FT$2:$FT$1000,"Y")&gt;0,"Y","N"))</f>
        <v>N</v>
      </c>
      <c r="FW15" s="0" t="str">
        <f aca="false">IF($A15="","",IF(AND(U15="new",T15="N",FT15="N",AT15="Y",FV15="N"),"Y","N"))</f>
        <v>N</v>
      </c>
      <c r="FX15" s="0" t="str">
        <f aca="false">IF($A15="","",IF(FW15&lt;&gt;"Y","N",IF(COUNTIFS($FU$2:$FU$1000,FU15,$FW$2:$FW$1000,"Y",$J$2:$J$1000,"&gt;"&amp;J15)+COUNTIFS($FU$2:$FU$1000,FU15,$FW$2:$FW$1000,"Y",$J$2:$J$1000,J15,$GD$2:$GD$1000,"&lt;"&amp;GD15)=0,"Y","N")))</f>
        <v>N</v>
      </c>
      <c r="FY15" s="0" t="str">
        <f aca="false">IF($A15="","",IF(AND(FW15="Y",FX15="Y",Y15&amp;""&lt;&gt;""),IF(Y15&lt;=10,"Y","N"),"N"))</f>
        <v>N</v>
      </c>
      <c r="FZ15" s="0" t="str">
        <f aca="false">IF(FY15="Y",Y15,"")</f>
        <v/>
      </c>
      <c r="GA15" s="0" t="str">
        <f aca="false">IF($A15="","",IF(AND(I15="walk-in",CN15="pass",U15="new",FT15="N",FV15="N",AQ15&lt;&gt;"Y"),"Y","N"))</f>
        <v>N</v>
      </c>
      <c r="GB15" s="0" t="str">
        <f aca="false">IF(GA15&lt;&gt;"Y","",IF(COUNTIFS($GA$2:$GA$1000,"Y",$J$2:$J$1000,"&gt;"&amp;J15)+COUNTIFS($GA$2:$GA$1000,"Y",$J$2:$J$1000,J15,$GD$2:$GD$1000,"&lt;"&amp;GD15)+1&lt;=25,COUNTIFS($GA$2:$GA$1000,"Y",$J$2:$J$1000,"&gt;"&amp;J15)+COUNTIFS($GA$2:$GA$1000,"Y",$J$2:$J$1000,J15,$GD$2:$GD$1000,"&lt;"&amp;GD15)+1,""))</f>
        <v/>
      </c>
      <c r="GC15" s="0" t="str">
        <f aca="false">IF(AND(_xlfn.ISFORMULA(C15),_xlfn.ISFORMULA(J15)),"Y","N")</f>
        <v>N</v>
      </c>
      <c r="GD15" s="0" t="n">
        <f aca="false">ROW()-1</f>
        <v>14</v>
      </c>
    </row>
    <row r="16" customFormat="false" ht="15" hidden="false" customHeight="false" outlineLevel="0" collapsed="false">
      <c r="A16" s="0" t="s">
        <v>764</v>
      </c>
      <c r="B16" s="0" t="s">
        <v>765</v>
      </c>
      <c r="C16" s="0" t="s">
        <v>766</v>
      </c>
      <c r="D16" s="0" t="s">
        <v>767</v>
      </c>
      <c r="E16" s="0" t="s">
        <v>768</v>
      </c>
      <c r="F16" s="0" t="s">
        <v>769</v>
      </c>
      <c r="G16" s="0" t="s">
        <v>164</v>
      </c>
      <c r="H16" s="0" t="s">
        <v>770</v>
      </c>
      <c r="I16" s="0" t="s">
        <v>771</v>
      </c>
      <c r="J16" s="0" t="s">
        <v>772</v>
      </c>
      <c r="L16" s="0" t="s">
        <v>168</v>
      </c>
      <c r="M16" s="0" t="s">
        <v>283</v>
      </c>
      <c r="N16" s="0" t="s">
        <v>284</v>
      </c>
      <c r="O16" s="0" t="s">
        <v>773</v>
      </c>
      <c r="P16" s="0" t="s">
        <v>172</v>
      </c>
      <c r="R16" s="5"/>
      <c r="U16" s="5"/>
      <c r="V16" s="0" t="s">
        <v>380</v>
      </c>
      <c r="AE16" s="0" t="s">
        <v>338</v>
      </c>
      <c r="AF16" s="0" t="s">
        <v>774</v>
      </c>
      <c r="AG16" s="0" t="s">
        <v>775</v>
      </c>
      <c r="AH16" s="0" t="s">
        <v>776</v>
      </c>
      <c r="AI16" s="0" t="s">
        <v>777</v>
      </c>
      <c r="AJ16" s="0" t="s">
        <v>164</v>
      </c>
      <c r="AK16" s="0" t="s">
        <v>186</v>
      </c>
      <c r="AL16" s="0" t="s">
        <v>164</v>
      </c>
      <c r="AM16" s="0" t="n">
        <v>172</v>
      </c>
      <c r="AN16" s="0" t="s">
        <v>187</v>
      </c>
      <c r="AO16" s="0" t="s">
        <v>188</v>
      </c>
      <c r="AP16" s="0" t="s">
        <v>778</v>
      </c>
      <c r="AQ16" s="5" t="s">
        <v>189</v>
      </c>
      <c r="AR16" s="0" t="s">
        <v>779</v>
      </c>
      <c r="AT16" s="0" t="str">
        <f aca="false">IF($A16="","",IF(AND(CN16="pass",AQ16&lt;&gt;"Y",C16&lt;&gt;"",OR(AX16&lt;&gt;"Y",AV16="Y")),"Y","N"))</f>
        <v>Y</v>
      </c>
      <c r="AU16" s="0" t="str">
        <f aca="false">IF($A16="","",_xlfn.TEXTJOIN("; ",TRUE(),IF(CN16&lt;&gt;"pass","gated out",""),IF(AQ16="Y","on hold: "&amp;AR16,""),IF(C16="","no contact named on an opened page",""),IF(AND(AX16="Y",AV16&lt;&gt;"Y"),"Tuesday estimate band "&amp;L16&amp;": founder's call","")))</f>
        <v/>
      </c>
      <c r="AX16" s="0" t="s">
        <v>189</v>
      </c>
      <c r="AY16" s="0" t="s">
        <v>780</v>
      </c>
      <c r="AZ16" s="0" t="s">
        <v>781</v>
      </c>
      <c r="BA16" s="0" t="s">
        <v>782</v>
      </c>
      <c r="BC16" s="0" t="str">
        <f aca="false">IF($A16="","",IFERROR(INDEX(Enrichment!$A$2:$GZ$2000,MATCH($A16,INDEX(Enrichment!$A$2:$GZ$2000,0,MATCH("row_id",Enrichment!$A$1:$GZ$1,0)),0),MATCH("work_email",Enrichment!$A$1:$GZ$1,0))&amp;"",""))</f>
        <v/>
      </c>
      <c r="BD16" s="0" t="str">
        <f aca="false">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none</v>
      </c>
      <c r="BE16" s="0" t="s">
        <v>168</v>
      </c>
      <c r="BF16" s="0" t="s">
        <v>283</v>
      </c>
      <c r="BG16" s="0" t="s">
        <v>284</v>
      </c>
      <c r="BH16" s="0" t="s">
        <v>783</v>
      </c>
      <c r="BI16" s="0" t="s">
        <v>172</v>
      </c>
      <c r="BJ16" s="0" t="s">
        <v>301</v>
      </c>
      <c r="BK16" s="0" t="s">
        <v>784</v>
      </c>
      <c r="BL16" s="0" t="s">
        <v>785</v>
      </c>
      <c r="BM16" s="0" t="s">
        <v>786</v>
      </c>
      <c r="BN16" s="0" t="s">
        <v>787</v>
      </c>
      <c r="BO16" s="0" t="s">
        <v>782</v>
      </c>
      <c r="BQ16" s="0" t="str">
        <f aca="false">IF($A16="","",IFERROR(INDEX(Enrichment!$A$2:$GZ$2000,MATCH($A16,INDEX(Enrichment!$A$2:$GZ$2000,0,MATCH("row_id",Enrichment!$A$1:$GZ$1,0)),0),MATCH("backup_work_email",Enrichment!$A$1:$GZ$1,0))&amp;"",""))</f>
        <v/>
      </c>
      <c r="BR16" s="0" t="str">
        <f aca="false">IF($A16="","",IF(BQ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none</v>
      </c>
      <c r="BS16" s="0" t="s">
        <v>176</v>
      </c>
      <c r="BT16" s="0" t="s">
        <v>283</v>
      </c>
      <c r="BU16" s="0" t="s">
        <v>284</v>
      </c>
      <c r="BV16" s="0" t="s">
        <v>788</v>
      </c>
      <c r="BW16" s="0" t="s">
        <v>172</v>
      </c>
      <c r="BX16" s="0" t="s">
        <v>301</v>
      </c>
      <c r="BY16" s="0" t="s">
        <v>789</v>
      </c>
      <c r="BZ16" s="0" t="s">
        <v>785</v>
      </c>
      <c r="CA16" s="0" t="s">
        <v>790</v>
      </c>
      <c r="CB16" s="0" t="s">
        <v>196</v>
      </c>
      <c r="CC16" s="0" t="s">
        <v>791</v>
      </c>
      <c r="CD16" s="0" t="s">
        <v>792</v>
      </c>
      <c r="CE16" s="0" t="s">
        <v>793</v>
      </c>
      <c r="CF16" s="0" t="s">
        <v>352</v>
      </c>
      <c r="CH16" s="0" t="s">
        <v>794</v>
      </c>
      <c r="CI16" s="0" t="s">
        <v>795</v>
      </c>
      <c r="CJ16" s="0" t="s">
        <v>796</v>
      </c>
      <c r="CK16" s="0" t="s">
        <v>352</v>
      </c>
      <c r="CM16" s="0" t="s">
        <v>164</v>
      </c>
      <c r="CN16" s="0" t="s">
        <v>200</v>
      </c>
      <c r="CO16" s="0" t="s">
        <v>201</v>
      </c>
      <c r="CP16" s="0" t="s">
        <v>1</v>
      </c>
      <c r="CQ16" s="0" t="s">
        <v>797</v>
      </c>
      <c r="CR16" s="0" t="s">
        <v>798</v>
      </c>
      <c r="CS16" s="0" t="s">
        <v>799</v>
      </c>
      <c r="CT16" s="0" t="s">
        <v>800</v>
      </c>
      <c r="CU16" s="0" t="s">
        <v>801</v>
      </c>
      <c r="CV16" s="0" t="s">
        <v>209</v>
      </c>
      <c r="CW16" s="0" t="s">
        <v>209</v>
      </c>
      <c r="CX16" s="0" t="s">
        <v>440</v>
      </c>
      <c r="CY16" s="0" t="s">
        <v>802</v>
      </c>
      <c r="CZ16" s="0" t="s">
        <v>803</v>
      </c>
      <c r="DA16" s="0" t="s">
        <v>207</v>
      </c>
      <c r="DB16" s="0" t="s">
        <v>259</v>
      </c>
      <c r="DC16" s="0" t="s">
        <v>164</v>
      </c>
      <c r="DD16" s="0" t="s">
        <v>209</v>
      </c>
      <c r="DE16" s="0" t="s">
        <v>804</v>
      </c>
      <c r="DF16" s="0" t="s">
        <v>525</v>
      </c>
      <c r="DG16" s="0" t="n">
        <v>40.742014</v>
      </c>
      <c r="DH16" s="0" t="n">
        <v>-73.993705</v>
      </c>
      <c r="DI16" s="0" t="s">
        <v>164</v>
      </c>
      <c r="DJ16" s="0" t="n">
        <v>0</v>
      </c>
      <c r="DK16" s="0" t="s">
        <v>609</v>
      </c>
      <c r="DL16" s="0" t="s">
        <v>610</v>
      </c>
      <c r="DM16" s="0" t="s">
        <v>805</v>
      </c>
      <c r="DN16" s="0" t="s">
        <v>806</v>
      </c>
      <c r="DO16" s="0" t="s">
        <v>363</v>
      </c>
      <c r="DP16" s="0" t="s">
        <v>807</v>
      </c>
      <c r="DQ16" s="0" t="s">
        <v>808</v>
      </c>
      <c r="DS16" s="0" t="s">
        <v>809</v>
      </c>
      <c r="DT16" s="0" t="s">
        <v>209</v>
      </c>
      <c r="DU16" s="0" t="s">
        <v>189</v>
      </c>
      <c r="DX16" s="0" t="s">
        <v>209</v>
      </c>
      <c r="EA16" s="0" t="s">
        <v>209</v>
      </c>
      <c r="EB16" s="0" t="s">
        <v>189</v>
      </c>
      <c r="EC16" s="0" t="s">
        <v>810</v>
      </c>
      <c r="ED16" s="0" t="s">
        <v>802</v>
      </c>
      <c r="EE16" s="0" t="s">
        <v>263</v>
      </c>
      <c r="EF16" s="0" t="n">
        <v>87</v>
      </c>
      <c r="EH16" s="0" t="s">
        <v>189</v>
      </c>
      <c r="EI16" s="0" t="s">
        <v>811</v>
      </c>
      <c r="EJ16" s="0" t="s">
        <v>221</v>
      </c>
      <c r="EK16" s="0" t="n">
        <v>1</v>
      </c>
      <c r="EL16" s="0" t="n">
        <v>65</v>
      </c>
      <c r="EM16" s="0" t="n">
        <v>25</v>
      </c>
      <c r="EN16" s="0" t="n">
        <v>15</v>
      </c>
      <c r="EO16" s="0" t="n">
        <v>15</v>
      </c>
      <c r="EP16" s="0" t="n">
        <v>5</v>
      </c>
      <c r="EQ16" s="0" t="n">
        <f aca="false">IF($A16="","",IF(AH16="exact",10,IF(AH16="adjacent",5,0)))</f>
        <v>0</v>
      </c>
      <c r="ER16" s="0" t="n">
        <f aca="false">IF($A16="","",IF(R16="Y",15,0))</f>
        <v>0</v>
      </c>
      <c r="ES16" s="0" t="s">
        <v>222</v>
      </c>
      <c r="EV16" s="0" t="s">
        <v>812</v>
      </c>
      <c r="EW16" s="0" t="s">
        <v>224</v>
      </c>
      <c r="EX16" s="0" t="s">
        <v>813</v>
      </c>
      <c r="EZ16" s="0" t="s">
        <v>814</v>
      </c>
      <c r="FS16" s="0" t="str">
        <f aca="false">IF($A16="","",IF(ISNUMBER(MATCH(U16,{"queued","contacted","replied","call_booked","call_done","yes_in_principle","materials_sent"},0)),"Y","N"))</f>
        <v>N</v>
      </c>
      <c r="FT16" s="0" t="str">
        <f aca="false">IF($A16="","",IF(OR(T16="Y",U16="do_not_contact",AS16&amp;""&lt;&gt;""),"Y","N"))</f>
        <v>N</v>
      </c>
      <c r="FU16" s="0" t="str">
        <f aca="false">IF($A16="","",IF(AP16&amp;""&lt;&gt;"",AP16&amp;"",$A16))</f>
        <v>AO-C-082</v>
      </c>
      <c r="FV16" s="0" t="str">
        <f aca="false">IF($A16="","",IF(COUNTIFS($FU$2:$FU$1000,FU16,$FS$2:$FS$1000,"Y")+COUNTIFS($FU$2:$FU$1000,FU16,$FT$2:$FT$1000,"Y")&gt;0,"Y","N"))</f>
        <v>N</v>
      </c>
      <c r="FW16" s="0" t="str">
        <f aca="false">IF($A16="","",IF(AND(U16="new",T16="N",FT16="N",AT16="Y",FV16="N"),"Y","N"))</f>
        <v>N</v>
      </c>
      <c r="FX16" s="0" t="str">
        <f aca="false">IF($A16="","",IF(FW16&lt;&gt;"Y","N",IF(COUNTIFS($FU$2:$FU$1000,FU16,$FW$2:$FW$1000,"Y",$J$2:$J$1000,"&gt;"&amp;J16)+COUNTIFS($FU$2:$FU$1000,FU16,$FW$2:$FW$1000,"Y",$J$2:$J$1000,J16,$GD$2:$GD$1000,"&lt;"&amp;GD16)=0,"Y","N")))</f>
        <v>N</v>
      </c>
      <c r="FY16" s="0" t="str">
        <f aca="false">IF($A16="","",IF(AND(FW16="Y",FX16="Y",Y16&amp;""&lt;&gt;""),IF(Y16&lt;=10,"Y","N"),"N"))</f>
        <v>N</v>
      </c>
      <c r="FZ16" s="0" t="str">
        <f aca="false">IF(FY16="Y",Y16,"")</f>
        <v/>
      </c>
      <c r="GA16" s="0" t="str">
        <f aca="false">IF($A16="","",IF(AND(I16="walk-in",CN16="pass",U16="new",FT16="N",FV16="N",AQ16&lt;&gt;"Y"),"Y","N"))</f>
        <v>N</v>
      </c>
      <c r="GB16" s="0" t="str">
        <f aca="false">IF(GA16&lt;&gt;"Y","",IF(COUNTIFS($GA$2:$GA$1000,"Y",$J$2:$J$1000,"&gt;"&amp;J16)+COUNTIFS($GA$2:$GA$1000,"Y",$J$2:$J$1000,J16,$GD$2:$GD$1000,"&lt;"&amp;GD16)+1&lt;=25,COUNTIFS($GA$2:$GA$1000,"Y",$J$2:$J$1000,"&gt;"&amp;J16)+COUNTIFS($GA$2:$GA$1000,"Y",$J$2:$J$1000,J16,$GD$2:$GD$1000,"&lt;"&amp;GD16)+1,""))</f>
        <v/>
      </c>
      <c r="GC16" s="0" t="str">
        <f aca="false">IF(AND(_xlfn.ISFORMULA(C16),_xlfn.ISFORMULA(J16)),"Y","N")</f>
        <v>N</v>
      </c>
      <c r="GD16" s="0" t="n">
        <f aca="false">ROW()-1</f>
        <v>15</v>
      </c>
    </row>
    <row r="17" customFormat="false" ht="15" hidden="false" customHeight="false" outlineLevel="0" collapsed="false">
      <c r="A17" s="0" t="s">
        <v>815</v>
      </c>
      <c r="B17" s="0" t="s">
        <v>816</v>
      </c>
      <c r="C17" s="0" t="s">
        <v>817</v>
      </c>
      <c r="D17" s="0" t="s">
        <v>818</v>
      </c>
      <c r="E17" s="0" t="s">
        <v>819</v>
      </c>
      <c r="F17" s="0" t="s">
        <v>820</v>
      </c>
      <c r="G17" s="0" t="s">
        <v>164</v>
      </c>
      <c r="H17" s="0" t="s">
        <v>821</v>
      </c>
      <c r="I17" s="0" t="s">
        <v>822</v>
      </c>
      <c r="J17" s="0" t="s">
        <v>823</v>
      </c>
      <c r="L17" s="0" t="s">
        <v>168</v>
      </c>
      <c r="M17" s="0" t="s">
        <v>283</v>
      </c>
      <c r="N17" s="0" t="s">
        <v>284</v>
      </c>
      <c r="O17" s="0" t="s">
        <v>824</v>
      </c>
      <c r="P17" s="0" t="s">
        <v>172</v>
      </c>
      <c r="Q17" s="0" t="s">
        <v>825</v>
      </c>
      <c r="R17" s="5" t="s">
        <v>826</v>
      </c>
      <c r="S17" s="0" t="s">
        <v>827</v>
      </c>
      <c r="U17" s="5" t="s">
        <v>176</v>
      </c>
      <c r="V17" s="0" t="s">
        <v>283</v>
      </c>
      <c r="W17" s="0" t="s">
        <v>284</v>
      </c>
      <c r="X17" s="0" t="s">
        <v>828</v>
      </c>
      <c r="Y17" s="0" t="s">
        <v>172</v>
      </c>
      <c r="Z17" s="0" t="s">
        <v>829</v>
      </c>
      <c r="AA17" s="0" t="s">
        <v>830</v>
      </c>
      <c r="AB17" s="0" t="s">
        <v>831</v>
      </c>
      <c r="AC17" s="0" t="s">
        <v>180</v>
      </c>
      <c r="AE17" s="0" t="s">
        <v>832</v>
      </c>
      <c r="AF17" s="0" t="s">
        <v>833</v>
      </c>
      <c r="AG17" s="0" t="s">
        <v>834</v>
      </c>
      <c r="AH17" s="0" t="s">
        <v>835</v>
      </c>
      <c r="AI17" s="0" t="s">
        <v>209</v>
      </c>
      <c r="AJ17" s="0" t="s">
        <v>164</v>
      </c>
      <c r="AK17" s="0" t="s">
        <v>186</v>
      </c>
      <c r="AL17" s="0" t="s">
        <v>164</v>
      </c>
      <c r="AM17" s="0" t="n">
        <v>82</v>
      </c>
      <c r="AN17" s="0" t="s">
        <v>187</v>
      </c>
      <c r="AO17" s="0" t="s">
        <v>188</v>
      </c>
      <c r="AP17" s="0" t="s">
        <v>836</v>
      </c>
      <c r="AQ17" s="5" t="s">
        <v>189</v>
      </c>
      <c r="AT17" s="0" t="str">
        <f aca="false">IF($A17="","",IF(AND(CN17="pass",AQ17&lt;&gt;"Y",C17&lt;&gt;"",OR(AX17&lt;&gt;"Y",AV17="Y")),"Y","N"))</f>
        <v>Y</v>
      </c>
      <c r="AU17" s="0" t="str">
        <f aca="false">IF($A17="","",_xlfn.TEXTJOIN("; ",TRUE(),IF(CN17&lt;&gt;"pass","gated out",""),IF(AQ17="Y","on hold: "&amp;AR17,""),IF(C17="","no contact named on an opened page",""),IF(AND(AX17="Y",AV17&lt;&gt;"Y"),"Tuesday estimate band "&amp;L17&amp;": founder's call","")))</f>
        <v/>
      </c>
      <c r="AX17" s="0" t="s">
        <v>189</v>
      </c>
      <c r="BC17" s="0" t="str">
        <f aca="false">IF($A17="","",IFERROR(INDEX(Enrichment!$A$2:$GZ$2000,MATCH($A17,INDEX(Enrichment!$A$2:$GZ$2000,0,MATCH("row_id",Enrichment!$A$1:$GZ$1,0)),0),MATCH("work_email",Enrichment!$A$1:$GZ$1,0))&amp;"",""))</f>
        <v/>
      </c>
      <c r="BD17" s="0" t="str">
        <f aca="false">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none</v>
      </c>
      <c r="BF17" s="0" t="s">
        <v>380</v>
      </c>
      <c r="BJ17" s="0" t="s">
        <v>380</v>
      </c>
      <c r="BK17" s="0" t="s">
        <v>743</v>
      </c>
      <c r="BL17" s="0" t="s">
        <v>837</v>
      </c>
      <c r="BQ17" s="0" t="str">
        <f aca="false">IF($A17="","",IFERROR(INDEX(Enrichment!$A$2:$GZ$2000,MATCH($A17,INDEX(Enrichment!$A$2:$GZ$2000,0,MATCH("row_id",Enrichment!$A$1:$GZ$1,0)),0),MATCH("backup_work_email",Enrichment!$A$1:$GZ$1,0))&amp;"",""))</f>
        <v/>
      </c>
      <c r="BR17" s="0" t="str">
        <f aca="false">IF($A17="","",IF(BQ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none</v>
      </c>
      <c r="BT17" s="0" t="s">
        <v>380</v>
      </c>
      <c r="BX17" s="0" t="s">
        <v>380</v>
      </c>
      <c r="BY17" s="0" t="s">
        <v>387</v>
      </c>
      <c r="BZ17" s="0" t="s">
        <v>388</v>
      </c>
      <c r="CA17" s="0" t="s">
        <v>838</v>
      </c>
      <c r="CB17" s="0" t="s">
        <v>746</v>
      </c>
      <c r="CM17" s="0" t="s">
        <v>164</v>
      </c>
      <c r="CN17" s="0" t="s">
        <v>200</v>
      </c>
      <c r="CO17" s="0" t="s">
        <v>201</v>
      </c>
      <c r="CP17" s="0" t="s">
        <v>1</v>
      </c>
      <c r="CQ17" s="0" t="s">
        <v>839</v>
      </c>
      <c r="CR17" s="0" t="s">
        <v>840</v>
      </c>
      <c r="CS17" s="0" t="s">
        <v>841</v>
      </c>
      <c r="CT17" s="0" t="s">
        <v>842</v>
      </c>
      <c r="CU17" s="0" t="s">
        <v>843</v>
      </c>
      <c r="CV17" s="0" t="s">
        <v>186</v>
      </c>
      <c r="CW17" s="0" t="s">
        <v>204</v>
      </c>
      <c r="CX17" s="0" t="s">
        <v>356</v>
      </c>
      <c r="CY17" s="0" t="s">
        <v>844</v>
      </c>
      <c r="CZ17" s="0" t="s">
        <v>845</v>
      </c>
      <c r="DA17" s="0" t="s">
        <v>207</v>
      </c>
      <c r="DB17" s="0" t="s">
        <v>259</v>
      </c>
      <c r="DC17" s="0" t="s">
        <v>164</v>
      </c>
      <c r="DD17" s="0" t="s">
        <v>209</v>
      </c>
      <c r="DE17" s="0" t="s">
        <v>846</v>
      </c>
      <c r="DF17" s="0" t="s">
        <v>210</v>
      </c>
      <c r="DG17" s="0" t="n">
        <v>40.737722</v>
      </c>
      <c r="DH17" s="0" t="n">
        <v>-73.989367</v>
      </c>
      <c r="DI17" s="0" t="s">
        <v>164</v>
      </c>
      <c r="DJ17" s="0" t="n">
        <v>0</v>
      </c>
      <c r="DK17" s="0" t="s">
        <v>847</v>
      </c>
      <c r="DL17" s="0" t="s">
        <v>848</v>
      </c>
      <c r="DM17" s="0" t="s">
        <v>849</v>
      </c>
      <c r="DN17" s="0" t="s">
        <v>263</v>
      </c>
      <c r="DO17" s="0" t="s">
        <v>651</v>
      </c>
      <c r="DP17" s="0" t="s">
        <v>850</v>
      </c>
      <c r="DQ17" s="0" t="s">
        <v>851</v>
      </c>
      <c r="DS17" s="0" t="s">
        <v>217</v>
      </c>
      <c r="DU17" s="0" t="s">
        <v>189</v>
      </c>
      <c r="DX17" s="0" t="s">
        <v>209</v>
      </c>
      <c r="EA17" s="0" t="s">
        <v>209</v>
      </c>
      <c r="EB17" s="0" t="s">
        <v>189</v>
      </c>
      <c r="EC17" s="0" t="s">
        <v>218</v>
      </c>
      <c r="ED17" s="0" t="s">
        <v>849</v>
      </c>
      <c r="EE17" s="0" t="s">
        <v>172</v>
      </c>
      <c r="EF17" s="0" t="n">
        <v>50</v>
      </c>
      <c r="EH17" s="0" t="s">
        <v>189</v>
      </c>
      <c r="EI17" s="0" t="s">
        <v>852</v>
      </c>
      <c r="EJ17" s="0" t="s">
        <v>221</v>
      </c>
      <c r="EK17" s="0" t="n">
        <v>0.74</v>
      </c>
      <c r="EL17" s="0" t="n">
        <v>63.4</v>
      </c>
      <c r="EM17" s="0" t="n">
        <v>18.4</v>
      </c>
      <c r="EN17" s="0" t="n">
        <v>15</v>
      </c>
      <c r="EO17" s="0" t="n">
        <v>15</v>
      </c>
      <c r="EP17" s="0" t="n">
        <v>15</v>
      </c>
      <c r="EQ17" s="0" t="n">
        <f aca="false">IF($A17="","",IF(AH17="exact",10,IF(AH17="adjacent",5,0)))</f>
        <v>0</v>
      </c>
      <c r="ER17" s="0" t="n">
        <f aca="false">IF($A17="","",IF(R17="Y",15,0))</f>
        <v>0</v>
      </c>
      <c r="ES17" s="0" t="s">
        <v>222</v>
      </c>
      <c r="EX17" s="0" t="s">
        <v>853</v>
      </c>
      <c r="EZ17" s="0" t="s">
        <v>854</v>
      </c>
      <c r="FS17" s="0" t="str">
        <f aca="false">IF($A17="","",IF(ISNUMBER(MATCH(U17,{"queued","contacted","replied","call_booked","call_done","yes_in_principle","materials_sent"},0)),"Y","N"))</f>
        <v>N</v>
      </c>
      <c r="FT17" s="0" t="str">
        <f aca="false">IF($A17="","",IF(OR(T17="Y",U17="do_not_contact",AS17&amp;""&lt;&gt;""),"Y","N"))</f>
        <v>N</v>
      </c>
      <c r="FU17" s="0" t="str">
        <f aca="false">IF($A17="","",IF(AP17&amp;""&lt;&gt;"",AP17&amp;"",$A17))</f>
        <v>AO-C-048</v>
      </c>
      <c r="FV17" s="0" t="str">
        <f aca="false">IF($A17="","",IF(COUNTIFS($FU$2:$FU$1000,FU17,$FS$2:$FS$1000,"Y")+COUNTIFS($FU$2:$FU$1000,FU17,$FT$2:$FT$1000,"Y")&gt;0,"Y","N"))</f>
        <v>N</v>
      </c>
      <c r="FW17" s="0" t="str">
        <f aca="false">IF($A17="","",IF(AND(U17="new",T17="N",FT17="N",AT17="Y",FV17="N"),"Y","N"))</f>
        <v>N</v>
      </c>
      <c r="FX17" s="0" t="str">
        <f aca="false">IF($A17="","",IF(FW17&lt;&gt;"Y","N",IF(COUNTIFS($FU$2:$FU$1000,FU17,$FW$2:$FW$1000,"Y",$J$2:$J$1000,"&gt;"&amp;J17)+COUNTIFS($FU$2:$FU$1000,FU17,$FW$2:$FW$1000,"Y",$J$2:$J$1000,J17,$GD$2:$GD$1000,"&lt;"&amp;GD17)=0,"Y","N")))</f>
        <v>N</v>
      </c>
      <c r="FY17" s="0" t="str">
        <f aca="false">IF($A17="","",IF(AND(FW17="Y",FX17="Y",Y17&amp;""&lt;&gt;""),IF(Y17&lt;=10,"Y","N"),"N"))</f>
        <v>N</v>
      </c>
      <c r="FZ17" s="0" t="str">
        <f aca="false">IF(FY17="Y",Y17,"")</f>
        <v/>
      </c>
      <c r="GA17" s="0" t="str">
        <f aca="false">IF($A17="","",IF(AND(I17="walk-in",CN17="pass",U17="new",FT17="N",FV17="N",AQ17&lt;&gt;"Y"),"Y","N"))</f>
        <v>N</v>
      </c>
      <c r="GB17" s="0" t="str">
        <f aca="false">IF(GA17&lt;&gt;"Y","",IF(COUNTIFS($GA$2:$GA$1000,"Y",$J$2:$J$1000,"&gt;"&amp;J17)+COUNTIFS($GA$2:$GA$1000,"Y",$J$2:$J$1000,J17,$GD$2:$GD$1000,"&lt;"&amp;GD17)+1&lt;=25,COUNTIFS($GA$2:$GA$1000,"Y",$J$2:$J$1000,"&gt;"&amp;J17)+COUNTIFS($GA$2:$GA$1000,"Y",$J$2:$J$1000,J17,$GD$2:$GD$1000,"&lt;"&amp;GD17)+1,""))</f>
        <v/>
      </c>
      <c r="GC17" s="0" t="str">
        <f aca="false">IF(AND(_xlfn.ISFORMULA(C17),_xlfn.ISFORMULA(J17)),"Y","N")</f>
        <v>N</v>
      </c>
      <c r="GD17" s="0" t="n">
        <f aca="false">ROW()-1</f>
        <v>16</v>
      </c>
    </row>
    <row r="18" customFormat="false" ht="15" hidden="false" customHeight="false" outlineLevel="0" collapsed="false">
      <c r="A18" s="0" t="s">
        <v>855</v>
      </c>
      <c r="B18" s="0" t="s">
        <v>856</v>
      </c>
      <c r="C18" s="0" t="s">
        <v>857</v>
      </c>
      <c r="D18" s="0" t="s">
        <v>858</v>
      </c>
      <c r="E18" s="0" t="s">
        <v>859</v>
      </c>
      <c r="F18" s="0" t="s">
        <v>820</v>
      </c>
      <c r="G18" s="0" t="s">
        <v>164</v>
      </c>
      <c r="H18" s="0" t="s">
        <v>860</v>
      </c>
      <c r="I18" s="0" t="s">
        <v>861</v>
      </c>
      <c r="J18" s="0" t="s">
        <v>862</v>
      </c>
      <c r="L18" s="0" t="s">
        <v>168</v>
      </c>
      <c r="M18" s="0" t="s">
        <v>283</v>
      </c>
      <c r="N18" s="0" t="s">
        <v>284</v>
      </c>
      <c r="O18" s="0" t="s">
        <v>863</v>
      </c>
      <c r="P18" s="0" t="s">
        <v>172</v>
      </c>
      <c r="R18" s="5"/>
      <c r="U18" s="5"/>
      <c r="V18" s="0" t="s">
        <v>380</v>
      </c>
      <c r="AE18" s="0" t="s">
        <v>864</v>
      </c>
      <c r="AF18" s="0" t="s">
        <v>209</v>
      </c>
      <c r="AG18" s="0" t="s">
        <v>865</v>
      </c>
      <c r="AH18" s="0" t="s">
        <v>866</v>
      </c>
      <c r="AI18" s="0" t="s">
        <v>867</v>
      </c>
      <c r="AJ18" s="0" t="s">
        <v>164</v>
      </c>
      <c r="AK18" s="0" t="s">
        <v>186</v>
      </c>
      <c r="AL18" s="0" t="s">
        <v>164</v>
      </c>
      <c r="AM18" s="0" t="n">
        <v>101</v>
      </c>
      <c r="AN18" s="0" t="s">
        <v>187</v>
      </c>
      <c r="AO18" s="0" t="s">
        <v>429</v>
      </c>
      <c r="AP18" s="0" t="s">
        <v>868</v>
      </c>
      <c r="AQ18" s="5" t="s">
        <v>189</v>
      </c>
      <c r="AT18" s="0" t="str">
        <f aca="false">IF($A18="","",IF(AND(CN18="pass",AQ18&lt;&gt;"Y",C18&lt;&gt;"",OR(AX18&lt;&gt;"Y",AV18="Y")),"Y","N"))</f>
        <v>Y</v>
      </c>
      <c r="AU18" s="0" t="str">
        <f aca="false">IF($A18="","",_xlfn.TEXTJOIN("; ",TRUE(),IF(CN18&lt;&gt;"pass","gated out",""),IF(AQ18="Y","on hold: "&amp;AR18,""),IF(C18="","no contact named on an opened page",""),IF(AND(AX18="Y",AV18&lt;&gt;"Y"),"Tuesday estimate band "&amp;L18&amp;": founder's call","")))</f>
        <v/>
      </c>
      <c r="AX18" s="0" t="s">
        <v>189</v>
      </c>
      <c r="BC18" s="0" t="str">
        <f aca="false">IF($A18="","",IFERROR(INDEX(Enrichment!$A$2:$GZ$2000,MATCH($A18,INDEX(Enrichment!$A$2:$GZ$2000,0,MATCH("row_id",Enrichment!$A$1:$GZ$1,0)),0),MATCH("work_email",Enrichment!$A$1:$GZ$1,0))&amp;"",""))</f>
        <v/>
      </c>
      <c r="BD18" s="0" t="str">
        <f aca="false">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none</v>
      </c>
      <c r="BF18" s="0" t="s">
        <v>380</v>
      </c>
      <c r="BJ18" s="0" t="s">
        <v>380</v>
      </c>
      <c r="BK18" s="0" t="s">
        <v>743</v>
      </c>
      <c r="BL18" s="0" t="s">
        <v>837</v>
      </c>
      <c r="BQ18" s="0" t="str">
        <f aca="false">IF($A18="","",IFERROR(INDEX(Enrichment!$A$2:$GZ$2000,MATCH($A18,INDEX(Enrichment!$A$2:$GZ$2000,0,MATCH("row_id",Enrichment!$A$1:$GZ$1,0)),0),MATCH("backup_work_email",Enrichment!$A$1:$GZ$1,0))&amp;"",""))</f>
        <v/>
      </c>
      <c r="BR18" s="0" t="str">
        <f aca="false">IF($A18="","",IF(BQ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none</v>
      </c>
      <c r="BT18" s="0" t="s">
        <v>380</v>
      </c>
      <c r="BX18" s="0" t="s">
        <v>380</v>
      </c>
      <c r="BY18" s="0" t="s">
        <v>387</v>
      </c>
      <c r="BZ18" s="0" t="s">
        <v>388</v>
      </c>
      <c r="CA18" s="0" t="s">
        <v>869</v>
      </c>
      <c r="CB18" s="0" t="s">
        <v>746</v>
      </c>
      <c r="CM18" s="0" t="s">
        <v>164</v>
      </c>
      <c r="CN18" s="0" t="s">
        <v>200</v>
      </c>
      <c r="CO18" s="0" t="s">
        <v>201</v>
      </c>
      <c r="CP18" s="0" t="s">
        <v>1</v>
      </c>
      <c r="CQ18" s="0" t="s">
        <v>870</v>
      </c>
      <c r="CR18" s="0" t="s">
        <v>871</v>
      </c>
      <c r="CS18" s="0" t="s">
        <v>872</v>
      </c>
      <c r="CT18" s="0" t="s">
        <v>873</v>
      </c>
      <c r="CU18" s="0" t="s">
        <v>874</v>
      </c>
      <c r="CV18" s="0" t="s">
        <v>355</v>
      </c>
      <c r="CW18" s="0" t="s">
        <v>204</v>
      </c>
      <c r="CX18" s="0" t="s">
        <v>356</v>
      </c>
      <c r="CY18" s="0" t="s">
        <v>875</v>
      </c>
      <c r="CZ18" s="0" t="s">
        <v>876</v>
      </c>
      <c r="DA18" s="0" t="s">
        <v>207</v>
      </c>
      <c r="DB18" s="0" t="s">
        <v>208</v>
      </c>
      <c r="DC18" s="0" t="s">
        <v>189</v>
      </c>
      <c r="DD18" s="0" t="s">
        <v>209</v>
      </c>
      <c r="DE18" s="0" t="s">
        <v>877</v>
      </c>
      <c r="DF18" s="0" t="s">
        <v>210</v>
      </c>
      <c r="DG18" s="0" t="n">
        <v>40.73686</v>
      </c>
      <c r="DH18" s="0" t="n">
        <v>-73.988546</v>
      </c>
      <c r="DI18" s="0" t="s">
        <v>164</v>
      </c>
      <c r="DJ18" s="0" t="n">
        <v>0</v>
      </c>
      <c r="DK18" s="0" t="s">
        <v>260</v>
      </c>
      <c r="DL18" s="0" t="s">
        <v>261</v>
      </c>
      <c r="DM18" s="0" t="s">
        <v>264</v>
      </c>
      <c r="DN18" s="0" t="s">
        <v>265</v>
      </c>
      <c r="DO18" s="0" t="s">
        <v>443</v>
      </c>
      <c r="DR18" s="0" t="s">
        <v>266</v>
      </c>
      <c r="DS18" s="0" t="s">
        <v>809</v>
      </c>
      <c r="DU18" s="0" t="s">
        <v>189</v>
      </c>
      <c r="DX18" s="0" t="s">
        <v>267</v>
      </c>
      <c r="DY18" s="0" t="s">
        <v>268</v>
      </c>
      <c r="EA18" s="0" t="s">
        <v>209</v>
      </c>
      <c r="EB18" s="0" t="s">
        <v>189</v>
      </c>
      <c r="EC18" s="0" t="s">
        <v>446</v>
      </c>
      <c r="ED18" s="0" t="s">
        <v>878</v>
      </c>
      <c r="EE18" s="0" t="s">
        <v>172</v>
      </c>
      <c r="EF18" s="0" t="n">
        <v>72</v>
      </c>
      <c r="EH18" s="0" t="s">
        <v>164</v>
      </c>
      <c r="EI18" s="0" t="s">
        <v>879</v>
      </c>
      <c r="EJ18" s="0" t="s">
        <v>221</v>
      </c>
      <c r="EK18" s="0" t="n">
        <v>1</v>
      </c>
      <c r="EL18" s="0" t="n">
        <v>63</v>
      </c>
      <c r="EM18" s="0" t="n">
        <v>25</v>
      </c>
      <c r="EN18" s="0" t="n">
        <v>15</v>
      </c>
      <c r="EO18" s="0" t="n">
        <v>10</v>
      </c>
      <c r="EP18" s="0" t="n">
        <v>13</v>
      </c>
      <c r="EQ18" s="0" t="n">
        <f aca="false">IF($A18="","",IF(AH18="exact",10,IF(AH18="adjacent",5,0)))</f>
        <v>0</v>
      </c>
      <c r="ER18" s="0" t="n">
        <f aca="false">IF($A18="","",IF(R18="Y",15,0))</f>
        <v>0</v>
      </c>
      <c r="ES18" s="0" t="s">
        <v>222</v>
      </c>
      <c r="EV18" s="0" t="s">
        <v>880</v>
      </c>
      <c r="EW18" s="0" t="s">
        <v>224</v>
      </c>
      <c r="EX18" s="0" t="s">
        <v>881</v>
      </c>
      <c r="EZ18" s="0" t="s">
        <v>882</v>
      </c>
      <c r="FS18" s="0" t="str">
        <f aca="false">IF($A18="","",IF(ISNUMBER(MATCH(U18,{"queued","contacted","replied","call_booked","call_done","yes_in_principle","materials_sent"},0)),"Y","N"))</f>
        <v>N</v>
      </c>
      <c r="FT18" s="0" t="str">
        <f aca="false">IF($A18="","",IF(OR(T18="Y",U18="do_not_contact",AS18&amp;""&lt;&gt;""),"Y","N"))</f>
        <v>N</v>
      </c>
      <c r="FU18" s="0" t="str">
        <f aca="false">IF($A18="","",IF(AP18&amp;""&lt;&gt;"",AP18&amp;"",$A18))</f>
        <v>AO-C-033</v>
      </c>
      <c r="FV18" s="0" t="str">
        <f aca="false">IF($A18="","",IF(COUNTIFS($FU$2:$FU$1000,FU18,$FS$2:$FS$1000,"Y")+COUNTIFS($FU$2:$FU$1000,FU18,$FT$2:$FT$1000,"Y")&gt;0,"Y","N"))</f>
        <v>N</v>
      </c>
      <c r="FW18" s="0" t="str">
        <f aca="false">IF($A18="","",IF(AND(U18="new",T18="N",FT18="N",AT18="Y",FV18="N"),"Y","N"))</f>
        <v>N</v>
      </c>
      <c r="FX18" s="0" t="str">
        <f aca="false">IF($A18="","",IF(FW18&lt;&gt;"Y","N",IF(COUNTIFS($FU$2:$FU$1000,FU18,$FW$2:$FW$1000,"Y",$J$2:$J$1000,"&gt;"&amp;J18)+COUNTIFS($FU$2:$FU$1000,FU18,$FW$2:$FW$1000,"Y",$J$2:$J$1000,J18,$GD$2:$GD$1000,"&lt;"&amp;GD18)=0,"Y","N")))</f>
        <v>N</v>
      </c>
      <c r="FY18" s="0" t="str">
        <f aca="false">IF($A18="","",IF(AND(FW18="Y",FX18="Y",Y18&amp;""&lt;&gt;""),IF(Y18&lt;=10,"Y","N"),"N"))</f>
        <v>N</v>
      </c>
      <c r="FZ18" s="0" t="str">
        <f aca="false">IF(FY18="Y",Y18,"")</f>
        <v/>
      </c>
      <c r="GA18" s="0" t="str">
        <f aca="false">IF($A18="","",IF(AND(I18="walk-in",CN18="pass",U18="new",FT18="N",FV18="N",AQ18&lt;&gt;"Y"),"Y","N"))</f>
        <v>N</v>
      </c>
      <c r="GB18" s="0" t="str">
        <f aca="false">IF(GA18&lt;&gt;"Y","",IF(COUNTIFS($GA$2:$GA$1000,"Y",$J$2:$J$1000,"&gt;"&amp;J18)+COUNTIFS($GA$2:$GA$1000,"Y",$J$2:$J$1000,J18,$GD$2:$GD$1000,"&lt;"&amp;GD18)+1&lt;=25,COUNTIFS($GA$2:$GA$1000,"Y",$J$2:$J$1000,"&gt;"&amp;J18)+COUNTIFS($GA$2:$GA$1000,"Y",$J$2:$J$1000,J18,$GD$2:$GD$1000,"&lt;"&amp;GD18)+1,""))</f>
        <v/>
      </c>
      <c r="GC18" s="0" t="str">
        <f aca="false">IF(AND(_xlfn.ISFORMULA(C18),_xlfn.ISFORMULA(J18)),"Y","N")</f>
        <v>N</v>
      </c>
      <c r="GD18" s="0" t="n">
        <f aca="false">ROW()-1</f>
        <v>17</v>
      </c>
    </row>
    <row r="19" customFormat="false" ht="15" hidden="false" customHeight="false" outlineLevel="0" collapsed="false">
      <c r="A19" s="0" t="s">
        <v>883</v>
      </c>
      <c r="B19" s="0" t="s">
        <v>884</v>
      </c>
      <c r="C19" s="0" t="s">
        <v>885</v>
      </c>
      <c r="D19" s="0" t="s">
        <v>886</v>
      </c>
      <c r="E19" s="0" t="s">
        <v>887</v>
      </c>
      <c r="F19" s="0" t="s">
        <v>820</v>
      </c>
      <c r="G19" s="0" t="s">
        <v>164</v>
      </c>
      <c r="H19" s="0" t="s">
        <v>888</v>
      </c>
      <c r="I19" s="0" t="s">
        <v>889</v>
      </c>
      <c r="J19" s="0" t="s">
        <v>890</v>
      </c>
      <c r="L19" s="0" t="s">
        <v>168</v>
      </c>
      <c r="M19" s="0" t="s">
        <v>283</v>
      </c>
      <c r="N19" s="0" t="s">
        <v>284</v>
      </c>
      <c r="O19" s="0" t="s">
        <v>891</v>
      </c>
      <c r="P19" s="0" t="s">
        <v>172</v>
      </c>
      <c r="R19" s="5"/>
      <c r="U19" s="5"/>
      <c r="V19" s="0" t="s">
        <v>380</v>
      </c>
      <c r="AE19" s="0" t="s">
        <v>892</v>
      </c>
      <c r="AF19" s="0" t="s">
        <v>209</v>
      </c>
      <c r="AG19" s="0" t="s">
        <v>893</v>
      </c>
      <c r="AH19" s="0" t="s">
        <v>752</v>
      </c>
      <c r="AI19" s="0" t="s">
        <v>894</v>
      </c>
      <c r="AJ19" s="0" t="s">
        <v>164</v>
      </c>
      <c r="AK19" s="0" t="s">
        <v>186</v>
      </c>
      <c r="AL19" s="0" t="s">
        <v>164</v>
      </c>
      <c r="AM19" s="0" t="n">
        <v>64</v>
      </c>
      <c r="AN19" s="0" t="s">
        <v>187</v>
      </c>
      <c r="AO19" s="0" t="s">
        <v>188</v>
      </c>
      <c r="AP19" s="0" t="s">
        <v>895</v>
      </c>
      <c r="AQ19" s="5" t="s">
        <v>189</v>
      </c>
      <c r="AT19" s="0" t="str">
        <f aca="false">IF($A19="","",IF(AND(CN19="pass",AQ19&lt;&gt;"Y",C19&lt;&gt;"",OR(AX19&lt;&gt;"Y",AV19="Y")),"Y","N"))</f>
        <v>Y</v>
      </c>
      <c r="AU19" s="0" t="str">
        <f aca="false">IF($A19="","",_xlfn.TEXTJOIN("; ",TRUE(),IF(CN19&lt;&gt;"pass","gated out",""),IF(AQ19="Y","on hold: "&amp;AR19,""),IF(C19="","no contact named on an opened page",""),IF(AND(AX19="Y",AV19&lt;&gt;"Y"),"Tuesday estimate band "&amp;L19&amp;": founder's call","")))</f>
        <v/>
      </c>
      <c r="AX19" s="0" t="s">
        <v>189</v>
      </c>
      <c r="BC19" s="0" t="str">
        <f aca="false">IF($A19="","",IFERROR(INDEX(Enrichment!$A$2:$GZ$2000,MATCH($A19,INDEX(Enrichment!$A$2:$GZ$2000,0,MATCH("row_id",Enrichment!$A$1:$GZ$1,0)),0),MATCH("work_email",Enrichment!$A$1:$GZ$1,0))&amp;"",""))</f>
        <v/>
      </c>
      <c r="BD19" s="0" t="str">
        <f aca="false">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none</v>
      </c>
      <c r="BF19" s="0" t="s">
        <v>380</v>
      </c>
      <c r="BJ19" s="0" t="s">
        <v>380</v>
      </c>
      <c r="BK19" s="0" t="s">
        <v>743</v>
      </c>
      <c r="BL19" s="0" t="s">
        <v>896</v>
      </c>
      <c r="BQ19" s="0" t="str">
        <f aca="false">IF($A19="","",IFERROR(INDEX(Enrichment!$A$2:$GZ$2000,MATCH($A19,INDEX(Enrichment!$A$2:$GZ$2000,0,MATCH("row_id",Enrichment!$A$1:$GZ$1,0)),0),MATCH("backup_work_email",Enrichment!$A$1:$GZ$1,0))&amp;"",""))</f>
        <v/>
      </c>
      <c r="BR19" s="0" t="str">
        <f aca="false">IF($A19="","",IF(BQ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none</v>
      </c>
      <c r="BT19" s="0" t="s">
        <v>380</v>
      </c>
      <c r="BX19" s="0" t="s">
        <v>380</v>
      </c>
      <c r="BY19" s="0" t="s">
        <v>387</v>
      </c>
      <c r="BZ19" s="0" t="s">
        <v>388</v>
      </c>
      <c r="CA19" s="0" t="s">
        <v>897</v>
      </c>
      <c r="CB19" s="0" t="s">
        <v>746</v>
      </c>
      <c r="CM19" s="0" t="s">
        <v>189</v>
      </c>
      <c r="CN19" s="0" t="s">
        <v>200</v>
      </c>
      <c r="CO19" s="0" t="s">
        <v>201</v>
      </c>
      <c r="CP19" s="0" t="s">
        <v>1</v>
      </c>
      <c r="CQ19" s="0" t="s">
        <v>898</v>
      </c>
      <c r="CR19" s="0" t="s">
        <v>899</v>
      </c>
      <c r="CS19" s="0" t="s">
        <v>900</v>
      </c>
      <c r="CT19" s="0" t="s">
        <v>901</v>
      </c>
      <c r="CV19" s="0" t="s">
        <v>186</v>
      </c>
      <c r="CW19" s="0" t="s">
        <v>204</v>
      </c>
      <c r="CX19" s="0" t="s">
        <v>205</v>
      </c>
      <c r="CY19" s="0" t="s">
        <v>902</v>
      </c>
      <c r="DA19" s="0" t="s">
        <v>207</v>
      </c>
      <c r="DB19" s="0" t="s">
        <v>903</v>
      </c>
      <c r="DC19" s="0" t="s">
        <v>189</v>
      </c>
      <c r="DD19" s="0" t="s">
        <v>209</v>
      </c>
      <c r="DE19" s="0" t="s">
        <v>904</v>
      </c>
      <c r="DF19" s="0" t="s">
        <v>397</v>
      </c>
      <c r="DG19" s="0" t="n">
        <v>40.738405</v>
      </c>
      <c r="DH19" s="0" t="n">
        <v>-73.99394</v>
      </c>
      <c r="DI19" s="0" t="s">
        <v>164</v>
      </c>
      <c r="DJ19" s="0" t="n">
        <v>0</v>
      </c>
      <c r="DK19" s="0" t="s">
        <v>905</v>
      </c>
      <c r="DL19" s="0" t="s">
        <v>906</v>
      </c>
      <c r="DM19" s="0" t="s">
        <v>907</v>
      </c>
      <c r="DN19" s="0" t="s">
        <v>908</v>
      </c>
      <c r="DO19" s="0" t="s">
        <v>363</v>
      </c>
      <c r="DP19" s="0" t="s">
        <v>909</v>
      </c>
      <c r="DQ19" s="0" t="s">
        <v>263</v>
      </c>
      <c r="DS19" s="0" t="s">
        <v>809</v>
      </c>
      <c r="DU19" s="0" t="s">
        <v>189</v>
      </c>
      <c r="DX19" s="0" t="s">
        <v>209</v>
      </c>
      <c r="EA19" s="0" t="s">
        <v>209</v>
      </c>
      <c r="EB19" s="0" t="s">
        <v>189</v>
      </c>
      <c r="EC19" s="0" t="s">
        <v>910</v>
      </c>
      <c r="ED19" s="0" t="s">
        <v>911</v>
      </c>
      <c r="EE19" s="0" t="s">
        <v>172</v>
      </c>
      <c r="EF19" s="0" t="n">
        <v>51</v>
      </c>
      <c r="EH19" s="0" t="s">
        <v>164</v>
      </c>
      <c r="EI19" s="0" t="s">
        <v>912</v>
      </c>
      <c r="EJ19" s="0" t="s">
        <v>221</v>
      </c>
      <c r="EK19" s="0" t="n">
        <v>1</v>
      </c>
      <c r="EL19" s="0" t="n">
        <v>63</v>
      </c>
      <c r="EM19" s="0" t="n">
        <v>25</v>
      </c>
      <c r="EN19" s="0" t="n">
        <v>15</v>
      </c>
      <c r="EO19" s="0" t="n">
        <v>15</v>
      </c>
      <c r="EP19" s="0" t="n">
        <v>8</v>
      </c>
      <c r="EQ19" s="0" t="n">
        <f aca="false">IF($A19="","",IF(AH19="exact",10,IF(AH19="adjacent",5,0)))</f>
        <v>0</v>
      </c>
      <c r="ER19" s="0" t="n">
        <f aca="false">IF($A19="","",IF(R19="Y",15,0))</f>
        <v>0</v>
      </c>
      <c r="ES19" s="0" t="s">
        <v>222</v>
      </c>
      <c r="EV19" s="0" t="s">
        <v>913</v>
      </c>
      <c r="EW19" s="0" t="s">
        <v>224</v>
      </c>
      <c r="EX19" s="0" t="s">
        <v>914</v>
      </c>
      <c r="EZ19" s="0" t="s">
        <v>915</v>
      </c>
      <c r="FS19" s="0" t="str">
        <f aca="false">IF($A19="","",IF(ISNUMBER(MATCH(U19,{"queued","contacted","replied","call_booked","call_done","yes_in_principle","materials_sent"},0)),"Y","N"))</f>
        <v>N</v>
      </c>
      <c r="FT19" s="0" t="str">
        <f aca="false">IF($A19="","",IF(OR(T19="Y",U19="do_not_contact",AS19&amp;""&lt;&gt;""),"Y","N"))</f>
        <v>N</v>
      </c>
      <c r="FU19" s="0" t="str">
        <f aca="false">IF($A19="","",IF(AP19&amp;""&lt;&gt;"",AP19&amp;"",$A19))</f>
        <v>AO-C-021</v>
      </c>
      <c r="FV19" s="0" t="str">
        <f aca="false">IF($A19="","",IF(COUNTIFS($FU$2:$FU$1000,FU19,$FS$2:$FS$1000,"Y")+COUNTIFS($FU$2:$FU$1000,FU19,$FT$2:$FT$1000,"Y")&gt;0,"Y","N"))</f>
        <v>N</v>
      </c>
      <c r="FW19" s="0" t="str">
        <f aca="false">IF($A19="","",IF(AND(U19="new",T19="N",FT19="N",AT19="Y",FV19="N"),"Y","N"))</f>
        <v>N</v>
      </c>
      <c r="FX19" s="0" t="str">
        <f aca="false">IF($A19="","",IF(FW19&lt;&gt;"Y","N",IF(COUNTIFS($FU$2:$FU$1000,FU19,$FW$2:$FW$1000,"Y",$J$2:$J$1000,"&gt;"&amp;J19)+COUNTIFS($FU$2:$FU$1000,FU19,$FW$2:$FW$1000,"Y",$J$2:$J$1000,J19,$GD$2:$GD$1000,"&lt;"&amp;GD19)=0,"Y","N")))</f>
        <v>N</v>
      </c>
      <c r="FY19" s="0" t="str">
        <f aca="false">IF($A19="","",IF(AND(FW19="Y",FX19="Y",Y19&amp;""&lt;&gt;""),IF(Y19&lt;=10,"Y","N"),"N"))</f>
        <v>N</v>
      </c>
      <c r="FZ19" s="0" t="str">
        <f aca="false">IF(FY19="Y",Y19,"")</f>
        <v/>
      </c>
      <c r="GA19" s="0" t="str">
        <f aca="false">IF($A19="","",IF(AND(I19="walk-in",CN19="pass",U19="new",FT19="N",FV19="N",AQ19&lt;&gt;"Y"),"Y","N"))</f>
        <v>N</v>
      </c>
      <c r="GB19" s="0" t="str">
        <f aca="false">IF(GA19&lt;&gt;"Y","",IF(COUNTIFS($GA$2:$GA$1000,"Y",$J$2:$J$1000,"&gt;"&amp;J19)+COUNTIFS($GA$2:$GA$1000,"Y",$J$2:$J$1000,J19,$GD$2:$GD$1000,"&lt;"&amp;GD19)+1&lt;=25,COUNTIFS($GA$2:$GA$1000,"Y",$J$2:$J$1000,"&gt;"&amp;J19)+COUNTIFS($GA$2:$GA$1000,"Y",$J$2:$J$1000,J19,$GD$2:$GD$1000,"&lt;"&amp;GD19)+1,""))</f>
        <v/>
      </c>
      <c r="GC19" s="0" t="str">
        <f aca="false">IF(AND(_xlfn.ISFORMULA(C19),_xlfn.ISFORMULA(J19)),"Y","N")</f>
        <v>N</v>
      </c>
      <c r="GD19" s="0" t="n">
        <f aca="false">ROW()-1</f>
        <v>18</v>
      </c>
    </row>
    <row r="20" customFormat="false" ht="15" hidden="false" customHeight="false" outlineLevel="0" collapsed="false">
      <c r="A20" s="0" t="s">
        <v>916</v>
      </c>
      <c r="B20" s="0" t="s">
        <v>917</v>
      </c>
      <c r="C20" s="0" t="s">
        <v>918</v>
      </c>
      <c r="D20" s="0" t="s">
        <v>919</v>
      </c>
      <c r="E20" s="0" t="s">
        <v>920</v>
      </c>
      <c r="F20" s="0" t="s">
        <v>921</v>
      </c>
      <c r="G20" s="0" t="s">
        <v>164</v>
      </c>
      <c r="H20" s="0" t="s">
        <v>922</v>
      </c>
      <c r="I20" s="0" t="s">
        <v>923</v>
      </c>
      <c r="J20" s="0" t="s">
        <v>772</v>
      </c>
      <c r="L20" s="0" t="s">
        <v>168</v>
      </c>
      <c r="M20" s="0" t="s">
        <v>169</v>
      </c>
      <c r="N20" s="0" t="s">
        <v>170</v>
      </c>
      <c r="O20" s="0" t="s">
        <v>924</v>
      </c>
      <c r="P20" s="0" t="s">
        <v>172</v>
      </c>
      <c r="R20" s="5"/>
      <c r="U20" s="5"/>
      <c r="V20" s="0" t="s">
        <v>380</v>
      </c>
      <c r="AE20" s="0" t="s">
        <v>925</v>
      </c>
      <c r="AF20" s="0" t="s">
        <v>182</v>
      </c>
      <c r="AG20" s="0" t="s">
        <v>926</v>
      </c>
      <c r="AH20" s="0" t="s">
        <v>927</v>
      </c>
      <c r="AI20" s="0" t="s">
        <v>928</v>
      </c>
      <c r="AJ20" s="0" t="s">
        <v>164</v>
      </c>
      <c r="AK20" s="0" t="s">
        <v>203</v>
      </c>
      <c r="AL20" s="0" t="s">
        <v>164</v>
      </c>
      <c r="AM20" s="0" t="n">
        <v>297</v>
      </c>
      <c r="AN20" s="0" t="s">
        <v>187</v>
      </c>
      <c r="AO20" s="0" t="s">
        <v>188</v>
      </c>
      <c r="AP20" s="0" t="s">
        <v>724</v>
      </c>
      <c r="AQ20" s="5" t="s">
        <v>189</v>
      </c>
      <c r="AT20" s="0" t="str">
        <f aca="false">IF($A20="","",IF(AND(CN20="pass",AQ20&lt;&gt;"Y",C20&lt;&gt;"",OR(AX20&lt;&gt;"Y",AV20="Y")),"Y","N"))</f>
        <v>Y</v>
      </c>
      <c r="AU20" s="0" t="str">
        <f aca="false">IF($A20="","",_xlfn.TEXTJOIN("; ",TRUE(),IF(CN20&lt;&gt;"pass","gated out",""),IF(AQ20="Y","on hold: "&amp;AR20,""),IF(C20="","no contact named on an opened page",""),IF(AND(AX20="Y",AV20&lt;&gt;"Y"),"Tuesday estimate band "&amp;L20&amp;": founder's call","")))</f>
        <v/>
      </c>
      <c r="AX20" s="0" t="s">
        <v>189</v>
      </c>
      <c r="AY20" s="0" t="s">
        <v>730</v>
      </c>
      <c r="AZ20" s="0" t="s">
        <v>731</v>
      </c>
      <c r="BA20" s="0" t="s">
        <v>732</v>
      </c>
      <c r="BC20" s="0" t="str">
        <f aca="false">IF($A20="","",IFERROR(INDEX(Enrichment!$A$2:$GZ$2000,MATCH($A20,INDEX(Enrichment!$A$2:$GZ$2000,0,MATCH("row_id",Enrichment!$A$1:$GZ$1,0)),0),MATCH("work_email",Enrichment!$A$1:$GZ$1,0))&amp;"",""))</f>
        <v/>
      </c>
      <c r="BD20" s="0" t="str">
        <f aca="false">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none</v>
      </c>
      <c r="BE20" s="0" t="s">
        <v>168</v>
      </c>
      <c r="BF20" s="0" t="s">
        <v>283</v>
      </c>
      <c r="BG20" s="0" t="s">
        <v>284</v>
      </c>
      <c r="BH20" s="0" t="s">
        <v>733</v>
      </c>
      <c r="BI20" s="0" t="s">
        <v>172</v>
      </c>
      <c r="BJ20" s="0" t="s">
        <v>301</v>
      </c>
      <c r="BK20" s="0" t="s">
        <v>929</v>
      </c>
      <c r="BL20" s="0" t="s">
        <v>930</v>
      </c>
      <c r="BQ20" s="0" t="str">
        <f aca="false">IF($A20="","",IFERROR(INDEX(Enrichment!$A$2:$GZ$2000,MATCH($A20,INDEX(Enrichment!$A$2:$GZ$2000,0,MATCH("row_id",Enrichment!$A$1:$GZ$1,0)),0),MATCH("backup_work_email",Enrichment!$A$1:$GZ$1,0))&amp;"",""))</f>
        <v/>
      </c>
      <c r="BR20" s="0" t="str">
        <f aca="false">IF($A20="","",IF(BQ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none</v>
      </c>
      <c r="BT20" s="0" t="s">
        <v>380</v>
      </c>
      <c r="BX20" s="0" t="s">
        <v>380</v>
      </c>
      <c r="BY20" s="0" t="s">
        <v>387</v>
      </c>
      <c r="BZ20" s="0" t="s">
        <v>388</v>
      </c>
      <c r="CA20" s="0" t="s">
        <v>931</v>
      </c>
      <c r="CB20" s="0" t="s">
        <v>196</v>
      </c>
      <c r="CC20" s="0" t="s">
        <v>932</v>
      </c>
      <c r="CD20" s="0" t="s">
        <v>933</v>
      </c>
      <c r="CE20" s="0" t="s">
        <v>934</v>
      </c>
      <c r="CF20" s="0" t="s">
        <v>352</v>
      </c>
      <c r="CM20" s="0" t="s">
        <v>164</v>
      </c>
      <c r="CN20" s="0" t="s">
        <v>200</v>
      </c>
      <c r="CO20" s="0" t="s">
        <v>201</v>
      </c>
      <c r="CP20" s="0" t="s">
        <v>1</v>
      </c>
      <c r="CQ20" s="0" t="s">
        <v>935</v>
      </c>
      <c r="CR20" s="0" t="s">
        <v>726</v>
      </c>
      <c r="CS20" s="0" t="s">
        <v>736</v>
      </c>
      <c r="CT20" s="0" t="s">
        <v>737</v>
      </c>
      <c r="CU20" s="0" t="s">
        <v>936</v>
      </c>
      <c r="CV20" s="0" t="s">
        <v>209</v>
      </c>
      <c r="CW20" s="0" t="s">
        <v>209</v>
      </c>
      <c r="CX20" s="0" t="s">
        <v>440</v>
      </c>
      <c r="CY20" s="0" t="s">
        <v>937</v>
      </c>
      <c r="CZ20" s="0" t="s">
        <v>938</v>
      </c>
      <c r="DA20" s="0" t="s">
        <v>207</v>
      </c>
      <c r="DB20" s="0" t="s">
        <v>939</v>
      </c>
      <c r="DC20" s="0" t="s">
        <v>189</v>
      </c>
      <c r="DD20" s="0" t="s">
        <v>209</v>
      </c>
      <c r="DE20" s="0" t="s">
        <v>738</v>
      </c>
      <c r="DF20" s="0" t="s">
        <v>525</v>
      </c>
      <c r="DG20" s="0" t="n">
        <v>40.743309</v>
      </c>
      <c r="DH20" s="0" t="n">
        <v>-73.987329</v>
      </c>
      <c r="DI20" s="0" t="s">
        <v>164</v>
      </c>
      <c r="DJ20" s="0" t="n">
        <v>0</v>
      </c>
      <c r="DK20" s="0" t="s">
        <v>940</v>
      </c>
      <c r="DL20" s="0" t="s">
        <v>941</v>
      </c>
      <c r="DM20" s="0" t="s">
        <v>942</v>
      </c>
      <c r="DN20" s="0" t="s">
        <v>943</v>
      </c>
      <c r="DO20" s="0" t="s">
        <v>363</v>
      </c>
      <c r="DP20" s="0" t="s">
        <v>937</v>
      </c>
      <c r="DQ20" s="0" t="s">
        <v>263</v>
      </c>
      <c r="DS20" s="0" t="s">
        <v>217</v>
      </c>
      <c r="DU20" s="0" t="s">
        <v>189</v>
      </c>
      <c r="DX20" s="0" t="s">
        <v>209</v>
      </c>
      <c r="EA20" s="0" t="s">
        <v>209</v>
      </c>
      <c r="EB20" s="0" t="s">
        <v>189</v>
      </c>
      <c r="EC20" s="0" t="s">
        <v>944</v>
      </c>
      <c r="ED20" s="0" t="s">
        <v>937</v>
      </c>
      <c r="EE20" s="0" t="s">
        <v>263</v>
      </c>
      <c r="EF20" s="0" t="n">
        <v>49</v>
      </c>
      <c r="EG20" s="0" t="s">
        <v>945</v>
      </c>
      <c r="EH20" s="0" t="s">
        <v>189</v>
      </c>
      <c r="EI20" s="0" t="s">
        <v>946</v>
      </c>
      <c r="EJ20" s="0" t="s">
        <v>221</v>
      </c>
      <c r="EK20" s="0" t="n">
        <v>0.51</v>
      </c>
      <c r="EL20" s="0" t="n">
        <v>62.7</v>
      </c>
      <c r="EM20" s="0" t="n">
        <v>12.7</v>
      </c>
      <c r="EN20" s="0" t="n">
        <v>15</v>
      </c>
      <c r="EO20" s="0" t="n">
        <v>15</v>
      </c>
      <c r="EP20" s="0" t="n">
        <v>15</v>
      </c>
      <c r="EQ20" s="0" t="n">
        <f aca="false">IF($A20="","",IF(AH20="exact",10,IF(AH20="adjacent",5,0)))</f>
        <v>0</v>
      </c>
      <c r="ER20" s="0" t="n">
        <f aca="false">IF($A20="","",IF(R20="Y",15,0))</f>
        <v>0</v>
      </c>
      <c r="ES20" s="0" t="s">
        <v>222</v>
      </c>
      <c r="EX20" s="0" t="s">
        <v>947</v>
      </c>
      <c r="EZ20" s="0" t="s">
        <v>948</v>
      </c>
      <c r="FS20" s="0" t="str">
        <f aca="false">IF($A20="","",IF(ISNUMBER(MATCH(U20,{"queued","contacted","replied","call_booked","call_done","yes_in_principle","materials_sent"},0)),"Y","N"))</f>
        <v>N</v>
      </c>
      <c r="FT20" s="0" t="str">
        <f aca="false">IF($A20="","",IF(OR(T20="Y",U20="do_not_contact",AS20&amp;""&lt;&gt;""),"Y","N"))</f>
        <v>N</v>
      </c>
      <c r="FU20" s="0" t="str">
        <f aca="false">IF($A20="","",IF(AP20&amp;""&lt;&gt;"",AP20&amp;"",$A20))</f>
        <v>AO-C-130</v>
      </c>
      <c r="FV20" s="0" t="str">
        <f aca="false">IF($A20="","",IF(COUNTIFS($FU$2:$FU$1000,FU20,$FS$2:$FS$1000,"Y")+COUNTIFS($FU$2:$FU$1000,FU20,$FT$2:$FT$1000,"Y")&gt;0,"Y","N"))</f>
        <v>N</v>
      </c>
      <c r="FW20" s="0" t="str">
        <f aca="false">IF($A20="","",IF(AND(U20="new",T20="N",FT20="N",AT20="Y",FV20="N"),"Y","N"))</f>
        <v>N</v>
      </c>
      <c r="FX20" s="0" t="str">
        <f aca="false">IF($A20="","",IF(FW20&lt;&gt;"Y","N",IF(COUNTIFS($FU$2:$FU$1000,FU20,$FW$2:$FW$1000,"Y",$J$2:$J$1000,"&gt;"&amp;J20)+COUNTIFS($FU$2:$FU$1000,FU20,$FW$2:$FW$1000,"Y",$J$2:$J$1000,J20,$GD$2:$GD$1000,"&lt;"&amp;GD20)=0,"Y","N")))</f>
        <v>N</v>
      </c>
      <c r="FY20" s="0" t="str">
        <f aca="false">IF($A20="","",IF(AND(FW20="Y",FX20="Y",Y20&amp;""&lt;&gt;""),IF(Y20&lt;=10,"Y","N"),"N"))</f>
        <v>N</v>
      </c>
      <c r="FZ20" s="0" t="str">
        <f aca="false">IF(FY20="Y",Y20,"")</f>
        <v/>
      </c>
      <c r="GA20" s="0" t="str">
        <f aca="false">IF($A20="","",IF(AND(I20="walk-in",CN20="pass",U20="new",FT20="N",FV20="N",AQ20&lt;&gt;"Y"),"Y","N"))</f>
        <v>N</v>
      </c>
      <c r="GB20" s="0" t="str">
        <f aca="false">IF(GA20&lt;&gt;"Y","",IF(COUNTIFS($GA$2:$GA$1000,"Y",$J$2:$J$1000,"&gt;"&amp;J20)+COUNTIFS($GA$2:$GA$1000,"Y",$J$2:$J$1000,J20,$GD$2:$GD$1000,"&lt;"&amp;GD20)+1&lt;=25,COUNTIFS($GA$2:$GA$1000,"Y",$J$2:$J$1000,"&gt;"&amp;J20)+COUNTIFS($GA$2:$GA$1000,"Y",$J$2:$J$1000,J20,$GD$2:$GD$1000,"&lt;"&amp;GD20)+1,""))</f>
        <v/>
      </c>
      <c r="GC20" s="0" t="str">
        <f aca="false">IF(AND(_xlfn.ISFORMULA(C20),_xlfn.ISFORMULA(J20)),"Y","N")</f>
        <v>N</v>
      </c>
      <c r="GD20" s="0" t="n">
        <f aca="false">ROW()-1</f>
        <v>19</v>
      </c>
    </row>
    <row r="21" customFormat="false" ht="15" hidden="false" customHeight="false" outlineLevel="0" collapsed="false">
      <c r="A21" s="0" t="s">
        <v>949</v>
      </c>
      <c r="B21" s="0" t="s">
        <v>950</v>
      </c>
      <c r="C21" s="0" t="s">
        <v>951</v>
      </c>
      <c r="D21" s="0" t="s">
        <v>952</v>
      </c>
      <c r="E21" s="0" t="s">
        <v>953</v>
      </c>
      <c r="F21" s="0" t="s">
        <v>954</v>
      </c>
      <c r="G21" s="0" t="s">
        <v>164</v>
      </c>
      <c r="H21" s="0" t="s">
        <v>955</v>
      </c>
      <c r="I21" s="0" t="s">
        <v>956</v>
      </c>
      <c r="J21" s="0" t="s">
        <v>957</v>
      </c>
      <c r="L21" s="0" t="s">
        <v>168</v>
      </c>
      <c r="M21" s="0" t="s">
        <v>169</v>
      </c>
      <c r="N21" s="0" t="s">
        <v>170</v>
      </c>
      <c r="O21" s="0" t="s">
        <v>958</v>
      </c>
      <c r="P21" s="0" t="s">
        <v>172</v>
      </c>
      <c r="Q21" s="0" t="s">
        <v>959</v>
      </c>
      <c r="R21" s="5" t="s">
        <v>960</v>
      </c>
      <c r="S21" s="0" t="s">
        <v>961</v>
      </c>
      <c r="U21" s="5" t="s">
        <v>176</v>
      </c>
      <c r="V21" s="0" t="s">
        <v>169</v>
      </c>
      <c r="W21" s="0" t="s">
        <v>170</v>
      </c>
      <c r="X21" s="0" t="s">
        <v>958</v>
      </c>
      <c r="Y21" s="0" t="s">
        <v>172</v>
      </c>
      <c r="Z21" s="0" t="s">
        <v>962</v>
      </c>
      <c r="AB21" s="0" t="s">
        <v>963</v>
      </c>
      <c r="AC21" s="0" t="s">
        <v>352</v>
      </c>
      <c r="AE21" s="0" t="s">
        <v>964</v>
      </c>
      <c r="AF21" s="0" t="s">
        <v>965</v>
      </c>
      <c r="AG21" s="0" t="s">
        <v>966</v>
      </c>
      <c r="AH21" s="0" t="s">
        <v>967</v>
      </c>
      <c r="AI21" s="0" t="s">
        <v>968</v>
      </c>
      <c r="AJ21" s="0" t="s">
        <v>164</v>
      </c>
      <c r="AK21" s="0" t="s">
        <v>298</v>
      </c>
      <c r="AL21" s="0" t="s">
        <v>164</v>
      </c>
      <c r="AM21" s="0" t="n">
        <v>168</v>
      </c>
      <c r="AN21" s="0" t="s">
        <v>187</v>
      </c>
      <c r="AO21" s="0" t="s">
        <v>188</v>
      </c>
      <c r="AP21" s="0" t="s">
        <v>764</v>
      </c>
      <c r="AQ21" s="5" t="s">
        <v>189</v>
      </c>
      <c r="AT21" s="0" t="str">
        <f aca="false">IF($A21="","",IF(AND(CN21="pass",AQ21&lt;&gt;"Y",C21&lt;&gt;"",OR(AX21&lt;&gt;"Y",AV21="Y")),"Y","N"))</f>
        <v>Y</v>
      </c>
      <c r="AU21" s="0" t="str">
        <f aca="false">IF($A21="","",_xlfn.TEXTJOIN("; ",TRUE(),IF(CN21&lt;&gt;"pass","gated out",""),IF(AQ21="Y","on hold: "&amp;AR21,""),IF(C21="","no contact named on an opened page",""),IF(AND(AX21="Y",AV21&lt;&gt;"Y"),"Tuesday estimate band "&amp;L21&amp;": founder's call","")))</f>
        <v/>
      </c>
      <c r="AX21" s="0" t="s">
        <v>189</v>
      </c>
      <c r="AY21" s="0" t="s">
        <v>770</v>
      </c>
      <c r="AZ21" s="0" t="s">
        <v>771</v>
      </c>
      <c r="BA21" s="0" t="s">
        <v>772</v>
      </c>
      <c r="BC21" s="0" t="str">
        <f aca="false">IF($A21="","",IFERROR(INDEX(Enrichment!$A$2:$GZ$2000,MATCH($A21,INDEX(Enrichment!$A$2:$GZ$2000,0,MATCH("row_id",Enrichment!$A$1:$GZ$1,0)),0),MATCH("work_email",Enrichment!$A$1:$GZ$1,0))&amp;"",""))</f>
        <v/>
      </c>
      <c r="BD21" s="0" t="str">
        <f aca="false">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none</v>
      </c>
      <c r="BE21" s="0" t="s">
        <v>168</v>
      </c>
      <c r="BF21" s="0" t="s">
        <v>283</v>
      </c>
      <c r="BG21" s="0" t="s">
        <v>284</v>
      </c>
      <c r="BH21" s="0" t="s">
        <v>773</v>
      </c>
      <c r="BI21" s="0" t="s">
        <v>172</v>
      </c>
      <c r="BJ21" s="0" t="s">
        <v>301</v>
      </c>
      <c r="BK21" s="0" t="s">
        <v>969</v>
      </c>
      <c r="BL21" s="0" t="s">
        <v>970</v>
      </c>
      <c r="BQ21" s="0" t="str">
        <f aca="false">IF($A21="","",IFERROR(INDEX(Enrichment!$A$2:$GZ$2000,MATCH($A21,INDEX(Enrichment!$A$2:$GZ$2000,0,MATCH("row_id",Enrichment!$A$1:$GZ$1,0)),0),MATCH("backup_work_email",Enrichment!$A$1:$GZ$1,0))&amp;"",""))</f>
        <v/>
      </c>
      <c r="BR21" s="0" t="str">
        <f aca="false">IF($A21="","",IF(BQ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none</v>
      </c>
      <c r="BT21" s="0" t="s">
        <v>380</v>
      </c>
      <c r="BX21" s="0" t="s">
        <v>380</v>
      </c>
      <c r="BY21" s="0" t="s">
        <v>387</v>
      </c>
      <c r="BZ21" s="0" t="s">
        <v>388</v>
      </c>
      <c r="CA21" s="0" t="s">
        <v>971</v>
      </c>
      <c r="CB21" s="0" t="s">
        <v>196</v>
      </c>
      <c r="CC21" s="0" t="s">
        <v>972</v>
      </c>
      <c r="CD21" s="0" t="s">
        <v>973</v>
      </c>
      <c r="CE21" s="0" t="s">
        <v>974</v>
      </c>
      <c r="CF21" s="0" t="s">
        <v>180</v>
      </c>
      <c r="CM21" s="0" t="s">
        <v>164</v>
      </c>
      <c r="CN21" s="0" t="s">
        <v>200</v>
      </c>
      <c r="CO21" s="0" t="s">
        <v>201</v>
      </c>
      <c r="CP21" s="0" t="s">
        <v>1</v>
      </c>
      <c r="CQ21" s="0" t="s">
        <v>975</v>
      </c>
      <c r="CR21" s="0" t="s">
        <v>766</v>
      </c>
      <c r="CS21" s="0" t="s">
        <v>775</v>
      </c>
      <c r="CT21" s="0" t="s">
        <v>776</v>
      </c>
      <c r="CV21" s="0" t="s">
        <v>976</v>
      </c>
      <c r="CW21" s="0" t="s">
        <v>204</v>
      </c>
      <c r="CX21" s="0" t="s">
        <v>205</v>
      </c>
      <c r="CY21" s="0" t="s">
        <v>977</v>
      </c>
      <c r="DA21" s="0" t="s">
        <v>978</v>
      </c>
      <c r="DB21" s="0" t="s">
        <v>209</v>
      </c>
      <c r="DC21" s="0" t="s">
        <v>209</v>
      </c>
      <c r="DD21" s="0" t="s">
        <v>209</v>
      </c>
      <c r="DE21" s="0" t="s">
        <v>777</v>
      </c>
      <c r="DF21" s="0" t="s">
        <v>311</v>
      </c>
      <c r="DG21" s="0" t="n">
        <v>40.742833</v>
      </c>
      <c r="DH21" s="0" t="n">
        <v>-73.984174</v>
      </c>
      <c r="DI21" s="0" t="s">
        <v>164</v>
      </c>
      <c r="DJ21" s="0" t="n">
        <v>0</v>
      </c>
      <c r="DK21" s="0" t="s">
        <v>359</v>
      </c>
      <c r="DL21" s="0" t="s">
        <v>360</v>
      </c>
      <c r="DM21" s="0" t="s">
        <v>979</v>
      </c>
      <c r="DN21" s="0" t="s">
        <v>980</v>
      </c>
      <c r="DO21" s="0" t="s">
        <v>363</v>
      </c>
      <c r="DP21" s="0" t="s">
        <v>977</v>
      </c>
      <c r="DQ21" s="0" t="s">
        <v>263</v>
      </c>
      <c r="DS21" s="0" t="s">
        <v>217</v>
      </c>
      <c r="DU21" s="0" t="s">
        <v>189</v>
      </c>
      <c r="DX21" s="0" t="s">
        <v>209</v>
      </c>
      <c r="EA21" s="0" t="s">
        <v>209</v>
      </c>
      <c r="EB21" s="0" t="s">
        <v>189</v>
      </c>
      <c r="EC21" s="0" t="s">
        <v>655</v>
      </c>
      <c r="ED21" s="0" t="s">
        <v>977</v>
      </c>
      <c r="EE21" s="0" t="s">
        <v>172</v>
      </c>
      <c r="EF21" s="0" t="n">
        <v>119</v>
      </c>
      <c r="EH21" s="0" t="s">
        <v>164</v>
      </c>
      <c r="EI21" s="0" t="s">
        <v>981</v>
      </c>
      <c r="EJ21" s="0" t="s">
        <v>221</v>
      </c>
      <c r="EK21" s="0" t="n">
        <v>1</v>
      </c>
      <c r="EL21" s="0" t="n">
        <v>62</v>
      </c>
      <c r="EM21" s="0" t="n">
        <v>25</v>
      </c>
      <c r="EN21" s="0" t="n">
        <v>2</v>
      </c>
      <c r="EO21" s="0" t="n">
        <v>15</v>
      </c>
      <c r="EP21" s="0" t="n">
        <v>15</v>
      </c>
      <c r="EQ21" s="0" t="n">
        <f aca="false">IF($A21="","",IF(AH21="exact",10,IF(AH21="adjacent",5,0)))</f>
        <v>0</v>
      </c>
      <c r="ER21" s="0" t="n">
        <f aca="false">IF($A21="","",IF(R21="Y",15,0))</f>
        <v>0</v>
      </c>
      <c r="ES21" s="0" t="s">
        <v>982</v>
      </c>
      <c r="ET21" s="0" t="s">
        <v>983</v>
      </c>
      <c r="EU21" s="0" t="s">
        <v>189</v>
      </c>
      <c r="EV21" s="0" t="s">
        <v>984</v>
      </c>
      <c r="EW21" s="0" t="s">
        <v>224</v>
      </c>
      <c r="EX21" s="0" t="s">
        <v>985</v>
      </c>
      <c r="EZ21" s="0" t="s">
        <v>986</v>
      </c>
      <c r="FS21" s="0" t="str">
        <f aca="false">IF($A21="","",IF(ISNUMBER(MATCH(U21,{"queued","contacted","replied","call_booked","call_done","yes_in_principle","materials_sent"},0)),"Y","N"))</f>
        <v>N</v>
      </c>
      <c r="FT21" s="0" t="str">
        <f aca="false">IF($A21="","",IF(OR(T21="Y",U21="do_not_contact",AS21&amp;""&lt;&gt;""),"Y","N"))</f>
        <v>N</v>
      </c>
      <c r="FU21" s="0" t="str">
        <f aca="false">IF($A21="","",IF(AP21&amp;""&lt;&gt;"",AP21&amp;"",$A21))</f>
        <v>AO-C-262</v>
      </c>
      <c r="FV21" s="0" t="str">
        <f aca="false">IF($A21="","",IF(COUNTIFS($FU$2:$FU$1000,FU21,$FS$2:$FS$1000,"Y")+COUNTIFS($FU$2:$FU$1000,FU21,$FT$2:$FT$1000,"Y")&gt;0,"Y","N"))</f>
        <v>N</v>
      </c>
      <c r="FW21" s="0" t="str">
        <f aca="false">IF($A21="","",IF(AND(U21="new",T21="N",FT21="N",AT21="Y",FV21="N"),"Y","N"))</f>
        <v>N</v>
      </c>
      <c r="FX21" s="0" t="str">
        <f aca="false">IF($A21="","",IF(FW21&lt;&gt;"Y","N",IF(COUNTIFS($FU$2:$FU$1000,FU21,$FW$2:$FW$1000,"Y",$J$2:$J$1000,"&gt;"&amp;J21)+COUNTIFS($FU$2:$FU$1000,FU21,$FW$2:$FW$1000,"Y",$J$2:$J$1000,J21,$GD$2:$GD$1000,"&lt;"&amp;GD21)=0,"Y","N")))</f>
        <v>N</v>
      </c>
      <c r="FY21" s="0" t="str">
        <f aca="false">IF($A21="","",IF(AND(FW21="Y",FX21="Y",Y21&amp;""&lt;&gt;""),IF(Y21&lt;=10,"Y","N"),"N"))</f>
        <v>N</v>
      </c>
      <c r="FZ21" s="0" t="str">
        <f aca="false">IF(FY21="Y",Y21,"")</f>
        <v/>
      </c>
      <c r="GA21" s="0" t="str">
        <f aca="false">IF($A21="","",IF(AND(I21="walk-in",CN21="pass",U21="new",FT21="N",FV21="N",AQ21&lt;&gt;"Y"),"Y","N"))</f>
        <v>N</v>
      </c>
      <c r="GB21" s="0" t="str">
        <f aca="false">IF(GA21&lt;&gt;"Y","",IF(COUNTIFS($GA$2:$GA$1000,"Y",$J$2:$J$1000,"&gt;"&amp;J21)+COUNTIFS($GA$2:$GA$1000,"Y",$J$2:$J$1000,J21,$GD$2:$GD$1000,"&lt;"&amp;GD21)+1&lt;=25,COUNTIFS($GA$2:$GA$1000,"Y",$J$2:$J$1000,"&gt;"&amp;J21)+COUNTIFS($GA$2:$GA$1000,"Y",$J$2:$J$1000,J21,$GD$2:$GD$1000,"&lt;"&amp;GD21)+1,""))</f>
        <v/>
      </c>
      <c r="GC21" s="0" t="str">
        <f aca="false">IF(AND(_xlfn.ISFORMULA(C21),_xlfn.ISFORMULA(J21)),"Y","N")</f>
        <v>N</v>
      </c>
      <c r="GD21" s="0" t="n">
        <f aca="false">ROW()-1</f>
        <v>20</v>
      </c>
    </row>
    <row r="22" customFormat="false" ht="15" hidden="false" customHeight="false" outlineLevel="0" collapsed="false">
      <c r="A22" s="0" t="s">
        <v>987</v>
      </c>
      <c r="B22" s="0" t="s">
        <v>988</v>
      </c>
      <c r="C22" s="0" t="s">
        <v>989</v>
      </c>
      <c r="D22" s="0" t="s">
        <v>990</v>
      </c>
      <c r="E22" s="0" t="s">
        <v>991</v>
      </c>
      <c r="F22" s="0" t="s">
        <v>992</v>
      </c>
      <c r="G22" s="0" t="s">
        <v>164</v>
      </c>
      <c r="H22" s="0" t="s">
        <v>993</v>
      </c>
      <c r="I22" s="0" t="s">
        <v>994</v>
      </c>
      <c r="J22" s="0" t="s">
        <v>995</v>
      </c>
      <c r="L22" s="0" t="s">
        <v>168</v>
      </c>
      <c r="M22" s="0" t="s">
        <v>169</v>
      </c>
      <c r="N22" s="0" t="s">
        <v>170</v>
      </c>
      <c r="O22" s="0" t="s">
        <v>996</v>
      </c>
      <c r="P22" s="0" t="s">
        <v>172</v>
      </c>
      <c r="Q22" s="0" t="s">
        <v>997</v>
      </c>
      <c r="R22" s="5" t="s">
        <v>998</v>
      </c>
      <c r="S22" s="0" t="s">
        <v>862</v>
      </c>
      <c r="U22" s="5" t="s">
        <v>176</v>
      </c>
      <c r="V22" s="0" t="s">
        <v>169</v>
      </c>
      <c r="W22" s="0" t="s">
        <v>170</v>
      </c>
      <c r="X22" s="0" t="s">
        <v>996</v>
      </c>
      <c r="Y22" s="0" t="s">
        <v>172</v>
      </c>
      <c r="Z22" s="0" t="s">
        <v>999</v>
      </c>
      <c r="AB22" s="0" t="s">
        <v>1000</v>
      </c>
      <c r="AC22" s="0" t="s">
        <v>352</v>
      </c>
      <c r="AE22" s="0" t="s">
        <v>1001</v>
      </c>
      <c r="AF22" s="0" t="s">
        <v>325</v>
      </c>
      <c r="AG22" s="0" t="s">
        <v>1002</v>
      </c>
      <c r="AH22" s="0" t="s">
        <v>1003</v>
      </c>
      <c r="AI22" s="0" t="s">
        <v>1004</v>
      </c>
      <c r="AJ22" s="0" t="s">
        <v>164</v>
      </c>
      <c r="AK22" s="0" t="s">
        <v>186</v>
      </c>
      <c r="AL22" s="0" t="s">
        <v>164</v>
      </c>
      <c r="AM22" s="0" t="n">
        <v>151</v>
      </c>
      <c r="AN22" s="0" t="s">
        <v>187</v>
      </c>
      <c r="AO22" s="0" t="s">
        <v>512</v>
      </c>
      <c r="AP22" s="0" t="s">
        <v>815</v>
      </c>
      <c r="AQ22" s="5" t="s">
        <v>189</v>
      </c>
      <c r="AT22" s="0" t="str">
        <f aca="false">IF($A22="","",IF(AND(CN22="pass",AQ22&lt;&gt;"Y",C22&lt;&gt;"",OR(AX22&lt;&gt;"Y",AV22="Y")),"Y","N"))</f>
        <v>Y</v>
      </c>
      <c r="AU22" s="0" t="str">
        <f aca="false">IF($A22="","",_xlfn.TEXTJOIN("; ",TRUE(),IF(CN22&lt;&gt;"pass","gated out",""),IF(AQ22="Y","on hold: "&amp;AR22,""),IF(C22="","no contact named on an opened page",""),IF(AND(AX22="Y",AV22&lt;&gt;"Y"),"Tuesday estimate band "&amp;L22&amp;": founder's call","")))</f>
        <v/>
      </c>
      <c r="AX22" s="0" t="s">
        <v>189</v>
      </c>
      <c r="AY22" s="0" t="s">
        <v>821</v>
      </c>
      <c r="AZ22" s="0" t="s">
        <v>822</v>
      </c>
      <c r="BA22" s="0" t="s">
        <v>823</v>
      </c>
      <c r="BC22" s="0" t="str">
        <f aca="false">IF($A22="","",IFERROR(INDEX(Enrichment!$A$2:$GZ$2000,MATCH($A22,INDEX(Enrichment!$A$2:$GZ$2000,0,MATCH("row_id",Enrichment!$A$1:$GZ$1,0)),0),MATCH("work_email",Enrichment!$A$1:$GZ$1,0))&amp;"",""))</f>
        <v/>
      </c>
      <c r="BD22" s="0" t="str">
        <f aca="false">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none</v>
      </c>
      <c r="BE22" s="0" t="s">
        <v>168</v>
      </c>
      <c r="BF22" s="0" t="s">
        <v>283</v>
      </c>
      <c r="BG22" s="0" t="s">
        <v>284</v>
      </c>
      <c r="BH22" s="0" t="s">
        <v>824</v>
      </c>
      <c r="BI22" s="0" t="s">
        <v>172</v>
      </c>
      <c r="BJ22" s="0" t="s">
        <v>301</v>
      </c>
      <c r="BK22" s="0" t="s">
        <v>1005</v>
      </c>
      <c r="BL22" s="0" t="s">
        <v>1006</v>
      </c>
      <c r="BM22" s="0" t="s">
        <v>825</v>
      </c>
      <c r="BN22" s="0" t="s">
        <v>826</v>
      </c>
      <c r="BO22" s="0" t="s">
        <v>827</v>
      </c>
      <c r="BQ22" s="0" t="str">
        <f aca="false">IF($A22="","",IFERROR(INDEX(Enrichment!$A$2:$GZ$2000,MATCH($A22,INDEX(Enrichment!$A$2:$GZ$2000,0,MATCH("row_id",Enrichment!$A$1:$GZ$1,0)),0),MATCH("backup_work_email",Enrichment!$A$1:$GZ$1,0))&amp;"",""))</f>
        <v/>
      </c>
      <c r="BR22" s="0" t="str">
        <f aca="false">IF($A22="","",IF(BQ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none</v>
      </c>
      <c r="BS22" s="0" t="s">
        <v>176</v>
      </c>
      <c r="BT22" s="0" t="s">
        <v>283</v>
      </c>
      <c r="BU22" s="0" t="s">
        <v>284</v>
      </c>
      <c r="BV22" s="0" t="s">
        <v>828</v>
      </c>
      <c r="BW22" s="0" t="s">
        <v>172</v>
      </c>
      <c r="BX22" s="0" t="s">
        <v>301</v>
      </c>
      <c r="BY22" s="0" t="s">
        <v>1007</v>
      </c>
      <c r="BZ22" s="0" t="s">
        <v>1008</v>
      </c>
      <c r="CA22" s="0" t="s">
        <v>1009</v>
      </c>
      <c r="CB22" s="0" t="s">
        <v>196</v>
      </c>
      <c r="CC22" s="0" t="s">
        <v>1010</v>
      </c>
      <c r="CD22" s="0" t="s">
        <v>1011</v>
      </c>
      <c r="CE22" s="0" t="s">
        <v>1012</v>
      </c>
      <c r="CF22" s="0" t="s">
        <v>425</v>
      </c>
      <c r="CH22" s="0" t="s">
        <v>829</v>
      </c>
      <c r="CI22" s="0" t="s">
        <v>830</v>
      </c>
      <c r="CJ22" s="0" t="s">
        <v>831</v>
      </c>
      <c r="CK22" s="0" t="s">
        <v>180</v>
      </c>
      <c r="CM22" s="0" t="s">
        <v>164</v>
      </c>
      <c r="CN22" s="0" t="s">
        <v>200</v>
      </c>
      <c r="CO22" s="0" t="s">
        <v>201</v>
      </c>
      <c r="CP22" s="0" t="s">
        <v>1</v>
      </c>
      <c r="CQ22" s="0" t="s">
        <v>1013</v>
      </c>
      <c r="CR22" s="0" t="s">
        <v>817</v>
      </c>
      <c r="CS22" s="0" t="s">
        <v>834</v>
      </c>
      <c r="CT22" s="0" t="s">
        <v>835</v>
      </c>
      <c r="CV22" s="0" t="s">
        <v>203</v>
      </c>
      <c r="CW22" s="0" t="s">
        <v>204</v>
      </c>
      <c r="CX22" s="0" t="s">
        <v>205</v>
      </c>
      <c r="CY22" s="0" t="s">
        <v>1014</v>
      </c>
      <c r="DA22" s="0" t="s">
        <v>207</v>
      </c>
      <c r="DB22" s="0" t="s">
        <v>259</v>
      </c>
      <c r="DC22" s="0" t="s">
        <v>164</v>
      </c>
      <c r="DD22" s="0" t="s">
        <v>1015</v>
      </c>
      <c r="DE22" s="0" t="s">
        <v>209</v>
      </c>
      <c r="DF22" s="0" t="s">
        <v>525</v>
      </c>
      <c r="DG22" s="0" t="n">
        <v>40.743043</v>
      </c>
      <c r="DH22" s="0" t="n">
        <v>-73.99233</v>
      </c>
      <c r="DI22" s="0" t="s">
        <v>164</v>
      </c>
      <c r="DJ22" s="0" t="n">
        <v>0</v>
      </c>
      <c r="DK22" s="0" t="s">
        <v>1016</v>
      </c>
      <c r="DL22" s="0" t="s">
        <v>832</v>
      </c>
      <c r="DM22" s="0" t="s">
        <v>1017</v>
      </c>
      <c r="DN22" s="0" t="s">
        <v>172</v>
      </c>
      <c r="DO22" s="0" t="s">
        <v>214</v>
      </c>
      <c r="DP22" s="0" t="s">
        <v>1014</v>
      </c>
      <c r="DQ22" s="0" t="s">
        <v>172</v>
      </c>
      <c r="DS22" s="0" t="s">
        <v>809</v>
      </c>
      <c r="DU22" s="0" t="s">
        <v>189</v>
      </c>
      <c r="DX22" s="0" t="s">
        <v>209</v>
      </c>
      <c r="EA22" s="0" t="s">
        <v>209</v>
      </c>
      <c r="EB22" s="0" t="s">
        <v>189</v>
      </c>
      <c r="EC22" s="0" t="s">
        <v>1018</v>
      </c>
      <c r="ED22" s="0" t="s">
        <v>1014</v>
      </c>
      <c r="EE22" s="0" t="s">
        <v>172</v>
      </c>
      <c r="EF22" s="0" t="n">
        <v>106</v>
      </c>
      <c r="EH22" s="0" t="s">
        <v>189</v>
      </c>
      <c r="EI22" s="0" t="s">
        <v>1019</v>
      </c>
      <c r="EJ22" s="0" t="s">
        <v>221</v>
      </c>
      <c r="EK22" s="0" t="n">
        <v>1</v>
      </c>
      <c r="EL22" s="0" t="n">
        <v>61</v>
      </c>
      <c r="EM22" s="0" t="n">
        <v>25</v>
      </c>
      <c r="EN22" s="0" t="n">
        <v>11</v>
      </c>
      <c r="EO22" s="0" t="n">
        <v>7</v>
      </c>
      <c r="EP22" s="0" t="n">
        <v>13</v>
      </c>
      <c r="EQ22" s="0" t="n">
        <f aca="false">IF($A22="","",IF(AH22="exact",10,IF(AH22="adjacent",5,0)))</f>
        <v>0</v>
      </c>
      <c r="ER22" s="0" t="n">
        <f aca="false">IF($A22="","",IF(R22="Y",15,0))</f>
        <v>0</v>
      </c>
      <c r="ES22" s="0" t="s">
        <v>222</v>
      </c>
      <c r="EX22" s="0" t="s">
        <v>1020</v>
      </c>
      <c r="FS22" s="0" t="str">
        <f aca="false">IF($A22="","",IF(ISNUMBER(MATCH(U22,{"queued","contacted","replied","call_booked","call_done","yes_in_principle","materials_sent"},0)),"Y","N"))</f>
        <v>N</v>
      </c>
      <c r="FT22" s="0" t="str">
        <f aca="false">IF($A22="","",IF(OR(T22="Y",U22="do_not_contact",AS22&amp;""&lt;&gt;""),"Y","N"))</f>
        <v>N</v>
      </c>
      <c r="FU22" s="0" t="str">
        <f aca="false">IF($A22="","",IF(AP22&amp;""&lt;&gt;"",AP22&amp;"",$A22))</f>
        <v>AO-C-098</v>
      </c>
      <c r="FV22" s="0" t="str">
        <f aca="false">IF($A22="","",IF(COUNTIFS($FU$2:$FU$1000,FU22,$FS$2:$FS$1000,"Y")+COUNTIFS($FU$2:$FU$1000,FU22,$FT$2:$FT$1000,"Y")&gt;0,"Y","N"))</f>
        <v>N</v>
      </c>
      <c r="FW22" s="0" t="str">
        <f aca="false">IF($A22="","",IF(AND(U22="new",T22="N",FT22="N",AT22="Y",FV22="N"),"Y","N"))</f>
        <v>N</v>
      </c>
      <c r="FX22" s="0" t="str">
        <f aca="false">IF($A22="","",IF(FW22&lt;&gt;"Y","N",IF(COUNTIFS($FU$2:$FU$1000,FU22,$FW$2:$FW$1000,"Y",$J$2:$J$1000,"&gt;"&amp;J22)+COUNTIFS($FU$2:$FU$1000,FU22,$FW$2:$FW$1000,"Y",$J$2:$J$1000,J22,$GD$2:$GD$1000,"&lt;"&amp;GD22)=0,"Y","N")))</f>
        <v>N</v>
      </c>
      <c r="FY22" s="0" t="str">
        <f aca="false">IF($A22="","",IF(AND(FW22="Y",FX22="Y",Y22&amp;""&lt;&gt;""),IF(Y22&lt;=10,"Y","N"),"N"))</f>
        <v>N</v>
      </c>
      <c r="FZ22" s="0" t="str">
        <f aca="false">IF(FY22="Y",Y22,"")</f>
        <v/>
      </c>
      <c r="GA22" s="0" t="str">
        <f aca="false">IF($A22="","",IF(AND(I22="walk-in",CN22="pass",U22="new",FT22="N",FV22="N",AQ22&lt;&gt;"Y"),"Y","N"))</f>
        <v>N</v>
      </c>
      <c r="GB22" s="0" t="str">
        <f aca="false">IF(GA22&lt;&gt;"Y","",IF(COUNTIFS($GA$2:$GA$1000,"Y",$J$2:$J$1000,"&gt;"&amp;J22)+COUNTIFS($GA$2:$GA$1000,"Y",$J$2:$J$1000,J22,$GD$2:$GD$1000,"&lt;"&amp;GD22)+1&lt;=25,COUNTIFS($GA$2:$GA$1000,"Y",$J$2:$J$1000,"&gt;"&amp;J22)+COUNTIFS($GA$2:$GA$1000,"Y",$J$2:$J$1000,J22,$GD$2:$GD$1000,"&lt;"&amp;GD22)+1,""))</f>
        <v/>
      </c>
      <c r="GC22" s="0" t="str">
        <f aca="false">IF(AND(_xlfn.ISFORMULA(C22),_xlfn.ISFORMULA(J22)),"Y","N")</f>
        <v>N</v>
      </c>
      <c r="GD22" s="0" t="n">
        <f aca="false">ROW()-1</f>
        <v>21</v>
      </c>
    </row>
    <row r="23" customFormat="false" ht="15" hidden="false" customHeight="false" outlineLevel="0" collapsed="false">
      <c r="A23" s="0" t="s">
        <v>1021</v>
      </c>
      <c r="B23" s="0" t="s">
        <v>1022</v>
      </c>
      <c r="C23" s="0" t="s">
        <v>1023</v>
      </c>
      <c r="D23" s="0" t="s">
        <v>1024</v>
      </c>
      <c r="E23" s="0" t="s">
        <v>1025</v>
      </c>
      <c r="F23" s="0" t="s">
        <v>1026</v>
      </c>
      <c r="G23" s="0" t="s">
        <v>164</v>
      </c>
      <c r="H23" s="0" t="s">
        <v>1027</v>
      </c>
      <c r="I23" s="0" t="s">
        <v>1028</v>
      </c>
      <c r="J23" s="0" t="s">
        <v>1029</v>
      </c>
      <c r="L23" s="0" t="s">
        <v>168</v>
      </c>
      <c r="M23" s="0" t="s">
        <v>169</v>
      </c>
      <c r="N23" s="0" t="s">
        <v>170</v>
      </c>
      <c r="O23" s="0" t="s">
        <v>1030</v>
      </c>
      <c r="P23" s="0" t="s">
        <v>172</v>
      </c>
      <c r="Q23" s="0" t="s">
        <v>1031</v>
      </c>
      <c r="R23" s="5" t="s">
        <v>1032</v>
      </c>
      <c r="S23" s="0" t="s">
        <v>1033</v>
      </c>
      <c r="U23" s="5" t="s">
        <v>176</v>
      </c>
      <c r="V23" s="0" t="s">
        <v>169</v>
      </c>
      <c r="W23" s="0" t="s">
        <v>170</v>
      </c>
      <c r="X23" s="0" t="s">
        <v>1030</v>
      </c>
      <c r="Y23" s="0" t="s">
        <v>172</v>
      </c>
      <c r="Z23" s="0" t="s">
        <v>1034</v>
      </c>
      <c r="AB23" s="0" t="s">
        <v>1035</v>
      </c>
      <c r="AC23" s="0" t="s">
        <v>352</v>
      </c>
      <c r="AE23" s="0" t="s">
        <v>1036</v>
      </c>
      <c r="AF23" s="0" t="s">
        <v>1037</v>
      </c>
      <c r="AG23" s="0" t="s">
        <v>1038</v>
      </c>
      <c r="AH23" s="0" t="s">
        <v>1039</v>
      </c>
      <c r="AI23" s="0" t="s">
        <v>209</v>
      </c>
      <c r="AJ23" s="0" t="s">
        <v>164</v>
      </c>
      <c r="AK23" s="0" t="s">
        <v>298</v>
      </c>
      <c r="AL23" s="0" t="s">
        <v>164</v>
      </c>
      <c r="AM23" s="0" t="n">
        <v>179</v>
      </c>
      <c r="AN23" s="0" t="s">
        <v>187</v>
      </c>
      <c r="AO23" s="0" t="s">
        <v>188</v>
      </c>
      <c r="AP23" s="0" t="s">
        <v>855</v>
      </c>
      <c r="AQ23" s="5" t="s">
        <v>189</v>
      </c>
      <c r="AT23" s="0" t="str">
        <f aca="false">IF($A23="","",IF(AND(CN23="pass",AQ23&lt;&gt;"Y",C23&lt;&gt;"",OR(AX23&lt;&gt;"Y",AV23="Y")),"Y","N"))</f>
        <v>Y</v>
      </c>
      <c r="AU23" s="0" t="str">
        <f aca="false">IF($A23="","",_xlfn.TEXTJOIN("; ",TRUE(),IF(CN23&lt;&gt;"pass","gated out",""),IF(AQ23="Y","on hold: "&amp;AR23,""),IF(C23="","no contact named on an opened page",""),IF(AND(AX23="Y",AV23&lt;&gt;"Y"),"Tuesday estimate band "&amp;L23&amp;": founder's call","")))</f>
        <v/>
      </c>
      <c r="AX23" s="0" t="s">
        <v>189</v>
      </c>
      <c r="AY23" s="0" t="s">
        <v>860</v>
      </c>
      <c r="AZ23" s="0" t="s">
        <v>861</v>
      </c>
      <c r="BA23" s="0" t="s">
        <v>862</v>
      </c>
      <c r="BC23" s="0" t="str">
        <f aca="false">IF($A23="","",IFERROR(INDEX(Enrichment!$A$2:$GZ$2000,MATCH($A23,INDEX(Enrichment!$A$2:$GZ$2000,0,MATCH("row_id",Enrichment!$A$1:$GZ$1,0)),0),MATCH("work_email",Enrichment!$A$1:$GZ$1,0))&amp;"",""))</f>
        <v/>
      </c>
      <c r="BD23" s="0" t="str">
        <f aca="false">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none</v>
      </c>
      <c r="BE23" s="0" t="s">
        <v>168</v>
      </c>
      <c r="BF23" s="0" t="s">
        <v>283</v>
      </c>
      <c r="BG23" s="0" t="s">
        <v>284</v>
      </c>
      <c r="BH23" s="0" t="s">
        <v>863</v>
      </c>
      <c r="BI23" s="0" t="s">
        <v>172</v>
      </c>
      <c r="BJ23" s="0" t="s">
        <v>301</v>
      </c>
      <c r="BK23" s="0" t="s">
        <v>1040</v>
      </c>
      <c r="BL23" s="0" t="s">
        <v>1041</v>
      </c>
      <c r="BQ23" s="0" t="str">
        <f aca="false">IF($A23="","",IFERROR(INDEX(Enrichment!$A$2:$GZ$2000,MATCH($A23,INDEX(Enrichment!$A$2:$GZ$2000,0,MATCH("row_id",Enrichment!$A$1:$GZ$1,0)),0),MATCH("backup_work_email",Enrichment!$A$1:$GZ$1,0))&amp;"",""))</f>
        <v/>
      </c>
      <c r="BR23" s="0" t="str">
        <f aca="false">IF($A23="","",IF(BQ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none</v>
      </c>
      <c r="BT23" s="0" t="s">
        <v>380</v>
      </c>
      <c r="BX23" s="0" t="s">
        <v>380</v>
      </c>
      <c r="BY23" s="0" t="s">
        <v>387</v>
      </c>
      <c r="BZ23" s="0" t="s">
        <v>388</v>
      </c>
      <c r="CA23" s="0" t="s">
        <v>1042</v>
      </c>
      <c r="CB23" s="0" t="s">
        <v>196</v>
      </c>
      <c r="CC23" s="0" t="s">
        <v>1043</v>
      </c>
      <c r="CD23" s="0" t="s">
        <v>1044</v>
      </c>
      <c r="CE23" s="0" t="s">
        <v>1045</v>
      </c>
      <c r="CF23" s="0" t="s">
        <v>425</v>
      </c>
      <c r="CM23" s="0" t="s">
        <v>164</v>
      </c>
      <c r="CN23" s="0" t="s">
        <v>200</v>
      </c>
      <c r="CO23" s="0" t="s">
        <v>201</v>
      </c>
      <c r="CP23" s="0" t="s">
        <v>1</v>
      </c>
      <c r="CQ23" s="0" t="s">
        <v>1046</v>
      </c>
      <c r="CR23" s="0" t="s">
        <v>857</v>
      </c>
      <c r="CS23" s="0" t="s">
        <v>865</v>
      </c>
      <c r="CT23" s="0" t="s">
        <v>866</v>
      </c>
      <c r="CV23" s="0" t="s">
        <v>355</v>
      </c>
      <c r="CW23" s="0" t="s">
        <v>204</v>
      </c>
      <c r="CX23" s="0" t="s">
        <v>205</v>
      </c>
      <c r="CY23" s="0" t="s">
        <v>1047</v>
      </c>
      <c r="DA23" s="0" t="s">
        <v>207</v>
      </c>
      <c r="DB23" s="0" t="s">
        <v>259</v>
      </c>
      <c r="DC23" s="0" t="s">
        <v>164</v>
      </c>
      <c r="DD23" s="0" t="s">
        <v>1048</v>
      </c>
      <c r="DE23" s="0" t="s">
        <v>867</v>
      </c>
      <c r="DF23" s="0" t="s">
        <v>397</v>
      </c>
      <c r="DG23" s="0" t="n">
        <v>40.740813</v>
      </c>
      <c r="DH23" s="0" t="n">
        <v>-73.993107</v>
      </c>
      <c r="DI23" s="0" t="s">
        <v>164</v>
      </c>
      <c r="DJ23" s="0" t="n">
        <v>0</v>
      </c>
      <c r="DK23" s="0" t="s">
        <v>1049</v>
      </c>
      <c r="DL23" s="0" t="s">
        <v>864</v>
      </c>
      <c r="DM23" s="0" t="s">
        <v>1050</v>
      </c>
      <c r="DN23" s="0" t="s">
        <v>263</v>
      </c>
      <c r="DO23" s="0" t="s">
        <v>651</v>
      </c>
      <c r="DS23" s="0" t="s">
        <v>187</v>
      </c>
      <c r="DU23" s="0" t="s">
        <v>189</v>
      </c>
      <c r="DX23" s="0" t="s">
        <v>267</v>
      </c>
      <c r="DY23" s="0" t="s">
        <v>1051</v>
      </c>
      <c r="EA23" s="0" t="s">
        <v>209</v>
      </c>
      <c r="EB23" s="0" t="s">
        <v>189</v>
      </c>
      <c r="EC23" s="0" t="s">
        <v>1052</v>
      </c>
      <c r="ED23" s="0" t="s">
        <v>1047</v>
      </c>
      <c r="EE23" s="0" t="s">
        <v>263</v>
      </c>
      <c r="EF23" s="0" t="n">
        <v>126</v>
      </c>
      <c r="EH23" s="0" t="s">
        <v>189</v>
      </c>
      <c r="EI23" s="0" t="s">
        <v>1053</v>
      </c>
      <c r="EJ23" s="0" t="s">
        <v>221</v>
      </c>
      <c r="EK23" s="0" t="n">
        <v>1</v>
      </c>
      <c r="EL23" s="0" t="n">
        <v>61</v>
      </c>
      <c r="EM23" s="0" t="n">
        <v>25</v>
      </c>
      <c r="EN23" s="0" t="n">
        <v>11</v>
      </c>
      <c r="EO23" s="0" t="n">
        <v>15</v>
      </c>
      <c r="EP23" s="0" t="n">
        <v>5</v>
      </c>
      <c r="EQ23" s="0" t="n">
        <f aca="false">IF($A23="","",IF(AH23="exact",10,IF(AH23="adjacent",5,0)))</f>
        <v>0</v>
      </c>
      <c r="ER23" s="0" t="n">
        <f aca="false">IF($A23="","",IF(R23="Y",15,0))</f>
        <v>0</v>
      </c>
      <c r="ES23" s="0" t="s">
        <v>222</v>
      </c>
      <c r="EX23" s="0" t="s">
        <v>1054</v>
      </c>
      <c r="EZ23" s="0" t="s">
        <v>1055</v>
      </c>
      <c r="FS23" s="0" t="str">
        <f aca="false">IF($A23="","",IF(ISNUMBER(MATCH(U23,{"queued","contacted","replied","call_booked","call_done","yes_in_principle","materials_sent"},0)),"Y","N"))</f>
        <v>N</v>
      </c>
      <c r="FT23" s="0" t="str">
        <f aca="false">IF($A23="","",IF(OR(T23="Y",U23="do_not_contact",AS23&amp;""&lt;&gt;""),"Y","N"))</f>
        <v>N</v>
      </c>
      <c r="FU23" s="0" t="str">
        <f aca="false">IF($A23="","",IF(AP23&amp;""&lt;&gt;"",AP23&amp;"",$A23))</f>
        <v>AO-C-061</v>
      </c>
      <c r="FV23" s="0" t="str">
        <f aca="false">IF($A23="","",IF(COUNTIFS($FU$2:$FU$1000,FU23,$FS$2:$FS$1000,"Y")+COUNTIFS($FU$2:$FU$1000,FU23,$FT$2:$FT$1000,"Y")&gt;0,"Y","N"))</f>
        <v>N</v>
      </c>
      <c r="FW23" s="0" t="str">
        <f aca="false">IF($A23="","",IF(AND(U23="new",T23="N",FT23="N",AT23="Y",FV23="N"),"Y","N"))</f>
        <v>N</v>
      </c>
      <c r="FX23" s="0" t="str">
        <f aca="false">IF($A23="","",IF(FW23&lt;&gt;"Y","N",IF(COUNTIFS($FU$2:$FU$1000,FU23,$FW$2:$FW$1000,"Y",$J$2:$J$1000,"&gt;"&amp;J23)+COUNTIFS($FU$2:$FU$1000,FU23,$FW$2:$FW$1000,"Y",$J$2:$J$1000,J23,$GD$2:$GD$1000,"&lt;"&amp;GD23)=0,"Y","N")))</f>
        <v>N</v>
      </c>
      <c r="FY23" s="0" t="str">
        <f aca="false">IF($A23="","",IF(AND(FW23="Y",FX23="Y",Y23&amp;""&lt;&gt;""),IF(Y23&lt;=10,"Y","N"),"N"))</f>
        <v>N</v>
      </c>
      <c r="FZ23" s="0" t="str">
        <f aca="false">IF(FY23="Y",Y23,"")</f>
        <v/>
      </c>
      <c r="GA23" s="0" t="str">
        <f aca="false">IF($A23="","",IF(AND(I23="walk-in",CN23="pass",U23="new",FT23="N",FV23="N",AQ23&lt;&gt;"Y"),"Y","N"))</f>
        <v>N</v>
      </c>
      <c r="GB23" s="0" t="str">
        <f aca="false">IF(GA23&lt;&gt;"Y","",IF(COUNTIFS($GA$2:$GA$1000,"Y",$J$2:$J$1000,"&gt;"&amp;J23)+COUNTIFS($GA$2:$GA$1000,"Y",$J$2:$J$1000,J23,$GD$2:$GD$1000,"&lt;"&amp;GD23)+1&lt;=25,COUNTIFS($GA$2:$GA$1000,"Y",$J$2:$J$1000,"&gt;"&amp;J23)+COUNTIFS($GA$2:$GA$1000,"Y",$J$2:$J$1000,J23,$GD$2:$GD$1000,"&lt;"&amp;GD23)+1,""))</f>
        <v/>
      </c>
      <c r="GC23" s="0" t="str">
        <f aca="false">IF(AND(_xlfn.ISFORMULA(C23),_xlfn.ISFORMULA(J23)),"Y","N")</f>
        <v>N</v>
      </c>
      <c r="GD23" s="0" t="n">
        <f aca="false">ROW()-1</f>
        <v>22</v>
      </c>
    </row>
    <row r="24" customFormat="false" ht="15" hidden="false" customHeight="false" outlineLevel="0" collapsed="false">
      <c r="A24" s="0" t="s">
        <v>1056</v>
      </c>
      <c r="B24" s="0" t="s">
        <v>1057</v>
      </c>
      <c r="C24" s="0" t="s">
        <v>1058</v>
      </c>
      <c r="D24" s="0" t="s">
        <v>1059</v>
      </c>
      <c r="E24" s="0" t="s">
        <v>1060</v>
      </c>
      <c r="F24" s="0" t="s">
        <v>1061</v>
      </c>
      <c r="G24" s="0" t="s">
        <v>164</v>
      </c>
      <c r="H24" s="0" t="s">
        <v>1062</v>
      </c>
      <c r="I24" s="0" t="s">
        <v>1063</v>
      </c>
      <c r="J24" s="0" t="s">
        <v>1064</v>
      </c>
      <c r="L24" s="0" t="s">
        <v>168</v>
      </c>
      <c r="M24" s="0" t="s">
        <v>283</v>
      </c>
      <c r="N24" s="0" t="s">
        <v>284</v>
      </c>
      <c r="O24" s="0" t="s">
        <v>1065</v>
      </c>
      <c r="P24" s="0" t="s">
        <v>172</v>
      </c>
      <c r="Q24" s="0" t="s">
        <v>1066</v>
      </c>
      <c r="R24" s="5" t="s">
        <v>1067</v>
      </c>
      <c r="S24" s="0" t="s">
        <v>862</v>
      </c>
      <c r="U24" s="5" t="s">
        <v>176</v>
      </c>
      <c r="V24" s="0" t="s">
        <v>283</v>
      </c>
      <c r="W24" s="0" t="s">
        <v>284</v>
      </c>
      <c r="X24" s="0" t="s">
        <v>1068</v>
      </c>
      <c r="Y24" s="0" t="s">
        <v>172</v>
      </c>
      <c r="Z24" s="0" t="s">
        <v>1069</v>
      </c>
      <c r="AB24" s="0" t="s">
        <v>1070</v>
      </c>
      <c r="AC24" s="0" t="s">
        <v>180</v>
      </c>
      <c r="AE24" s="0" t="s">
        <v>1071</v>
      </c>
      <c r="AF24" s="0" t="s">
        <v>209</v>
      </c>
      <c r="AG24" s="0" t="s">
        <v>1072</v>
      </c>
      <c r="AH24" s="0" t="s">
        <v>873</v>
      </c>
      <c r="AI24" s="0" t="s">
        <v>1073</v>
      </c>
      <c r="AJ24" s="0" t="s">
        <v>164</v>
      </c>
      <c r="AK24" s="0" t="s">
        <v>298</v>
      </c>
      <c r="AL24" s="0" t="s">
        <v>164</v>
      </c>
      <c r="AM24" s="0" t="n">
        <v>192</v>
      </c>
      <c r="AN24" s="0" t="s">
        <v>187</v>
      </c>
      <c r="AO24" s="0" t="s">
        <v>188</v>
      </c>
      <c r="AP24" s="0" t="s">
        <v>883</v>
      </c>
      <c r="AQ24" s="5" t="s">
        <v>189</v>
      </c>
      <c r="AT24" s="0" t="str">
        <f aca="false">IF($A24="","",IF(AND(CN24="pass",AQ24&lt;&gt;"Y",C24&lt;&gt;"",OR(AX24&lt;&gt;"Y",AV24="Y")),"Y","N"))</f>
        <v>Y</v>
      </c>
      <c r="AU24" s="0" t="str">
        <f aca="false">IF($A24="","",_xlfn.TEXTJOIN("; ",TRUE(),IF(CN24&lt;&gt;"pass","gated out",""),IF(AQ24="Y","on hold: "&amp;AR24,""),IF(C24="","no contact named on an opened page",""),IF(AND(AX24="Y",AV24&lt;&gt;"Y"),"Tuesday estimate band "&amp;L24&amp;": founder's call","")))</f>
        <v/>
      </c>
      <c r="AX24" s="0" t="s">
        <v>189</v>
      </c>
      <c r="AY24" s="0" t="s">
        <v>888</v>
      </c>
      <c r="AZ24" s="0" t="s">
        <v>889</v>
      </c>
      <c r="BA24" s="0" t="s">
        <v>890</v>
      </c>
      <c r="BC24" s="0" t="str">
        <f aca="false">IF($A24="","",IFERROR(INDEX(Enrichment!$A$2:$GZ$2000,MATCH($A24,INDEX(Enrichment!$A$2:$GZ$2000,0,MATCH("row_id",Enrichment!$A$1:$GZ$1,0)),0),MATCH("work_email",Enrichment!$A$1:$GZ$1,0))&amp;"",""))</f>
        <v/>
      </c>
      <c r="BD24" s="0" t="str">
        <f aca="false">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none</v>
      </c>
      <c r="BE24" s="0" t="s">
        <v>168</v>
      </c>
      <c r="BF24" s="0" t="s">
        <v>283</v>
      </c>
      <c r="BG24" s="0" t="s">
        <v>284</v>
      </c>
      <c r="BH24" s="0" t="s">
        <v>891</v>
      </c>
      <c r="BI24" s="0" t="s">
        <v>172</v>
      </c>
      <c r="BJ24" s="0" t="s">
        <v>301</v>
      </c>
      <c r="BK24" s="0" t="s">
        <v>1074</v>
      </c>
      <c r="BL24" s="0" t="s">
        <v>1075</v>
      </c>
      <c r="BQ24" s="0" t="str">
        <f aca="false">IF($A24="","",IFERROR(INDEX(Enrichment!$A$2:$GZ$2000,MATCH($A24,INDEX(Enrichment!$A$2:$GZ$2000,0,MATCH("row_id",Enrichment!$A$1:$GZ$1,0)),0),MATCH("backup_work_email",Enrichment!$A$1:$GZ$1,0))&amp;"",""))</f>
        <v/>
      </c>
      <c r="BR24" s="0" t="str">
        <f aca="false">IF($A24="","",IF(BQ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none</v>
      </c>
      <c r="BT24" s="0" t="s">
        <v>380</v>
      </c>
      <c r="BX24" s="0" t="s">
        <v>380</v>
      </c>
      <c r="BY24" s="0" t="s">
        <v>387</v>
      </c>
      <c r="BZ24" s="0" t="s">
        <v>388</v>
      </c>
      <c r="CA24" s="0" t="s">
        <v>1076</v>
      </c>
      <c r="CB24" s="0" t="s">
        <v>196</v>
      </c>
      <c r="CC24" s="0" t="s">
        <v>1077</v>
      </c>
      <c r="CD24" s="0" t="s">
        <v>603</v>
      </c>
      <c r="CE24" s="0" t="s">
        <v>1078</v>
      </c>
      <c r="CF24" s="0" t="s">
        <v>425</v>
      </c>
      <c r="CM24" s="0" t="s">
        <v>164</v>
      </c>
      <c r="CN24" s="0" t="s">
        <v>200</v>
      </c>
      <c r="CO24" s="0" t="s">
        <v>201</v>
      </c>
      <c r="CP24" s="0" t="s">
        <v>1</v>
      </c>
      <c r="CQ24" s="0" t="s">
        <v>1079</v>
      </c>
      <c r="CR24" s="0" t="s">
        <v>885</v>
      </c>
      <c r="CS24" s="0" t="s">
        <v>893</v>
      </c>
      <c r="CT24" s="0" t="s">
        <v>752</v>
      </c>
      <c r="CV24" s="0" t="s">
        <v>355</v>
      </c>
      <c r="CW24" s="0" t="s">
        <v>204</v>
      </c>
      <c r="CX24" s="0" t="s">
        <v>205</v>
      </c>
      <c r="CY24" s="0" t="s">
        <v>1080</v>
      </c>
      <c r="DA24" s="0" t="s">
        <v>207</v>
      </c>
      <c r="DB24" s="0" t="s">
        <v>259</v>
      </c>
      <c r="DC24" s="0" t="s">
        <v>164</v>
      </c>
      <c r="DD24" s="0" t="s">
        <v>1081</v>
      </c>
      <c r="DE24" s="0" t="s">
        <v>894</v>
      </c>
      <c r="DF24" s="0" t="s">
        <v>525</v>
      </c>
      <c r="DG24" s="0" t="n">
        <v>40.743006</v>
      </c>
      <c r="DH24" s="0" t="n">
        <v>-73.98947</v>
      </c>
      <c r="DI24" s="0" t="s">
        <v>164</v>
      </c>
      <c r="DJ24" s="0" t="n">
        <v>0</v>
      </c>
      <c r="DK24" s="0" t="s">
        <v>1082</v>
      </c>
      <c r="DL24" s="0" t="s">
        <v>1083</v>
      </c>
      <c r="DM24" s="0" t="s">
        <v>1084</v>
      </c>
      <c r="DN24" s="0" t="s">
        <v>1085</v>
      </c>
      <c r="DO24" s="0" t="s">
        <v>363</v>
      </c>
      <c r="DP24" s="0" t="s">
        <v>1080</v>
      </c>
      <c r="DQ24" s="0" t="s">
        <v>263</v>
      </c>
      <c r="DS24" s="0" t="s">
        <v>187</v>
      </c>
      <c r="DU24" s="0" t="s">
        <v>189</v>
      </c>
      <c r="DX24" s="0" t="s">
        <v>267</v>
      </c>
      <c r="DY24" s="0" t="s">
        <v>1086</v>
      </c>
      <c r="EA24" s="0" t="s">
        <v>209</v>
      </c>
      <c r="EB24" s="0" t="s">
        <v>189</v>
      </c>
      <c r="EC24" s="0" t="s">
        <v>910</v>
      </c>
      <c r="ED24" s="0" t="s">
        <v>1080</v>
      </c>
      <c r="EE24" s="0" t="s">
        <v>172</v>
      </c>
      <c r="EF24" s="0" t="n">
        <v>147</v>
      </c>
      <c r="EH24" s="0" t="s">
        <v>164</v>
      </c>
      <c r="EI24" s="0" t="s">
        <v>1087</v>
      </c>
      <c r="EJ24" s="0" t="s">
        <v>221</v>
      </c>
      <c r="EK24" s="0" t="n">
        <v>1</v>
      </c>
      <c r="EL24" s="0" t="n">
        <v>61</v>
      </c>
      <c r="EM24" s="0" t="n">
        <v>25</v>
      </c>
      <c r="EN24" s="0" t="n">
        <v>11</v>
      </c>
      <c r="EO24" s="0" t="n">
        <v>15</v>
      </c>
      <c r="EP24" s="0" t="n">
        <v>5</v>
      </c>
      <c r="EQ24" s="0" t="n">
        <f aca="false">IF($A24="","",IF(AH24="exact",10,IF(AH24="adjacent",5,0)))</f>
        <v>0</v>
      </c>
      <c r="ER24" s="0" t="n">
        <f aca="false">IF($A24="","",IF(R24="Y",15,0))</f>
        <v>0</v>
      </c>
      <c r="ES24" s="0" t="s">
        <v>222</v>
      </c>
      <c r="EV24" s="0" t="s">
        <v>1088</v>
      </c>
      <c r="EW24" s="0" t="s">
        <v>224</v>
      </c>
      <c r="EX24" s="0" t="s">
        <v>1089</v>
      </c>
      <c r="EZ24" s="0" t="s">
        <v>1090</v>
      </c>
      <c r="FS24" s="0" t="str">
        <f aca="false">IF($A24="","",IF(ISNUMBER(MATCH(U24,{"queued","contacted","replied","call_booked","call_done","yes_in_principle","materials_sent"},0)),"Y","N"))</f>
        <v>N</v>
      </c>
      <c r="FT24" s="0" t="str">
        <f aca="false">IF($A24="","",IF(OR(T24="Y",U24="do_not_contact",AS24&amp;""&lt;&gt;""),"Y","N"))</f>
        <v>N</v>
      </c>
      <c r="FU24" s="0" t="str">
        <f aca="false">IF($A24="","",IF(AP24&amp;""&lt;&gt;"",AP24&amp;"",$A24))</f>
        <v>AO-C-111</v>
      </c>
      <c r="FV24" s="0" t="str">
        <f aca="false">IF($A24="","",IF(COUNTIFS($FU$2:$FU$1000,FU24,$FS$2:$FS$1000,"Y")+COUNTIFS($FU$2:$FU$1000,FU24,$FT$2:$FT$1000,"Y")&gt;0,"Y","N"))</f>
        <v>N</v>
      </c>
      <c r="FW24" s="0" t="str">
        <f aca="false">IF($A24="","",IF(AND(U24="new",T24="N",FT24="N",AT24="Y",FV24="N"),"Y","N"))</f>
        <v>N</v>
      </c>
      <c r="FX24" s="0" t="str">
        <f aca="false">IF($A24="","",IF(FW24&lt;&gt;"Y","N",IF(COUNTIFS($FU$2:$FU$1000,FU24,$FW$2:$FW$1000,"Y",$J$2:$J$1000,"&gt;"&amp;J24)+COUNTIFS($FU$2:$FU$1000,FU24,$FW$2:$FW$1000,"Y",$J$2:$J$1000,J24,$GD$2:$GD$1000,"&lt;"&amp;GD24)=0,"Y","N")))</f>
        <v>N</v>
      </c>
      <c r="FY24" s="0" t="str">
        <f aca="false">IF($A24="","",IF(AND(FW24="Y",FX24="Y",Y24&amp;""&lt;&gt;""),IF(Y24&lt;=10,"Y","N"),"N"))</f>
        <v>N</v>
      </c>
      <c r="FZ24" s="0" t="str">
        <f aca="false">IF(FY24="Y",Y24,"")</f>
        <v/>
      </c>
      <c r="GA24" s="0" t="str">
        <f aca="false">IF($A24="","",IF(AND(I24="walk-in",CN24="pass",U24="new",FT24="N",FV24="N",AQ24&lt;&gt;"Y"),"Y","N"))</f>
        <v>N</v>
      </c>
      <c r="GB24" s="0" t="str">
        <f aca="false">IF(GA24&lt;&gt;"Y","",IF(COUNTIFS($GA$2:$GA$1000,"Y",$J$2:$J$1000,"&gt;"&amp;J24)+COUNTIFS($GA$2:$GA$1000,"Y",$J$2:$J$1000,J24,$GD$2:$GD$1000,"&lt;"&amp;GD24)+1&lt;=25,COUNTIFS($GA$2:$GA$1000,"Y",$J$2:$J$1000,"&gt;"&amp;J24)+COUNTIFS($GA$2:$GA$1000,"Y",$J$2:$J$1000,J24,$GD$2:$GD$1000,"&lt;"&amp;GD24)+1,""))</f>
        <v/>
      </c>
      <c r="GC24" s="0" t="str">
        <f aca="false">IF(AND(_xlfn.ISFORMULA(C24),_xlfn.ISFORMULA(J24)),"Y","N")</f>
        <v>N</v>
      </c>
      <c r="GD24" s="0" t="n">
        <f aca="false">ROW()-1</f>
        <v>23</v>
      </c>
    </row>
    <row r="25" customFormat="false" ht="15" hidden="false" customHeight="false" outlineLevel="0" collapsed="false">
      <c r="A25" s="0" t="s">
        <v>1091</v>
      </c>
      <c r="B25" s="0" t="s">
        <v>1092</v>
      </c>
      <c r="C25" s="0" t="s">
        <v>1093</v>
      </c>
      <c r="D25" s="0" t="s">
        <v>1094</v>
      </c>
      <c r="E25" s="0" t="s">
        <v>1095</v>
      </c>
      <c r="F25" s="0" t="s">
        <v>1096</v>
      </c>
      <c r="G25" s="0" t="s">
        <v>164</v>
      </c>
      <c r="H25" s="0" t="s">
        <v>1097</v>
      </c>
      <c r="I25" s="0" t="s">
        <v>1098</v>
      </c>
      <c r="J25" s="0" t="s">
        <v>772</v>
      </c>
      <c r="L25" s="0" t="s">
        <v>168</v>
      </c>
      <c r="M25" s="0" t="s">
        <v>283</v>
      </c>
      <c r="N25" s="0" t="s">
        <v>284</v>
      </c>
      <c r="O25" s="0" t="s">
        <v>1099</v>
      </c>
      <c r="P25" s="0" t="s">
        <v>172</v>
      </c>
      <c r="R25" s="5"/>
      <c r="U25" s="5"/>
      <c r="V25" s="0" t="s">
        <v>380</v>
      </c>
      <c r="AE25" s="0" t="s">
        <v>1100</v>
      </c>
      <c r="AF25" s="0" t="s">
        <v>231</v>
      </c>
      <c r="AG25" s="0" t="s">
        <v>1101</v>
      </c>
      <c r="AH25" s="0" t="s">
        <v>1102</v>
      </c>
      <c r="AI25" s="0" t="s">
        <v>1103</v>
      </c>
      <c r="AJ25" s="0" t="s">
        <v>164</v>
      </c>
      <c r="AK25" s="0" t="s">
        <v>186</v>
      </c>
      <c r="AL25" s="0" t="s">
        <v>164</v>
      </c>
      <c r="AM25" s="0" t="n">
        <v>278</v>
      </c>
      <c r="AN25" s="0" t="s">
        <v>187</v>
      </c>
      <c r="AO25" s="0" t="s">
        <v>1104</v>
      </c>
      <c r="AP25" s="0" t="s">
        <v>916</v>
      </c>
      <c r="AQ25" s="5" t="s">
        <v>189</v>
      </c>
      <c r="AT25" s="0" t="str">
        <f aca="false">IF($A25="","",IF(AND(CN25="pass",AQ25&lt;&gt;"Y",C25&lt;&gt;"",OR(AX25&lt;&gt;"Y",AV25="Y")),"Y","N"))</f>
        <v>Y</v>
      </c>
      <c r="AU25" s="0" t="str">
        <f aca="false">IF($A25="","",_xlfn.TEXTJOIN("; ",TRUE(),IF(CN25&lt;&gt;"pass","gated out",""),IF(AQ25="Y","on hold: "&amp;AR25,""),IF(C25="","no contact named on an opened page",""),IF(AND(AX25="Y",AV25&lt;&gt;"Y"),"Tuesday estimate band "&amp;L25&amp;": founder's call","")))</f>
        <v/>
      </c>
      <c r="AX25" s="0" t="s">
        <v>189</v>
      </c>
      <c r="AY25" s="0" t="s">
        <v>922</v>
      </c>
      <c r="AZ25" s="0" t="s">
        <v>923</v>
      </c>
      <c r="BA25" s="0" t="s">
        <v>772</v>
      </c>
      <c r="BC25" s="0" t="str">
        <f aca="false">IF($A25="","",IFERROR(INDEX(Enrichment!$A$2:$GZ$2000,MATCH($A25,INDEX(Enrichment!$A$2:$GZ$2000,0,MATCH("row_id",Enrichment!$A$1:$GZ$1,0)),0),MATCH("work_email",Enrichment!$A$1:$GZ$1,0))&amp;"",""))</f>
        <v/>
      </c>
      <c r="BD25" s="0" t="str">
        <f aca="false">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none</v>
      </c>
      <c r="BE25" s="0" t="s">
        <v>168</v>
      </c>
      <c r="BF25" s="0" t="s">
        <v>169</v>
      </c>
      <c r="BG25" s="0" t="s">
        <v>170</v>
      </c>
      <c r="BH25" s="0" t="s">
        <v>924</v>
      </c>
      <c r="BI25" s="0" t="s">
        <v>172</v>
      </c>
      <c r="BJ25" s="0" t="s">
        <v>301</v>
      </c>
      <c r="BK25" s="0" t="s">
        <v>1105</v>
      </c>
      <c r="BL25" s="0" t="s">
        <v>1106</v>
      </c>
      <c r="BQ25" s="0" t="str">
        <f aca="false">IF($A25="","",IFERROR(INDEX(Enrichment!$A$2:$GZ$2000,MATCH($A25,INDEX(Enrichment!$A$2:$GZ$2000,0,MATCH("row_id",Enrichment!$A$1:$GZ$1,0)),0),MATCH("backup_work_email",Enrichment!$A$1:$GZ$1,0))&amp;"",""))</f>
        <v/>
      </c>
      <c r="BR25" s="0" t="str">
        <f aca="false">IF($A25="","",IF(BQ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none</v>
      </c>
      <c r="BT25" s="0" t="s">
        <v>380</v>
      </c>
      <c r="BX25" s="0" t="s">
        <v>380</v>
      </c>
      <c r="BY25" s="0" t="s">
        <v>387</v>
      </c>
      <c r="BZ25" s="0" t="s">
        <v>388</v>
      </c>
      <c r="CA25" s="0" t="s">
        <v>1107</v>
      </c>
      <c r="CB25" s="0" t="s">
        <v>196</v>
      </c>
      <c r="CC25" s="0" t="s">
        <v>1108</v>
      </c>
      <c r="CE25" s="0" t="s">
        <v>1109</v>
      </c>
      <c r="CF25" s="0" t="s">
        <v>180</v>
      </c>
      <c r="CM25" s="0" t="s">
        <v>164</v>
      </c>
      <c r="CN25" s="0" t="s">
        <v>200</v>
      </c>
      <c r="CO25" s="0" t="s">
        <v>201</v>
      </c>
      <c r="CP25" s="0" t="s">
        <v>1</v>
      </c>
      <c r="CQ25" s="0" t="s">
        <v>1110</v>
      </c>
      <c r="CR25" s="0" t="s">
        <v>918</v>
      </c>
      <c r="CS25" s="0" t="s">
        <v>926</v>
      </c>
      <c r="CT25" s="0" t="s">
        <v>927</v>
      </c>
      <c r="CU25" s="0" t="s">
        <v>1111</v>
      </c>
      <c r="CV25" s="0" t="s">
        <v>355</v>
      </c>
      <c r="CW25" s="0" t="s">
        <v>204</v>
      </c>
      <c r="CX25" s="0" t="s">
        <v>356</v>
      </c>
      <c r="CY25" s="0" t="s">
        <v>1112</v>
      </c>
      <c r="CZ25" s="0" t="s">
        <v>1113</v>
      </c>
      <c r="DA25" s="0" t="s">
        <v>207</v>
      </c>
      <c r="DB25" s="0" t="s">
        <v>259</v>
      </c>
      <c r="DC25" s="0" t="s">
        <v>164</v>
      </c>
      <c r="DD25" s="0" t="s">
        <v>209</v>
      </c>
      <c r="DE25" s="0" t="s">
        <v>928</v>
      </c>
      <c r="DF25" s="0" t="s">
        <v>525</v>
      </c>
      <c r="DG25" s="0" t="n">
        <v>40.742654</v>
      </c>
      <c r="DH25" s="0" t="n">
        <v>-73.991559</v>
      </c>
      <c r="DI25" s="0" t="s">
        <v>164</v>
      </c>
      <c r="DJ25" s="0" t="n">
        <v>0</v>
      </c>
      <c r="DK25" s="0" t="s">
        <v>1114</v>
      </c>
      <c r="DL25" s="0" t="s">
        <v>1115</v>
      </c>
      <c r="DM25" s="0" t="s">
        <v>1116</v>
      </c>
      <c r="DN25" s="0" t="s">
        <v>172</v>
      </c>
      <c r="DO25" s="0" t="s">
        <v>214</v>
      </c>
      <c r="DP25" s="0" t="s">
        <v>1112</v>
      </c>
      <c r="DQ25" s="0" t="s">
        <v>263</v>
      </c>
      <c r="DS25" s="0" t="s">
        <v>809</v>
      </c>
      <c r="DU25" s="0" t="s">
        <v>189</v>
      </c>
      <c r="DX25" s="0" t="s">
        <v>267</v>
      </c>
      <c r="DY25" s="0" t="s">
        <v>1117</v>
      </c>
      <c r="EA25" s="0" t="s">
        <v>209</v>
      </c>
      <c r="EB25" s="0" t="s">
        <v>189</v>
      </c>
      <c r="EC25" s="0" t="s">
        <v>1118</v>
      </c>
      <c r="ED25" s="0" t="s">
        <v>1112</v>
      </c>
      <c r="EE25" s="0" t="s">
        <v>172</v>
      </c>
      <c r="EF25" s="0" t="n">
        <v>176</v>
      </c>
      <c r="EG25" s="0" t="s">
        <v>366</v>
      </c>
      <c r="EH25" s="0" t="s">
        <v>189</v>
      </c>
      <c r="EI25" s="0" t="s">
        <v>1119</v>
      </c>
      <c r="EJ25" s="0" t="s">
        <v>221</v>
      </c>
      <c r="EK25" s="0" t="n">
        <v>0.88</v>
      </c>
      <c r="EL25" s="0" t="n">
        <v>60.1</v>
      </c>
      <c r="EM25" s="0" t="n">
        <v>22.1</v>
      </c>
      <c r="EN25" s="0" t="n">
        <v>15</v>
      </c>
      <c r="EO25" s="0" t="n">
        <v>5</v>
      </c>
      <c r="EP25" s="0" t="n">
        <v>13</v>
      </c>
      <c r="EQ25" s="0" t="n">
        <f aca="false">IF($A25="","",IF(AH25="exact",10,IF(AH25="adjacent",5,0)))</f>
        <v>0</v>
      </c>
      <c r="ER25" s="0" t="n">
        <f aca="false">IF($A25="","",IF(R25="Y",15,0))</f>
        <v>0</v>
      </c>
      <c r="ES25" s="0" t="s">
        <v>222</v>
      </c>
      <c r="EX25" s="0" t="s">
        <v>1120</v>
      </c>
      <c r="EZ25" s="0" t="s">
        <v>1121</v>
      </c>
      <c r="FS25" s="0" t="str">
        <f aca="false">IF($A25="","",IF(ISNUMBER(MATCH(U25,{"queued","contacted","replied","call_booked","call_done","yes_in_principle","materials_sent"},0)),"Y","N"))</f>
        <v>N</v>
      </c>
      <c r="FT25" s="0" t="str">
        <f aca="false">IF($A25="","",IF(OR(T25="Y",U25="do_not_contact",AS25&amp;""&lt;&gt;""),"Y","N"))</f>
        <v>N</v>
      </c>
      <c r="FU25" s="0" t="str">
        <f aca="false">IF($A25="","",IF(AP25&amp;""&lt;&gt;"",AP25&amp;"",$A25))</f>
        <v>AO-C-101</v>
      </c>
      <c r="FV25" s="0" t="str">
        <f aca="false">IF($A25="","",IF(COUNTIFS($FU$2:$FU$1000,FU25,$FS$2:$FS$1000,"Y")+COUNTIFS($FU$2:$FU$1000,FU25,$FT$2:$FT$1000,"Y")&gt;0,"Y","N"))</f>
        <v>N</v>
      </c>
      <c r="FW25" s="0" t="str">
        <f aca="false">IF($A25="","",IF(AND(U25="new",T25="N",FT25="N",AT25="Y",FV25="N"),"Y","N"))</f>
        <v>N</v>
      </c>
      <c r="FX25" s="0" t="str">
        <f aca="false">IF($A25="","",IF(FW25&lt;&gt;"Y","N",IF(COUNTIFS($FU$2:$FU$1000,FU25,$FW$2:$FW$1000,"Y",$J$2:$J$1000,"&gt;"&amp;J25)+COUNTIFS($FU$2:$FU$1000,FU25,$FW$2:$FW$1000,"Y",$J$2:$J$1000,J25,$GD$2:$GD$1000,"&lt;"&amp;GD25)=0,"Y","N")))</f>
        <v>N</v>
      </c>
      <c r="FY25" s="0" t="str">
        <f aca="false">IF($A25="","",IF(AND(FW25="Y",FX25="Y",Y25&amp;""&lt;&gt;""),IF(Y25&lt;=10,"Y","N"),"N"))</f>
        <v>N</v>
      </c>
      <c r="FZ25" s="0" t="str">
        <f aca="false">IF(FY25="Y",Y25,"")</f>
        <v/>
      </c>
      <c r="GA25" s="0" t="str">
        <f aca="false">IF($A25="","",IF(AND(I25="walk-in",CN25="pass",U25="new",FT25="N",FV25="N",AQ25&lt;&gt;"Y"),"Y","N"))</f>
        <v>N</v>
      </c>
      <c r="GB25" s="0" t="str">
        <f aca="false">IF(GA25&lt;&gt;"Y","",IF(COUNTIFS($GA$2:$GA$1000,"Y",$J$2:$J$1000,"&gt;"&amp;J25)+COUNTIFS($GA$2:$GA$1000,"Y",$J$2:$J$1000,J25,$GD$2:$GD$1000,"&lt;"&amp;GD25)+1&lt;=25,COUNTIFS($GA$2:$GA$1000,"Y",$J$2:$J$1000,"&gt;"&amp;J25)+COUNTIFS($GA$2:$GA$1000,"Y",$J$2:$J$1000,J25,$GD$2:$GD$1000,"&lt;"&amp;GD25)+1,""))</f>
        <v/>
      </c>
      <c r="GC25" s="0" t="str">
        <f aca="false">IF(AND(_xlfn.ISFORMULA(C25),_xlfn.ISFORMULA(J25)),"Y","N")</f>
        <v>N</v>
      </c>
      <c r="GD25" s="0" t="n">
        <f aca="false">ROW()-1</f>
        <v>24</v>
      </c>
    </row>
    <row r="26" customFormat="false" ht="15" hidden="false" customHeight="false" outlineLevel="0" collapsed="false">
      <c r="A26" s="0" t="s">
        <v>1122</v>
      </c>
      <c r="B26" s="0" t="s">
        <v>1123</v>
      </c>
      <c r="C26" s="0" t="s">
        <v>1124</v>
      </c>
      <c r="D26" s="0" t="s">
        <v>1125</v>
      </c>
      <c r="E26" s="0" t="s">
        <v>1126</v>
      </c>
      <c r="F26" s="0" t="s">
        <v>1127</v>
      </c>
      <c r="G26" s="0" t="s">
        <v>164</v>
      </c>
      <c r="H26" s="0" t="s">
        <v>955</v>
      </c>
      <c r="I26" s="0" t="s">
        <v>1128</v>
      </c>
      <c r="J26" s="0" t="s">
        <v>1129</v>
      </c>
      <c r="L26" s="0" t="s">
        <v>168</v>
      </c>
      <c r="M26" s="0" t="s">
        <v>283</v>
      </c>
      <c r="N26" s="0" t="s">
        <v>284</v>
      </c>
      <c r="O26" s="0" t="s">
        <v>1130</v>
      </c>
      <c r="P26" s="0" t="s">
        <v>172</v>
      </c>
      <c r="Q26" s="0" t="s">
        <v>698</v>
      </c>
      <c r="R26" s="5" t="s">
        <v>1131</v>
      </c>
      <c r="S26" s="0" t="s">
        <v>1132</v>
      </c>
      <c r="U26" s="5" t="s">
        <v>176</v>
      </c>
      <c r="V26" s="0" t="s">
        <v>283</v>
      </c>
      <c r="W26" s="0" t="s">
        <v>284</v>
      </c>
      <c r="X26" s="0" t="s">
        <v>1133</v>
      </c>
      <c r="Y26" s="0" t="s">
        <v>172</v>
      </c>
      <c r="Z26" s="0" t="s">
        <v>1134</v>
      </c>
      <c r="AA26" s="0" t="s">
        <v>1135</v>
      </c>
      <c r="AB26" s="0" t="s">
        <v>1136</v>
      </c>
      <c r="AC26" s="0" t="s">
        <v>352</v>
      </c>
      <c r="AE26" s="0" t="s">
        <v>245</v>
      </c>
      <c r="AF26" s="0" t="s">
        <v>209</v>
      </c>
      <c r="AG26" s="0" t="s">
        <v>1137</v>
      </c>
      <c r="AH26" s="0" t="s">
        <v>1138</v>
      </c>
      <c r="AI26" s="0" t="s">
        <v>1139</v>
      </c>
      <c r="AJ26" s="0" t="s">
        <v>164</v>
      </c>
      <c r="AK26" s="0" t="s">
        <v>186</v>
      </c>
      <c r="AL26" s="0" t="s">
        <v>164</v>
      </c>
      <c r="AM26" s="0" t="n">
        <v>103</v>
      </c>
      <c r="AN26" s="0" t="s">
        <v>187</v>
      </c>
      <c r="AO26" s="0" t="s">
        <v>188</v>
      </c>
      <c r="AP26" s="0" t="s">
        <v>1140</v>
      </c>
      <c r="AQ26" s="5" t="s">
        <v>164</v>
      </c>
      <c r="AR26" s="0" t="s">
        <v>779</v>
      </c>
      <c r="AT26" s="0" t="str">
        <f aca="false">IF($A26="","",IF(AND(CN26="pass",AQ26&lt;&gt;"Y",C26&lt;&gt;"",OR(AX26&lt;&gt;"Y",AV26="Y")),"Y","N"))</f>
        <v>N</v>
      </c>
      <c r="AU26" s="0" t="str">
        <f aca="false">IF($A26="","",_xlfn.TEXTJOIN("; ",TRUE(),IF(CN26&lt;&gt;"pass","gated out",""),IF(AQ26="Y","on hold: "&amp;AR26,""),IF(C26="","no contact named on an opened page",""),IF(AND(AX26="Y",AV26&lt;&gt;"Y"),"Tuesday estimate band "&amp;L26&amp;": founder's call","")))</f>
        <v>on hold: lease signed, move not confirmed: check the lobby directory before outreach (B)</v>
      </c>
      <c r="AX26" s="0" t="s">
        <v>189</v>
      </c>
      <c r="BC26" s="0" t="str">
        <f aca="false">IF($A26="","",IFERROR(INDEX(Enrichment!$A$2:$GZ$2000,MATCH($A26,INDEX(Enrichment!$A$2:$GZ$2000,0,MATCH("row_id",Enrichment!$A$1:$GZ$1,0)),0),MATCH("work_email",Enrichment!$A$1:$GZ$1,0))&amp;"",""))</f>
        <v/>
      </c>
      <c r="BD26" s="0" t="str">
        <f aca="false">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none</v>
      </c>
      <c r="BF26" s="0" t="s">
        <v>380</v>
      </c>
      <c r="BJ26" s="0" t="s">
        <v>380</v>
      </c>
      <c r="BK26" s="0" t="s">
        <v>743</v>
      </c>
      <c r="BL26" s="0" t="s">
        <v>896</v>
      </c>
      <c r="BQ26" s="0" t="str">
        <f aca="false">IF($A26="","",IFERROR(INDEX(Enrichment!$A$2:$GZ$2000,MATCH($A26,INDEX(Enrichment!$A$2:$GZ$2000,0,MATCH("row_id",Enrichment!$A$1:$GZ$1,0)),0),MATCH("backup_work_email",Enrichment!$A$1:$GZ$1,0))&amp;"",""))</f>
        <v/>
      </c>
      <c r="BR26" s="0" t="str">
        <f aca="false">IF($A26="","",IF(BQ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none</v>
      </c>
      <c r="BT26" s="0" t="s">
        <v>380</v>
      </c>
      <c r="BX26" s="0" t="s">
        <v>380</v>
      </c>
      <c r="BY26" s="0" t="s">
        <v>387</v>
      </c>
      <c r="BZ26" s="0" t="s">
        <v>388</v>
      </c>
      <c r="CA26" s="0" t="s">
        <v>1141</v>
      </c>
      <c r="CB26" s="0" t="s">
        <v>746</v>
      </c>
      <c r="CM26" s="0" t="s">
        <v>189</v>
      </c>
      <c r="CN26" s="0" t="s">
        <v>200</v>
      </c>
      <c r="CO26" s="0" t="s">
        <v>201</v>
      </c>
      <c r="CP26" s="0" t="s">
        <v>1</v>
      </c>
      <c r="CQ26" s="0" t="s">
        <v>1142</v>
      </c>
      <c r="CR26" s="0" t="s">
        <v>1143</v>
      </c>
      <c r="CS26" s="0" t="s">
        <v>1144</v>
      </c>
      <c r="CT26" s="0" t="s">
        <v>1145</v>
      </c>
      <c r="CU26" s="0" t="s">
        <v>1146</v>
      </c>
      <c r="CV26" s="0" t="s">
        <v>209</v>
      </c>
      <c r="CW26" s="0" t="s">
        <v>209</v>
      </c>
      <c r="CX26" s="0" t="s">
        <v>440</v>
      </c>
      <c r="CY26" s="0" t="s">
        <v>1147</v>
      </c>
      <c r="CZ26" s="0" t="s">
        <v>1148</v>
      </c>
      <c r="DA26" s="0" t="s">
        <v>207</v>
      </c>
      <c r="DB26" s="0" t="s">
        <v>208</v>
      </c>
      <c r="DC26" s="0" t="s">
        <v>189</v>
      </c>
      <c r="DD26" s="0" t="s">
        <v>209</v>
      </c>
      <c r="DE26" s="0" t="s">
        <v>1149</v>
      </c>
      <c r="DF26" s="0" t="s">
        <v>210</v>
      </c>
      <c r="DG26" s="0" t="n">
        <v>40.737054</v>
      </c>
      <c r="DH26" s="0" t="n">
        <v>-73.992635</v>
      </c>
      <c r="DI26" s="0" t="s">
        <v>164</v>
      </c>
      <c r="DJ26" s="0" t="n">
        <v>0</v>
      </c>
      <c r="DK26" s="0" t="s">
        <v>1150</v>
      </c>
      <c r="DL26" s="0" t="s">
        <v>1151</v>
      </c>
      <c r="DM26" s="0" t="s">
        <v>1152</v>
      </c>
      <c r="DN26" s="0" t="s">
        <v>1153</v>
      </c>
      <c r="DO26" s="0" t="s">
        <v>363</v>
      </c>
      <c r="DS26" s="0" t="s">
        <v>809</v>
      </c>
      <c r="DT26" s="0" t="s">
        <v>209</v>
      </c>
      <c r="DU26" s="0" t="s">
        <v>189</v>
      </c>
      <c r="DX26" s="0" t="s">
        <v>209</v>
      </c>
      <c r="EA26" s="0" t="s">
        <v>209</v>
      </c>
      <c r="EB26" s="0" t="s">
        <v>189</v>
      </c>
      <c r="EC26" s="0" t="s">
        <v>655</v>
      </c>
      <c r="ED26" s="0" t="s">
        <v>1154</v>
      </c>
      <c r="EE26" s="0" t="s">
        <v>172</v>
      </c>
      <c r="EF26" s="0" t="n">
        <v>94</v>
      </c>
      <c r="EH26" s="0" t="s">
        <v>164</v>
      </c>
      <c r="EI26" s="0" t="s">
        <v>1155</v>
      </c>
      <c r="EJ26" s="0" t="s">
        <v>221</v>
      </c>
      <c r="EK26" s="0" t="n">
        <v>1</v>
      </c>
      <c r="EL26" s="0" t="n">
        <v>60</v>
      </c>
      <c r="EM26" s="0" t="n">
        <v>25</v>
      </c>
      <c r="EN26" s="0" t="n">
        <v>15</v>
      </c>
      <c r="EO26" s="0" t="n">
        <v>15</v>
      </c>
      <c r="EP26" s="0" t="n">
        <v>5</v>
      </c>
      <c r="EQ26" s="0" t="n">
        <f aca="false">IF($A26="","",IF(AH26="exact",10,IF(AH26="adjacent",5,0)))</f>
        <v>0</v>
      </c>
      <c r="ER26" s="0" t="n">
        <f aca="false">IF($A26="","",IF(R26="Y",15,0))</f>
        <v>0</v>
      </c>
      <c r="ES26" s="0" t="s">
        <v>222</v>
      </c>
      <c r="EV26" s="0" t="s">
        <v>1156</v>
      </c>
      <c r="EW26" s="0" t="s">
        <v>224</v>
      </c>
      <c r="EX26" s="0" t="s">
        <v>1157</v>
      </c>
      <c r="EZ26" s="0" t="s">
        <v>1158</v>
      </c>
      <c r="FS26" s="0" t="str">
        <f aca="false">IF($A26="","",IF(ISNUMBER(MATCH(U26,{"queued","contacted","replied","call_booked","call_done","yes_in_principle","materials_sent"},0)),"Y","N"))</f>
        <v>N</v>
      </c>
      <c r="FT26" s="0" t="str">
        <f aca="false">IF($A26="","",IF(OR(T26="Y",U26="do_not_contact",AS26&amp;""&lt;&gt;""),"Y","N"))</f>
        <v>N</v>
      </c>
      <c r="FU26" s="0" t="str">
        <f aca="false">IF($A26="","",IF(AP26&amp;""&lt;&gt;"",AP26&amp;"",$A26))</f>
        <v>AO-C-019</v>
      </c>
      <c r="FV26" s="0" t="str">
        <f aca="false">IF($A26="","",IF(COUNTIFS($FU$2:$FU$1000,FU26,$FS$2:$FS$1000,"Y")+COUNTIFS($FU$2:$FU$1000,FU26,$FT$2:$FT$1000,"Y")&gt;0,"Y","N"))</f>
        <v>N</v>
      </c>
      <c r="FW26" s="0" t="str">
        <f aca="false">IF($A26="","",IF(AND(U26="new",T26="N",FT26="N",AT26="Y",FV26="N"),"Y","N"))</f>
        <v>N</v>
      </c>
      <c r="FX26" s="0" t="str">
        <f aca="false">IF($A26="","",IF(FW26&lt;&gt;"Y","N",IF(COUNTIFS($FU$2:$FU$1000,FU26,$FW$2:$FW$1000,"Y",$J$2:$J$1000,"&gt;"&amp;J26)+COUNTIFS($FU$2:$FU$1000,FU26,$FW$2:$FW$1000,"Y",$J$2:$J$1000,J26,$GD$2:$GD$1000,"&lt;"&amp;GD26)=0,"Y","N")))</f>
        <v>N</v>
      </c>
      <c r="FY26" s="0" t="str">
        <f aca="false">IF($A26="","",IF(AND(FW26="Y",FX26="Y",Y26&amp;""&lt;&gt;""),IF(Y26&lt;=10,"Y","N"),"N"))</f>
        <v>N</v>
      </c>
      <c r="FZ26" s="0" t="str">
        <f aca="false">IF(FY26="Y",Y26,"")</f>
        <v/>
      </c>
      <c r="GA26" s="0" t="str">
        <f aca="false">IF($A26="","",IF(AND(I26="walk-in",CN26="pass",U26="new",FT26="N",FV26="N",AQ26&lt;&gt;"Y"),"Y","N"))</f>
        <v>N</v>
      </c>
      <c r="GB26" s="0" t="str">
        <f aca="false">IF(GA26&lt;&gt;"Y","",IF(COUNTIFS($GA$2:$GA$1000,"Y",$J$2:$J$1000,"&gt;"&amp;J26)+COUNTIFS($GA$2:$GA$1000,"Y",$J$2:$J$1000,J26,$GD$2:$GD$1000,"&lt;"&amp;GD26)+1&lt;=25,COUNTIFS($GA$2:$GA$1000,"Y",$J$2:$J$1000,"&gt;"&amp;J26)+COUNTIFS($GA$2:$GA$1000,"Y",$J$2:$J$1000,J26,$GD$2:$GD$1000,"&lt;"&amp;GD26)+1,""))</f>
        <v/>
      </c>
      <c r="GC26" s="0" t="str">
        <f aca="false">IF(AND(_xlfn.ISFORMULA(C26),_xlfn.ISFORMULA(J26)),"Y","N")</f>
        <v>N</v>
      </c>
      <c r="GD26" s="0" t="n">
        <f aca="false">ROW()-1</f>
        <v>25</v>
      </c>
    </row>
    <row r="27" customFormat="false" ht="15" hidden="false" customHeight="false" outlineLevel="0" collapsed="false">
      <c r="A27" s="0" t="s">
        <v>1159</v>
      </c>
      <c r="B27" s="0" t="s">
        <v>1160</v>
      </c>
      <c r="C27" s="0" t="s">
        <v>1161</v>
      </c>
      <c r="D27" s="0" t="s">
        <v>1162</v>
      </c>
      <c r="E27" s="0" t="s">
        <v>1163</v>
      </c>
      <c r="F27" s="0" t="s">
        <v>1164</v>
      </c>
      <c r="G27" s="0" t="s">
        <v>164</v>
      </c>
      <c r="H27" s="0" t="s">
        <v>1165</v>
      </c>
      <c r="I27" s="0" t="s">
        <v>1166</v>
      </c>
      <c r="J27" s="0" t="s">
        <v>1167</v>
      </c>
      <c r="L27" s="0" t="s">
        <v>168</v>
      </c>
      <c r="M27" s="0" t="s">
        <v>283</v>
      </c>
      <c r="N27" s="0" t="s">
        <v>284</v>
      </c>
      <c r="O27" s="0" t="s">
        <v>1168</v>
      </c>
      <c r="P27" s="0" t="s">
        <v>172</v>
      </c>
      <c r="Q27" s="0" t="s">
        <v>1169</v>
      </c>
      <c r="R27" s="5" t="s">
        <v>1170</v>
      </c>
      <c r="S27" s="0" t="s">
        <v>1171</v>
      </c>
      <c r="U27" s="5" t="s">
        <v>176</v>
      </c>
      <c r="V27" s="0" t="s">
        <v>283</v>
      </c>
      <c r="W27" s="0" t="s">
        <v>284</v>
      </c>
      <c r="X27" s="0" t="s">
        <v>1172</v>
      </c>
      <c r="Y27" s="0" t="s">
        <v>172</v>
      </c>
      <c r="Z27" s="0" t="s">
        <v>1173</v>
      </c>
      <c r="AA27" s="0" t="s">
        <v>1174</v>
      </c>
      <c r="AB27" s="0" t="s">
        <v>1175</v>
      </c>
      <c r="AC27" s="0" t="s">
        <v>352</v>
      </c>
      <c r="AE27" s="0" t="s">
        <v>925</v>
      </c>
      <c r="AF27" s="0" t="s">
        <v>1176</v>
      </c>
      <c r="AG27" s="0" t="s">
        <v>1177</v>
      </c>
      <c r="AH27" s="0" t="s">
        <v>1178</v>
      </c>
      <c r="AI27" s="0" t="s">
        <v>1179</v>
      </c>
      <c r="AJ27" s="0" t="s">
        <v>164</v>
      </c>
      <c r="AK27" s="0" t="s">
        <v>203</v>
      </c>
      <c r="AL27" s="0" t="s">
        <v>164</v>
      </c>
      <c r="AM27" s="0" t="n">
        <v>70</v>
      </c>
      <c r="AN27" s="0" t="s">
        <v>187</v>
      </c>
      <c r="AO27" s="0" t="s">
        <v>188</v>
      </c>
      <c r="AP27" s="0" t="s">
        <v>1180</v>
      </c>
      <c r="AQ27" s="5" t="s">
        <v>189</v>
      </c>
      <c r="AT27" s="0" t="str">
        <f aca="false">IF($A27="","",IF(AND(CN27="pass",AQ27&lt;&gt;"Y",C27&lt;&gt;"",OR(AX27&lt;&gt;"Y",AV27="Y")),"Y","N"))</f>
        <v>Y</v>
      </c>
      <c r="AU27" s="0" t="str">
        <f aca="false">IF($A27="","",_xlfn.TEXTJOIN("; ",TRUE(),IF(CN27&lt;&gt;"pass","gated out",""),IF(AQ27="Y","on hold: "&amp;AR27,""),IF(C27="","no contact named on an opened page",""),IF(AND(AX27="Y",AV27&lt;&gt;"Y"),"Tuesday estimate band "&amp;L27&amp;": founder's call","")))</f>
        <v/>
      </c>
      <c r="AX27" s="0" t="s">
        <v>189</v>
      </c>
      <c r="BC27" s="0" t="str">
        <f aca="false">IF($A27="","",IFERROR(INDEX(Enrichment!$A$2:$GZ$2000,MATCH($A27,INDEX(Enrichment!$A$2:$GZ$2000,0,MATCH("row_id",Enrichment!$A$1:$GZ$1,0)),0),MATCH("work_email",Enrichment!$A$1:$GZ$1,0))&amp;"",""))</f>
        <v/>
      </c>
      <c r="BD27" s="0" t="str">
        <f aca="false">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none</v>
      </c>
      <c r="BF27" s="0" t="s">
        <v>380</v>
      </c>
      <c r="BJ27" s="0" t="s">
        <v>380</v>
      </c>
      <c r="BK27" s="0" t="s">
        <v>743</v>
      </c>
      <c r="BL27" s="0" t="s">
        <v>837</v>
      </c>
      <c r="BQ27" s="0" t="str">
        <f aca="false">IF($A27="","",IFERROR(INDEX(Enrichment!$A$2:$GZ$2000,MATCH($A27,INDEX(Enrichment!$A$2:$GZ$2000,0,MATCH("row_id",Enrichment!$A$1:$GZ$1,0)),0),MATCH("backup_work_email",Enrichment!$A$1:$GZ$1,0))&amp;"",""))</f>
        <v/>
      </c>
      <c r="BR27" s="0" t="str">
        <f aca="false">IF($A27="","",IF(BQ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none</v>
      </c>
      <c r="BT27" s="0" t="s">
        <v>380</v>
      </c>
      <c r="BX27" s="0" t="s">
        <v>380</v>
      </c>
      <c r="BY27" s="0" t="s">
        <v>387</v>
      </c>
      <c r="BZ27" s="0" t="s">
        <v>388</v>
      </c>
      <c r="CA27" s="0" t="s">
        <v>1181</v>
      </c>
      <c r="CB27" s="0" t="s">
        <v>746</v>
      </c>
      <c r="CM27" s="0" t="s">
        <v>164</v>
      </c>
      <c r="CN27" s="0" t="s">
        <v>200</v>
      </c>
      <c r="CO27" s="0" t="s">
        <v>201</v>
      </c>
      <c r="CP27" s="0" t="s">
        <v>1</v>
      </c>
      <c r="CQ27" s="0" t="s">
        <v>1182</v>
      </c>
      <c r="CR27" s="0" t="s">
        <v>1183</v>
      </c>
      <c r="CS27" s="0" t="s">
        <v>1184</v>
      </c>
      <c r="CT27" s="0" t="s">
        <v>1185</v>
      </c>
      <c r="CU27" s="0" t="s">
        <v>1186</v>
      </c>
      <c r="CV27" s="0" t="s">
        <v>209</v>
      </c>
      <c r="CW27" s="0" t="s">
        <v>209</v>
      </c>
      <c r="CX27" s="0" t="s">
        <v>440</v>
      </c>
      <c r="CY27" s="0" t="s">
        <v>1187</v>
      </c>
      <c r="CZ27" s="0" t="s">
        <v>1188</v>
      </c>
      <c r="DA27" s="0" t="s">
        <v>207</v>
      </c>
      <c r="DB27" s="0" t="s">
        <v>259</v>
      </c>
      <c r="DC27" s="0" t="s">
        <v>164</v>
      </c>
      <c r="DD27" s="0" t="s">
        <v>209</v>
      </c>
      <c r="DE27" s="0" t="s">
        <v>1189</v>
      </c>
      <c r="DF27" s="0" t="s">
        <v>1190</v>
      </c>
      <c r="DG27" s="0" t="n">
        <v>40.743939</v>
      </c>
      <c r="DH27" s="0" t="n">
        <v>-73.988677</v>
      </c>
      <c r="DI27" s="0" t="s">
        <v>164</v>
      </c>
      <c r="DJ27" s="0" t="n">
        <v>0</v>
      </c>
      <c r="DK27" s="0" t="s">
        <v>1191</v>
      </c>
      <c r="DL27" s="0" t="s">
        <v>1192</v>
      </c>
      <c r="DM27" s="0" t="s">
        <v>1187</v>
      </c>
      <c r="DN27" s="0" t="s">
        <v>263</v>
      </c>
      <c r="DO27" s="0" t="s">
        <v>651</v>
      </c>
      <c r="DP27" s="0" t="s">
        <v>1193</v>
      </c>
      <c r="DQ27" s="0" t="s">
        <v>1194</v>
      </c>
      <c r="DS27" s="0" t="s">
        <v>187</v>
      </c>
      <c r="DU27" s="0" t="s">
        <v>189</v>
      </c>
      <c r="DX27" s="0" t="s">
        <v>267</v>
      </c>
      <c r="DY27" s="0" t="s">
        <v>1195</v>
      </c>
      <c r="EA27" s="0" t="s">
        <v>209</v>
      </c>
      <c r="EB27" s="0" t="s">
        <v>189</v>
      </c>
      <c r="EC27" s="0" t="s">
        <v>218</v>
      </c>
      <c r="ED27" s="0" t="s">
        <v>1187</v>
      </c>
      <c r="EE27" s="0" t="s">
        <v>172</v>
      </c>
      <c r="EF27" s="0" t="n">
        <v>70</v>
      </c>
      <c r="EH27" s="0" t="s">
        <v>164</v>
      </c>
      <c r="EI27" s="0" t="s">
        <v>1196</v>
      </c>
      <c r="EJ27" s="0" t="s">
        <v>221</v>
      </c>
      <c r="EK27" s="0" t="n">
        <v>1</v>
      </c>
      <c r="EL27" s="0" t="n">
        <v>60</v>
      </c>
      <c r="EM27" s="0" t="n">
        <v>25</v>
      </c>
      <c r="EN27" s="0" t="n">
        <v>15</v>
      </c>
      <c r="EO27" s="0" t="n">
        <v>15</v>
      </c>
      <c r="EP27" s="0" t="n">
        <v>5</v>
      </c>
      <c r="EQ27" s="0" t="n">
        <f aca="false">IF($A27="","",IF(AH27="exact",10,IF(AH27="adjacent",5,0)))</f>
        <v>0</v>
      </c>
      <c r="ER27" s="0" t="n">
        <f aca="false">IF($A27="","",IF(R27="Y",15,0))</f>
        <v>0</v>
      </c>
      <c r="ES27" s="0" t="s">
        <v>222</v>
      </c>
      <c r="EV27" s="0" t="s">
        <v>1197</v>
      </c>
      <c r="EW27" s="0" t="s">
        <v>224</v>
      </c>
      <c r="EX27" s="0" t="s">
        <v>1198</v>
      </c>
      <c r="EZ27" s="0" t="s">
        <v>1199</v>
      </c>
      <c r="FS27" s="0" t="str">
        <f aca="false">IF($A27="","",IF(ISNUMBER(MATCH(U27,{"queued","contacted","replied","call_booked","call_done","yes_in_principle","materials_sent"},0)),"Y","N"))</f>
        <v>N</v>
      </c>
      <c r="FT27" s="0" t="str">
        <f aca="false">IF($A27="","",IF(OR(T27="Y",U27="do_not_contact",AS27&amp;""&lt;&gt;""),"Y","N"))</f>
        <v>N</v>
      </c>
      <c r="FU27" s="0" t="str">
        <f aca="false">IF($A27="","",IF(AP27&amp;""&lt;&gt;"",AP27&amp;"",$A27))</f>
        <v>AO-C-127</v>
      </c>
      <c r="FV27" s="0" t="str">
        <f aca="false">IF($A27="","",IF(COUNTIFS($FU$2:$FU$1000,FU27,$FS$2:$FS$1000,"Y")+COUNTIFS($FU$2:$FU$1000,FU27,$FT$2:$FT$1000,"Y")&gt;0,"Y","N"))</f>
        <v>N</v>
      </c>
      <c r="FW27" s="0" t="str">
        <f aca="false">IF($A27="","",IF(AND(U27="new",T27="N",FT27="N",AT27="Y",FV27="N"),"Y","N"))</f>
        <v>N</v>
      </c>
      <c r="FX27" s="0" t="str">
        <f aca="false">IF($A27="","",IF(FW27&lt;&gt;"Y","N",IF(COUNTIFS($FU$2:$FU$1000,FU27,$FW$2:$FW$1000,"Y",$J$2:$J$1000,"&gt;"&amp;J27)+COUNTIFS($FU$2:$FU$1000,FU27,$FW$2:$FW$1000,"Y",$J$2:$J$1000,J27,$GD$2:$GD$1000,"&lt;"&amp;GD27)=0,"Y","N")))</f>
        <v>N</v>
      </c>
      <c r="FY27" s="0" t="str">
        <f aca="false">IF($A27="","",IF(AND(FW27="Y",FX27="Y",Y27&amp;""&lt;&gt;""),IF(Y27&lt;=10,"Y","N"),"N"))</f>
        <v>N</v>
      </c>
      <c r="FZ27" s="0" t="str">
        <f aca="false">IF(FY27="Y",Y27,"")</f>
        <v/>
      </c>
      <c r="GA27" s="0" t="str">
        <f aca="false">IF($A27="","",IF(AND(I27="walk-in",CN27="pass",U27="new",FT27="N",FV27="N",AQ27&lt;&gt;"Y"),"Y","N"))</f>
        <v>N</v>
      </c>
      <c r="GB27" s="0" t="str">
        <f aca="false">IF(GA27&lt;&gt;"Y","",IF(COUNTIFS($GA$2:$GA$1000,"Y",$J$2:$J$1000,"&gt;"&amp;J27)+COUNTIFS($GA$2:$GA$1000,"Y",$J$2:$J$1000,J27,$GD$2:$GD$1000,"&lt;"&amp;GD27)+1&lt;=25,COUNTIFS($GA$2:$GA$1000,"Y",$J$2:$J$1000,"&gt;"&amp;J27)+COUNTIFS($GA$2:$GA$1000,"Y",$J$2:$J$1000,J27,$GD$2:$GD$1000,"&lt;"&amp;GD27)+1,""))</f>
        <v/>
      </c>
      <c r="GC27" s="0" t="str">
        <f aca="false">IF(AND(_xlfn.ISFORMULA(C27),_xlfn.ISFORMULA(J27)),"Y","N")</f>
        <v>N</v>
      </c>
      <c r="GD27" s="0" t="n">
        <f aca="false">ROW()-1</f>
        <v>26</v>
      </c>
    </row>
    <row r="28" customFormat="false" ht="15" hidden="false" customHeight="false" outlineLevel="0" collapsed="false">
      <c r="A28" s="0" t="s">
        <v>1200</v>
      </c>
      <c r="B28" s="0" t="s">
        <v>1201</v>
      </c>
      <c r="C28" s="0" t="s">
        <v>1202</v>
      </c>
      <c r="D28" s="0" t="s">
        <v>1203</v>
      </c>
      <c r="E28" s="0" t="s">
        <v>1204</v>
      </c>
      <c r="F28" s="0" t="s">
        <v>1205</v>
      </c>
      <c r="G28" s="0" t="s">
        <v>164</v>
      </c>
      <c r="H28" s="0" t="s">
        <v>1206</v>
      </c>
      <c r="I28" s="0" t="s">
        <v>1207</v>
      </c>
      <c r="J28" s="0" t="s">
        <v>1208</v>
      </c>
      <c r="L28" s="0" t="s">
        <v>168</v>
      </c>
      <c r="M28" s="0" t="s">
        <v>283</v>
      </c>
      <c r="N28" s="0" t="s">
        <v>284</v>
      </c>
      <c r="O28" s="0" t="s">
        <v>1209</v>
      </c>
      <c r="P28" s="0" t="s">
        <v>172</v>
      </c>
      <c r="Q28" s="0" t="s">
        <v>1210</v>
      </c>
      <c r="R28" s="5" t="s">
        <v>1211</v>
      </c>
      <c r="S28" s="0" t="s">
        <v>420</v>
      </c>
      <c r="U28" s="5" t="s">
        <v>176</v>
      </c>
      <c r="V28" s="0" t="s">
        <v>283</v>
      </c>
      <c r="W28" s="0" t="s">
        <v>284</v>
      </c>
      <c r="X28" s="0" t="s">
        <v>1212</v>
      </c>
      <c r="Y28" s="0" t="s">
        <v>172</v>
      </c>
      <c r="Z28" s="0" t="s">
        <v>1213</v>
      </c>
      <c r="AA28" s="0" t="s">
        <v>1214</v>
      </c>
      <c r="AB28" s="0" t="s">
        <v>1215</v>
      </c>
      <c r="AC28" s="0" t="s">
        <v>352</v>
      </c>
      <c r="AE28" s="0" t="s">
        <v>1216</v>
      </c>
      <c r="AF28" s="0" t="s">
        <v>246</v>
      </c>
      <c r="AG28" s="0" t="s">
        <v>1217</v>
      </c>
      <c r="AH28" s="0" t="s">
        <v>1218</v>
      </c>
      <c r="AI28" s="0" t="s">
        <v>1219</v>
      </c>
      <c r="AJ28" s="0" t="s">
        <v>164</v>
      </c>
      <c r="AK28" s="0" t="s">
        <v>203</v>
      </c>
      <c r="AL28" s="0" t="s">
        <v>164</v>
      </c>
      <c r="AM28" s="0" t="n">
        <v>89</v>
      </c>
      <c r="AN28" s="0" t="s">
        <v>187</v>
      </c>
      <c r="AO28" s="0" t="s">
        <v>188</v>
      </c>
      <c r="AP28" s="0" t="s">
        <v>1220</v>
      </c>
      <c r="AQ28" s="5" t="s">
        <v>164</v>
      </c>
      <c r="AR28" s="0" t="s">
        <v>779</v>
      </c>
      <c r="AT28" s="0" t="str">
        <f aca="false">IF($A28="","",IF(AND(CN28="pass",AQ28&lt;&gt;"Y",C28&lt;&gt;"",OR(AX28&lt;&gt;"Y",AV28="Y")),"Y","N"))</f>
        <v>N</v>
      </c>
      <c r="AU28" s="0" t="str">
        <f aca="false">IF($A28="","",_xlfn.TEXTJOIN("; ",TRUE(),IF(CN28&lt;&gt;"pass","gated out",""),IF(AQ28="Y","on hold: "&amp;AR28,""),IF(C28="","no contact named on an opened page",""),IF(AND(AX28="Y",AV28&lt;&gt;"Y"),"Tuesday estimate band "&amp;L28&amp;": founder's call","")))</f>
        <v>on hold: lease signed, move not confirmed: check the lobby directory before outreach (B)</v>
      </c>
      <c r="AX28" s="0" t="s">
        <v>189</v>
      </c>
      <c r="AY28" s="0" t="s">
        <v>1221</v>
      </c>
      <c r="AZ28" s="0" t="s">
        <v>1222</v>
      </c>
      <c r="BA28" s="0" t="s">
        <v>862</v>
      </c>
      <c r="BC28" s="0" t="str">
        <f aca="false">IF($A28="","",IFERROR(INDEX(Enrichment!$A$2:$GZ$2000,MATCH($A28,INDEX(Enrichment!$A$2:$GZ$2000,0,MATCH("row_id",Enrichment!$A$1:$GZ$1,0)),0),MATCH("work_email",Enrichment!$A$1:$GZ$1,0))&amp;"",""))</f>
        <v/>
      </c>
      <c r="BD28" s="0" t="str">
        <f aca="false">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none</v>
      </c>
      <c r="BE28" s="0" t="s">
        <v>168</v>
      </c>
      <c r="BF28" s="0" t="s">
        <v>283</v>
      </c>
      <c r="BG28" s="0" t="s">
        <v>284</v>
      </c>
      <c r="BH28" s="0" t="s">
        <v>1223</v>
      </c>
      <c r="BI28" s="0" t="s">
        <v>172</v>
      </c>
      <c r="BJ28" s="0" t="s">
        <v>301</v>
      </c>
      <c r="BK28" s="0" t="s">
        <v>1224</v>
      </c>
      <c r="BL28" s="0" t="s">
        <v>1041</v>
      </c>
      <c r="BQ28" s="0" t="str">
        <f aca="false">IF($A28="","",IFERROR(INDEX(Enrichment!$A$2:$GZ$2000,MATCH($A28,INDEX(Enrichment!$A$2:$GZ$2000,0,MATCH("row_id",Enrichment!$A$1:$GZ$1,0)),0),MATCH("backup_work_email",Enrichment!$A$1:$GZ$1,0))&amp;"",""))</f>
        <v/>
      </c>
      <c r="BR28" s="0" t="str">
        <f aca="false">IF($A28="","",IF(BQ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none</v>
      </c>
      <c r="BT28" s="0" t="s">
        <v>380</v>
      </c>
      <c r="BX28" s="0" t="s">
        <v>380</v>
      </c>
      <c r="BY28" s="0" t="s">
        <v>387</v>
      </c>
      <c r="BZ28" s="0" t="s">
        <v>388</v>
      </c>
      <c r="CA28" s="0" t="s">
        <v>1225</v>
      </c>
      <c r="CB28" s="0" t="s">
        <v>196</v>
      </c>
      <c r="CC28" s="0" t="s">
        <v>1226</v>
      </c>
      <c r="CE28" s="0" t="s">
        <v>1227</v>
      </c>
      <c r="CF28" s="0" t="s">
        <v>425</v>
      </c>
      <c r="CM28" s="0" t="s">
        <v>164</v>
      </c>
      <c r="CN28" s="0" t="s">
        <v>200</v>
      </c>
      <c r="CO28" s="0" t="s">
        <v>201</v>
      </c>
      <c r="CP28" s="0" t="s">
        <v>1</v>
      </c>
      <c r="CQ28" s="0" t="s">
        <v>1228</v>
      </c>
      <c r="CR28" s="0" t="s">
        <v>1229</v>
      </c>
      <c r="CS28" s="0" t="s">
        <v>1230</v>
      </c>
      <c r="CT28" s="0" t="s">
        <v>1231</v>
      </c>
      <c r="CU28" s="0" t="s">
        <v>1232</v>
      </c>
      <c r="CV28" s="0" t="s">
        <v>209</v>
      </c>
      <c r="CW28" s="0" t="s">
        <v>209</v>
      </c>
      <c r="CX28" s="0" t="s">
        <v>440</v>
      </c>
      <c r="CY28" s="0" t="s">
        <v>1233</v>
      </c>
      <c r="CZ28" s="0" t="s">
        <v>1234</v>
      </c>
      <c r="DA28" s="0" t="s">
        <v>207</v>
      </c>
      <c r="DB28" s="0" t="s">
        <v>259</v>
      </c>
      <c r="DC28" s="0" t="s">
        <v>164</v>
      </c>
      <c r="DD28" s="0" t="s">
        <v>209</v>
      </c>
      <c r="DE28" s="0" t="s">
        <v>1235</v>
      </c>
      <c r="DF28" s="0" t="s">
        <v>525</v>
      </c>
      <c r="DG28" s="0" t="n">
        <v>40.743613</v>
      </c>
      <c r="DH28" s="0" t="n">
        <v>-73.991062</v>
      </c>
      <c r="DI28" s="0" t="s">
        <v>164</v>
      </c>
      <c r="DJ28" s="0" t="n">
        <v>0</v>
      </c>
      <c r="DK28" s="0" t="s">
        <v>1236</v>
      </c>
      <c r="DL28" s="0" t="s">
        <v>1237</v>
      </c>
      <c r="DM28" s="0" t="s">
        <v>1238</v>
      </c>
      <c r="DN28" s="0" t="s">
        <v>1239</v>
      </c>
      <c r="DO28" s="0" t="s">
        <v>363</v>
      </c>
      <c r="DS28" s="0" t="s">
        <v>809</v>
      </c>
      <c r="DT28" s="0" t="s">
        <v>209</v>
      </c>
      <c r="DU28" s="0" t="s">
        <v>189</v>
      </c>
      <c r="DX28" s="0" t="s">
        <v>209</v>
      </c>
      <c r="EA28" s="0" t="s">
        <v>209</v>
      </c>
      <c r="EB28" s="0" t="s">
        <v>189</v>
      </c>
      <c r="EC28" s="0" t="s">
        <v>1240</v>
      </c>
      <c r="ED28" s="0" t="s">
        <v>1241</v>
      </c>
      <c r="EE28" s="0" t="s">
        <v>172</v>
      </c>
      <c r="EF28" s="0" t="n">
        <v>53</v>
      </c>
      <c r="EH28" s="0" t="s">
        <v>164</v>
      </c>
      <c r="EI28" s="0" t="s">
        <v>1242</v>
      </c>
      <c r="EJ28" s="0" t="s">
        <v>221</v>
      </c>
      <c r="EK28" s="0" t="n">
        <v>0.78</v>
      </c>
      <c r="EL28" s="0" t="n">
        <v>59.5</v>
      </c>
      <c r="EM28" s="0" t="n">
        <v>19.5</v>
      </c>
      <c r="EN28" s="0" t="n">
        <v>15</v>
      </c>
      <c r="EO28" s="0" t="n">
        <v>15</v>
      </c>
      <c r="EP28" s="0" t="n">
        <v>5</v>
      </c>
      <c r="EQ28" s="0" t="n">
        <f aca="false">IF($A28="","",IF(AH28="exact",10,IF(AH28="adjacent",5,0)))</f>
        <v>0</v>
      </c>
      <c r="ER28" s="0" t="n">
        <f aca="false">IF($A28="","",IF(R28="Y",15,0))</f>
        <v>0</v>
      </c>
      <c r="ES28" s="0" t="s">
        <v>222</v>
      </c>
      <c r="EV28" s="0" t="s">
        <v>1243</v>
      </c>
      <c r="EW28" s="0" t="s">
        <v>224</v>
      </c>
      <c r="EX28" s="0" t="s">
        <v>1244</v>
      </c>
      <c r="EZ28" s="0" t="s">
        <v>1245</v>
      </c>
      <c r="FS28" s="0" t="str">
        <f aca="false">IF($A28="","",IF(ISNUMBER(MATCH(U28,{"queued","contacted","replied","call_booked","call_done","yes_in_principle","materials_sent"},0)),"Y","N"))</f>
        <v>N</v>
      </c>
      <c r="FT28" s="0" t="str">
        <f aca="false">IF($A28="","",IF(OR(T28="Y",U28="do_not_contact",AS28&amp;""&lt;&gt;""),"Y","N"))</f>
        <v>N</v>
      </c>
      <c r="FU28" s="0" t="str">
        <f aca="false">IF($A28="","",IF(AP28&amp;""&lt;&gt;"",AP28&amp;"",$A28))</f>
        <v>AO-C-105</v>
      </c>
      <c r="FV28" s="0" t="str">
        <f aca="false">IF($A28="","",IF(COUNTIFS($FU$2:$FU$1000,FU28,$FS$2:$FS$1000,"Y")+COUNTIFS($FU$2:$FU$1000,FU28,$FT$2:$FT$1000,"Y")&gt;0,"Y","N"))</f>
        <v>N</v>
      </c>
      <c r="FW28" s="0" t="str">
        <f aca="false">IF($A28="","",IF(AND(U28="new",T28="N",FT28="N",AT28="Y",FV28="N"),"Y","N"))</f>
        <v>N</v>
      </c>
      <c r="FX28" s="0" t="str">
        <f aca="false">IF($A28="","",IF(FW28&lt;&gt;"Y","N",IF(COUNTIFS($FU$2:$FU$1000,FU28,$FW$2:$FW$1000,"Y",$J$2:$J$1000,"&gt;"&amp;J28)+COUNTIFS($FU$2:$FU$1000,FU28,$FW$2:$FW$1000,"Y",$J$2:$J$1000,J28,$GD$2:$GD$1000,"&lt;"&amp;GD28)=0,"Y","N")))</f>
        <v>N</v>
      </c>
      <c r="FY28" s="0" t="str">
        <f aca="false">IF($A28="","",IF(AND(FW28="Y",FX28="Y",Y28&amp;""&lt;&gt;""),IF(Y28&lt;=10,"Y","N"),"N"))</f>
        <v>N</v>
      </c>
      <c r="FZ28" s="0" t="str">
        <f aca="false">IF(FY28="Y",Y28,"")</f>
        <v/>
      </c>
      <c r="GA28" s="0" t="str">
        <f aca="false">IF($A28="","",IF(AND(I28="walk-in",CN28="pass",U28="new",FT28="N",FV28="N",AQ28&lt;&gt;"Y"),"Y","N"))</f>
        <v>N</v>
      </c>
      <c r="GB28" s="0" t="str">
        <f aca="false">IF(GA28&lt;&gt;"Y","",IF(COUNTIFS($GA$2:$GA$1000,"Y",$J$2:$J$1000,"&gt;"&amp;J28)+COUNTIFS($GA$2:$GA$1000,"Y",$J$2:$J$1000,J28,$GD$2:$GD$1000,"&lt;"&amp;GD28)+1&lt;=25,COUNTIFS($GA$2:$GA$1000,"Y",$J$2:$J$1000,"&gt;"&amp;J28)+COUNTIFS($GA$2:$GA$1000,"Y",$J$2:$J$1000,J28,$GD$2:$GD$1000,"&lt;"&amp;GD28)+1,""))</f>
        <v/>
      </c>
      <c r="GC28" s="0" t="str">
        <f aca="false">IF(AND(_xlfn.ISFORMULA(C28),_xlfn.ISFORMULA(J28)),"Y","N")</f>
        <v>N</v>
      </c>
      <c r="GD28" s="0" t="n">
        <f aca="false">ROW()-1</f>
        <v>27</v>
      </c>
    </row>
    <row r="29" customFormat="false" ht="15" hidden="false" customHeight="false" outlineLevel="0" collapsed="false">
      <c r="A29" s="0" t="s">
        <v>1246</v>
      </c>
      <c r="B29" s="0" t="s">
        <v>1247</v>
      </c>
      <c r="C29" s="0" t="s">
        <v>209</v>
      </c>
      <c r="E29" s="0" t="s">
        <v>1248</v>
      </c>
      <c r="F29" s="0" t="s">
        <v>1249</v>
      </c>
      <c r="G29" s="0" t="s">
        <v>164</v>
      </c>
      <c r="H29" s="0" t="s">
        <v>628</v>
      </c>
      <c r="I29" s="0" t="s">
        <v>1250</v>
      </c>
      <c r="J29" s="0" t="s">
        <v>1251</v>
      </c>
      <c r="L29" s="0" t="s">
        <v>168</v>
      </c>
      <c r="M29" s="0" t="s">
        <v>169</v>
      </c>
      <c r="N29" s="0" t="s">
        <v>1252</v>
      </c>
      <c r="O29" s="0" t="s">
        <v>1253</v>
      </c>
      <c r="P29" s="0" t="s">
        <v>172</v>
      </c>
      <c r="Q29" s="0" t="s">
        <v>1254</v>
      </c>
      <c r="R29" s="5" t="s">
        <v>1255</v>
      </c>
      <c r="S29" s="0" t="s">
        <v>1256</v>
      </c>
      <c r="U29" s="5" t="s">
        <v>176</v>
      </c>
      <c r="V29" s="0" t="s">
        <v>169</v>
      </c>
      <c r="W29" s="0" t="s">
        <v>1252</v>
      </c>
      <c r="X29" s="0" t="s">
        <v>1257</v>
      </c>
      <c r="Y29" s="0" t="s">
        <v>172</v>
      </c>
      <c r="Z29" s="0" t="s">
        <v>1258</v>
      </c>
      <c r="AA29" s="0" t="s">
        <v>1259</v>
      </c>
      <c r="AB29" s="0" t="s">
        <v>1260</v>
      </c>
      <c r="AC29" s="0" t="s">
        <v>180</v>
      </c>
      <c r="AE29" s="0" t="s">
        <v>1261</v>
      </c>
      <c r="AF29" s="0" t="s">
        <v>339</v>
      </c>
      <c r="AG29" s="0" t="s">
        <v>1262</v>
      </c>
      <c r="AH29" s="0" t="s">
        <v>1263</v>
      </c>
      <c r="AI29" s="0" t="s">
        <v>209</v>
      </c>
      <c r="AJ29" s="0" t="s">
        <v>164</v>
      </c>
      <c r="AK29" s="0" t="s">
        <v>298</v>
      </c>
      <c r="AL29" s="0" t="s">
        <v>164</v>
      </c>
      <c r="AM29" s="0" t="n">
        <v>204</v>
      </c>
      <c r="AN29" s="0" t="s">
        <v>187</v>
      </c>
      <c r="AO29" s="0" t="s">
        <v>209</v>
      </c>
      <c r="AP29" s="0" t="s">
        <v>949</v>
      </c>
      <c r="AQ29" s="5" t="s">
        <v>189</v>
      </c>
      <c r="AT29" s="0" t="str">
        <f aca="false">IF($A29="","",IF(AND(CN29="pass",AQ29&lt;&gt;"Y",C29&lt;&gt;"",OR(AX29&lt;&gt;"Y",AV29="Y")),"Y","N"))</f>
        <v>Y</v>
      </c>
      <c r="AU29" s="0" t="str">
        <f aca="false">IF($A29="","",_xlfn.TEXTJOIN("; ",TRUE(),IF(CN29&lt;&gt;"pass","gated out",""),IF(AQ29="Y","on hold: "&amp;AR29,""),IF(C29="","no contact named on an opened page",""),IF(AND(AX29="Y",AV29&lt;&gt;"Y"),"Tuesday estimate band "&amp;L29&amp;": founder's call","")))</f>
        <v/>
      </c>
      <c r="AX29" s="0" t="s">
        <v>189</v>
      </c>
      <c r="AY29" s="0" t="s">
        <v>955</v>
      </c>
      <c r="AZ29" s="0" t="s">
        <v>956</v>
      </c>
      <c r="BA29" s="0" t="s">
        <v>957</v>
      </c>
      <c r="BC29" s="0" t="str">
        <f aca="false">IF($A29="","",IFERROR(INDEX(Enrichment!$A$2:$GZ$2000,MATCH($A29,INDEX(Enrichment!$A$2:$GZ$2000,0,MATCH("row_id",Enrichment!$A$1:$GZ$1,0)),0),MATCH("work_email",Enrichment!$A$1:$GZ$1,0))&amp;"",""))</f>
        <v/>
      </c>
      <c r="BD29" s="0" t="str">
        <f aca="false">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none</v>
      </c>
      <c r="BE29" s="0" t="s">
        <v>168</v>
      </c>
      <c r="BF29" s="0" t="s">
        <v>169</v>
      </c>
      <c r="BG29" s="0" t="s">
        <v>170</v>
      </c>
      <c r="BH29" s="0" t="s">
        <v>958</v>
      </c>
      <c r="BI29" s="0" t="s">
        <v>172</v>
      </c>
      <c r="BJ29" s="0" t="s">
        <v>190</v>
      </c>
      <c r="BK29" s="0" t="s">
        <v>1264</v>
      </c>
      <c r="BL29" s="0" t="s">
        <v>1265</v>
      </c>
      <c r="BM29" s="0" t="s">
        <v>959</v>
      </c>
      <c r="BN29" s="0" t="s">
        <v>960</v>
      </c>
      <c r="BO29" s="0" t="s">
        <v>961</v>
      </c>
      <c r="BQ29" s="0" t="str">
        <f aca="false">IF($A29="","",IFERROR(INDEX(Enrichment!$A$2:$GZ$2000,MATCH($A29,INDEX(Enrichment!$A$2:$GZ$2000,0,MATCH("row_id",Enrichment!$A$1:$GZ$1,0)),0),MATCH("backup_work_email",Enrichment!$A$1:$GZ$1,0))&amp;"",""))</f>
        <v/>
      </c>
      <c r="BR29" s="0" t="str">
        <f aca="false">IF($A29="","",IF(BQ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none</v>
      </c>
      <c r="BS29" s="0" t="s">
        <v>176</v>
      </c>
      <c r="BT29" s="0" t="s">
        <v>169</v>
      </c>
      <c r="BU29" s="0" t="s">
        <v>170</v>
      </c>
      <c r="BV29" s="0" t="s">
        <v>958</v>
      </c>
      <c r="BW29" s="0" t="s">
        <v>172</v>
      </c>
      <c r="BX29" s="0" t="s">
        <v>301</v>
      </c>
      <c r="BY29" s="0" t="s">
        <v>1266</v>
      </c>
      <c r="BZ29" s="0" t="s">
        <v>1267</v>
      </c>
      <c r="CA29" s="0" t="s">
        <v>1268</v>
      </c>
      <c r="CB29" s="0" t="s">
        <v>196</v>
      </c>
      <c r="CC29" s="0" t="s">
        <v>1269</v>
      </c>
      <c r="CE29" s="0" t="s">
        <v>1270</v>
      </c>
      <c r="CF29" s="0" t="s">
        <v>352</v>
      </c>
      <c r="CH29" s="0" t="s">
        <v>962</v>
      </c>
      <c r="CJ29" s="0" t="s">
        <v>963</v>
      </c>
      <c r="CK29" s="0" t="s">
        <v>352</v>
      </c>
      <c r="CM29" s="0" t="s">
        <v>164</v>
      </c>
      <c r="CN29" s="0" t="s">
        <v>200</v>
      </c>
      <c r="CO29" s="0" t="s">
        <v>201</v>
      </c>
      <c r="CP29" s="0" t="s">
        <v>1</v>
      </c>
      <c r="CQ29" s="0" t="s">
        <v>1271</v>
      </c>
      <c r="CR29" s="0" t="s">
        <v>951</v>
      </c>
      <c r="CS29" s="0" t="s">
        <v>966</v>
      </c>
      <c r="CT29" s="0" t="s">
        <v>967</v>
      </c>
      <c r="CU29" s="0" t="s">
        <v>1272</v>
      </c>
      <c r="CV29" s="0" t="s">
        <v>209</v>
      </c>
      <c r="CW29" s="0" t="s">
        <v>209</v>
      </c>
      <c r="CX29" s="0" t="s">
        <v>440</v>
      </c>
      <c r="CY29" s="0" t="s">
        <v>1273</v>
      </c>
      <c r="CZ29" s="0" t="s">
        <v>1274</v>
      </c>
      <c r="DA29" s="0" t="s">
        <v>207</v>
      </c>
      <c r="DB29" s="0" t="s">
        <v>259</v>
      </c>
      <c r="DC29" s="0" t="s">
        <v>164</v>
      </c>
      <c r="DD29" s="0" t="s">
        <v>209</v>
      </c>
      <c r="DE29" s="0" t="s">
        <v>968</v>
      </c>
      <c r="DF29" s="0" t="s">
        <v>311</v>
      </c>
      <c r="DG29" s="0" t="n">
        <v>40.74291</v>
      </c>
      <c r="DH29" s="0" t="n">
        <v>-73.984627</v>
      </c>
      <c r="DI29" s="0" t="s">
        <v>164</v>
      </c>
      <c r="DJ29" s="0" t="n">
        <v>0</v>
      </c>
      <c r="DK29" s="0" t="s">
        <v>1275</v>
      </c>
      <c r="DL29" s="0" t="s">
        <v>1276</v>
      </c>
      <c r="DM29" s="0" t="s">
        <v>1277</v>
      </c>
      <c r="DN29" s="0" t="s">
        <v>1278</v>
      </c>
      <c r="DO29" s="0" t="s">
        <v>363</v>
      </c>
      <c r="DP29" s="0" t="s">
        <v>1273</v>
      </c>
      <c r="DQ29" s="0" t="s">
        <v>1279</v>
      </c>
      <c r="DS29" s="0" t="s">
        <v>809</v>
      </c>
      <c r="DU29" s="0" t="s">
        <v>189</v>
      </c>
      <c r="DX29" s="0" t="s">
        <v>209</v>
      </c>
      <c r="EA29" s="0" t="s">
        <v>209</v>
      </c>
      <c r="EB29" s="0" t="s">
        <v>189</v>
      </c>
      <c r="EC29" s="0" t="s">
        <v>209</v>
      </c>
      <c r="EF29" s="0" t="n">
        <v>51</v>
      </c>
      <c r="EG29" s="0" t="s">
        <v>1280</v>
      </c>
      <c r="EH29" s="0" t="s">
        <v>189</v>
      </c>
      <c r="EI29" s="0" t="s">
        <v>1281</v>
      </c>
      <c r="EJ29" s="0" t="s">
        <v>221</v>
      </c>
      <c r="EK29" s="0" t="n">
        <v>0.59</v>
      </c>
      <c r="EL29" s="0" t="n">
        <v>58.8</v>
      </c>
      <c r="EM29" s="0" t="n">
        <v>14.8</v>
      </c>
      <c r="EN29" s="0" t="n">
        <v>15</v>
      </c>
      <c r="EO29" s="0" t="n">
        <v>6</v>
      </c>
      <c r="EP29" s="0" t="n">
        <v>13</v>
      </c>
      <c r="EQ29" s="0" t="n">
        <f aca="false">IF($A29="","",IF(AH29="exact",10,IF(AH29="adjacent",5,0)))</f>
        <v>0</v>
      </c>
      <c r="ER29" s="0" t="n">
        <f aca="false">IF($A29="","",IF(R29="Y",15,0))</f>
        <v>0</v>
      </c>
      <c r="ES29" s="0" t="s">
        <v>222</v>
      </c>
      <c r="EV29" s="0" t="s">
        <v>1282</v>
      </c>
      <c r="EW29" s="0" t="s">
        <v>224</v>
      </c>
      <c r="EX29" s="0" t="s">
        <v>1283</v>
      </c>
      <c r="EZ29" s="0" t="s">
        <v>1284</v>
      </c>
      <c r="FS29" s="0" t="str">
        <f aca="false">IF($A29="","",IF(ISNUMBER(MATCH(U29,{"queued","contacted","replied","call_booked","call_done","yes_in_principle","materials_sent"},0)),"Y","N"))</f>
        <v>N</v>
      </c>
      <c r="FT29" s="0" t="str">
        <f aca="false">IF($A29="","",IF(OR(T29="Y",U29="do_not_contact",AS29&amp;""&lt;&gt;""),"Y","N"))</f>
        <v>N</v>
      </c>
      <c r="FU29" s="0" t="str">
        <f aca="false">IF($A29="","",IF(AP29&amp;""&lt;&gt;"",AP29&amp;"",$A29))</f>
        <v>AO-C-157</v>
      </c>
      <c r="FV29" s="0" t="str">
        <f aca="false">IF($A29="","",IF(COUNTIFS($FU$2:$FU$1000,FU29,$FS$2:$FS$1000,"Y")+COUNTIFS($FU$2:$FU$1000,FU29,$FT$2:$FT$1000,"Y")&gt;0,"Y","N"))</f>
        <v>N</v>
      </c>
      <c r="FW29" s="0" t="str">
        <f aca="false">IF($A29="","",IF(AND(U29="new",T29="N",FT29="N",AT29="Y",FV29="N"),"Y","N"))</f>
        <v>N</v>
      </c>
      <c r="FX29" s="0" t="str">
        <f aca="false">IF($A29="","",IF(FW29&lt;&gt;"Y","N",IF(COUNTIFS($FU$2:$FU$1000,FU29,$FW$2:$FW$1000,"Y",$J$2:$J$1000,"&gt;"&amp;J29)+COUNTIFS($FU$2:$FU$1000,FU29,$FW$2:$FW$1000,"Y",$J$2:$J$1000,J29,$GD$2:$GD$1000,"&lt;"&amp;GD29)=0,"Y","N")))</f>
        <v>N</v>
      </c>
      <c r="FY29" s="0" t="str">
        <f aca="false">IF($A29="","",IF(AND(FW29="Y",FX29="Y",Y29&amp;""&lt;&gt;""),IF(Y29&lt;=10,"Y","N"),"N"))</f>
        <v>N</v>
      </c>
      <c r="FZ29" s="0" t="str">
        <f aca="false">IF(FY29="Y",Y29,"")</f>
        <v/>
      </c>
      <c r="GA29" s="0" t="str">
        <f aca="false">IF($A29="","",IF(AND(I29="walk-in",CN29="pass",U29="new",FT29="N",FV29="N",AQ29&lt;&gt;"Y"),"Y","N"))</f>
        <v>N</v>
      </c>
      <c r="GB29" s="0" t="str">
        <f aca="false">IF(GA29&lt;&gt;"Y","",IF(COUNTIFS($GA$2:$GA$1000,"Y",$J$2:$J$1000,"&gt;"&amp;J29)+COUNTIFS($GA$2:$GA$1000,"Y",$J$2:$J$1000,J29,$GD$2:$GD$1000,"&lt;"&amp;GD29)+1&lt;=25,COUNTIFS($GA$2:$GA$1000,"Y",$J$2:$J$1000,"&gt;"&amp;J29)+COUNTIFS($GA$2:$GA$1000,"Y",$J$2:$J$1000,J29,$GD$2:$GD$1000,"&lt;"&amp;GD29)+1,""))</f>
        <v/>
      </c>
      <c r="GC29" s="0" t="str">
        <f aca="false">IF(AND(_xlfn.ISFORMULA(C29),_xlfn.ISFORMULA(J29)),"Y","N")</f>
        <v>N</v>
      </c>
      <c r="GD29" s="0" t="n">
        <f aca="false">ROW()-1</f>
        <v>28</v>
      </c>
    </row>
    <row r="30" customFormat="false" ht="15" hidden="false" customHeight="false" outlineLevel="0" collapsed="false">
      <c r="A30" s="0" t="s">
        <v>1285</v>
      </c>
      <c r="B30" s="0" t="s">
        <v>1286</v>
      </c>
      <c r="C30" s="0" t="s">
        <v>1287</v>
      </c>
      <c r="D30" s="0" t="s">
        <v>1288</v>
      </c>
      <c r="E30" s="0" t="s">
        <v>1289</v>
      </c>
      <c r="F30" s="0" t="s">
        <v>1290</v>
      </c>
      <c r="G30" s="0" t="s">
        <v>164</v>
      </c>
      <c r="H30" s="0" t="s">
        <v>1291</v>
      </c>
      <c r="I30" s="0" t="s">
        <v>1292</v>
      </c>
      <c r="J30" s="0" t="s">
        <v>1293</v>
      </c>
      <c r="L30" s="0" t="s">
        <v>168</v>
      </c>
      <c r="M30" s="0" t="s">
        <v>169</v>
      </c>
      <c r="N30" s="0" t="s">
        <v>170</v>
      </c>
      <c r="O30" s="0" t="s">
        <v>1294</v>
      </c>
      <c r="P30" s="0" t="s">
        <v>172</v>
      </c>
      <c r="R30" s="5"/>
      <c r="U30" s="5"/>
      <c r="V30" s="0" t="s">
        <v>380</v>
      </c>
      <c r="AE30" s="0" t="s">
        <v>338</v>
      </c>
      <c r="AF30" s="0" t="s">
        <v>1295</v>
      </c>
      <c r="AG30" s="0" t="s">
        <v>1296</v>
      </c>
      <c r="AH30" s="0" t="s">
        <v>1297</v>
      </c>
      <c r="AI30" s="0" t="s">
        <v>1298</v>
      </c>
      <c r="AJ30" s="0" t="s">
        <v>164</v>
      </c>
      <c r="AK30" s="0" t="s">
        <v>203</v>
      </c>
      <c r="AL30" s="0" t="s">
        <v>164</v>
      </c>
      <c r="AM30" s="0" t="n">
        <v>51</v>
      </c>
      <c r="AN30" s="0" t="s">
        <v>187</v>
      </c>
      <c r="AO30" s="0" t="s">
        <v>188</v>
      </c>
      <c r="AP30" s="0" t="s">
        <v>1299</v>
      </c>
      <c r="AQ30" s="5" t="s">
        <v>189</v>
      </c>
      <c r="AT30" s="0" t="str">
        <f aca="false">IF($A30="","",IF(AND(CN30="pass",AQ30&lt;&gt;"Y",C30&lt;&gt;"",OR(AX30&lt;&gt;"Y",AV30="Y")),"Y","N"))</f>
        <v>Y</v>
      </c>
      <c r="AU30" s="0" t="str">
        <f aca="false">IF($A30="","",_xlfn.TEXTJOIN("; ",TRUE(),IF(CN30&lt;&gt;"pass","gated out",""),IF(AQ30="Y","on hold: "&amp;AR30,""),IF(C30="","no contact named on an opened page",""),IF(AND(AX30="Y",AV30&lt;&gt;"Y"),"Tuesday estimate band "&amp;L30&amp;": founder's call","")))</f>
        <v/>
      </c>
      <c r="AV30" s="0" t="s">
        <v>164</v>
      </c>
      <c r="AX30" s="0" t="s">
        <v>164</v>
      </c>
      <c r="AY30" s="0" t="s">
        <v>1300</v>
      </c>
      <c r="AZ30" s="0" t="s">
        <v>1301</v>
      </c>
      <c r="BA30" s="0" t="s">
        <v>862</v>
      </c>
      <c r="BC30" s="0" t="str">
        <f aca="false">IF($A30="","",IFERROR(INDEX(Enrichment!$A$2:$GZ$2000,MATCH($A30,INDEX(Enrichment!$A$2:$GZ$2000,0,MATCH("row_id",Enrichment!$A$1:$GZ$1,0)),0),MATCH("work_email",Enrichment!$A$1:$GZ$1,0))&amp;"",""))</f>
        <v/>
      </c>
      <c r="BD30" s="0" t="str">
        <f aca="false">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none</v>
      </c>
      <c r="BE30" s="0" t="s">
        <v>168</v>
      </c>
      <c r="BF30" s="0" t="s">
        <v>283</v>
      </c>
      <c r="BG30" s="0" t="s">
        <v>284</v>
      </c>
      <c r="BH30" s="0" t="s">
        <v>1302</v>
      </c>
      <c r="BI30" s="0" t="s">
        <v>172</v>
      </c>
      <c r="BJ30" s="0" t="s">
        <v>301</v>
      </c>
      <c r="BK30" s="0" t="s">
        <v>1303</v>
      </c>
      <c r="BL30" s="0" t="s">
        <v>1041</v>
      </c>
      <c r="BM30" s="0" t="s">
        <v>1304</v>
      </c>
      <c r="BN30" s="0" t="s">
        <v>1305</v>
      </c>
      <c r="BO30" s="0" t="s">
        <v>1306</v>
      </c>
      <c r="BQ30" s="0" t="str">
        <f aca="false">IF($A30="","",IFERROR(INDEX(Enrichment!$A$2:$GZ$2000,MATCH($A30,INDEX(Enrichment!$A$2:$GZ$2000,0,MATCH("row_id",Enrichment!$A$1:$GZ$1,0)),0),MATCH("backup_work_email",Enrichment!$A$1:$GZ$1,0))&amp;"",""))</f>
        <v/>
      </c>
      <c r="BR30" s="0" t="str">
        <f aca="false">IF($A30="","",IF(BQ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none</v>
      </c>
      <c r="BS30" s="0" t="s">
        <v>176</v>
      </c>
      <c r="BT30" s="0" t="s">
        <v>283</v>
      </c>
      <c r="BU30" s="0" t="s">
        <v>284</v>
      </c>
      <c r="BV30" s="0" t="s">
        <v>1307</v>
      </c>
      <c r="BW30" s="0" t="s">
        <v>172</v>
      </c>
      <c r="BX30" s="0" t="s">
        <v>301</v>
      </c>
      <c r="BY30" s="0" t="s">
        <v>1308</v>
      </c>
      <c r="BZ30" s="0" t="s">
        <v>1309</v>
      </c>
      <c r="CA30" s="0" t="s">
        <v>1310</v>
      </c>
      <c r="CB30" s="0" t="s">
        <v>196</v>
      </c>
      <c r="CC30" s="0" t="s">
        <v>1311</v>
      </c>
      <c r="CE30" s="0" t="s">
        <v>1312</v>
      </c>
      <c r="CF30" s="0" t="s">
        <v>180</v>
      </c>
      <c r="CH30" s="0" t="s">
        <v>1313</v>
      </c>
      <c r="CJ30" s="0" t="s">
        <v>1314</v>
      </c>
      <c r="CK30" s="0" t="s">
        <v>180</v>
      </c>
      <c r="CM30" s="0" t="s">
        <v>164</v>
      </c>
      <c r="CN30" s="0" t="s">
        <v>200</v>
      </c>
      <c r="CO30" s="0" t="s">
        <v>201</v>
      </c>
      <c r="CP30" s="0" t="s">
        <v>1</v>
      </c>
      <c r="CQ30" s="0" t="s">
        <v>1315</v>
      </c>
      <c r="CR30" s="0" t="s">
        <v>1316</v>
      </c>
      <c r="CS30" s="0" t="s">
        <v>1317</v>
      </c>
      <c r="CT30" s="0" t="s">
        <v>1318</v>
      </c>
      <c r="CV30" s="0" t="s">
        <v>186</v>
      </c>
      <c r="CW30" s="0" t="s">
        <v>204</v>
      </c>
      <c r="CX30" s="0" t="s">
        <v>205</v>
      </c>
      <c r="CY30" s="0" t="s">
        <v>1319</v>
      </c>
      <c r="DA30" s="0" t="s">
        <v>207</v>
      </c>
      <c r="DB30" s="0" t="s">
        <v>259</v>
      </c>
      <c r="DC30" s="0" t="s">
        <v>164</v>
      </c>
      <c r="DD30" s="0" t="s">
        <v>209</v>
      </c>
      <c r="DE30" s="0" t="s">
        <v>1320</v>
      </c>
      <c r="DF30" s="0" t="s">
        <v>525</v>
      </c>
      <c r="DG30" s="0" t="n">
        <v>40.743309</v>
      </c>
      <c r="DH30" s="0" t="n">
        <v>-73.987329</v>
      </c>
      <c r="DI30" s="0" t="s">
        <v>164</v>
      </c>
      <c r="DJ30" s="0" t="n">
        <v>0</v>
      </c>
      <c r="DK30" s="0" t="s">
        <v>940</v>
      </c>
      <c r="DL30" s="0" t="s">
        <v>941</v>
      </c>
      <c r="DM30" s="0" t="s">
        <v>942</v>
      </c>
      <c r="DN30" s="0" t="s">
        <v>943</v>
      </c>
      <c r="DO30" s="0" t="s">
        <v>363</v>
      </c>
      <c r="DP30" s="0" t="s">
        <v>1319</v>
      </c>
      <c r="DQ30" s="0" t="s">
        <v>263</v>
      </c>
      <c r="DS30" s="0" t="s">
        <v>217</v>
      </c>
      <c r="DU30" s="0" t="s">
        <v>189</v>
      </c>
      <c r="DX30" s="0" t="s">
        <v>209</v>
      </c>
      <c r="EA30" s="0" t="s">
        <v>209</v>
      </c>
      <c r="EB30" s="0" t="s">
        <v>189</v>
      </c>
      <c r="EC30" s="0" t="s">
        <v>1321</v>
      </c>
      <c r="ED30" s="0" t="s">
        <v>1319</v>
      </c>
      <c r="EE30" s="0" t="s">
        <v>263</v>
      </c>
      <c r="EF30" s="0" t="n">
        <v>36</v>
      </c>
      <c r="EG30" s="0" t="s">
        <v>1322</v>
      </c>
      <c r="EH30" s="0" t="s">
        <v>189</v>
      </c>
      <c r="EI30" s="0" t="s">
        <v>1323</v>
      </c>
      <c r="EJ30" s="0" t="s">
        <v>221</v>
      </c>
      <c r="EK30" s="0" t="n">
        <v>0.34</v>
      </c>
      <c r="EL30" s="0" t="n">
        <v>58.5</v>
      </c>
      <c r="EM30" s="0" t="n">
        <v>8.5</v>
      </c>
      <c r="EN30" s="0" t="n">
        <v>15</v>
      </c>
      <c r="EO30" s="0" t="n">
        <v>15</v>
      </c>
      <c r="EP30" s="0" t="n">
        <v>15</v>
      </c>
      <c r="EQ30" s="0" t="n">
        <f aca="false">IF($A30="","",IF(AH30="exact",10,IF(AH30="adjacent",5,0)))</f>
        <v>0</v>
      </c>
      <c r="ER30" s="0" t="n">
        <f aca="false">IF($A30="","",IF(R30="Y",15,0))</f>
        <v>0</v>
      </c>
      <c r="ES30" s="0" t="s">
        <v>222</v>
      </c>
      <c r="EV30" s="0" t="s">
        <v>1324</v>
      </c>
      <c r="EW30" s="0" t="s">
        <v>224</v>
      </c>
      <c r="EX30" s="0" t="s">
        <v>1325</v>
      </c>
      <c r="EZ30" s="0" t="s">
        <v>1326</v>
      </c>
      <c r="FS30" s="0" t="str">
        <f aca="false">IF($A30="","",IF(ISNUMBER(MATCH(U30,{"queued","contacted","replied","call_booked","call_done","yes_in_principle","materials_sent"},0)),"Y","N"))</f>
        <v>N</v>
      </c>
      <c r="FT30" s="0" t="str">
        <f aca="false">IF($A30="","",IF(OR(T30="Y",U30="do_not_contact",AS30&amp;""&lt;&gt;""),"Y","N"))</f>
        <v>N</v>
      </c>
      <c r="FU30" s="0" t="str">
        <f aca="false">IF($A30="","",IF(AP30&amp;""&lt;&gt;"",AP30&amp;"",$A30))</f>
        <v>AO-C-129</v>
      </c>
      <c r="FV30" s="0" t="str">
        <f aca="false">IF($A30="","",IF(COUNTIFS($FU$2:$FU$1000,FU30,$FS$2:$FS$1000,"Y")+COUNTIFS($FU$2:$FU$1000,FU30,$FT$2:$FT$1000,"Y")&gt;0,"Y","N"))</f>
        <v>N</v>
      </c>
      <c r="FW30" s="0" t="str">
        <f aca="false">IF($A30="","",IF(AND(U30="new",T30="N",FT30="N",AT30="Y",FV30="N"),"Y","N"))</f>
        <v>N</v>
      </c>
      <c r="FX30" s="0" t="str">
        <f aca="false">IF($A30="","",IF(FW30&lt;&gt;"Y","N",IF(COUNTIFS($FU$2:$FU$1000,FU30,$FW$2:$FW$1000,"Y",$J$2:$J$1000,"&gt;"&amp;J30)+COUNTIFS($FU$2:$FU$1000,FU30,$FW$2:$FW$1000,"Y",$J$2:$J$1000,J30,$GD$2:$GD$1000,"&lt;"&amp;GD30)=0,"Y","N")))</f>
        <v>N</v>
      </c>
      <c r="FY30" s="0" t="str">
        <f aca="false">IF($A30="","",IF(AND(FW30="Y",FX30="Y",Y30&amp;""&lt;&gt;""),IF(Y30&lt;=10,"Y","N"),"N"))</f>
        <v>N</v>
      </c>
      <c r="FZ30" s="0" t="str">
        <f aca="false">IF(FY30="Y",Y30,"")</f>
        <v/>
      </c>
      <c r="GA30" s="0" t="str">
        <f aca="false">IF($A30="","",IF(AND(I30="walk-in",CN30="pass",U30="new",FT30="N",FV30="N",AQ30&lt;&gt;"Y"),"Y","N"))</f>
        <v>N</v>
      </c>
      <c r="GB30" s="0" t="str">
        <f aca="false">IF(GA30&lt;&gt;"Y","",IF(COUNTIFS($GA$2:$GA$1000,"Y",$J$2:$J$1000,"&gt;"&amp;J30)+COUNTIFS($GA$2:$GA$1000,"Y",$J$2:$J$1000,J30,$GD$2:$GD$1000,"&lt;"&amp;GD30)+1&lt;=25,COUNTIFS($GA$2:$GA$1000,"Y",$J$2:$J$1000,"&gt;"&amp;J30)+COUNTIFS($GA$2:$GA$1000,"Y",$J$2:$J$1000,J30,$GD$2:$GD$1000,"&lt;"&amp;GD30)+1,""))</f>
        <v/>
      </c>
      <c r="GC30" s="0" t="str">
        <f aca="false">IF(AND(_xlfn.ISFORMULA(C30),_xlfn.ISFORMULA(J30)),"Y","N")</f>
        <v>N</v>
      </c>
      <c r="GD30" s="0" t="n">
        <f aca="false">ROW()-1</f>
        <v>29</v>
      </c>
    </row>
    <row r="31" customFormat="false" ht="15" hidden="false" customHeight="false" outlineLevel="0" collapsed="false">
      <c r="A31" s="0" t="s">
        <v>1327</v>
      </c>
      <c r="B31" s="0" t="s">
        <v>1328</v>
      </c>
      <c r="C31" s="0" t="s">
        <v>1329</v>
      </c>
      <c r="D31" s="0" t="s">
        <v>1330</v>
      </c>
      <c r="E31" s="0" t="s">
        <v>1331</v>
      </c>
      <c r="F31" s="0" t="s">
        <v>1332</v>
      </c>
      <c r="G31" s="0" t="s">
        <v>164</v>
      </c>
      <c r="H31" s="0" t="s">
        <v>1333</v>
      </c>
      <c r="I31" s="0" t="s">
        <v>1334</v>
      </c>
      <c r="J31" s="0" t="s">
        <v>1335</v>
      </c>
      <c r="L31" s="0" t="s">
        <v>168</v>
      </c>
      <c r="M31" s="0" t="s">
        <v>169</v>
      </c>
      <c r="N31" s="0" t="s">
        <v>170</v>
      </c>
      <c r="O31" s="0" t="s">
        <v>1336</v>
      </c>
      <c r="P31" s="0" t="s">
        <v>172</v>
      </c>
      <c r="R31" s="5"/>
      <c r="U31" s="5"/>
      <c r="V31" s="0" t="s">
        <v>380</v>
      </c>
      <c r="AE31" s="0" t="s">
        <v>1337</v>
      </c>
      <c r="AF31" s="0" t="s">
        <v>494</v>
      </c>
      <c r="AG31" s="0" t="s">
        <v>1338</v>
      </c>
      <c r="AH31" s="0" t="s">
        <v>873</v>
      </c>
      <c r="AI31" s="0" t="s">
        <v>209</v>
      </c>
      <c r="AJ31" s="0" t="s">
        <v>164</v>
      </c>
      <c r="AK31" s="0" t="s">
        <v>203</v>
      </c>
      <c r="AL31" s="0" t="s">
        <v>164</v>
      </c>
      <c r="AM31" s="0" t="n">
        <v>111</v>
      </c>
      <c r="AN31" s="0" t="s">
        <v>187</v>
      </c>
      <c r="AO31" s="0" t="s">
        <v>512</v>
      </c>
      <c r="AP31" s="0" t="s">
        <v>987</v>
      </c>
      <c r="AQ31" s="5" t="s">
        <v>189</v>
      </c>
      <c r="AT31" s="0" t="str">
        <f aca="false">IF($A31="","",IF(AND(CN31="pass",AQ31&lt;&gt;"Y",C31&lt;&gt;"",OR(AX31&lt;&gt;"Y",AV31="Y")),"Y","N"))</f>
        <v>Y</v>
      </c>
      <c r="AU31" s="0" t="str">
        <f aca="false">IF($A31="","",_xlfn.TEXTJOIN("; ",TRUE(),IF(CN31&lt;&gt;"pass","gated out",""),IF(AQ31="Y","on hold: "&amp;AR31,""),IF(C31="","no contact named on an opened page",""),IF(AND(AX31="Y",AV31&lt;&gt;"Y"),"Tuesday estimate band "&amp;L31&amp;": founder's call","")))</f>
        <v/>
      </c>
      <c r="AX31" s="0" t="s">
        <v>189</v>
      </c>
      <c r="AY31" s="0" t="s">
        <v>993</v>
      </c>
      <c r="AZ31" s="0" t="s">
        <v>994</v>
      </c>
      <c r="BA31" s="0" t="s">
        <v>995</v>
      </c>
      <c r="BC31" s="0" t="str">
        <f aca="false">IF($A31="","",IFERROR(INDEX(Enrichment!$A$2:$GZ$2000,MATCH($A31,INDEX(Enrichment!$A$2:$GZ$2000,0,MATCH("row_id",Enrichment!$A$1:$GZ$1,0)),0),MATCH("work_email",Enrichment!$A$1:$GZ$1,0))&amp;"",""))</f>
        <v/>
      </c>
      <c r="BD31" s="0" t="str">
        <f aca="false">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none</v>
      </c>
      <c r="BE31" s="0" t="s">
        <v>168</v>
      </c>
      <c r="BF31" s="0" t="s">
        <v>169</v>
      </c>
      <c r="BG31" s="0" t="s">
        <v>170</v>
      </c>
      <c r="BH31" s="0" t="s">
        <v>996</v>
      </c>
      <c r="BI31" s="0" t="s">
        <v>172</v>
      </c>
      <c r="BJ31" s="0" t="s">
        <v>301</v>
      </c>
      <c r="BK31" s="0" t="s">
        <v>1339</v>
      </c>
      <c r="BL31" s="0" t="s">
        <v>1340</v>
      </c>
      <c r="BM31" s="0" t="s">
        <v>997</v>
      </c>
      <c r="BN31" s="0" t="s">
        <v>998</v>
      </c>
      <c r="BO31" s="0" t="s">
        <v>862</v>
      </c>
      <c r="BQ31" s="0" t="str">
        <f aca="false">IF($A31="","",IFERROR(INDEX(Enrichment!$A$2:$GZ$2000,MATCH($A31,INDEX(Enrichment!$A$2:$GZ$2000,0,MATCH("row_id",Enrichment!$A$1:$GZ$1,0)),0),MATCH("backup_work_email",Enrichment!$A$1:$GZ$1,0))&amp;"",""))</f>
        <v/>
      </c>
      <c r="BR31" s="0" t="str">
        <f aca="false">IF($A31="","",IF(BQ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none</v>
      </c>
      <c r="BS31" s="0" t="s">
        <v>176</v>
      </c>
      <c r="BT31" s="0" t="s">
        <v>169</v>
      </c>
      <c r="BU31" s="0" t="s">
        <v>170</v>
      </c>
      <c r="BV31" s="0" t="s">
        <v>996</v>
      </c>
      <c r="BW31" s="0" t="s">
        <v>172</v>
      </c>
      <c r="BX31" s="0" t="s">
        <v>301</v>
      </c>
      <c r="BY31" s="0" t="s">
        <v>1341</v>
      </c>
      <c r="BZ31" s="0" t="s">
        <v>1342</v>
      </c>
      <c r="CA31" s="0" t="s">
        <v>1343</v>
      </c>
      <c r="CB31" s="0" t="s">
        <v>196</v>
      </c>
      <c r="CC31" s="0" t="s">
        <v>1344</v>
      </c>
      <c r="CE31" s="0" t="s">
        <v>1345</v>
      </c>
      <c r="CF31" s="0" t="s">
        <v>352</v>
      </c>
      <c r="CH31" s="0" t="s">
        <v>999</v>
      </c>
      <c r="CJ31" s="0" t="s">
        <v>1000</v>
      </c>
      <c r="CK31" s="0" t="s">
        <v>352</v>
      </c>
      <c r="CM31" s="0" t="s">
        <v>164</v>
      </c>
      <c r="CN31" s="0" t="s">
        <v>200</v>
      </c>
      <c r="CO31" s="0" t="s">
        <v>201</v>
      </c>
      <c r="CP31" s="0" t="s">
        <v>1</v>
      </c>
      <c r="CQ31" s="0" t="s">
        <v>1346</v>
      </c>
      <c r="CR31" s="0" t="s">
        <v>989</v>
      </c>
      <c r="CS31" s="0" t="s">
        <v>1002</v>
      </c>
      <c r="CT31" s="0" t="s">
        <v>1003</v>
      </c>
      <c r="CU31" s="0" t="s">
        <v>1347</v>
      </c>
      <c r="CV31" s="0" t="s">
        <v>976</v>
      </c>
      <c r="CW31" s="0" t="s">
        <v>204</v>
      </c>
      <c r="CX31" s="0" t="s">
        <v>1348</v>
      </c>
      <c r="CY31" s="0" t="s">
        <v>1349</v>
      </c>
      <c r="CZ31" s="0" t="s">
        <v>1350</v>
      </c>
      <c r="DA31" s="0" t="s">
        <v>1351</v>
      </c>
      <c r="DB31" s="0" t="s">
        <v>259</v>
      </c>
      <c r="DC31" s="0" t="s">
        <v>164</v>
      </c>
      <c r="DD31" s="0" t="s">
        <v>209</v>
      </c>
      <c r="DE31" s="0" t="s">
        <v>1004</v>
      </c>
      <c r="DF31" s="0" t="s">
        <v>210</v>
      </c>
      <c r="DG31" s="0" t="n">
        <v>40.73716</v>
      </c>
      <c r="DH31" s="0" t="n">
        <v>-73.990073</v>
      </c>
      <c r="DI31" s="0" t="s">
        <v>164</v>
      </c>
      <c r="DJ31" s="0" t="n">
        <v>0</v>
      </c>
      <c r="DK31" s="0" t="s">
        <v>1352</v>
      </c>
      <c r="DL31" s="0" t="s">
        <v>1001</v>
      </c>
      <c r="DM31" s="0" t="s">
        <v>1353</v>
      </c>
      <c r="DN31" s="0" t="s">
        <v>1354</v>
      </c>
      <c r="DO31" s="0" t="s">
        <v>363</v>
      </c>
      <c r="DP31" s="0" t="s">
        <v>1355</v>
      </c>
      <c r="DQ31" s="0" t="s">
        <v>1356</v>
      </c>
      <c r="DS31" s="0" t="s">
        <v>217</v>
      </c>
      <c r="DU31" s="0" t="s">
        <v>189</v>
      </c>
      <c r="DX31" s="0" t="s">
        <v>209</v>
      </c>
      <c r="EA31" s="0" t="s">
        <v>209</v>
      </c>
      <c r="EB31" s="0" t="s">
        <v>189</v>
      </c>
      <c r="EC31" s="0" t="s">
        <v>1357</v>
      </c>
      <c r="ED31" s="0" t="s">
        <v>1358</v>
      </c>
      <c r="EE31" s="0" t="s">
        <v>172</v>
      </c>
      <c r="EF31" s="0" t="n">
        <v>78</v>
      </c>
      <c r="EH31" s="0" t="s">
        <v>164</v>
      </c>
      <c r="EI31" s="0" t="s">
        <v>1359</v>
      </c>
      <c r="EJ31" s="0" t="s">
        <v>221</v>
      </c>
      <c r="EK31" s="0" t="n">
        <v>1</v>
      </c>
      <c r="EL31" s="0" t="n">
        <v>58</v>
      </c>
      <c r="EM31" s="0" t="n">
        <v>25</v>
      </c>
      <c r="EN31" s="0" t="n">
        <v>6</v>
      </c>
      <c r="EO31" s="0" t="n">
        <v>7</v>
      </c>
      <c r="EP31" s="0" t="n">
        <v>15</v>
      </c>
      <c r="EQ31" s="0" t="n">
        <f aca="false">IF($A31="","",IF(AH31="exact",10,IF(AH31="adjacent",5,0)))</f>
        <v>0</v>
      </c>
      <c r="ER31" s="0" t="n">
        <f aca="false">IF($A31="","",IF(R31="Y",15,0))</f>
        <v>0</v>
      </c>
      <c r="ES31" s="0" t="s">
        <v>982</v>
      </c>
      <c r="ET31" s="0" t="s">
        <v>1360</v>
      </c>
      <c r="EU31" s="0" t="s">
        <v>164</v>
      </c>
      <c r="EV31" s="0" t="s">
        <v>1361</v>
      </c>
      <c r="EW31" s="0" t="s">
        <v>224</v>
      </c>
      <c r="EX31" s="0" t="s">
        <v>1362</v>
      </c>
      <c r="EZ31" s="0" t="s">
        <v>1363</v>
      </c>
      <c r="FS31" s="0" t="str">
        <f aca="false">IF($A31="","",IF(ISNUMBER(MATCH(U31,{"queued","contacted","replied","call_booked","call_done","yes_in_principle","materials_sent"},0)),"Y","N"))</f>
        <v>N</v>
      </c>
      <c r="FT31" s="0" t="str">
        <f aca="false">IF($A31="","",IF(OR(T31="Y",U31="do_not_contact",AS31&amp;""&lt;&gt;""),"Y","N"))</f>
        <v>N</v>
      </c>
      <c r="FU31" s="0" t="str">
        <f aca="false">IF($A31="","",IF(AP31&amp;""&lt;&gt;"",AP31&amp;"",$A31))</f>
        <v>AO-C-028</v>
      </c>
      <c r="FV31" s="0" t="str">
        <f aca="false">IF($A31="","",IF(COUNTIFS($FU$2:$FU$1000,FU31,$FS$2:$FS$1000,"Y")+COUNTIFS($FU$2:$FU$1000,FU31,$FT$2:$FT$1000,"Y")&gt;0,"Y","N"))</f>
        <v>N</v>
      </c>
      <c r="FW31" s="0" t="str">
        <f aca="false">IF($A31="","",IF(AND(U31="new",T31="N",FT31="N",AT31="Y",FV31="N"),"Y","N"))</f>
        <v>N</v>
      </c>
      <c r="FX31" s="0" t="str">
        <f aca="false">IF($A31="","",IF(FW31&lt;&gt;"Y","N",IF(COUNTIFS($FU$2:$FU$1000,FU31,$FW$2:$FW$1000,"Y",$J$2:$J$1000,"&gt;"&amp;J31)+COUNTIFS($FU$2:$FU$1000,FU31,$FW$2:$FW$1000,"Y",$J$2:$J$1000,J31,$GD$2:$GD$1000,"&lt;"&amp;GD31)=0,"Y","N")))</f>
        <v>N</v>
      </c>
      <c r="FY31" s="0" t="str">
        <f aca="false">IF($A31="","",IF(AND(FW31="Y",FX31="Y",Y31&amp;""&lt;&gt;""),IF(Y31&lt;=10,"Y","N"),"N"))</f>
        <v>N</v>
      </c>
      <c r="FZ31" s="0" t="str">
        <f aca="false">IF(FY31="Y",Y31,"")</f>
        <v/>
      </c>
      <c r="GA31" s="0" t="str">
        <f aca="false">IF($A31="","",IF(AND(I31="walk-in",CN31="pass",U31="new",FT31="N",FV31="N",AQ31&lt;&gt;"Y"),"Y","N"))</f>
        <v>N</v>
      </c>
      <c r="GB31" s="0" t="str">
        <f aca="false">IF(GA31&lt;&gt;"Y","",IF(COUNTIFS($GA$2:$GA$1000,"Y",$J$2:$J$1000,"&gt;"&amp;J31)+COUNTIFS($GA$2:$GA$1000,"Y",$J$2:$J$1000,J31,$GD$2:$GD$1000,"&lt;"&amp;GD31)+1&lt;=25,COUNTIFS($GA$2:$GA$1000,"Y",$J$2:$J$1000,"&gt;"&amp;J31)+COUNTIFS($GA$2:$GA$1000,"Y",$J$2:$J$1000,J31,$GD$2:$GD$1000,"&lt;"&amp;GD31)+1,""))</f>
        <v/>
      </c>
      <c r="GC31" s="0" t="str">
        <f aca="false">IF(AND(_xlfn.ISFORMULA(C31),_xlfn.ISFORMULA(J31)),"Y","N")</f>
        <v>N</v>
      </c>
      <c r="GD31" s="0" t="n">
        <f aca="false">ROW()-1</f>
        <v>30</v>
      </c>
    </row>
    <row r="32" customFormat="false" ht="15" hidden="false" customHeight="false" outlineLevel="0" collapsed="false">
      <c r="A32" s="0" t="s">
        <v>1364</v>
      </c>
      <c r="B32" s="0" t="s">
        <v>1365</v>
      </c>
      <c r="C32" s="0" t="s">
        <v>1366</v>
      </c>
      <c r="D32" s="0" t="s">
        <v>1367</v>
      </c>
      <c r="E32" s="0" t="s">
        <v>1368</v>
      </c>
      <c r="F32" s="0" t="s">
        <v>1369</v>
      </c>
      <c r="G32" s="0" t="s">
        <v>164</v>
      </c>
      <c r="H32" s="0" t="s">
        <v>1370</v>
      </c>
      <c r="I32" s="0" t="s">
        <v>1371</v>
      </c>
      <c r="J32" s="0" t="s">
        <v>1372</v>
      </c>
      <c r="L32" s="0" t="s">
        <v>168</v>
      </c>
      <c r="M32" s="0" t="s">
        <v>283</v>
      </c>
      <c r="N32" s="0" t="s">
        <v>284</v>
      </c>
      <c r="O32" s="0" t="s">
        <v>1373</v>
      </c>
      <c r="P32" s="0" t="s">
        <v>172</v>
      </c>
      <c r="R32" s="5"/>
      <c r="U32" s="5"/>
      <c r="V32" s="0" t="s">
        <v>380</v>
      </c>
      <c r="AE32" s="0" t="s">
        <v>1374</v>
      </c>
      <c r="AF32" s="0" t="s">
        <v>209</v>
      </c>
      <c r="AG32" s="0" t="s">
        <v>1375</v>
      </c>
      <c r="AH32" s="0" t="s">
        <v>873</v>
      </c>
      <c r="AI32" s="0" t="s">
        <v>1376</v>
      </c>
      <c r="AJ32" s="0" t="s">
        <v>189</v>
      </c>
      <c r="AK32" s="0" t="s">
        <v>298</v>
      </c>
      <c r="AL32" s="0" t="s">
        <v>164</v>
      </c>
      <c r="AM32" s="0" t="n">
        <v>64</v>
      </c>
      <c r="AN32" s="0" t="s">
        <v>187</v>
      </c>
      <c r="AO32" s="0" t="s">
        <v>188</v>
      </c>
      <c r="AP32" s="0" t="s">
        <v>1377</v>
      </c>
      <c r="AQ32" s="5" t="s">
        <v>189</v>
      </c>
      <c r="AT32" s="0" t="str">
        <f aca="false">IF($A32="","",IF(AND(CN32="pass",AQ32&lt;&gt;"Y",C32&lt;&gt;"",OR(AX32&lt;&gt;"Y",AV32="Y")),"Y","N"))</f>
        <v>Y</v>
      </c>
      <c r="AU32" s="0" t="str">
        <f aca="false">IF($A32="","",_xlfn.TEXTJOIN("; ",TRUE(),IF(CN32&lt;&gt;"pass","gated out",""),IF(AQ32="Y","on hold: "&amp;AR32,""),IF(C32="","no contact named on an opened page",""),IF(AND(AX32="Y",AV32&lt;&gt;"Y"),"Tuesday estimate band "&amp;L32&amp;": founder's call","")))</f>
        <v/>
      </c>
      <c r="AX32" s="0" t="s">
        <v>189</v>
      </c>
      <c r="BC32" s="0" t="str">
        <f aca="false">IF($A32="","",IFERROR(INDEX(Enrichment!$A$2:$GZ$2000,MATCH($A32,INDEX(Enrichment!$A$2:$GZ$2000,0,MATCH("row_id",Enrichment!$A$1:$GZ$1,0)),0),MATCH("work_email",Enrichment!$A$1:$GZ$1,0))&amp;"",""))</f>
        <v/>
      </c>
      <c r="BD32" s="0" t="str">
        <f aca="false">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none</v>
      </c>
      <c r="BF32" s="0" t="s">
        <v>380</v>
      </c>
      <c r="BJ32" s="0" t="s">
        <v>380</v>
      </c>
      <c r="BK32" s="0" t="s">
        <v>743</v>
      </c>
      <c r="BL32" s="0" t="s">
        <v>837</v>
      </c>
      <c r="BQ32" s="0" t="str">
        <f aca="false">IF($A32="","",IFERROR(INDEX(Enrichment!$A$2:$GZ$2000,MATCH($A32,INDEX(Enrichment!$A$2:$GZ$2000,0,MATCH("row_id",Enrichment!$A$1:$GZ$1,0)),0),MATCH("backup_work_email",Enrichment!$A$1:$GZ$1,0))&amp;"",""))</f>
        <v/>
      </c>
      <c r="BR32" s="0" t="str">
        <f aca="false">IF($A32="","",IF(BQ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none</v>
      </c>
      <c r="BT32" s="0" t="s">
        <v>380</v>
      </c>
      <c r="BX32" s="0" t="s">
        <v>380</v>
      </c>
      <c r="BY32" s="0" t="s">
        <v>387</v>
      </c>
      <c r="BZ32" s="0" t="s">
        <v>388</v>
      </c>
      <c r="CA32" s="0" t="s">
        <v>1378</v>
      </c>
      <c r="CB32" s="0" t="s">
        <v>746</v>
      </c>
      <c r="CM32" s="0" t="s">
        <v>164</v>
      </c>
      <c r="CN32" s="0" t="s">
        <v>200</v>
      </c>
      <c r="CO32" s="0" t="s">
        <v>201</v>
      </c>
      <c r="CP32" s="0" t="s">
        <v>1</v>
      </c>
      <c r="CQ32" s="0" t="s">
        <v>1379</v>
      </c>
      <c r="CR32" s="0" t="s">
        <v>1380</v>
      </c>
      <c r="CS32" s="0" t="s">
        <v>1381</v>
      </c>
      <c r="CT32" s="0" t="s">
        <v>901</v>
      </c>
      <c r="CV32" s="0" t="s">
        <v>186</v>
      </c>
      <c r="CW32" s="0" t="s">
        <v>204</v>
      </c>
      <c r="CX32" s="0" t="s">
        <v>205</v>
      </c>
      <c r="CY32" s="0" t="s">
        <v>1382</v>
      </c>
      <c r="DA32" s="0" t="s">
        <v>207</v>
      </c>
      <c r="DB32" s="0" t="s">
        <v>259</v>
      </c>
      <c r="DC32" s="0" t="s">
        <v>164</v>
      </c>
      <c r="DD32" s="0" t="s">
        <v>1383</v>
      </c>
      <c r="DE32" s="0" t="s">
        <v>1384</v>
      </c>
      <c r="DF32" s="0" t="s">
        <v>311</v>
      </c>
      <c r="DG32" s="0" t="n">
        <v>40.742242</v>
      </c>
      <c r="DH32" s="0" t="n">
        <v>-73.984606</v>
      </c>
      <c r="DI32" s="0" t="s">
        <v>164</v>
      </c>
      <c r="DJ32" s="0" t="n">
        <v>0</v>
      </c>
      <c r="DK32" s="0" t="s">
        <v>1385</v>
      </c>
      <c r="DL32" s="0" t="s">
        <v>1386</v>
      </c>
      <c r="DM32" s="0" t="s">
        <v>1387</v>
      </c>
      <c r="DN32" s="0" t="s">
        <v>933</v>
      </c>
      <c r="DO32" s="0" t="s">
        <v>363</v>
      </c>
      <c r="DP32" s="0" t="s">
        <v>1382</v>
      </c>
      <c r="DQ32" s="0" t="s">
        <v>263</v>
      </c>
      <c r="DS32" s="0" t="s">
        <v>217</v>
      </c>
      <c r="DU32" s="0" t="s">
        <v>189</v>
      </c>
      <c r="DX32" s="0" t="s">
        <v>209</v>
      </c>
      <c r="EA32" s="0" t="s">
        <v>209</v>
      </c>
      <c r="EB32" s="0" t="s">
        <v>189</v>
      </c>
      <c r="EC32" s="0" t="s">
        <v>218</v>
      </c>
      <c r="ED32" s="0" t="s">
        <v>1382</v>
      </c>
      <c r="EE32" s="0" t="s">
        <v>172</v>
      </c>
      <c r="EF32" s="0" t="n">
        <v>45</v>
      </c>
      <c r="EH32" s="0" t="s">
        <v>189</v>
      </c>
      <c r="EI32" s="0" t="s">
        <v>1388</v>
      </c>
      <c r="EJ32" s="0" t="s">
        <v>221</v>
      </c>
      <c r="EK32" s="0" t="n">
        <v>0.68</v>
      </c>
      <c r="EL32" s="0" t="n">
        <v>58</v>
      </c>
      <c r="EM32" s="0" t="n">
        <v>17</v>
      </c>
      <c r="EN32" s="0" t="n">
        <v>11</v>
      </c>
      <c r="EO32" s="0" t="n">
        <v>15</v>
      </c>
      <c r="EP32" s="0" t="n">
        <v>15</v>
      </c>
      <c r="EQ32" s="0" t="n">
        <f aca="false">IF($A32="","",IF(AH32="exact",10,IF(AH32="adjacent",5,0)))</f>
        <v>0</v>
      </c>
      <c r="ER32" s="0" t="n">
        <f aca="false">IF($A32="","",IF(R32="Y",15,0))</f>
        <v>0</v>
      </c>
      <c r="ES32" s="0" t="s">
        <v>222</v>
      </c>
      <c r="EV32" s="0" t="s">
        <v>1389</v>
      </c>
      <c r="EW32" s="0" t="s">
        <v>224</v>
      </c>
      <c r="EX32" s="0" t="s">
        <v>1390</v>
      </c>
      <c r="EY32" s="0" t="s">
        <v>1391</v>
      </c>
      <c r="EZ32" s="0" t="s">
        <v>1392</v>
      </c>
      <c r="FS32" s="0" t="str">
        <f aca="false">IF($A32="","",IF(ISNUMBER(MATCH(U32,{"queued","contacted","replied","call_booked","call_done","yes_in_principle","materials_sent"},0)),"Y","N"))</f>
        <v>N</v>
      </c>
      <c r="FT32" s="0" t="str">
        <f aca="false">IF($A32="","",IF(OR(T32="Y",U32="do_not_contact",AS32&amp;""&lt;&gt;""),"Y","N"))</f>
        <v>N</v>
      </c>
      <c r="FU32" s="0" t="str">
        <f aca="false">IF($A32="","",IF(AP32&amp;""&lt;&gt;"",AP32&amp;"",$A32))</f>
        <v>AO-C-128</v>
      </c>
      <c r="FV32" s="0" t="str">
        <f aca="false">IF($A32="","",IF(COUNTIFS($FU$2:$FU$1000,FU32,$FS$2:$FS$1000,"Y")+COUNTIFS($FU$2:$FU$1000,FU32,$FT$2:$FT$1000,"Y")&gt;0,"Y","N"))</f>
        <v>N</v>
      </c>
      <c r="FW32" s="0" t="str">
        <f aca="false">IF($A32="","",IF(AND(U32="new",T32="N",FT32="N",AT32="Y",FV32="N"),"Y","N"))</f>
        <v>N</v>
      </c>
      <c r="FX32" s="0" t="str">
        <f aca="false">IF($A32="","",IF(FW32&lt;&gt;"Y","N",IF(COUNTIFS($FU$2:$FU$1000,FU32,$FW$2:$FW$1000,"Y",$J$2:$J$1000,"&gt;"&amp;J32)+COUNTIFS($FU$2:$FU$1000,FU32,$FW$2:$FW$1000,"Y",$J$2:$J$1000,J32,$GD$2:$GD$1000,"&lt;"&amp;GD32)=0,"Y","N")))</f>
        <v>N</v>
      </c>
      <c r="FY32" s="0" t="str">
        <f aca="false">IF($A32="","",IF(AND(FW32="Y",FX32="Y",Y32&amp;""&lt;&gt;""),IF(Y32&lt;=10,"Y","N"),"N"))</f>
        <v>N</v>
      </c>
      <c r="FZ32" s="0" t="str">
        <f aca="false">IF(FY32="Y",Y32,"")</f>
        <v/>
      </c>
      <c r="GA32" s="0" t="str">
        <f aca="false">IF($A32="","",IF(AND(I32="walk-in",CN32="pass",U32="new",FT32="N",FV32="N",AQ32&lt;&gt;"Y"),"Y","N"))</f>
        <v>N</v>
      </c>
      <c r="GB32" s="0" t="str">
        <f aca="false">IF(GA32&lt;&gt;"Y","",IF(COUNTIFS($GA$2:$GA$1000,"Y",$J$2:$J$1000,"&gt;"&amp;J32)+COUNTIFS($GA$2:$GA$1000,"Y",$J$2:$J$1000,J32,$GD$2:$GD$1000,"&lt;"&amp;GD32)+1&lt;=25,COUNTIFS($GA$2:$GA$1000,"Y",$J$2:$J$1000,"&gt;"&amp;J32)+COUNTIFS($GA$2:$GA$1000,"Y",$J$2:$J$1000,J32,$GD$2:$GD$1000,"&lt;"&amp;GD32)+1,""))</f>
        <v/>
      </c>
      <c r="GC32" s="0" t="str">
        <f aca="false">IF(AND(_xlfn.ISFORMULA(C32),_xlfn.ISFORMULA(J32)),"Y","N")</f>
        <v>N</v>
      </c>
      <c r="GD32" s="0" t="n">
        <f aca="false">ROW()-1</f>
        <v>31</v>
      </c>
    </row>
    <row r="33" customFormat="false" ht="15" hidden="false" customHeight="false" outlineLevel="0" collapsed="false">
      <c r="A33" s="0" t="s">
        <v>1393</v>
      </c>
      <c r="B33" s="0" t="s">
        <v>1394</v>
      </c>
      <c r="C33" s="0" t="s">
        <v>1395</v>
      </c>
      <c r="D33" s="0" t="s">
        <v>1396</v>
      </c>
      <c r="E33" s="0" t="s">
        <v>1397</v>
      </c>
      <c r="F33" s="0" t="s">
        <v>1398</v>
      </c>
      <c r="G33" s="0" t="s">
        <v>164</v>
      </c>
      <c r="H33" s="0" t="s">
        <v>1399</v>
      </c>
      <c r="I33" s="0" t="s">
        <v>1400</v>
      </c>
      <c r="J33" s="0" t="s">
        <v>1401</v>
      </c>
      <c r="L33" s="0" t="s">
        <v>168</v>
      </c>
      <c r="M33" s="0" t="s">
        <v>169</v>
      </c>
      <c r="N33" s="0" t="s">
        <v>170</v>
      </c>
      <c r="O33" s="0" t="s">
        <v>1402</v>
      </c>
      <c r="P33" s="0" t="s">
        <v>172</v>
      </c>
      <c r="R33" s="5"/>
      <c r="U33" s="5"/>
      <c r="V33" s="0" t="s">
        <v>380</v>
      </c>
      <c r="AE33" s="0" t="s">
        <v>1403</v>
      </c>
      <c r="AF33" s="0" t="s">
        <v>209</v>
      </c>
      <c r="AG33" s="0" t="s">
        <v>1404</v>
      </c>
      <c r="AH33" s="0" t="s">
        <v>1297</v>
      </c>
      <c r="AI33" s="0" t="s">
        <v>1405</v>
      </c>
      <c r="AJ33" s="0" t="s">
        <v>189</v>
      </c>
      <c r="AK33" s="0" t="s">
        <v>186</v>
      </c>
      <c r="AL33" s="0" t="s">
        <v>164</v>
      </c>
      <c r="AM33" s="0" t="n">
        <v>90</v>
      </c>
      <c r="AN33" s="0" t="s">
        <v>187</v>
      </c>
      <c r="AO33" s="0" t="s">
        <v>1406</v>
      </c>
      <c r="AP33" s="0" t="s">
        <v>1021</v>
      </c>
      <c r="AQ33" s="5" t="s">
        <v>189</v>
      </c>
      <c r="AT33" s="0" t="str">
        <f aca="false">IF($A33="","",IF(AND(CN33="pass",AQ33&lt;&gt;"Y",C33&lt;&gt;"",OR(AX33&lt;&gt;"Y",AV33="Y")),"Y","N"))</f>
        <v>Y</v>
      </c>
      <c r="AU33" s="0" t="str">
        <f aca="false">IF($A33="","",_xlfn.TEXTJOIN("; ",TRUE(),IF(CN33&lt;&gt;"pass","gated out",""),IF(AQ33="Y","on hold: "&amp;AR33,""),IF(C33="","no contact named on an opened page",""),IF(AND(AX33="Y",AV33&lt;&gt;"Y"),"Tuesday estimate band "&amp;L33&amp;": founder's call","")))</f>
        <v/>
      </c>
      <c r="AX33" s="0" t="s">
        <v>189</v>
      </c>
      <c r="AY33" s="0" t="s">
        <v>1027</v>
      </c>
      <c r="AZ33" s="0" t="s">
        <v>1028</v>
      </c>
      <c r="BA33" s="0" t="s">
        <v>1029</v>
      </c>
      <c r="BC33" s="0" t="str">
        <f aca="false">IF($A33="","",IFERROR(INDEX(Enrichment!$A$2:$GZ$2000,MATCH($A33,INDEX(Enrichment!$A$2:$GZ$2000,0,MATCH("row_id",Enrichment!$A$1:$GZ$1,0)),0),MATCH("work_email",Enrichment!$A$1:$GZ$1,0))&amp;"",""))</f>
        <v/>
      </c>
      <c r="BD33" s="0" t="str">
        <f aca="false">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none</v>
      </c>
      <c r="BE33" s="0" t="s">
        <v>168</v>
      </c>
      <c r="BF33" s="0" t="s">
        <v>169</v>
      </c>
      <c r="BG33" s="0" t="s">
        <v>170</v>
      </c>
      <c r="BH33" s="0" t="s">
        <v>1030</v>
      </c>
      <c r="BI33" s="0" t="s">
        <v>172</v>
      </c>
      <c r="BJ33" s="0" t="s">
        <v>190</v>
      </c>
      <c r="BK33" s="0" t="s">
        <v>1407</v>
      </c>
      <c r="BL33" s="0" t="s">
        <v>1408</v>
      </c>
      <c r="BM33" s="0" t="s">
        <v>1031</v>
      </c>
      <c r="BN33" s="0" t="s">
        <v>1032</v>
      </c>
      <c r="BO33" s="0" t="s">
        <v>1033</v>
      </c>
      <c r="BQ33" s="0" t="str">
        <f aca="false">IF($A33="","",IFERROR(INDEX(Enrichment!$A$2:$GZ$2000,MATCH($A33,INDEX(Enrichment!$A$2:$GZ$2000,0,MATCH("row_id",Enrichment!$A$1:$GZ$1,0)),0),MATCH("backup_work_email",Enrichment!$A$1:$GZ$1,0))&amp;"",""))</f>
        <v/>
      </c>
      <c r="BR33" s="0" t="str">
        <f aca="false">IF($A33="","",IF(BQ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none</v>
      </c>
      <c r="BS33" s="0" t="s">
        <v>176</v>
      </c>
      <c r="BT33" s="0" t="s">
        <v>169</v>
      </c>
      <c r="BU33" s="0" t="s">
        <v>170</v>
      </c>
      <c r="BV33" s="0" t="s">
        <v>1030</v>
      </c>
      <c r="BW33" s="0" t="s">
        <v>172</v>
      </c>
      <c r="BX33" s="0" t="s">
        <v>301</v>
      </c>
      <c r="BY33" s="0" t="s">
        <v>1409</v>
      </c>
      <c r="BZ33" s="0" t="s">
        <v>1410</v>
      </c>
      <c r="CA33" s="0" t="s">
        <v>1411</v>
      </c>
      <c r="CB33" s="0" t="s">
        <v>196</v>
      </c>
      <c r="CC33" s="0" t="s">
        <v>1412</v>
      </c>
      <c r="CE33" s="0" t="s">
        <v>1413</v>
      </c>
      <c r="CF33" s="0" t="s">
        <v>180</v>
      </c>
      <c r="CH33" s="0" t="s">
        <v>1034</v>
      </c>
      <c r="CJ33" s="0" t="s">
        <v>1035</v>
      </c>
      <c r="CK33" s="0" t="s">
        <v>352</v>
      </c>
      <c r="CM33" s="0" t="s">
        <v>164</v>
      </c>
      <c r="CN33" s="0" t="s">
        <v>200</v>
      </c>
      <c r="CO33" s="0" t="s">
        <v>201</v>
      </c>
      <c r="CP33" s="0" t="s">
        <v>1</v>
      </c>
      <c r="CQ33" s="0" t="s">
        <v>1414</v>
      </c>
      <c r="CR33" s="0" t="s">
        <v>1023</v>
      </c>
      <c r="CS33" s="0" t="s">
        <v>1038</v>
      </c>
      <c r="CT33" s="0" t="s">
        <v>1039</v>
      </c>
      <c r="CU33" s="0" t="s">
        <v>1415</v>
      </c>
      <c r="CV33" s="0" t="s">
        <v>186</v>
      </c>
      <c r="CW33" s="0" t="s">
        <v>204</v>
      </c>
      <c r="CX33" s="0" t="s">
        <v>356</v>
      </c>
      <c r="CY33" s="0" t="s">
        <v>1416</v>
      </c>
      <c r="CZ33" s="0" t="s">
        <v>1417</v>
      </c>
      <c r="DA33" s="0" t="s">
        <v>207</v>
      </c>
      <c r="DB33" s="0" t="s">
        <v>259</v>
      </c>
      <c r="DC33" s="0" t="s">
        <v>164</v>
      </c>
      <c r="DD33" s="0" t="s">
        <v>209</v>
      </c>
      <c r="DE33" s="0" t="s">
        <v>209</v>
      </c>
      <c r="DF33" s="0" t="s">
        <v>1190</v>
      </c>
      <c r="DG33" s="0" t="n">
        <v>40.744899</v>
      </c>
      <c r="DH33" s="0" t="n">
        <v>-73.989082</v>
      </c>
      <c r="DI33" s="0" t="s">
        <v>164</v>
      </c>
      <c r="DJ33" s="0" t="n">
        <v>0</v>
      </c>
      <c r="DK33" s="0" t="s">
        <v>1418</v>
      </c>
      <c r="DL33" s="0" t="s">
        <v>1419</v>
      </c>
      <c r="DM33" s="0" t="s">
        <v>1420</v>
      </c>
      <c r="DN33" s="0" t="s">
        <v>1421</v>
      </c>
      <c r="DO33" s="0" t="s">
        <v>363</v>
      </c>
      <c r="DP33" s="0" t="s">
        <v>1422</v>
      </c>
      <c r="DQ33" s="0" t="s">
        <v>263</v>
      </c>
      <c r="DS33" s="0" t="s">
        <v>217</v>
      </c>
      <c r="DU33" s="0" t="s">
        <v>189</v>
      </c>
      <c r="DX33" s="0" t="s">
        <v>209</v>
      </c>
      <c r="EA33" s="0" t="s">
        <v>209</v>
      </c>
      <c r="EB33" s="0" t="s">
        <v>189</v>
      </c>
      <c r="EC33" s="0" t="s">
        <v>1423</v>
      </c>
      <c r="ED33" s="0" t="s">
        <v>1416</v>
      </c>
      <c r="EE33" s="0" t="s">
        <v>172</v>
      </c>
      <c r="EF33" s="0" t="n">
        <v>58</v>
      </c>
      <c r="EH33" s="0" t="s">
        <v>189</v>
      </c>
      <c r="EI33" s="0" t="s">
        <v>1424</v>
      </c>
      <c r="EJ33" s="0" t="s">
        <v>221</v>
      </c>
      <c r="EK33" s="0" t="n">
        <v>0.91</v>
      </c>
      <c r="EL33" s="0" t="n">
        <v>57.8</v>
      </c>
      <c r="EM33" s="0" t="n">
        <v>22.8</v>
      </c>
      <c r="EN33" s="0" t="n">
        <v>15</v>
      </c>
      <c r="EO33" s="0" t="n">
        <v>-5</v>
      </c>
      <c r="EP33" s="0" t="n">
        <v>15</v>
      </c>
      <c r="EQ33" s="0" t="n">
        <f aca="false">IF($A33="","",IF(AH33="exact",10,IF(AH33="adjacent",5,0)))</f>
        <v>0</v>
      </c>
      <c r="ER33" s="0" t="n">
        <f aca="false">IF($A33="","",IF(R33="Y",15,0))</f>
        <v>0</v>
      </c>
      <c r="ES33" s="0" t="s">
        <v>222</v>
      </c>
      <c r="EV33" s="0" t="s">
        <v>1425</v>
      </c>
      <c r="EW33" s="0" t="s">
        <v>224</v>
      </c>
      <c r="EX33" s="0" t="s">
        <v>1426</v>
      </c>
      <c r="FS33" s="0" t="str">
        <f aca="false">IF($A33="","",IF(ISNUMBER(MATCH(U33,{"queued","contacted","replied","call_booked","call_done","yes_in_principle","materials_sent"},0)),"Y","N"))</f>
        <v>N</v>
      </c>
      <c r="FT33" s="0" t="str">
        <f aca="false">IF($A33="","",IF(OR(T33="Y",U33="do_not_contact",AS33&amp;""&lt;&gt;""),"Y","N"))</f>
        <v>N</v>
      </c>
      <c r="FU33" s="0" t="str">
        <f aca="false">IF($A33="","",IF(AP33&amp;""&lt;&gt;"",AP33&amp;"",$A33))</f>
        <v>AO-C-155</v>
      </c>
      <c r="FV33" s="0" t="str">
        <f aca="false">IF($A33="","",IF(COUNTIFS($FU$2:$FU$1000,FU33,$FS$2:$FS$1000,"Y")+COUNTIFS($FU$2:$FU$1000,FU33,$FT$2:$FT$1000,"Y")&gt;0,"Y","N"))</f>
        <v>N</v>
      </c>
      <c r="FW33" s="0" t="str">
        <f aca="false">IF($A33="","",IF(AND(U33="new",T33="N",FT33="N",AT33="Y",FV33="N"),"Y","N"))</f>
        <v>N</v>
      </c>
      <c r="FX33" s="0" t="str">
        <f aca="false">IF($A33="","",IF(FW33&lt;&gt;"Y","N",IF(COUNTIFS($FU$2:$FU$1000,FU33,$FW$2:$FW$1000,"Y",$J$2:$J$1000,"&gt;"&amp;J33)+COUNTIFS($FU$2:$FU$1000,FU33,$FW$2:$FW$1000,"Y",$J$2:$J$1000,J33,$GD$2:$GD$1000,"&lt;"&amp;GD33)=0,"Y","N")))</f>
        <v>N</v>
      </c>
      <c r="FY33" s="0" t="str">
        <f aca="false">IF($A33="","",IF(AND(FW33="Y",FX33="Y",Y33&amp;""&lt;&gt;""),IF(Y33&lt;=10,"Y","N"),"N"))</f>
        <v>N</v>
      </c>
      <c r="FZ33" s="0" t="str">
        <f aca="false">IF(FY33="Y",Y33,"")</f>
        <v/>
      </c>
      <c r="GA33" s="0" t="str">
        <f aca="false">IF($A33="","",IF(AND(I33="walk-in",CN33="pass",U33="new",FT33="N",FV33="N",AQ33&lt;&gt;"Y"),"Y","N"))</f>
        <v>N</v>
      </c>
      <c r="GB33" s="0" t="str">
        <f aca="false">IF(GA33&lt;&gt;"Y","",IF(COUNTIFS($GA$2:$GA$1000,"Y",$J$2:$J$1000,"&gt;"&amp;J33)+COUNTIFS($GA$2:$GA$1000,"Y",$J$2:$J$1000,J33,$GD$2:$GD$1000,"&lt;"&amp;GD33)+1&lt;=25,COUNTIFS($GA$2:$GA$1000,"Y",$J$2:$J$1000,"&gt;"&amp;J33)+COUNTIFS($GA$2:$GA$1000,"Y",$J$2:$J$1000,J33,$GD$2:$GD$1000,"&lt;"&amp;GD33)+1,""))</f>
        <v/>
      </c>
      <c r="GC33" s="0" t="str">
        <f aca="false">IF(AND(_xlfn.ISFORMULA(C33),_xlfn.ISFORMULA(J33)),"Y","N")</f>
        <v>N</v>
      </c>
      <c r="GD33" s="0" t="n">
        <f aca="false">ROW()-1</f>
        <v>32</v>
      </c>
    </row>
    <row r="34" customFormat="false" ht="15" hidden="false" customHeight="false" outlineLevel="0" collapsed="false">
      <c r="A34" s="0" t="s">
        <v>1427</v>
      </c>
      <c r="B34" s="0" t="s">
        <v>1428</v>
      </c>
      <c r="C34" s="0" t="s">
        <v>1429</v>
      </c>
      <c r="D34" s="0" t="s">
        <v>1430</v>
      </c>
      <c r="E34" s="0" t="s">
        <v>1431</v>
      </c>
      <c r="F34" s="0" t="s">
        <v>1432</v>
      </c>
      <c r="G34" s="0" t="s">
        <v>164</v>
      </c>
      <c r="H34" s="0" t="s">
        <v>280</v>
      </c>
      <c r="I34" s="0" t="s">
        <v>1433</v>
      </c>
      <c r="J34" s="0" t="s">
        <v>1434</v>
      </c>
      <c r="L34" s="0" t="s">
        <v>168</v>
      </c>
      <c r="M34" s="0" t="s">
        <v>283</v>
      </c>
      <c r="N34" s="0" t="s">
        <v>284</v>
      </c>
      <c r="O34" s="0" t="s">
        <v>1435</v>
      </c>
      <c r="P34" s="0" t="s">
        <v>172</v>
      </c>
      <c r="R34" s="5"/>
      <c r="U34" s="5"/>
      <c r="V34" s="0" t="s">
        <v>380</v>
      </c>
      <c r="AE34" s="0" t="s">
        <v>1436</v>
      </c>
      <c r="AF34" s="0" t="s">
        <v>246</v>
      </c>
      <c r="AG34" s="0" t="s">
        <v>1437</v>
      </c>
      <c r="AH34" s="0" t="s">
        <v>1438</v>
      </c>
      <c r="AI34" s="0" t="s">
        <v>1439</v>
      </c>
      <c r="AJ34" s="0" t="s">
        <v>189</v>
      </c>
      <c r="AK34" s="0" t="s">
        <v>298</v>
      </c>
      <c r="AL34" s="0" t="s">
        <v>164</v>
      </c>
      <c r="AM34" s="0" t="n">
        <v>288</v>
      </c>
      <c r="AN34" s="0" t="s">
        <v>187</v>
      </c>
      <c r="AO34" s="0" t="s">
        <v>512</v>
      </c>
      <c r="AP34" s="0" t="s">
        <v>1056</v>
      </c>
      <c r="AQ34" s="5" t="s">
        <v>189</v>
      </c>
      <c r="AT34" s="0" t="str">
        <f aca="false">IF($A34="","",IF(AND(CN34="pass",AQ34&lt;&gt;"Y",C34&lt;&gt;"",OR(AX34&lt;&gt;"Y",AV34="Y")),"Y","N"))</f>
        <v>Y</v>
      </c>
      <c r="AU34" s="0" t="str">
        <f aca="false">IF($A34="","",_xlfn.TEXTJOIN("; ",TRUE(),IF(CN34&lt;&gt;"pass","gated out",""),IF(AQ34="Y","on hold: "&amp;AR34,""),IF(C34="","no contact named on an opened page",""),IF(AND(AX34="Y",AV34&lt;&gt;"Y"),"Tuesday estimate band "&amp;L34&amp;": founder's call","")))</f>
        <v/>
      </c>
      <c r="AX34" s="0" t="s">
        <v>189</v>
      </c>
      <c r="AY34" s="0" t="s">
        <v>1062</v>
      </c>
      <c r="AZ34" s="0" t="s">
        <v>1063</v>
      </c>
      <c r="BA34" s="0" t="s">
        <v>1064</v>
      </c>
      <c r="BC34" s="0" t="str">
        <f aca="false">IF($A34="","",IFERROR(INDEX(Enrichment!$A$2:$GZ$2000,MATCH($A34,INDEX(Enrichment!$A$2:$GZ$2000,0,MATCH("row_id",Enrichment!$A$1:$GZ$1,0)),0),MATCH("work_email",Enrichment!$A$1:$GZ$1,0))&amp;"",""))</f>
        <v/>
      </c>
      <c r="BD34" s="0" t="str">
        <f aca="false">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none</v>
      </c>
      <c r="BE34" s="0" t="s">
        <v>168</v>
      </c>
      <c r="BF34" s="0" t="s">
        <v>283</v>
      </c>
      <c r="BG34" s="0" t="s">
        <v>284</v>
      </c>
      <c r="BH34" s="0" t="s">
        <v>1065</v>
      </c>
      <c r="BI34" s="0" t="s">
        <v>172</v>
      </c>
      <c r="BJ34" s="0" t="s">
        <v>190</v>
      </c>
      <c r="BK34" s="0" t="s">
        <v>1440</v>
      </c>
      <c r="BL34" s="0" t="s">
        <v>1441</v>
      </c>
      <c r="BM34" s="0" t="s">
        <v>1066</v>
      </c>
      <c r="BN34" s="0" t="s">
        <v>1067</v>
      </c>
      <c r="BO34" s="0" t="s">
        <v>862</v>
      </c>
      <c r="BQ34" s="0" t="str">
        <f aca="false">IF($A34="","",IFERROR(INDEX(Enrichment!$A$2:$GZ$2000,MATCH($A34,INDEX(Enrichment!$A$2:$GZ$2000,0,MATCH("row_id",Enrichment!$A$1:$GZ$1,0)),0),MATCH("backup_work_email",Enrichment!$A$1:$GZ$1,0))&amp;"",""))</f>
        <v/>
      </c>
      <c r="BR34" s="0" t="str">
        <f aca="false">IF($A34="","",IF(BQ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none</v>
      </c>
      <c r="BS34" s="0" t="s">
        <v>176</v>
      </c>
      <c r="BT34" s="0" t="s">
        <v>283</v>
      </c>
      <c r="BU34" s="0" t="s">
        <v>284</v>
      </c>
      <c r="BV34" s="0" t="s">
        <v>1068</v>
      </c>
      <c r="BW34" s="0" t="s">
        <v>172</v>
      </c>
      <c r="BX34" s="0" t="s">
        <v>301</v>
      </c>
      <c r="BY34" s="0" t="s">
        <v>1442</v>
      </c>
      <c r="BZ34" s="0" t="s">
        <v>1041</v>
      </c>
      <c r="CA34" s="0" t="s">
        <v>1443</v>
      </c>
      <c r="CB34" s="0" t="s">
        <v>196</v>
      </c>
      <c r="CC34" s="0" t="s">
        <v>1444</v>
      </c>
      <c r="CE34" s="0" t="s">
        <v>1445</v>
      </c>
      <c r="CF34" s="0" t="s">
        <v>180</v>
      </c>
      <c r="CH34" s="0" t="s">
        <v>1069</v>
      </c>
      <c r="CJ34" s="0" t="s">
        <v>1070</v>
      </c>
      <c r="CK34" s="0" t="s">
        <v>180</v>
      </c>
      <c r="CM34" s="0" t="s">
        <v>164</v>
      </c>
      <c r="CN34" s="0" t="s">
        <v>200</v>
      </c>
      <c r="CO34" s="0" t="s">
        <v>201</v>
      </c>
      <c r="CP34" s="0" t="s">
        <v>1</v>
      </c>
      <c r="CQ34" s="0" t="s">
        <v>1446</v>
      </c>
      <c r="CR34" s="0" t="s">
        <v>1058</v>
      </c>
      <c r="CS34" s="0" t="s">
        <v>1072</v>
      </c>
      <c r="CT34" s="0" t="s">
        <v>873</v>
      </c>
      <c r="CU34" s="0" t="s">
        <v>1447</v>
      </c>
      <c r="CV34" s="0" t="s">
        <v>355</v>
      </c>
      <c r="CW34" s="0" t="s">
        <v>204</v>
      </c>
      <c r="CX34" s="0" t="s">
        <v>356</v>
      </c>
      <c r="CY34" s="0" t="s">
        <v>1448</v>
      </c>
      <c r="CZ34" s="0" t="s">
        <v>1449</v>
      </c>
      <c r="DA34" s="0" t="s">
        <v>207</v>
      </c>
      <c r="DB34" s="0" t="s">
        <v>209</v>
      </c>
      <c r="DC34" s="0" t="s">
        <v>209</v>
      </c>
      <c r="DD34" s="0" t="s">
        <v>1450</v>
      </c>
      <c r="DE34" s="0" t="s">
        <v>1073</v>
      </c>
      <c r="DF34" s="0" t="s">
        <v>525</v>
      </c>
      <c r="DG34" s="0" t="n">
        <v>40.742199</v>
      </c>
      <c r="DH34" s="0" t="n">
        <v>-73.99172</v>
      </c>
      <c r="DI34" s="0" t="s">
        <v>164</v>
      </c>
      <c r="DJ34" s="0" t="n">
        <v>0</v>
      </c>
      <c r="DK34" s="0" t="s">
        <v>1451</v>
      </c>
      <c r="DL34" s="0" t="s">
        <v>1452</v>
      </c>
      <c r="DM34" s="0" t="s">
        <v>1448</v>
      </c>
      <c r="DN34" s="0" t="s">
        <v>263</v>
      </c>
      <c r="DO34" s="0" t="s">
        <v>651</v>
      </c>
      <c r="DP34" s="0" t="s">
        <v>1453</v>
      </c>
      <c r="DQ34" s="0" t="s">
        <v>1454</v>
      </c>
      <c r="DS34" s="0" t="s">
        <v>217</v>
      </c>
      <c r="DU34" s="0" t="s">
        <v>189</v>
      </c>
      <c r="DX34" s="0" t="s">
        <v>267</v>
      </c>
      <c r="DY34" s="0" t="s">
        <v>1453</v>
      </c>
      <c r="EA34" s="0" t="s">
        <v>209</v>
      </c>
      <c r="EB34" s="0" t="s">
        <v>189</v>
      </c>
      <c r="EC34" s="0" t="s">
        <v>1018</v>
      </c>
      <c r="ED34" s="0" t="s">
        <v>1448</v>
      </c>
      <c r="EE34" s="0" t="s">
        <v>172</v>
      </c>
      <c r="EF34" s="0" t="n">
        <v>59</v>
      </c>
      <c r="EG34" s="0" t="s">
        <v>945</v>
      </c>
      <c r="EH34" s="0" t="s">
        <v>189</v>
      </c>
      <c r="EI34" s="0" t="s">
        <v>1455</v>
      </c>
      <c r="EJ34" s="0" t="s">
        <v>221</v>
      </c>
      <c r="EK34" s="0" t="n">
        <v>0.58</v>
      </c>
      <c r="EL34" s="0" t="n">
        <v>57.4</v>
      </c>
      <c r="EM34" s="0" t="n">
        <v>14.4</v>
      </c>
      <c r="EN34" s="0" t="n">
        <v>11</v>
      </c>
      <c r="EO34" s="0" t="n">
        <v>7</v>
      </c>
      <c r="EP34" s="0" t="n">
        <v>15</v>
      </c>
      <c r="EQ34" s="0" t="n">
        <f aca="false">IF($A34="","",IF(AH34="exact",10,IF(AH34="adjacent",5,0)))</f>
        <v>0</v>
      </c>
      <c r="ER34" s="0" t="n">
        <f aca="false">IF($A34="","",IF(R34="Y",15,0))</f>
        <v>0</v>
      </c>
      <c r="ES34" s="0" t="s">
        <v>222</v>
      </c>
      <c r="EX34" s="0" t="s">
        <v>1456</v>
      </c>
      <c r="EZ34" s="0" t="s">
        <v>1457</v>
      </c>
      <c r="FS34" s="0" t="str">
        <f aca="false">IF($A34="","",IF(ISNUMBER(MATCH(U34,{"queued","contacted","replied","call_booked","call_done","yes_in_principle","materials_sent"},0)),"Y","N"))</f>
        <v>N</v>
      </c>
      <c r="FT34" s="0" t="str">
        <f aca="false">IF($A34="","",IF(OR(T34="Y",U34="do_not_contact",AS34&amp;""&lt;&gt;""),"Y","N"))</f>
        <v>N</v>
      </c>
      <c r="FU34" s="0" t="str">
        <f aca="false">IF($A34="","",IF(AP34&amp;""&lt;&gt;"",AP34&amp;"",$A34))</f>
        <v>AO-C-095</v>
      </c>
      <c r="FV34" s="0" t="str">
        <f aca="false">IF($A34="","",IF(COUNTIFS($FU$2:$FU$1000,FU34,$FS$2:$FS$1000,"Y")+COUNTIFS($FU$2:$FU$1000,FU34,$FT$2:$FT$1000,"Y")&gt;0,"Y","N"))</f>
        <v>N</v>
      </c>
      <c r="FW34" s="0" t="str">
        <f aca="false">IF($A34="","",IF(AND(U34="new",T34="N",FT34="N",AT34="Y",FV34="N"),"Y","N"))</f>
        <v>N</v>
      </c>
      <c r="FX34" s="0" t="str">
        <f aca="false">IF($A34="","",IF(FW34&lt;&gt;"Y","N",IF(COUNTIFS($FU$2:$FU$1000,FU34,$FW$2:$FW$1000,"Y",$J$2:$J$1000,"&gt;"&amp;J34)+COUNTIFS($FU$2:$FU$1000,FU34,$FW$2:$FW$1000,"Y",$J$2:$J$1000,J34,$GD$2:$GD$1000,"&lt;"&amp;GD34)=0,"Y","N")))</f>
        <v>N</v>
      </c>
      <c r="FY34" s="0" t="str">
        <f aca="false">IF($A34="","",IF(AND(FW34="Y",FX34="Y",Y34&amp;""&lt;&gt;""),IF(Y34&lt;=10,"Y","N"),"N"))</f>
        <v>N</v>
      </c>
      <c r="FZ34" s="0" t="str">
        <f aca="false">IF(FY34="Y",Y34,"")</f>
        <v/>
      </c>
      <c r="GA34" s="0" t="str">
        <f aca="false">IF($A34="","",IF(AND(I34="walk-in",CN34="pass",U34="new",FT34="N",FV34="N",AQ34&lt;&gt;"Y"),"Y","N"))</f>
        <v>N</v>
      </c>
      <c r="GB34" s="0" t="str">
        <f aca="false">IF(GA34&lt;&gt;"Y","",IF(COUNTIFS($GA$2:$GA$1000,"Y",$J$2:$J$1000,"&gt;"&amp;J34)+COUNTIFS($GA$2:$GA$1000,"Y",$J$2:$J$1000,J34,$GD$2:$GD$1000,"&lt;"&amp;GD34)+1&lt;=25,COUNTIFS($GA$2:$GA$1000,"Y",$J$2:$J$1000,"&gt;"&amp;J34)+COUNTIFS($GA$2:$GA$1000,"Y",$J$2:$J$1000,J34,$GD$2:$GD$1000,"&lt;"&amp;GD34)+1,""))</f>
        <v/>
      </c>
      <c r="GC34" s="0" t="str">
        <f aca="false">IF(AND(_xlfn.ISFORMULA(C34),_xlfn.ISFORMULA(J34)),"Y","N")</f>
        <v>N</v>
      </c>
      <c r="GD34" s="0" t="n">
        <f aca="false">ROW()-1</f>
        <v>33</v>
      </c>
    </row>
    <row r="35" customFormat="false" ht="15" hidden="false" customHeight="false" outlineLevel="0" collapsed="false">
      <c r="A35" s="0" t="s">
        <v>1458</v>
      </c>
      <c r="B35" s="0" t="s">
        <v>1459</v>
      </c>
      <c r="C35" s="0" t="s">
        <v>1460</v>
      </c>
      <c r="D35" s="0" t="s">
        <v>1461</v>
      </c>
      <c r="E35" s="0" t="s">
        <v>1462</v>
      </c>
      <c r="F35" s="0" t="s">
        <v>1463</v>
      </c>
      <c r="G35" s="0" t="s">
        <v>164</v>
      </c>
      <c r="H35" s="0" t="s">
        <v>1464</v>
      </c>
      <c r="I35" s="0" t="s">
        <v>1465</v>
      </c>
      <c r="J35" s="0" t="s">
        <v>1466</v>
      </c>
      <c r="L35" s="0" t="s">
        <v>168</v>
      </c>
      <c r="M35" s="0" t="s">
        <v>283</v>
      </c>
      <c r="N35" s="0" t="s">
        <v>284</v>
      </c>
      <c r="O35" s="0" t="s">
        <v>1467</v>
      </c>
      <c r="P35" s="0" t="s">
        <v>172</v>
      </c>
      <c r="R35" s="5"/>
      <c r="U35" s="5"/>
      <c r="V35" s="0" t="s">
        <v>380</v>
      </c>
      <c r="AE35" s="0" t="s">
        <v>1468</v>
      </c>
      <c r="AF35" s="0" t="s">
        <v>1469</v>
      </c>
      <c r="AG35" s="0" t="s">
        <v>1470</v>
      </c>
      <c r="AH35" s="0" t="s">
        <v>1471</v>
      </c>
      <c r="AI35" s="0" t="s">
        <v>1472</v>
      </c>
      <c r="AJ35" s="0" t="s">
        <v>189</v>
      </c>
      <c r="AK35" s="0" t="s">
        <v>186</v>
      </c>
      <c r="AL35" s="0" t="s">
        <v>164</v>
      </c>
      <c r="AM35" s="0" t="n">
        <v>276</v>
      </c>
      <c r="AN35" s="0" t="s">
        <v>187</v>
      </c>
      <c r="AO35" s="0" t="s">
        <v>188</v>
      </c>
      <c r="AP35" s="0" t="s">
        <v>1473</v>
      </c>
      <c r="AQ35" s="5" t="s">
        <v>189</v>
      </c>
      <c r="AT35" s="0" t="str">
        <f aca="false">IF($A35="","",IF(AND(CN35="pass",AQ35&lt;&gt;"Y",C35&lt;&gt;"",OR(AX35&lt;&gt;"Y",AV35="Y")),"Y","N"))</f>
        <v>Y</v>
      </c>
      <c r="AU35" s="0" t="str">
        <f aca="false">IF($A35="","",_xlfn.TEXTJOIN("; ",TRUE(),IF(CN35&lt;&gt;"pass","gated out",""),IF(AQ35="Y","on hold: "&amp;AR35,""),IF(C35="","no contact named on an opened page",""),IF(AND(AX35="Y",AV35&lt;&gt;"Y"),"Tuesday estimate band "&amp;L35&amp;": founder's call","")))</f>
        <v/>
      </c>
      <c r="AX35" s="0" t="s">
        <v>189</v>
      </c>
      <c r="BC35" s="0" t="str">
        <f aca="false">IF($A35="","",IFERROR(INDEX(Enrichment!$A$2:$GZ$2000,MATCH($A35,INDEX(Enrichment!$A$2:$GZ$2000,0,MATCH("row_id",Enrichment!$A$1:$GZ$1,0)),0),MATCH("work_email",Enrichment!$A$1:$GZ$1,0))&amp;"",""))</f>
        <v/>
      </c>
      <c r="BD35" s="0" t="str">
        <f aca="false">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none</v>
      </c>
      <c r="BF35" s="0" t="s">
        <v>380</v>
      </c>
      <c r="BJ35" s="0" t="s">
        <v>380</v>
      </c>
      <c r="BK35" s="0" t="s">
        <v>743</v>
      </c>
      <c r="BL35" s="0" t="s">
        <v>837</v>
      </c>
      <c r="BQ35" s="0" t="str">
        <f aca="false">IF($A35="","",IFERROR(INDEX(Enrichment!$A$2:$GZ$2000,MATCH($A35,INDEX(Enrichment!$A$2:$GZ$2000,0,MATCH("row_id",Enrichment!$A$1:$GZ$1,0)),0),MATCH("backup_work_email",Enrichment!$A$1:$GZ$1,0))&amp;"",""))</f>
        <v/>
      </c>
      <c r="BR35" s="0" t="str">
        <f aca="false">IF($A35="","",IF(BQ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none</v>
      </c>
      <c r="BT35" s="0" t="s">
        <v>380</v>
      </c>
      <c r="BX35" s="0" t="s">
        <v>380</v>
      </c>
      <c r="BY35" s="0" t="s">
        <v>387</v>
      </c>
      <c r="BZ35" s="0" t="s">
        <v>388</v>
      </c>
      <c r="CA35" s="0" t="s">
        <v>1474</v>
      </c>
      <c r="CB35" s="0" t="s">
        <v>746</v>
      </c>
      <c r="CM35" s="0" t="s">
        <v>164</v>
      </c>
      <c r="CN35" s="0" t="s">
        <v>200</v>
      </c>
      <c r="CO35" s="0" t="s">
        <v>201</v>
      </c>
      <c r="CP35" s="0" t="s">
        <v>1</v>
      </c>
      <c r="CQ35" s="0" t="s">
        <v>1475</v>
      </c>
      <c r="CR35" s="0" t="s">
        <v>209</v>
      </c>
      <c r="CS35" s="0" t="s">
        <v>1476</v>
      </c>
      <c r="CT35" s="0" t="s">
        <v>1477</v>
      </c>
      <c r="CV35" s="0" t="s">
        <v>976</v>
      </c>
      <c r="CW35" s="0" t="s">
        <v>204</v>
      </c>
      <c r="CX35" s="0" t="s">
        <v>205</v>
      </c>
      <c r="CY35" s="0" t="s">
        <v>1478</v>
      </c>
      <c r="DA35" s="0" t="s">
        <v>1351</v>
      </c>
      <c r="DB35" s="0" t="s">
        <v>1479</v>
      </c>
      <c r="DC35" s="0" t="s">
        <v>189</v>
      </c>
      <c r="DD35" s="0" t="s">
        <v>209</v>
      </c>
      <c r="DE35" s="0" t="s">
        <v>209</v>
      </c>
      <c r="DF35" s="0" t="s">
        <v>210</v>
      </c>
      <c r="DG35" s="0" t="n">
        <v>40.73686</v>
      </c>
      <c r="DH35" s="0" t="n">
        <v>-73.988546</v>
      </c>
      <c r="DI35" s="0" t="s">
        <v>164</v>
      </c>
      <c r="DJ35" s="0" t="n">
        <v>0</v>
      </c>
      <c r="DK35" s="0" t="s">
        <v>260</v>
      </c>
      <c r="DL35" s="0" t="s">
        <v>261</v>
      </c>
      <c r="DM35" s="0" t="s">
        <v>264</v>
      </c>
      <c r="DN35" s="0" t="s">
        <v>265</v>
      </c>
      <c r="DO35" s="0" t="s">
        <v>443</v>
      </c>
      <c r="DP35" s="0" t="s">
        <v>444</v>
      </c>
      <c r="DQ35" s="0" t="s">
        <v>445</v>
      </c>
      <c r="DR35" s="0" t="s">
        <v>266</v>
      </c>
      <c r="DS35" s="0" t="s">
        <v>217</v>
      </c>
      <c r="DU35" s="0" t="s">
        <v>189</v>
      </c>
      <c r="DX35" s="0" t="s">
        <v>267</v>
      </c>
      <c r="DY35" s="0" t="s">
        <v>268</v>
      </c>
      <c r="EA35" s="0" t="s">
        <v>209</v>
      </c>
      <c r="EB35" s="0" t="s">
        <v>189</v>
      </c>
      <c r="EC35" s="0" t="s">
        <v>218</v>
      </c>
      <c r="ED35" s="0" t="s">
        <v>1480</v>
      </c>
      <c r="EE35" s="0" t="s">
        <v>172</v>
      </c>
      <c r="EF35" s="0" t="n">
        <v>195</v>
      </c>
      <c r="EG35" s="0" t="s">
        <v>366</v>
      </c>
      <c r="EH35" s="0" t="s">
        <v>164</v>
      </c>
      <c r="EI35" s="0" t="s">
        <v>1481</v>
      </c>
      <c r="EJ35" s="0" t="s">
        <v>221</v>
      </c>
      <c r="EK35" s="0" t="n">
        <v>0.86</v>
      </c>
      <c r="EL35" s="0" t="n">
        <v>57.4</v>
      </c>
      <c r="EM35" s="0" t="n">
        <v>21.4</v>
      </c>
      <c r="EN35" s="0" t="n">
        <v>6</v>
      </c>
      <c r="EO35" s="0" t="n">
        <v>15</v>
      </c>
      <c r="EP35" s="0" t="n">
        <v>15</v>
      </c>
      <c r="EQ35" s="0" t="n">
        <f aca="false">IF($A35="","",IF(AH35="exact",10,IF(AH35="adjacent",5,0)))</f>
        <v>0</v>
      </c>
      <c r="ER35" s="0" t="n">
        <f aca="false">IF($A35="","",IF(R35="Y",15,0))</f>
        <v>0</v>
      </c>
      <c r="ES35" s="0" t="s">
        <v>982</v>
      </c>
      <c r="ET35" s="0" t="s">
        <v>1360</v>
      </c>
      <c r="EU35" s="0" t="s">
        <v>189</v>
      </c>
      <c r="EV35" s="0" t="s">
        <v>1482</v>
      </c>
      <c r="EW35" s="0" t="s">
        <v>224</v>
      </c>
      <c r="EX35" s="0" t="s">
        <v>1483</v>
      </c>
      <c r="FS35" s="0" t="str">
        <f aca="false">IF($A35="","",IF(ISNUMBER(MATCH(U35,{"queued","contacted","replied","call_booked","call_done","yes_in_principle","materials_sent"},0)),"Y","N"))</f>
        <v>N</v>
      </c>
      <c r="FT35" s="0" t="str">
        <f aca="false">IF($A35="","",IF(OR(T35="Y",U35="do_not_contact",AS35&amp;""&lt;&gt;""),"Y","N"))</f>
        <v>N</v>
      </c>
      <c r="FU35" s="0" t="str">
        <f aca="false">IF($A35="","",IF(AP35&amp;""&lt;&gt;"",AP35&amp;"",$A35))</f>
        <v>AO-C-197</v>
      </c>
      <c r="FV35" s="0" t="str">
        <f aca="false">IF($A35="","",IF(COUNTIFS($FU$2:$FU$1000,FU35,$FS$2:$FS$1000,"Y")+COUNTIFS($FU$2:$FU$1000,FU35,$FT$2:$FT$1000,"Y")&gt;0,"Y","N"))</f>
        <v>N</v>
      </c>
      <c r="FW35" s="0" t="str">
        <f aca="false">IF($A35="","",IF(AND(U35="new",T35="N",FT35="N",AT35="Y",FV35="N"),"Y","N"))</f>
        <v>N</v>
      </c>
      <c r="FX35" s="0" t="str">
        <f aca="false">IF($A35="","",IF(FW35&lt;&gt;"Y","N",IF(COUNTIFS($FU$2:$FU$1000,FU35,$FW$2:$FW$1000,"Y",$J$2:$J$1000,"&gt;"&amp;J35)+COUNTIFS($FU$2:$FU$1000,FU35,$FW$2:$FW$1000,"Y",$J$2:$J$1000,J35,$GD$2:$GD$1000,"&lt;"&amp;GD35)=0,"Y","N")))</f>
        <v>N</v>
      </c>
      <c r="FY35" s="0" t="str">
        <f aca="false">IF($A35="","",IF(AND(FW35="Y",FX35="Y",Y35&amp;""&lt;&gt;""),IF(Y35&lt;=10,"Y","N"),"N"))</f>
        <v>N</v>
      </c>
      <c r="FZ35" s="0" t="str">
        <f aca="false">IF(FY35="Y",Y35,"")</f>
        <v/>
      </c>
      <c r="GA35" s="0" t="str">
        <f aca="false">IF($A35="","",IF(AND(I35="walk-in",CN35="pass",U35="new",FT35="N",FV35="N",AQ35&lt;&gt;"Y"),"Y","N"))</f>
        <v>N</v>
      </c>
      <c r="GB35" s="0" t="str">
        <f aca="false">IF(GA35&lt;&gt;"Y","",IF(COUNTIFS($GA$2:$GA$1000,"Y",$J$2:$J$1000,"&gt;"&amp;J35)+COUNTIFS($GA$2:$GA$1000,"Y",$J$2:$J$1000,J35,$GD$2:$GD$1000,"&lt;"&amp;GD35)+1&lt;=25,COUNTIFS($GA$2:$GA$1000,"Y",$J$2:$J$1000,"&gt;"&amp;J35)+COUNTIFS($GA$2:$GA$1000,"Y",$J$2:$J$1000,J35,$GD$2:$GD$1000,"&lt;"&amp;GD35)+1,""))</f>
        <v/>
      </c>
      <c r="GC35" s="0" t="str">
        <f aca="false">IF(AND(_xlfn.ISFORMULA(C35),_xlfn.ISFORMULA(J35)),"Y","N")</f>
        <v>N</v>
      </c>
      <c r="GD35" s="0" t="n">
        <f aca="false">ROW()-1</f>
        <v>34</v>
      </c>
    </row>
    <row r="36" customFormat="false" ht="15" hidden="false" customHeight="false" outlineLevel="0" collapsed="false">
      <c r="A36" s="0" t="s">
        <v>1484</v>
      </c>
      <c r="B36" s="0" t="s">
        <v>1485</v>
      </c>
      <c r="C36" s="0" t="s">
        <v>1486</v>
      </c>
      <c r="D36" s="0" t="s">
        <v>1487</v>
      </c>
      <c r="E36" s="0" t="s">
        <v>1488</v>
      </c>
      <c r="F36" s="0" t="s">
        <v>1489</v>
      </c>
      <c r="G36" s="0" t="s">
        <v>164</v>
      </c>
      <c r="H36" s="0" t="s">
        <v>1490</v>
      </c>
      <c r="I36" s="0" t="s">
        <v>542</v>
      </c>
      <c r="J36" s="0" t="s">
        <v>1491</v>
      </c>
      <c r="L36" s="0" t="s">
        <v>168</v>
      </c>
      <c r="M36" s="0" t="s">
        <v>283</v>
      </c>
      <c r="N36" s="0" t="s">
        <v>284</v>
      </c>
      <c r="O36" s="0" t="s">
        <v>1492</v>
      </c>
      <c r="P36" s="0" t="s">
        <v>172</v>
      </c>
      <c r="R36" s="5"/>
      <c r="U36" s="5"/>
      <c r="V36" s="0" t="s">
        <v>380</v>
      </c>
      <c r="AE36" s="0" t="s">
        <v>1493</v>
      </c>
      <c r="AF36" s="0" t="s">
        <v>1295</v>
      </c>
      <c r="AG36" s="0" t="s">
        <v>1494</v>
      </c>
      <c r="AH36" s="0" t="s">
        <v>1495</v>
      </c>
      <c r="AI36" s="0" t="s">
        <v>1496</v>
      </c>
      <c r="AJ36" s="0" t="s">
        <v>189</v>
      </c>
      <c r="AK36" s="0" t="s">
        <v>203</v>
      </c>
      <c r="AL36" s="0" t="s">
        <v>164</v>
      </c>
      <c r="AM36" s="0" t="n">
        <v>97</v>
      </c>
      <c r="AN36" s="0" t="s">
        <v>187</v>
      </c>
      <c r="AO36" s="0" t="s">
        <v>512</v>
      </c>
      <c r="AP36" s="0" t="s">
        <v>1497</v>
      </c>
      <c r="AQ36" s="5" t="s">
        <v>164</v>
      </c>
      <c r="AR36" s="0" t="s">
        <v>779</v>
      </c>
      <c r="AT36" s="0" t="str">
        <f aca="false">IF($A36="","",IF(AND(CN36="pass",AQ36&lt;&gt;"Y",C36&lt;&gt;"",OR(AX36&lt;&gt;"Y",AV36="Y")),"Y","N"))</f>
        <v>N</v>
      </c>
      <c r="AU36" s="0" t="str">
        <f aca="false">IF($A36="","",_xlfn.TEXTJOIN("; ",TRUE(),IF(CN36&lt;&gt;"pass","gated out",""),IF(AQ36="Y","on hold: "&amp;AR36,""),IF(C36="","no contact named on an opened page",""),IF(AND(AX36="Y",AV36&lt;&gt;"Y"),"Tuesday estimate band "&amp;L36&amp;": founder's call","")))</f>
        <v>on hold: lease signed, move not confirmed: check the lobby directory before outreach (B)</v>
      </c>
      <c r="AX36" s="0" t="s">
        <v>189</v>
      </c>
      <c r="AY36" s="0" t="s">
        <v>1498</v>
      </c>
      <c r="AZ36" s="0" t="s">
        <v>1499</v>
      </c>
      <c r="BA36" s="0" t="s">
        <v>1500</v>
      </c>
      <c r="BC36" s="0" t="str">
        <f aca="false">IF($A36="","",IFERROR(INDEX(Enrichment!$A$2:$GZ$2000,MATCH($A36,INDEX(Enrichment!$A$2:$GZ$2000,0,MATCH("row_id",Enrichment!$A$1:$GZ$1,0)),0),MATCH("work_email",Enrichment!$A$1:$GZ$1,0))&amp;"",""))</f>
        <v/>
      </c>
      <c r="BD36" s="0" t="str">
        <f aca="false">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none</v>
      </c>
      <c r="BE36" s="0" t="s">
        <v>168</v>
      </c>
      <c r="BF36" s="0" t="s">
        <v>283</v>
      </c>
      <c r="BG36" s="0" t="s">
        <v>284</v>
      </c>
      <c r="BH36" s="0" t="s">
        <v>1501</v>
      </c>
      <c r="BI36" s="0" t="s">
        <v>172</v>
      </c>
      <c r="BJ36" s="0" t="s">
        <v>301</v>
      </c>
      <c r="BK36" s="0" t="s">
        <v>1502</v>
      </c>
      <c r="BL36" s="0" t="s">
        <v>1503</v>
      </c>
      <c r="BM36" s="0" t="s">
        <v>1504</v>
      </c>
      <c r="BN36" s="0" t="s">
        <v>1505</v>
      </c>
      <c r="BO36" s="0" t="s">
        <v>862</v>
      </c>
      <c r="BQ36" s="0" t="str">
        <f aca="false">IF($A36="","",IFERROR(INDEX(Enrichment!$A$2:$GZ$2000,MATCH($A36,INDEX(Enrichment!$A$2:$GZ$2000,0,MATCH("row_id",Enrichment!$A$1:$GZ$1,0)),0),MATCH("backup_work_email",Enrichment!$A$1:$GZ$1,0))&amp;"",""))</f>
        <v/>
      </c>
      <c r="BR36" s="0" t="str">
        <f aca="false">IF($A36="","",IF(BQ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none</v>
      </c>
      <c r="BS36" s="0" t="s">
        <v>176</v>
      </c>
      <c r="BT36" s="0" t="s">
        <v>283</v>
      </c>
      <c r="BU36" s="0" t="s">
        <v>284</v>
      </c>
      <c r="BV36" s="0" t="s">
        <v>1506</v>
      </c>
      <c r="BW36" s="0" t="s">
        <v>172</v>
      </c>
      <c r="BX36" s="0" t="s">
        <v>301</v>
      </c>
      <c r="BY36" s="0" t="s">
        <v>1507</v>
      </c>
      <c r="BZ36" s="0" t="s">
        <v>1041</v>
      </c>
      <c r="CA36" s="0" t="s">
        <v>1508</v>
      </c>
      <c r="CB36" s="0" t="s">
        <v>196</v>
      </c>
      <c r="CC36" s="0" t="s">
        <v>1509</v>
      </c>
      <c r="CE36" s="0" t="s">
        <v>1510</v>
      </c>
      <c r="CF36" s="0" t="s">
        <v>180</v>
      </c>
      <c r="CH36" s="0" t="s">
        <v>1511</v>
      </c>
      <c r="CJ36" s="0" t="s">
        <v>1512</v>
      </c>
      <c r="CK36" s="0" t="s">
        <v>180</v>
      </c>
      <c r="CM36" s="0" t="s">
        <v>164</v>
      </c>
      <c r="CN36" s="0" t="s">
        <v>200</v>
      </c>
      <c r="CO36" s="0" t="s">
        <v>201</v>
      </c>
      <c r="CP36" s="0" t="s">
        <v>1</v>
      </c>
      <c r="CQ36" s="0" t="s">
        <v>1513</v>
      </c>
      <c r="CR36" s="0" t="s">
        <v>1514</v>
      </c>
      <c r="CS36" s="0" t="s">
        <v>1515</v>
      </c>
      <c r="CT36" s="0" t="s">
        <v>706</v>
      </c>
      <c r="CV36" s="0" t="s">
        <v>203</v>
      </c>
      <c r="CW36" s="0" t="s">
        <v>204</v>
      </c>
      <c r="CX36" s="0" t="s">
        <v>205</v>
      </c>
      <c r="CY36" s="0" t="s">
        <v>1516</v>
      </c>
      <c r="DA36" s="0" t="s">
        <v>207</v>
      </c>
      <c r="DB36" s="0" t="s">
        <v>259</v>
      </c>
      <c r="DC36" s="0" t="s">
        <v>164</v>
      </c>
      <c r="DD36" s="0" t="s">
        <v>209</v>
      </c>
      <c r="DE36" s="0" t="s">
        <v>1517</v>
      </c>
      <c r="DF36" s="0" t="s">
        <v>525</v>
      </c>
      <c r="DG36" s="0" t="n">
        <v>40.743309</v>
      </c>
      <c r="DH36" s="0" t="n">
        <v>-73.987329</v>
      </c>
      <c r="DI36" s="0" t="s">
        <v>164</v>
      </c>
      <c r="DJ36" s="0" t="n">
        <v>0</v>
      </c>
      <c r="DK36" s="0" t="s">
        <v>940</v>
      </c>
      <c r="DL36" s="0" t="s">
        <v>941</v>
      </c>
      <c r="DM36" s="0" t="s">
        <v>1518</v>
      </c>
      <c r="DN36" s="0" t="s">
        <v>1519</v>
      </c>
      <c r="DO36" s="0" t="s">
        <v>363</v>
      </c>
      <c r="DS36" s="0" t="s">
        <v>809</v>
      </c>
      <c r="DT36" s="0" t="s">
        <v>209</v>
      </c>
      <c r="DU36" s="0" t="s">
        <v>189</v>
      </c>
      <c r="DX36" s="0" t="s">
        <v>209</v>
      </c>
      <c r="EA36" s="0" t="s">
        <v>209</v>
      </c>
      <c r="EB36" s="0" t="s">
        <v>189</v>
      </c>
      <c r="EC36" s="0" t="s">
        <v>571</v>
      </c>
      <c r="ED36" s="0" t="s">
        <v>1516</v>
      </c>
      <c r="EE36" s="0" t="s">
        <v>172</v>
      </c>
      <c r="EF36" s="0" t="n">
        <v>73</v>
      </c>
      <c r="EH36" s="0" t="s">
        <v>164</v>
      </c>
      <c r="EI36" s="0" t="s">
        <v>1520</v>
      </c>
      <c r="EJ36" s="0" t="s">
        <v>221</v>
      </c>
      <c r="EK36" s="0" t="n">
        <v>1</v>
      </c>
      <c r="EL36" s="0" t="n">
        <v>57</v>
      </c>
      <c r="EM36" s="0" t="n">
        <v>25</v>
      </c>
      <c r="EN36" s="0" t="n">
        <v>15</v>
      </c>
      <c r="EO36" s="0" t="n">
        <v>7</v>
      </c>
      <c r="EP36" s="0" t="n">
        <v>5</v>
      </c>
      <c r="EQ36" s="0" t="n">
        <f aca="false">IF($A36="","",IF(AH36="exact",10,IF(AH36="adjacent",5,0)))</f>
        <v>0</v>
      </c>
      <c r="ER36" s="0" t="n">
        <f aca="false">IF($A36="","",IF(R36="Y",15,0))</f>
        <v>0</v>
      </c>
      <c r="ES36" s="0" t="s">
        <v>222</v>
      </c>
      <c r="EV36" s="0" t="s">
        <v>1521</v>
      </c>
      <c r="EW36" s="0" t="s">
        <v>224</v>
      </c>
      <c r="EX36" s="0" t="s">
        <v>1522</v>
      </c>
      <c r="EZ36" s="0" t="s">
        <v>1523</v>
      </c>
      <c r="FS36" s="0" t="str">
        <f aca="false">IF($A36="","",IF(ISNUMBER(MATCH(U36,{"queued","contacted","replied","call_booked","call_done","yes_in_principle","materials_sent"},0)),"Y","N"))</f>
        <v>N</v>
      </c>
      <c r="FT36" s="0" t="str">
        <f aca="false">IF($A36="","",IF(OR(T36="Y",U36="do_not_contact",AS36&amp;""&lt;&gt;""),"Y","N"))</f>
        <v>N</v>
      </c>
      <c r="FU36" s="0" t="str">
        <f aca="false">IF($A36="","",IF(AP36&amp;""&lt;&gt;"",AP36&amp;"",$A36))</f>
        <v>AO-C-133</v>
      </c>
      <c r="FV36" s="0" t="str">
        <f aca="false">IF($A36="","",IF(COUNTIFS($FU$2:$FU$1000,FU36,$FS$2:$FS$1000,"Y")+COUNTIFS($FU$2:$FU$1000,FU36,$FT$2:$FT$1000,"Y")&gt;0,"Y","N"))</f>
        <v>N</v>
      </c>
      <c r="FW36" s="0" t="str">
        <f aca="false">IF($A36="","",IF(AND(U36="new",T36="N",FT36="N",AT36="Y",FV36="N"),"Y","N"))</f>
        <v>N</v>
      </c>
      <c r="FX36" s="0" t="str">
        <f aca="false">IF($A36="","",IF(FW36&lt;&gt;"Y","N",IF(COUNTIFS($FU$2:$FU$1000,FU36,$FW$2:$FW$1000,"Y",$J$2:$J$1000,"&gt;"&amp;J36)+COUNTIFS($FU$2:$FU$1000,FU36,$FW$2:$FW$1000,"Y",$J$2:$J$1000,J36,$GD$2:$GD$1000,"&lt;"&amp;GD36)=0,"Y","N")))</f>
        <v>N</v>
      </c>
      <c r="FY36" s="0" t="str">
        <f aca="false">IF($A36="","",IF(AND(FW36="Y",FX36="Y",Y36&amp;""&lt;&gt;""),IF(Y36&lt;=10,"Y","N"),"N"))</f>
        <v>N</v>
      </c>
      <c r="FZ36" s="0" t="str">
        <f aca="false">IF(FY36="Y",Y36,"")</f>
        <v/>
      </c>
      <c r="GA36" s="0" t="str">
        <f aca="false">IF($A36="","",IF(AND(I36="walk-in",CN36="pass",U36="new",FT36="N",FV36="N",AQ36&lt;&gt;"Y"),"Y","N"))</f>
        <v>N</v>
      </c>
      <c r="GB36" s="0" t="str">
        <f aca="false">IF(GA36&lt;&gt;"Y","",IF(COUNTIFS($GA$2:$GA$1000,"Y",$J$2:$J$1000,"&gt;"&amp;J36)+COUNTIFS($GA$2:$GA$1000,"Y",$J$2:$J$1000,J36,$GD$2:$GD$1000,"&lt;"&amp;GD36)+1&lt;=25,COUNTIFS($GA$2:$GA$1000,"Y",$J$2:$J$1000,"&gt;"&amp;J36)+COUNTIFS($GA$2:$GA$1000,"Y",$J$2:$J$1000,J36,$GD$2:$GD$1000,"&lt;"&amp;GD36)+1,""))</f>
        <v/>
      </c>
      <c r="GC36" s="0" t="str">
        <f aca="false">IF(AND(_xlfn.ISFORMULA(C36),_xlfn.ISFORMULA(J36)),"Y","N")</f>
        <v>N</v>
      </c>
      <c r="GD36" s="0" t="n">
        <f aca="false">ROW()-1</f>
        <v>35</v>
      </c>
    </row>
    <row r="37" customFormat="false" ht="15" hidden="false" customHeight="false" outlineLevel="0" collapsed="false">
      <c r="A37" s="0" t="s">
        <v>1524</v>
      </c>
      <c r="B37" s="0" t="s">
        <v>1525</v>
      </c>
      <c r="C37" s="0" t="s">
        <v>1526</v>
      </c>
      <c r="D37" s="0" t="s">
        <v>1527</v>
      </c>
      <c r="E37" s="0" t="s">
        <v>1528</v>
      </c>
      <c r="F37" s="0" t="s">
        <v>1529</v>
      </c>
      <c r="G37" s="0" t="s">
        <v>164</v>
      </c>
      <c r="H37" s="0" t="s">
        <v>1530</v>
      </c>
      <c r="I37" s="0" t="s">
        <v>1531</v>
      </c>
      <c r="J37" s="0" t="s">
        <v>1532</v>
      </c>
      <c r="L37" s="0" t="s">
        <v>168</v>
      </c>
      <c r="M37" s="0" t="s">
        <v>283</v>
      </c>
      <c r="N37" s="0" t="s">
        <v>284</v>
      </c>
      <c r="O37" s="0" t="s">
        <v>1533</v>
      </c>
      <c r="P37" s="0" t="s">
        <v>172</v>
      </c>
      <c r="R37" s="5"/>
      <c r="U37" s="5"/>
      <c r="V37" s="0" t="s">
        <v>380</v>
      </c>
      <c r="AE37" s="0" t="s">
        <v>1493</v>
      </c>
      <c r="AF37" s="0" t="s">
        <v>508</v>
      </c>
      <c r="AG37" s="0" t="s">
        <v>1534</v>
      </c>
      <c r="AH37" s="0" t="s">
        <v>209</v>
      </c>
      <c r="AI37" s="0" t="s">
        <v>1535</v>
      </c>
      <c r="AJ37" s="0" t="s">
        <v>189</v>
      </c>
      <c r="AK37" s="0" t="s">
        <v>209</v>
      </c>
      <c r="AL37" s="0" t="s">
        <v>164</v>
      </c>
      <c r="AM37" s="0" t="n">
        <v>110</v>
      </c>
      <c r="AN37" s="0" t="s">
        <v>187</v>
      </c>
      <c r="AO37" s="0" t="s">
        <v>512</v>
      </c>
      <c r="AP37" s="0" t="s">
        <v>1091</v>
      </c>
      <c r="AQ37" s="5" t="s">
        <v>189</v>
      </c>
      <c r="AT37" s="0" t="str">
        <f aca="false">IF($A37="","",IF(AND(CN37="pass",AQ37&lt;&gt;"Y",C37&lt;&gt;"",OR(AX37&lt;&gt;"Y",AV37="Y")),"Y","N"))</f>
        <v>Y</v>
      </c>
      <c r="AU37" s="0" t="str">
        <f aca="false">IF($A37="","",_xlfn.TEXTJOIN("; ",TRUE(),IF(CN37&lt;&gt;"pass","gated out",""),IF(AQ37="Y","on hold: "&amp;AR37,""),IF(C37="","no contact named on an opened page",""),IF(AND(AX37="Y",AV37&lt;&gt;"Y"),"Tuesday estimate band "&amp;L37&amp;": founder's call","")))</f>
        <v/>
      </c>
      <c r="AX37" s="0" t="s">
        <v>189</v>
      </c>
      <c r="AY37" s="0" t="s">
        <v>1097</v>
      </c>
      <c r="AZ37" s="0" t="s">
        <v>1098</v>
      </c>
      <c r="BA37" s="0" t="s">
        <v>772</v>
      </c>
      <c r="BC37" s="0" t="str">
        <f aca="false">IF($A37="","",IFERROR(INDEX(Enrichment!$A$2:$GZ$2000,MATCH($A37,INDEX(Enrichment!$A$2:$GZ$2000,0,MATCH("row_id",Enrichment!$A$1:$GZ$1,0)),0),MATCH("work_email",Enrichment!$A$1:$GZ$1,0))&amp;"",""))</f>
        <v/>
      </c>
      <c r="BD37" s="0" t="str">
        <f aca="false">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none</v>
      </c>
      <c r="BE37" s="0" t="s">
        <v>168</v>
      </c>
      <c r="BF37" s="0" t="s">
        <v>283</v>
      </c>
      <c r="BG37" s="0" t="s">
        <v>284</v>
      </c>
      <c r="BH37" s="0" t="s">
        <v>1099</v>
      </c>
      <c r="BI37" s="0" t="s">
        <v>172</v>
      </c>
      <c r="BJ37" s="0" t="s">
        <v>301</v>
      </c>
      <c r="BK37" s="0" t="s">
        <v>1536</v>
      </c>
      <c r="BL37" s="0" t="s">
        <v>970</v>
      </c>
      <c r="BQ37" s="0" t="str">
        <f aca="false">IF($A37="","",IFERROR(INDEX(Enrichment!$A$2:$GZ$2000,MATCH($A37,INDEX(Enrichment!$A$2:$GZ$2000,0,MATCH("row_id",Enrichment!$A$1:$GZ$1,0)),0),MATCH("backup_work_email",Enrichment!$A$1:$GZ$1,0))&amp;"",""))</f>
        <v/>
      </c>
      <c r="BR37" s="0" t="str">
        <f aca="false">IF($A37="","",IF(BQ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none</v>
      </c>
      <c r="BT37" s="0" t="s">
        <v>380</v>
      </c>
      <c r="BX37" s="0" t="s">
        <v>380</v>
      </c>
      <c r="BY37" s="0" t="s">
        <v>387</v>
      </c>
      <c r="BZ37" s="0" t="s">
        <v>388</v>
      </c>
      <c r="CA37" s="0" t="s">
        <v>1537</v>
      </c>
      <c r="CB37" s="0" t="s">
        <v>196</v>
      </c>
      <c r="CC37" s="0" t="s">
        <v>1538</v>
      </c>
      <c r="CE37" s="0" t="s">
        <v>1539</v>
      </c>
      <c r="CF37" s="0" t="s">
        <v>180</v>
      </c>
      <c r="CM37" s="0" t="s">
        <v>164</v>
      </c>
      <c r="CN37" s="0" t="s">
        <v>200</v>
      </c>
      <c r="CO37" s="0" t="s">
        <v>201</v>
      </c>
      <c r="CP37" s="0" t="s">
        <v>1</v>
      </c>
      <c r="CQ37" s="0" t="s">
        <v>1540</v>
      </c>
      <c r="CR37" s="0" t="s">
        <v>1093</v>
      </c>
      <c r="CS37" s="0" t="s">
        <v>1101</v>
      </c>
      <c r="CT37" s="0" t="s">
        <v>1102</v>
      </c>
      <c r="CV37" s="0" t="s">
        <v>355</v>
      </c>
      <c r="CW37" s="0" t="s">
        <v>204</v>
      </c>
      <c r="CX37" s="0" t="s">
        <v>205</v>
      </c>
      <c r="CY37" s="0" t="s">
        <v>1541</v>
      </c>
      <c r="DA37" s="0" t="s">
        <v>207</v>
      </c>
      <c r="DB37" s="0" t="s">
        <v>259</v>
      </c>
      <c r="DC37" s="0" t="s">
        <v>164</v>
      </c>
      <c r="DD37" s="0" t="s">
        <v>209</v>
      </c>
      <c r="DE37" s="0" t="s">
        <v>1103</v>
      </c>
      <c r="DF37" s="0" t="s">
        <v>210</v>
      </c>
      <c r="DG37" s="0" t="n">
        <v>40.734305</v>
      </c>
      <c r="DH37" s="0" t="n">
        <v>-73.991059</v>
      </c>
      <c r="DI37" s="0" t="s">
        <v>164</v>
      </c>
      <c r="DJ37" s="0" t="n">
        <v>0</v>
      </c>
      <c r="DK37" s="0" t="s">
        <v>1542</v>
      </c>
      <c r="DL37" s="0" t="s">
        <v>1543</v>
      </c>
      <c r="DM37" s="0" t="s">
        <v>1544</v>
      </c>
      <c r="DN37" s="0" t="s">
        <v>1545</v>
      </c>
      <c r="DO37" s="0" t="s">
        <v>363</v>
      </c>
      <c r="DP37" s="0" t="s">
        <v>1546</v>
      </c>
      <c r="DQ37" s="0" t="s">
        <v>1547</v>
      </c>
      <c r="DS37" s="0" t="s">
        <v>187</v>
      </c>
      <c r="DU37" s="0" t="s">
        <v>189</v>
      </c>
      <c r="DX37" s="0" t="s">
        <v>267</v>
      </c>
      <c r="DY37" s="0" t="s">
        <v>1548</v>
      </c>
      <c r="EA37" s="0" t="s">
        <v>209</v>
      </c>
      <c r="EB37" s="0" t="s">
        <v>189</v>
      </c>
      <c r="EC37" s="0" t="s">
        <v>719</v>
      </c>
      <c r="ED37" s="0" t="s">
        <v>1549</v>
      </c>
      <c r="EE37" s="0" t="s">
        <v>172</v>
      </c>
      <c r="EF37" s="0" t="n">
        <v>78</v>
      </c>
      <c r="EH37" s="0" t="s">
        <v>164</v>
      </c>
      <c r="EI37" s="0" t="s">
        <v>1550</v>
      </c>
      <c r="EJ37" s="0" t="s">
        <v>221</v>
      </c>
      <c r="EK37" s="0" t="n">
        <v>1</v>
      </c>
      <c r="EL37" s="0" t="n">
        <v>57</v>
      </c>
      <c r="EM37" s="0" t="n">
        <v>25</v>
      </c>
      <c r="EN37" s="0" t="n">
        <v>15</v>
      </c>
      <c r="EO37" s="0" t="n">
        <v>7</v>
      </c>
      <c r="EP37" s="0" t="n">
        <v>5</v>
      </c>
      <c r="EQ37" s="0" t="n">
        <f aca="false">IF($A37="","",IF(AH37="exact",10,IF(AH37="adjacent",5,0)))</f>
        <v>0</v>
      </c>
      <c r="ER37" s="0" t="n">
        <f aca="false">IF($A37="","",IF(R37="Y",15,0))</f>
        <v>0</v>
      </c>
      <c r="ES37" s="0" t="s">
        <v>222</v>
      </c>
      <c r="EV37" s="0" t="s">
        <v>1551</v>
      </c>
      <c r="EW37" s="0" t="s">
        <v>224</v>
      </c>
      <c r="EX37" s="0" t="s">
        <v>1552</v>
      </c>
      <c r="EZ37" s="0" t="s">
        <v>1553</v>
      </c>
      <c r="FS37" s="0" t="str">
        <f aca="false">IF($A37="","",IF(ISNUMBER(MATCH(U37,{"queued","contacted","replied","call_booked","call_done","yes_in_principle","materials_sent"},0)),"Y","N"))</f>
        <v>N</v>
      </c>
      <c r="FT37" s="0" t="str">
        <f aca="false">IF($A37="","",IF(OR(T37="Y",U37="do_not_contact",AS37&amp;""&lt;&gt;""),"Y","N"))</f>
        <v>N</v>
      </c>
      <c r="FU37" s="0" t="str">
        <f aca="false">IF($A37="","",IF(AP37&amp;""&lt;&gt;"",AP37&amp;"",$A37))</f>
        <v>AO-C-001</v>
      </c>
      <c r="FV37" s="0" t="str">
        <f aca="false">IF($A37="","",IF(COUNTIFS($FU$2:$FU$1000,FU37,$FS$2:$FS$1000,"Y")+COUNTIFS($FU$2:$FU$1000,FU37,$FT$2:$FT$1000,"Y")&gt;0,"Y","N"))</f>
        <v>N</v>
      </c>
      <c r="FW37" s="0" t="str">
        <f aca="false">IF($A37="","",IF(AND(U37="new",T37="N",FT37="N",AT37="Y",FV37="N"),"Y","N"))</f>
        <v>N</v>
      </c>
      <c r="FX37" s="0" t="str">
        <f aca="false">IF($A37="","",IF(FW37&lt;&gt;"Y","N",IF(COUNTIFS($FU$2:$FU$1000,FU37,$FW$2:$FW$1000,"Y",$J$2:$J$1000,"&gt;"&amp;J37)+COUNTIFS($FU$2:$FU$1000,FU37,$FW$2:$FW$1000,"Y",$J$2:$J$1000,J37,$GD$2:$GD$1000,"&lt;"&amp;GD37)=0,"Y","N")))</f>
        <v>N</v>
      </c>
      <c r="FY37" s="0" t="str">
        <f aca="false">IF($A37="","",IF(AND(FW37="Y",FX37="Y",Y37&amp;""&lt;&gt;""),IF(Y37&lt;=10,"Y","N"),"N"))</f>
        <v>N</v>
      </c>
      <c r="FZ37" s="0" t="str">
        <f aca="false">IF(FY37="Y",Y37,"")</f>
        <v/>
      </c>
      <c r="GA37" s="0" t="str">
        <f aca="false">IF($A37="","",IF(AND(I37="walk-in",CN37="pass",U37="new",FT37="N",FV37="N",AQ37&lt;&gt;"Y"),"Y","N"))</f>
        <v>N</v>
      </c>
      <c r="GB37" s="0" t="str">
        <f aca="false">IF(GA37&lt;&gt;"Y","",IF(COUNTIFS($GA$2:$GA$1000,"Y",$J$2:$J$1000,"&gt;"&amp;J37)+COUNTIFS($GA$2:$GA$1000,"Y",$J$2:$J$1000,J37,$GD$2:$GD$1000,"&lt;"&amp;GD37)+1&lt;=25,COUNTIFS($GA$2:$GA$1000,"Y",$J$2:$J$1000,"&gt;"&amp;J37)+COUNTIFS($GA$2:$GA$1000,"Y",$J$2:$J$1000,J37,$GD$2:$GD$1000,"&lt;"&amp;GD37)+1,""))</f>
        <v/>
      </c>
      <c r="GC37" s="0" t="str">
        <f aca="false">IF(AND(_xlfn.ISFORMULA(C37),_xlfn.ISFORMULA(J37)),"Y","N")</f>
        <v>N</v>
      </c>
      <c r="GD37" s="0" t="n">
        <f aca="false">ROW()-1</f>
        <v>36</v>
      </c>
    </row>
    <row r="38" customFormat="false" ht="15" hidden="false" customHeight="false" outlineLevel="0" collapsed="false">
      <c r="A38" s="0" t="s">
        <v>1554</v>
      </c>
      <c r="B38" s="0" t="s">
        <v>1555</v>
      </c>
      <c r="C38" s="0" t="s">
        <v>1556</v>
      </c>
      <c r="D38" s="0" t="s">
        <v>1557</v>
      </c>
      <c r="E38" s="0" t="s">
        <v>1558</v>
      </c>
      <c r="F38" s="0" t="s">
        <v>1529</v>
      </c>
      <c r="G38" s="0" t="s">
        <v>164</v>
      </c>
      <c r="H38" s="0" t="s">
        <v>1559</v>
      </c>
      <c r="I38" s="0" t="s">
        <v>1560</v>
      </c>
      <c r="J38" s="0" t="s">
        <v>772</v>
      </c>
      <c r="L38" s="0" t="s">
        <v>168</v>
      </c>
      <c r="M38" s="0" t="s">
        <v>283</v>
      </c>
      <c r="N38" s="0" t="s">
        <v>284</v>
      </c>
      <c r="O38" s="0" t="s">
        <v>1561</v>
      </c>
      <c r="P38" s="0" t="s">
        <v>172</v>
      </c>
      <c r="R38" s="5"/>
      <c r="U38" s="5"/>
      <c r="V38" s="0" t="s">
        <v>380</v>
      </c>
      <c r="AE38" s="0" t="s">
        <v>1562</v>
      </c>
      <c r="AF38" s="0" t="s">
        <v>374</v>
      </c>
      <c r="AG38" s="0" t="s">
        <v>1563</v>
      </c>
      <c r="AH38" s="0" t="s">
        <v>209</v>
      </c>
      <c r="AI38" s="0" t="s">
        <v>1564</v>
      </c>
      <c r="AJ38" s="0" t="s">
        <v>189</v>
      </c>
      <c r="AK38" s="0" t="s">
        <v>209</v>
      </c>
      <c r="AL38" s="0" t="s">
        <v>164</v>
      </c>
      <c r="AM38" s="0" t="n">
        <v>184</v>
      </c>
      <c r="AN38" s="0" t="s">
        <v>187</v>
      </c>
      <c r="AO38" s="0" t="s">
        <v>188</v>
      </c>
      <c r="AP38" s="0" t="s">
        <v>1565</v>
      </c>
      <c r="AQ38" s="5" t="s">
        <v>189</v>
      </c>
      <c r="AT38" s="0" t="str">
        <f aca="false">IF($A38="","",IF(AND(CN38="pass",AQ38&lt;&gt;"Y",C38&lt;&gt;"",OR(AX38&lt;&gt;"Y",AV38="Y")),"Y","N"))</f>
        <v>Y</v>
      </c>
      <c r="AU38" s="0" t="str">
        <f aca="false">IF($A38="","",_xlfn.TEXTJOIN("; ",TRUE(),IF(CN38&lt;&gt;"pass","gated out",""),IF(AQ38="Y","on hold: "&amp;AR38,""),IF(C38="","no contact named on an opened page",""),IF(AND(AX38="Y",AV38&lt;&gt;"Y"),"Tuesday estimate band "&amp;L38&amp;": founder's call","")))</f>
        <v/>
      </c>
      <c r="AX38" s="0" t="s">
        <v>189</v>
      </c>
      <c r="BC38" s="0" t="str">
        <f aca="false">IF($A38="","",IFERROR(INDEX(Enrichment!$A$2:$GZ$2000,MATCH($A38,INDEX(Enrichment!$A$2:$GZ$2000,0,MATCH("row_id",Enrichment!$A$1:$GZ$1,0)),0),MATCH("work_email",Enrichment!$A$1:$GZ$1,0))&amp;"",""))</f>
        <v/>
      </c>
      <c r="BD38" s="0" t="str">
        <f aca="false">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none</v>
      </c>
      <c r="BF38" s="0" t="s">
        <v>380</v>
      </c>
      <c r="BJ38" s="0" t="s">
        <v>380</v>
      </c>
      <c r="BK38" s="0" t="s">
        <v>743</v>
      </c>
      <c r="BL38" s="0" t="s">
        <v>837</v>
      </c>
      <c r="BQ38" s="0" t="str">
        <f aca="false">IF($A38="","",IFERROR(INDEX(Enrichment!$A$2:$GZ$2000,MATCH($A38,INDEX(Enrichment!$A$2:$GZ$2000,0,MATCH("row_id",Enrichment!$A$1:$GZ$1,0)),0),MATCH("backup_work_email",Enrichment!$A$1:$GZ$1,0))&amp;"",""))</f>
        <v/>
      </c>
      <c r="BR38" s="0" t="str">
        <f aca="false">IF($A38="","",IF(BQ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none</v>
      </c>
      <c r="BT38" s="0" t="s">
        <v>380</v>
      </c>
      <c r="BX38" s="0" t="s">
        <v>380</v>
      </c>
      <c r="BY38" s="0" t="s">
        <v>387</v>
      </c>
      <c r="BZ38" s="0" t="s">
        <v>388</v>
      </c>
      <c r="CA38" s="0" t="s">
        <v>1566</v>
      </c>
      <c r="CB38" s="0" t="s">
        <v>746</v>
      </c>
      <c r="CM38" s="0" t="s">
        <v>164</v>
      </c>
      <c r="CN38" s="0" t="s">
        <v>200</v>
      </c>
      <c r="CO38" s="0" t="s">
        <v>201</v>
      </c>
      <c r="CP38" s="0" t="s">
        <v>1</v>
      </c>
      <c r="CQ38" s="0" t="s">
        <v>1567</v>
      </c>
      <c r="CR38" s="0" t="s">
        <v>1568</v>
      </c>
      <c r="CS38" s="0" t="s">
        <v>1569</v>
      </c>
      <c r="CT38" s="0" t="s">
        <v>1570</v>
      </c>
      <c r="CV38" s="0" t="s">
        <v>976</v>
      </c>
      <c r="CW38" s="0" t="s">
        <v>204</v>
      </c>
      <c r="CX38" s="0" t="s">
        <v>205</v>
      </c>
      <c r="CY38" s="0" t="s">
        <v>1571</v>
      </c>
      <c r="DA38" s="0" t="s">
        <v>978</v>
      </c>
      <c r="DB38" s="0" t="s">
        <v>209</v>
      </c>
      <c r="DC38" s="0" t="s">
        <v>209</v>
      </c>
      <c r="DD38" s="0" t="s">
        <v>209</v>
      </c>
      <c r="DE38" s="0" t="s">
        <v>1572</v>
      </c>
      <c r="DF38" s="0" t="s">
        <v>525</v>
      </c>
      <c r="DG38" s="0" t="n">
        <v>40.741968</v>
      </c>
      <c r="DH38" s="0" t="n">
        <v>-73.985327</v>
      </c>
      <c r="DI38" s="0" t="s">
        <v>164</v>
      </c>
      <c r="DJ38" s="0" t="n">
        <v>0</v>
      </c>
      <c r="DK38" s="0" t="s">
        <v>1573</v>
      </c>
      <c r="DL38" s="0" t="s">
        <v>1574</v>
      </c>
      <c r="DM38" s="0" t="s">
        <v>1575</v>
      </c>
      <c r="DN38" s="0" t="s">
        <v>1576</v>
      </c>
      <c r="DO38" s="0" t="s">
        <v>363</v>
      </c>
      <c r="DP38" s="0" t="s">
        <v>1571</v>
      </c>
      <c r="DQ38" s="0" t="s">
        <v>263</v>
      </c>
      <c r="DS38" s="0" t="s">
        <v>217</v>
      </c>
      <c r="DU38" s="0" t="s">
        <v>189</v>
      </c>
      <c r="DX38" s="0" t="s">
        <v>209</v>
      </c>
      <c r="EA38" s="0" t="s">
        <v>209</v>
      </c>
      <c r="EB38" s="0" t="s">
        <v>189</v>
      </c>
      <c r="EC38" s="0" t="s">
        <v>655</v>
      </c>
      <c r="ED38" s="0" t="s">
        <v>1571</v>
      </c>
      <c r="EE38" s="0" t="s">
        <v>172</v>
      </c>
      <c r="EF38" s="0" t="n">
        <v>130</v>
      </c>
      <c r="EH38" s="0" t="s">
        <v>164</v>
      </c>
      <c r="EI38" s="0" t="s">
        <v>1577</v>
      </c>
      <c r="EJ38" s="0" t="s">
        <v>221</v>
      </c>
      <c r="EK38" s="0" t="n">
        <v>1</v>
      </c>
      <c r="EL38" s="0" t="n">
        <v>57</v>
      </c>
      <c r="EM38" s="0" t="n">
        <v>25</v>
      </c>
      <c r="EN38" s="0" t="n">
        <v>2</v>
      </c>
      <c r="EO38" s="0" t="n">
        <v>15</v>
      </c>
      <c r="EP38" s="0" t="n">
        <v>15</v>
      </c>
      <c r="EQ38" s="0" t="n">
        <f aca="false">IF($A38="","",IF(AH38="exact",10,IF(AH38="adjacent",5,0)))</f>
        <v>0</v>
      </c>
      <c r="ER38" s="0" t="n">
        <f aca="false">IF($A38="","",IF(R38="Y",15,0))</f>
        <v>0</v>
      </c>
      <c r="ES38" s="0" t="s">
        <v>982</v>
      </c>
      <c r="ET38" s="0" t="s">
        <v>983</v>
      </c>
      <c r="EU38" s="0" t="s">
        <v>189</v>
      </c>
      <c r="EV38" s="0" t="s">
        <v>1578</v>
      </c>
      <c r="EW38" s="0" t="s">
        <v>224</v>
      </c>
      <c r="EX38" s="0" t="s">
        <v>1579</v>
      </c>
      <c r="EZ38" s="0" t="s">
        <v>1580</v>
      </c>
      <c r="FS38" s="0" t="str">
        <f aca="false">IF($A38="","",IF(ISNUMBER(MATCH(U38,{"queued","contacted","replied","call_booked","call_done","yes_in_principle","materials_sent"},0)),"Y","N"))</f>
        <v>N</v>
      </c>
      <c r="FT38" s="0" t="str">
        <f aca="false">IF($A38="","",IF(OR(T38="Y",U38="do_not_contact",AS38&amp;""&lt;&gt;""),"Y","N"))</f>
        <v>N</v>
      </c>
      <c r="FU38" s="0" t="str">
        <f aca="false">IF($A38="","",IF(AP38&amp;""&lt;&gt;"",AP38&amp;"",$A38))</f>
        <v>AO-C-253</v>
      </c>
      <c r="FV38" s="0" t="str">
        <f aca="false">IF($A38="","",IF(COUNTIFS($FU$2:$FU$1000,FU38,$FS$2:$FS$1000,"Y")+COUNTIFS($FU$2:$FU$1000,FU38,$FT$2:$FT$1000,"Y")&gt;0,"Y","N"))</f>
        <v>N</v>
      </c>
      <c r="FW38" s="0" t="str">
        <f aca="false">IF($A38="","",IF(AND(U38="new",T38="N",FT38="N",AT38="Y",FV38="N"),"Y","N"))</f>
        <v>N</v>
      </c>
      <c r="FX38" s="0" t="str">
        <f aca="false">IF($A38="","",IF(FW38&lt;&gt;"Y","N",IF(COUNTIFS($FU$2:$FU$1000,FU38,$FW$2:$FW$1000,"Y",$J$2:$J$1000,"&gt;"&amp;J38)+COUNTIFS($FU$2:$FU$1000,FU38,$FW$2:$FW$1000,"Y",$J$2:$J$1000,J38,$GD$2:$GD$1000,"&lt;"&amp;GD38)=0,"Y","N")))</f>
        <v>N</v>
      </c>
      <c r="FY38" s="0" t="str">
        <f aca="false">IF($A38="","",IF(AND(FW38="Y",FX38="Y",Y38&amp;""&lt;&gt;""),IF(Y38&lt;=10,"Y","N"),"N"))</f>
        <v>N</v>
      </c>
      <c r="FZ38" s="0" t="str">
        <f aca="false">IF(FY38="Y",Y38,"")</f>
        <v/>
      </c>
      <c r="GA38" s="0" t="str">
        <f aca="false">IF($A38="","",IF(AND(I38="walk-in",CN38="pass",U38="new",FT38="N",FV38="N",AQ38&lt;&gt;"Y"),"Y","N"))</f>
        <v>N</v>
      </c>
      <c r="GB38" s="0" t="str">
        <f aca="false">IF(GA38&lt;&gt;"Y","",IF(COUNTIFS($GA$2:$GA$1000,"Y",$J$2:$J$1000,"&gt;"&amp;J38)+COUNTIFS($GA$2:$GA$1000,"Y",$J$2:$J$1000,J38,$GD$2:$GD$1000,"&lt;"&amp;GD38)+1&lt;=25,COUNTIFS($GA$2:$GA$1000,"Y",$J$2:$J$1000,"&gt;"&amp;J38)+COUNTIFS($GA$2:$GA$1000,"Y",$J$2:$J$1000,J38,$GD$2:$GD$1000,"&lt;"&amp;GD38)+1,""))</f>
        <v/>
      </c>
      <c r="GC38" s="0" t="str">
        <f aca="false">IF(AND(_xlfn.ISFORMULA(C38),_xlfn.ISFORMULA(J38)),"Y","N")</f>
        <v>N</v>
      </c>
      <c r="GD38" s="0" t="n">
        <f aca="false">ROW()-1</f>
        <v>37</v>
      </c>
    </row>
    <row r="39" customFormat="false" ht="15" hidden="false" customHeight="false" outlineLevel="0" collapsed="false">
      <c r="A39" s="0" t="s">
        <v>1581</v>
      </c>
      <c r="B39" s="0" t="s">
        <v>1582</v>
      </c>
      <c r="C39" s="0" t="s">
        <v>1583</v>
      </c>
      <c r="D39" s="0" t="s">
        <v>1584</v>
      </c>
      <c r="E39" s="0" t="s">
        <v>901</v>
      </c>
      <c r="F39" s="0" t="s">
        <v>1585</v>
      </c>
      <c r="G39" s="0" t="s">
        <v>164</v>
      </c>
      <c r="H39" s="0" t="s">
        <v>1586</v>
      </c>
      <c r="I39" s="0" t="s">
        <v>1587</v>
      </c>
      <c r="J39" s="0" t="s">
        <v>772</v>
      </c>
      <c r="L39" s="0" t="s">
        <v>168</v>
      </c>
      <c r="M39" s="0" t="s">
        <v>283</v>
      </c>
      <c r="N39" s="0" t="s">
        <v>284</v>
      </c>
      <c r="O39" s="0" t="s">
        <v>1588</v>
      </c>
      <c r="P39" s="0" t="s">
        <v>172</v>
      </c>
      <c r="Q39" s="0" t="s">
        <v>1589</v>
      </c>
      <c r="R39" s="5" t="s">
        <v>1590</v>
      </c>
      <c r="S39" s="0" t="s">
        <v>1591</v>
      </c>
      <c r="U39" s="5" t="s">
        <v>176</v>
      </c>
      <c r="V39" s="0" t="s">
        <v>283</v>
      </c>
      <c r="W39" s="0" t="s">
        <v>284</v>
      </c>
      <c r="X39" s="0" t="s">
        <v>1592</v>
      </c>
      <c r="Y39" s="0" t="s">
        <v>172</v>
      </c>
      <c r="Z39" s="0" t="s">
        <v>1593</v>
      </c>
      <c r="AA39" s="0" t="s">
        <v>1594</v>
      </c>
      <c r="AB39" s="0" t="s">
        <v>1595</v>
      </c>
      <c r="AC39" s="0" t="s">
        <v>352</v>
      </c>
      <c r="AE39" s="0" t="s">
        <v>381</v>
      </c>
      <c r="AF39" s="0" t="s">
        <v>325</v>
      </c>
      <c r="AG39" s="0" t="s">
        <v>1596</v>
      </c>
      <c r="AH39" s="0" t="s">
        <v>1597</v>
      </c>
      <c r="AI39" s="0" t="s">
        <v>1598</v>
      </c>
      <c r="AJ39" s="0" t="s">
        <v>189</v>
      </c>
      <c r="AK39" s="0" t="s">
        <v>203</v>
      </c>
      <c r="AL39" s="0" t="s">
        <v>164</v>
      </c>
      <c r="AM39" s="0" t="n">
        <v>138</v>
      </c>
      <c r="AN39" s="0" t="s">
        <v>187</v>
      </c>
      <c r="AO39" s="0" t="s">
        <v>209</v>
      </c>
      <c r="AP39" s="0" t="s">
        <v>1122</v>
      </c>
      <c r="AQ39" s="5" t="s">
        <v>189</v>
      </c>
      <c r="AT39" s="0" t="str">
        <f aca="false">IF($A39="","",IF(AND(CN39="pass",AQ39&lt;&gt;"Y",C39&lt;&gt;"",OR(AX39&lt;&gt;"Y",AV39="Y")),"Y","N"))</f>
        <v>Y</v>
      </c>
      <c r="AU39" s="0" t="str">
        <f aca="false">IF($A39="","",_xlfn.TEXTJOIN("; ",TRUE(),IF(CN39&lt;&gt;"pass","gated out",""),IF(AQ39="Y","on hold: "&amp;AR39,""),IF(C39="","no contact named on an opened page",""),IF(AND(AX39="Y",AV39&lt;&gt;"Y"),"Tuesday estimate band "&amp;L39&amp;": founder's call","")))</f>
        <v/>
      </c>
      <c r="AX39" s="0" t="s">
        <v>189</v>
      </c>
      <c r="AY39" s="0" t="s">
        <v>955</v>
      </c>
      <c r="AZ39" s="0" t="s">
        <v>1128</v>
      </c>
      <c r="BA39" s="0" t="s">
        <v>1129</v>
      </c>
      <c r="BC39" s="0" t="str">
        <f aca="false">IF($A39="","",IFERROR(INDEX(Enrichment!$A$2:$GZ$2000,MATCH($A39,INDEX(Enrichment!$A$2:$GZ$2000,0,MATCH("row_id",Enrichment!$A$1:$GZ$1,0)),0),MATCH("work_email",Enrichment!$A$1:$GZ$1,0))&amp;"",""))</f>
        <v/>
      </c>
      <c r="BD39" s="0" t="str">
        <f aca="false">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none</v>
      </c>
      <c r="BE39" s="0" t="s">
        <v>168</v>
      </c>
      <c r="BF39" s="0" t="s">
        <v>283</v>
      </c>
      <c r="BG39" s="0" t="s">
        <v>284</v>
      </c>
      <c r="BH39" s="0" t="s">
        <v>1130</v>
      </c>
      <c r="BI39" s="0" t="s">
        <v>172</v>
      </c>
      <c r="BJ39" s="0" t="s">
        <v>190</v>
      </c>
      <c r="BK39" s="0" t="s">
        <v>1599</v>
      </c>
      <c r="BL39" s="0" t="s">
        <v>1600</v>
      </c>
      <c r="BM39" s="0" t="s">
        <v>698</v>
      </c>
      <c r="BN39" s="0" t="s">
        <v>1131</v>
      </c>
      <c r="BO39" s="0" t="s">
        <v>1132</v>
      </c>
      <c r="BQ39" s="0" t="str">
        <f aca="false">IF($A39="","",IFERROR(INDEX(Enrichment!$A$2:$GZ$2000,MATCH($A39,INDEX(Enrichment!$A$2:$GZ$2000,0,MATCH("row_id",Enrichment!$A$1:$GZ$1,0)),0),MATCH("backup_work_email",Enrichment!$A$1:$GZ$1,0))&amp;"",""))</f>
        <v/>
      </c>
      <c r="BR39" s="0" t="str">
        <f aca="false">IF($A39="","",IF(BQ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none</v>
      </c>
      <c r="BS39" s="0" t="s">
        <v>176</v>
      </c>
      <c r="BT39" s="0" t="s">
        <v>283</v>
      </c>
      <c r="BU39" s="0" t="s">
        <v>284</v>
      </c>
      <c r="BV39" s="0" t="s">
        <v>1133</v>
      </c>
      <c r="BW39" s="0" t="s">
        <v>172</v>
      </c>
      <c r="BX39" s="0" t="s">
        <v>301</v>
      </c>
      <c r="BY39" s="0" t="s">
        <v>1601</v>
      </c>
      <c r="BZ39" s="0" t="s">
        <v>1602</v>
      </c>
      <c r="CA39" s="0" t="s">
        <v>1603</v>
      </c>
      <c r="CB39" s="0" t="s">
        <v>196</v>
      </c>
      <c r="CC39" s="0" t="s">
        <v>1604</v>
      </c>
      <c r="CD39" s="0" t="s">
        <v>1605</v>
      </c>
      <c r="CE39" s="0" t="s">
        <v>1606</v>
      </c>
      <c r="CF39" s="0" t="s">
        <v>352</v>
      </c>
      <c r="CH39" s="0" t="s">
        <v>1134</v>
      </c>
      <c r="CI39" s="0" t="s">
        <v>1135</v>
      </c>
      <c r="CJ39" s="0" t="s">
        <v>1136</v>
      </c>
      <c r="CK39" s="0" t="s">
        <v>352</v>
      </c>
      <c r="CM39" s="0" t="s">
        <v>164</v>
      </c>
      <c r="CN39" s="0" t="s">
        <v>200</v>
      </c>
      <c r="CO39" s="0" t="s">
        <v>201</v>
      </c>
      <c r="CP39" s="0" t="s">
        <v>1</v>
      </c>
      <c r="CQ39" s="0" t="s">
        <v>1607</v>
      </c>
      <c r="CR39" s="0" t="s">
        <v>1124</v>
      </c>
      <c r="CS39" s="0" t="s">
        <v>1137</v>
      </c>
      <c r="CT39" s="0" t="s">
        <v>1138</v>
      </c>
      <c r="CV39" s="0" t="s">
        <v>976</v>
      </c>
      <c r="CW39" s="0" t="s">
        <v>204</v>
      </c>
      <c r="CX39" s="0" t="s">
        <v>205</v>
      </c>
      <c r="CY39" s="0" t="s">
        <v>1608</v>
      </c>
      <c r="DA39" s="0" t="s">
        <v>978</v>
      </c>
      <c r="DB39" s="0" t="s">
        <v>259</v>
      </c>
      <c r="DC39" s="0" t="s">
        <v>164</v>
      </c>
      <c r="DD39" s="0" t="s">
        <v>209</v>
      </c>
      <c r="DE39" s="0" t="s">
        <v>1139</v>
      </c>
      <c r="DF39" s="0" t="s">
        <v>210</v>
      </c>
      <c r="DG39" s="0" t="n">
        <v>40.73686</v>
      </c>
      <c r="DH39" s="0" t="n">
        <v>-73.988546</v>
      </c>
      <c r="DI39" s="0" t="s">
        <v>164</v>
      </c>
      <c r="DJ39" s="0" t="n">
        <v>0</v>
      </c>
      <c r="DK39" s="0" t="s">
        <v>260</v>
      </c>
      <c r="DL39" s="0" t="s">
        <v>261</v>
      </c>
      <c r="DM39" s="0" t="s">
        <v>264</v>
      </c>
      <c r="DN39" s="0" t="s">
        <v>265</v>
      </c>
      <c r="DO39" s="0" t="s">
        <v>443</v>
      </c>
      <c r="DR39" s="0" t="s">
        <v>266</v>
      </c>
      <c r="DS39" s="0" t="s">
        <v>809</v>
      </c>
      <c r="DU39" s="0" t="s">
        <v>189</v>
      </c>
      <c r="DX39" s="0" t="s">
        <v>267</v>
      </c>
      <c r="DY39" s="0" t="s">
        <v>268</v>
      </c>
      <c r="EA39" s="0" t="s">
        <v>209</v>
      </c>
      <c r="EB39" s="0" t="s">
        <v>189</v>
      </c>
      <c r="EC39" s="0" t="s">
        <v>209</v>
      </c>
      <c r="EF39" s="0" t="n">
        <v>98</v>
      </c>
      <c r="EH39" s="0" t="s">
        <v>164</v>
      </c>
      <c r="EI39" s="0" t="s">
        <v>1609</v>
      </c>
      <c r="EJ39" s="0" t="s">
        <v>221</v>
      </c>
      <c r="EK39" s="0" t="n">
        <v>1</v>
      </c>
      <c r="EL39" s="0" t="n">
        <v>56</v>
      </c>
      <c r="EM39" s="0" t="n">
        <v>25</v>
      </c>
      <c r="EN39" s="0" t="n">
        <v>2</v>
      </c>
      <c r="EO39" s="0" t="n">
        <v>6</v>
      </c>
      <c r="EP39" s="0" t="n">
        <v>13</v>
      </c>
      <c r="EQ39" s="0" t="n">
        <f aca="false">IF($A39="","",IF(AH39="exact",10,IF(AH39="adjacent",5,0)))</f>
        <v>0</v>
      </c>
      <c r="ER39" s="0" t="n">
        <f aca="false">IF($A39="","",IF(R39="Y",15,0))</f>
        <v>0</v>
      </c>
      <c r="ES39" s="0" t="s">
        <v>982</v>
      </c>
      <c r="ET39" s="0" t="s">
        <v>983</v>
      </c>
      <c r="EU39" s="0" t="s">
        <v>189</v>
      </c>
      <c r="EV39" s="0" t="s">
        <v>1610</v>
      </c>
      <c r="EW39" s="0" t="s">
        <v>224</v>
      </c>
      <c r="EX39" s="0" t="s">
        <v>1611</v>
      </c>
      <c r="EZ39" s="0" t="s">
        <v>1612</v>
      </c>
      <c r="FS39" s="0" t="str">
        <f aca="false">IF($A39="","",IF(ISNUMBER(MATCH(U39,{"queued","contacted","replied","call_booked","call_done","yes_in_principle","materials_sent"},0)),"Y","N"))</f>
        <v>N</v>
      </c>
      <c r="FT39" s="0" t="str">
        <f aca="false">IF($A39="","",IF(OR(T39="Y",U39="do_not_contact",AS39&amp;""&lt;&gt;""),"Y","N"))</f>
        <v>N</v>
      </c>
      <c r="FU39" s="0" t="str">
        <f aca="false">IF($A39="","",IF(AP39&amp;""&lt;&gt;"",AP39&amp;"",$A39))</f>
        <v>AO-C-196</v>
      </c>
      <c r="FV39" s="0" t="str">
        <f aca="false">IF($A39="","",IF(COUNTIFS($FU$2:$FU$1000,FU39,$FS$2:$FS$1000,"Y")+COUNTIFS($FU$2:$FU$1000,FU39,$FT$2:$FT$1000,"Y")&gt;0,"Y","N"))</f>
        <v>N</v>
      </c>
      <c r="FW39" s="0" t="str">
        <f aca="false">IF($A39="","",IF(AND(U39="new",T39="N",FT39="N",AT39="Y",FV39="N"),"Y","N"))</f>
        <v>N</v>
      </c>
      <c r="FX39" s="0" t="str">
        <f aca="false">IF($A39="","",IF(FW39&lt;&gt;"Y","N",IF(COUNTIFS($FU$2:$FU$1000,FU39,$FW$2:$FW$1000,"Y",$J$2:$J$1000,"&gt;"&amp;J39)+COUNTIFS($FU$2:$FU$1000,FU39,$FW$2:$FW$1000,"Y",$J$2:$J$1000,J39,$GD$2:$GD$1000,"&lt;"&amp;GD39)=0,"Y","N")))</f>
        <v>N</v>
      </c>
      <c r="FY39" s="0" t="str">
        <f aca="false">IF($A39="","",IF(AND(FW39="Y",FX39="Y",Y39&amp;""&lt;&gt;""),IF(Y39&lt;=10,"Y","N"),"N"))</f>
        <v>N</v>
      </c>
      <c r="FZ39" s="0" t="str">
        <f aca="false">IF(FY39="Y",Y39,"")</f>
        <v/>
      </c>
      <c r="GA39" s="0" t="str">
        <f aca="false">IF($A39="","",IF(AND(I39="walk-in",CN39="pass",U39="new",FT39="N",FV39="N",AQ39&lt;&gt;"Y"),"Y","N"))</f>
        <v>N</v>
      </c>
      <c r="GB39" s="0" t="str">
        <f aca="false">IF(GA39&lt;&gt;"Y","",IF(COUNTIFS($GA$2:$GA$1000,"Y",$J$2:$J$1000,"&gt;"&amp;J39)+COUNTIFS($GA$2:$GA$1000,"Y",$J$2:$J$1000,J39,$GD$2:$GD$1000,"&lt;"&amp;GD39)+1&lt;=25,COUNTIFS($GA$2:$GA$1000,"Y",$J$2:$J$1000,"&gt;"&amp;J39)+COUNTIFS($GA$2:$GA$1000,"Y",$J$2:$J$1000,J39,$GD$2:$GD$1000,"&lt;"&amp;GD39)+1,""))</f>
        <v/>
      </c>
      <c r="GC39" s="0" t="str">
        <f aca="false">IF(AND(_xlfn.ISFORMULA(C39),_xlfn.ISFORMULA(J39)),"Y","N")</f>
        <v>N</v>
      </c>
      <c r="GD39" s="0" t="n">
        <f aca="false">ROW()-1</f>
        <v>38</v>
      </c>
    </row>
    <row r="40" customFormat="false" ht="15" hidden="false" customHeight="false" outlineLevel="0" collapsed="false">
      <c r="A40" s="0" t="s">
        <v>739</v>
      </c>
      <c r="B40" s="0" t="s">
        <v>1613</v>
      </c>
      <c r="C40" s="0" t="s">
        <v>750</v>
      </c>
      <c r="D40" s="0" t="s">
        <v>1614</v>
      </c>
      <c r="E40" s="0" t="s">
        <v>294</v>
      </c>
      <c r="F40" s="0" t="s">
        <v>1615</v>
      </c>
      <c r="G40" s="0" t="s">
        <v>189</v>
      </c>
      <c r="L40" s="0" t="s">
        <v>168</v>
      </c>
      <c r="M40" s="0" t="s">
        <v>740</v>
      </c>
      <c r="N40" s="0" t="s">
        <v>741</v>
      </c>
      <c r="O40" s="0" t="s">
        <v>742</v>
      </c>
      <c r="P40" s="0" t="s">
        <v>172</v>
      </c>
      <c r="R40" s="5"/>
      <c r="U40" s="5"/>
      <c r="V40" s="0" t="s">
        <v>380</v>
      </c>
      <c r="AE40" s="0" t="s">
        <v>1616</v>
      </c>
      <c r="AF40" s="0" t="s">
        <v>231</v>
      </c>
      <c r="AG40" s="0" t="s">
        <v>751</v>
      </c>
      <c r="AH40" s="0" t="s">
        <v>752</v>
      </c>
      <c r="AI40" s="0" t="s">
        <v>209</v>
      </c>
      <c r="AJ40" s="0" t="s">
        <v>164</v>
      </c>
      <c r="AK40" s="0" t="s">
        <v>186</v>
      </c>
      <c r="AL40" s="0" t="s">
        <v>164</v>
      </c>
      <c r="AM40" s="0" t="n">
        <v>85</v>
      </c>
      <c r="AN40" s="0" t="s">
        <v>187</v>
      </c>
      <c r="AO40" s="0" t="s">
        <v>188</v>
      </c>
      <c r="AP40" s="0" t="s">
        <v>1617</v>
      </c>
      <c r="AQ40" s="5" t="s">
        <v>164</v>
      </c>
      <c r="AR40" s="0" t="s">
        <v>779</v>
      </c>
      <c r="AT40" s="0" t="str">
        <f aca="false">IF($A40="","",IF(AND(CN40="pass",AQ40&lt;&gt;"Y",C40&lt;&gt;"",OR(AX40&lt;&gt;"Y",AV40="Y")),"Y","N"))</f>
        <v>N</v>
      </c>
      <c r="AU40" s="0" t="str">
        <f aca="false">IF($A40="","",_xlfn.TEXTJOIN("; ",TRUE(),IF(CN40&lt;&gt;"pass","gated out",""),IF(AQ40="Y","on hold: "&amp;AR40,""),IF(C40="","no contact named on an opened page",""),IF(AND(AX40="Y",AV40&lt;&gt;"Y"),"Tuesday estimate band "&amp;L40&amp;": founder's call","")))</f>
        <v>on hold: lease signed, move not confirmed: check the lobby directory before outreach (B)</v>
      </c>
      <c r="AX40" s="0" t="s">
        <v>189</v>
      </c>
      <c r="BC40" s="0" t="str">
        <f aca="false">IF($A40="","",IFERROR(INDEX(Enrichment!$A$2:$GZ$2000,MATCH($A40,INDEX(Enrichment!$A$2:$GZ$2000,0,MATCH("row_id",Enrichment!$A$1:$GZ$1,0)),0),MATCH("work_email",Enrichment!$A$1:$GZ$1,0))&amp;"",""))</f>
        <v/>
      </c>
      <c r="BD40" s="0" t="str">
        <f aca="false">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none</v>
      </c>
      <c r="BF40" s="0" t="s">
        <v>380</v>
      </c>
      <c r="BJ40" s="0" t="s">
        <v>380</v>
      </c>
      <c r="BK40" s="0" t="s">
        <v>743</v>
      </c>
      <c r="BL40" s="0" t="s">
        <v>896</v>
      </c>
      <c r="BQ40" s="0" t="str">
        <f aca="false">IF($A40="","",IFERROR(INDEX(Enrichment!$A$2:$GZ$2000,MATCH($A40,INDEX(Enrichment!$A$2:$GZ$2000,0,MATCH("row_id",Enrichment!$A$1:$GZ$1,0)),0),MATCH("backup_work_email",Enrichment!$A$1:$GZ$1,0))&amp;"",""))</f>
        <v/>
      </c>
      <c r="BR40" s="0" t="str">
        <f aca="false">IF($A40="","",IF(BQ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none</v>
      </c>
      <c r="BT40" s="0" t="s">
        <v>380</v>
      </c>
      <c r="BX40" s="0" t="s">
        <v>380</v>
      </c>
      <c r="BY40" s="0" t="s">
        <v>387</v>
      </c>
      <c r="BZ40" s="0" t="s">
        <v>388</v>
      </c>
      <c r="CA40" s="0" t="s">
        <v>1618</v>
      </c>
      <c r="CB40" s="0" t="s">
        <v>746</v>
      </c>
      <c r="CM40" s="0" t="s">
        <v>189</v>
      </c>
      <c r="CN40" s="0" t="s">
        <v>200</v>
      </c>
      <c r="CO40" s="0" t="s">
        <v>201</v>
      </c>
      <c r="CP40" s="0" t="s">
        <v>1</v>
      </c>
      <c r="CQ40" s="0" t="s">
        <v>1619</v>
      </c>
      <c r="CR40" s="0" t="s">
        <v>1620</v>
      </c>
      <c r="CS40" s="0" t="s">
        <v>1621</v>
      </c>
      <c r="CT40" s="0" t="s">
        <v>1622</v>
      </c>
      <c r="CU40" s="0" t="s">
        <v>1623</v>
      </c>
      <c r="CV40" s="0" t="s">
        <v>355</v>
      </c>
      <c r="CW40" s="0" t="s">
        <v>204</v>
      </c>
      <c r="CX40" s="0" t="s">
        <v>356</v>
      </c>
      <c r="CY40" s="0" t="s">
        <v>1624</v>
      </c>
      <c r="CZ40" s="0" t="s">
        <v>1625</v>
      </c>
      <c r="DA40" s="0" t="s">
        <v>207</v>
      </c>
      <c r="DB40" s="0" t="s">
        <v>208</v>
      </c>
      <c r="DC40" s="0" t="s">
        <v>189</v>
      </c>
      <c r="DD40" s="0" t="s">
        <v>1626</v>
      </c>
      <c r="DE40" s="0" t="s">
        <v>1627</v>
      </c>
      <c r="DF40" s="0" t="s">
        <v>397</v>
      </c>
      <c r="DG40" s="0" t="n">
        <v>40.736981</v>
      </c>
      <c r="DH40" s="0" t="n">
        <v>-73.993144</v>
      </c>
      <c r="DI40" s="0" t="s">
        <v>164</v>
      </c>
      <c r="DJ40" s="0" t="n">
        <v>0</v>
      </c>
      <c r="DK40" s="0" t="s">
        <v>1628</v>
      </c>
      <c r="DL40" s="0" t="s">
        <v>1629</v>
      </c>
      <c r="DM40" s="0" t="s">
        <v>1630</v>
      </c>
      <c r="DN40" s="0" t="s">
        <v>1153</v>
      </c>
      <c r="DO40" s="0" t="s">
        <v>363</v>
      </c>
      <c r="DS40" s="0" t="s">
        <v>809</v>
      </c>
      <c r="DT40" s="0" t="s">
        <v>209</v>
      </c>
      <c r="DU40" s="0" t="s">
        <v>189</v>
      </c>
      <c r="DX40" s="0" t="s">
        <v>209</v>
      </c>
      <c r="EA40" s="0" t="s">
        <v>209</v>
      </c>
      <c r="EB40" s="0" t="s">
        <v>189</v>
      </c>
      <c r="EC40" s="0" t="s">
        <v>1631</v>
      </c>
      <c r="ED40" s="0" t="s">
        <v>1632</v>
      </c>
      <c r="EE40" s="0" t="s">
        <v>172</v>
      </c>
      <c r="EF40" s="0" t="n">
        <v>60</v>
      </c>
      <c r="EH40" s="0" t="s">
        <v>164</v>
      </c>
      <c r="EI40" s="0" t="s">
        <v>1633</v>
      </c>
      <c r="EJ40" s="0" t="s">
        <v>221</v>
      </c>
      <c r="EK40" s="0" t="n">
        <v>1</v>
      </c>
      <c r="EL40" s="0" t="n">
        <v>56</v>
      </c>
      <c r="EM40" s="0" t="n">
        <v>25</v>
      </c>
      <c r="EN40" s="0" t="n">
        <v>11</v>
      </c>
      <c r="EO40" s="0" t="n">
        <v>15</v>
      </c>
      <c r="EP40" s="0" t="n">
        <v>5</v>
      </c>
      <c r="EQ40" s="0" t="n">
        <f aca="false">IF($A40="","",IF(AH40="exact",10,IF(AH40="adjacent",5,0)))</f>
        <v>0</v>
      </c>
      <c r="ER40" s="0" t="n">
        <f aca="false">IF($A40="","",IF(R40="Y",15,0))</f>
        <v>0</v>
      </c>
      <c r="ES40" s="0" t="s">
        <v>222</v>
      </c>
      <c r="EV40" s="0" t="s">
        <v>1634</v>
      </c>
      <c r="EW40" s="0" t="s">
        <v>224</v>
      </c>
      <c r="EX40" s="0" t="s">
        <v>1635</v>
      </c>
      <c r="EZ40" s="0" t="s">
        <v>1636</v>
      </c>
      <c r="FS40" s="0" t="str">
        <f aca="false">IF($A40="","",IF(ISNUMBER(MATCH(U40,{"queued","contacted","replied","call_booked","call_done","yes_in_principle","materials_sent"},0)),"Y","N"))</f>
        <v>N</v>
      </c>
      <c r="FT40" s="0" t="str">
        <f aca="false">IF($A40="","",IF(OR(T40="Y",U40="do_not_contact",AS40&amp;""&lt;&gt;""),"Y","N"))</f>
        <v>N</v>
      </c>
      <c r="FU40" s="0" t="str">
        <f aca="false">IF($A40="","",IF(AP40&amp;""&lt;&gt;"",AP40&amp;"",$A40))</f>
        <v>AO-C-017</v>
      </c>
      <c r="FV40" s="0" t="str">
        <f aca="false">IF($A40="","",IF(COUNTIFS($FU$2:$FU$1000,FU40,$FS$2:$FS$1000,"Y")+COUNTIFS($FU$2:$FU$1000,FU40,$FT$2:$FT$1000,"Y")&gt;0,"Y","N"))</f>
        <v>N</v>
      </c>
      <c r="FW40" s="0" t="str">
        <f aca="false">IF($A40="","",IF(AND(U40="new",T40="N",FT40="N",AT40="Y",FV40="N"),"Y","N"))</f>
        <v>N</v>
      </c>
      <c r="FX40" s="0" t="str">
        <f aca="false">IF($A40="","",IF(FW40&lt;&gt;"Y","N",IF(COUNTIFS($FU$2:$FU$1000,FU40,$FW$2:$FW$1000,"Y",$J$2:$J$1000,"&gt;"&amp;J40)+COUNTIFS($FU$2:$FU$1000,FU40,$FW$2:$FW$1000,"Y",$J$2:$J$1000,J40,$GD$2:$GD$1000,"&lt;"&amp;GD40)=0,"Y","N")))</f>
        <v>N</v>
      </c>
      <c r="FY40" s="0" t="str">
        <f aca="false">IF($A40="","",IF(AND(FW40="Y",FX40="Y",Y40&amp;""&lt;&gt;""),IF(Y40&lt;=10,"Y","N"),"N"))</f>
        <v>N</v>
      </c>
      <c r="FZ40" s="0" t="str">
        <f aca="false">IF(FY40="Y",Y40,"")</f>
        <v/>
      </c>
      <c r="GA40" s="0" t="str">
        <f aca="false">IF($A40="","",IF(AND(I40="walk-in",CN40="pass",U40="new",FT40="N",FV40="N",AQ40&lt;&gt;"Y"),"Y","N"))</f>
        <v>N</v>
      </c>
      <c r="GB40" s="0" t="str">
        <f aca="false">IF(GA40&lt;&gt;"Y","",IF(COUNTIFS($GA$2:$GA$1000,"Y",$J$2:$J$1000,"&gt;"&amp;J40)+COUNTIFS($GA$2:$GA$1000,"Y",$J$2:$J$1000,J40,$GD$2:$GD$1000,"&lt;"&amp;GD40)+1&lt;=25,COUNTIFS($GA$2:$GA$1000,"Y",$J$2:$J$1000,"&gt;"&amp;J40)+COUNTIFS($GA$2:$GA$1000,"Y",$J$2:$J$1000,J40,$GD$2:$GD$1000,"&lt;"&amp;GD40)+1,""))</f>
        <v/>
      </c>
      <c r="GC40" s="0" t="str">
        <f aca="false">IF(AND(_xlfn.ISFORMULA(C40),_xlfn.ISFORMULA(J40)),"Y","N")</f>
        <v>N</v>
      </c>
      <c r="GD40" s="0" t="n">
        <f aca="false">ROW()-1</f>
        <v>39</v>
      </c>
    </row>
    <row r="41" customFormat="false" ht="15" hidden="false" customHeight="false" outlineLevel="0" collapsed="false">
      <c r="A41" s="0" t="s">
        <v>778</v>
      </c>
      <c r="B41" s="0" t="s">
        <v>1637</v>
      </c>
      <c r="C41" s="0" t="s">
        <v>798</v>
      </c>
      <c r="D41" s="0" t="s">
        <v>1638</v>
      </c>
      <c r="E41" s="0" t="s">
        <v>246</v>
      </c>
      <c r="F41" s="0" t="s">
        <v>1639</v>
      </c>
      <c r="G41" s="0" t="s">
        <v>189</v>
      </c>
      <c r="H41" s="0" t="s">
        <v>780</v>
      </c>
      <c r="I41" s="0" t="s">
        <v>781</v>
      </c>
      <c r="J41" s="0" t="s">
        <v>782</v>
      </c>
      <c r="L41" s="0" t="s">
        <v>168</v>
      </c>
      <c r="M41" s="0" t="s">
        <v>283</v>
      </c>
      <c r="N41" s="0" t="s">
        <v>284</v>
      </c>
      <c r="O41" s="0" t="s">
        <v>783</v>
      </c>
      <c r="P41" s="0" t="s">
        <v>172</v>
      </c>
      <c r="Q41" s="0" t="s">
        <v>786</v>
      </c>
      <c r="R41" s="5" t="s">
        <v>787</v>
      </c>
      <c r="S41" s="0" t="s">
        <v>782</v>
      </c>
      <c r="U41" s="5" t="s">
        <v>176</v>
      </c>
      <c r="V41" s="0" t="s">
        <v>283</v>
      </c>
      <c r="W41" s="0" t="s">
        <v>284</v>
      </c>
      <c r="X41" s="0" t="s">
        <v>788</v>
      </c>
      <c r="Y41" s="0" t="s">
        <v>172</v>
      </c>
      <c r="Z41" s="0" t="s">
        <v>794</v>
      </c>
      <c r="AA41" s="0" t="s">
        <v>795</v>
      </c>
      <c r="AB41" s="0" t="s">
        <v>796</v>
      </c>
      <c r="AC41" s="0" t="s">
        <v>352</v>
      </c>
      <c r="AE41" s="0" t="s">
        <v>594</v>
      </c>
      <c r="AF41" s="0" t="s">
        <v>279</v>
      </c>
      <c r="AG41" s="0" t="s">
        <v>799</v>
      </c>
      <c r="AH41" s="0" t="s">
        <v>800</v>
      </c>
      <c r="AI41" s="0" t="s">
        <v>804</v>
      </c>
      <c r="AJ41" s="0" t="s">
        <v>164</v>
      </c>
      <c r="AK41" s="0" t="s">
        <v>186</v>
      </c>
      <c r="AL41" s="0" t="s">
        <v>164</v>
      </c>
      <c r="AM41" s="0" t="n">
        <v>231</v>
      </c>
      <c r="AN41" s="0" t="s">
        <v>187</v>
      </c>
      <c r="AO41" s="0" t="s">
        <v>188</v>
      </c>
      <c r="AP41" s="0" t="s">
        <v>1640</v>
      </c>
      <c r="AQ41" s="5" t="s">
        <v>189</v>
      </c>
      <c r="AT41" s="0" t="str">
        <f aca="false">IF($A41="","",IF(AND(CN41="pass",AQ41&lt;&gt;"Y",C41&lt;&gt;"",OR(AX41&lt;&gt;"Y",AV41="Y")),"Y","N"))</f>
        <v>Y</v>
      </c>
      <c r="AU41" s="0" t="str">
        <f aca="false">IF($A41="","",_xlfn.TEXTJOIN("; ",TRUE(),IF(CN41&lt;&gt;"pass","gated out",""),IF(AQ41="Y","on hold: "&amp;AR41,""),IF(C41="","no contact named on an opened page",""),IF(AND(AX41="Y",AV41&lt;&gt;"Y"),"Tuesday estimate band "&amp;L41&amp;": founder's call","")))</f>
        <v/>
      </c>
      <c r="AX41" s="0" t="s">
        <v>189</v>
      </c>
      <c r="BC41" s="0" t="str">
        <f aca="false">IF($A41="","",IFERROR(INDEX(Enrichment!$A$2:$GZ$2000,MATCH($A41,INDEX(Enrichment!$A$2:$GZ$2000,0,MATCH("row_id",Enrichment!$A$1:$GZ$1,0)),0),MATCH("work_email",Enrichment!$A$1:$GZ$1,0))&amp;"",""))</f>
        <v/>
      </c>
      <c r="BD41" s="0" t="str">
        <f aca="false">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none</v>
      </c>
      <c r="BF41" s="0" t="s">
        <v>380</v>
      </c>
      <c r="BJ41" s="0" t="s">
        <v>380</v>
      </c>
      <c r="BK41" s="0" t="s">
        <v>743</v>
      </c>
      <c r="BL41" s="0" t="s">
        <v>837</v>
      </c>
      <c r="BQ41" s="0" t="str">
        <f aca="false">IF($A41="","",IFERROR(INDEX(Enrichment!$A$2:$GZ$2000,MATCH($A41,INDEX(Enrichment!$A$2:$GZ$2000,0,MATCH("row_id",Enrichment!$A$1:$GZ$1,0)),0),MATCH("backup_work_email",Enrichment!$A$1:$GZ$1,0))&amp;"",""))</f>
        <v/>
      </c>
      <c r="BR41" s="0" t="str">
        <f aca="false">IF($A41="","",IF(BQ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none</v>
      </c>
      <c r="BT41" s="0" t="s">
        <v>380</v>
      </c>
      <c r="BX41" s="0" t="s">
        <v>380</v>
      </c>
      <c r="BY41" s="0" t="s">
        <v>387</v>
      </c>
      <c r="BZ41" s="0" t="s">
        <v>388</v>
      </c>
      <c r="CA41" s="0" t="s">
        <v>1641</v>
      </c>
      <c r="CB41" s="0" t="s">
        <v>746</v>
      </c>
      <c r="CM41" s="0" t="s">
        <v>164</v>
      </c>
      <c r="CN41" s="0" t="s">
        <v>200</v>
      </c>
      <c r="CO41" s="0" t="s">
        <v>201</v>
      </c>
      <c r="CP41" s="0" t="s">
        <v>1</v>
      </c>
      <c r="CQ41" s="0" t="s">
        <v>1642</v>
      </c>
      <c r="CR41" s="0" t="s">
        <v>1643</v>
      </c>
      <c r="CS41" s="0" t="s">
        <v>1644</v>
      </c>
      <c r="CT41" s="0" t="s">
        <v>1645</v>
      </c>
      <c r="CU41" s="0" t="s">
        <v>1646</v>
      </c>
      <c r="CV41" s="0" t="s">
        <v>355</v>
      </c>
      <c r="CW41" s="0" t="s">
        <v>204</v>
      </c>
      <c r="CX41" s="0" t="s">
        <v>356</v>
      </c>
      <c r="CY41" s="0" t="s">
        <v>1647</v>
      </c>
      <c r="CZ41" s="0" t="s">
        <v>1648</v>
      </c>
      <c r="DA41" s="0" t="s">
        <v>207</v>
      </c>
      <c r="DB41" s="0" t="s">
        <v>259</v>
      </c>
      <c r="DC41" s="0" t="s">
        <v>164</v>
      </c>
      <c r="DD41" s="0" t="s">
        <v>1649</v>
      </c>
      <c r="DE41" s="0" t="s">
        <v>1650</v>
      </c>
      <c r="DF41" s="0" t="s">
        <v>397</v>
      </c>
      <c r="DG41" s="0" t="n">
        <v>40.739487</v>
      </c>
      <c r="DH41" s="0" t="n">
        <v>-73.99283</v>
      </c>
      <c r="DI41" s="0" t="s">
        <v>164</v>
      </c>
      <c r="DJ41" s="0" t="n">
        <v>0</v>
      </c>
      <c r="DK41" s="0" t="s">
        <v>1651</v>
      </c>
      <c r="DL41" s="0" t="s">
        <v>1652</v>
      </c>
      <c r="DM41" s="0" t="s">
        <v>1653</v>
      </c>
      <c r="DN41" s="0" t="s">
        <v>263</v>
      </c>
      <c r="DO41" s="0" t="s">
        <v>651</v>
      </c>
      <c r="DP41" s="0" t="s">
        <v>1654</v>
      </c>
      <c r="DQ41" s="0" t="s">
        <v>1655</v>
      </c>
      <c r="DS41" s="0" t="s">
        <v>187</v>
      </c>
      <c r="DU41" s="0" t="s">
        <v>189</v>
      </c>
      <c r="DX41" s="0" t="s">
        <v>209</v>
      </c>
      <c r="EA41" s="0" t="s">
        <v>209</v>
      </c>
      <c r="EB41" s="0" t="s">
        <v>189</v>
      </c>
      <c r="EC41" s="0" t="s">
        <v>1656</v>
      </c>
      <c r="ED41" s="0" t="s">
        <v>1653</v>
      </c>
      <c r="EE41" s="0" t="s">
        <v>172</v>
      </c>
      <c r="EF41" s="0" t="n">
        <v>149</v>
      </c>
      <c r="EH41" s="0" t="s">
        <v>189</v>
      </c>
      <c r="EI41" s="0" t="s">
        <v>1657</v>
      </c>
      <c r="EJ41" s="0" t="s">
        <v>221</v>
      </c>
      <c r="EK41" s="0" t="n">
        <v>1</v>
      </c>
      <c r="EL41" s="0" t="n">
        <v>56</v>
      </c>
      <c r="EM41" s="0" t="n">
        <v>25</v>
      </c>
      <c r="EN41" s="0" t="n">
        <v>11</v>
      </c>
      <c r="EO41" s="0" t="n">
        <v>15</v>
      </c>
      <c r="EP41" s="0" t="n">
        <v>5</v>
      </c>
      <c r="EQ41" s="0" t="n">
        <f aca="false">IF($A41="","",IF(AH41="exact",10,IF(AH41="adjacent",5,0)))</f>
        <v>0</v>
      </c>
      <c r="ER41" s="0" t="n">
        <f aca="false">IF($A41="","",IF(R41="Y",15,0))</f>
        <v>0</v>
      </c>
      <c r="ES41" s="0" t="s">
        <v>222</v>
      </c>
      <c r="EV41" s="0" t="s">
        <v>1658</v>
      </c>
      <c r="EW41" s="0" t="s">
        <v>224</v>
      </c>
      <c r="EX41" s="0" t="s">
        <v>1659</v>
      </c>
      <c r="EZ41" s="0" t="s">
        <v>1660</v>
      </c>
      <c r="FS41" s="0" t="str">
        <f aca="false">IF($A41="","",IF(ISNUMBER(MATCH(U41,{"queued","contacted","replied","call_booked","call_done","yes_in_principle","materials_sent"},0)),"Y","N"))</f>
        <v>N</v>
      </c>
      <c r="FT41" s="0" t="str">
        <f aca="false">IF($A41="","",IF(OR(T41="Y",U41="do_not_contact",AS41&amp;""&lt;&gt;""),"Y","N"))</f>
        <v>N</v>
      </c>
      <c r="FU41" s="0" t="str">
        <f aca="false">IF($A41="","",IF(AP41&amp;""&lt;&gt;"",AP41&amp;"",$A41))</f>
        <v>AO-C-051</v>
      </c>
      <c r="FV41" s="0" t="str">
        <f aca="false">IF($A41="","",IF(COUNTIFS($FU$2:$FU$1000,FU41,$FS$2:$FS$1000,"Y")+COUNTIFS($FU$2:$FU$1000,FU41,$FT$2:$FT$1000,"Y")&gt;0,"Y","N"))</f>
        <v>N</v>
      </c>
      <c r="FW41" s="0" t="str">
        <f aca="false">IF($A41="","",IF(AND(U41="new",T41="N",FT41="N",AT41="Y",FV41="N"),"Y","N"))</f>
        <v>N</v>
      </c>
      <c r="FX41" s="0" t="str">
        <f aca="false">IF($A41="","",IF(FW41&lt;&gt;"Y","N",IF(COUNTIFS($FU$2:$FU$1000,FU41,$FW$2:$FW$1000,"Y",$J$2:$J$1000,"&gt;"&amp;J41)+COUNTIFS($FU$2:$FU$1000,FU41,$FW$2:$FW$1000,"Y",$J$2:$J$1000,J41,$GD$2:$GD$1000,"&lt;"&amp;GD41)=0,"Y","N")))</f>
        <v>N</v>
      </c>
      <c r="FY41" s="0" t="str">
        <f aca="false">IF($A41="","",IF(AND(FW41="Y",FX41="Y",Y41&amp;""&lt;&gt;""),IF(Y41&lt;=10,"Y","N"),"N"))</f>
        <v>N</v>
      </c>
      <c r="FZ41" s="0" t="str">
        <f aca="false">IF(FY41="Y",Y41,"")</f>
        <v/>
      </c>
      <c r="GA41" s="0" t="str">
        <f aca="false">IF($A41="","",IF(AND(I41="walk-in",CN41="pass",U41="new",FT41="N",FV41="N",AQ41&lt;&gt;"Y"),"Y","N"))</f>
        <v>N</v>
      </c>
      <c r="GB41" s="0" t="str">
        <f aca="false">IF(GA41&lt;&gt;"Y","",IF(COUNTIFS($GA$2:$GA$1000,"Y",$J$2:$J$1000,"&gt;"&amp;J41)+COUNTIFS($GA$2:$GA$1000,"Y",$J$2:$J$1000,J41,$GD$2:$GD$1000,"&lt;"&amp;GD41)+1&lt;=25,COUNTIFS($GA$2:$GA$1000,"Y",$J$2:$J$1000,"&gt;"&amp;J41)+COUNTIFS($GA$2:$GA$1000,"Y",$J$2:$J$1000,J41,$GD$2:$GD$1000,"&lt;"&amp;GD41)+1,""))</f>
        <v/>
      </c>
      <c r="GC41" s="0" t="str">
        <f aca="false">IF(AND(_xlfn.ISFORMULA(C41),_xlfn.ISFORMULA(J41)),"Y","N")</f>
        <v>N</v>
      </c>
      <c r="GD41" s="0" t="n">
        <f aca="false">ROW()-1</f>
        <v>40</v>
      </c>
    </row>
    <row r="42" customFormat="false" ht="15" hidden="false" customHeight="false" outlineLevel="0" collapsed="false">
      <c r="A42" s="0" t="s">
        <v>836</v>
      </c>
      <c r="B42" s="0" t="s">
        <v>1661</v>
      </c>
      <c r="C42" s="0" t="s">
        <v>840</v>
      </c>
      <c r="D42" s="0" t="s">
        <v>1662</v>
      </c>
      <c r="E42" s="0" t="s">
        <v>468</v>
      </c>
      <c r="F42" s="0" t="s">
        <v>1663</v>
      </c>
      <c r="G42" s="0" t="s">
        <v>189</v>
      </c>
      <c r="M42" s="0" t="s">
        <v>380</v>
      </c>
      <c r="R42" s="5"/>
      <c r="U42" s="5"/>
      <c r="V42" s="0" t="s">
        <v>380</v>
      </c>
      <c r="AE42" s="0" t="s">
        <v>1664</v>
      </c>
      <c r="AF42" s="0" t="s">
        <v>209</v>
      </c>
      <c r="AG42" s="0" t="s">
        <v>841</v>
      </c>
      <c r="AH42" s="0" t="s">
        <v>842</v>
      </c>
      <c r="AI42" s="0" t="s">
        <v>846</v>
      </c>
      <c r="AJ42" s="0" t="s">
        <v>164</v>
      </c>
      <c r="AK42" s="0" t="s">
        <v>298</v>
      </c>
      <c r="AL42" s="0" t="s">
        <v>164</v>
      </c>
      <c r="AM42" s="0" t="n">
        <v>272</v>
      </c>
      <c r="AN42" s="0" t="s">
        <v>187</v>
      </c>
      <c r="AO42" s="0" t="s">
        <v>512</v>
      </c>
      <c r="AP42" s="0" t="s">
        <v>1159</v>
      </c>
      <c r="AQ42" s="5" t="s">
        <v>189</v>
      </c>
      <c r="AT42" s="0" t="str">
        <f aca="false">IF($A42="","",IF(AND(CN42="pass",AQ42&lt;&gt;"Y",C42&lt;&gt;"",OR(AX42&lt;&gt;"Y",AV42="Y")),"Y","N"))</f>
        <v>Y</v>
      </c>
      <c r="AU42" s="0" t="str">
        <f aca="false">IF($A42="","",_xlfn.TEXTJOIN("; ",TRUE(),IF(CN42&lt;&gt;"pass","gated out",""),IF(AQ42="Y","on hold: "&amp;AR42,""),IF(C42="","no contact named on an opened page",""),IF(AND(AX42="Y",AV42&lt;&gt;"Y"),"Tuesday estimate band "&amp;L42&amp;": founder's call","")))</f>
        <v/>
      </c>
      <c r="AX42" s="0" t="s">
        <v>189</v>
      </c>
      <c r="AY42" s="0" t="s">
        <v>1165</v>
      </c>
      <c r="AZ42" s="0" t="s">
        <v>1166</v>
      </c>
      <c r="BA42" s="0" t="s">
        <v>1167</v>
      </c>
      <c r="BC42" s="0" t="str">
        <f aca="false">IF($A42="","",IFERROR(INDEX(Enrichment!$A$2:$GZ$2000,MATCH($A42,INDEX(Enrichment!$A$2:$GZ$2000,0,MATCH("row_id",Enrichment!$A$1:$GZ$1,0)),0),MATCH("work_email",Enrichment!$A$1:$GZ$1,0))&amp;"",""))</f>
        <v/>
      </c>
      <c r="BD42" s="0" t="str">
        <f aca="false">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none</v>
      </c>
      <c r="BE42" s="0" t="s">
        <v>168</v>
      </c>
      <c r="BF42" s="0" t="s">
        <v>283</v>
      </c>
      <c r="BG42" s="0" t="s">
        <v>284</v>
      </c>
      <c r="BH42" s="0" t="s">
        <v>1168</v>
      </c>
      <c r="BI42" s="0" t="s">
        <v>172</v>
      </c>
      <c r="BJ42" s="0" t="s">
        <v>301</v>
      </c>
      <c r="BK42" s="0" t="s">
        <v>1665</v>
      </c>
      <c r="BL42" s="0" t="s">
        <v>1666</v>
      </c>
      <c r="BM42" s="0" t="s">
        <v>1169</v>
      </c>
      <c r="BN42" s="0" t="s">
        <v>1170</v>
      </c>
      <c r="BO42" s="0" t="s">
        <v>1171</v>
      </c>
      <c r="BQ42" s="0" t="str">
        <f aca="false">IF($A42="","",IFERROR(INDEX(Enrichment!$A$2:$GZ$2000,MATCH($A42,INDEX(Enrichment!$A$2:$GZ$2000,0,MATCH("row_id",Enrichment!$A$1:$GZ$1,0)),0),MATCH("backup_work_email",Enrichment!$A$1:$GZ$1,0))&amp;"",""))</f>
        <v/>
      </c>
      <c r="BR42" s="0" t="str">
        <f aca="false">IF($A42="","",IF(BQ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none</v>
      </c>
      <c r="BS42" s="0" t="s">
        <v>176</v>
      </c>
      <c r="BT42" s="0" t="s">
        <v>283</v>
      </c>
      <c r="BU42" s="0" t="s">
        <v>284</v>
      </c>
      <c r="BV42" s="0" t="s">
        <v>1172</v>
      </c>
      <c r="BW42" s="0" t="s">
        <v>172</v>
      </c>
      <c r="BX42" s="0" t="s">
        <v>301</v>
      </c>
      <c r="BY42" s="0" t="s">
        <v>1667</v>
      </c>
      <c r="BZ42" s="0" t="s">
        <v>1668</v>
      </c>
      <c r="CA42" s="0" t="s">
        <v>1669</v>
      </c>
      <c r="CB42" s="0" t="s">
        <v>196</v>
      </c>
      <c r="CC42" s="0" t="s">
        <v>1670</v>
      </c>
      <c r="CD42" s="0" t="s">
        <v>1671</v>
      </c>
      <c r="CE42" s="0" t="s">
        <v>1672</v>
      </c>
      <c r="CF42" s="0" t="s">
        <v>352</v>
      </c>
      <c r="CH42" s="0" t="s">
        <v>1173</v>
      </c>
      <c r="CI42" s="0" t="s">
        <v>1174</v>
      </c>
      <c r="CJ42" s="0" t="s">
        <v>1175</v>
      </c>
      <c r="CK42" s="0" t="s">
        <v>352</v>
      </c>
      <c r="CM42" s="0" t="s">
        <v>164</v>
      </c>
      <c r="CN42" s="0" t="s">
        <v>200</v>
      </c>
      <c r="CO42" s="0" t="s">
        <v>201</v>
      </c>
      <c r="CP42" s="0" t="s">
        <v>1</v>
      </c>
      <c r="CQ42" s="0" t="s">
        <v>1673</v>
      </c>
      <c r="CR42" s="0" t="s">
        <v>1161</v>
      </c>
      <c r="CS42" s="0" t="s">
        <v>1177</v>
      </c>
      <c r="CT42" s="0" t="s">
        <v>1178</v>
      </c>
      <c r="CV42" s="0" t="s">
        <v>976</v>
      </c>
      <c r="CW42" s="0" t="s">
        <v>204</v>
      </c>
      <c r="CX42" s="0" t="s">
        <v>205</v>
      </c>
      <c r="CY42" s="0" t="s">
        <v>1674</v>
      </c>
      <c r="DA42" s="0" t="s">
        <v>1351</v>
      </c>
      <c r="DB42" s="0" t="s">
        <v>1675</v>
      </c>
      <c r="DC42" s="0" t="s">
        <v>189</v>
      </c>
      <c r="DD42" s="0" t="s">
        <v>209</v>
      </c>
      <c r="DE42" s="0" t="s">
        <v>1179</v>
      </c>
      <c r="DF42" s="0" t="s">
        <v>525</v>
      </c>
      <c r="DG42" s="0" t="n">
        <v>40.742654</v>
      </c>
      <c r="DH42" s="0" t="n">
        <v>-73.991559</v>
      </c>
      <c r="DI42" s="0" t="s">
        <v>164</v>
      </c>
      <c r="DJ42" s="0" t="n">
        <v>0</v>
      </c>
      <c r="DK42" s="0" t="s">
        <v>1114</v>
      </c>
      <c r="DL42" s="0" t="s">
        <v>1115</v>
      </c>
      <c r="DM42" s="0" t="s">
        <v>1676</v>
      </c>
      <c r="DN42" s="0" t="s">
        <v>1677</v>
      </c>
      <c r="DO42" s="0" t="s">
        <v>363</v>
      </c>
      <c r="DP42" s="0" t="s">
        <v>1678</v>
      </c>
      <c r="DQ42" s="0" t="s">
        <v>1679</v>
      </c>
      <c r="DS42" s="0" t="s">
        <v>217</v>
      </c>
      <c r="DU42" s="0" t="s">
        <v>189</v>
      </c>
      <c r="DX42" s="0" t="s">
        <v>267</v>
      </c>
      <c r="DY42" s="0" t="s">
        <v>1117</v>
      </c>
      <c r="EA42" s="0" t="s">
        <v>209</v>
      </c>
      <c r="EB42" s="0" t="s">
        <v>189</v>
      </c>
      <c r="EC42" s="0" t="s">
        <v>1680</v>
      </c>
      <c r="ED42" s="0" t="s">
        <v>1674</v>
      </c>
      <c r="EE42" s="0" t="s">
        <v>172</v>
      </c>
      <c r="EF42" s="0" t="n">
        <v>192</v>
      </c>
      <c r="EG42" s="0" t="s">
        <v>366</v>
      </c>
      <c r="EH42" s="0" t="s">
        <v>164</v>
      </c>
      <c r="EI42" s="0" t="s">
        <v>1681</v>
      </c>
      <c r="EJ42" s="0" t="s">
        <v>221</v>
      </c>
      <c r="EK42" s="0" t="n">
        <v>0.88</v>
      </c>
      <c r="EL42" s="0" t="n">
        <v>55</v>
      </c>
      <c r="EM42" s="0" t="n">
        <v>22</v>
      </c>
      <c r="EN42" s="0" t="n">
        <v>6</v>
      </c>
      <c r="EO42" s="0" t="n">
        <v>7</v>
      </c>
      <c r="EP42" s="0" t="n">
        <v>15</v>
      </c>
      <c r="EQ42" s="0" t="n">
        <f aca="false">IF($A42="","",IF(AH42="exact",10,IF(AH42="adjacent",5,0)))</f>
        <v>0</v>
      </c>
      <c r="ER42" s="0" t="n">
        <f aca="false">IF($A42="","",IF(R42="Y",15,0))</f>
        <v>0</v>
      </c>
      <c r="ES42" s="0" t="s">
        <v>982</v>
      </c>
      <c r="ET42" s="0" t="s">
        <v>1360</v>
      </c>
      <c r="EU42" s="0" t="s">
        <v>189</v>
      </c>
      <c r="EV42" s="0" t="s">
        <v>1682</v>
      </c>
      <c r="EW42" s="0" t="s">
        <v>224</v>
      </c>
      <c r="EX42" s="0" t="s">
        <v>1683</v>
      </c>
      <c r="EZ42" s="0" t="s">
        <v>1684</v>
      </c>
      <c r="FS42" s="0" t="str">
        <f aca="false">IF($A42="","",IF(ISNUMBER(MATCH(U42,{"queued","contacted","replied","call_booked","call_done","yes_in_principle","materials_sent"},0)),"Y","N"))</f>
        <v>N</v>
      </c>
      <c r="FT42" s="0" t="str">
        <f aca="false">IF($A42="","",IF(OR(T42="Y",U42="do_not_contact",AS42&amp;""&lt;&gt;""),"Y","N"))</f>
        <v>N</v>
      </c>
      <c r="FU42" s="0" t="str">
        <f aca="false">IF($A42="","",IF(AP42&amp;""&lt;&gt;"",AP42&amp;"",$A42))</f>
        <v>AO-C-228</v>
      </c>
      <c r="FV42" s="0" t="str">
        <f aca="false">IF($A42="","",IF(COUNTIFS($FU$2:$FU$1000,FU42,$FS$2:$FS$1000,"Y")+COUNTIFS($FU$2:$FU$1000,FU42,$FT$2:$FT$1000,"Y")&gt;0,"Y","N"))</f>
        <v>N</v>
      </c>
      <c r="FW42" s="0" t="str">
        <f aca="false">IF($A42="","",IF(AND(U42="new",T42="N",FT42="N",AT42="Y",FV42="N"),"Y","N"))</f>
        <v>N</v>
      </c>
      <c r="FX42" s="0" t="str">
        <f aca="false">IF($A42="","",IF(FW42&lt;&gt;"Y","N",IF(COUNTIFS($FU$2:$FU$1000,FU42,$FW$2:$FW$1000,"Y",$J$2:$J$1000,"&gt;"&amp;J42)+COUNTIFS($FU$2:$FU$1000,FU42,$FW$2:$FW$1000,"Y",$J$2:$J$1000,J42,$GD$2:$GD$1000,"&lt;"&amp;GD42)=0,"Y","N")))</f>
        <v>N</v>
      </c>
      <c r="FY42" s="0" t="str">
        <f aca="false">IF($A42="","",IF(AND(FW42="Y",FX42="Y",Y42&amp;""&lt;&gt;""),IF(Y42&lt;=10,"Y","N"),"N"))</f>
        <v>N</v>
      </c>
      <c r="FZ42" s="0" t="str">
        <f aca="false">IF(FY42="Y",Y42,"")</f>
        <v/>
      </c>
      <c r="GA42" s="0" t="str">
        <f aca="false">IF($A42="","",IF(AND(I42="walk-in",CN42="pass",U42="new",FT42="N",FV42="N",AQ42&lt;&gt;"Y"),"Y","N"))</f>
        <v>N</v>
      </c>
      <c r="GB42" s="0" t="str">
        <f aca="false">IF(GA42&lt;&gt;"Y","",IF(COUNTIFS($GA$2:$GA$1000,"Y",$J$2:$J$1000,"&gt;"&amp;J42)+COUNTIFS($GA$2:$GA$1000,"Y",$J$2:$J$1000,J42,$GD$2:$GD$1000,"&lt;"&amp;GD42)+1&lt;=25,COUNTIFS($GA$2:$GA$1000,"Y",$J$2:$J$1000,"&gt;"&amp;J42)+COUNTIFS($GA$2:$GA$1000,"Y",$J$2:$J$1000,J42,$GD$2:$GD$1000,"&lt;"&amp;GD42)+1,""))</f>
        <v/>
      </c>
      <c r="GC42" s="0" t="str">
        <f aca="false">IF(AND(_xlfn.ISFORMULA(C42),_xlfn.ISFORMULA(J42)),"Y","N")</f>
        <v>N</v>
      </c>
      <c r="GD42" s="0" t="n">
        <f aca="false">ROW()-1</f>
        <v>41</v>
      </c>
    </row>
    <row r="43" customFormat="false" ht="15" hidden="false" customHeight="false" outlineLevel="0" collapsed="false">
      <c r="A43" s="0" t="s">
        <v>868</v>
      </c>
      <c r="B43" s="0" t="s">
        <v>1685</v>
      </c>
      <c r="C43" s="0" t="s">
        <v>871</v>
      </c>
      <c r="D43" s="0" t="s">
        <v>1686</v>
      </c>
      <c r="E43" s="0" t="s">
        <v>833</v>
      </c>
      <c r="F43" s="0" t="s">
        <v>1687</v>
      </c>
      <c r="G43" s="0" t="s">
        <v>189</v>
      </c>
      <c r="M43" s="0" t="s">
        <v>380</v>
      </c>
      <c r="R43" s="5"/>
      <c r="U43" s="5"/>
      <c r="V43" s="0" t="s">
        <v>380</v>
      </c>
      <c r="AE43" s="0" t="s">
        <v>245</v>
      </c>
      <c r="AF43" s="0" t="s">
        <v>1688</v>
      </c>
      <c r="AG43" s="0" t="s">
        <v>872</v>
      </c>
      <c r="AH43" s="0" t="s">
        <v>873</v>
      </c>
      <c r="AI43" s="0" t="s">
        <v>877</v>
      </c>
      <c r="AJ43" s="0" t="s">
        <v>164</v>
      </c>
      <c r="AK43" s="0" t="s">
        <v>298</v>
      </c>
      <c r="AL43" s="0" t="s">
        <v>164</v>
      </c>
      <c r="AM43" s="0" t="n">
        <v>272</v>
      </c>
      <c r="AN43" s="0" t="s">
        <v>187</v>
      </c>
      <c r="AO43" s="0" t="s">
        <v>512</v>
      </c>
      <c r="AP43" s="0" t="s">
        <v>1200</v>
      </c>
      <c r="AQ43" s="5" t="s">
        <v>189</v>
      </c>
      <c r="AT43" s="0" t="str">
        <f aca="false">IF($A43="","",IF(AND(CN43="pass",AQ43&lt;&gt;"Y",C43&lt;&gt;"",OR(AX43&lt;&gt;"Y",AV43="Y")),"Y","N"))</f>
        <v>Y</v>
      </c>
      <c r="AU43" s="0" t="str">
        <f aca="false">IF($A43="","",_xlfn.TEXTJOIN("; ",TRUE(),IF(CN43&lt;&gt;"pass","gated out",""),IF(AQ43="Y","on hold: "&amp;AR43,""),IF(C43="","no contact named on an opened page",""),IF(AND(AX43="Y",AV43&lt;&gt;"Y"),"Tuesday estimate band "&amp;L43&amp;": founder's call","")))</f>
        <v/>
      </c>
      <c r="AX43" s="0" t="s">
        <v>189</v>
      </c>
      <c r="AY43" s="0" t="s">
        <v>1206</v>
      </c>
      <c r="AZ43" s="0" t="s">
        <v>1207</v>
      </c>
      <c r="BA43" s="0" t="s">
        <v>1208</v>
      </c>
      <c r="BC43" s="0" t="str">
        <f aca="false">IF($A43="","",IFERROR(INDEX(Enrichment!$A$2:$GZ$2000,MATCH($A43,INDEX(Enrichment!$A$2:$GZ$2000,0,MATCH("row_id",Enrichment!$A$1:$GZ$1,0)),0),MATCH("work_email",Enrichment!$A$1:$GZ$1,0))&amp;"",""))</f>
        <v/>
      </c>
      <c r="BD43" s="0" t="str">
        <f aca="false">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none</v>
      </c>
      <c r="BE43" s="0" t="s">
        <v>168</v>
      </c>
      <c r="BF43" s="0" t="s">
        <v>283</v>
      </c>
      <c r="BG43" s="0" t="s">
        <v>284</v>
      </c>
      <c r="BH43" s="0" t="s">
        <v>1209</v>
      </c>
      <c r="BI43" s="0" t="s">
        <v>172</v>
      </c>
      <c r="BJ43" s="0" t="s">
        <v>301</v>
      </c>
      <c r="BK43" s="0" t="s">
        <v>1689</v>
      </c>
      <c r="BL43" s="0" t="s">
        <v>1690</v>
      </c>
      <c r="BM43" s="0" t="s">
        <v>1210</v>
      </c>
      <c r="BN43" s="0" t="s">
        <v>1211</v>
      </c>
      <c r="BO43" s="0" t="s">
        <v>420</v>
      </c>
      <c r="BQ43" s="0" t="str">
        <f aca="false">IF($A43="","",IFERROR(INDEX(Enrichment!$A$2:$GZ$2000,MATCH($A43,INDEX(Enrichment!$A$2:$GZ$2000,0,MATCH("row_id",Enrichment!$A$1:$GZ$1,0)),0),MATCH("backup_work_email",Enrichment!$A$1:$GZ$1,0))&amp;"",""))</f>
        <v/>
      </c>
      <c r="BR43" s="0" t="str">
        <f aca="false">IF($A43="","",IF(BQ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none</v>
      </c>
      <c r="BS43" s="0" t="s">
        <v>176</v>
      </c>
      <c r="BT43" s="0" t="s">
        <v>283</v>
      </c>
      <c r="BU43" s="0" t="s">
        <v>284</v>
      </c>
      <c r="BV43" s="0" t="s">
        <v>1212</v>
      </c>
      <c r="BW43" s="0" t="s">
        <v>172</v>
      </c>
      <c r="BX43" s="0" t="s">
        <v>301</v>
      </c>
      <c r="BY43" s="0" t="s">
        <v>1691</v>
      </c>
      <c r="BZ43" s="0" t="s">
        <v>433</v>
      </c>
      <c r="CA43" s="0" t="s">
        <v>1692</v>
      </c>
      <c r="CB43" s="0" t="s">
        <v>196</v>
      </c>
      <c r="CC43" s="0" t="s">
        <v>1693</v>
      </c>
      <c r="CD43" s="0" t="s">
        <v>1214</v>
      </c>
      <c r="CE43" s="0" t="s">
        <v>1694</v>
      </c>
      <c r="CF43" s="0" t="s">
        <v>352</v>
      </c>
      <c r="CH43" s="0" t="s">
        <v>1213</v>
      </c>
      <c r="CI43" s="0" t="s">
        <v>1214</v>
      </c>
      <c r="CJ43" s="0" t="s">
        <v>1215</v>
      </c>
      <c r="CK43" s="0" t="s">
        <v>352</v>
      </c>
      <c r="CM43" s="0" t="s">
        <v>164</v>
      </c>
      <c r="CN43" s="0" t="s">
        <v>200</v>
      </c>
      <c r="CO43" s="0" t="s">
        <v>201</v>
      </c>
      <c r="CP43" s="0" t="s">
        <v>1</v>
      </c>
      <c r="CQ43" s="0" t="s">
        <v>1695</v>
      </c>
      <c r="CR43" s="0" t="s">
        <v>1202</v>
      </c>
      <c r="CS43" s="0" t="s">
        <v>1217</v>
      </c>
      <c r="CT43" s="0" t="s">
        <v>1218</v>
      </c>
      <c r="CV43" s="0" t="s">
        <v>976</v>
      </c>
      <c r="CW43" s="0" t="s">
        <v>204</v>
      </c>
      <c r="CX43" s="0" t="s">
        <v>205</v>
      </c>
      <c r="CY43" s="0" t="s">
        <v>1696</v>
      </c>
      <c r="DA43" s="0" t="s">
        <v>1351</v>
      </c>
      <c r="DB43" s="0" t="s">
        <v>259</v>
      </c>
      <c r="DC43" s="0" t="s">
        <v>164</v>
      </c>
      <c r="DD43" s="0" t="s">
        <v>209</v>
      </c>
      <c r="DE43" s="0" t="s">
        <v>1219</v>
      </c>
      <c r="DF43" s="0" t="s">
        <v>311</v>
      </c>
      <c r="DG43" s="0" t="n">
        <v>40.743594</v>
      </c>
      <c r="DH43" s="0" t="n">
        <v>-73.985251</v>
      </c>
      <c r="DI43" s="0" t="s">
        <v>164</v>
      </c>
      <c r="DJ43" s="0" t="n">
        <v>0</v>
      </c>
      <c r="DL43" s="0" t="s">
        <v>209</v>
      </c>
      <c r="DM43" s="0" t="s">
        <v>1697</v>
      </c>
      <c r="DN43" s="0" t="s">
        <v>263</v>
      </c>
      <c r="DO43" s="0" t="s">
        <v>214</v>
      </c>
      <c r="DP43" s="0" t="s">
        <v>1698</v>
      </c>
      <c r="DQ43" s="0" t="s">
        <v>1699</v>
      </c>
      <c r="DS43" s="0" t="s">
        <v>217</v>
      </c>
      <c r="DU43" s="0" t="s">
        <v>189</v>
      </c>
      <c r="DX43" s="0" t="s">
        <v>209</v>
      </c>
      <c r="DZ43" s="0" t="s">
        <v>1700</v>
      </c>
      <c r="EA43" s="0" t="s">
        <v>209</v>
      </c>
      <c r="EB43" s="0" t="s">
        <v>189</v>
      </c>
      <c r="EC43" s="0" t="s">
        <v>1701</v>
      </c>
      <c r="ED43" s="0" t="s">
        <v>1696</v>
      </c>
      <c r="EE43" s="0" t="s">
        <v>172</v>
      </c>
      <c r="EF43" s="0" t="n">
        <v>206</v>
      </c>
      <c r="EG43" s="0" t="s">
        <v>366</v>
      </c>
      <c r="EH43" s="0" t="s">
        <v>164</v>
      </c>
      <c r="EI43" s="0" t="s">
        <v>1702</v>
      </c>
      <c r="EJ43" s="0" t="s">
        <v>221</v>
      </c>
      <c r="EK43" s="0" t="n">
        <v>0.85</v>
      </c>
      <c r="EL43" s="0" t="n">
        <v>54.2</v>
      </c>
      <c r="EM43" s="0" t="n">
        <v>21.2</v>
      </c>
      <c r="EN43" s="0" t="n">
        <v>6</v>
      </c>
      <c r="EO43" s="0" t="n">
        <v>7</v>
      </c>
      <c r="EP43" s="0" t="n">
        <v>15</v>
      </c>
      <c r="EQ43" s="0" t="n">
        <f aca="false">IF($A43="","",IF(AH43="exact",10,IF(AH43="adjacent",5,0)))</f>
        <v>0</v>
      </c>
      <c r="ER43" s="0" t="n">
        <f aca="false">IF($A43="","",IF(R43="Y",15,0))</f>
        <v>0</v>
      </c>
      <c r="ES43" s="0" t="s">
        <v>982</v>
      </c>
      <c r="ET43" s="0" t="s">
        <v>1360</v>
      </c>
      <c r="EU43" s="0" t="s">
        <v>189</v>
      </c>
      <c r="EV43" s="0" t="s">
        <v>1682</v>
      </c>
      <c r="EW43" s="0" t="s">
        <v>224</v>
      </c>
      <c r="EX43" s="0" t="s">
        <v>1703</v>
      </c>
      <c r="EZ43" s="0" t="s">
        <v>1704</v>
      </c>
      <c r="FS43" s="0" t="str">
        <f aca="false">IF($A43="","",IF(ISNUMBER(MATCH(U43,{"queued","contacted","replied","call_booked","call_done","yes_in_principle","materials_sent"},0)),"Y","N"))</f>
        <v>N</v>
      </c>
      <c r="FT43" s="0" t="str">
        <f aca="false">IF($A43="","",IF(OR(T43="Y",U43="do_not_contact",AS43&amp;""&lt;&gt;""),"Y","N"))</f>
        <v>N</v>
      </c>
      <c r="FU43" s="0" t="str">
        <f aca="false">IF($A43="","",IF(AP43&amp;""&lt;&gt;"",AP43&amp;"",$A43))</f>
        <v>AO-C-265</v>
      </c>
      <c r="FV43" s="0" t="str">
        <f aca="false">IF($A43="","",IF(COUNTIFS($FU$2:$FU$1000,FU43,$FS$2:$FS$1000,"Y")+COUNTIFS($FU$2:$FU$1000,FU43,$FT$2:$FT$1000,"Y")&gt;0,"Y","N"))</f>
        <v>N</v>
      </c>
      <c r="FW43" s="0" t="str">
        <f aca="false">IF($A43="","",IF(AND(U43="new",T43="N",FT43="N",AT43="Y",FV43="N"),"Y","N"))</f>
        <v>N</v>
      </c>
      <c r="FX43" s="0" t="str">
        <f aca="false">IF($A43="","",IF(FW43&lt;&gt;"Y","N",IF(COUNTIFS($FU$2:$FU$1000,FU43,$FW$2:$FW$1000,"Y",$J$2:$J$1000,"&gt;"&amp;J43)+COUNTIFS($FU$2:$FU$1000,FU43,$FW$2:$FW$1000,"Y",$J$2:$J$1000,J43,$GD$2:$GD$1000,"&lt;"&amp;GD43)=0,"Y","N")))</f>
        <v>N</v>
      </c>
      <c r="FY43" s="0" t="str">
        <f aca="false">IF($A43="","",IF(AND(FW43="Y",FX43="Y",Y43&amp;""&lt;&gt;""),IF(Y43&lt;=10,"Y","N"),"N"))</f>
        <v>N</v>
      </c>
      <c r="FZ43" s="0" t="str">
        <f aca="false">IF(FY43="Y",Y43,"")</f>
        <v/>
      </c>
      <c r="GA43" s="0" t="str">
        <f aca="false">IF($A43="","",IF(AND(I43="walk-in",CN43="pass",U43="new",FT43="N",FV43="N",AQ43&lt;&gt;"Y"),"Y","N"))</f>
        <v>N</v>
      </c>
      <c r="GB43" s="0" t="str">
        <f aca="false">IF(GA43&lt;&gt;"Y","",IF(COUNTIFS($GA$2:$GA$1000,"Y",$J$2:$J$1000,"&gt;"&amp;J43)+COUNTIFS($GA$2:$GA$1000,"Y",$J$2:$J$1000,J43,$GD$2:$GD$1000,"&lt;"&amp;GD43)+1&lt;=25,COUNTIFS($GA$2:$GA$1000,"Y",$J$2:$J$1000,"&gt;"&amp;J43)+COUNTIFS($GA$2:$GA$1000,"Y",$J$2:$J$1000,J43,$GD$2:$GD$1000,"&lt;"&amp;GD43)+1,""))</f>
        <v/>
      </c>
      <c r="GC43" s="0" t="str">
        <f aca="false">IF(AND(_xlfn.ISFORMULA(C43),_xlfn.ISFORMULA(J43)),"Y","N")</f>
        <v>N</v>
      </c>
      <c r="GD43" s="0" t="n">
        <f aca="false">ROW()-1</f>
        <v>42</v>
      </c>
    </row>
    <row r="44" customFormat="false" ht="15" hidden="false" customHeight="false" outlineLevel="0" collapsed="false">
      <c r="A44" s="0" t="s">
        <v>895</v>
      </c>
      <c r="B44" s="0" t="s">
        <v>1705</v>
      </c>
      <c r="C44" s="0" t="s">
        <v>899</v>
      </c>
      <c r="D44" s="0" t="s">
        <v>1706</v>
      </c>
      <c r="E44" s="0" t="s">
        <v>1688</v>
      </c>
      <c r="F44" s="0" t="s">
        <v>1687</v>
      </c>
      <c r="G44" s="0" t="s">
        <v>189</v>
      </c>
      <c r="M44" s="0" t="s">
        <v>380</v>
      </c>
      <c r="R44" s="5"/>
      <c r="U44" s="5"/>
      <c r="V44" s="0" t="s">
        <v>380</v>
      </c>
      <c r="AE44" s="0" t="s">
        <v>906</v>
      </c>
      <c r="AF44" s="0" t="s">
        <v>623</v>
      </c>
      <c r="AG44" s="0" t="s">
        <v>900</v>
      </c>
      <c r="AH44" s="0" t="s">
        <v>901</v>
      </c>
      <c r="AI44" s="0" t="s">
        <v>904</v>
      </c>
      <c r="AJ44" s="0" t="s">
        <v>164</v>
      </c>
      <c r="AK44" s="0" t="s">
        <v>298</v>
      </c>
      <c r="AL44" s="0" t="s">
        <v>189</v>
      </c>
      <c r="AM44" s="0" t="n">
        <v>50</v>
      </c>
      <c r="AN44" s="0" t="s">
        <v>809</v>
      </c>
      <c r="AO44" s="0" t="s">
        <v>209</v>
      </c>
      <c r="AP44" s="0" t="s">
        <v>1246</v>
      </c>
      <c r="AQ44" s="5" t="s">
        <v>189</v>
      </c>
      <c r="AT44" s="0" t="str">
        <f aca="false">IF($A44="","",IF(AND(CN44="pass",AQ44&lt;&gt;"Y",C44&lt;&gt;"",OR(AX44&lt;&gt;"Y",AV44="Y")),"Y","N"))</f>
        <v>Y</v>
      </c>
      <c r="AU44" s="0" t="str">
        <f aca="false">IF($A44="","",_xlfn.TEXTJOIN("; ",TRUE(),IF(CN44&lt;&gt;"pass","gated out",""),IF(AQ44="Y","on hold: "&amp;AR44,""),IF(C44="","no contact named on an opened page",""),IF(AND(AX44="Y",AV44&lt;&gt;"Y"),"Tuesday estimate band "&amp;L44&amp;": founder's call","")))</f>
        <v/>
      </c>
      <c r="AX44" s="0" t="s">
        <v>189</v>
      </c>
      <c r="AY44" s="0" t="s">
        <v>628</v>
      </c>
      <c r="AZ44" s="0" t="s">
        <v>1250</v>
      </c>
      <c r="BA44" s="0" t="s">
        <v>1251</v>
      </c>
      <c r="BC44" s="0" t="str">
        <f aca="false">IF($A44="","",IFERROR(INDEX(Enrichment!$A$2:$GZ$2000,MATCH($A44,INDEX(Enrichment!$A$2:$GZ$2000,0,MATCH("row_id",Enrichment!$A$1:$GZ$1,0)),0),MATCH("work_email",Enrichment!$A$1:$GZ$1,0))&amp;"",""))</f>
        <v/>
      </c>
      <c r="BD44" s="0" t="str">
        <f aca="false">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none</v>
      </c>
      <c r="BE44" s="0" t="s">
        <v>168</v>
      </c>
      <c r="BF44" s="0" t="s">
        <v>169</v>
      </c>
      <c r="BG44" s="0" t="s">
        <v>1252</v>
      </c>
      <c r="BH44" s="0" t="s">
        <v>1253</v>
      </c>
      <c r="BI44" s="0" t="s">
        <v>172</v>
      </c>
      <c r="BJ44" s="0" t="s">
        <v>301</v>
      </c>
      <c r="BK44" s="0" t="s">
        <v>1707</v>
      </c>
      <c r="BL44" s="0" t="s">
        <v>1708</v>
      </c>
      <c r="BM44" s="0" t="s">
        <v>1254</v>
      </c>
      <c r="BN44" s="0" t="s">
        <v>1255</v>
      </c>
      <c r="BO44" s="0" t="s">
        <v>1256</v>
      </c>
      <c r="BQ44" s="0" t="str">
        <f aca="false">IF($A44="","",IFERROR(INDEX(Enrichment!$A$2:$GZ$2000,MATCH($A44,INDEX(Enrichment!$A$2:$GZ$2000,0,MATCH("row_id",Enrichment!$A$1:$GZ$1,0)),0),MATCH("backup_work_email",Enrichment!$A$1:$GZ$1,0))&amp;"",""))</f>
        <v/>
      </c>
      <c r="BR44" s="0" t="str">
        <f aca="false">IF($A44="","",IF(BQ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none</v>
      </c>
      <c r="BS44" s="0" t="s">
        <v>176</v>
      </c>
      <c r="BT44" s="0" t="s">
        <v>169</v>
      </c>
      <c r="BU44" s="0" t="s">
        <v>1252</v>
      </c>
      <c r="BV44" s="0" t="s">
        <v>1257</v>
      </c>
      <c r="BW44" s="0" t="s">
        <v>172</v>
      </c>
      <c r="BX44" s="0" t="s">
        <v>301</v>
      </c>
      <c r="BY44" s="0" t="s">
        <v>1709</v>
      </c>
      <c r="BZ44" s="0" t="s">
        <v>1710</v>
      </c>
      <c r="CA44" s="0" t="s">
        <v>1711</v>
      </c>
      <c r="CB44" s="0" t="s">
        <v>196</v>
      </c>
      <c r="CC44" s="0" t="s">
        <v>1712</v>
      </c>
      <c r="CD44" s="0" t="s">
        <v>198</v>
      </c>
      <c r="CE44" s="0" t="s">
        <v>1713</v>
      </c>
      <c r="CF44" s="0" t="s">
        <v>180</v>
      </c>
      <c r="CH44" s="0" t="s">
        <v>1258</v>
      </c>
      <c r="CI44" s="0" t="s">
        <v>1259</v>
      </c>
      <c r="CJ44" s="0" t="s">
        <v>1260</v>
      </c>
      <c r="CK44" s="0" t="s">
        <v>180</v>
      </c>
      <c r="CM44" s="0" t="s">
        <v>164</v>
      </c>
      <c r="CN44" s="0" t="s">
        <v>200</v>
      </c>
      <c r="CO44" s="0" t="s">
        <v>201</v>
      </c>
      <c r="CP44" s="0" t="s">
        <v>1</v>
      </c>
      <c r="CQ44" s="0" t="s">
        <v>1714</v>
      </c>
      <c r="CR44" s="0" t="s">
        <v>209</v>
      </c>
      <c r="CS44" s="0" t="s">
        <v>1262</v>
      </c>
      <c r="CT44" s="0" t="s">
        <v>1263</v>
      </c>
      <c r="CV44" s="0" t="s">
        <v>298</v>
      </c>
      <c r="CW44" s="0" t="s">
        <v>1715</v>
      </c>
      <c r="CX44" s="0" t="s">
        <v>205</v>
      </c>
      <c r="CY44" s="0" t="s">
        <v>1257</v>
      </c>
      <c r="DA44" s="0" t="s">
        <v>209</v>
      </c>
      <c r="DB44" s="0" t="s">
        <v>209</v>
      </c>
      <c r="DC44" s="0" t="s">
        <v>209</v>
      </c>
      <c r="DD44" s="0" t="s">
        <v>209</v>
      </c>
      <c r="DE44" s="0" t="s">
        <v>209</v>
      </c>
      <c r="DF44" s="0" t="s">
        <v>525</v>
      </c>
      <c r="DG44" s="0" t="n">
        <v>40.739961</v>
      </c>
      <c r="DH44" s="0" t="n">
        <v>-73.990971</v>
      </c>
      <c r="DI44" s="0" t="s">
        <v>164</v>
      </c>
      <c r="DJ44" s="0" t="n">
        <v>0</v>
      </c>
      <c r="DK44" s="0" t="s">
        <v>1716</v>
      </c>
      <c r="DL44" s="0" t="s">
        <v>1717</v>
      </c>
      <c r="DM44" s="0" t="s">
        <v>1257</v>
      </c>
      <c r="DN44" s="0" t="s">
        <v>1259</v>
      </c>
      <c r="DO44" s="0" t="s">
        <v>363</v>
      </c>
      <c r="DS44" s="0" t="s">
        <v>187</v>
      </c>
      <c r="DU44" s="0" t="s">
        <v>189</v>
      </c>
      <c r="DX44" s="0" t="s">
        <v>209</v>
      </c>
      <c r="EA44" s="0" t="s">
        <v>209</v>
      </c>
      <c r="EB44" s="0" t="s">
        <v>189</v>
      </c>
      <c r="EC44" s="0" t="s">
        <v>209</v>
      </c>
      <c r="EF44" s="0" t="n">
        <v>50</v>
      </c>
      <c r="EH44" s="0" t="s">
        <v>189</v>
      </c>
      <c r="EI44" s="0" t="s">
        <v>1718</v>
      </c>
      <c r="EJ44" s="0" t="s">
        <v>221</v>
      </c>
      <c r="EK44" s="0" t="n">
        <v>1</v>
      </c>
      <c r="EL44" s="0" t="n">
        <v>54</v>
      </c>
      <c r="EM44" s="0" t="n">
        <v>30</v>
      </c>
      <c r="EN44" s="0" t="n">
        <v>8</v>
      </c>
      <c r="EO44" s="0" t="n">
        <v>6</v>
      </c>
      <c r="EP44" s="0" t="n">
        <v>5</v>
      </c>
      <c r="EQ44" s="0" t="n">
        <f aca="false">IF($A44="","",IF(AH44="exact",10,IF(AH44="adjacent",5,0)))</f>
        <v>0</v>
      </c>
      <c r="ER44" s="0" t="n">
        <f aca="false">IF($A44="","",IF(R44="Y",15,0))</f>
        <v>0</v>
      </c>
      <c r="ES44" s="0" t="s">
        <v>222</v>
      </c>
      <c r="EV44" s="0" t="s">
        <v>1719</v>
      </c>
      <c r="EW44" s="0" t="s">
        <v>224</v>
      </c>
      <c r="EX44" s="0" t="s">
        <v>1720</v>
      </c>
      <c r="FS44" s="0" t="str">
        <f aca="false">IF($A44="","",IF(ISNUMBER(MATCH(U44,{"queued","contacted","replied","call_booked","call_done","yes_in_principle","materials_sent"},0)),"Y","N"))</f>
        <v>N</v>
      </c>
      <c r="FT44" s="0" t="str">
        <f aca="false">IF($A44="","",IF(OR(T44="Y",U44="do_not_contact",AS44&amp;""&lt;&gt;""),"Y","N"))</f>
        <v>N</v>
      </c>
      <c r="FU44" s="0" t="str">
        <f aca="false">IF($A44="","",IF(AP44&amp;""&lt;&gt;"",AP44&amp;"",$A44))</f>
        <v>AO-C-059</v>
      </c>
      <c r="FV44" s="0" t="str">
        <f aca="false">IF($A44="","",IF(COUNTIFS($FU$2:$FU$1000,FU44,$FS$2:$FS$1000,"Y")+COUNTIFS($FU$2:$FU$1000,FU44,$FT$2:$FT$1000,"Y")&gt;0,"Y","N"))</f>
        <v>N</v>
      </c>
      <c r="FW44" s="0" t="str">
        <f aca="false">IF($A44="","",IF(AND(U44="new",T44="N",FT44="N",AT44="Y",FV44="N"),"Y","N"))</f>
        <v>N</v>
      </c>
      <c r="FX44" s="0" t="str">
        <f aca="false">IF($A44="","",IF(FW44&lt;&gt;"Y","N",IF(COUNTIFS($FU$2:$FU$1000,FU44,$FW$2:$FW$1000,"Y",$J$2:$J$1000,"&gt;"&amp;J44)+COUNTIFS($FU$2:$FU$1000,FU44,$FW$2:$FW$1000,"Y",$J$2:$J$1000,J44,$GD$2:$GD$1000,"&lt;"&amp;GD44)=0,"Y","N")))</f>
        <v>N</v>
      </c>
      <c r="FY44" s="0" t="str">
        <f aca="false">IF($A44="","",IF(AND(FW44="Y",FX44="Y",Y44&amp;""&lt;&gt;""),IF(Y44&lt;=10,"Y","N"),"N"))</f>
        <v>N</v>
      </c>
      <c r="FZ44" s="0" t="str">
        <f aca="false">IF(FY44="Y",Y44,"")</f>
        <v/>
      </c>
      <c r="GA44" s="0" t="str">
        <f aca="false">IF($A44="","",IF(AND(I44="walk-in",CN44="pass",U44="new",FT44="N",FV44="N",AQ44&lt;&gt;"Y"),"Y","N"))</f>
        <v>N</v>
      </c>
      <c r="GB44" s="0" t="str">
        <f aca="false">IF(GA44&lt;&gt;"Y","",IF(COUNTIFS($GA$2:$GA$1000,"Y",$J$2:$J$1000,"&gt;"&amp;J44)+COUNTIFS($GA$2:$GA$1000,"Y",$J$2:$J$1000,J44,$GD$2:$GD$1000,"&lt;"&amp;GD44)+1&lt;=25,COUNTIFS($GA$2:$GA$1000,"Y",$J$2:$J$1000,"&gt;"&amp;J44)+COUNTIFS($GA$2:$GA$1000,"Y",$J$2:$J$1000,J44,$GD$2:$GD$1000,"&lt;"&amp;GD44)+1,""))</f>
        <v/>
      </c>
      <c r="GC44" s="0" t="str">
        <f aca="false">IF(AND(_xlfn.ISFORMULA(C44),_xlfn.ISFORMULA(J44)),"Y","N")</f>
        <v>N</v>
      </c>
      <c r="GD44" s="0" t="n">
        <f aca="false">ROW()-1</f>
        <v>43</v>
      </c>
    </row>
    <row r="45" customFormat="false" ht="15" hidden="false" customHeight="false" outlineLevel="0" collapsed="false">
      <c r="A45" s="0" t="s">
        <v>1140</v>
      </c>
      <c r="B45" s="0" t="s">
        <v>1721</v>
      </c>
      <c r="C45" s="0" t="s">
        <v>1143</v>
      </c>
      <c r="D45" s="0" t="s">
        <v>1722</v>
      </c>
      <c r="E45" s="0" t="s">
        <v>1723</v>
      </c>
      <c r="F45" s="0" t="s">
        <v>1724</v>
      </c>
      <c r="G45" s="0" t="s">
        <v>189</v>
      </c>
      <c r="M45" s="0" t="s">
        <v>380</v>
      </c>
      <c r="R45" s="5"/>
      <c r="U45" s="5"/>
      <c r="V45" s="0" t="s">
        <v>380</v>
      </c>
      <c r="AE45" s="0" t="s">
        <v>1151</v>
      </c>
      <c r="AF45" s="0" t="s">
        <v>325</v>
      </c>
      <c r="AG45" s="0" t="s">
        <v>1144</v>
      </c>
      <c r="AH45" s="0" t="s">
        <v>1145</v>
      </c>
      <c r="AI45" s="0" t="s">
        <v>1149</v>
      </c>
      <c r="AJ45" s="0" t="s">
        <v>164</v>
      </c>
      <c r="AK45" s="0" t="s">
        <v>186</v>
      </c>
      <c r="AL45" s="0" t="s">
        <v>189</v>
      </c>
      <c r="AM45" s="0" t="n">
        <v>184</v>
      </c>
      <c r="AN45" s="0" t="s">
        <v>187</v>
      </c>
      <c r="AO45" s="0" t="s">
        <v>512</v>
      </c>
      <c r="AP45" s="0" t="s">
        <v>1725</v>
      </c>
      <c r="AQ45" s="5" t="s">
        <v>164</v>
      </c>
      <c r="AR45" s="0" t="s">
        <v>779</v>
      </c>
      <c r="AT45" s="0" t="str">
        <f aca="false">IF($A45="","",IF(AND(CN45="pass",AQ45&lt;&gt;"Y",C45&lt;&gt;"",OR(AX45&lt;&gt;"Y",AV45="Y")),"Y","N"))</f>
        <v>N</v>
      </c>
      <c r="AU45" s="0" t="str">
        <f aca="false">IF($A45="","",_xlfn.TEXTJOIN("; ",TRUE(),IF(CN45&lt;&gt;"pass","gated out",""),IF(AQ45="Y","on hold: "&amp;AR45,""),IF(C45="","no contact named on an opened page",""),IF(AND(AX45="Y",AV45&lt;&gt;"Y"),"Tuesday estimate band "&amp;L45&amp;": founder's call","")))</f>
        <v>on hold: lease signed, move not confirmed: check the lobby directory before outreach (B)</v>
      </c>
      <c r="AX45" s="0" t="s">
        <v>189</v>
      </c>
      <c r="BC45" s="0" t="str">
        <f aca="false">IF($A45="","",IFERROR(INDEX(Enrichment!$A$2:$GZ$2000,MATCH($A45,INDEX(Enrichment!$A$2:$GZ$2000,0,MATCH("row_id",Enrichment!$A$1:$GZ$1,0)),0),MATCH("work_email",Enrichment!$A$1:$GZ$1,0))&amp;"",""))</f>
        <v/>
      </c>
      <c r="BD45" s="0" t="str">
        <f aca="false">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none</v>
      </c>
      <c r="BF45" s="0" t="s">
        <v>380</v>
      </c>
      <c r="BJ45" s="0" t="s">
        <v>380</v>
      </c>
      <c r="BK45" s="0" t="s">
        <v>743</v>
      </c>
      <c r="BL45" s="0" t="s">
        <v>896</v>
      </c>
      <c r="BQ45" s="0" t="str">
        <f aca="false">IF($A45="","",IFERROR(INDEX(Enrichment!$A$2:$GZ$2000,MATCH($A45,INDEX(Enrichment!$A$2:$GZ$2000,0,MATCH("row_id",Enrichment!$A$1:$GZ$1,0)),0),MATCH("backup_work_email",Enrichment!$A$1:$GZ$1,0))&amp;"",""))</f>
        <v/>
      </c>
      <c r="BR45" s="0" t="str">
        <f aca="false">IF($A45="","",IF(BQ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none</v>
      </c>
      <c r="BT45" s="0" t="s">
        <v>380</v>
      </c>
      <c r="BX45" s="0" t="s">
        <v>380</v>
      </c>
      <c r="BY45" s="0" t="s">
        <v>387</v>
      </c>
      <c r="BZ45" s="0" t="s">
        <v>388</v>
      </c>
      <c r="CA45" s="0" t="s">
        <v>1726</v>
      </c>
      <c r="CB45" s="0" t="s">
        <v>746</v>
      </c>
      <c r="CM45" s="0" t="s">
        <v>189</v>
      </c>
      <c r="CN45" s="0" t="s">
        <v>200</v>
      </c>
      <c r="CO45" s="0" t="s">
        <v>201</v>
      </c>
      <c r="CP45" s="0" t="s">
        <v>1</v>
      </c>
      <c r="CQ45" s="0" t="s">
        <v>1727</v>
      </c>
      <c r="CR45" s="0" t="s">
        <v>1728</v>
      </c>
      <c r="CS45" s="0" t="s">
        <v>1729</v>
      </c>
      <c r="CT45" s="0" t="s">
        <v>1397</v>
      </c>
      <c r="CU45" s="0" t="s">
        <v>1730</v>
      </c>
      <c r="CV45" s="0" t="s">
        <v>209</v>
      </c>
      <c r="CW45" s="0" t="s">
        <v>209</v>
      </c>
      <c r="CX45" s="0" t="s">
        <v>440</v>
      </c>
      <c r="CY45" s="0" t="s">
        <v>1731</v>
      </c>
      <c r="CZ45" s="0" t="s">
        <v>1732</v>
      </c>
      <c r="DA45" s="0" t="s">
        <v>207</v>
      </c>
      <c r="DB45" s="0" t="s">
        <v>1733</v>
      </c>
      <c r="DC45" s="0" t="s">
        <v>189</v>
      </c>
      <c r="DD45" s="0" t="s">
        <v>209</v>
      </c>
      <c r="DE45" s="0" t="s">
        <v>209</v>
      </c>
      <c r="DF45" s="0" t="s">
        <v>525</v>
      </c>
      <c r="DG45" s="0" t="n">
        <v>40.741968</v>
      </c>
      <c r="DH45" s="0" t="n">
        <v>-73.985327</v>
      </c>
      <c r="DI45" s="0" t="s">
        <v>164</v>
      </c>
      <c r="DJ45" s="0" t="n">
        <v>0</v>
      </c>
      <c r="DK45" s="0" t="s">
        <v>1573</v>
      </c>
      <c r="DL45" s="0" t="s">
        <v>1574</v>
      </c>
      <c r="DM45" s="0" t="s">
        <v>1734</v>
      </c>
      <c r="DN45" s="0" t="s">
        <v>1735</v>
      </c>
      <c r="DO45" s="0" t="s">
        <v>363</v>
      </c>
      <c r="DP45" s="0" t="s">
        <v>1736</v>
      </c>
      <c r="DQ45" s="0" t="s">
        <v>1735</v>
      </c>
      <c r="DS45" s="0" t="s">
        <v>217</v>
      </c>
      <c r="DT45" s="0" t="s">
        <v>209</v>
      </c>
      <c r="DU45" s="0" t="s">
        <v>189</v>
      </c>
      <c r="DX45" s="0" t="s">
        <v>209</v>
      </c>
      <c r="EA45" s="0" t="s">
        <v>209</v>
      </c>
      <c r="EB45" s="0" t="s">
        <v>189</v>
      </c>
      <c r="EC45" s="0" t="s">
        <v>1737</v>
      </c>
      <c r="ED45" s="0" t="s">
        <v>1731</v>
      </c>
      <c r="EE45" s="0" t="s">
        <v>172</v>
      </c>
      <c r="EF45" s="0" t="n">
        <v>130</v>
      </c>
      <c r="EH45" s="0" t="s">
        <v>164</v>
      </c>
      <c r="EI45" s="0" t="s">
        <v>1738</v>
      </c>
      <c r="EJ45" s="0" t="s">
        <v>221</v>
      </c>
      <c r="EK45" s="0" t="n">
        <v>1</v>
      </c>
      <c r="EL45" s="0" t="n">
        <v>54</v>
      </c>
      <c r="EM45" s="0" t="n">
        <v>25</v>
      </c>
      <c r="EN45" s="0" t="n">
        <v>15</v>
      </c>
      <c r="EO45" s="0" t="n">
        <v>7</v>
      </c>
      <c r="EP45" s="0" t="n">
        <v>7</v>
      </c>
      <c r="EQ45" s="0" t="n">
        <f aca="false">IF($A45="","",IF(AH45="exact",10,IF(AH45="adjacent",5,0)))</f>
        <v>0</v>
      </c>
      <c r="ER45" s="0" t="n">
        <f aca="false">IF($A45="","",IF(R45="Y",15,0))</f>
        <v>0</v>
      </c>
      <c r="ES45" s="0" t="s">
        <v>222</v>
      </c>
      <c r="EV45" s="0" t="s">
        <v>1739</v>
      </c>
      <c r="EW45" s="0" t="s">
        <v>224</v>
      </c>
      <c r="EX45" s="0" t="s">
        <v>1740</v>
      </c>
      <c r="FS45" s="0" t="str">
        <f aca="false">IF($A45="","",IF(ISNUMBER(MATCH(U45,{"queued","contacted","replied","call_booked","call_done","yes_in_principle","materials_sent"},0)),"Y","N"))</f>
        <v>N</v>
      </c>
      <c r="FT45" s="0" t="str">
        <f aca="false">IF($A45="","",IF(OR(T45="Y",U45="do_not_contact",AS45&amp;""&lt;&gt;""),"Y","N"))</f>
        <v>N</v>
      </c>
      <c r="FU45" s="0" t="str">
        <f aca="false">IF($A45="","",IF(AP45&amp;""&lt;&gt;"",AP45&amp;"",$A45))</f>
        <v>AO-C-123</v>
      </c>
      <c r="FV45" s="0" t="str">
        <f aca="false">IF($A45="","",IF(COUNTIFS($FU$2:$FU$1000,FU45,$FS$2:$FS$1000,"Y")+COUNTIFS($FU$2:$FU$1000,FU45,$FT$2:$FT$1000,"Y")&gt;0,"Y","N"))</f>
        <v>N</v>
      </c>
      <c r="FW45" s="0" t="str">
        <f aca="false">IF($A45="","",IF(AND(U45="new",T45="N",FT45="N",AT45="Y",FV45="N"),"Y","N"))</f>
        <v>N</v>
      </c>
      <c r="FX45" s="0" t="str">
        <f aca="false">IF($A45="","",IF(FW45&lt;&gt;"Y","N",IF(COUNTIFS($FU$2:$FU$1000,FU45,$FW$2:$FW$1000,"Y",$J$2:$J$1000,"&gt;"&amp;J45)+COUNTIFS($FU$2:$FU$1000,FU45,$FW$2:$FW$1000,"Y",$J$2:$J$1000,J45,$GD$2:$GD$1000,"&lt;"&amp;GD45)=0,"Y","N")))</f>
        <v>N</v>
      </c>
      <c r="FY45" s="0" t="str">
        <f aca="false">IF($A45="","",IF(AND(FW45="Y",FX45="Y",Y45&amp;""&lt;&gt;""),IF(Y45&lt;=10,"Y","N"),"N"))</f>
        <v>N</v>
      </c>
      <c r="FZ45" s="0" t="str">
        <f aca="false">IF(FY45="Y",Y45,"")</f>
        <v/>
      </c>
      <c r="GA45" s="0" t="str">
        <f aca="false">IF($A45="","",IF(AND(I45="walk-in",CN45="pass",U45="new",FT45="N",FV45="N",AQ45&lt;&gt;"Y"),"Y","N"))</f>
        <v>N</v>
      </c>
      <c r="GB45" s="0" t="str">
        <f aca="false">IF(GA45&lt;&gt;"Y","",IF(COUNTIFS($GA$2:$GA$1000,"Y",$J$2:$J$1000,"&gt;"&amp;J45)+COUNTIFS($GA$2:$GA$1000,"Y",$J$2:$J$1000,J45,$GD$2:$GD$1000,"&lt;"&amp;GD45)+1&lt;=25,COUNTIFS($GA$2:$GA$1000,"Y",$J$2:$J$1000,"&gt;"&amp;J45)+COUNTIFS($GA$2:$GA$1000,"Y",$J$2:$J$1000,J45,$GD$2:$GD$1000,"&lt;"&amp;GD45)+1,""))</f>
        <v/>
      </c>
      <c r="GC45" s="0" t="str">
        <f aca="false">IF(AND(_xlfn.ISFORMULA(C45),_xlfn.ISFORMULA(J45)),"Y","N")</f>
        <v>N</v>
      </c>
      <c r="GD45" s="0" t="n">
        <f aca="false">ROW()-1</f>
        <v>44</v>
      </c>
    </row>
    <row r="46" customFormat="false" ht="15" hidden="false" customHeight="false" outlineLevel="0" collapsed="false">
      <c r="A46" s="0" t="s">
        <v>1180</v>
      </c>
      <c r="B46" s="0" t="s">
        <v>1741</v>
      </c>
      <c r="C46" s="0" t="s">
        <v>1183</v>
      </c>
      <c r="D46" s="0" t="s">
        <v>1742</v>
      </c>
      <c r="E46" s="0" t="s">
        <v>1743</v>
      </c>
      <c r="F46" s="0" t="s">
        <v>1724</v>
      </c>
      <c r="G46" s="0" t="s">
        <v>189</v>
      </c>
      <c r="M46" s="0" t="s">
        <v>380</v>
      </c>
      <c r="R46" s="5"/>
      <c r="U46" s="5"/>
      <c r="V46" s="0" t="s">
        <v>380</v>
      </c>
      <c r="AE46" s="0" t="s">
        <v>1744</v>
      </c>
      <c r="AF46" s="0" t="s">
        <v>209</v>
      </c>
      <c r="AG46" s="0" t="s">
        <v>1184</v>
      </c>
      <c r="AH46" s="0" t="s">
        <v>1185</v>
      </c>
      <c r="AI46" s="0" t="s">
        <v>1189</v>
      </c>
      <c r="AJ46" s="0" t="s">
        <v>164</v>
      </c>
      <c r="AK46" s="0" t="s">
        <v>298</v>
      </c>
      <c r="AL46" s="0" t="s">
        <v>164</v>
      </c>
      <c r="AM46" s="0" t="n">
        <v>103</v>
      </c>
      <c r="AN46" s="0" t="s">
        <v>187</v>
      </c>
      <c r="AO46" s="0" t="s">
        <v>188</v>
      </c>
      <c r="AP46" s="0" t="s">
        <v>1745</v>
      </c>
      <c r="AQ46" s="5" t="s">
        <v>189</v>
      </c>
      <c r="AT46" s="0" t="str">
        <f aca="false">IF($A46="","",IF(AND(CN46="pass",AQ46&lt;&gt;"Y",C46&lt;&gt;"",OR(AX46&lt;&gt;"Y",AV46="Y")),"Y","N"))</f>
        <v>Y</v>
      </c>
      <c r="AU46" s="0" t="str">
        <f aca="false">IF($A46="","",_xlfn.TEXTJOIN("; ",TRUE(),IF(CN46&lt;&gt;"pass","gated out",""),IF(AQ46="Y","on hold: "&amp;AR46,""),IF(C46="","no contact named on an opened page",""),IF(AND(AX46="Y",AV46&lt;&gt;"Y"),"Tuesday estimate band "&amp;L46&amp;": founder's call","")))</f>
        <v/>
      </c>
      <c r="AX46" s="0" t="s">
        <v>189</v>
      </c>
      <c r="BC46" s="0" t="str">
        <f aca="false">IF($A46="","",IFERROR(INDEX(Enrichment!$A$2:$GZ$2000,MATCH($A46,INDEX(Enrichment!$A$2:$GZ$2000,0,MATCH("row_id",Enrichment!$A$1:$GZ$1,0)),0),MATCH("work_email",Enrichment!$A$1:$GZ$1,0))&amp;"",""))</f>
        <v/>
      </c>
      <c r="BD46" s="0" t="str">
        <f aca="false">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none</v>
      </c>
      <c r="BF46" s="0" t="s">
        <v>380</v>
      </c>
      <c r="BJ46" s="0" t="s">
        <v>380</v>
      </c>
      <c r="BK46" s="0" t="s">
        <v>743</v>
      </c>
      <c r="BL46" s="0" t="s">
        <v>896</v>
      </c>
      <c r="BQ46" s="0" t="str">
        <f aca="false">IF($A46="","",IFERROR(INDEX(Enrichment!$A$2:$GZ$2000,MATCH($A46,INDEX(Enrichment!$A$2:$GZ$2000,0,MATCH("row_id",Enrichment!$A$1:$GZ$1,0)),0),MATCH("backup_work_email",Enrichment!$A$1:$GZ$1,0))&amp;"",""))</f>
        <v/>
      </c>
      <c r="BR46" s="0" t="str">
        <f aca="false">IF($A46="","",IF(BQ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none</v>
      </c>
      <c r="BT46" s="0" t="s">
        <v>380</v>
      </c>
      <c r="BX46" s="0" t="s">
        <v>380</v>
      </c>
      <c r="BY46" s="0" t="s">
        <v>387</v>
      </c>
      <c r="BZ46" s="0" t="s">
        <v>388</v>
      </c>
      <c r="CA46" s="0" t="s">
        <v>1746</v>
      </c>
      <c r="CB46" s="0" t="s">
        <v>746</v>
      </c>
      <c r="CM46" s="0" t="s">
        <v>189</v>
      </c>
      <c r="CN46" s="0" t="s">
        <v>200</v>
      </c>
      <c r="CO46" s="0" t="s">
        <v>201</v>
      </c>
      <c r="CP46" s="0" t="s">
        <v>1</v>
      </c>
      <c r="CQ46" s="0" t="s">
        <v>1747</v>
      </c>
      <c r="CR46" s="0" t="s">
        <v>1748</v>
      </c>
      <c r="CS46" s="0" t="s">
        <v>1749</v>
      </c>
      <c r="CT46" s="0" t="s">
        <v>1750</v>
      </c>
      <c r="CV46" s="0" t="s">
        <v>976</v>
      </c>
      <c r="CW46" s="0" t="s">
        <v>204</v>
      </c>
      <c r="CX46" s="0" t="s">
        <v>205</v>
      </c>
      <c r="CY46" s="0" t="s">
        <v>1751</v>
      </c>
      <c r="DA46" s="0" t="s">
        <v>1351</v>
      </c>
      <c r="DB46" s="0" t="s">
        <v>208</v>
      </c>
      <c r="DC46" s="0" t="s">
        <v>189</v>
      </c>
      <c r="DD46" s="0" t="s">
        <v>209</v>
      </c>
      <c r="DE46" s="0" t="s">
        <v>1752</v>
      </c>
      <c r="DF46" s="0" t="s">
        <v>525</v>
      </c>
      <c r="DG46" s="0" t="n">
        <v>40.738577</v>
      </c>
      <c r="DH46" s="0" t="n">
        <v>-73.987151</v>
      </c>
      <c r="DI46" s="0" t="s">
        <v>164</v>
      </c>
      <c r="DJ46" s="0" t="n">
        <v>0</v>
      </c>
      <c r="DK46" s="0" t="s">
        <v>1753</v>
      </c>
      <c r="DL46" s="0" t="s">
        <v>1754</v>
      </c>
      <c r="DM46" s="0" t="s">
        <v>1755</v>
      </c>
      <c r="DN46" s="0" t="s">
        <v>1756</v>
      </c>
      <c r="DO46" s="0" t="s">
        <v>363</v>
      </c>
      <c r="DS46" s="0" t="s">
        <v>809</v>
      </c>
      <c r="DU46" s="0" t="s">
        <v>189</v>
      </c>
      <c r="DX46" s="0" t="s">
        <v>209</v>
      </c>
      <c r="EA46" s="0" t="s">
        <v>209</v>
      </c>
      <c r="EB46" s="0" t="s">
        <v>189</v>
      </c>
      <c r="EC46" s="0" t="s">
        <v>1240</v>
      </c>
      <c r="ED46" s="0" t="s">
        <v>1757</v>
      </c>
      <c r="EE46" s="0" t="s">
        <v>172</v>
      </c>
      <c r="EF46" s="0" t="n">
        <v>73</v>
      </c>
      <c r="EH46" s="0" t="s">
        <v>164</v>
      </c>
      <c r="EI46" s="0" t="s">
        <v>1758</v>
      </c>
      <c r="EJ46" s="0" t="s">
        <v>221</v>
      </c>
      <c r="EK46" s="0" t="n">
        <v>1</v>
      </c>
      <c r="EL46" s="0" t="n">
        <v>54</v>
      </c>
      <c r="EM46" s="0" t="n">
        <v>25</v>
      </c>
      <c r="EN46" s="0" t="n">
        <v>6</v>
      </c>
      <c r="EO46" s="0" t="n">
        <v>15</v>
      </c>
      <c r="EP46" s="0" t="n">
        <v>8</v>
      </c>
      <c r="EQ46" s="0" t="n">
        <f aca="false">IF($A46="","",IF(AH46="exact",10,IF(AH46="adjacent",5,0)))</f>
        <v>0</v>
      </c>
      <c r="ER46" s="0" t="n">
        <f aca="false">IF($A46="","",IF(R46="Y",15,0))</f>
        <v>0</v>
      </c>
      <c r="ES46" s="0" t="s">
        <v>982</v>
      </c>
      <c r="ET46" s="0" t="s">
        <v>1360</v>
      </c>
      <c r="EU46" s="0" t="s">
        <v>189</v>
      </c>
      <c r="EV46" s="0" t="s">
        <v>1759</v>
      </c>
      <c r="EW46" s="0" t="s">
        <v>224</v>
      </c>
      <c r="EX46" s="0" t="s">
        <v>1760</v>
      </c>
      <c r="EZ46" s="0" t="s">
        <v>1761</v>
      </c>
      <c r="FS46" s="0" t="str">
        <f aca="false">IF($A46="","",IF(ISNUMBER(MATCH(U46,{"queued","contacted","replied","call_booked","call_done","yes_in_principle","materials_sent"},0)),"Y","N"))</f>
        <v>N</v>
      </c>
      <c r="FT46" s="0" t="str">
        <f aca="false">IF($A46="","",IF(OR(T46="Y",U46="do_not_contact",AS46&amp;""&lt;&gt;""),"Y","N"))</f>
        <v>N</v>
      </c>
      <c r="FU46" s="0" t="str">
        <f aca="false">IF($A46="","",IF(AP46&amp;""&lt;&gt;"",AP46&amp;"",$A46))</f>
        <v>AO-C-215</v>
      </c>
      <c r="FV46" s="0" t="str">
        <f aca="false">IF($A46="","",IF(COUNTIFS($FU$2:$FU$1000,FU46,$FS$2:$FS$1000,"Y")+COUNTIFS($FU$2:$FU$1000,FU46,$FT$2:$FT$1000,"Y")&gt;0,"Y","N"))</f>
        <v>N</v>
      </c>
      <c r="FW46" s="0" t="str">
        <f aca="false">IF($A46="","",IF(AND(U46="new",T46="N",FT46="N",AT46="Y",FV46="N"),"Y","N"))</f>
        <v>N</v>
      </c>
      <c r="FX46" s="0" t="str">
        <f aca="false">IF($A46="","",IF(FW46&lt;&gt;"Y","N",IF(COUNTIFS($FU$2:$FU$1000,FU46,$FW$2:$FW$1000,"Y",$J$2:$J$1000,"&gt;"&amp;J46)+COUNTIFS($FU$2:$FU$1000,FU46,$FW$2:$FW$1000,"Y",$J$2:$J$1000,J46,$GD$2:$GD$1000,"&lt;"&amp;GD46)=0,"Y","N")))</f>
        <v>N</v>
      </c>
      <c r="FY46" s="0" t="str">
        <f aca="false">IF($A46="","",IF(AND(FW46="Y",FX46="Y",Y46&amp;""&lt;&gt;""),IF(Y46&lt;=10,"Y","N"),"N"))</f>
        <v>N</v>
      </c>
      <c r="FZ46" s="0" t="str">
        <f aca="false">IF(FY46="Y",Y46,"")</f>
        <v/>
      </c>
      <c r="GA46" s="0" t="str">
        <f aca="false">IF($A46="","",IF(AND(I46="walk-in",CN46="pass",U46="new",FT46="N",FV46="N",AQ46&lt;&gt;"Y"),"Y","N"))</f>
        <v>N</v>
      </c>
      <c r="GB46" s="0" t="str">
        <f aca="false">IF(GA46&lt;&gt;"Y","",IF(COUNTIFS($GA$2:$GA$1000,"Y",$J$2:$J$1000,"&gt;"&amp;J46)+COUNTIFS($GA$2:$GA$1000,"Y",$J$2:$J$1000,J46,$GD$2:$GD$1000,"&lt;"&amp;GD46)+1&lt;=25,COUNTIFS($GA$2:$GA$1000,"Y",$J$2:$J$1000,"&gt;"&amp;J46)+COUNTIFS($GA$2:$GA$1000,"Y",$J$2:$J$1000,J46,$GD$2:$GD$1000,"&lt;"&amp;GD46)+1,""))</f>
        <v/>
      </c>
      <c r="GC46" s="0" t="str">
        <f aca="false">IF(AND(_xlfn.ISFORMULA(C46),_xlfn.ISFORMULA(J46)),"Y","N")</f>
        <v>N</v>
      </c>
      <c r="GD46" s="0" t="n">
        <f aca="false">ROW()-1</f>
        <v>45</v>
      </c>
    </row>
    <row r="47" customFormat="false" ht="15" hidden="false" customHeight="false" outlineLevel="0" collapsed="false">
      <c r="A47" s="0" t="s">
        <v>1220</v>
      </c>
      <c r="B47" s="0" t="s">
        <v>1762</v>
      </c>
      <c r="C47" s="0" t="s">
        <v>1229</v>
      </c>
      <c r="D47" s="0" t="s">
        <v>1763</v>
      </c>
      <c r="E47" s="0" t="s">
        <v>1764</v>
      </c>
      <c r="F47" s="0" t="s">
        <v>1765</v>
      </c>
      <c r="G47" s="0" t="s">
        <v>189</v>
      </c>
      <c r="H47" s="0" t="s">
        <v>1221</v>
      </c>
      <c r="I47" s="0" t="s">
        <v>1222</v>
      </c>
      <c r="J47" s="0" t="s">
        <v>862</v>
      </c>
      <c r="L47" s="0" t="s">
        <v>168</v>
      </c>
      <c r="M47" s="0" t="s">
        <v>283</v>
      </c>
      <c r="N47" s="0" t="s">
        <v>284</v>
      </c>
      <c r="O47" s="0" t="s">
        <v>1223</v>
      </c>
      <c r="P47" s="0" t="s">
        <v>172</v>
      </c>
      <c r="R47" s="5"/>
      <c r="U47" s="5"/>
      <c r="V47" s="0" t="s">
        <v>380</v>
      </c>
      <c r="AE47" s="0" t="s">
        <v>1766</v>
      </c>
      <c r="AF47" s="0" t="s">
        <v>412</v>
      </c>
      <c r="AG47" s="0" t="s">
        <v>1230</v>
      </c>
      <c r="AH47" s="0" t="s">
        <v>1231</v>
      </c>
      <c r="AI47" s="0" t="s">
        <v>1235</v>
      </c>
      <c r="AJ47" s="0" t="s">
        <v>164</v>
      </c>
      <c r="AK47" s="0" t="s">
        <v>298</v>
      </c>
      <c r="AL47" s="0" t="s">
        <v>164</v>
      </c>
      <c r="AM47" s="0" t="n">
        <v>56</v>
      </c>
      <c r="AN47" s="0" t="s">
        <v>187</v>
      </c>
      <c r="AO47" s="0" t="s">
        <v>188</v>
      </c>
      <c r="AP47" s="0" t="s">
        <v>1767</v>
      </c>
      <c r="AQ47" s="5" t="s">
        <v>189</v>
      </c>
      <c r="AT47" s="0" t="str">
        <f aca="false">IF($A47="","",IF(AND(CN47="pass",AQ47&lt;&gt;"Y",C47&lt;&gt;"",OR(AX47&lt;&gt;"Y",AV47="Y")),"Y","N"))</f>
        <v>N</v>
      </c>
      <c r="AU47" s="0" t="str">
        <f aca="false">IF($A47="","",_xlfn.TEXTJOIN("; ",TRUE(),IF(CN47&lt;&gt;"pass","gated out",""),IF(AQ47="Y","on hold: "&amp;AR47,""),IF(C47="","no contact named on an opened page",""),IF(AND(AX47="Y",AV47&lt;&gt;"Y"),"Tuesday estimate band "&amp;L47&amp;": founder's call","")))</f>
        <v>Tuesday estimate band pantry or office lead (primary): founder's call</v>
      </c>
      <c r="AX47" s="0" t="s">
        <v>164</v>
      </c>
      <c r="BC47" s="0" t="str">
        <f aca="false">IF($A47="","",IFERROR(INDEX(Enrichment!$A$2:$GZ$2000,MATCH($A47,INDEX(Enrichment!$A$2:$GZ$2000,0,MATCH("row_id",Enrichment!$A$1:$GZ$1,0)),0),MATCH("work_email",Enrichment!$A$1:$GZ$1,0))&amp;"",""))</f>
        <v/>
      </c>
      <c r="BD47" s="0" t="str">
        <f aca="false">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none</v>
      </c>
      <c r="BF47" s="0" t="s">
        <v>380</v>
      </c>
      <c r="BJ47" s="0" t="s">
        <v>380</v>
      </c>
      <c r="BK47" s="0" t="s">
        <v>1768</v>
      </c>
      <c r="BL47" s="0" t="s">
        <v>837</v>
      </c>
      <c r="BQ47" s="0" t="str">
        <f aca="false">IF($A47="","",IFERROR(INDEX(Enrichment!$A$2:$GZ$2000,MATCH($A47,INDEX(Enrichment!$A$2:$GZ$2000,0,MATCH("row_id",Enrichment!$A$1:$GZ$1,0)),0),MATCH("backup_work_email",Enrichment!$A$1:$GZ$1,0))&amp;"",""))</f>
        <v/>
      </c>
      <c r="BR47" s="0" t="str">
        <f aca="false">IF($A47="","",IF(BQ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none</v>
      </c>
      <c r="BT47" s="0" t="s">
        <v>380</v>
      </c>
      <c r="BX47" s="0" t="s">
        <v>380</v>
      </c>
      <c r="BY47" s="0" t="s">
        <v>1769</v>
      </c>
      <c r="BZ47" s="0" t="s">
        <v>388</v>
      </c>
      <c r="CA47" s="0" t="s">
        <v>1770</v>
      </c>
      <c r="CB47" s="0" t="s">
        <v>746</v>
      </c>
      <c r="CM47" s="0" t="s">
        <v>164</v>
      </c>
      <c r="CN47" s="0" t="s">
        <v>200</v>
      </c>
      <c r="CO47" s="0" t="s">
        <v>201</v>
      </c>
      <c r="CP47" s="0" t="s">
        <v>1</v>
      </c>
      <c r="CQ47" s="0" t="s">
        <v>1771</v>
      </c>
      <c r="CR47" s="0" t="s">
        <v>1772</v>
      </c>
      <c r="CS47" s="0" t="s">
        <v>1773</v>
      </c>
      <c r="CT47" s="0" t="s">
        <v>1774</v>
      </c>
      <c r="CU47" s="0" t="s">
        <v>1775</v>
      </c>
      <c r="CV47" s="0" t="s">
        <v>209</v>
      </c>
      <c r="CW47" s="0" t="s">
        <v>209</v>
      </c>
      <c r="CX47" s="0" t="s">
        <v>440</v>
      </c>
      <c r="CY47" s="0" t="s">
        <v>1776</v>
      </c>
      <c r="CZ47" s="0" t="s">
        <v>1777</v>
      </c>
      <c r="DA47" s="0" t="s">
        <v>207</v>
      </c>
      <c r="DB47" s="0" t="s">
        <v>259</v>
      </c>
      <c r="DC47" s="0" t="s">
        <v>164</v>
      </c>
      <c r="DD47" s="0" t="s">
        <v>209</v>
      </c>
      <c r="DE47" s="0" t="s">
        <v>1778</v>
      </c>
      <c r="DF47" s="0" t="s">
        <v>525</v>
      </c>
      <c r="DG47" s="0" t="n">
        <v>40.74082</v>
      </c>
      <c r="DH47" s="0" t="n">
        <v>-73.992366</v>
      </c>
      <c r="DI47" s="0" t="s">
        <v>164</v>
      </c>
      <c r="DJ47" s="0" t="n">
        <v>0</v>
      </c>
      <c r="DK47" s="0" t="s">
        <v>1779</v>
      </c>
      <c r="DL47" s="0" t="s">
        <v>1780</v>
      </c>
      <c r="DM47" s="0" t="s">
        <v>1781</v>
      </c>
      <c r="DN47" s="0" t="s">
        <v>1782</v>
      </c>
      <c r="DO47" s="0" t="s">
        <v>363</v>
      </c>
      <c r="DP47" s="0" t="s">
        <v>1783</v>
      </c>
      <c r="DQ47" s="0" t="s">
        <v>263</v>
      </c>
      <c r="DS47" s="0" t="s">
        <v>217</v>
      </c>
      <c r="DU47" s="0" t="s">
        <v>189</v>
      </c>
      <c r="DX47" s="0" t="s">
        <v>209</v>
      </c>
      <c r="EA47" s="0" t="s">
        <v>209</v>
      </c>
      <c r="EB47" s="0" t="s">
        <v>189</v>
      </c>
      <c r="EC47" s="0" t="s">
        <v>655</v>
      </c>
      <c r="ED47" s="0" t="s">
        <v>1784</v>
      </c>
      <c r="EE47" s="0" t="s">
        <v>172</v>
      </c>
      <c r="EF47" s="0" t="n">
        <v>35</v>
      </c>
      <c r="EG47" s="0" t="s">
        <v>1322</v>
      </c>
      <c r="EH47" s="0" t="s">
        <v>189</v>
      </c>
      <c r="EI47" s="0" t="s">
        <v>1785</v>
      </c>
      <c r="EJ47" s="0" t="s">
        <v>221</v>
      </c>
      <c r="EK47" s="0" t="n">
        <v>0.36</v>
      </c>
      <c r="EL47" s="0" t="n">
        <v>54</v>
      </c>
      <c r="EM47" s="0" t="n">
        <v>9</v>
      </c>
      <c r="EN47" s="0" t="n">
        <v>15</v>
      </c>
      <c r="EO47" s="0" t="n">
        <v>15</v>
      </c>
      <c r="EP47" s="0" t="n">
        <v>15</v>
      </c>
      <c r="EQ47" s="0" t="n">
        <f aca="false">IF($A47="","",IF(AH47="exact",10,IF(AH47="adjacent",5,0)))</f>
        <v>0</v>
      </c>
      <c r="ER47" s="0" t="n">
        <f aca="false">IF($A47="","",IF(R47="Y",15,0))</f>
        <v>0</v>
      </c>
      <c r="ES47" s="0" t="s">
        <v>222</v>
      </c>
      <c r="EV47" s="0" t="s">
        <v>1786</v>
      </c>
      <c r="EW47" s="0" t="s">
        <v>224</v>
      </c>
      <c r="EX47" s="0" t="s">
        <v>1787</v>
      </c>
      <c r="EZ47" s="0" t="s">
        <v>1788</v>
      </c>
      <c r="FS47" s="0" t="str">
        <f aca="false">IF($A47="","",IF(ISNUMBER(MATCH(U47,{"queued","contacted","replied","call_booked","call_done","yes_in_principle","materials_sent"},0)),"Y","N"))</f>
        <v>N</v>
      </c>
      <c r="FT47" s="0" t="str">
        <f aca="false">IF($A47="","",IF(OR(T47="Y",U47="do_not_contact",AS47&amp;""&lt;&gt;""),"Y","N"))</f>
        <v>N</v>
      </c>
      <c r="FU47" s="0" t="str">
        <f aca="false">IF($A47="","",IF(AP47&amp;""&lt;&gt;"",AP47&amp;"",$A47))</f>
        <v>AO-C-072</v>
      </c>
      <c r="FV47" s="0" t="str">
        <f aca="false">IF($A47="","",IF(COUNTIFS($FU$2:$FU$1000,FU47,$FS$2:$FS$1000,"Y")+COUNTIFS($FU$2:$FU$1000,FU47,$FT$2:$FT$1000,"Y")&gt;0,"Y","N"))</f>
        <v>N</v>
      </c>
      <c r="FW47" s="0" t="str">
        <f aca="false">IF($A47="","",IF(AND(U47="new",T47="N",FT47="N",AT47="Y",FV47="N"),"Y","N"))</f>
        <v>N</v>
      </c>
      <c r="FX47" s="0" t="str">
        <f aca="false">IF($A47="","",IF(FW47&lt;&gt;"Y","N",IF(COUNTIFS($FU$2:$FU$1000,FU47,$FW$2:$FW$1000,"Y",$J$2:$J$1000,"&gt;"&amp;J47)+COUNTIFS($FU$2:$FU$1000,FU47,$FW$2:$FW$1000,"Y",$J$2:$J$1000,J47,$GD$2:$GD$1000,"&lt;"&amp;GD47)=0,"Y","N")))</f>
        <v>N</v>
      </c>
      <c r="FY47" s="0" t="str">
        <f aca="false">IF($A47="","",IF(AND(FW47="Y",FX47="Y",Y47&amp;""&lt;&gt;""),IF(Y47&lt;=10,"Y","N"),"N"))</f>
        <v>N</v>
      </c>
      <c r="FZ47" s="0" t="str">
        <f aca="false">IF(FY47="Y",Y47,"")</f>
        <v/>
      </c>
      <c r="GA47" s="0" t="str">
        <f aca="false">IF($A47="","",IF(AND(I47="walk-in",CN47="pass",U47="new",FT47="N",FV47="N",AQ47&lt;&gt;"Y"),"Y","N"))</f>
        <v>N</v>
      </c>
      <c r="GB47" s="0" t="str">
        <f aca="false">IF(GA47&lt;&gt;"Y","",IF(COUNTIFS($GA$2:$GA$1000,"Y",$J$2:$J$1000,"&gt;"&amp;J47)+COUNTIFS($GA$2:$GA$1000,"Y",$J$2:$J$1000,J47,$GD$2:$GD$1000,"&lt;"&amp;GD47)+1&lt;=25,COUNTIFS($GA$2:$GA$1000,"Y",$J$2:$J$1000,"&gt;"&amp;J47)+COUNTIFS($GA$2:$GA$1000,"Y",$J$2:$J$1000,J47,$GD$2:$GD$1000,"&lt;"&amp;GD47)+1,""))</f>
        <v/>
      </c>
      <c r="GC47" s="0" t="str">
        <f aca="false">IF(AND(_xlfn.ISFORMULA(C47),_xlfn.ISFORMULA(J47)),"Y","N")</f>
        <v>N</v>
      </c>
      <c r="GD47" s="0" t="n">
        <f aca="false">ROW()-1</f>
        <v>46</v>
      </c>
    </row>
    <row r="48" customFormat="false" ht="15" hidden="false" customHeight="false" outlineLevel="0" collapsed="false">
      <c r="A48" s="0" t="s">
        <v>1299</v>
      </c>
      <c r="B48" s="0" t="s">
        <v>1789</v>
      </c>
      <c r="C48" s="0" t="s">
        <v>1316</v>
      </c>
      <c r="D48" s="0" t="s">
        <v>1790</v>
      </c>
      <c r="E48" s="0" t="s">
        <v>1791</v>
      </c>
      <c r="F48" s="0" t="s">
        <v>1792</v>
      </c>
      <c r="G48" s="0" t="s">
        <v>189</v>
      </c>
      <c r="H48" s="0" t="s">
        <v>1300</v>
      </c>
      <c r="I48" s="0" t="s">
        <v>1301</v>
      </c>
      <c r="J48" s="0" t="s">
        <v>862</v>
      </c>
      <c r="L48" s="0" t="s">
        <v>168</v>
      </c>
      <c r="M48" s="0" t="s">
        <v>283</v>
      </c>
      <c r="N48" s="0" t="s">
        <v>284</v>
      </c>
      <c r="O48" s="0" t="s">
        <v>1302</v>
      </c>
      <c r="P48" s="0" t="s">
        <v>172</v>
      </c>
      <c r="Q48" s="0" t="s">
        <v>1304</v>
      </c>
      <c r="R48" s="5" t="s">
        <v>1305</v>
      </c>
      <c r="S48" s="0" t="s">
        <v>1306</v>
      </c>
      <c r="U48" s="5" t="s">
        <v>176</v>
      </c>
      <c r="V48" s="0" t="s">
        <v>283</v>
      </c>
      <c r="W48" s="0" t="s">
        <v>284</v>
      </c>
      <c r="X48" s="0" t="s">
        <v>1307</v>
      </c>
      <c r="Y48" s="0" t="s">
        <v>172</v>
      </c>
      <c r="Z48" s="0" t="s">
        <v>1313</v>
      </c>
      <c r="AB48" s="0" t="s">
        <v>1314</v>
      </c>
      <c r="AC48" s="0" t="s">
        <v>180</v>
      </c>
      <c r="AE48" s="0" t="s">
        <v>734</v>
      </c>
      <c r="AF48" s="0" t="s">
        <v>1793</v>
      </c>
      <c r="AG48" s="0" t="s">
        <v>1317</v>
      </c>
      <c r="AH48" s="0" t="s">
        <v>1318</v>
      </c>
      <c r="AI48" s="0" t="s">
        <v>1320</v>
      </c>
      <c r="AJ48" s="0" t="s">
        <v>164</v>
      </c>
      <c r="AK48" s="0" t="s">
        <v>1794</v>
      </c>
      <c r="AL48" s="0" t="s">
        <v>164</v>
      </c>
      <c r="AM48" s="0" t="n">
        <v>310</v>
      </c>
      <c r="AN48" s="0" t="s">
        <v>187</v>
      </c>
      <c r="AO48" s="0" t="s">
        <v>429</v>
      </c>
      <c r="AP48" s="0" t="s">
        <v>1285</v>
      </c>
      <c r="AQ48" s="5" t="s">
        <v>189</v>
      </c>
      <c r="AT48" s="0" t="str">
        <f aca="false">IF($A48="","",IF(AND(CN48="pass",AQ48&lt;&gt;"Y",C48&lt;&gt;"",OR(AX48&lt;&gt;"Y",AV48="Y")),"Y","N"))</f>
        <v>Y</v>
      </c>
      <c r="AU48" s="0" t="str">
        <f aca="false">IF($A48="","",_xlfn.TEXTJOIN("; ",TRUE(),IF(CN48&lt;&gt;"pass","gated out",""),IF(AQ48="Y","on hold: "&amp;AR48,""),IF(C48="","no contact named on an opened page",""),IF(AND(AX48="Y",AV48&lt;&gt;"Y"),"Tuesday estimate band "&amp;L48&amp;": founder's call","")))</f>
        <v/>
      </c>
      <c r="AX48" s="0" t="s">
        <v>189</v>
      </c>
      <c r="AY48" s="0" t="s">
        <v>1291</v>
      </c>
      <c r="AZ48" s="0" t="s">
        <v>1292</v>
      </c>
      <c r="BA48" s="0" t="s">
        <v>1293</v>
      </c>
      <c r="BC48" s="0" t="str">
        <f aca="false">IF($A48="","",IFERROR(INDEX(Enrichment!$A$2:$GZ$2000,MATCH($A48,INDEX(Enrichment!$A$2:$GZ$2000,0,MATCH("row_id",Enrichment!$A$1:$GZ$1,0)),0),MATCH("work_email",Enrichment!$A$1:$GZ$1,0))&amp;"",""))</f>
        <v/>
      </c>
      <c r="BD48" s="0" t="str">
        <f aca="false">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none</v>
      </c>
      <c r="BE48" s="0" t="s">
        <v>168</v>
      </c>
      <c r="BF48" s="0" t="s">
        <v>169</v>
      </c>
      <c r="BG48" s="0" t="s">
        <v>170</v>
      </c>
      <c r="BH48" s="0" t="s">
        <v>1294</v>
      </c>
      <c r="BI48" s="0" t="s">
        <v>172</v>
      </c>
      <c r="BJ48" s="0" t="s">
        <v>301</v>
      </c>
      <c r="BK48" s="0" t="s">
        <v>1795</v>
      </c>
      <c r="BL48" s="0" t="s">
        <v>1796</v>
      </c>
      <c r="BQ48" s="0" t="str">
        <f aca="false">IF($A48="","",IFERROR(INDEX(Enrichment!$A$2:$GZ$2000,MATCH($A48,INDEX(Enrichment!$A$2:$GZ$2000,0,MATCH("row_id",Enrichment!$A$1:$GZ$1,0)),0),MATCH("backup_work_email",Enrichment!$A$1:$GZ$1,0))&amp;"",""))</f>
        <v/>
      </c>
      <c r="BR48" s="0" t="str">
        <f aca="false">IF($A48="","",IF(BQ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none</v>
      </c>
      <c r="BT48" s="0" t="s">
        <v>380</v>
      </c>
      <c r="BX48" s="0" t="s">
        <v>380</v>
      </c>
      <c r="BY48" s="0" t="s">
        <v>387</v>
      </c>
      <c r="BZ48" s="0" t="s">
        <v>388</v>
      </c>
      <c r="CA48" s="0" t="s">
        <v>1797</v>
      </c>
      <c r="CB48" s="0" t="s">
        <v>196</v>
      </c>
      <c r="CC48" s="0" t="s">
        <v>1798</v>
      </c>
      <c r="CD48" s="0" t="s">
        <v>1799</v>
      </c>
      <c r="CE48" s="0" t="s">
        <v>1800</v>
      </c>
      <c r="CF48" s="0" t="s">
        <v>180</v>
      </c>
      <c r="CM48" s="0" t="s">
        <v>164</v>
      </c>
      <c r="CN48" s="0" t="s">
        <v>200</v>
      </c>
      <c r="CO48" s="0" t="s">
        <v>201</v>
      </c>
      <c r="CP48" s="0" t="s">
        <v>1</v>
      </c>
      <c r="CQ48" s="0" t="s">
        <v>1801</v>
      </c>
      <c r="CR48" s="0" t="s">
        <v>1287</v>
      </c>
      <c r="CS48" s="0" t="s">
        <v>1296</v>
      </c>
      <c r="CT48" s="0" t="s">
        <v>1297</v>
      </c>
      <c r="CV48" s="0" t="s">
        <v>976</v>
      </c>
      <c r="CW48" s="0" t="s">
        <v>204</v>
      </c>
      <c r="CX48" s="0" t="s">
        <v>205</v>
      </c>
      <c r="CY48" s="0" t="s">
        <v>1802</v>
      </c>
      <c r="DA48" s="0" t="s">
        <v>1351</v>
      </c>
      <c r="DB48" s="0" t="s">
        <v>1803</v>
      </c>
      <c r="DC48" s="0" t="s">
        <v>189</v>
      </c>
      <c r="DD48" s="0" t="s">
        <v>209</v>
      </c>
      <c r="DE48" s="0" t="s">
        <v>1298</v>
      </c>
      <c r="DF48" s="0" t="s">
        <v>311</v>
      </c>
      <c r="DG48" s="0" t="n">
        <v>40.742833</v>
      </c>
      <c r="DH48" s="0" t="n">
        <v>-73.984174</v>
      </c>
      <c r="DI48" s="0" t="s">
        <v>164</v>
      </c>
      <c r="DJ48" s="0" t="n">
        <v>0</v>
      </c>
      <c r="DK48" s="0" t="s">
        <v>359</v>
      </c>
      <c r="DL48" s="0" t="s">
        <v>360</v>
      </c>
      <c r="DM48" s="0" t="s">
        <v>1804</v>
      </c>
      <c r="DN48" s="0" t="s">
        <v>603</v>
      </c>
      <c r="DO48" s="0" t="s">
        <v>363</v>
      </c>
      <c r="DP48" s="0" t="s">
        <v>1802</v>
      </c>
      <c r="DQ48" s="0" t="s">
        <v>263</v>
      </c>
      <c r="DS48" s="0" t="s">
        <v>217</v>
      </c>
      <c r="DU48" s="0" t="s">
        <v>189</v>
      </c>
      <c r="DX48" s="0" t="s">
        <v>209</v>
      </c>
      <c r="EA48" s="0" t="s">
        <v>209</v>
      </c>
      <c r="EB48" s="0" t="s">
        <v>189</v>
      </c>
      <c r="EC48" s="0" t="s">
        <v>1805</v>
      </c>
      <c r="ED48" s="0" t="s">
        <v>1802</v>
      </c>
      <c r="EE48" s="0" t="s">
        <v>172</v>
      </c>
      <c r="EF48" s="0" t="n">
        <v>219</v>
      </c>
      <c r="EG48" s="0" t="s">
        <v>366</v>
      </c>
      <c r="EH48" s="0" t="s">
        <v>164</v>
      </c>
      <c r="EI48" s="0" t="s">
        <v>1806</v>
      </c>
      <c r="EJ48" s="0" t="s">
        <v>221</v>
      </c>
      <c r="EK48" s="0" t="n">
        <v>0.69</v>
      </c>
      <c r="EL48" s="0" t="n">
        <v>53.2</v>
      </c>
      <c r="EM48" s="0" t="n">
        <v>17.2</v>
      </c>
      <c r="EN48" s="0" t="n">
        <v>6</v>
      </c>
      <c r="EO48" s="0" t="n">
        <v>10</v>
      </c>
      <c r="EP48" s="0" t="n">
        <v>15</v>
      </c>
      <c r="EQ48" s="0" t="n">
        <f aca="false">IF($A48="","",IF(AH48="exact",10,IF(AH48="adjacent",5,0)))</f>
        <v>0</v>
      </c>
      <c r="ER48" s="0" t="n">
        <f aca="false">IF($A48="","",IF(R48="Y",15,0))</f>
        <v>0</v>
      </c>
      <c r="ES48" s="0" t="s">
        <v>982</v>
      </c>
      <c r="ET48" s="0" t="s">
        <v>1360</v>
      </c>
      <c r="EU48" s="0" t="s">
        <v>189</v>
      </c>
      <c r="EV48" s="0" t="s">
        <v>1807</v>
      </c>
      <c r="EW48" s="0" t="s">
        <v>224</v>
      </c>
      <c r="EX48" s="0" t="s">
        <v>1808</v>
      </c>
      <c r="EZ48" s="0" t="s">
        <v>1809</v>
      </c>
      <c r="FS48" s="0" t="str">
        <f aca="false">IF($A48="","",IF(ISNUMBER(MATCH(U48,{"queued","contacted","replied","call_booked","call_done","yes_in_principle","materials_sent"},0)),"Y","N"))</f>
        <v>N</v>
      </c>
      <c r="FT48" s="0" t="str">
        <f aca="false">IF($A48="","",IF(OR(T48="Y",U48="do_not_contact",AS48&amp;""&lt;&gt;""),"Y","N"))</f>
        <v>N</v>
      </c>
      <c r="FU48" s="0" t="str">
        <f aca="false">IF($A48="","",IF(AP48&amp;""&lt;&gt;"",AP48&amp;"",$A48))</f>
        <v>AO-C-263</v>
      </c>
      <c r="FV48" s="0" t="str">
        <f aca="false">IF($A48="","",IF(COUNTIFS($FU$2:$FU$1000,FU48,$FS$2:$FS$1000,"Y")+COUNTIFS($FU$2:$FU$1000,FU48,$FT$2:$FT$1000,"Y")&gt;0,"Y","N"))</f>
        <v>N</v>
      </c>
      <c r="FW48" s="0" t="str">
        <f aca="false">IF($A48="","",IF(AND(U48="new",T48="N",FT48="N",AT48="Y",FV48="N"),"Y","N"))</f>
        <v>N</v>
      </c>
      <c r="FX48" s="0" t="str">
        <f aca="false">IF($A48="","",IF(FW48&lt;&gt;"Y","N",IF(COUNTIFS($FU$2:$FU$1000,FU48,$FW$2:$FW$1000,"Y",$J$2:$J$1000,"&gt;"&amp;J48)+COUNTIFS($FU$2:$FU$1000,FU48,$FW$2:$FW$1000,"Y",$J$2:$J$1000,J48,$GD$2:$GD$1000,"&lt;"&amp;GD48)=0,"Y","N")))</f>
        <v>N</v>
      </c>
      <c r="FY48" s="0" t="str">
        <f aca="false">IF($A48="","",IF(AND(FW48="Y",FX48="Y",Y48&amp;""&lt;&gt;""),IF(Y48&lt;=10,"Y","N"),"N"))</f>
        <v>N</v>
      </c>
      <c r="FZ48" s="0" t="str">
        <f aca="false">IF(FY48="Y",Y48,"")</f>
        <v/>
      </c>
      <c r="GA48" s="0" t="str">
        <f aca="false">IF($A48="","",IF(AND(I48="walk-in",CN48="pass",U48="new",FT48="N",FV48="N",AQ48&lt;&gt;"Y"),"Y","N"))</f>
        <v>N</v>
      </c>
      <c r="GB48" s="0" t="str">
        <f aca="false">IF(GA48&lt;&gt;"Y","",IF(COUNTIFS($GA$2:$GA$1000,"Y",$J$2:$J$1000,"&gt;"&amp;J48)+COUNTIFS($GA$2:$GA$1000,"Y",$J$2:$J$1000,J48,$GD$2:$GD$1000,"&lt;"&amp;GD48)+1&lt;=25,COUNTIFS($GA$2:$GA$1000,"Y",$J$2:$J$1000,"&gt;"&amp;J48)+COUNTIFS($GA$2:$GA$1000,"Y",$J$2:$J$1000,J48,$GD$2:$GD$1000,"&lt;"&amp;GD48)+1,""))</f>
        <v/>
      </c>
      <c r="GC48" s="0" t="str">
        <f aca="false">IF(AND(_xlfn.ISFORMULA(C48),_xlfn.ISFORMULA(J48)),"Y","N")</f>
        <v>N</v>
      </c>
      <c r="GD48" s="0" t="n">
        <f aca="false">ROW()-1</f>
        <v>47</v>
      </c>
    </row>
    <row r="49" customFormat="false" ht="15" hidden="false" customHeight="false" outlineLevel="0" collapsed="false">
      <c r="A49" s="0" t="s">
        <v>1377</v>
      </c>
      <c r="B49" s="0" t="s">
        <v>1810</v>
      </c>
      <c r="C49" s="0" t="s">
        <v>1380</v>
      </c>
      <c r="D49" s="0" t="s">
        <v>1811</v>
      </c>
      <c r="E49" s="0" t="s">
        <v>1812</v>
      </c>
      <c r="F49" s="0" t="s">
        <v>992</v>
      </c>
      <c r="G49" s="0" t="s">
        <v>189</v>
      </c>
      <c r="M49" s="0" t="s">
        <v>380</v>
      </c>
      <c r="R49" s="5"/>
      <c r="U49" s="5"/>
      <c r="V49" s="0" t="s">
        <v>380</v>
      </c>
      <c r="AE49" s="0" t="s">
        <v>1813</v>
      </c>
      <c r="AF49" s="0" t="s">
        <v>339</v>
      </c>
      <c r="AG49" s="0" t="s">
        <v>1381</v>
      </c>
      <c r="AH49" s="0" t="s">
        <v>901</v>
      </c>
      <c r="AI49" s="0" t="s">
        <v>1384</v>
      </c>
      <c r="AJ49" s="0" t="s">
        <v>164</v>
      </c>
      <c r="AK49" s="0" t="s">
        <v>298</v>
      </c>
      <c r="AL49" s="0" t="s">
        <v>164</v>
      </c>
      <c r="AM49" s="0" t="n">
        <v>224</v>
      </c>
      <c r="AN49" s="0" t="s">
        <v>187</v>
      </c>
      <c r="AO49" s="0" t="s">
        <v>188</v>
      </c>
      <c r="AP49" s="0" t="s">
        <v>1814</v>
      </c>
      <c r="AQ49" s="5" t="s">
        <v>189</v>
      </c>
      <c r="AT49" s="0" t="str">
        <f aca="false">IF($A49="","",IF(AND(CN49="pass",AQ49&lt;&gt;"Y",C49&lt;&gt;"",OR(AX49&lt;&gt;"Y",AV49="Y")),"Y","N"))</f>
        <v>Y</v>
      </c>
      <c r="AU49" s="0" t="str">
        <f aca="false">IF($A49="","",_xlfn.TEXTJOIN("; ",TRUE(),IF(CN49&lt;&gt;"pass","gated out",""),IF(AQ49="Y","on hold: "&amp;AR49,""),IF(C49="","no contact named on an opened page",""),IF(AND(AX49="Y",AV49&lt;&gt;"Y"),"Tuesday estimate band "&amp;L49&amp;": founder's call","")))</f>
        <v/>
      </c>
      <c r="AX49" s="0" t="s">
        <v>189</v>
      </c>
      <c r="BC49" s="0" t="str">
        <f aca="false">IF($A49="","",IFERROR(INDEX(Enrichment!$A$2:$GZ$2000,MATCH($A49,INDEX(Enrichment!$A$2:$GZ$2000,0,MATCH("row_id",Enrichment!$A$1:$GZ$1,0)),0),MATCH("work_email",Enrichment!$A$1:$GZ$1,0))&amp;"",""))</f>
        <v/>
      </c>
      <c r="BD49" s="0" t="str">
        <f aca="false">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none</v>
      </c>
      <c r="BF49" s="0" t="s">
        <v>380</v>
      </c>
      <c r="BJ49" s="0" t="s">
        <v>380</v>
      </c>
      <c r="BK49" s="0" t="s">
        <v>743</v>
      </c>
      <c r="BL49" s="0" t="s">
        <v>837</v>
      </c>
      <c r="BQ49" s="0" t="str">
        <f aca="false">IF($A49="","",IFERROR(INDEX(Enrichment!$A$2:$GZ$2000,MATCH($A49,INDEX(Enrichment!$A$2:$GZ$2000,0,MATCH("row_id",Enrichment!$A$1:$GZ$1,0)),0),MATCH("backup_work_email",Enrichment!$A$1:$GZ$1,0))&amp;"",""))</f>
        <v/>
      </c>
      <c r="BR49" s="0" t="str">
        <f aca="false">IF($A49="","",IF(BQ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none</v>
      </c>
      <c r="BT49" s="0" t="s">
        <v>380</v>
      </c>
      <c r="BX49" s="0" t="s">
        <v>380</v>
      </c>
      <c r="BY49" s="0" t="s">
        <v>387</v>
      </c>
      <c r="BZ49" s="0" t="s">
        <v>388</v>
      </c>
      <c r="CA49" s="0" t="s">
        <v>1815</v>
      </c>
      <c r="CB49" s="0" t="s">
        <v>746</v>
      </c>
      <c r="CM49" s="0" t="s">
        <v>164</v>
      </c>
      <c r="CN49" s="0" t="s">
        <v>200</v>
      </c>
      <c r="CO49" s="0" t="s">
        <v>201</v>
      </c>
      <c r="CP49" s="0" t="s">
        <v>1</v>
      </c>
      <c r="CQ49" s="0" t="s">
        <v>1816</v>
      </c>
      <c r="CR49" s="0" t="s">
        <v>1817</v>
      </c>
      <c r="CS49" s="0" t="s">
        <v>1818</v>
      </c>
      <c r="CT49" s="0" t="s">
        <v>1819</v>
      </c>
      <c r="CU49" s="0" t="s">
        <v>1820</v>
      </c>
      <c r="CV49" s="0" t="s">
        <v>355</v>
      </c>
      <c r="CW49" s="0" t="s">
        <v>204</v>
      </c>
      <c r="CX49" s="0" t="s">
        <v>356</v>
      </c>
      <c r="CY49" s="0" t="s">
        <v>1821</v>
      </c>
      <c r="CZ49" s="0" t="s">
        <v>1822</v>
      </c>
      <c r="DA49" s="0" t="s">
        <v>207</v>
      </c>
      <c r="DB49" s="0" t="s">
        <v>1823</v>
      </c>
      <c r="DC49" s="0" t="s">
        <v>189</v>
      </c>
      <c r="DD49" s="0" t="s">
        <v>1824</v>
      </c>
      <c r="DE49" s="0" t="s">
        <v>1825</v>
      </c>
      <c r="DF49" s="0" t="s">
        <v>525</v>
      </c>
      <c r="DG49" s="0" t="n">
        <v>40.743006</v>
      </c>
      <c r="DH49" s="0" t="n">
        <v>-73.98947</v>
      </c>
      <c r="DI49" s="0" t="s">
        <v>164</v>
      </c>
      <c r="DJ49" s="0" t="n">
        <v>0</v>
      </c>
      <c r="DK49" s="0" t="s">
        <v>1082</v>
      </c>
      <c r="DL49" s="0" t="s">
        <v>1083</v>
      </c>
      <c r="DM49" s="0" t="s">
        <v>1826</v>
      </c>
      <c r="DN49" s="0" t="s">
        <v>1827</v>
      </c>
      <c r="DO49" s="0" t="s">
        <v>363</v>
      </c>
      <c r="DS49" s="0" t="s">
        <v>809</v>
      </c>
      <c r="DU49" s="0" t="s">
        <v>189</v>
      </c>
      <c r="DX49" s="0" t="s">
        <v>267</v>
      </c>
      <c r="DY49" s="0" t="s">
        <v>1086</v>
      </c>
      <c r="EA49" s="0" t="s">
        <v>209</v>
      </c>
      <c r="EB49" s="0" t="s">
        <v>189</v>
      </c>
      <c r="EC49" s="0" t="s">
        <v>218</v>
      </c>
      <c r="ED49" s="0" t="s">
        <v>1821</v>
      </c>
      <c r="EE49" s="0" t="s">
        <v>172</v>
      </c>
      <c r="EF49" s="0" t="n">
        <v>45</v>
      </c>
      <c r="EG49" s="0" t="s">
        <v>1280</v>
      </c>
      <c r="EH49" s="0" t="s">
        <v>189</v>
      </c>
      <c r="EI49" s="0" t="s">
        <v>1828</v>
      </c>
      <c r="EJ49" s="0" t="s">
        <v>221</v>
      </c>
      <c r="EK49" s="0" t="n">
        <v>0.54</v>
      </c>
      <c r="EL49" s="0" t="n">
        <v>52.4</v>
      </c>
      <c r="EM49" s="0" t="n">
        <v>13.4</v>
      </c>
      <c r="EN49" s="0" t="n">
        <v>11</v>
      </c>
      <c r="EO49" s="0" t="n">
        <v>15</v>
      </c>
      <c r="EP49" s="0" t="n">
        <v>13</v>
      </c>
      <c r="EQ49" s="0" t="n">
        <f aca="false">IF($A49="","",IF(AH49="exact",10,IF(AH49="adjacent",5,0)))</f>
        <v>0</v>
      </c>
      <c r="ER49" s="0" t="n">
        <f aca="false">IF($A49="","",IF(R49="Y",15,0))</f>
        <v>0</v>
      </c>
      <c r="ES49" s="0" t="s">
        <v>222</v>
      </c>
      <c r="EX49" s="0" t="s">
        <v>1829</v>
      </c>
      <c r="EZ49" s="0" t="s">
        <v>1830</v>
      </c>
      <c r="FS49" s="0" t="str">
        <f aca="false">IF($A49="","",IF(ISNUMBER(MATCH(U49,{"queued","contacted","replied","call_booked","call_done","yes_in_principle","materials_sent"},0)),"Y","N"))</f>
        <v>N</v>
      </c>
      <c r="FT49" s="0" t="str">
        <f aca="false">IF($A49="","",IF(OR(T49="Y",U49="do_not_contact",AS49&amp;""&lt;&gt;""),"Y","N"))</f>
        <v>N</v>
      </c>
      <c r="FU49" s="0" t="str">
        <f aca="false">IF($A49="","",IF(AP49&amp;""&lt;&gt;"",AP49&amp;"",$A49))</f>
        <v>AO-C-109</v>
      </c>
      <c r="FV49" s="0" t="str">
        <f aca="false">IF($A49="","",IF(COUNTIFS($FU$2:$FU$1000,FU49,$FS$2:$FS$1000,"Y")+COUNTIFS($FU$2:$FU$1000,FU49,$FT$2:$FT$1000,"Y")&gt;0,"Y","N"))</f>
        <v>N</v>
      </c>
      <c r="FW49" s="0" t="str">
        <f aca="false">IF($A49="","",IF(AND(U49="new",T49="N",FT49="N",AT49="Y",FV49="N"),"Y","N"))</f>
        <v>N</v>
      </c>
      <c r="FX49" s="0" t="str">
        <f aca="false">IF($A49="","",IF(FW49&lt;&gt;"Y","N",IF(COUNTIFS($FU$2:$FU$1000,FU49,$FW$2:$FW$1000,"Y",$J$2:$J$1000,"&gt;"&amp;J49)+COUNTIFS($FU$2:$FU$1000,FU49,$FW$2:$FW$1000,"Y",$J$2:$J$1000,J49,$GD$2:$GD$1000,"&lt;"&amp;GD49)=0,"Y","N")))</f>
        <v>N</v>
      </c>
      <c r="FY49" s="0" t="str">
        <f aca="false">IF($A49="","",IF(AND(FW49="Y",FX49="Y",Y49&amp;""&lt;&gt;""),IF(Y49&lt;=10,"Y","N"),"N"))</f>
        <v>N</v>
      </c>
      <c r="FZ49" s="0" t="str">
        <f aca="false">IF(FY49="Y",Y49,"")</f>
        <v/>
      </c>
      <c r="GA49" s="0" t="str">
        <f aca="false">IF($A49="","",IF(AND(I49="walk-in",CN49="pass",U49="new",FT49="N",FV49="N",AQ49&lt;&gt;"Y"),"Y","N"))</f>
        <v>N</v>
      </c>
      <c r="GB49" s="0" t="str">
        <f aca="false">IF(GA49&lt;&gt;"Y","",IF(COUNTIFS($GA$2:$GA$1000,"Y",$J$2:$J$1000,"&gt;"&amp;J49)+COUNTIFS($GA$2:$GA$1000,"Y",$J$2:$J$1000,J49,$GD$2:$GD$1000,"&lt;"&amp;GD49)+1&lt;=25,COUNTIFS($GA$2:$GA$1000,"Y",$J$2:$J$1000,"&gt;"&amp;J49)+COUNTIFS($GA$2:$GA$1000,"Y",$J$2:$J$1000,J49,$GD$2:$GD$1000,"&lt;"&amp;GD49)+1,""))</f>
        <v/>
      </c>
      <c r="GC49" s="0" t="str">
        <f aca="false">IF(AND(_xlfn.ISFORMULA(C49),_xlfn.ISFORMULA(J49)),"Y","N")</f>
        <v>N</v>
      </c>
      <c r="GD49" s="0" t="n">
        <f aca="false">ROW()-1</f>
        <v>48</v>
      </c>
    </row>
    <row r="50" customFormat="false" ht="15" hidden="false" customHeight="false" outlineLevel="0" collapsed="false">
      <c r="A50" s="0" t="s">
        <v>1473</v>
      </c>
      <c r="B50" s="0" t="s">
        <v>1831</v>
      </c>
      <c r="C50" s="0" t="s">
        <v>209</v>
      </c>
      <c r="E50" s="0" t="s">
        <v>1832</v>
      </c>
      <c r="F50" s="0" t="s">
        <v>1061</v>
      </c>
      <c r="G50" s="0" t="s">
        <v>189</v>
      </c>
      <c r="M50" s="0" t="s">
        <v>380</v>
      </c>
      <c r="R50" s="5"/>
      <c r="U50" s="5"/>
      <c r="V50" s="0" t="s">
        <v>380</v>
      </c>
      <c r="AE50" s="0" t="s">
        <v>245</v>
      </c>
      <c r="AF50" s="0" t="s">
        <v>209</v>
      </c>
      <c r="AG50" s="0" t="s">
        <v>1476</v>
      </c>
      <c r="AH50" s="0" t="s">
        <v>1477</v>
      </c>
      <c r="AI50" s="0" t="s">
        <v>209</v>
      </c>
      <c r="AJ50" s="0" t="s">
        <v>164</v>
      </c>
      <c r="AK50" s="0" t="s">
        <v>203</v>
      </c>
      <c r="AL50" s="0" t="s">
        <v>164</v>
      </c>
      <c r="AM50" s="0" t="n">
        <v>309</v>
      </c>
      <c r="AN50" s="0" t="s">
        <v>187</v>
      </c>
      <c r="AO50" s="0" t="s">
        <v>209</v>
      </c>
      <c r="AP50" s="0" t="s">
        <v>1327</v>
      </c>
      <c r="AQ50" s="5" t="s">
        <v>189</v>
      </c>
      <c r="AT50" s="0" t="str">
        <f aca="false">IF($A50="","",IF(AND(CN50="pass",AQ50&lt;&gt;"Y",C50&lt;&gt;"",OR(AX50&lt;&gt;"Y",AV50="Y")),"Y","N"))</f>
        <v>Y</v>
      </c>
      <c r="AU50" s="0" t="str">
        <f aca="false">IF($A50="","",_xlfn.TEXTJOIN("; ",TRUE(),IF(CN50&lt;&gt;"pass","gated out",""),IF(AQ50="Y","on hold: "&amp;AR50,""),IF(C50="","no contact named on an opened page",""),IF(AND(AX50="Y",AV50&lt;&gt;"Y"),"Tuesday estimate band "&amp;L50&amp;": founder's call","")))</f>
        <v/>
      </c>
      <c r="AX50" s="0" t="s">
        <v>189</v>
      </c>
      <c r="AY50" s="0" t="s">
        <v>1333</v>
      </c>
      <c r="AZ50" s="0" t="s">
        <v>1334</v>
      </c>
      <c r="BA50" s="0" t="s">
        <v>1335</v>
      </c>
      <c r="BC50" s="0" t="str">
        <f aca="false">IF($A50="","",IFERROR(INDEX(Enrichment!$A$2:$GZ$2000,MATCH($A50,INDEX(Enrichment!$A$2:$GZ$2000,0,MATCH("row_id",Enrichment!$A$1:$GZ$1,0)),0),MATCH("work_email",Enrichment!$A$1:$GZ$1,0))&amp;"",""))</f>
        <v/>
      </c>
      <c r="BD50" s="0" t="str">
        <f aca="false">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none</v>
      </c>
      <c r="BE50" s="0" t="s">
        <v>168</v>
      </c>
      <c r="BF50" s="0" t="s">
        <v>169</v>
      </c>
      <c r="BG50" s="0" t="s">
        <v>170</v>
      </c>
      <c r="BH50" s="0" t="s">
        <v>1336</v>
      </c>
      <c r="BI50" s="0" t="s">
        <v>172</v>
      </c>
      <c r="BJ50" s="0" t="s">
        <v>301</v>
      </c>
      <c r="BK50" s="0" t="s">
        <v>1833</v>
      </c>
      <c r="BL50" s="0" t="s">
        <v>1834</v>
      </c>
      <c r="BQ50" s="0" t="str">
        <f aca="false">IF($A50="","",IFERROR(INDEX(Enrichment!$A$2:$GZ$2000,MATCH($A50,INDEX(Enrichment!$A$2:$GZ$2000,0,MATCH("row_id",Enrichment!$A$1:$GZ$1,0)),0),MATCH("backup_work_email",Enrichment!$A$1:$GZ$1,0))&amp;"",""))</f>
        <v/>
      </c>
      <c r="BR50" s="0" t="str">
        <f aca="false">IF($A50="","",IF(BQ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none</v>
      </c>
      <c r="BT50" s="0" t="s">
        <v>380</v>
      </c>
      <c r="BX50" s="0" t="s">
        <v>380</v>
      </c>
      <c r="BY50" s="0" t="s">
        <v>387</v>
      </c>
      <c r="BZ50" s="0" t="s">
        <v>388</v>
      </c>
      <c r="CA50" s="0" t="s">
        <v>1835</v>
      </c>
      <c r="CB50" s="0" t="s">
        <v>196</v>
      </c>
      <c r="CC50" s="0" t="s">
        <v>1836</v>
      </c>
      <c r="CE50" s="0" t="s">
        <v>1837</v>
      </c>
      <c r="CF50" s="0" t="s">
        <v>352</v>
      </c>
      <c r="CM50" s="0" t="s">
        <v>164</v>
      </c>
      <c r="CN50" s="0" t="s">
        <v>200</v>
      </c>
      <c r="CO50" s="0" t="s">
        <v>201</v>
      </c>
      <c r="CP50" s="0" t="s">
        <v>1</v>
      </c>
      <c r="CQ50" s="0" t="s">
        <v>1838</v>
      </c>
      <c r="CR50" s="0" t="s">
        <v>1329</v>
      </c>
      <c r="CS50" s="0" t="s">
        <v>1338</v>
      </c>
      <c r="CT50" s="0" t="s">
        <v>873</v>
      </c>
      <c r="CU50" s="0" t="s">
        <v>1839</v>
      </c>
      <c r="CV50" s="0" t="s">
        <v>209</v>
      </c>
      <c r="CW50" s="0" t="s">
        <v>209</v>
      </c>
      <c r="CX50" s="0" t="s">
        <v>440</v>
      </c>
      <c r="CY50" s="0" t="s">
        <v>1840</v>
      </c>
      <c r="CZ50" s="0" t="s">
        <v>1841</v>
      </c>
      <c r="DA50" s="0" t="s">
        <v>1351</v>
      </c>
      <c r="DB50" s="0" t="s">
        <v>259</v>
      </c>
      <c r="DC50" s="0" t="s">
        <v>164</v>
      </c>
      <c r="DD50" s="0" t="s">
        <v>209</v>
      </c>
      <c r="DE50" s="0" t="s">
        <v>209</v>
      </c>
      <c r="DF50" s="0" t="s">
        <v>210</v>
      </c>
      <c r="DG50" s="0" t="n">
        <v>40.7357</v>
      </c>
      <c r="DH50" s="0" t="n">
        <v>-73.991754</v>
      </c>
      <c r="DI50" s="0" t="s">
        <v>164</v>
      </c>
      <c r="DJ50" s="0" t="n">
        <v>0</v>
      </c>
      <c r="DK50" s="0" t="s">
        <v>1842</v>
      </c>
      <c r="DL50" s="0" t="s">
        <v>1843</v>
      </c>
      <c r="DM50" s="0" t="s">
        <v>1840</v>
      </c>
      <c r="DN50" s="0" t="s">
        <v>263</v>
      </c>
      <c r="DO50" s="0" t="s">
        <v>214</v>
      </c>
      <c r="DP50" s="0" t="s">
        <v>1844</v>
      </c>
      <c r="DQ50" s="0" t="s">
        <v>1845</v>
      </c>
      <c r="DS50" s="0" t="s">
        <v>217</v>
      </c>
      <c r="DU50" s="0" t="s">
        <v>189</v>
      </c>
      <c r="DX50" s="0" t="s">
        <v>209</v>
      </c>
      <c r="EA50" s="0" t="s">
        <v>209</v>
      </c>
      <c r="EB50" s="0" t="s">
        <v>189</v>
      </c>
      <c r="EC50" s="0" t="s">
        <v>209</v>
      </c>
      <c r="EF50" s="0" t="n">
        <v>176</v>
      </c>
      <c r="EG50" s="0" t="s">
        <v>366</v>
      </c>
      <c r="EH50" s="0" t="s">
        <v>189</v>
      </c>
      <c r="EI50" s="0" t="s">
        <v>1846</v>
      </c>
      <c r="EJ50" s="0" t="s">
        <v>221</v>
      </c>
      <c r="EK50" s="0" t="n">
        <v>0.81</v>
      </c>
      <c r="EL50" s="0" t="n">
        <v>52.3</v>
      </c>
      <c r="EM50" s="0" t="n">
        <v>20.3</v>
      </c>
      <c r="EN50" s="0" t="n">
        <v>6</v>
      </c>
      <c r="EO50" s="0" t="n">
        <v>6</v>
      </c>
      <c r="EP50" s="0" t="n">
        <v>15</v>
      </c>
      <c r="EQ50" s="0" t="n">
        <f aca="false">IF($A50="","",IF(AH50="exact",10,IF(AH50="adjacent",5,0)))</f>
        <v>0</v>
      </c>
      <c r="ER50" s="0" t="n">
        <f aca="false">IF($A50="","",IF(R50="Y",15,0))</f>
        <v>0</v>
      </c>
      <c r="ES50" s="0" t="s">
        <v>222</v>
      </c>
      <c r="EX50" s="0" t="s">
        <v>1847</v>
      </c>
      <c r="FS50" s="0" t="str">
        <f aca="false">IF($A50="","",IF(ISNUMBER(MATCH(U50,{"queued","contacted","replied","call_booked","call_done","yes_in_principle","materials_sent"},0)),"Y","N"))</f>
        <v>N</v>
      </c>
      <c r="FT50" s="0" t="str">
        <f aca="false">IF($A50="","",IF(OR(T50="Y",U50="do_not_contact",AS50&amp;""&lt;&gt;""),"Y","N"))</f>
        <v>N</v>
      </c>
      <c r="FU50" s="0" t="str">
        <f aca="false">IF($A50="","",IF(AP50&amp;""&lt;&gt;"",AP50&amp;"",$A50))</f>
        <v>AO-C-013</v>
      </c>
      <c r="FV50" s="0" t="str">
        <f aca="false">IF($A50="","",IF(COUNTIFS($FU$2:$FU$1000,FU50,$FS$2:$FS$1000,"Y")+COUNTIFS($FU$2:$FU$1000,FU50,$FT$2:$FT$1000,"Y")&gt;0,"Y","N"))</f>
        <v>N</v>
      </c>
      <c r="FW50" s="0" t="str">
        <f aca="false">IF($A50="","",IF(AND(U50="new",T50="N",FT50="N",AT50="Y",FV50="N"),"Y","N"))</f>
        <v>N</v>
      </c>
      <c r="FX50" s="0" t="str">
        <f aca="false">IF($A50="","",IF(FW50&lt;&gt;"Y","N",IF(COUNTIFS($FU$2:$FU$1000,FU50,$FW$2:$FW$1000,"Y",$J$2:$J$1000,"&gt;"&amp;J50)+COUNTIFS($FU$2:$FU$1000,FU50,$FW$2:$FW$1000,"Y",$J$2:$J$1000,J50,$GD$2:$GD$1000,"&lt;"&amp;GD50)=0,"Y","N")))</f>
        <v>N</v>
      </c>
      <c r="FY50" s="0" t="str">
        <f aca="false">IF($A50="","",IF(AND(FW50="Y",FX50="Y",Y50&amp;""&lt;&gt;""),IF(Y50&lt;=10,"Y","N"),"N"))</f>
        <v>N</v>
      </c>
      <c r="FZ50" s="0" t="str">
        <f aca="false">IF(FY50="Y",Y50,"")</f>
        <v/>
      </c>
      <c r="GA50" s="0" t="str">
        <f aca="false">IF($A50="","",IF(AND(I50="walk-in",CN50="pass",U50="new",FT50="N",FV50="N",AQ50&lt;&gt;"Y"),"Y","N"))</f>
        <v>N</v>
      </c>
      <c r="GB50" s="0" t="str">
        <f aca="false">IF(GA50&lt;&gt;"Y","",IF(COUNTIFS($GA$2:$GA$1000,"Y",$J$2:$J$1000,"&gt;"&amp;J50)+COUNTIFS($GA$2:$GA$1000,"Y",$J$2:$J$1000,J50,$GD$2:$GD$1000,"&lt;"&amp;GD50)+1&lt;=25,COUNTIFS($GA$2:$GA$1000,"Y",$J$2:$J$1000,"&gt;"&amp;J50)+COUNTIFS($GA$2:$GA$1000,"Y",$J$2:$J$1000,J50,$GD$2:$GD$1000,"&lt;"&amp;GD50)+1,""))</f>
        <v/>
      </c>
      <c r="GC50" s="0" t="str">
        <f aca="false">IF(AND(_xlfn.ISFORMULA(C50),_xlfn.ISFORMULA(J50)),"Y","N")</f>
        <v>N</v>
      </c>
      <c r="GD50" s="0" t="n">
        <f aca="false">ROW()-1</f>
        <v>49</v>
      </c>
    </row>
    <row r="51" customFormat="false" ht="15" hidden="false" customHeight="false" outlineLevel="0" collapsed="false">
      <c r="A51" s="0" t="s">
        <v>1497</v>
      </c>
      <c r="B51" s="0" t="s">
        <v>1848</v>
      </c>
      <c r="C51" s="0" t="s">
        <v>1514</v>
      </c>
      <c r="D51" s="0" t="s">
        <v>1849</v>
      </c>
      <c r="E51" s="0" t="s">
        <v>1850</v>
      </c>
      <c r="F51" s="0" t="s">
        <v>1096</v>
      </c>
      <c r="G51" s="0" t="s">
        <v>189</v>
      </c>
      <c r="H51" s="0" t="s">
        <v>1498</v>
      </c>
      <c r="I51" s="0" t="s">
        <v>1499</v>
      </c>
      <c r="J51" s="0" t="s">
        <v>1500</v>
      </c>
      <c r="L51" s="0" t="s">
        <v>168</v>
      </c>
      <c r="M51" s="0" t="s">
        <v>283</v>
      </c>
      <c r="N51" s="0" t="s">
        <v>284</v>
      </c>
      <c r="O51" s="0" t="s">
        <v>1501</v>
      </c>
      <c r="P51" s="0" t="s">
        <v>172</v>
      </c>
      <c r="Q51" s="0" t="s">
        <v>1504</v>
      </c>
      <c r="R51" s="5" t="s">
        <v>1505</v>
      </c>
      <c r="S51" s="0" t="s">
        <v>862</v>
      </c>
      <c r="U51" s="5" t="s">
        <v>176</v>
      </c>
      <c r="V51" s="0" t="s">
        <v>283</v>
      </c>
      <c r="W51" s="0" t="s">
        <v>284</v>
      </c>
      <c r="X51" s="0" t="s">
        <v>1506</v>
      </c>
      <c r="Y51" s="0" t="s">
        <v>172</v>
      </c>
      <c r="Z51" s="0" t="s">
        <v>1511</v>
      </c>
      <c r="AB51" s="0" t="s">
        <v>1512</v>
      </c>
      <c r="AC51" s="0" t="s">
        <v>180</v>
      </c>
      <c r="AE51" s="0" t="s">
        <v>734</v>
      </c>
      <c r="AF51" s="0" t="s">
        <v>209</v>
      </c>
      <c r="AG51" s="0" t="s">
        <v>1515</v>
      </c>
      <c r="AH51" s="0" t="s">
        <v>706</v>
      </c>
      <c r="AI51" s="0" t="s">
        <v>1517</v>
      </c>
      <c r="AJ51" s="0" t="s">
        <v>164</v>
      </c>
      <c r="AK51" s="0" t="s">
        <v>298</v>
      </c>
      <c r="AL51" s="0" t="s">
        <v>164</v>
      </c>
      <c r="AM51" s="0" t="n">
        <v>150</v>
      </c>
      <c r="AN51" s="0" t="s">
        <v>187</v>
      </c>
      <c r="AO51" s="0" t="s">
        <v>209</v>
      </c>
      <c r="AP51" s="0" t="s">
        <v>1851</v>
      </c>
      <c r="AQ51" s="5" t="s">
        <v>189</v>
      </c>
      <c r="AT51" s="0" t="str">
        <f aca="false">IF($A51="","",IF(AND(CN51="pass",AQ51&lt;&gt;"Y",C51&lt;&gt;"",OR(AX51&lt;&gt;"Y",AV51="Y")),"Y","N"))</f>
        <v>Y</v>
      </c>
      <c r="AU51" s="0" t="str">
        <f aca="false">IF($A51="","",_xlfn.TEXTJOIN("; ",TRUE(),IF(CN51&lt;&gt;"pass","gated out",""),IF(AQ51="Y","on hold: "&amp;AR51,""),IF(C51="","no contact named on an opened page",""),IF(AND(AX51="Y",AV51&lt;&gt;"Y"),"Tuesday estimate band "&amp;L51&amp;": founder's call","")))</f>
        <v/>
      </c>
      <c r="AX51" s="0" t="s">
        <v>189</v>
      </c>
      <c r="BC51" s="0" t="str">
        <f aca="false">IF($A51="","",IFERROR(INDEX(Enrichment!$A$2:$GZ$2000,MATCH($A51,INDEX(Enrichment!$A$2:$GZ$2000,0,MATCH("row_id",Enrichment!$A$1:$GZ$1,0)),0),MATCH("work_email",Enrichment!$A$1:$GZ$1,0))&amp;"",""))</f>
        <v/>
      </c>
      <c r="BD51" s="0" t="str">
        <f aca="false">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none</v>
      </c>
      <c r="BF51" s="0" t="s">
        <v>380</v>
      </c>
      <c r="BJ51" s="0" t="s">
        <v>380</v>
      </c>
      <c r="BK51" s="0" t="s">
        <v>743</v>
      </c>
      <c r="BL51" s="0" t="s">
        <v>896</v>
      </c>
      <c r="BQ51" s="0" t="str">
        <f aca="false">IF($A51="","",IFERROR(INDEX(Enrichment!$A$2:$GZ$2000,MATCH($A51,INDEX(Enrichment!$A$2:$GZ$2000,0,MATCH("row_id",Enrichment!$A$1:$GZ$1,0)),0),MATCH("backup_work_email",Enrichment!$A$1:$GZ$1,0))&amp;"",""))</f>
        <v/>
      </c>
      <c r="BR51" s="0" t="str">
        <f aca="false">IF($A51="","",IF(BQ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none</v>
      </c>
      <c r="BT51" s="0" t="s">
        <v>380</v>
      </c>
      <c r="BX51" s="0" t="s">
        <v>380</v>
      </c>
      <c r="BY51" s="0" t="s">
        <v>387</v>
      </c>
      <c r="BZ51" s="0" t="s">
        <v>388</v>
      </c>
      <c r="CA51" s="0" t="s">
        <v>1852</v>
      </c>
      <c r="CB51" s="0" t="s">
        <v>746</v>
      </c>
      <c r="CM51" s="0" t="s">
        <v>189</v>
      </c>
      <c r="CN51" s="0" t="s">
        <v>200</v>
      </c>
      <c r="CO51" s="0" t="s">
        <v>201</v>
      </c>
      <c r="CP51" s="0" t="s">
        <v>1</v>
      </c>
      <c r="CQ51" s="0" t="s">
        <v>1853</v>
      </c>
      <c r="CR51" s="0" t="s">
        <v>1854</v>
      </c>
      <c r="CS51" s="0" t="s">
        <v>1855</v>
      </c>
      <c r="CT51" s="0" t="s">
        <v>1856</v>
      </c>
      <c r="CV51" s="0" t="s">
        <v>976</v>
      </c>
      <c r="CW51" s="0" t="s">
        <v>204</v>
      </c>
      <c r="CX51" s="0" t="s">
        <v>205</v>
      </c>
      <c r="CY51" s="0" t="s">
        <v>1857</v>
      </c>
      <c r="DA51" s="0" t="s">
        <v>1351</v>
      </c>
      <c r="DB51" s="0" t="s">
        <v>209</v>
      </c>
      <c r="DC51" s="0" t="s">
        <v>209</v>
      </c>
      <c r="DD51" s="0" t="s">
        <v>209</v>
      </c>
      <c r="DE51" s="0" t="s">
        <v>1858</v>
      </c>
      <c r="DF51" s="0" t="s">
        <v>525</v>
      </c>
      <c r="DG51" s="0" t="n">
        <v>40.743288</v>
      </c>
      <c r="DH51" s="0" t="n">
        <v>-73.986627</v>
      </c>
      <c r="DI51" s="0" t="s">
        <v>164</v>
      </c>
      <c r="DJ51" s="0" t="n">
        <v>0</v>
      </c>
      <c r="DK51" s="0" t="s">
        <v>1859</v>
      </c>
      <c r="DL51" s="0" t="s">
        <v>1860</v>
      </c>
      <c r="DM51" s="0" t="s">
        <v>1861</v>
      </c>
      <c r="DN51" s="0" t="s">
        <v>263</v>
      </c>
      <c r="DO51" s="0" t="s">
        <v>214</v>
      </c>
      <c r="DP51" s="0" t="s">
        <v>1862</v>
      </c>
      <c r="DQ51" s="0" t="s">
        <v>1863</v>
      </c>
      <c r="DS51" s="0" t="s">
        <v>217</v>
      </c>
      <c r="DU51" s="0" t="s">
        <v>189</v>
      </c>
      <c r="DX51" s="0" t="s">
        <v>209</v>
      </c>
      <c r="EA51" s="0" t="s">
        <v>209</v>
      </c>
      <c r="EB51" s="0" t="s">
        <v>189</v>
      </c>
      <c r="EC51" s="0" t="s">
        <v>209</v>
      </c>
      <c r="EF51" s="0" t="n">
        <v>106</v>
      </c>
      <c r="EH51" s="0" t="s">
        <v>164</v>
      </c>
      <c r="EI51" s="0" t="s">
        <v>1864</v>
      </c>
      <c r="EJ51" s="0" t="s">
        <v>221</v>
      </c>
      <c r="EK51" s="0" t="n">
        <v>1</v>
      </c>
      <c r="EL51" s="0" t="n">
        <v>52</v>
      </c>
      <c r="EM51" s="0" t="n">
        <v>25</v>
      </c>
      <c r="EN51" s="0" t="n">
        <v>6</v>
      </c>
      <c r="EO51" s="0" t="n">
        <v>6</v>
      </c>
      <c r="EP51" s="0" t="n">
        <v>15</v>
      </c>
      <c r="EQ51" s="0" t="n">
        <f aca="false">IF($A51="","",IF(AH51="exact",10,IF(AH51="adjacent",5,0)))</f>
        <v>0</v>
      </c>
      <c r="ER51" s="0" t="n">
        <f aca="false">IF($A51="","",IF(R51="Y",15,0))</f>
        <v>0</v>
      </c>
      <c r="ES51" s="0" t="s">
        <v>982</v>
      </c>
      <c r="ET51" s="0" t="s">
        <v>1360</v>
      </c>
      <c r="EU51" s="0" t="s">
        <v>189</v>
      </c>
      <c r="EV51" s="0" t="s">
        <v>1865</v>
      </c>
      <c r="EW51" s="0" t="s">
        <v>224</v>
      </c>
      <c r="EX51" s="0" t="s">
        <v>1866</v>
      </c>
      <c r="EZ51" s="0" t="s">
        <v>1867</v>
      </c>
      <c r="FS51" s="0" t="str">
        <f aca="false">IF($A51="","",IF(ISNUMBER(MATCH(U51,{"queued","contacted","replied","call_booked","call_done","yes_in_principle","materials_sent"},0)),"Y","N"))</f>
        <v>N</v>
      </c>
      <c r="FT51" s="0" t="str">
        <f aca="false">IF($A51="","",IF(OR(T51="Y",U51="do_not_contact",AS51&amp;""&lt;&gt;""),"Y","N"))</f>
        <v>N</v>
      </c>
      <c r="FU51" s="0" t="str">
        <f aca="false">IF($A51="","",IF(AP51&amp;""&lt;&gt;"",AP51&amp;"",$A51))</f>
        <v>AO-C-260</v>
      </c>
      <c r="FV51" s="0" t="str">
        <f aca="false">IF($A51="","",IF(COUNTIFS($FU$2:$FU$1000,FU51,$FS$2:$FS$1000,"Y")+COUNTIFS($FU$2:$FU$1000,FU51,$FT$2:$FT$1000,"Y")&gt;0,"Y","N"))</f>
        <v>N</v>
      </c>
      <c r="FW51" s="0" t="str">
        <f aca="false">IF($A51="","",IF(AND(U51="new",T51="N",FT51="N",AT51="Y",FV51="N"),"Y","N"))</f>
        <v>N</v>
      </c>
      <c r="FX51" s="0" t="str">
        <f aca="false">IF($A51="","",IF(FW51&lt;&gt;"Y","N",IF(COUNTIFS($FU$2:$FU$1000,FU51,$FW$2:$FW$1000,"Y",$J$2:$J$1000,"&gt;"&amp;J51)+COUNTIFS($FU$2:$FU$1000,FU51,$FW$2:$FW$1000,"Y",$J$2:$J$1000,J51,$GD$2:$GD$1000,"&lt;"&amp;GD51)=0,"Y","N")))</f>
        <v>N</v>
      </c>
      <c r="FY51" s="0" t="str">
        <f aca="false">IF($A51="","",IF(AND(FW51="Y",FX51="Y",Y51&amp;""&lt;&gt;""),IF(Y51&lt;=10,"Y","N"),"N"))</f>
        <v>N</v>
      </c>
      <c r="FZ51" s="0" t="str">
        <f aca="false">IF(FY51="Y",Y51,"")</f>
        <v/>
      </c>
      <c r="GA51" s="0" t="str">
        <f aca="false">IF($A51="","",IF(AND(I51="walk-in",CN51="pass",U51="new",FT51="N",FV51="N",AQ51&lt;&gt;"Y"),"Y","N"))</f>
        <v>N</v>
      </c>
      <c r="GB51" s="0" t="str">
        <f aca="false">IF(GA51&lt;&gt;"Y","",IF(COUNTIFS($GA$2:$GA$1000,"Y",$J$2:$J$1000,"&gt;"&amp;J51)+COUNTIFS($GA$2:$GA$1000,"Y",$J$2:$J$1000,J51,$GD$2:$GD$1000,"&lt;"&amp;GD51)+1&lt;=25,COUNTIFS($GA$2:$GA$1000,"Y",$J$2:$J$1000,"&gt;"&amp;J51)+COUNTIFS($GA$2:$GA$1000,"Y",$J$2:$J$1000,J51,$GD$2:$GD$1000,"&lt;"&amp;GD51)+1,""))</f>
        <v/>
      </c>
      <c r="GC51" s="0" t="str">
        <f aca="false">IF(AND(_xlfn.ISFORMULA(C51),_xlfn.ISFORMULA(J51)),"Y","N")</f>
        <v>N</v>
      </c>
      <c r="GD51" s="0" t="n">
        <f aca="false">ROW()-1</f>
        <v>50</v>
      </c>
    </row>
    <row r="52" customFormat="false" ht="15" hidden="false" customHeight="false" outlineLevel="0" collapsed="false">
      <c r="A52" s="0" t="s">
        <v>1565</v>
      </c>
      <c r="B52" s="0" t="s">
        <v>1868</v>
      </c>
      <c r="C52" s="0" t="s">
        <v>1568</v>
      </c>
      <c r="D52" s="0" t="s">
        <v>1869</v>
      </c>
      <c r="E52" s="0" t="s">
        <v>1870</v>
      </c>
      <c r="F52" s="0" t="s">
        <v>1096</v>
      </c>
      <c r="G52" s="0" t="s">
        <v>189</v>
      </c>
      <c r="M52" s="0" t="s">
        <v>380</v>
      </c>
      <c r="R52" s="5"/>
      <c r="U52" s="5"/>
      <c r="V52" s="0" t="s">
        <v>380</v>
      </c>
      <c r="AE52" s="0" t="s">
        <v>1871</v>
      </c>
      <c r="AF52" s="0" t="s">
        <v>1872</v>
      </c>
      <c r="AG52" s="0" t="s">
        <v>1569</v>
      </c>
      <c r="AH52" s="0" t="s">
        <v>1570</v>
      </c>
      <c r="AI52" s="0" t="s">
        <v>1572</v>
      </c>
      <c r="AJ52" s="0" t="s">
        <v>164</v>
      </c>
      <c r="AK52" s="0" t="s">
        <v>186</v>
      </c>
      <c r="AL52" s="0" t="s">
        <v>164</v>
      </c>
      <c r="AM52" s="0" t="n">
        <v>114</v>
      </c>
      <c r="AN52" s="0" t="s">
        <v>187</v>
      </c>
      <c r="AO52" s="0" t="s">
        <v>429</v>
      </c>
      <c r="AP52" s="0" t="s">
        <v>1873</v>
      </c>
      <c r="AQ52" s="5" t="s">
        <v>189</v>
      </c>
      <c r="AT52" s="0" t="str">
        <f aca="false">IF($A52="","",IF(AND(CN52="pass",AQ52&lt;&gt;"Y",C52&lt;&gt;"",OR(AX52&lt;&gt;"Y",AV52="Y")),"Y","N"))</f>
        <v>Y</v>
      </c>
      <c r="AU52" s="0" t="str">
        <f aca="false">IF($A52="","",_xlfn.TEXTJOIN("; ",TRUE(),IF(CN52&lt;&gt;"pass","gated out",""),IF(AQ52="Y","on hold: "&amp;AR52,""),IF(C52="","no contact named on an opened page",""),IF(AND(AX52="Y",AV52&lt;&gt;"Y"),"Tuesday estimate band "&amp;L52&amp;": founder's call","")))</f>
        <v/>
      </c>
      <c r="AX52" s="0" t="s">
        <v>189</v>
      </c>
      <c r="BC52" s="0" t="str">
        <f aca="false">IF($A52="","",IFERROR(INDEX(Enrichment!$A$2:$GZ$2000,MATCH($A52,INDEX(Enrichment!$A$2:$GZ$2000,0,MATCH("row_id",Enrichment!$A$1:$GZ$1,0)),0),MATCH("work_email",Enrichment!$A$1:$GZ$1,0))&amp;"",""))</f>
        <v/>
      </c>
      <c r="BD52" s="0" t="str">
        <f aca="false">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none</v>
      </c>
      <c r="BF52" s="0" t="s">
        <v>380</v>
      </c>
      <c r="BJ52" s="0" t="s">
        <v>380</v>
      </c>
      <c r="BL52" s="0" t="s">
        <v>896</v>
      </c>
      <c r="BQ52" s="0" t="str">
        <f aca="false">IF($A52="","",IFERROR(INDEX(Enrichment!$A$2:$GZ$2000,MATCH($A52,INDEX(Enrichment!$A$2:$GZ$2000,0,MATCH("row_id",Enrichment!$A$1:$GZ$1,0)),0),MATCH("backup_work_email",Enrichment!$A$1:$GZ$1,0))&amp;"",""))</f>
        <v/>
      </c>
      <c r="BR52" s="0" t="str">
        <f aca="false">IF($A52="","",IF(BQ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none</v>
      </c>
      <c r="BT52" s="0" t="s">
        <v>380</v>
      </c>
      <c r="BX52" s="0" t="s">
        <v>380</v>
      </c>
      <c r="BY52" s="0" t="s">
        <v>387</v>
      </c>
      <c r="BZ52" s="0" t="s">
        <v>388</v>
      </c>
      <c r="CA52" s="0" t="s">
        <v>1874</v>
      </c>
      <c r="CB52" s="0" t="s">
        <v>196</v>
      </c>
      <c r="CM52" s="0" t="s">
        <v>189</v>
      </c>
      <c r="CN52" s="0" t="s">
        <v>200</v>
      </c>
      <c r="CO52" s="0" t="s">
        <v>201</v>
      </c>
      <c r="CP52" s="0" t="s">
        <v>1</v>
      </c>
      <c r="CQ52" s="0" t="s">
        <v>1875</v>
      </c>
      <c r="CR52" s="0" t="s">
        <v>1876</v>
      </c>
      <c r="CS52" s="0" t="s">
        <v>1877</v>
      </c>
      <c r="CT52" s="0" t="s">
        <v>1878</v>
      </c>
      <c r="CV52" s="0" t="s">
        <v>976</v>
      </c>
      <c r="CW52" s="0" t="s">
        <v>204</v>
      </c>
      <c r="CX52" s="0" t="s">
        <v>205</v>
      </c>
      <c r="CY52" s="0" t="s">
        <v>1879</v>
      </c>
      <c r="DA52" s="0" t="s">
        <v>978</v>
      </c>
      <c r="DB52" s="0" t="s">
        <v>1880</v>
      </c>
      <c r="DC52" s="0" t="s">
        <v>189</v>
      </c>
      <c r="DD52" s="0" t="s">
        <v>209</v>
      </c>
      <c r="DE52" s="0" t="s">
        <v>1881</v>
      </c>
      <c r="DF52" s="0" t="s">
        <v>525</v>
      </c>
      <c r="DG52" s="0" t="n">
        <v>40.742477</v>
      </c>
      <c r="DH52" s="0" t="n">
        <v>-73.986608</v>
      </c>
      <c r="DI52" s="0" t="s">
        <v>164</v>
      </c>
      <c r="DJ52" s="0" t="n">
        <v>0</v>
      </c>
      <c r="DK52" s="0" t="s">
        <v>1882</v>
      </c>
      <c r="DL52" s="0" t="s">
        <v>1883</v>
      </c>
      <c r="DM52" s="0" t="s">
        <v>1884</v>
      </c>
      <c r="DN52" s="0" t="s">
        <v>1885</v>
      </c>
      <c r="DO52" s="0" t="s">
        <v>651</v>
      </c>
      <c r="DP52" s="0" t="s">
        <v>1886</v>
      </c>
      <c r="DQ52" s="0" t="s">
        <v>1887</v>
      </c>
      <c r="DS52" s="0" t="s">
        <v>217</v>
      </c>
      <c r="DU52" s="0" t="s">
        <v>189</v>
      </c>
      <c r="DX52" s="0" t="s">
        <v>267</v>
      </c>
      <c r="DY52" s="0" t="s">
        <v>1888</v>
      </c>
      <c r="EA52" s="0" t="s">
        <v>209</v>
      </c>
      <c r="EB52" s="0" t="s">
        <v>189</v>
      </c>
      <c r="EC52" s="0" t="s">
        <v>1889</v>
      </c>
      <c r="ED52" s="0" t="s">
        <v>1879</v>
      </c>
      <c r="EE52" s="0" t="s">
        <v>172</v>
      </c>
      <c r="EF52" s="0" t="n">
        <v>114</v>
      </c>
      <c r="EH52" s="0" t="s">
        <v>164</v>
      </c>
      <c r="EI52" s="0" t="s">
        <v>1890</v>
      </c>
      <c r="EJ52" s="0" t="s">
        <v>221</v>
      </c>
      <c r="EK52" s="0" t="n">
        <v>1</v>
      </c>
      <c r="EL52" s="0" t="n">
        <v>52</v>
      </c>
      <c r="EM52" s="0" t="n">
        <v>25</v>
      </c>
      <c r="EN52" s="0" t="n">
        <v>2</v>
      </c>
      <c r="EO52" s="0" t="n">
        <v>10</v>
      </c>
      <c r="EP52" s="0" t="n">
        <v>15</v>
      </c>
      <c r="EQ52" s="0" t="n">
        <f aca="false">IF($A52="","",IF(AH52="exact",10,IF(AH52="adjacent",5,0)))</f>
        <v>0</v>
      </c>
      <c r="ER52" s="0" t="n">
        <f aca="false">IF($A52="","",IF(R52="Y",15,0))</f>
        <v>0</v>
      </c>
      <c r="ES52" s="0" t="s">
        <v>982</v>
      </c>
      <c r="ET52" s="0" t="s">
        <v>983</v>
      </c>
      <c r="EU52" s="0" t="s">
        <v>164</v>
      </c>
      <c r="EV52" s="0" t="s">
        <v>1891</v>
      </c>
      <c r="EW52" s="0" t="s">
        <v>224</v>
      </c>
      <c r="EX52" s="0" t="s">
        <v>1892</v>
      </c>
      <c r="EZ52" s="0" t="s">
        <v>1893</v>
      </c>
      <c r="FS52" s="0" t="str">
        <f aca="false">IF($A52="","",IF(ISNUMBER(MATCH(U52,{"queued","contacted","replied","call_booked","call_done","yes_in_principle","materials_sent"},0)),"Y","N"))</f>
        <v>N</v>
      </c>
      <c r="FT52" s="0" t="str">
        <f aca="false">IF($A52="","",IF(OR(T52="Y",U52="do_not_contact",AS52&amp;""&lt;&gt;""),"Y","N"))</f>
        <v>N</v>
      </c>
      <c r="FU52" s="0" t="str">
        <f aca="false">IF($A52="","",IF(AP52&amp;""&lt;&gt;"",AP52&amp;"",$A52))</f>
        <v>AO-C-251</v>
      </c>
      <c r="FV52" s="0" t="str">
        <f aca="false">IF($A52="","",IF(COUNTIFS($FU$2:$FU$1000,FU52,$FS$2:$FS$1000,"Y")+COUNTIFS($FU$2:$FU$1000,FU52,$FT$2:$FT$1000,"Y")&gt;0,"Y","N"))</f>
        <v>N</v>
      </c>
      <c r="FW52" s="0" t="str">
        <f aca="false">IF($A52="","",IF(AND(U52="new",T52="N",FT52="N",AT52="Y",FV52="N"),"Y","N"))</f>
        <v>N</v>
      </c>
      <c r="FX52" s="0" t="str">
        <f aca="false">IF($A52="","",IF(FW52&lt;&gt;"Y","N",IF(COUNTIFS($FU$2:$FU$1000,FU52,$FW$2:$FW$1000,"Y",$J$2:$J$1000,"&gt;"&amp;J52)+COUNTIFS($FU$2:$FU$1000,FU52,$FW$2:$FW$1000,"Y",$J$2:$J$1000,J52,$GD$2:$GD$1000,"&lt;"&amp;GD52)=0,"Y","N")))</f>
        <v>N</v>
      </c>
      <c r="FY52" s="0" t="str">
        <f aca="false">IF($A52="","",IF(AND(FW52="Y",FX52="Y",Y52&amp;""&lt;&gt;""),IF(Y52&lt;=10,"Y","N"),"N"))</f>
        <v>N</v>
      </c>
      <c r="FZ52" s="0" t="str">
        <f aca="false">IF(FY52="Y",Y52,"")</f>
        <v/>
      </c>
      <c r="GA52" s="0" t="str">
        <f aca="false">IF($A52="","",IF(AND(I52="walk-in",CN52="pass",U52="new",FT52="N",FV52="N",AQ52&lt;&gt;"Y"),"Y","N"))</f>
        <v>N</v>
      </c>
      <c r="GB52" s="0" t="str">
        <f aca="false">IF(GA52&lt;&gt;"Y","",IF(COUNTIFS($GA$2:$GA$1000,"Y",$J$2:$J$1000,"&gt;"&amp;J52)+COUNTIFS($GA$2:$GA$1000,"Y",$J$2:$J$1000,J52,$GD$2:$GD$1000,"&lt;"&amp;GD52)+1&lt;=25,COUNTIFS($GA$2:$GA$1000,"Y",$J$2:$J$1000,"&gt;"&amp;J52)+COUNTIFS($GA$2:$GA$1000,"Y",$J$2:$J$1000,J52,$GD$2:$GD$1000,"&lt;"&amp;GD52)+1,""))</f>
        <v/>
      </c>
      <c r="GC52" s="0" t="str">
        <f aca="false">IF(AND(_xlfn.ISFORMULA(C52),_xlfn.ISFORMULA(J52)),"Y","N")</f>
        <v>N</v>
      </c>
      <c r="GD52" s="0" t="n">
        <f aca="false">ROW()-1</f>
        <v>51</v>
      </c>
    </row>
    <row r="53" customFormat="false" ht="15" hidden="false" customHeight="false" outlineLevel="0" collapsed="false">
      <c r="A53" s="0" t="s">
        <v>1617</v>
      </c>
      <c r="B53" s="0" t="s">
        <v>1894</v>
      </c>
      <c r="C53" s="0" t="s">
        <v>1620</v>
      </c>
      <c r="D53" s="0" t="s">
        <v>1895</v>
      </c>
      <c r="E53" s="0" t="s">
        <v>1896</v>
      </c>
      <c r="F53" s="0" t="s">
        <v>1127</v>
      </c>
      <c r="G53" s="0" t="s">
        <v>189</v>
      </c>
      <c r="M53" s="0" t="s">
        <v>380</v>
      </c>
      <c r="R53" s="5"/>
      <c r="U53" s="5"/>
      <c r="V53" s="0" t="s">
        <v>380</v>
      </c>
      <c r="AE53" s="0" t="s">
        <v>1897</v>
      </c>
      <c r="AF53" s="0" t="s">
        <v>339</v>
      </c>
      <c r="AG53" s="0" t="s">
        <v>1621</v>
      </c>
      <c r="AH53" s="0" t="s">
        <v>1622</v>
      </c>
      <c r="AI53" s="0" t="s">
        <v>1627</v>
      </c>
      <c r="AJ53" s="0" t="s">
        <v>164</v>
      </c>
      <c r="AK53" s="0" t="s">
        <v>298</v>
      </c>
      <c r="AL53" s="0" t="s">
        <v>189</v>
      </c>
      <c r="AM53" s="0" t="n">
        <v>44</v>
      </c>
      <c r="AN53" s="0" t="s">
        <v>187</v>
      </c>
      <c r="AO53" s="0" t="s">
        <v>429</v>
      </c>
      <c r="AP53" s="0" t="s">
        <v>1898</v>
      </c>
      <c r="AQ53" s="5" t="s">
        <v>189</v>
      </c>
      <c r="AT53" s="0" t="str">
        <f aca="false">IF($A53="","",IF(AND(CN53="pass",AQ53&lt;&gt;"Y",C53&lt;&gt;"",OR(AX53&lt;&gt;"Y",AV53="Y")),"Y","N"))</f>
        <v>N</v>
      </c>
      <c r="AU53" s="0" t="str">
        <f aca="false">IF($A53="","",_xlfn.TEXTJOIN("; ",TRUE(),IF(CN53&lt;&gt;"pass","gated out",""),IF(AQ53="Y","on hold: "&amp;AR53,""),IF(C53="","no contact named on an opened page",""),IF(AND(AX53="Y",AV53&lt;&gt;"Y"),"Tuesday estimate band "&amp;L53&amp;": founder's call","")))</f>
        <v>Tuesday estimate band : founder's call</v>
      </c>
      <c r="AX53" s="0" t="s">
        <v>164</v>
      </c>
      <c r="AY53" s="0" t="s">
        <v>1899</v>
      </c>
      <c r="AZ53" s="0" t="s">
        <v>1900</v>
      </c>
      <c r="BA53" s="0" t="s">
        <v>1901</v>
      </c>
      <c r="BC53" s="0" t="str">
        <f aca="false">IF($A53="","",IFERROR(INDEX(Enrichment!$A$2:$GZ$2000,MATCH($A53,INDEX(Enrichment!$A$2:$GZ$2000,0,MATCH("row_id",Enrichment!$A$1:$GZ$1,0)),0),MATCH("work_email",Enrichment!$A$1:$GZ$1,0))&amp;"",""))</f>
        <v/>
      </c>
      <c r="BD53" s="0" t="str">
        <f aca="false">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none</v>
      </c>
      <c r="BE53" s="0" t="s">
        <v>168</v>
      </c>
      <c r="BF53" s="0" t="s">
        <v>283</v>
      </c>
      <c r="BG53" s="0" t="s">
        <v>284</v>
      </c>
      <c r="BH53" s="0" t="s">
        <v>1902</v>
      </c>
      <c r="BI53" s="0" t="s">
        <v>172</v>
      </c>
      <c r="BJ53" s="0" t="s">
        <v>301</v>
      </c>
      <c r="BK53" s="0" t="s">
        <v>1903</v>
      </c>
      <c r="BL53" s="0" t="s">
        <v>1904</v>
      </c>
      <c r="BQ53" s="0" t="str">
        <f aca="false">IF($A53="","",IFERROR(INDEX(Enrichment!$A$2:$GZ$2000,MATCH($A53,INDEX(Enrichment!$A$2:$GZ$2000,0,MATCH("row_id",Enrichment!$A$1:$GZ$1,0)),0),MATCH("backup_work_email",Enrichment!$A$1:$GZ$1,0))&amp;"",""))</f>
        <v/>
      </c>
      <c r="BR53" s="0" t="str">
        <f aca="false">IF($A53="","",IF(BQ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none</v>
      </c>
      <c r="BT53" s="0" t="s">
        <v>380</v>
      </c>
      <c r="BX53" s="0" t="s">
        <v>380</v>
      </c>
      <c r="BY53" s="0" t="s">
        <v>1769</v>
      </c>
      <c r="BZ53" s="0" t="s">
        <v>388</v>
      </c>
      <c r="CA53" s="0" t="s">
        <v>1905</v>
      </c>
      <c r="CB53" s="0" t="s">
        <v>196</v>
      </c>
      <c r="CC53" s="0" t="s">
        <v>1906</v>
      </c>
      <c r="CD53" s="0" t="s">
        <v>1907</v>
      </c>
      <c r="CE53" s="0" t="s">
        <v>1908</v>
      </c>
      <c r="CF53" s="0" t="s">
        <v>180</v>
      </c>
      <c r="CM53" s="0" t="s">
        <v>164</v>
      </c>
      <c r="CN53" s="0" t="s">
        <v>200</v>
      </c>
      <c r="CO53" s="0" t="s">
        <v>201</v>
      </c>
      <c r="CP53" s="0" t="s">
        <v>1</v>
      </c>
      <c r="CQ53" s="0" t="s">
        <v>1909</v>
      </c>
      <c r="CR53" s="0" t="s">
        <v>1910</v>
      </c>
      <c r="CS53" s="0" t="s">
        <v>1911</v>
      </c>
      <c r="CT53" s="0" t="s">
        <v>439</v>
      </c>
      <c r="CV53" s="0" t="s">
        <v>203</v>
      </c>
      <c r="CW53" s="0" t="s">
        <v>204</v>
      </c>
      <c r="CX53" s="0" t="s">
        <v>205</v>
      </c>
      <c r="CY53" s="0" t="s">
        <v>1912</v>
      </c>
      <c r="DA53" s="0" t="s">
        <v>207</v>
      </c>
      <c r="DB53" s="0" t="s">
        <v>259</v>
      </c>
      <c r="DC53" s="0" t="s">
        <v>164</v>
      </c>
      <c r="DD53" s="0" t="s">
        <v>209</v>
      </c>
      <c r="DE53" s="0" t="s">
        <v>1913</v>
      </c>
      <c r="DF53" s="0" t="s">
        <v>525</v>
      </c>
      <c r="DG53" s="0" t="n">
        <v>40.741838</v>
      </c>
      <c r="DH53" s="0" t="n">
        <v>-73.992892</v>
      </c>
      <c r="DI53" s="0" t="s">
        <v>164</v>
      </c>
      <c r="DJ53" s="0" t="n">
        <v>0</v>
      </c>
      <c r="DK53" s="0" t="s">
        <v>1914</v>
      </c>
      <c r="DL53" s="0" t="s">
        <v>1915</v>
      </c>
      <c r="DM53" s="0" t="s">
        <v>1916</v>
      </c>
      <c r="DN53" s="0" t="s">
        <v>172</v>
      </c>
      <c r="DO53" s="0" t="s">
        <v>214</v>
      </c>
      <c r="DP53" s="0" t="s">
        <v>1917</v>
      </c>
      <c r="DQ53" s="0" t="s">
        <v>1918</v>
      </c>
      <c r="DS53" s="0" t="s">
        <v>217</v>
      </c>
      <c r="DU53" s="0" t="s">
        <v>189</v>
      </c>
      <c r="DX53" s="0" t="s">
        <v>209</v>
      </c>
      <c r="EA53" s="0" t="s">
        <v>209</v>
      </c>
      <c r="EB53" s="0" t="s">
        <v>164</v>
      </c>
      <c r="EC53" s="0" t="s">
        <v>1919</v>
      </c>
      <c r="ED53" s="0" t="s">
        <v>1920</v>
      </c>
      <c r="EE53" s="0" t="s">
        <v>172</v>
      </c>
      <c r="EF53" s="0" t="n">
        <v>31</v>
      </c>
      <c r="EG53" s="0" t="s">
        <v>1322</v>
      </c>
      <c r="EH53" s="0" t="s">
        <v>164</v>
      </c>
      <c r="EI53" s="0" t="s">
        <v>1921</v>
      </c>
      <c r="EJ53" s="0" t="s">
        <v>221</v>
      </c>
      <c r="EK53" s="0" t="n">
        <v>0.14</v>
      </c>
      <c r="EL53" s="0" t="n">
        <v>51.4</v>
      </c>
      <c r="EM53" s="0" t="n">
        <v>3.4</v>
      </c>
      <c r="EN53" s="0" t="n">
        <v>15</v>
      </c>
      <c r="EO53" s="0" t="n">
        <v>13</v>
      </c>
      <c r="EP53" s="0" t="n">
        <v>15</v>
      </c>
      <c r="EQ53" s="0" t="n">
        <f aca="false">IF($A53="","",IF(AH53="exact",10,IF(AH53="adjacent",5,0)))</f>
        <v>0</v>
      </c>
      <c r="ER53" s="0" t="n">
        <f aca="false">IF($A53="","",IF(R53="Y",15,0))</f>
        <v>0</v>
      </c>
      <c r="ES53" s="0" t="s">
        <v>222</v>
      </c>
      <c r="EV53" s="0" t="s">
        <v>1922</v>
      </c>
      <c r="EW53" s="0" t="s">
        <v>224</v>
      </c>
      <c r="EX53" s="0" t="s">
        <v>1923</v>
      </c>
      <c r="EZ53" s="0" t="s">
        <v>1924</v>
      </c>
      <c r="FS53" s="0" t="str">
        <f aca="false">IF($A53="","",IF(ISNUMBER(MATCH(U53,{"queued","contacted","replied","call_booked","call_done","yes_in_principle","materials_sent"},0)),"Y","N"))</f>
        <v>N</v>
      </c>
      <c r="FT53" s="0" t="str">
        <f aca="false">IF($A53="","",IF(OR(T53="Y",U53="do_not_contact",AS53&amp;""&lt;&gt;""),"Y","N"))</f>
        <v>N</v>
      </c>
      <c r="FU53" s="0" t="str">
        <f aca="false">IF($A53="","",IF(AP53&amp;""&lt;&gt;"",AP53&amp;"",$A53))</f>
        <v>AO-C-085</v>
      </c>
      <c r="FV53" s="0" t="str">
        <f aca="false">IF($A53="","",IF(COUNTIFS($FU$2:$FU$1000,FU53,$FS$2:$FS$1000,"Y")+COUNTIFS($FU$2:$FU$1000,FU53,$FT$2:$FT$1000,"Y")&gt;0,"Y","N"))</f>
        <v>N</v>
      </c>
      <c r="FW53" s="0" t="str">
        <f aca="false">IF($A53="","",IF(AND(U53="new",T53="N",FT53="N",AT53="Y",FV53="N"),"Y","N"))</f>
        <v>N</v>
      </c>
      <c r="FX53" s="0" t="str">
        <f aca="false">IF($A53="","",IF(FW53&lt;&gt;"Y","N",IF(COUNTIFS($FU$2:$FU$1000,FU53,$FW$2:$FW$1000,"Y",$J$2:$J$1000,"&gt;"&amp;J53)+COUNTIFS($FU$2:$FU$1000,FU53,$FW$2:$FW$1000,"Y",$J$2:$J$1000,J53,$GD$2:$GD$1000,"&lt;"&amp;GD53)=0,"Y","N")))</f>
        <v>N</v>
      </c>
      <c r="FY53" s="0" t="str">
        <f aca="false">IF($A53="","",IF(AND(FW53="Y",FX53="Y",Y53&amp;""&lt;&gt;""),IF(Y53&lt;=10,"Y","N"),"N"))</f>
        <v>N</v>
      </c>
      <c r="FZ53" s="0" t="str">
        <f aca="false">IF(FY53="Y",Y53,"")</f>
        <v/>
      </c>
      <c r="GA53" s="0" t="str">
        <f aca="false">IF($A53="","",IF(AND(I53="walk-in",CN53="pass",U53="new",FT53="N",FV53="N",AQ53&lt;&gt;"Y"),"Y","N"))</f>
        <v>N</v>
      </c>
      <c r="GB53" s="0" t="str">
        <f aca="false">IF(GA53&lt;&gt;"Y","",IF(COUNTIFS($GA$2:$GA$1000,"Y",$J$2:$J$1000,"&gt;"&amp;J53)+COUNTIFS($GA$2:$GA$1000,"Y",$J$2:$J$1000,J53,$GD$2:$GD$1000,"&lt;"&amp;GD53)+1&lt;=25,COUNTIFS($GA$2:$GA$1000,"Y",$J$2:$J$1000,"&gt;"&amp;J53)+COUNTIFS($GA$2:$GA$1000,"Y",$J$2:$J$1000,J53,$GD$2:$GD$1000,"&lt;"&amp;GD53)+1,""))</f>
        <v/>
      </c>
      <c r="GC53" s="0" t="str">
        <f aca="false">IF(AND(_xlfn.ISFORMULA(C53),_xlfn.ISFORMULA(J53)),"Y","N")</f>
        <v>N</v>
      </c>
      <c r="GD53" s="0" t="n">
        <f aca="false">ROW()-1</f>
        <v>52</v>
      </c>
    </row>
    <row r="54" customFormat="false" ht="15" hidden="false" customHeight="false" outlineLevel="0" collapsed="false">
      <c r="A54" s="0" t="s">
        <v>1640</v>
      </c>
      <c r="B54" s="0" t="s">
        <v>1925</v>
      </c>
      <c r="C54" s="0" t="s">
        <v>1643</v>
      </c>
      <c r="D54" s="0" t="s">
        <v>1926</v>
      </c>
      <c r="E54" s="0" t="s">
        <v>967</v>
      </c>
      <c r="F54" s="0" t="s">
        <v>1127</v>
      </c>
      <c r="G54" s="0" t="s">
        <v>189</v>
      </c>
      <c r="M54" s="0" t="s">
        <v>380</v>
      </c>
      <c r="R54" s="5"/>
      <c r="U54" s="5"/>
      <c r="V54" s="0" t="s">
        <v>380</v>
      </c>
      <c r="AE54" s="0" t="s">
        <v>1927</v>
      </c>
      <c r="AF54" s="0" t="s">
        <v>1928</v>
      </c>
      <c r="AG54" s="0" t="s">
        <v>1644</v>
      </c>
      <c r="AH54" s="0" t="s">
        <v>1645</v>
      </c>
      <c r="AI54" s="0" t="s">
        <v>1650</v>
      </c>
      <c r="AJ54" s="0" t="s">
        <v>164</v>
      </c>
      <c r="AK54" s="0" t="s">
        <v>186</v>
      </c>
      <c r="AL54" s="0" t="s">
        <v>164</v>
      </c>
      <c r="AM54" s="0" t="n">
        <v>336</v>
      </c>
      <c r="AN54" s="0" t="s">
        <v>187</v>
      </c>
      <c r="AO54" s="0" t="s">
        <v>188</v>
      </c>
      <c r="AP54" s="0" t="s">
        <v>1929</v>
      </c>
      <c r="AQ54" s="5" t="s">
        <v>189</v>
      </c>
      <c r="AT54" s="0" t="str">
        <f aca="false">IF($A54="","",IF(AND(CN54="pass",AQ54&lt;&gt;"Y",C54&lt;&gt;"",OR(AX54&lt;&gt;"Y",AV54="Y")),"Y","N"))</f>
        <v>Y</v>
      </c>
      <c r="AU54" s="0" t="str">
        <f aca="false">IF($A54="","",_xlfn.TEXTJOIN("; ",TRUE(),IF(CN54&lt;&gt;"pass","gated out",""),IF(AQ54="Y","on hold: "&amp;AR54,""),IF(C54="","no contact named on an opened page",""),IF(AND(AX54="Y",AV54&lt;&gt;"Y"),"Tuesday estimate band "&amp;L54&amp;": founder's call","")))</f>
        <v/>
      </c>
      <c r="AX54" s="0" t="s">
        <v>189</v>
      </c>
      <c r="BC54" s="0" t="str">
        <f aca="false">IF($A54="","",IFERROR(INDEX(Enrichment!$A$2:$GZ$2000,MATCH($A54,INDEX(Enrichment!$A$2:$GZ$2000,0,MATCH("row_id",Enrichment!$A$1:$GZ$1,0)),0),MATCH("work_email",Enrichment!$A$1:$GZ$1,0))&amp;"",""))</f>
        <v/>
      </c>
      <c r="BD54" s="0" t="str">
        <f aca="false">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none</v>
      </c>
      <c r="BF54" s="0" t="s">
        <v>380</v>
      </c>
      <c r="BJ54" s="0" t="s">
        <v>380</v>
      </c>
      <c r="BL54" s="0" t="s">
        <v>896</v>
      </c>
      <c r="BQ54" s="0" t="str">
        <f aca="false">IF($A54="","",IFERROR(INDEX(Enrichment!$A$2:$GZ$2000,MATCH($A54,INDEX(Enrichment!$A$2:$GZ$2000,0,MATCH("row_id",Enrichment!$A$1:$GZ$1,0)),0),MATCH("backup_work_email",Enrichment!$A$1:$GZ$1,0))&amp;"",""))</f>
        <v/>
      </c>
      <c r="BR54" s="0" t="str">
        <f aca="false">IF($A54="","",IF(BQ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none</v>
      </c>
      <c r="BT54" s="0" t="s">
        <v>380</v>
      </c>
      <c r="BX54" s="0" t="s">
        <v>380</v>
      </c>
      <c r="BY54" s="0" t="s">
        <v>387</v>
      </c>
      <c r="BZ54" s="0" t="s">
        <v>388</v>
      </c>
      <c r="CA54" s="0" t="s">
        <v>1930</v>
      </c>
      <c r="CB54" s="0" t="s">
        <v>196</v>
      </c>
      <c r="CM54" s="0" t="s">
        <v>189</v>
      </c>
      <c r="CN54" s="0" t="s">
        <v>200</v>
      </c>
      <c r="CO54" s="0" t="s">
        <v>201</v>
      </c>
      <c r="CP54" s="0" t="s">
        <v>1</v>
      </c>
      <c r="CQ54" s="0" t="s">
        <v>1931</v>
      </c>
      <c r="CR54" s="0" t="s">
        <v>1932</v>
      </c>
      <c r="CS54" s="0" t="s">
        <v>1933</v>
      </c>
      <c r="CT54" s="0" t="s">
        <v>1934</v>
      </c>
      <c r="CV54" s="0" t="s">
        <v>976</v>
      </c>
      <c r="CW54" s="0" t="s">
        <v>204</v>
      </c>
      <c r="CX54" s="0" t="s">
        <v>205</v>
      </c>
      <c r="CY54" s="0" t="s">
        <v>1935</v>
      </c>
      <c r="DA54" s="0" t="s">
        <v>978</v>
      </c>
      <c r="DB54" s="0" t="s">
        <v>209</v>
      </c>
      <c r="DC54" s="0" t="s">
        <v>209</v>
      </c>
      <c r="DD54" s="0" t="s">
        <v>209</v>
      </c>
      <c r="DE54" s="0" t="s">
        <v>1936</v>
      </c>
      <c r="DF54" s="0" t="s">
        <v>311</v>
      </c>
      <c r="DG54" s="0" t="n">
        <v>40.745027</v>
      </c>
      <c r="DH54" s="0" t="n">
        <v>-73.986825</v>
      </c>
      <c r="DI54" s="0" t="s">
        <v>164</v>
      </c>
      <c r="DJ54" s="0" t="n">
        <v>0</v>
      </c>
      <c r="DK54" s="0" t="s">
        <v>1937</v>
      </c>
      <c r="DL54" s="0" t="s">
        <v>1938</v>
      </c>
      <c r="DM54" s="0" t="s">
        <v>1939</v>
      </c>
      <c r="DN54" s="0" t="s">
        <v>1940</v>
      </c>
      <c r="DO54" s="0" t="s">
        <v>363</v>
      </c>
      <c r="DS54" s="0" t="s">
        <v>809</v>
      </c>
      <c r="DU54" s="0" t="s">
        <v>189</v>
      </c>
      <c r="DX54" s="0" t="s">
        <v>267</v>
      </c>
      <c r="DY54" s="0" t="s">
        <v>1941</v>
      </c>
      <c r="EA54" s="0" t="s">
        <v>209</v>
      </c>
      <c r="EB54" s="0" t="s">
        <v>189</v>
      </c>
      <c r="EC54" s="0" t="s">
        <v>1942</v>
      </c>
      <c r="ED54" s="0" t="s">
        <v>1935</v>
      </c>
      <c r="EE54" s="0" t="s">
        <v>172</v>
      </c>
      <c r="EF54" s="0" t="n">
        <v>114</v>
      </c>
      <c r="EG54" s="0" t="s">
        <v>366</v>
      </c>
      <c r="EH54" s="0" t="s">
        <v>164</v>
      </c>
      <c r="EI54" s="0" t="s">
        <v>1943</v>
      </c>
      <c r="EJ54" s="0" t="s">
        <v>221</v>
      </c>
      <c r="EK54" s="0" t="n">
        <v>0.85</v>
      </c>
      <c r="EL54" s="0" t="n">
        <v>51.3</v>
      </c>
      <c r="EM54" s="0" t="n">
        <v>21.3</v>
      </c>
      <c r="EN54" s="0" t="n">
        <v>2</v>
      </c>
      <c r="EO54" s="0" t="n">
        <v>15</v>
      </c>
      <c r="EP54" s="0" t="n">
        <v>13</v>
      </c>
      <c r="EQ54" s="0" t="n">
        <f aca="false">IF($A54="","",IF(AH54="exact",10,IF(AH54="adjacent",5,0)))</f>
        <v>0</v>
      </c>
      <c r="ER54" s="0" t="n">
        <f aca="false">IF($A54="","",IF(R54="Y",15,0))</f>
        <v>0</v>
      </c>
      <c r="ES54" s="0" t="s">
        <v>982</v>
      </c>
      <c r="ET54" s="0" t="s">
        <v>983</v>
      </c>
      <c r="EU54" s="0" t="s">
        <v>189</v>
      </c>
      <c r="EV54" s="0" t="s">
        <v>1944</v>
      </c>
      <c r="EW54" s="0" t="s">
        <v>224</v>
      </c>
      <c r="EX54" s="0" t="s">
        <v>1945</v>
      </c>
      <c r="EZ54" s="0" t="s">
        <v>1946</v>
      </c>
      <c r="FS54" s="0" t="str">
        <f aca="false">IF($A54="","",IF(ISNUMBER(MATCH(U54,{"queued","contacted","replied","call_booked","call_done","yes_in_principle","materials_sent"},0)),"Y","N"))</f>
        <v>N</v>
      </c>
      <c r="FT54" s="0" t="str">
        <f aca="false">IF($A54="","",IF(OR(T54="Y",U54="do_not_contact",AS54&amp;""&lt;&gt;""),"Y","N"))</f>
        <v>N</v>
      </c>
      <c r="FU54" s="0" t="str">
        <f aca="false">IF($A54="","",IF(AP54&amp;""&lt;&gt;"",AP54&amp;"",$A54))</f>
        <v>AO-C-267</v>
      </c>
      <c r="FV54" s="0" t="str">
        <f aca="false">IF($A54="","",IF(COUNTIFS($FU$2:$FU$1000,FU54,$FS$2:$FS$1000,"Y")+COUNTIFS($FU$2:$FU$1000,FU54,$FT$2:$FT$1000,"Y")&gt;0,"Y","N"))</f>
        <v>N</v>
      </c>
      <c r="FW54" s="0" t="str">
        <f aca="false">IF($A54="","",IF(AND(U54="new",T54="N",FT54="N",AT54="Y",FV54="N"),"Y","N"))</f>
        <v>N</v>
      </c>
      <c r="FX54" s="0" t="str">
        <f aca="false">IF($A54="","",IF(FW54&lt;&gt;"Y","N",IF(COUNTIFS($FU$2:$FU$1000,FU54,$FW$2:$FW$1000,"Y",$J$2:$J$1000,"&gt;"&amp;J54)+COUNTIFS($FU$2:$FU$1000,FU54,$FW$2:$FW$1000,"Y",$J$2:$J$1000,J54,$GD$2:$GD$1000,"&lt;"&amp;GD54)=0,"Y","N")))</f>
        <v>N</v>
      </c>
      <c r="FY54" s="0" t="str">
        <f aca="false">IF($A54="","",IF(AND(FW54="Y",FX54="Y",Y54&amp;""&lt;&gt;""),IF(Y54&lt;=10,"Y","N"),"N"))</f>
        <v>N</v>
      </c>
      <c r="FZ54" s="0" t="str">
        <f aca="false">IF(FY54="Y",Y54,"")</f>
        <v/>
      </c>
      <c r="GA54" s="0" t="str">
        <f aca="false">IF($A54="","",IF(AND(I54="walk-in",CN54="pass",U54="new",FT54="N",FV54="N",AQ54&lt;&gt;"Y"),"Y","N"))</f>
        <v>N</v>
      </c>
      <c r="GB54" s="0" t="str">
        <f aca="false">IF(GA54&lt;&gt;"Y","",IF(COUNTIFS($GA$2:$GA$1000,"Y",$J$2:$J$1000,"&gt;"&amp;J54)+COUNTIFS($GA$2:$GA$1000,"Y",$J$2:$J$1000,J54,$GD$2:$GD$1000,"&lt;"&amp;GD54)+1&lt;=25,COUNTIFS($GA$2:$GA$1000,"Y",$J$2:$J$1000,"&gt;"&amp;J54)+COUNTIFS($GA$2:$GA$1000,"Y",$J$2:$J$1000,J54,$GD$2:$GD$1000,"&lt;"&amp;GD54)+1,""))</f>
        <v/>
      </c>
      <c r="GC54" s="0" t="str">
        <f aca="false">IF(AND(_xlfn.ISFORMULA(C54),_xlfn.ISFORMULA(J54)),"Y","N")</f>
        <v>N</v>
      </c>
      <c r="GD54" s="0" t="n">
        <f aca="false">ROW()-1</f>
        <v>53</v>
      </c>
    </row>
    <row r="55" customFormat="false" ht="15" hidden="false" customHeight="false" outlineLevel="0" collapsed="false">
      <c r="A55" s="0" t="s">
        <v>1725</v>
      </c>
      <c r="B55" s="0" t="s">
        <v>1947</v>
      </c>
      <c r="C55" s="0" t="s">
        <v>1728</v>
      </c>
      <c r="D55" s="0" t="s">
        <v>1948</v>
      </c>
      <c r="E55" s="0" t="s">
        <v>1949</v>
      </c>
      <c r="F55" s="0" t="s">
        <v>1249</v>
      </c>
      <c r="G55" s="0" t="s">
        <v>189</v>
      </c>
      <c r="M55" s="0" t="s">
        <v>380</v>
      </c>
      <c r="R55" s="5"/>
      <c r="U55" s="5"/>
      <c r="V55" s="0" t="s">
        <v>380</v>
      </c>
      <c r="AE55" s="0" t="s">
        <v>1871</v>
      </c>
      <c r="AF55" s="0" t="s">
        <v>209</v>
      </c>
      <c r="AG55" s="0" t="s">
        <v>1729</v>
      </c>
      <c r="AH55" s="0" t="s">
        <v>1397</v>
      </c>
      <c r="AI55" s="0" t="s">
        <v>209</v>
      </c>
      <c r="AJ55" s="0" t="s">
        <v>164</v>
      </c>
      <c r="AK55" s="0" t="s">
        <v>186</v>
      </c>
      <c r="AL55" s="0" t="s">
        <v>189</v>
      </c>
      <c r="AM55" s="0" t="n">
        <v>367</v>
      </c>
      <c r="AN55" s="0" t="s">
        <v>187</v>
      </c>
      <c r="AO55" s="0" t="s">
        <v>188</v>
      </c>
      <c r="AP55" s="0" t="s">
        <v>1950</v>
      </c>
      <c r="AQ55" s="5" t="s">
        <v>189</v>
      </c>
      <c r="AT55" s="0" t="str">
        <f aca="false">IF($A55="","",IF(AND(CN55="pass",AQ55&lt;&gt;"Y",C55&lt;&gt;"",OR(AX55&lt;&gt;"Y",AV55="Y")),"Y","N"))</f>
        <v>Y</v>
      </c>
      <c r="AU55" s="0" t="str">
        <f aca="false">IF($A55="","",_xlfn.TEXTJOIN("; ",TRUE(),IF(CN55&lt;&gt;"pass","gated out",""),IF(AQ55="Y","on hold: "&amp;AR55,""),IF(C55="","no contact named on an opened page",""),IF(AND(AX55="Y",AV55&lt;&gt;"Y"),"Tuesday estimate band "&amp;L55&amp;": founder's call","")))</f>
        <v/>
      </c>
      <c r="AX55" s="0" t="s">
        <v>189</v>
      </c>
      <c r="BC55" s="0" t="str">
        <f aca="false">IF($A55="","",IFERROR(INDEX(Enrichment!$A$2:$GZ$2000,MATCH($A55,INDEX(Enrichment!$A$2:$GZ$2000,0,MATCH("row_id",Enrichment!$A$1:$GZ$1,0)),0),MATCH("work_email",Enrichment!$A$1:$GZ$1,0))&amp;"",""))</f>
        <v/>
      </c>
      <c r="BD55" s="0" t="str">
        <f aca="false">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none</v>
      </c>
      <c r="BF55" s="0" t="s">
        <v>380</v>
      </c>
      <c r="BJ55" s="0" t="s">
        <v>380</v>
      </c>
      <c r="BL55" s="0" t="s">
        <v>837</v>
      </c>
      <c r="BQ55" s="0" t="str">
        <f aca="false">IF($A55="","",IFERROR(INDEX(Enrichment!$A$2:$GZ$2000,MATCH($A55,INDEX(Enrichment!$A$2:$GZ$2000,0,MATCH("row_id",Enrichment!$A$1:$GZ$1,0)),0),MATCH("backup_work_email",Enrichment!$A$1:$GZ$1,0))&amp;"",""))</f>
        <v/>
      </c>
      <c r="BR55" s="0" t="str">
        <f aca="false">IF($A55="","",IF(BQ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none</v>
      </c>
      <c r="BT55" s="0" t="s">
        <v>380</v>
      </c>
      <c r="BX55" s="0" t="s">
        <v>380</v>
      </c>
      <c r="BY55" s="0" t="s">
        <v>387</v>
      </c>
      <c r="BZ55" s="0" t="s">
        <v>388</v>
      </c>
      <c r="CA55" s="0" t="s">
        <v>1951</v>
      </c>
      <c r="CB55" s="0" t="s">
        <v>196</v>
      </c>
      <c r="CM55" s="0" t="s">
        <v>164</v>
      </c>
      <c r="CN55" s="0" t="s">
        <v>200</v>
      </c>
      <c r="CO55" s="0" t="s">
        <v>201</v>
      </c>
      <c r="CP55" s="0" t="s">
        <v>1</v>
      </c>
      <c r="CQ55" s="0" t="s">
        <v>1952</v>
      </c>
      <c r="CR55" s="0" t="s">
        <v>1953</v>
      </c>
      <c r="CS55" s="0" t="s">
        <v>1954</v>
      </c>
      <c r="CT55" s="0" t="s">
        <v>1955</v>
      </c>
      <c r="CV55" s="0" t="s">
        <v>976</v>
      </c>
      <c r="CW55" s="0" t="s">
        <v>204</v>
      </c>
      <c r="CX55" s="0" t="s">
        <v>205</v>
      </c>
      <c r="CY55" s="0" t="s">
        <v>1956</v>
      </c>
      <c r="DA55" s="0" t="s">
        <v>1351</v>
      </c>
      <c r="DB55" s="0" t="s">
        <v>209</v>
      </c>
      <c r="DC55" s="0" t="s">
        <v>209</v>
      </c>
      <c r="DD55" s="0" t="s">
        <v>209</v>
      </c>
      <c r="DE55" s="0" t="s">
        <v>1957</v>
      </c>
      <c r="DF55" s="0" t="s">
        <v>525</v>
      </c>
      <c r="DG55" s="0" t="n">
        <v>40.74082</v>
      </c>
      <c r="DH55" s="0" t="n">
        <v>-73.992366</v>
      </c>
      <c r="DI55" s="0" t="s">
        <v>164</v>
      </c>
      <c r="DJ55" s="0" t="n">
        <v>0</v>
      </c>
      <c r="DK55" s="0" t="s">
        <v>1779</v>
      </c>
      <c r="DL55" s="0" t="s">
        <v>1780</v>
      </c>
      <c r="DM55" s="0" t="s">
        <v>1958</v>
      </c>
      <c r="DN55" s="0" t="s">
        <v>263</v>
      </c>
      <c r="DO55" s="0" t="s">
        <v>651</v>
      </c>
      <c r="DP55" s="0" t="s">
        <v>1781</v>
      </c>
      <c r="DQ55" s="0" t="s">
        <v>1782</v>
      </c>
      <c r="DS55" s="0" t="s">
        <v>217</v>
      </c>
      <c r="DU55" s="0" t="s">
        <v>189</v>
      </c>
      <c r="DX55" s="0" t="s">
        <v>209</v>
      </c>
      <c r="EA55" s="0" t="s">
        <v>209</v>
      </c>
      <c r="EB55" s="0" t="s">
        <v>189</v>
      </c>
      <c r="EC55" s="0" t="s">
        <v>218</v>
      </c>
      <c r="ED55" s="0" t="s">
        <v>1958</v>
      </c>
      <c r="EE55" s="0" t="s">
        <v>172</v>
      </c>
      <c r="EF55" s="0" t="n">
        <v>81</v>
      </c>
      <c r="EG55" s="0" t="s">
        <v>945</v>
      </c>
      <c r="EH55" s="0" t="s">
        <v>189</v>
      </c>
      <c r="EI55" s="0" t="s">
        <v>1959</v>
      </c>
      <c r="EJ55" s="0" t="s">
        <v>221</v>
      </c>
      <c r="EK55" s="0" t="n">
        <v>0.61</v>
      </c>
      <c r="EL55" s="0" t="n">
        <v>51.2</v>
      </c>
      <c r="EM55" s="0" t="n">
        <v>15.2</v>
      </c>
      <c r="EN55" s="0" t="n">
        <v>6</v>
      </c>
      <c r="EO55" s="0" t="n">
        <v>15</v>
      </c>
      <c r="EP55" s="0" t="n">
        <v>15</v>
      </c>
      <c r="EQ55" s="0" t="n">
        <f aca="false">IF($A55="","",IF(AH55="exact",10,IF(AH55="adjacent",5,0)))</f>
        <v>0</v>
      </c>
      <c r="ER55" s="0" t="n">
        <f aca="false">IF($A55="","",IF(R55="Y",15,0))</f>
        <v>0</v>
      </c>
      <c r="ES55" s="0" t="s">
        <v>982</v>
      </c>
      <c r="ET55" s="0" t="s">
        <v>1360</v>
      </c>
      <c r="EU55" s="0" t="s">
        <v>189</v>
      </c>
      <c r="EX55" s="0" t="s">
        <v>1960</v>
      </c>
      <c r="EZ55" s="0" t="s">
        <v>1961</v>
      </c>
      <c r="FS55" s="0" t="str">
        <f aca="false">IF($A55="","",IF(ISNUMBER(MATCH(U55,{"queued","contacted","replied","call_booked","call_done","yes_in_principle","materials_sent"},0)),"Y","N"))</f>
        <v>N</v>
      </c>
      <c r="FT55" s="0" t="str">
        <f aca="false">IF($A55="","",IF(OR(T55="Y",U55="do_not_contact",AS55&amp;""&lt;&gt;""),"Y","N"))</f>
        <v>N</v>
      </c>
      <c r="FU55" s="0" t="str">
        <f aca="false">IF($A55="","",IF(AP55&amp;""&lt;&gt;"",AP55&amp;"",$A55))</f>
        <v>AO-C-216</v>
      </c>
      <c r="FV55" s="0" t="str">
        <f aca="false">IF($A55="","",IF(COUNTIFS($FU$2:$FU$1000,FU55,$FS$2:$FS$1000,"Y")+COUNTIFS($FU$2:$FU$1000,FU55,$FT$2:$FT$1000,"Y")&gt;0,"Y","N"))</f>
        <v>N</v>
      </c>
      <c r="FW55" s="0" t="str">
        <f aca="false">IF($A55="","",IF(AND(U55="new",T55="N",FT55="N",AT55="Y",FV55="N"),"Y","N"))</f>
        <v>N</v>
      </c>
      <c r="FX55" s="0" t="str">
        <f aca="false">IF($A55="","",IF(FW55&lt;&gt;"Y","N",IF(COUNTIFS($FU$2:$FU$1000,FU55,$FW$2:$FW$1000,"Y",$J$2:$J$1000,"&gt;"&amp;J55)+COUNTIFS($FU$2:$FU$1000,FU55,$FW$2:$FW$1000,"Y",$J$2:$J$1000,J55,$GD$2:$GD$1000,"&lt;"&amp;GD55)=0,"Y","N")))</f>
        <v>N</v>
      </c>
      <c r="FY55" s="0" t="str">
        <f aca="false">IF($A55="","",IF(AND(FW55="Y",FX55="Y",Y55&amp;""&lt;&gt;""),IF(Y55&lt;=10,"Y","N"),"N"))</f>
        <v>N</v>
      </c>
      <c r="FZ55" s="0" t="str">
        <f aca="false">IF(FY55="Y",Y55,"")</f>
        <v/>
      </c>
      <c r="GA55" s="0" t="str">
        <f aca="false">IF($A55="","",IF(AND(I55="walk-in",CN55="pass",U55="new",FT55="N",FV55="N",AQ55&lt;&gt;"Y"),"Y","N"))</f>
        <v>N</v>
      </c>
      <c r="GB55" s="0" t="str">
        <f aca="false">IF(GA55&lt;&gt;"Y","",IF(COUNTIFS($GA$2:$GA$1000,"Y",$J$2:$J$1000,"&gt;"&amp;J55)+COUNTIFS($GA$2:$GA$1000,"Y",$J$2:$J$1000,J55,$GD$2:$GD$1000,"&lt;"&amp;GD55)+1&lt;=25,COUNTIFS($GA$2:$GA$1000,"Y",$J$2:$J$1000,"&gt;"&amp;J55)+COUNTIFS($GA$2:$GA$1000,"Y",$J$2:$J$1000,J55,$GD$2:$GD$1000,"&lt;"&amp;GD55)+1,""))</f>
        <v/>
      </c>
      <c r="GC55" s="0" t="str">
        <f aca="false">IF(AND(_xlfn.ISFORMULA(C55),_xlfn.ISFORMULA(J55)),"Y","N")</f>
        <v>N</v>
      </c>
      <c r="GD55" s="0" t="n">
        <f aca="false">ROW()-1</f>
        <v>54</v>
      </c>
    </row>
    <row r="56" customFormat="false" ht="15" hidden="false" customHeight="false" outlineLevel="0" collapsed="false">
      <c r="A56" s="0" t="s">
        <v>1745</v>
      </c>
      <c r="B56" s="0" t="s">
        <v>1962</v>
      </c>
      <c r="C56" s="0" t="s">
        <v>1748</v>
      </c>
      <c r="D56" s="0" t="s">
        <v>1963</v>
      </c>
      <c r="E56" s="0" t="s">
        <v>1964</v>
      </c>
      <c r="F56" s="0" t="s">
        <v>1249</v>
      </c>
      <c r="G56" s="0" t="s">
        <v>189</v>
      </c>
      <c r="M56" s="0" t="s">
        <v>380</v>
      </c>
      <c r="R56" s="5"/>
      <c r="U56" s="5"/>
      <c r="V56" s="0" t="s">
        <v>380</v>
      </c>
      <c r="AE56" s="0" t="s">
        <v>1965</v>
      </c>
      <c r="AF56" s="0" t="s">
        <v>1688</v>
      </c>
      <c r="AG56" s="0" t="s">
        <v>1749</v>
      </c>
      <c r="AH56" s="0" t="s">
        <v>1750</v>
      </c>
      <c r="AI56" s="0" t="s">
        <v>1752</v>
      </c>
      <c r="AJ56" s="0" t="s">
        <v>164</v>
      </c>
      <c r="AK56" s="0" t="s">
        <v>298</v>
      </c>
      <c r="AL56" s="0" t="s">
        <v>189</v>
      </c>
      <c r="AM56" s="0" t="n">
        <v>111</v>
      </c>
      <c r="AN56" s="0" t="s">
        <v>187</v>
      </c>
      <c r="AO56" s="0" t="s">
        <v>512</v>
      </c>
      <c r="AP56" s="0" t="s">
        <v>1966</v>
      </c>
      <c r="AQ56" s="5" t="s">
        <v>189</v>
      </c>
      <c r="AT56" s="0" t="str">
        <f aca="false">IF($A56="","",IF(AND(CN56="pass",AQ56&lt;&gt;"Y",C56&lt;&gt;"",OR(AX56&lt;&gt;"Y",AV56="Y")),"Y","N"))</f>
        <v>Y</v>
      </c>
      <c r="AU56" s="0" t="str">
        <f aca="false">IF($A56="","",_xlfn.TEXTJOIN("; ",TRUE(),IF(CN56&lt;&gt;"pass","gated out",""),IF(AQ56="Y","on hold: "&amp;AR56,""),IF(C56="","no contact named on an opened page",""),IF(AND(AX56="Y",AV56&lt;&gt;"Y"),"Tuesday estimate band "&amp;L56&amp;": founder's call","")))</f>
        <v/>
      </c>
      <c r="AX56" s="0" t="s">
        <v>189</v>
      </c>
      <c r="BC56" s="0" t="str">
        <f aca="false">IF($A56="","",IFERROR(INDEX(Enrichment!$A$2:$GZ$2000,MATCH($A56,INDEX(Enrichment!$A$2:$GZ$2000,0,MATCH("row_id",Enrichment!$A$1:$GZ$1,0)),0),MATCH("work_email",Enrichment!$A$1:$GZ$1,0))&amp;"",""))</f>
        <v/>
      </c>
      <c r="BD56" s="0" t="str">
        <f aca="false">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none</v>
      </c>
      <c r="BF56" s="0" t="s">
        <v>380</v>
      </c>
      <c r="BJ56" s="0" t="s">
        <v>380</v>
      </c>
      <c r="BL56" s="0" t="s">
        <v>896</v>
      </c>
      <c r="BQ56" s="0" t="str">
        <f aca="false">IF($A56="","",IFERROR(INDEX(Enrichment!$A$2:$GZ$2000,MATCH($A56,INDEX(Enrichment!$A$2:$GZ$2000,0,MATCH("row_id",Enrichment!$A$1:$GZ$1,0)),0),MATCH("backup_work_email",Enrichment!$A$1:$GZ$1,0))&amp;"",""))</f>
        <v/>
      </c>
      <c r="BR56" s="0" t="str">
        <f aca="false">IF($A56="","",IF(BQ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none</v>
      </c>
      <c r="BT56" s="0" t="s">
        <v>380</v>
      </c>
      <c r="BX56" s="0" t="s">
        <v>380</v>
      </c>
      <c r="BY56" s="0" t="s">
        <v>387</v>
      </c>
      <c r="BZ56" s="0" t="s">
        <v>388</v>
      </c>
      <c r="CA56" s="0" t="s">
        <v>1967</v>
      </c>
      <c r="CB56" s="0" t="s">
        <v>196</v>
      </c>
      <c r="CM56" s="0" t="s">
        <v>189</v>
      </c>
      <c r="CN56" s="0" t="s">
        <v>200</v>
      </c>
      <c r="CO56" s="0" t="s">
        <v>201</v>
      </c>
      <c r="CP56" s="0" t="s">
        <v>1</v>
      </c>
      <c r="CQ56" s="0" t="s">
        <v>1968</v>
      </c>
      <c r="CR56" s="0" t="s">
        <v>1969</v>
      </c>
      <c r="CS56" s="0" t="s">
        <v>1970</v>
      </c>
      <c r="CT56" s="0" t="s">
        <v>1971</v>
      </c>
      <c r="CV56" s="0" t="s">
        <v>976</v>
      </c>
      <c r="CW56" s="0" t="s">
        <v>204</v>
      </c>
      <c r="CX56" s="0" t="s">
        <v>205</v>
      </c>
      <c r="CY56" s="0" t="s">
        <v>1972</v>
      </c>
      <c r="DA56" s="0" t="s">
        <v>1351</v>
      </c>
      <c r="DB56" s="0" t="s">
        <v>259</v>
      </c>
      <c r="DC56" s="0" t="s">
        <v>164</v>
      </c>
      <c r="DD56" s="0" t="s">
        <v>209</v>
      </c>
      <c r="DE56" s="0" t="s">
        <v>1973</v>
      </c>
      <c r="DF56" s="0" t="s">
        <v>210</v>
      </c>
      <c r="DG56" s="0" t="n">
        <v>40.73716</v>
      </c>
      <c r="DH56" s="0" t="n">
        <v>-73.990073</v>
      </c>
      <c r="DI56" s="0" t="s">
        <v>164</v>
      </c>
      <c r="DJ56" s="0" t="n">
        <v>0</v>
      </c>
      <c r="DK56" s="0" t="s">
        <v>1352</v>
      </c>
      <c r="DL56" s="0" t="s">
        <v>1001</v>
      </c>
      <c r="DM56" s="0" t="s">
        <v>1353</v>
      </c>
      <c r="DN56" s="0" t="s">
        <v>1354</v>
      </c>
      <c r="DO56" s="0" t="s">
        <v>363</v>
      </c>
      <c r="DP56" s="0" t="s">
        <v>1974</v>
      </c>
      <c r="DQ56" s="0" t="s">
        <v>1975</v>
      </c>
      <c r="DS56" s="0" t="s">
        <v>809</v>
      </c>
      <c r="DU56" s="0" t="s">
        <v>189</v>
      </c>
      <c r="DX56" s="0" t="s">
        <v>209</v>
      </c>
      <c r="EA56" s="0" t="s">
        <v>209</v>
      </c>
      <c r="EB56" s="0" t="s">
        <v>189</v>
      </c>
      <c r="EC56" s="0" t="s">
        <v>1976</v>
      </c>
      <c r="ED56" s="0" t="s">
        <v>1977</v>
      </c>
      <c r="EE56" s="0" t="s">
        <v>172</v>
      </c>
      <c r="EF56" s="0" t="n">
        <v>78</v>
      </c>
      <c r="EH56" s="0" t="s">
        <v>164</v>
      </c>
      <c r="EI56" s="0" t="s">
        <v>1978</v>
      </c>
      <c r="EJ56" s="0" t="s">
        <v>221</v>
      </c>
      <c r="EK56" s="0" t="n">
        <v>1</v>
      </c>
      <c r="EL56" s="0" t="n">
        <v>51</v>
      </c>
      <c r="EM56" s="0" t="n">
        <v>25</v>
      </c>
      <c r="EN56" s="0" t="n">
        <v>6</v>
      </c>
      <c r="EO56" s="0" t="n">
        <v>7</v>
      </c>
      <c r="EP56" s="0" t="n">
        <v>13</v>
      </c>
      <c r="EQ56" s="0" t="n">
        <f aca="false">IF($A56="","",IF(AH56="exact",10,IF(AH56="adjacent",5,0)))</f>
        <v>0</v>
      </c>
      <c r="ER56" s="0" t="n">
        <f aca="false">IF($A56="","",IF(R56="Y",15,0))</f>
        <v>0</v>
      </c>
      <c r="ES56" s="0" t="s">
        <v>982</v>
      </c>
      <c r="ET56" s="0" t="s">
        <v>1360</v>
      </c>
      <c r="EU56" s="0" t="s">
        <v>189</v>
      </c>
      <c r="EV56" s="0" t="s">
        <v>1361</v>
      </c>
      <c r="EW56" s="0" t="s">
        <v>1979</v>
      </c>
      <c r="EX56" s="0" t="s">
        <v>1980</v>
      </c>
      <c r="EZ56" s="0" t="s">
        <v>1981</v>
      </c>
      <c r="FS56" s="0" t="str">
        <f aca="false">IF($A56="","",IF(ISNUMBER(MATCH(U56,{"queued","contacted","replied","call_booked","call_done","yes_in_principle","materials_sent"},0)),"Y","N"))</f>
        <v>N</v>
      </c>
      <c r="FT56" s="0" t="str">
        <f aca="false">IF($A56="","",IF(OR(T56="Y",U56="do_not_contact",AS56&amp;""&lt;&gt;""),"Y","N"))</f>
        <v>N</v>
      </c>
      <c r="FU56" s="0" t="str">
        <f aca="false">IF($A56="","",IF(AP56&amp;""&lt;&gt;"",AP56&amp;"",$A56))</f>
        <v>AO-C-191</v>
      </c>
      <c r="FV56" s="0" t="str">
        <f aca="false">IF($A56="","",IF(COUNTIFS($FU$2:$FU$1000,FU56,$FS$2:$FS$1000,"Y")+COUNTIFS($FU$2:$FU$1000,FU56,$FT$2:$FT$1000,"Y")&gt;0,"Y","N"))</f>
        <v>N</v>
      </c>
      <c r="FW56" s="0" t="str">
        <f aca="false">IF($A56="","",IF(AND(U56="new",T56="N",FT56="N",AT56="Y",FV56="N"),"Y","N"))</f>
        <v>N</v>
      </c>
      <c r="FX56" s="0" t="str">
        <f aca="false">IF($A56="","",IF(FW56&lt;&gt;"Y","N",IF(COUNTIFS($FU$2:$FU$1000,FU56,$FW$2:$FW$1000,"Y",$J$2:$J$1000,"&gt;"&amp;J56)+COUNTIFS($FU$2:$FU$1000,FU56,$FW$2:$FW$1000,"Y",$J$2:$J$1000,J56,$GD$2:$GD$1000,"&lt;"&amp;GD56)=0,"Y","N")))</f>
        <v>N</v>
      </c>
      <c r="FY56" s="0" t="str">
        <f aca="false">IF($A56="","",IF(AND(FW56="Y",FX56="Y",Y56&amp;""&lt;&gt;""),IF(Y56&lt;=10,"Y","N"),"N"))</f>
        <v>N</v>
      </c>
      <c r="FZ56" s="0" t="str">
        <f aca="false">IF(FY56="Y",Y56,"")</f>
        <v/>
      </c>
      <c r="GA56" s="0" t="str">
        <f aca="false">IF($A56="","",IF(AND(I56="walk-in",CN56="pass",U56="new",FT56="N",FV56="N",AQ56&lt;&gt;"Y"),"Y","N"))</f>
        <v>N</v>
      </c>
      <c r="GB56" s="0" t="str">
        <f aca="false">IF(GA56&lt;&gt;"Y","",IF(COUNTIFS($GA$2:$GA$1000,"Y",$J$2:$J$1000,"&gt;"&amp;J56)+COUNTIFS($GA$2:$GA$1000,"Y",$J$2:$J$1000,J56,$GD$2:$GD$1000,"&lt;"&amp;GD56)+1&lt;=25,COUNTIFS($GA$2:$GA$1000,"Y",$J$2:$J$1000,"&gt;"&amp;J56)+COUNTIFS($GA$2:$GA$1000,"Y",$J$2:$J$1000,J56,$GD$2:$GD$1000,"&lt;"&amp;GD56)+1,""))</f>
        <v/>
      </c>
      <c r="GC56" s="0" t="str">
        <f aca="false">IF(AND(_xlfn.ISFORMULA(C56),_xlfn.ISFORMULA(J56)),"Y","N")</f>
        <v>N</v>
      </c>
      <c r="GD56" s="0" t="n">
        <f aca="false">ROW()-1</f>
        <v>55</v>
      </c>
    </row>
    <row r="57" customFormat="false" ht="15" hidden="false" customHeight="false" outlineLevel="0" collapsed="false">
      <c r="A57" s="0" t="s">
        <v>1767</v>
      </c>
      <c r="B57" s="0" t="s">
        <v>1982</v>
      </c>
      <c r="C57" s="0" t="s">
        <v>1772</v>
      </c>
      <c r="D57" s="0" t="s">
        <v>1983</v>
      </c>
      <c r="E57" s="0" t="s">
        <v>1984</v>
      </c>
      <c r="F57" s="0" t="s">
        <v>1249</v>
      </c>
      <c r="G57" s="0" t="s">
        <v>189</v>
      </c>
      <c r="M57" s="0" t="s">
        <v>380</v>
      </c>
      <c r="R57" s="5"/>
      <c r="U57" s="5"/>
      <c r="V57" s="0" t="s">
        <v>380</v>
      </c>
      <c r="AE57" s="0" t="s">
        <v>1985</v>
      </c>
      <c r="AF57" s="0" t="s">
        <v>1986</v>
      </c>
      <c r="AG57" s="0" t="s">
        <v>1773</v>
      </c>
      <c r="AH57" s="0" t="s">
        <v>1774</v>
      </c>
      <c r="AI57" s="0" t="s">
        <v>1778</v>
      </c>
      <c r="AJ57" s="0" t="s">
        <v>164</v>
      </c>
      <c r="AK57" s="0" t="s">
        <v>1794</v>
      </c>
      <c r="AL57" s="0" t="s">
        <v>164</v>
      </c>
      <c r="AM57" s="0" t="n">
        <v>210</v>
      </c>
      <c r="AN57" s="0" t="s">
        <v>187</v>
      </c>
      <c r="AO57" s="0" t="s">
        <v>188</v>
      </c>
      <c r="AP57" s="0" t="s">
        <v>1987</v>
      </c>
      <c r="AQ57" s="5" t="s">
        <v>164</v>
      </c>
      <c r="AR57" s="0" t="s">
        <v>779</v>
      </c>
      <c r="AT57" s="0" t="str">
        <f aca="false">IF($A57="","",IF(AND(CN57="pass",AQ57&lt;&gt;"Y",C57&lt;&gt;"",OR(AX57&lt;&gt;"Y",AV57="Y")),"Y","N"))</f>
        <v>N</v>
      </c>
      <c r="AU57" s="0" t="str">
        <f aca="false">IF($A57="","",_xlfn.TEXTJOIN("; ",TRUE(),IF(CN57&lt;&gt;"pass","gated out",""),IF(AQ57="Y","on hold: "&amp;AR57,""),IF(C57="","no contact named on an opened page",""),IF(AND(AX57="Y",AV57&lt;&gt;"Y"),"Tuesday estimate band "&amp;L57&amp;": founder's call","")))</f>
        <v>on hold: lease signed, move not confirmed: check the lobby directory before outreach (B)</v>
      </c>
      <c r="AX57" s="0" t="s">
        <v>189</v>
      </c>
      <c r="BC57" s="0" t="str">
        <f aca="false">IF($A57="","",IFERROR(INDEX(Enrichment!$A$2:$GZ$2000,MATCH($A57,INDEX(Enrichment!$A$2:$GZ$2000,0,MATCH("row_id",Enrichment!$A$1:$GZ$1,0)),0),MATCH("work_email",Enrichment!$A$1:$GZ$1,0))&amp;"",""))</f>
        <v/>
      </c>
      <c r="BD57" s="0" t="str">
        <f aca="false">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none</v>
      </c>
      <c r="BF57" s="0" t="s">
        <v>380</v>
      </c>
      <c r="BJ57" s="0" t="s">
        <v>380</v>
      </c>
      <c r="BL57" s="0" t="s">
        <v>896</v>
      </c>
      <c r="BQ57" s="0" t="str">
        <f aca="false">IF($A57="","",IFERROR(INDEX(Enrichment!$A$2:$GZ$2000,MATCH($A57,INDEX(Enrichment!$A$2:$GZ$2000,0,MATCH("row_id",Enrichment!$A$1:$GZ$1,0)),0),MATCH("backup_work_email",Enrichment!$A$1:$GZ$1,0))&amp;"",""))</f>
        <v/>
      </c>
      <c r="BR57" s="0" t="str">
        <f aca="false">IF($A57="","",IF(BQ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none</v>
      </c>
      <c r="BT57" s="0" t="s">
        <v>380</v>
      </c>
      <c r="BX57" s="0" t="s">
        <v>380</v>
      </c>
      <c r="BY57" s="0" t="s">
        <v>387</v>
      </c>
      <c r="BZ57" s="0" t="s">
        <v>388</v>
      </c>
      <c r="CA57" s="0" t="s">
        <v>1988</v>
      </c>
      <c r="CB57" s="0" t="s">
        <v>196</v>
      </c>
      <c r="CM57" s="0" t="s">
        <v>189</v>
      </c>
      <c r="CN57" s="0" t="s">
        <v>200</v>
      </c>
      <c r="CO57" s="0" t="s">
        <v>201</v>
      </c>
      <c r="CP57" s="0" t="s">
        <v>1</v>
      </c>
      <c r="CQ57" s="0" t="s">
        <v>1989</v>
      </c>
      <c r="CR57" s="0" t="s">
        <v>1990</v>
      </c>
      <c r="CS57" s="0" t="s">
        <v>1991</v>
      </c>
      <c r="CT57" s="0" t="s">
        <v>1992</v>
      </c>
      <c r="CU57" s="0" t="s">
        <v>1993</v>
      </c>
      <c r="CV57" s="0" t="s">
        <v>976</v>
      </c>
      <c r="CW57" s="0" t="s">
        <v>204</v>
      </c>
      <c r="CX57" s="0" t="s">
        <v>1348</v>
      </c>
      <c r="CY57" s="0" t="s">
        <v>1994</v>
      </c>
      <c r="CZ57" s="0" t="s">
        <v>1995</v>
      </c>
      <c r="DA57" s="0" t="s">
        <v>1351</v>
      </c>
      <c r="DB57" s="0" t="s">
        <v>208</v>
      </c>
      <c r="DC57" s="0" t="s">
        <v>189</v>
      </c>
      <c r="DD57" s="0" t="s">
        <v>209</v>
      </c>
      <c r="DE57" s="0" t="s">
        <v>1996</v>
      </c>
      <c r="DF57" s="0" t="s">
        <v>311</v>
      </c>
      <c r="DG57" s="0" t="n">
        <v>40.74291</v>
      </c>
      <c r="DH57" s="0" t="n">
        <v>-73.984627</v>
      </c>
      <c r="DI57" s="0" t="s">
        <v>164</v>
      </c>
      <c r="DJ57" s="0" t="n">
        <v>0</v>
      </c>
      <c r="DK57" s="0" t="s">
        <v>1275</v>
      </c>
      <c r="DL57" s="0" t="s">
        <v>1276</v>
      </c>
      <c r="DM57" s="0" t="s">
        <v>1277</v>
      </c>
      <c r="DN57" s="0" t="s">
        <v>1278</v>
      </c>
      <c r="DO57" s="0" t="s">
        <v>363</v>
      </c>
      <c r="DS57" s="0" t="s">
        <v>809</v>
      </c>
      <c r="DT57" s="0" t="s">
        <v>209</v>
      </c>
      <c r="DU57" s="0" t="s">
        <v>189</v>
      </c>
      <c r="DX57" s="0" t="s">
        <v>209</v>
      </c>
      <c r="EA57" s="0" t="s">
        <v>209</v>
      </c>
      <c r="EB57" s="0" t="s">
        <v>189</v>
      </c>
      <c r="EC57" s="0" t="s">
        <v>1997</v>
      </c>
      <c r="ED57" s="0" t="s">
        <v>1998</v>
      </c>
      <c r="EE57" s="0" t="s">
        <v>1999</v>
      </c>
      <c r="EF57" s="0" t="n">
        <v>148</v>
      </c>
      <c r="EH57" s="0" t="s">
        <v>164</v>
      </c>
      <c r="EI57" s="0" t="s">
        <v>2000</v>
      </c>
      <c r="EJ57" s="0" t="s">
        <v>221</v>
      </c>
      <c r="EK57" s="0" t="n">
        <v>1</v>
      </c>
      <c r="EL57" s="0" t="n">
        <v>51</v>
      </c>
      <c r="EM57" s="0" t="n">
        <v>25</v>
      </c>
      <c r="EN57" s="0" t="n">
        <v>6</v>
      </c>
      <c r="EO57" s="0" t="n">
        <v>15</v>
      </c>
      <c r="EP57" s="0" t="n">
        <v>5</v>
      </c>
      <c r="EQ57" s="0" t="n">
        <f aca="false">IF($A57="","",IF(AH57="exact",10,IF(AH57="adjacent",5,0)))</f>
        <v>0</v>
      </c>
      <c r="ER57" s="0" t="n">
        <f aca="false">IF($A57="","",IF(R57="Y",15,0))</f>
        <v>0</v>
      </c>
      <c r="ES57" s="0" t="s">
        <v>982</v>
      </c>
      <c r="ET57" s="0" t="s">
        <v>1360</v>
      </c>
      <c r="EU57" s="0" t="s">
        <v>164</v>
      </c>
      <c r="EV57" s="0" t="s">
        <v>1282</v>
      </c>
      <c r="EW57" s="0" t="s">
        <v>224</v>
      </c>
      <c r="EX57" s="0" t="s">
        <v>2001</v>
      </c>
      <c r="EZ57" s="0" t="s">
        <v>2002</v>
      </c>
      <c r="FS57" s="0" t="str">
        <f aca="false">IF($A57="","",IF(ISNUMBER(MATCH(U57,{"queued","contacted","replied","call_booked","call_done","yes_in_principle","materials_sent"},0)),"Y","N"))</f>
        <v>N</v>
      </c>
      <c r="FT57" s="0" t="str">
        <f aca="false">IF($A57="","",IF(OR(T57="Y",U57="do_not_contact",AS57&amp;""&lt;&gt;""),"Y","N"))</f>
        <v>N</v>
      </c>
      <c r="FU57" s="0" t="str">
        <f aca="false">IF($A57="","",IF(AP57&amp;""&lt;&gt;"",AP57&amp;"",$A57))</f>
        <v>AO-C-158</v>
      </c>
      <c r="FV57" s="0" t="str">
        <f aca="false">IF($A57="","",IF(COUNTIFS($FU$2:$FU$1000,FU57,$FS$2:$FS$1000,"Y")+COUNTIFS($FU$2:$FU$1000,FU57,$FT$2:$FT$1000,"Y")&gt;0,"Y","N"))</f>
        <v>N</v>
      </c>
      <c r="FW57" s="0" t="str">
        <f aca="false">IF($A57="","",IF(AND(U57="new",T57="N",FT57="N",AT57="Y",FV57="N"),"Y","N"))</f>
        <v>N</v>
      </c>
      <c r="FX57" s="0" t="str">
        <f aca="false">IF($A57="","",IF(FW57&lt;&gt;"Y","N",IF(COUNTIFS($FU$2:$FU$1000,FU57,$FW$2:$FW$1000,"Y",$J$2:$J$1000,"&gt;"&amp;J57)+COUNTIFS($FU$2:$FU$1000,FU57,$FW$2:$FW$1000,"Y",$J$2:$J$1000,J57,$GD$2:$GD$1000,"&lt;"&amp;GD57)=0,"Y","N")))</f>
        <v>N</v>
      </c>
      <c r="FY57" s="0" t="str">
        <f aca="false">IF($A57="","",IF(AND(FW57="Y",FX57="Y",Y57&amp;""&lt;&gt;""),IF(Y57&lt;=10,"Y","N"),"N"))</f>
        <v>N</v>
      </c>
      <c r="FZ57" s="0" t="str">
        <f aca="false">IF(FY57="Y",Y57,"")</f>
        <v/>
      </c>
      <c r="GA57" s="0" t="str">
        <f aca="false">IF($A57="","",IF(AND(I57="walk-in",CN57="pass",U57="new",FT57="N",FV57="N",AQ57&lt;&gt;"Y"),"Y","N"))</f>
        <v>N</v>
      </c>
      <c r="GB57" s="0" t="str">
        <f aca="false">IF(GA57&lt;&gt;"Y","",IF(COUNTIFS($GA$2:$GA$1000,"Y",$J$2:$J$1000,"&gt;"&amp;J57)+COUNTIFS($GA$2:$GA$1000,"Y",$J$2:$J$1000,J57,$GD$2:$GD$1000,"&lt;"&amp;GD57)+1&lt;=25,COUNTIFS($GA$2:$GA$1000,"Y",$J$2:$J$1000,"&gt;"&amp;J57)+COUNTIFS($GA$2:$GA$1000,"Y",$J$2:$J$1000,J57,$GD$2:$GD$1000,"&lt;"&amp;GD57)+1,""))</f>
        <v/>
      </c>
      <c r="GC57" s="0" t="str">
        <f aca="false">IF(AND(_xlfn.ISFORMULA(C57),_xlfn.ISFORMULA(J57)),"Y","N")</f>
        <v>N</v>
      </c>
      <c r="GD57" s="0" t="n">
        <f aca="false">ROW()-1</f>
        <v>56</v>
      </c>
    </row>
    <row r="58" customFormat="false" ht="15" hidden="false" customHeight="false" outlineLevel="0" collapsed="false">
      <c r="A58" s="0" t="s">
        <v>1814</v>
      </c>
      <c r="B58" s="0" t="s">
        <v>2003</v>
      </c>
      <c r="C58" s="0" t="s">
        <v>1817</v>
      </c>
      <c r="D58" s="0" t="s">
        <v>2004</v>
      </c>
      <c r="E58" s="0" t="s">
        <v>2005</v>
      </c>
      <c r="F58" s="0" t="s">
        <v>2006</v>
      </c>
      <c r="G58" s="0" t="s">
        <v>189</v>
      </c>
      <c r="M58" s="0" t="s">
        <v>380</v>
      </c>
      <c r="R58" s="5"/>
      <c r="U58" s="5"/>
      <c r="V58" s="0" t="s">
        <v>380</v>
      </c>
      <c r="AE58" s="0" t="s">
        <v>892</v>
      </c>
      <c r="AF58" s="0" t="s">
        <v>209</v>
      </c>
      <c r="AG58" s="0" t="s">
        <v>1818</v>
      </c>
      <c r="AH58" s="0" t="s">
        <v>1819</v>
      </c>
      <c r="AI58" s="0" t="s">
        <v>1825</v>
      </c>
      <c r="AJ58" s="0" t="s">
        <v>164</v>
      </c>
      <c r="AK58" s="0" t="s">
        <v>298</v>
      </c>
      <c r="AL58" s="0" t="s">
        <v>164</v>
      </c>
      <c r="AM58" s="0" t="n">
        <v>57</v>
      </c>
      <c r="AN58" s="0" t="s">
        <v>187</v>
      </c>
      <c r="AO58" s="0" t="s">
        <v>188</v>
      </c>
      <c r="AP58" s="0" t="s">
        <v>2007</v>
      </c>
      <c r="AQ58" s="5" t="s">
        <v>189</v>
      </c>
      <c r="AT58" s="0" t="str">
        <f aca="false">IF($A58="","",IF(AND(CN58="pass",AQ58&lt;&gt;"Y",C58&lt;&gt;"",OR(AX58&lt;&gt;"Y",AV58="Y")),"Y","N"))</f>
        <v>N</v>
      </c>
      <c r="AU58" s="0" t="str">
        <f aca="false">IF($A58="","",_xlfn.TEXTJOIN("; ",TRUE(),IF(CN58&lt;&gt;"pass","gated out",""),IF(AQ58="Y","on hold: "&amp;AR58,""),IF(C58="","no contact named on an opened page",""),IF(AND(AX58="Y",AV58&lt;&gt;"Y"),"Tuesday estimate band "&amp;L58&amp;": founder's call","")))</f>
        <v>Tuesday estimate band : founder's call</v>
      </c>
      <c r="AX58" s="0" t="s">
        <v>164</v>
      </c>
      <c r="AY58" s="0" t="s">
        <v>2008</v>
      </c>
      <c r="AZ58" s="0" t="s">
        <v>542</v>
      </c>
      <c r="BA58" s="0" t="s">
        <v>862</v>
      </c>
      <c r="BC58" s="0" t="str">
        <f aca="false">IF($A58="","",IFERROR(INDEX(Enrichment!$A$2:$GZ$2000,MATCH($A58,INDEX(Enrichment!$A$2:$GZ$2000,0,MATCH("row_id",Enrichment!$A$1:$GZ$1,0)),0),MATCH("work_email",Enrichment!$A$1:$GZ$1,0))&amp;"",""))</f>
        <v/>
      </c>
      <c r="BD58" s="0" t="str">
        <f aca="false">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none</v>
      </c>
      <c r="BE58" s="0" t="s">
        <v>168</v>
      </c>
      <c r="BF58" s="0" t="s">
        <v>283</v>
      </c>
      <c r="BG58" s="0" t="s">
        <v>284</v>
      </c>
      <c r="BH58" s="0" t="s">
        <v>2009</v>
      </c>
      <c r="BI58" s="0" t="s">
        <v>172</v>
      </c>
      <c r="BJ58" s="0" t="s">
        <v>301</v>
      </c>
      <c r="BK58" s="0" t="s">
        <v>2010</v>
      </c>
      <c r="BL58" s="0" t="s">
        <v>1041</v>
      </c>
      <c r="BQ58" s="0" t="str">
        <f aca="false">IF($A58="","",IFERROR(INDEX(Enrichment!$A$2:$GZ$2000,MATCH($A58,INDEX(Enrichment!$A$2:$GZ$2000,0,MATCH("row_id",Enrichment!$A$1:$GZ$1,0)),0),MATCH("backup_work_email",Enrichment!$A$1:$GZ$1,0))&amp;"",""))</f>
        <v/>
      </c>
      <c r="BR58" s="0" t="str">
        <f aca="false">IF($A58="","",IF(BQ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none</v>
      </c>
      <c r="BT58" s="0" t="s">
        <v>380</v>
      </c>
      <c r="BX58" s="0" t="s">
        <v>380</v>
      </c>
      <c r="BY58" s="0" t="s">
        <v>1769</v>
      </c>
      <c r="BZ58" s="0" t="s">
        <v>388</v>
      </c>
      <c r="CA58" s="0" t="s">
        <v>2011</v>
      </c>
      <c r="CB58" s="0" t="s">
        <v>196</v>
      </c>
      <c r="CC58" s="0" t="s">
        <v>2012</v>
      </c>
      <c r="CD58" s="0" t="s">
        <v>2013</v>
      </c>
      <c r="CE58" s="0" t="s">
        <v>2014</v>
      </c>
      <c r="CF58" s="0" t="s">
        <v>180</v>
      </c>
      <c r="CM58" s="0" t="s">
        <v>164</v>
      </c>
      <c r="CN58" s="0" t="s">
        <v>200</v>
      </c>
      <c r="CO58" s="0" t="s">
        <v>201</v>
      </c>
      <c r="CP58" s="0" t="s">
        <v>1</v>
      </c>
      <c r="CQ58" s="0" t="s">
        <v>2015</v>
      </c>
      <c r="CR58" s="0" t="s">
        <v>2016</v>
      </c>
      <c r="CS58" s="0" t="s">
        <v>2017</v>
      </c>
      <c r="CT58" s="0" t="s">
        <v>1488</v>
      </c>
      <c r="CU58" s="0" t="s">
        <v>2018</v>
      </c>
      <c r="CV58" s="0" t="s">
        <v>186</v>
      </c>
      <c r="CW58" s="0" t="s">
        <v>204</v>
      </c>
      <c r="CX58" s="0" t="s">
        <v>356</v>
      </c>
      <c r="CY58" s="0" t="s">
        <v>2019</v>
      </c>
      <c r="CZ58" s="0" t="s">
        <v>2020</v>
      </c>
      <c r="DA58" s="0" t="s">
        <v>207</v>
      </c>
      <c r="DB58" s="0" t="s">
        <v>259</v>
      </c>
      <c r="DC58" s="0" t="s">
        <v>164</v>
      </c>
      <c r="DD58" s="0" t="s">
        <v>2021</v>
      </c>
      <c r="DE58" s="0" t="s">
        <v>2022</v>
      </c>
      <c r="DF58" s="0" t="s">
        <v>210</v>
      </c>
      <c r="DG58" s="0" t="n">
        <v>40.738063</v>
      </c>
      <c r="DH58" s="0" t="n">
        <v>-73.991898</v>
      </c>
      <c r="DI58" s="0" t="s">
        <v>164</v>
      </c>
      <c r="DJ58" s="0" t="n">
        <v>0</v>
      </c>
      <c r="DK58" s="0" t="s">
        <v>2023</v>
      </c>
      <c r="DL58" s="0" t="s">
        <v>2024</v>
      </c>
      <c r="DM58" s="0" t="s">
        <v>2025</v>
      </c>
      <c r="DN58" s="0" t="s">
        <v>2026</v>
      </c>
      <c r="DO58" s="0" t="s">
        <v>363</v>
      </c>
      <c r="DS58" s="0" t="s">
        <v>809</v>
      </c>
      <c r="DU58" s="0" t="s">
        <v>189</v>
      </c>
      <c r="DX58" s="0" t="s">
        <v>209</v>
      </c>
      <c r="EA58" s="0" t="s">
        <v>209</v>
      </c>
      <c r="EB58" s="0" t="s">
        <v>189</v>
      </c>
      <c r="EC58" s="0" t="s">
        <v>218</v>
      </c>
      <c r="ED58" s="0" t="s">
        <v>2027</v>
      </c>
      <c r="EE58" s="0" t="s">
        <v>172</v>
      </c>
      <c r="EF58" s="0" t="n">
        <v>38</v>
      </c>
      <c r="EG58" s="0" t="s">
        <v>1322</v>
      </c>
      <c r="EH58" s="0" t="s">
        <v>164</v>
      </c>
      <c r="EI58" s="0" t="s">
        <v>2028</v>
      </c>
      <c r="EJ58" s="0" t="s">
        <v>221</v>
      </c>
      <c r="EK58" s="0" t="n">
        <v>0.45</v>
      </c>
      <c r="EL58" s="0" t="n">
        <v>50.3</v>
      </c>
      <c r="EM58" s="0" t="n">
        <v>11.3</v>
      </c>
      <c r="EN58" s="0" t="n">
        <v>11</v>
      </c>
      <c r="EO58" s="0" t="n">
        <v>15</v>
      </c>
      <c r="EP58" s="0" t="n">
        <v>8</v>
      </c>
      <c r="EQ58" s="0" t="n">
        <f aca="false">IF($A58="","",IF(AH58="exact",10,IF(AH58="adjacent",5,0)))</f>
        <v>0</v>
      </c>
      <c r="ER58" s="0" t="n">
        <f aca="false">IF($A58="","",IF(R58="Y",15,0))</f>
        <v>0</v>
      </c>
      <c r="ES58" s="0" t="s">
        <v>222</v>
      </c>
      <c r="EV58" s="0" t="s">
        <v>2029</v>
      </c>
      <c r="EW58" s="0" t="s">
        <v>224</v>
      </c>
      <c r="EX58" s="0" t="s">
        <v>2030</v>
      </c>
      <c r="EY58" s="0" t="s">
        <v>2031</v>
      </c>
      <c r="EZ58" s="0" t="s">
        <v>2032</v>
      </c>
      <c r="FA58" s="0" t="s">
        <v>2033</v>
      </c>
      <c r="FS58" s="0" t="str">
        <f aca="false">IF($A58="","",IF(ISNUMBER(MATCH(U58,{"queued","contacted","replied","call_booked","call_done","yes_in_principle","materials_sent"},0)),"Y","N"))</f>
        <v>N</v>
      </c>
      <c r="FT58" s="0" t="str">
        <f aca="false">IF($A58="","",IF(OR(T58="Y",U58="do_not_contact",AS58&amp;""&lt;&gt;""),"Y","N"))</f>
        <v>N</v>
      </c>
      <c r="FU58" s="0" t="str">
        <f aca="false">IF($A58="","",IF(AP58&amp;""&lt;&gt;"",AP58&amp;"",$A58))</f>
        <v>grp-C030-C151</v>
      </c>
      <c r="FV58" s="0" t="str">
        <f aca="false">IF($A58="","",IF(COUNTIFS($FU$2:$FU$1000,FU58,$FS$2:$FS$1000,"Y")+COUNTIFS($FU$2:$FU$1000,FU58,$FT$2:$FT$1000,"Y")&gt;0,"Y","N"))</f>
        <v>N</v>
      </c>
      <c r="FW58" s="0" t="str">
        <f aca="false">IF($A58="","",IF(AND(U58="new",T58="N",FT58="N",AT58="Y",FV58="N"),"Y","N"))</f>
        <v>N</v>
      </c>
      <c r="FX58" s="0" t="str">
        <f aca="false">IF($A58="","",IF(FW58&lt;&gt;"Y","N",IF(COUNTIFS($FU$2:$FU$1000,FU58,$FW$2:$FW$1000,"Y",$J$2:$J$1000,"&gt;"&amp;J58)+COUNTIFS($FU$2:$FU$1000,FU58,$FW$2:$FW$1000,"Y",$J$2:$J$1000,J58,$GD$2:$GD$1000,"&lt;"&amp;GD58)=0,"Y","N")))</f>
        <v>N</v>
      </c>
      <c r="FY58" s="0" t="str">
        <f aca="false">IF($A58="","",IF(AND(FW58="Y",FX58="Y",Y58&amp;""&lt;&gt;""),IF(Y58&lt;=10,"Y","N"),"N"))</f>
        <v>N</v>
      </c>
      <c r="FZ58" s="0" t="str">
        <f aca="false">IF(FY58="Y",Y58,"")</f>
        <v/>
      </c>
      <c r="GA58" s="0" t="str">
        <f aca="false">IF($A58="","",IF(AND(I58="walk-in",CN58="pass",U58="new",FT58="N",FV58="N",AQ58&lt;&gt;"Y"),"Y","N"))</f>
        <v>N</v>
      </c>
      <c r="GB58" s="0" t="str">
        <f aca="false">IF(GA58&lt;&gt;"Y","",IF(COUNTIFS($GA$2:$GA$1000,"Y",$J$2:$J$1000,"&gt;"&amp;J58)+COUNTIFS($GA$2:$GA$1000,"Y",$J$2:$J$1000,J58,$GD$2:$GD$1000,"&lt;"&amp;GD58)+1&lt;=25,COUNTIFS($GA$2:$GA$1000,"Y",$J$2:$J$1000,"&gt;"&amp;J58)+COUNTIFS($GA$2:$GA$1000,"Y",$J$2:$J$1000,J58,$GD$2:$GD$1000,"&lt;"&amp;GD58)+1,""))</f>
        <v/>
      </c>
      <c r="GC58" s="0" t="str">
        <f aca="false">IF(AND(_xlfn.ISFORMULA(C58),_xlfn.ISFORMULA(J58)),"Y","N")</f>
        <v>N</v>
      </c>
      <c r="GD58" s="0" t="n">
        <f aca="false">ROW()-1</f>
        <v>57</v>
      </c>
    </row>
    <row r="59" customFormat="false" ht="15" hidden="false" customHeight="false" outlineLevel="0" collapsed="false">
      <c r="A59" s="0" t="s">
        <v>1851</v>
      </c>
      <c r="B59" s="0" t="s">
        <v>2034</v>
      </c>
      <c r="C59" s="0" t="s">
        <v>1854</v>
      </c>
      <c r="D59" s="0" t="s">
        <v>2035</v>
      </c>
      <c r="E59" s="0" t="s">
        <v>2036</v>
      </c>
      <c r="F59" s="0" t="s">
        <v>2037</v>
      </c>
      <c r="G59" s="0" t="s">
        <v>189</v>
      </c>
      <c r="M59" s="0" t="s">
        <v>380</v>
      </c>
      <c r="R59" s="5"/>
      <c r="U59" s="5"/>
      <c r="V59" s="0" t="s">
        <v>380</v>
      </c>
      <c r="AE59" s="0" t="s">
        <v>1493</v>
      </c>
      <c r="AF59" s="0" t="s">
        <v>325</v>
      </c>
      <c r="AG59" s="0" t="s">
        <v>1855</v>
      </c>
      <c r="AH59" s="0" t="s">
        <v>1856</v>
      </c>
      <c r="AI59" s="0" t="s">
        <v>1858</v>
      </c>
      <c r="AJ59" s="0" t="s">
        <v>164</v>
      </c>
      <c r="AK59" s="0" t="s">
        <v>186</v>
      </c>
      <c r="AL59" s="0" t="s">
        <v>189</v>
      </c>
      <c r="AM59" s="0" t="n">
        <v>249</v>
      </c>
      <c r="AN59" s="0" t="s">
        <v>187</v>
      </c>
      <c r="AO59" s="0" t="s">
        <v>429</v>
      </c>
      <c r="AP59" s="0" t="s">
        <v>1364</v>
      </c>
      <c r="AQ59" s="5" t="s">
        <v>189</v>
      </c>
      <c r="AT59" s="0" t="str">
        <f aca="false">IF($A59="","",IF(AND(CN59="pass",AQ59&lt;&gt;"Y",C59&lt;&gt;"",OR(AX59&lt;&gt;"Y",AV59="Y")),"Y","N"))</f>
        <v>Y</v>
      </c>
      <c r="AU59" s="0" t="str">
        <f aca="false">IF($A59="","",_xlfn.TEXTJOIN("; ",TRUE(),IF(CN59&lt;&gt;"pass","gated out",""),IF(AQ59="Y","on hold: "&amp;AR59,""),IF(C59="","no contact named on an opened page",""),IF(AND(AX59="Y",AV59&lt;&gt;"Y"),"Tuesday estimate band "&amp;L59&amp;": founder's call","")))</f>
        <v/>
      </c>
      <c r="AX59" s="0" t="s">
        <v>189</v>
      </c>
      <c r="AY59" s="0" t="s">
        <v>1370</v>
      </c>
      <c r="AZ59" s="0" t="s">
        <v>1371</v>
      </c>
      <c r="BA59" s="0" t="s">
        <v>1372</v>
      </c>
      <c r="BC59" s="0" t="str">
        <f aca="false">IF($A59="","",IFERROR(INDEX(Enrichment!$A$2:$GZ$2000,MATCH($A59,INDEX(Enrichment!$A$2:$GZ$2000,0,MATCH("row_id",Enrichment!$A$1:$GZ$1,0)),0),MATCH("work_email",Enrichment!$A$1:$GZ$1,0))&amp;"",""))</f>
        <v/>
      </c>
      <c r="BD59" s="0" t="str">
        <f aca="false">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none</v>
      </c>
      <c r="BE59" s="0" t="s">
        <v>168</v>
      </c>
      <c r="BF59" s="0" t="s">
        <v>283</v>
      </c>
      <c r="BG59" s="0" t="s">
        <v>284</v>
      </c>
      <c r="BH59" s="0" t="s">
        <v>1373</v>
      </c>
      <c r="BI59" s="0" t="s">
        <v>172</v>
      </c>
      <c r="BJ59" s="0" t="s">
        <v>301</v>
      </c>
      <c r="BK59" s="0" t="s">
        <v>2038</v>
      </c>
      <c r="BL59" s="0" t="s">
        <v>2039</v>
      </c>
      <c r="BQ59" s="0" t="str">
        <f aca="false">IF($A59="","",IFERROR(INDEX(Enrichment!$A$2:$GZ$2000,MATCH($A59,INDEX(Enrichment!$A$2:$GZ$2000,0,MATCH("row_id",Enrichment!$A$1:$GZ$1,0)),0),MATCH("backup_work_email",Enrichment!$A$1:$GZ$1,0))&amp;"",""))</f>
        <v/>
      </c>
      <c r="BR59" s="0" t="str">
        <f aca="false">IF($A59="","",IF(BQ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none</v>
      </c>
      <c r="BT59" s="0" t="s">
        <v>380</v>
      </c>
      <c r="BX59" s="0" t="s">
        <v>380</v>
      </c>
      <c r="BY59" s="0" t="s">
        <v>387</v>
      </c>
      <c r="BZ59" s="0" t="s">
        <v>388</v>
      </c>
      <c r="CA59" s="0" t="s">
        <v>2040</v>
      </c>
      <c r="CB59" s="0" t="s">
        <v>196</v>
      </c>
      <c r="CC59" s="0" t="s">
        <v>2041</v>
      </c>
      <c r="CD59" s="0" t="s">
        <v>2042</v>
      </c>
      <c r="CE59" s="0" t="s">
        <v>2043</v>
      </c>
      <c r="CF59" s="0" t="s">
        <v>180</v>
      </c>
      <c r="CM59" s="0" t="s">
        <v>164</v>
      </c>
      <c r="CN59" s="0" t="s">
        <v>200</v>
      </c>
      <c r="CO59" s="0" t="s">
        <v>201</v>
      </c>
      <c r="CP59" s="0" t="s">
        <v>1</v>
      </c>
      <c r="CQ59" s="0" t="s">
        <v>2044</v>
      </c>
      <c r="CR59" s="0" t="s">
        <v>1366</v>
      </c>
      <c r="CS59" s="0" t="s">
        <v>1375</v>
      </c>
      <c r="CT59" s="0" t="s">
        <v>873</v>
      </c>
      <c r="CU59" s="0" t="s">
        <v>2045</v>
      </c>
      <c r="CV59" s="0" t="s">
        <v>355</v>
      </c>
      <c r="CW59" s="0" t="s">
        <v>204</v>
      </c>
      <c r="CX59" s="0" t="s">
        <v>356</v>
      </c>
      <c r="CY59" s="0" t="s">
        <v>2046</v>
      </c>
      <c r="CZ59" s="0" t="s">
        <v>2047</v>
      </c>
      <c r="DA59" s="0" t="s">
        <v>207</v>
      </c>
      <c r="DB59" s="0" t="s">
        <v>208</v>
      </c>
      <c r="DC59" s="0" t="s">
        <v>189</v>
      </c>
      <c r="DD59" s="0" t="s">
        <v>209</v>
      </c>
      <c r="DE59" s="0" t="s">
        <v>1376</v>
      </c>
      <c r="DF59" s="0" t="s">
        <v>525</v>
      </c>
      <c r="DG59" s="0" t="n">
        <v>40.739695</v>
      </c>
      <c r="DH59" s="0" t="n">
        <v>-73.989816</v>
      </c>
      <c r="DI59" s="0" t="s">
        <v>164</v>
      </c>
      <c r="DJ59" s="0" t="n">
        <v>0</v>
      </c>
      <c r="DK59" s="0" t="s">
        <v>2048</v>
      </c>
      <c r="DL59" s="0" t="s">
        <v>2049</v>
      </c>
      <c r="DM59" s="0" t="s">
        <v>2050</v>
      </c>
      <c r="DN59" s="0" t="s">
        <v>263</v>
      </c>
      <c r="DO59" s="0" t="s">
        <v>651</v>
      </c>
      <c r="DS59" s="0" t="s">
        <v>187</v>
      </c>
      <c r="DU59" s="0" t="s">
        <v>189</v>
      </c>
      <c r="DX59" s="0" t="s">
        <v>267</v>
      </c>
      <c r="DY59" s="0" t="s">
        <v>2051</v>
      </c>
      <c r="EA59" s="0" t="s">
        <v>209</v>
      </c>
      <c r="EB59" s="0" t="s">
        <v>189</v>
      </c>
      <c r="EC59" s="0" t="s">
        <v>446</v>
      </c>
      <c r="ED59" s="0" t="s">
        <v>2050</v>
      </c>
      <c r="EE59" s="0" t="s">
        <v>172</v>
      </c>
      <c r="EF59" s="0" t="n">
        <v>55</v>
      </c>
      <c r="EG59" s="0" t="s">
        <v>1280</v>
      </c>
      <c r="EH59" s="0" t="s">
        <v>189</v>
      </c>
      <c r="EI59" s="0" t="s">
        <v>2052</v>
      </c>
      <c r="EJ59" s="0" t="s">
        <v>221</v>
      </c>
      <c r="EK59" s="0" t="n">
        <v>0.6</v>
      </c>
      <c r="EL59" s="0" t="n">
        <v>50.1</v>
      </c>
      <c r="EM59" s="0" t="n">
        <v>15.1</v>
      </c>
      <c r="EN59" s="0" t="n">
        <v>15</v>
      </c>
      <c r="EO59" s="0" t="n">
        <v>10</v>
      </c>
      <c r="EP59" s="0" t="n">
        <v>5</v>
      </c>
      <c r="EQ59" s="0" t="n">
        <f aca="false">IF($A59="","",IF(AH59="exact",10,IF(AH59="adjacent",5,0)))</f>
        <v>0</v>
      </c>
      <c r="ER59" s="0" t="n">
        <f aca="false">IF($A59="","",IF(R59="Y",15,0))</f>
        <v>0</v>
      </c>
      <c r="ES59" s="0" t="s">
        <v>222</v>
      </c>
      <c r="EX59" s="0" t="s">
        <v>2053</v>
      </c>
      <c r="EZ59" s="0" t="s">
        <v>2054</v>
      </c>
      <c r="FS59" s="0" t="str">
        <f aca="false">IF($A59="","",IF(ISNUMBER(MATCH(U59,{"queued","contacted","replied","call_booked","call_done","yes_in_principle","materials_sent"},0)),"Y","N"))</f>
        <v>N</v>
      </c>
      <c r="FT59" s="0" t="str">
        <f aca="false">IF($A59="","",IF(OR(T59="Y",U59="do_not_contact",AS59&amp;""&lt;&gt;""),"Y","N"))</f>
        <v>N</v>
      </c>
      <c r="FU59" s="0" t="str">
        <f aca="false">IF($A59="","",IF(AP59&amp;""&lt;&gt;"",AP59&amp;"",$A59))</f>
        <v>AO-C-075</v>
      </c>
      <c r="FV59" s="0" t="str">
        <f aca="false">IF($A59="","",IF(COUNTIFS($FU$2:$FU$1000,FU59,$FS$2:$FS$1000,"Y")+COUNTIFS($FU$2:$FU$1000,FU59,$FT$2:$FT$1000,"Y")&gt;0,"Y","N"))</f>
        <v>N</v>
      </c>
      <c r="FW59" s="0" t="str">
        <f aca="false">IF($A59="","",IF(AND(U59="new",T59="N",FT59="N",AT59="Y",FV59="N"),"Y","N"))</f>
        <v>N</v>
      </c>
      <c r="FX59" s="0" t="str">
        <f aca="false">IF($A59="","",IF(FW59&lt;&gt;"Y","N",IF(COUNTIFS($FU$2:$FU$1000,FU59,$FW$2:$FW$1000,"Y",$J$2:$J$1000,"&gt;"&amp;J59)+COUNTIFS($FU$2:$FU$1000,FU59,$FW$2:$FW$1000,"Y",$J$2:$J$1000,J59,$GD$2:$GD$1000,"&lt;"&amp;GD59)=0,"Y","N")))</f>
        <v>N</v>
      </c>
      <c r="FY59" s="0" t="str">
        <f aca="false">IF($A59="","",IF(AND(FW59="Y",FX59="Y",Y59&amp;""&lt;&gt;""),IF(Y59&lt;=10,"Y","N"),"N"))</f>
        <v>N</v>
      </c>
      <c r="FZ59" s="0" t="str">
        <f aca="false">IF(FY59="Y",Y59,"")</f>
        <v/>
      </c>
      <c r="GA59" s="0" t="str">
        <f aca="false">IF($A59="","",IF(AND(I59="walk-in",CN59="pass",U59="new",FT59="N",FV59="N",AQ59&lt;&gt;"Y"),"Y","N"))</f>
        <v>N</v>
      </c>
      <c r="GB59" s="0" t="str">
        <f aca="false">IF(GA59&lt;&gt;"Y","",IF(COUNTIFS($GA$2:$GA$1000,"Y",$J$2:$J$1000,"&gt;"&amp;J59)+COUNTIFS($GA$2:$GA$1000,"Y",$J$2:$J$1000,J59,$GD$2:$GD$1000,"&lt;"&amp;GD59)+1&lt;=25,COUNTIFS($GA$2:$GA$1000,"Y",$J$2:$J$1000,"&gt;"&amp;J59)+COUNTIFS($GA$2:$GA$1000,"Y",$J$2:$J$1000,J59,$GD$2:$GD$1000,"&lt;"&amp;GD59)+1,""))</f>
        <v/>
      </c>
      <c r="GC59" s="0" t="str">
        <f aca="false">IF(AND(_xlfn.ISFORMULA(C59),_xlfn.ISFORMULA(J59)),"Y","N")</f>
        <v>N</v>
      </c>
      <c r="GD59" s="0" t="n">
        <f aca="false">ROW()-1</f>
        <v>58</v>
      </c>
    </row>
    <row r="60" customFormat="false" ht="15" hidden="false" customHeight="false" outlineLevel="0" collapsed="false">
      <c r="A60" s="0" t="s">
        <v>1873</v>
      </c>
      <c r="B60" s="0" t="s">
        <v>2055</v>
      </c>
      <c r="C60" s="0" t="s">
        <v>1876</v>
      </c>
      <c r="D60" s="0" t="s">
        <v>2056</v>
      </c>
      <c r="E60" s="0" t="s">
        <v>2057</v>
      </c>
      <c r="F60" s="0" t="s">
        <v>2037</v>
      </c>
      <c r="G60" s="0" t="s">
        <v>189</v>
      </c>
      <c r="M60" s="0" t="s">
        <v>380</v>
      </c>
      <c r="R60" s="5"/>
      <c r="U60" s="5"/>
      <c r="V60" s="0" t="s">
        <v>380</v>
      </c>
      <c r="AE60" s="0" t="s">
        <v>2058</v>
      </c>
      <c r="AF60" s="0" t="s">
        <v>209</v>
      </c>
      <c r="AG60" s="0" t="s">
        <v>1877</v>
      </c>
      <c r="AH60" s="0" t="s">
        <v>1878</v>
      </c>
      <c r="AI60" s="0" t="s">
        <v>1881</v>
      </c>
      <c r="AJ60" s="0" t="s">
        <v>189</v>
      </c>
      <c r="AK60" s="0" t="s">
        <v>186</v>
      </c>
      <c r="AL60" s="0" t="s">
        <v>189</v>
      </c>
      <c r="AM60" s="0" t="n">
        <v>86</v>
      </c>
      <c r="AN60" s="0" t="s">
        <v>187</v>
      </c>
      <c r="AO60" s="0" t="s">
        <v>188</v>
      </c>
      <c r="AP60" s="0" t="s">
        <v>2059</v>
      </c>
      <c r="AQ60" s="5" t="s">
        <v>189</v>
      </c>
      <c r="AT60" s="0" t="str">
        <f aca="false">IF($A60="","",IF(AND(CN60="pass",AQ60&lt;&gt;"Y",C60&lt;&gt;"",OR(AX60&lt;&gt;"Y",AV60="Y")),"Y","N"))</f>
        <v>N</v>
      </c>
      <c r="AU60" s="0" t="str">
        <f aca="false">IF($A60="","",_xlfn.TEXTJOIN("; ",TRUE(),IF(CN60&lt;&gt;"pass","gated out",""),IF(AQ60="Y","on hold: "&amp;AR60,""),IF(C60="","no contact named on an opened page",""),IF(AND(AX60="Y",AV60&lt;&gt;"Y"),"Tuesday estimate band "&amp;L60&amp;": founder's call","")))</f>
        <v>Tuesday estimate band : founder's call</v>
      </c>
      <c r="AX60" s="0" t="s">
        <v>164</v>
      </c>
      <c r="AY60" s="0" t="s">
        <v>955</v>
      </c>
      <c r="AZ60" s="0" t="s">
        <v>209</v>
      </c>
      <c r="BA60" s="0" t="s">
        <v>2060</v>
      </c>
      <c r="BC60" s="0" t="str">
        <f aca="false">IF($A60="","",IFERROR(INDEX(Enrichment!$A$2:$GZ$2000,MATCH($A60,INDEX(Enrichment!$A$2:$GZ$2000,0,MATCH("row_id",Enrichment!$A$1:$GZ$1,0)),0),MATCH("work_email",Enrichment!$A$1:$GZ$1,0))&amp;"",""))</f>
        <v/>
      </c>
      <c r="BD60" s="0" t="str">
        <f aca="false">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none</v>
      </c>
      <c r="BE60" s="0" t="s">
        <v>168</v>
      </c>
      <c r="BF60" s="0" t="s">
        <v>283</v>
      </c>
      <c r="BG60" s="0" t="s">
        <v>284</v>
      </c>
      <c r="BH60" s="0" t="s">
        <v>2061</v>
      </c>
      <c r="BI60" s="0" t="s">
        <v>172</v>
      </c>
      <c r="BJ60" s="0" t="s">
        <v>301</v>
      </c>
      <c r="BK60" s="0" t="s">
        <v>2062</v>
      </c>
      <c r="BL60" s="0" t="s">
        <v>2063</v>
      </c>
      <c r="BQ60" s="0" t="str">
        <f aca="false">IF($A60="","",IFERROR(INDEX(Enrichment!$A$2:$GZ$2000,MATCH($A60,INDEX(Enrichment!$A$2:$GZ$2000,0,MATCH("row_id",Enrichment!$A$1:$GZ$1,0)),0),MATCH("backup_work_email",Enrichment!$A$1:$GZ$1,0))&amp;"",""))</f>
        <v/>
      </c>
      <c r="BR60" s="0" t="str">
        <f aca="false">IF($A60="","",IF(BQ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none</v>
      </c>
      <c r="BT60" s="0" t="s">
        <v>380</v>
      </c>
      <c r="BX60" s="0" t="s">
        <v>380</v>
      </c>
      <c r="BY60" s="0" t="s">
        <v>1769</v>
      </c>
      <c r="BZ60" s="0" t="s">
        <v>388</v>
      </c>
      <c r="CA60" s="0" t="s">
        <v>2064</v>
      </c>
      <c r="CB60" s="0" t="s">
        <v>196</v>
      </c>
      <c r="CC60" s="0" t="s">
        <v>955</v>
      </c>
      <c r="CD60" s="0" t="s">
        <v>2065</v>
      </c>
      <c r="CE60" s="0" t="s">
        <v>2066</v>
      </c>
      <c r="CF60" s="0" t="s">
        <v>352</v>
      </c>
      <c r="CM60" s="0" t="s">
        <v>164</v>
      </c>
      <c r="CN60" s="0" t="s">
        <v>200</v>
      </c>
      <c r="CO60" s="0" t="s">
        <v>201</v>
      </c>
      <c r="CP60" s="0" t="s">
        <v>1</v>
      </c>
      <c r="CQ60" s="0" t="s">
        <v>2067</v>
      </c>
      <c r="CR60" s="0" t="s">
        <v>2068</v>
      </c>
      <c r="CS60" s="0" t="s">
        <v>2069</v>
      </c>
      <c r="CT60" s="0" t="s">
        <v>2070</v>
      </c>
      <c r="CU60" s="0" t="s">
        <v>1126</v>
      </c>
      <c r="CV60" s="0" t="s">
        <v>209</v>
      </c>
      <c r="CW60" s="0" t="s">
        <v>209</v>
      </c>
      <c r="CX60" s="0" t="s">
        <v>440</v>
      </c>
      <c r="CY60" s="0" t="s">
        <v>2071</v>
      </c>
      <c r="CZ60" s="0" t="s">
        <v>2072</v>
      </c>
      <c r="DA60" s="0" t="s">
        <v>207</v>
      </c>
      <c r="DB60" s="0" t="s">
        <v>259</v>
      </c>
      <c r="DC60" s="0" t="s">
        <v>164</v>
      </c>
      <c r="DD60" s="0" t="s">
        <v>209</v>
      </c>
      <c r="DE60" s="0" t="s">
        <v>2073</v>
      </c>
      <c r="DF60" s="0" t="s">
        <v>525</v>
      </c>
      <c r="DG60" s="0" t="n">
        <v>40.743751</v>
      </c>
      <c r="DH60" s="0" t="n">
        <v>-73.991374</v>
      </c>
      <c r="DI60" s="0" t="s">
        <v>164</v>
      </c>
      <c r="DJ60" s="0" t="n">
        <v>0</v>
      </c>
      <c r="DK60" s="0" t="s">
        <v>2074</v>
      </c>
      <c r="DL60" s="0" t="s">
        <v>2075</v>
      </c>
      <c r="DM60" s="0" t="s">
        <v>2071</v>
      </c>
      <c r="DN60" s="0" t="s">
        <v>172</v>
      </c>
      <c r="DO60" s="0" t="s">
        <v>651</v>
      </c>
      <c r="DS60" s="0" t="s">
        <v>187</v>
      </c>
      <c r="DU60" s="0" t="s">
        <v>189</v>
      </c>
      <c r="DX60" s="0" t="s">
        <v>209</v>
      </c>
      <c r="EA60" s="0" t="s">
        <v>209</v>
      </c>
      <c r="EB60" s="0" t="s">
        <v>189</v>
      </c>
      <c r="EC60" s="0" t="s">
        <v>218</v>
      </c>
      <c r="ED60" s="0" t="s">
        <v>2071</v>
      </c>
      <c r="EE60" s="0" t="s">
        <v>172</v>
      </c>
      <c r="EF60" s="0" t="n">
        <v>33</v>
      </c>
      <c r="EG60" s="0" t="s">
        <v>1322</v>
      </c>
      <c r="EH60" s="0" t="s">
        <v>189</v>
      </c>
      <c r="EI60" s="0" t="s">
        <v>2076</v>
      </c>
      <c r="EJ60" s="0" t="s">
        <v>221</v>
      </c>
      <c r="EK60" s="0" t="n">
        <v>0.41</v>
      </c>
      <c r="EL60" s="0" t="n">
        <v>50.1</v>
      </c>
      <c r="EM60" s="0" t="n">
        <v>10.1</v>
      </c>
      <c r="EN60" s="0" t="n">
        <v>15</v>
      </c>
      <c r="EO60" s="0" t="n">
        <v>15</v>
      </c>
      <c r="EP60" s="0" t="n">
        <v>5</v>
      </c>
      <c r="EQ60" s="0" t="n">
        <f aca="false">IF($A60="","",IF(AH60="exact",10,IF(AH60="adjacent",5,0)))</f>
        <v>0</v>
      </c>
      <c r="ER60" s="0" t="n">
        <f aca="false">IF($A60="","",IF(R60="Y",15,0))</f>
        <v>0</v>
      </c>
      <c r="ES60" s="0" t="s">
        <v>222</v>
      </c>
      <c r="EX60" s="0" t="s">
        <v>2077</v>
      </c>
      <c r="EZ60" s="0" t="s">
        <v>2078</v>
      </c>
      <c r="FS60" s="0" t="str">
        <f aca="false">IF($A60="","",IF(ISNUMBER(MATCH(U60,{"queued","contacted","replied","call_booked","call_done","yes_in_principle","materials_sent"},0)),"Y","N"))</f>
        <v>N</v>
      </c>
      <c r="FT60" s="0" t="str">
        <f aca="false">IF($A60="","",IF(OR(T60="Y",U60="do_not_contact",AS60&amp;""&lt;&gt;""),"Y","N"))</f>
        <v>N</v>
      </c>
      <c r="FU60" s="0" t="str">
        <f aca="false">IF($A60="","",IF(AP60&amp;""&lt;&gt;"",AP60&amp;"",$A60))</f>
        <v>AO-C-106</v>
      </c>
      <c r="FV60" s="0" t="str">
        <f aca="false">IF($A60="","",IF(COUNTIFS($FU$2:$FU$1000,FU60,$FS$2:$FS$1000,"Y")+COUNTIFS($FU$2:$FU$1000,FU60,$FT$2:$FT$1000,"Y")&gt;0,"Y","N"))</f>
        <v>N</v>
      </c>
      <c r="FW60" s="0" t="str">
        <f aca="false">IF($A60="","",IF(AND(U60="new",T60="N",FT60="N",AT60="Y",FV60="N"),"Y","N"))</f>
        <v>N</v>
      </c>
      <c r="FX60" s="0" t="str">
        <f aca="false">IF($A60="","",IF(FW60&lt;&gt;"Y","N",IF(COUNTIFS($FU$2:$FU$1000,FU60,$FW$2:$FW$1000,"Y",$J$2:$J$1000,"&gt;"&amp;J60)+COUNTIFS($FU$2:$FU$1000,FU60,$FW$2:$FW$1000,"Y",$J$2:$J$1000,J60,$GD$2:$GD$1000,"&lt;"&amp;GD60)=0,"Y","N")))</f>
        <v>N</v>
      </c>
      <c r="FY60" s="0" t="str">
        <f aca="false">IF($A60="","",IF(AND(FW60="Y",FX60="Y",Y60&amp;""&lt;&gt;""),IF(Y60&lt;=10,"Y","N"),"N"))</f>
        <v>N</v>
      </c>
      <c r="FZ60" s="0" t="str">
        <f aca="false">IF(FY60="Y",Y60,"")</f>
        <v/>
      </c>
      <c r="GA60" s="0" t="str">
        <f aca="false">IF($A60="","",IF(AND(I60="walk-in",CN60="pass",U60="new",FT60="N",FV60="N",AQ60&lt;&gt;"Y"),"Y","N"))</f>
        <v>N</v>
      </c>
      <c r="GB60" s="0" t="str">
        <f aca="false">IF(GA60&lt;&gt;"Y","",IF(COUNTIFS($GA$2:$GA$1000,"Y",$J$2:$J$1000,"&gt;"&amp;J60)+COUNTIFS($GA$2:$GA$1000,"Y",$J$2:$J$1000,J60,$GD$2:$GD$1000,"&lt;"&amp;GD60)+1&lt;=25,COUNTIFS($GA$2:$GA$1000,"Y",$J$2:$J$1000,"&gt;"&amp;J60)+COUNTIFS($GA$2:$GA$1000,"Y",$J$2:$J$1000,J60,$GD$2:$GD$1000,"&lt;"&amp;GD60)+1,""))</f>
        <v/>
      </c>
      <c r="GC60" s="0" t="str">
        <f aca="false">IF(AND(_xlfn.ISFORMULA(C60),_xlfn.ISFORMULA(J60)),"Y","N")</f>
        <v>N</v>
      </c>
      <c r="GD60" s="0" t="n">
        <f aca="false">ROW()-1</f>
        <v>59</v>
      </c>
    </row>
    <row r="61" customFormat="false" ht="15" hidden="false" customHeight="false" outlineLevel="0" collapsed="false">
      <c r="A61" s="0" t="s">
        <v>1898</v>
      </c>
      <c r="B61" s="0" t="s">
        <v>2079</v>
      </c>
      <c r="C61" s="0" t="s">
        <v>1910</v>
      </c>
      <c r="D61" s="0" t="s">
        <v>2080</v>
      </c>
      <c r="E61" s="0" t="s">
        <v>2081</v>
      </c>
      <c r="F61" s="0" t="s">
        <v>2082</v>
      </c>
      <c r="G61" s="0" t="s">
        <v>189</v>
      </c>
      <c r="H61" s="0" t="s">
        <v>1899</v>
      </c>
      <c r="I61" s="0" t="s">
        <v>1900</v>
      </c>
      <c r="J61" s="0" t="s">
        <v>1901</v>
      </c>
      <c r="L61" s="0" t="s">
        <v>168</v>
      </c>
      <c r="M61" s="0" t="s">
        <v>283</v>
      </c>
      <c r="N61" s="0" t="s">
        <v>284</v>
      </c>
      <c r="O61" s="0" t="s">
        <v>1902</v>
      </c>
      <c r="P61" s="0" t="s">
        <v>172</v>
      </c>
      <c r="R61" s="5"/>
      <c r="U61" s="5"/>
      <c r="V61" s="0" t="s">
        <v>380</v>
      </c>
      <c r="AE61" s="0" t="s">
        <v>2083</v>
      </c>
      <c r="AF61" s="0" t="s">
        <v>2084</v>
      </c>
      <c r="AG61" s="0" t="s">
        <v>1911</v>
      </c>
      <c r="AH61" s="0" t="s">
        <v>439</v>
      </c>
      <c r="AI61" s="0" t="s">
        <v>1913</v>
      </c>
      <c r="AJ61" s="0" t="s">
        <v>189</v>
      </c>
      <c r="AK61" s="0" t="s">
        <v>1794</v>
      </c>
      <c r="AL61" s="0" t="s">
        <v>164</v>
      </c>
      <c r="AM61" s="0" t="n">
        <v>56</v>
      </c>
      <c r="AN61" s="0" t="s">
        <v>187</v>
      </c>
      <c r="AO61" s="0" t="s">
        <v>188</v>
      </c>
      <c r="AP61" s="0" t="s">
        <v>2085</v>
      </c>
      <c r="AQ61" s="5" t="s">
        <v>189</v>
      </c>
      <c r="AT61" s="0" t="str">
        <f aca="false">IF($A61="","",IF(AND(CN61="pass",AQ61&lt;&gt;"Y",C61&lt;&gt;"",OR(AX61&lt;&gt;"Y",AV61="Y")),"Y","N"))</f>
        <v>Y</v>
      </c>
      <c r="AU61" s="0" t="str">
        <f aca="false">IF($A61="","",_xlfn.TEXTJOIN("; ",TRUE(),IF(CN61&lt;&gt;"pass","gated out",""),IF(AQ61="Y","on hold: "&amp;AR61,""),IF(C61="","no contact named on an opened page",""),IF(AND(AX61="Y",AV61&lt;&gt;"Y"),"Tuesday estimate band "&amp;L61&amp;": founder's call","")))</f>
        <v/>
      </c>
      <c r="AX61" s="0" t="s">
        <v>189</v>
      </c>
      <c r="BC61" s="0" t="str">
        <f aca="false">IF($A61="","",IFERROR(INDEX(Enrichment!$A$2:$GZ$2000,MATCH($A61,INDEX(Enrichment!$A$2:$GZ$2000,0,MATCH("row_id",Enrichment!$A$1:$GZ$1,0)),0),MATCH("work_email",Enrichment!$A$1:$GZ$1,0))&amp;"",""))</f>
        <v/>
      </c>
      <c r="BD61" s="0" t="str">
        <f aca="false">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none</v>
      </c>
      <c r="BF61" s="0" t="s">
        <v>380</v>
      </c>
      <c r="BJ61" s="0" t="s">
        <v>380</v>
      </c>
      <c r="BL61" s="0" t="s">
        <v>837</v>
      </c>
      <c r="BQ61" s="0" t="str">
        <f aca="false">IF($A61="","",IFERROR(INDEX(Enrichment!$A$2:$GZ$2000,MATCH($A61,INDEX(Enrichment!$A$2:$GZ$2000,0,MATCH("row_id",Enrichment!$A$1:$GZ$1,0)),0),MATCH("backup_work_email",Enrichment!$A$1:$GZ$1,0))&amp;"",""))</f>
        <v/>
      </c>
      <c r="BR61" s="0" t="str">
        <f aca="false">IF($A61="","",IF(BQ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none</v>
      </c>
      <c r="BT61" s="0" t="s">
        <v>380</v>
      </c>
      <c r="BX61" s="0" t="s">
        <v>380</v>
      </c>
      <c r="BY61" s="0" t="s">
        <v>387</v>
      </c>
      <c r="BZ61" s="0" t="s">
        <v>388</v>
      </c>
      <c r="CA61" s="0" t="s">
        <v>2086</v>
      </c>
      <c r="CB61" s="0" t="s">
        <v>196</v>
      </c>
      <c r="CM61" s="0" t="s">
        <v>164</v>
      </c>
      <c r="CN61" s="0" t="s">
        <v>200</v>
      </c>
      <c r="CO61" s="0" t="s">
        <v>201</v>
      </c>
      <c r="CP61" s="0" t="s">
        <v>1</v>
      </c>
      <c r="CQ61" s="0" t="s">
        <v>2087</v>
      </c>
      <c r="CR61" s="0" t="s">
        <v>2088</v>
      </c>
      <c r="CS61" s="0" t="s">
        <v>2089</v>
      </c>
      <c r="CT61" s="0" t="s">
        <v>2090</v>
      </c>
      <c r="CU61" s="0" t="s">
        <v>752</v>
      </c>
      <c r="CV61" s="0" t="s">
        <v>355</v>
      </c>
      <c r="CW61" s="0" t="s">
        <v>204</v>
      </c>
      <c r="CX61" s="0" t="s">
        <v>356</v>
      </c>
      <c r="CY61" s="0" t="s">
        <v>2091</v>
      </c>
      <c r="CZ61" s="0" t="s">
        <v>2092</v>
      </c>
      <c r="DA61" s="0" t="s">
        <v>207</v>
      </c>
      <c r="DB61" s="0" t="s">
        <v>259</v>
      </c>
      <c r="DC61" s="0" t="s">
        <v>164</v>
      </c>
      <c r="DD61" s="0" t="s">
        <v>209</v>
      </c>
      <c r="DE61" s="0" t="s">
        <v>2093</v>
      </c>
      <c r="DF61" s="0" t="s">
        <v>210</v>
      </c>
      <c r="DG61" s="0" t="n">
        <v>40.734626</v>
      </c>
      <c r="DH61" s="0" t="n">
        <v>-73.9911</v>
      </c>
      <c r="DI61" s="0" t="s">
        <v>164</v>
      </c>
      <c r="DJ61" s="0" t="n">
        <v>0</v>
      </c>
      <c r="DK61" s="0" t="s">
        <v>1542</v>
      </c>
      <c r="DL61" s="0" t="s">
        <v>1543</v>
      </c>
      <c r="DM61" s="0" t="s">
        <v>2094</v>
      </c>
      <c r="DN61" s="0" t="s">
        <v>2095</v>
      </c>
      <c r="DO61" s="0" t="s">
        <v>363</v>
      </c>
      <c r="DS61" s="0" t="s">
        <v>809</v>
      </c>
      <c r="DU61" s="0" t="s">
        <v>189</v>
      </c>
      <c r="DX61" s="0" t="s">
        <v>267</v>
      </c>
      <c r="DY61" s="0" t="s">
        <v>1548</v>
      </c>
      <c r="EA61" s="0" t="s">
        <v>209</v>
      </c>
      <c r="EB61" s="0" t="s">
        <v>189</v>
      </c>
      <c r="EC61" s="0" t="s">
        <v>218</v>
      </c>
      <c r="ED61" s="0" t="s">
        <v>2096</v>
      </c>
      <c r="EE61" s="0" t="s">
        <v>172</v>
      </c>
      <c r="EF61" s="0" t="n">
        <v>40</v>
      </c>
      <c r="EG61" s="0" t="s">
        <v>1280</v>
      </c>
      <c r="EH61" s="0" t="s">
        <v>164</v>
      </c>
      <c r="EI61" s="0" t="s">
        <v>2097</v>
      </c>
      <c r="EJ61" s="0" t="s">
        <v>221</v>
      </c>
      <c r="EK61" s="0" t="n">
        <v>0.49</v>
      </c>
      <c r="EL61" s="0" t="n">
        <v>50.1</v>
      </c>
      <c r="EM61" s="0" t="n">
        <v>12.1</v>
      </c>
      <c r="EN61" s="0" t="n">
        <v>15</v>
      </c>
      <c r="EO61" s="0" t="n">
        <v>15</v>
      </c>
      <c r="EP61" s="0" t="n">
        <v>8</v>
      </c>
      <c r="EQ61" s="0" t="n">
        <f aca="false">IF($A61="","",IF(AH61="exact",10,IF(AH61="adjacent",5,0)))</f>
        <v>0</v>
      </c>
      <c r="ER61" s="0" t="n">
        <f aca="false">IF($A61="","",IF(R61="Y",15,0))</f>
        <v>0</v>
      </c>
      <c r="ES61" s="0" t="s">
        <v>222</v>
      </c>
      <c r="EV61" s="0" t="s">
        <v>2098</v>
      </c>
      <c r="EW61" s="0" t="s">
        <v>224</v>
      </c>
      <c r="EX61" s="0" t="s">
        <v>2099</v>
      </c>
      <c r="EZ61" s="0" t="s">
        <v>2100</v>
      </c>
      <c r="FS61" s="0" t="str">
        <f aca="false">IF($A61="","",IF(ISNUMBER(MATCH(U61,{"queued","contacted","replied","call_booked","call_done","yes_in_principle","materials_sent"},0)),"Y","N"))</f>
        <v>N</v>
      </c>
      <c r="FT61" s="0" t="str">
        <f aca="false">IF($A61="","",IF(OR(T61="Y",U61="do_not_contact",AS61&amp;""&lt;&gt;""),"Y","N"))</f>
        <v>N</v>
      </c>
      <c r="FU61" s="0" t="str">
        <f aca="false">IF($A61="","",IF(AP61&amp;""&lt;&gt;"",AP61&amp;"",$A61))</f>
        <v>AO-C-007</v>
      </c>
      <c r="FV61" s="0" t="str">
        <f aca="false">IF($A61="","",IF(COUNTIFS($FU$2:$FU$1000,FU61,$FS$2:$FS$1000,"Y")+COUNTIFS($FU$2:$FU$1000,FU61,$FT$2:$FT$1000,"Y")&gt;0,"Y","N"))</f>
        <v>N</v>
      </c>
      <c r="FW61" s="0" t="str">
        <f aca="false">IF($A61="","",IF(AND(U61="new",T61="N",FT61="N",AT61="Y",FV61="N"),"Y","N"))</f>
        <v>N</v>
      </c>
      <c r="FX61" s="0" t="str">
        <f aca="false">IF($A61="","",IF(FW61&lt;&gt;"Y","N",IF(COUNTIFS($FU$2:$FU$1000,FU61,$FW$2:$FW$1000,"Y",$J$2:$J$1000,"&gt;"&amp;J61)+COUNTIFS($FU$2:$FU$1000,FU61,$FW$2:$FW$1000,"Y",$J$2:$J$1000,J61,$GD$2:$GD$1000,"&lt;"&amp;GD61)=0,"Y","N")))</f>
        <v>N</v>
      </c>
      <c r="FY61" s="0" t="str">
        <f aca="false">IF($A61="","",IF(AND(FW61="Y",FX61="Y",Y61&amp;""&lt;&gt;""),IF(Y61&lt;=10,"Y","N"),"N"))</f>
        <v>N</v>
      </c>
      <c r="FZ61" s="0" t="str">
        <f aca="false">IF(FY61="Y",Y61,"")</f>
        <v/>
      </c>
      <c r="GA61" s="0" t="str">
        <f aca="false">IF($A61="","",IF(AND(I61="walk-in",CN61="pass",U61="new",FT61="N",FV61="N",AQ61&lt;&gt;"Y"),"Y","N"))</f>
        <v>N</v>
      </c>
      <c r="GB61" s="0" t="str">
        <f aca="false">IF(GA61&lt;&gt;"Y","",IF(COUNTIFS($GA$2:$GA$1000,"Y",$J$2:$J$1000,"&gt;"&amp;J61)+COUNTIFS($GA$2:$GA$1000,"Y",$J$2:$J$1000,J61,$GD$2:$GD$1000,"&lt;"&amp;GD61)+1&lt;=25,COUNTIFS($GA$2:$GA$1000,"Y",$J$2:$J$1000,"&gt;"&amp;J61)+COUNTIFS($GA$2:$GA$1000,"Y",$J$2:$J$1000,J61,$GD$2:$GD$1000,"&lt;"&amp;GD61)+1,""))</f>
        <v/>
      </c>
      <c r="GC61" s="0" t="str">
        <f aca="false">IF(AND(_xlfn.ISFORMULA(C61),_xlfn.ISFORMULA(J61)),"Y","N")</f>
        <v>N</v>
      </c>
      <c r="GD61" s="0" t="n">
        <f aca="false">ROW()-1</f>
        <v>60</v>
      </c>
    </row>
    <row r="62" customFormat="false" ht="15" hidden="false" customHeight="false" outlineLevel="0" collapsed="false">
      <c r="A62" s="0" t="s">
        <v>1929</v>
      </c>
      <c r="B62" s="0" t="s">
        <v>2101</v>
      </c>
      <c r="C62" s="0" t="s">
        <v>1932</v>
      </c>
      <c r="D62" s="0" t="s">
        <v>2102</v>
      </c>
      <c r="E62" s="0" t="s">
        <v>2103</v>
      </c>
      <c r="F62" s="0" t="s">
        <v>2104</v>
      </c>
      <c r="G62" s="0" t="s">
        <v>189</v>
      </c>
      <c r="M62" s="0" t="s">
        <v>380</v>
      </c>
      <c r="R62" s="5"/>
      <c r="U62" s="5"/>
      <c r="V62" s="0" t="s">
        <v>380</v>
      </c>
      <c r="AE62" s="0" t="s">
        <v>2105</v>
      </c>
      <c r="AF62" s="0" t="s">
        <v>2106</v>
      </c>
      <c r="AG62" s="0" t="s">
        <v>1933</v>
      </c>
      <c r="AH62" s="0" t="s">
        <v>1934</v>
      </c>
      <c r="AI62" s="0" t="s">
        <v>1936</v>
      </c>
      <c r="AJ62" s="0" t="s">
        <v>189</v>
      </c>
      <c r="AK62" s="0" t="s">
        <v>186</v>
      </c>
      <c r="AL62" s="0" t="s">
        <v>189</v>
      </c>
      <c r="AM62" s="0" t="n">
        <v>96</v>
      </c>
      <c r="AN62" s="0" t="s">
        <v>187</v>
      </c>
      <c r="AO62" s="0" t="s">
        <v>1104</v>
      </c>
      <c r="AP62" s="0" t="s">
        <v>2107</v>
      </c>
      <c r="AQ62" s="5" t="s">
        <v>164</v>
      </c>
      <c r="AR62" s="0" t="s">
        <v>779</v>
      </c>
      <c r="AT62" s="0" t="str">
        <f aca="false">IF($A62="","",IF(AND(CN62="pass",AQ62&lt;&gt;"Y",C62&lt;&gt;"",OR(AX62&lt;&gt;"Y",AV62="Y")),"Y","N"))</f>
        <v>N</v>
      </c>
      <c r="AU62" s="0" t="str">
        <f aca="false">IF($A62="","",_xlfn.TEXTJOIN("; ",TRUE(),IF(CN62&lt;&gt;"pass","gated out",""),IF(AQ62="Y","on hold: "&amp;AR62,""),IF(C62="","no contact named on an opened page",""),IF(AND(AX62="Y",AV62&lt;&gt;"Y"),"Tuesday estimate band "&amp;L62&amp;": founder's call","")))</f>
        <v>on hold: lease signed, move not confirmed: check the lobby directory before outreach (B)</v>
      </c>
      <c r="AX62" s="0" t="s">
        <v>189</v>
      </c>
      <c r="BC62" s="0" t="str">
        <f aca="false">IF($A62="","",IFERROR(INDEX(Enrichment!$A$2:$GZ$2000,MATCH($A62,INDEX(Enrichment!$A$2:$GZ$2000,0,MATCH("row_id",Enrichment!$A$1:$GZ$1,0)),0),MATCH("work_email",Enrichment!$A$1:$GZ$1,0))&amp;"",""))</f>
        <v/>
      </c>
      <c r="BD62" s="0" t="str">
        <f aca="false">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none</v>
      </c>
      <c r="BF62" s="0" t="s">
        <v>380</v>
      </c>
      <c r="BJ62" s="0" t="s">
        <v>380</v>
      </c>
      <c r="BL62" s="0" t="s">
        <v>896</v>
      </c>
      <c r="BQ62" s="0" t="str">
        <f aca="false">IF($A62="","",IFERROR(INDEX(Enrichment!$A$2:$GZ$2000,MATCH($A62,INDEX(Enrichment!$A$2:$GZ$2000,0,MATCH("row_id",Enrichment!$A$1:$GZ$1,0)),0),MATCH("backup_work_email",Enrichment!$A$1:$GZ$1,0))&amp;"",""))</f>
        <v/>
      </c>
      <c r="BR62" s="0" t="str">
        <f aca="false">IF($A62="","",IF(BQ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none</v>
      </c>
      <c r="BT62" s="0" t="s">
        <v>380</v>
      </c>
      <c r="BX62" s="0" t="s">
        <v>380</v>
      </c>
      <c r="BY62" s="0" t="s">
        <v>387</v>
      </c>
      <c r="BZ62" s="0" t="s">
        <v>388</v>
      </c>
      <c r="CA62" s="0" t="s">
        <v>2108</v>
      </c>
      <c r="CB62" s="0" t="s">
        <v>196</v>
      </c>
      <c r="CM62" s="0" t="s">
        <v>189</v>
      </c>
      <c r="CN62" s="0" t="s">
        <v>200</v>
      </c>
      <c r="CO62" s="0" t="s">
        <v>201</v>
      </c>
      <c r="CP62" s="0" t="s">
        <v>1</v>
      </c>
      <c r="CQ62" s="0" t="s">
        <v>2109</v>
      </c>
      <c r="CR62" s="0" t="s">
        <v>2110</v>
      </c>
      <c r="CS62" s="0" t="s">
        <v>2111</v>
      </c>
      <c r="CT62" s="0" t="s">
        <v>2112</v>
      </c>
      <c r="CU62" s="0" t="s">
        <v>2113</v>
      </c>
      <c r="CV62" s="0" t="s">
        <v>203</v>
      </c>
      <c r="CW62" s="0" t="s">
        <v>204</v>
      </c>
      <c r="CX62" s="0" t="s">
        <v>356</v>
      </c>
      <c r="CY62" s="0" t="s">
        <v>2114</v>
      </c>
      <c r="CZ62" s="0" t="s">
        <v>2115</v>
      </c>
      <c r="DA62" s="0" t="s">
        <v>207</v>
      </c>
      <c r="DB62" s="0" t="s">
        <v>208</v>
      </c>
      <c r="DC62" s="0" t="s">
        <v>189</v>
      </c>
      <c r="DD62" s="0" t="s">
        <v>209</v>
      </c>
      <c r="DE62" s="0" t="s">
        <v>2116</v>
      </c>
      <c r="DF62" s="0" t="s">
        <v>210</v>
      </c>
      <c r="DG62" s="0" t="n">
        <v>40.73827</v>
      </c>
      <c r="DH62" s="0" t="n">
        <v>-73.988199</v>
      </c>
      <c r="DI62" s="0" t="s">
        <v>164</v>
      </c>
      <c r="DJ62" s="0" t="n">
        <v>0</v>
      </c>
      <c r="DK62" s="0" t="s">
        <v>2117</v>
      </c>
      <c r="DL62" s="0" t="s">
        <v>2118</v>
      </c>
      <c r="DM62" s="0" t="s">
        <v>2119</v>
      </c>
      <c r="DN62" s="0" t="s">
        <v>2120</v>
      </c>
      <c r="DO62" s="0" t="s">
        <v>363</v>
      </c>
      <c r="DP62" s="0" t="s">
        <v>2121</v>
      </c>
      <c r="DQ62" s="0" t="s">
        <v>2122</v>
      </c>
      <c r="DS62" s="0" t="s">
        <v>809</v>
      </c>
      <c r="DT62" s="0" t="s">
        <v>209</v>
      </c>
      <c r="DU62" s="0" t="s">
        <v>189</v>
      </c>
      <c r="DX62" s="0" t="s">
        <v>209</v>
      </c>
      <c r="EA62" s="0" t="s">
        <v>209</v>
      </c>
      <c r="EB62" s="0" t="s">
        <v>189</v>
      </c>
      <c r="EC62" s="0" t="s">
        <v>2123</v>
      </c>
      <c r="ED62" s="0" t="s">
        <v>2124</v>
      </c>
      <c r="EE62" s="0" t="s">
        <v>172</v>
      </c>
      <c r="EF62" s="0" t="n">
        <v>68</v>
      </c>
      <c r="EH62" s="0" t="s">
        <v>164</v>
      </c>
      <c r="EI62" s="0" t="s">
        <v>2125</v>
      </c>
      <c r="EJ62" s="0" t="s">
        <v>221</v>
      </c>
      <c r="EK62" s="0" t="n">
        <v>1</v>
      </c>
      <c r="EL62" s="0" t="n">
        <v>50</v>
      </c>
      <c r="EM62" s="0" t="n">
        <v>25</v>
      </c>
      <c r="EN62" s="0" t="n">
        <v>15</v>
      </c>
      <c r="EO62" s="0" t="n">
        <v>5</v>
      </c>
      <c r="EP62" s="0" t="n">
        <v>5</v>
      </c>
      <c r="EQ62" s="0" t="n">
        <f aca="false">IF($A62="","",IF(AH62="exact",10,IF(AH62="adjacent",5,0)))</f>
        <v>0</v>
      </c>
      <c r="ER62" s="0" t="n">
        <f aca="false">IF($A62="","",IF(R62="Y",15,0))</f>
        <v>0</v>
      </c>
      <c r="ES62" s="0" t="s">
        <v>222</v>
      </c>
      <c r="EV62" s="0" t="s">
        <v>2126</v>
      </c>
      <c r="EW62" s="0" t="s">
        <v>2127</v>
      </c>
      <c r="EX62" s="0" t="s">
        <v>2128</v>
      </c>
      <c r="EZ62" s="0" t="s">
        <v>2129</v>
      </c>
      <c r="FS62" s="0" t="str">
        <f aca="false">IF($A62="","",IF(ISNUMBER(MATCH(U62,{"queued","contacted","replied","call_booked","call_done","yes_in_principle","materials_sent"},0)),"Y","N"))</f>
        <v>N</v>
      </c>
      <c r="FT62" s="0" t="str">
        <f aca="false">IF($A62="","",IF(OR(T62="Y",U62="do_not_contact",AS62&amp;""&lt;&gt;""),"Y","N"))</f>
        <v>N</v>
      </c>
      <c r="FU62" s="0" t="str">
        <f aca="false">IF($A62="","",IF(AP62&amp;""&lt;&gt;"",AP62&amp;"",$A62))</f>
        <v>AO-C-056</v>
      </c>
      <c r="FV62" s="0" t="str">
        <f aca="false">IF($A62="","",IF(COUNTIFS($FU$2:$FU$1000,FU62,$FS$2:$FS$1000,"Y")+COUNTIFS($FU$2:$FU$1000,FU62,$FT$2:$FT$1000,"Y")&gt;0,"Y","N"))</f>
        <v>N</v>
      </c>
      <c r="FW62" s="0" t="str">
        <f aca="false">IF($A62="","",IF(AND(U62="new",T62="N",FT62="N",AT62="Y",FV62="N"),"Y","N"))</f>
        <v>N</v>
      </c>
      <c r="FX62" s="0" t="str">
        <f aca="false">IF($A62="","",IF(FW62&lt;&gt;"Y","N",IF(COUNTIFS($FU$2:$FU$1000,FU62,$FW$2:$FW$1000,"Y",$J$2:$J$1000,"&gt;"&amp;J62)+COUNTIFS($FU$2:$FU$1000,FU62,$FW$2:$FW$1000,"Y",$J$2:$J$1000,J62,$GD$2:$GD$1000,"&lt;"&amp;GD62)=0,"Y","N")))</f>
        <v>N</v>
      </c>
      <c r="FY62" s="0" t="str">
        <f aca="false">IF($A62="","",IF(AND(FW62="Y",FX62="Y",Y62&amp;""&lt;&gt;""),IF(Y62&lt;=10,"Y","N"),"N"))</f>
        <v>N</v>
      </c>
      <c r="FZ62" s="0" t="str">
        <f aca="false">IF(FY62="Y",Y62,"")</f>
        <v/>
      </c>
      <c r="GA62" s="0" t="str">
        <f aca="false">IF($A62="","",IF(AND(I62="walk-in",CN62="pass",U62="new",FT62="N",FV62="N",AQ62&lt;&gt;"Y"),"Y","N"))</f>
        <v>N</v>
      </c>
      <c r="GB62" s="0" t="str">
        <f aca="false">IF(GA62&lt;&gt;"Y","",IF(COUNTIFS($GA$2:$GA$1000,"Y",$J$2:$J$1000,"&gt;"&amp;J62)+COUNTIFS($GA$2:$GA$1000,"Y",$J$2:$J$1000,J62,$GD$2:$GD$1000,"&lt;"&amp;GD62)+1&lt;=25,COUNTIFS($GA$2:$GA$1000,"Y",$J$2:$J$1000,"&gt;"&amp;J62)+COUNTIFS($GA$2:$GA$1000,"Y",$J$2:$J$1000,J62,$GD$2:$GD$1000,"&lt;"&amp;GD62)+1,""))</f>
        <v/>
      </c>
      <c r="GC62" s="0" t="str">
        <f aca="false">IF(AND(_xlfn.ISFORMULA(C62),_xlfn.ISFORMULA(J62)),"Y","N")</f>
        <v>N</v>
      </c>
      <c r="GD62" s="0" t="n">
        <f aca="false">ROW()-1</f>
        <v>61</v>
      </c>
    </row>
    <row r="63" customFormat="false" ht="15" hidden="false" customHeight="false" outlineLevel="0" collapsed="false">
      <c r="A63" s="0" t="s">
        <v>1950</v>
      </c>
      <c r="B63" s="0" t="s">
        <v>2130</v>
      </c>
      <c r="C63" s="0" t="s">
        <v>1953</v>
      </c>
      <c r="D63" s="0" t="s">
        <v>2131</v>
      </c>
      <c r="E63" s="0" t="s">
        <v>2132</v>
      </c>
      <c r="F63" s="0" t="s">
        <v>2133</v>
      </c>
      <c r="G63" s="0" t="s">
        <v>189</v>
      </c>
      <c r="M63" s="0" t="s">
        <v>380</v>
      </c>
      <c r="R63" s="5"/>
      <c r="U63" s="5"/>
      <c r="V63" s="0" t="s">
        <v>380</v>
      </c>
      <c r="AE63" s="0" t="s">
        <v>1985</v>
      </c>
      <c r="AF63" s="0" t="s">
        <v>294</v>
      </c>
      <c r="AG63" s="0" t="s">
        <v>1954</v>
      </c>
      <c r="AH63" s="0" t="s">
        <v>1955</v>
      </c>
      <c r="AI63" s="0" t="s">
        <v>1957</v>
      </c>
      <c r="AJ63" s="0" t="s">
        <v>189</v>
      </c>
      <c r="AK63" s="0" t="s">
        <v>186</v>
      </c>
      <c r="AL63" s="0" t="s">
        <v>164</v>
      </c>
      <c r="AM63" s="0" t="n">
        <v>97</v>
      </c>
      <c r="AN63" s="0" t="s">
        <v>187</v>
      </c>
      <c r="AO63" s="0" t="s">
        <v>188</v>
      </c>
      <c r="AP63" s="0" t="s">
        <v>2134</v>
      </c>
      <c r="AQ63" s="5" t="s">
        <v>189</v>
      </c>
      <c r="AT63" s="0" t="str">
        <f aca="false">IF($A63="","",IF(AND(CN63="pass",AQ63&lt;&gt;"Y",C63&lt;&gt;"",OR(AX63&lt;&gt;"Y",AV63="Y")),"Y","N"))</f>
        <v>Y</v>
      </c>
      <c r="AU63" s="0" t="str">
        <f aca="false">IF($A63="","",_xlfn.TEXTJOIN("; ",TRUE(),IF(CN63&lt;&gt;"pass","gated out",""),IF(AQ63="Y","on hold: "&amp;AR63,""),IF(C63="","no contact named on an opened page",""),IF(AND(AX63="Y",AV63&lt;&gt;"Y"),"Tuesday estimate band "&amp;L63&amp;": founder's call","")))</f>
        <v/>
      </c>
      <c r="AX63" s="0" t="s">
        <v>189</v>
      </c>
      <c r="BC63" s="0" t="str">
        <f aca="false">IF($A63="","",IFERROR(INDEX(Enrichment!$A$2:$GZ$2000,MATCH($A63,INDEX(Enrichment!$A$2:$GZ$2000,0,MATCH("row_id",Enrichment!$A$1:$GZ$1,0)),0),MATCH("work_email",Enrichment!$A$1:$GZ$1,0))&amp;"",""))</f>
        <v/>
      </c>
      <c r="BD63" s="0" t="str">
        <f aca="false">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none</v>
      </c>
      <c r="BF63" s="0" t="s">
        <v>380</v>
      </c>
      <c r="BJ63" s="0" t="s">
        <v>380</v>
      </c>
      <c r="BL63" s="0" t="s">
        <v>896</v>
      </c>
      <c r="BQ63" s="0" t="str">
        <f aca="false">IF($A63="","",IFERROR(INDEX(Enrichment!$A$2:$GZ$2000,MATCH($A63,INDEX(Enrichment!$A$2:$GZ$2000,0,MATCH("row_id",Enrichment!$A$1:$GZ$1,0)),0),MATCH("backup_work_email",Enrichment!$A$1:$GZ$1,0))&amp;"",""))</f>
        <v/>
      </c>
      <c r="BR63" s="0" t="str">
        <f aca="false">IF($A63="","",IF(BQ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none</v>
      </c>
      <c r="BT63" s="0" t="s">
        <v>380</v>
      </c>
      <c r="BX63" s="0" t="s">
        <v>380</v>
      </c>
      <c r="BY63" s="0" t="s">
        <v>387</v>
      </c>
      <c r="BZ63" s="0" t="s">
        <v>388</v>
      </c>
      <c r="CA63" s="0" t="s">
        <v>2135</v>
      </c>
      <c r="CB63" s="0" t="s">
        <v>196</v>
      </c>
      <c r="CM63" s="0" t="s">
        <v>189</v>
      </c>
      <c r="CN63" s="0" t="s">
        <v>200</v>
      </c>
      <c r="CO63" s="0" t="s">
        <v>201</v>
      </c>
      <c r="CP63" s="0" t="s">
        <v>1</v>
      </c>
      <c r="CQ63" s="0" t="s">
        <v>2136</v>
      </c>
      <c r="CR63" s="0" t="s">
        <v>2137</v>
      </c>
      <c r="CS63" s="0" t="s">
        <v>2138</v>
      </c>
      <c r="CT63" s="0" t="s">
        <v>2139</v>
      </c>
      <c r="CV63" s="0" t="s">
        <v>976</v>
      </c>
      <c r="CW63" s="0" t="s">
        <v>204</v>
      </c>
      <c r="CX63" s="0" t="s">
        <v>205</v>
      </c>
      <c r="CY63" s="0" t="s">
        <v>2140</v>
      </c>
      <c r="DA63" s="0" t="s">
        <v>978</v>
      </c>
      <c r="DB63" s="0" t="s">
        <v>2141</v>
      </c>
      <c r="DC63" s="0" t="s">
        <v>189</v>
      </c>
      <c r="DD63" s="0" t="s">
        <v>209</v>
      </c>
      <c r="DE63" s="0" t="s">
        <v>2142</v>
      </c>
      <c r="DF63" s="0" t="s">
        <v>525</v>
      </c>
      <c r="DG63" s="0" t="n">
        <v>40.743309</v>
      </c>
      <c r="DH63" s="0" t="n">
        <v>-73.987329</v>
      </c>
      <c r="DI63" s="0" t="s">
        <v>164</v>
      </c>
      <c r="DJ63" s="0" t="n">
        <v>0</v>
      </c>
      <c r="DK63" s="0" t="s">
        <v>940</v>
      </c>
      <c r="DL63" s="0" t="s">
        <v>941</v>
      </c>
      <c r="DM63" s="0" t="s">
        <v>2143</v>
      </c>
      <c r="DN63" s="0" t="s">
        <v>2144</v>
      </c>
      <c r="DO63" s="0" t="s">
        <v>363</v>
      </c>
      <c r="DS63" s="0" t="s">
        <v>809</v>
      </c>
      <c r="DU63" s="0" t="s">
        <v>189</v>
      </c>
      <c r="DX63" s="0" t="s">
        <v>209</v>
      </c>
      <c r="EA63" s="0" t="s">
        <v>209</v>
      </c>
      <c r="EB63" s="0" t="s">
        <v>189</v>
      </c>
      <c r="EC63" s="0" t="s">
        <v>218</v>
      </c>
      <c r="ED63" s="0" t="s">
        <v>2140</v>
      </c>
      <c r="EE63" s="0" t="s">
        <v>172</v>
      </c>
      <c r="EF63" s="0" t="n">
        <v>76</v>
      </c>
      <c r="EH63" s="0" t="s">
        <v>164</v>
      </c>
      <c r="EI63" s="0" t="s">
        <v>2145</v>
      </c>
      <c r="EJ63" s="0" t="s">
        <v>221</v>
      </c>
      <c r="EK63" s="0" t="n">
        <v>1</v>
      </c>
      <c r="EL63" s="0" t="n">
        <v>50</v>
      </c>
      <c r="EM63" s="0" t="n">
        <v>25</v>
      </c>
      <c r="EN63" s="0" t="n">
        <v>2</v>
      </c>
      <c r="EO63" s="0" t="n">
        <v>15</v>
      </c>
      <c r="EP63" s="0" t="n">
        <v>8</v>
      </c>
      <c r="EQ63" s="0" t="n">
        <f aca="false">IF($A63="","",IF(AH63="exact",10,IF(AH63="adjacent",5,0)))</f>
        <v>0</v>
      </c>
      <c r="ER63" s="0" t="n">
        <f aca="false">IF($A63="","",IF(R63="Y",15,0))</f>
        <v>0</v>
      </c>
      <c r="ES63" s="0" t="s">
        <v>982</v>
      </c>
      <c r="ET63" s="0" t="s">
        <v>983</v>
      </c>
      <c r="EU63" s="0" t="s">
        <v>189</v>
      </c>
      <c r="EV63" s="0" t="s">
        <v>2146</v>
      </c>
      <c r="EW63" s="0" t="s">
        <v>224</v>
      </c>
      <c r="EX63" s="0" t="s">
        <v>2147</v>
      </c>
      <c r="EZ63" s="0" t="s">
        <v>2148</v>
      </c>
      <c r="FS63" s="0" t="str">
        <f aca="false">IF($A63="","",IF(ISNUMBER(MATCH(U63,{"queued","contacted","replied","call_booked","call_done","yes_in_principle","materials_sent"},0)),"Y","N"))</f>
        <v>N</v>
      </c>
      <c r="FT63" s="0" t="str">
        <f aca="false">IF($A63="","",IF(OR(T63="Y",U63="do_not_contact",AS63&amp;""&lt;&gt;""),"Y","N"))</f>
        <v>N</v>
      </c>
      <c r="FU63" s="0" t="str">
        <f aca="false">IF($A63="","",IF(AP63&amp;""&lt;&gt;"",AP63&amp;"",$A63))</f>
        <v>AO-C-259</v>
      </c>
      <c r="FV63" s="0" t="str">
        <f aca="false">IF($A63="","",IF(COUNTIFS($FU$2:$FU$1000,FU63,$FS$2:$FS$1000,"Y")+COUNTIFS($FU$2:$FU$1000,FU63,$FT$2:$FT$1000,"Y")&gt;0,"Y","N"))</f>
        <v>N</v>
      </c>
      <c r="FW63" s="0" t="str">
        <f aca="false">IF($A63="","",IF(AND(U63="new",T63="N",FT63="N",AT63="Y",FV63="N"),"Y","N"))</f>
        <v>N</v>
      </c>
      <c r="FX63" s="0" t="str">
        <f aca="false">IF($A63="","",IF(FW63&lt;&gt;"Y","N",IF(COUNTIFS($FU$2:$FU$1000,FU63,$FW$2:$FW$1000,"Y",$J$2:$J$1000,"&gt;"&amp;J63)+COUNTIFS($FU$2:$FU$1000,FU63,$FW$2:$FW$1000,"Y",$J$2:$J$1000,J63,$GD$2:$GD$1000,"&lt;"&amp;GD63)=0,"Y","N")))</f>
        <v>N</v>
      </c>
      <c r="FY63" s="0" t="str">
        <f aca="false">IF($A63="","",IF(AND(FW63="Y",FX63="Y",Y63&amp;""&lt;&gt;""),IF(Y63&lt;=10,"Y","N"),"N"))</f>
        <v>N</v>
      </c>
      <c r="FZ63" s="0" t="str">
        <f aca="false">IF(FY63="Y",Y63,"")</f>
        <v/>
      </c>
      <c r="GA63" s="0" t="str">
        <f aca="false">IF($A63="","",IF(AND(I63="walk-in",CN63="pass",U63="new",FT63="N",FV63="N",AQ63&lt;&gt;"Y"),"Y","N"))</f>
        <v>N</v>
      </c>
      <c r="GB63" s="0" t="str">
        <f aca="false">IF(GA63&lt;&gt;"Y","",IF(COUNTIFS($GA$2:$GA$1000,"Y",$J$2:$J$1000,"&gt;"&amp;J63)+COUNTIFS($GA$2:$GA$1000,"Y",$J$2:$J$1000,J63,$GD$2:$GD$1000,"&lt;"&amp;GD63)+1&lt;=25,COUNTIFS($GA$2:$GA$1000,"Y",$J$2:$J$1000,"&gt;"&amp;J63)+COUNTIFS($GA$2:$GA$1000,"Y",$J$2:$J$1000,J63,$GD$2:$GD$1000,"&lt;"&amp;GD63)+1,""))</f>
        <v/>
      </c>
      <c r="GC63" s="0" t="str">
        <f aca="false">IF(AND(_xlfn.ISFORMULA(C63),_xlfn.ISFORMULA(J63)),"Y","N")</f>
        <v>N</v>
      </c>
      <c r="GD63" s="0" t="n">
        <f aca="false">ROW()-1</f>
        <v>62</v>
      </c>
    </row>
    <row r="64" customFormat="false" ht="15" hidden="false" customHeight="false" outlineLevel="0" collapsed="false">
      <c r="A64" s="0" t="s">
        <v>1966</v>
      </c>
      <c r="B64" s="0" t="s">
        <v>2149</v>
      </c>
      <c r="C64" s="0" t="s">
        <v>1969</v>
      </c>
      <c r="D64" s="0" t="s">
        <v>2150</v>
      </c>
      <c r="E64" s="0" t="s">
        <v>2151</v>
      </c>
      <c r="F64" s="0" t="s">
        <v>2152</v>
      </c>
      <c r="G64" s="0" t="s">
        <v>189</v>
      </c>
      <c r="M64" s="0" t="s">
        <v>380</v>
      </c>
      <c r="R64" s="5"/>
      <c r="U64" s="5"/>
      <c r="V64" s="0" t="s">
        <v>380</v>
      </c>
      <c r="AE64" s="0" t="s">
        <v>1001</v>
      </c>
      <c r="AF64" s="0" t="s">
        <v>279</v>
      </c>
      <c r="AG64" s="0" t="s">
        <v>1970</v>
      </c>
      <c r="AH64" s="0" t="s">
        <v>1971</v>
      </c>
      <c r="AI64" s="0" t="s">
        <v>1973</v>
      </c>
      <c r="AJ64" s="0" t="s">
        <v>189</v>
      </c>
      <c r="AK64" s="0" t="s">
        <v>186</v>
      </c>
      <c r="AL64" s="0" t="s">
        <v>189</v>
      </c>
      <c r="AM64" s="0" t="n">
        <v>80</v>
      </c>
      <c r="AN64" s="0" t="s">
        <v>187</v>
      </c>
      <c r="AO64" s="0" t="s">
        <v>188</v>
      </c>
      <c r="AP64" s="0" t="s">
        <v>2153</v>
      </c>
      <c r="AQ64" s="5" t="s">
        <v>189</v>
      </c>
      <c r="AT64" s="0" t="str">
        <f aca="false">IF($A64="","",IF(AND(CN64="pass",AQ64&lt;&gt;"Y",C64&lt;&gt;"",OR(AX64&lt;&gt;"Y",AV64="Y")),"Y","N"))</f>
        <v>Y</v>
      </c>
      <c r="AU64" s="0" t="str">
        <f aca="false">IF($A64="","",_xlfn.TEXTJOIN("; ",TRUE(),IF(CN64&lt;&gt;"pass","gated out",""),IF(AQ64="Y","on hold: "&amp;AR64,""),IF(C64="","no contact named on an opened page",""),IF(AND(AX64="Y",AV64&lt;&gt;"Y"),"Tuesday estimate band "&amp;L64&amp;": founder's call","")))</f>
        <v/>
      </c>
      <c r="AX64" s="0" t="s">
        <v>189</v>
      </c>
      <c r="BC64" s="0" t="str">
        <f aca="false">IF($A64="","",IFERROR(INDEX(Enrichment!$A$2:$GZ$2000,MATCH($A64,INDEX(Enrichment!$A$2:$GZ$2000,0,MATCH("row_id",Enrichment!$A$1:$GZ$1,0)),0),MATCH("work_email",Enrichment!$A$1:$GZ$1,0))&amp;"",""))</f>
        <v/>
      </c>
      <c r="BD64" s="0" t="str">
        <f aca="false">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none</v>
      </c>
      <c r="BF64" s="0" t="s">
        <v>380</v>
      </c>
      <c r="BJ64" s="0" t="s">
        <v>380</v>
      </c>
      <c r="BL64" s="0" t="s">
        <v>896</v>
      </c>
      <c r="BQ64" s="0" t="str">
        <f aca="false">IF($A64="","",IFERROR(INDEX(Enrichment!$A$2:$GZ$2000,MATCH($A64,INDEX(Enrichment!$A$2:$GZ$2000,0,MATCH("row_id",Enrichment!$A$1:$GZ$1,0)),0),MATCH("backup_work_email",Enrichment!$A$1:$GZ$1,0))&amp;"",""))</f>
        <v/>
      </c>
      <c r="BR64" s="0" t="str">
        <f aca="false">IF($A64="","",IF(BQ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none</v>
      </c>
      <c r="BT64" s="0" t="s">
        <v>380</v>
      </c>
      <c r="BX64" s="0" t="s">
        <v>380</v>
      </c>
      <c r="BY64" s="0" t="s">
        <v>387</v>
      </c>
      <c r="BZ64" s="0" t="s">
        <v>388</v>
      </c>
      <c r="CA64" s="0" t="s">
        <v>2154</v>
      </c>
      <c r="CB64" s="0" t="s">
        <v>196</v>
      </c>
      <c r="CM64" s="0" t="s">
        <v>189</v>
      </c>
      <c r="CN64" s="0" t="s">
        <v>200</v>
      </c>
      <c r="CO64" s="0" t="s">
        <v>201</v>
      </c>
      <c r="CP64" s="0" t="s">
        <v>1</v>
      </c>
      <c r="CQ64" s="0" t="s">
        <v>2155</v>
      </c>
      <c r="CR64" s="0" t="s">
        <v>2156</v>
      </c>
      <c r="CS64" s="0" t="s">
        <v>2157</v>
      </c>
      <c r="CT64" s="0" t="s">
        <v>2158</v>
      </c>
      <c r="CU64" s="0" t="s">
        <v>427</v>
      </c>
      <c r="CV64" s="0" t="s">
        <v>976</v>
      </c>
      <c r="CW64" s="0" t="s">
        <v>204</v>
      </c>
      <c r="CX64" s="0" t="s">
        <v>1348</v>
      </c>
      <c r="CY64" s="0" t="s">
        <v>2159</v>
      </c>
      <c r="CZ64" s="0" t="s">
        <v>2160</v>
      </c>
      <c r="DA64" s="0" t="s">
        <v>978</v>
      </c>
      <c r="DB64" s="0" t="s">
        <v>208</v>
      </c>
      <c r="DC64" s="0" t="s">
        <v>189</v>
      </c>
      <c r="DD64" s="0" t="s">
        <v>209</v>
      </c>
      <c r="DE64" s="0" t="s">
        <v>2161</v>
      </c>
      <c r="DF64" s="0" t="s">
        <v>397</v>
      </c>
      <c r="DG64" s="0" t="n">
        <v>40.738405</v>
      </c>
      <c r="DH64" s="0" t="n">
        <v>-73.99394</v>
      </c>
      <c r="DI64" s="0" t="s">
        <v>164</v>
      </c>
      <c r="DJ64" s="0" t="n">
        <v>0</v>
      </c>
      <c r="DK64" s="0" t="s">
        <v>905</v>
      </c>
      <c r="DL64" s="0" t="s">
        <v>906</v>
      </c>
      <c r="DM64" s="0" t="s">
        <v>907</v>
      </c>
      <c r="DN64" s="0" t="s">
        <v>908</v>
      </c>
      <c r="DO64" s="0" t="s">
        <v>363</v>
      </c>
      <c r="DS64" s="0" t="s">
        <v>809</v>
      </c>
      <c r="DU64" s="0" t="s">
        <v>189</v>
      </c>
      <c r="DX64" s="0" t="s">
        <v>209</v>
      </c>
      <c r="EA64" s="0" t="s">
        <v>209</v>
      </c>
      <c r="EB64" s="0" t="s">
        <v>189</v>
      </c>
      <c r="EC64" s="0" t="s">
        <v>655</v>
      </c>
      <c r="ED64" s="0" t="s">
        <v>2162</v>
      </c>
      <c r="EE64" s="0" t="s">
        <v>172</v>
      </c>
      <c r="EF64" s="0" t="n">
        <v>57</v>
      </c>
      <c r="EH64" s="0" t="s">
        <v>164</v>
      </c>
      <c r="EI64" s="0" t="s">
        <v>2163</v>
      </c>
      <c r="EJ64" s="0" t="s">
        <v>221</v>
      </c>
      <c r="EK64" s="0" t="n">
        <v>1</v>
      </c>
      <c r="EL64" s="0" t="n">
        <v>50</v>
      </c>
      <c r="EM64" s="0" t="n">
        <v>25</v>
      </c>
      <c r="EN64" s="0" t="n">
        <v>2</v>
      </c>
      <c r="EO64" s="0" t="n">
        <v>15</v>
      </c>
      <c r="EP64" s="0" t="n">
        <v>8</v>
      </c>
      <c r="EQ64" s="0" t="n">
        <f aca="false">IF($A64="","",IF(AH64="exact",10,IF(AH64="adjacent",5,0)))</f>
        <v>0</v>
      </c>
      <c r="ER64" s="0" t="n">
        <f aca="false">IF($A64="","",IF(R64="Y",15,0))</f>
        <v>0</v>
      </c>
      <c r="ES64" s="0" t="s">
        <v>982</v>
      </c>
      <c r="ET64" s="0" t="s">
        <v>983</v>
      </c>
      <c r="EU64" s="0" t="s">
        <v>164</v>
      </c>
      <c r="EV64" s="0" t="s">
        <v>913</v>
      </c>
      <c r="EW64" s="0" t="s">
        <v>224</v>
      </c>
      <c r="EX64" s="0" t="s">
        <v>2164</v>
      </c>
      <c r="EZ64" s="0" t="s">
        <v>2165</v>
      </c>
      <c r="FS64" s="0" t="str">
        <f aca="false">IF($A64="","",IF(ISNUMBER(MATCH(U64,{"queued","contacted","replied","call_booked","call_done","yes_in_principle","materials_sent"},0)),"Y","N"))</f>
        <v>N</v>
      </c>
      <c r="FT64" s="0" t="str">
        <f aca="false">IF($A64="","",IF(OR(T64="Y",U64="do_not_contact",AS64&amp;""&lt;&gt;""),"Y","N"))</f>
        <v>N</v>
      </c>
      <c r="FU64" s="0" t="str">
        <f aca="false">IF($A64="","",IF(AP64&amp;""&lt;&gt;"",AP64&amp;"",$A64))</f>
        <v>AO-C-020</v>
      </c>
      <c r="FV64" s="0" t="str">
        <f aca="false">IF($A64="","",IF(COUNTIFS($FU$2:$FU$1000,FU64,$FS$2:$FS$1000,"Y")+COUNTIFS($FU$2:$FU$1000,FU64,$FT$2:$FT$1000,"Y")&gt;0,"Y","N"))</f>
        <v>N</v>
      </c>
      <c r="FW64" s="0" t="str">
        <f aca="false">IF($A64="","",IF(AND(U64="new",T64="N",FT64="N",AT64="Y",FV64="N"),"Y","N"))</f>
        <v>N</v>
      </c>
      <c r="FX64" s="0" t="str">
        <f aca="false">IF($A64="","",IF(FW64&lt;&gt;"Y","N",IF(COUNTIFS($FU$2:$FU$1000,FU64,$FW$2:$FW$1000,"Y",$J$2:$J$1000,"&gt;"&amp;J64)+COUNTIFS($FU$2:$FU$1000,FU64,$FW$2:$FW$1000,"Y",$J$2:$J$1000,J64,$GD$2:$GD$1000,"&lt;"&amp;GD64)=0,"Y","N")))</f>
        <v>N</v>
      </c>
      <c r="FY64" s="0" t="str">
        <f aca="false">IF($A64="","",IF(AND(FW64="Y",FX64="Y",Y64&amp;""&lt;&gt;""),IF(Y64&lt;=10,"Y","N"),"N"))</f>
        <v>N</v>
      </c>
      <c r="FZ64" s="0" t="str">
        <f aca="false">IF(FY64="Y",Y64,"")</f>
        <v/>
      </c>
      <c r="GA64" s="0" t="str">
        <f aca="false">IF($A64="","",IF(AND(I64="walk-in",CN64="pass",U64="new",FT64="N",FV64="N",AQ64&lt;&gt;"Y"),"Y","N"))</f>
        <v>N</v>
      </c>
      <c r="GB64" s="0" t="str">
        <f aca="false">IF(GA64&lt;&gt;"Y","",IF(COUNTIFS($GA$2:$GA$1000,"Y",$J$2:$J$1000,"&gt;"&amp;J64)+COUNTIFS($GA$2:$GA$1000,"Y",$J$2:$J$1000,J64,$GD$2:$GD$1000,"&lt;"&amp;GD64)+1&lt;=25,COUNTIFS($GA$2:$GA$1000,"Y",$J$2:$J$1000,"&gt;"&amp;J64)+COUNTIFS($GA$2:$GA$1000,"Y",$J$2:$J$1000,J64,$GD$2:$GD$1000,"&lt;"&amp;GD64)+1,""))</f>
        <v/>
      </c>
      <c r="GC64" s="0" t="str">
        <f aca="false">IF(AND(_xlfn.ISFORMULA(C64),_xlfn.ISFORMULA(J64)),"Y","N")</f>
        <v>N</v>
      </c>
      <c r="GD64" s="0" t="n">
        <f aca="false">ROW()-1</f>
        <v>63</v>
      </c>
    </row>
    <row r="65" customFormat="false" ht="15" hidden="false" customHeight="false" outlineLevel="0" collapsed="false">
      <c r="A65" s="0" t="s">
        <v>1987</v>
      </c>
      <c r="B65" s="0" t="s">
        <v>2166</v>
      </c>
      <c r="C65" s="0" t="s">
        <v>1990</v>
      </c>
      <c r="D65" s="0" t="s">
        <v>2167</v>
      </c>
      <c r="E65" s="0" t="s">
        <v>2168</v>
      </c>
      <c r="F65" s="0" t="s">
        <v>2152</v>
      </c>
      <c r="G65" s="0" t="s">
        <v>189</v>
      </c>
      <c r="M65" s="0" t="s">
        <v>380</v>
      </c>
      <c r="R65" s="5"/>
      <c r="U65" s="5"/>
      <c r="V65" s="0" t="s">
        <v>380</v>
      </c>
      <c r="AE65" s="0" t="s">
        <v>964</v>
      </c>
      <c r="AF65" s="0" t="s">
        <v>2169</v>
      </c>
      <c r="AG65" s="0" t="s">
        <v>1991</v>
      </c>
      <c r="AH65" s="0" t="s">
        <v>1992</v>
      </c>
      <c r="AI65" s="0" t="s">
        <v>1996</v>
      </c>
      <c r="AJ65" s="0" t="s">
        <v>189</v>
      </c>
      <c r="AK65" s="0" t="s">
        <v>186</v>
      </c>
      <c r="AL65" s="0" t="s">
        <v>189</v>
      </c>
      <c r="AM65" s="0" t="n">
        <v>92</v>
      </c>
      <c r="AN65" s="0" t="s">
        <v>187</v>
      </c>
      <c r="AO65" s="0" t="s">
        <v>209</v>
      </c>
      <c r="AP65" s="0" t="s">
        <v>2170</v>
      </c>
      <c r="AQ65" s="5" t="s">
        <v>189</v>
      </c>
      <c r="AT65" s="0" t="str">
        <f aca="false">IF($A65="","",IF(AND(CN65="pass",AQ65&lt;&gt;"Y",C65&lt;&gt;"",OR(AX65&lt;&gt;"Y",AV65="Y")),"Y","N"))</f>
        <v>Y</v>
      </c>
      <c r="AU65" s="0" t="str">
        <f aca="false">IF($A65="","",_xlfn.TEXTJOIN("; ",TRUE(),IF(CN65&lt;&gt;"pass","gated out",""),IF(AQ65="Y","on hold: "&amp;AR65,""),IF(C65="","no contact named on an opened page",""),IF(AND(AX65="Y",AV65&lt;&gt;"Y"),"Tuesday estimate band "&amp;L65&amp;": founder's call","")))</f>
        <v/>
      </c>
      <c r="AX65" s="0" t="s">
        <v>189</v>
      </c>
      <c r="BC65" s="0" t="str">
        <f aca="false">IF($A65="","",IFERROR(INDEX(Enrichment!$A$2:$GZ$2000,MATCH($A65,INDEX(Enrichment!$A$2:$GZ$2000,0,MATCH("row_id",Enrichment!$A$1:$GZ$1,0)),0),MATCH("work_email",Enrichment!$A$1:$GZ$1,0))&amp;"",""))</f>
        <v/>
      </c>
      <c r="BD65" s="0" t="str">
        <f aca="false">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none</v>
      </c>
      <c r="BF65" s="0" t="s">
        <v>380</v>
      </c>
      <c r="BJ65" s="0" t="s">
        <v>380</v>
      </c>
      <c r="BL65" s="0" t="s">
        <v>896</v>
      </c>
      <c r="BQ65" s="0" t="str">
        <f aca="false">IF($A65="","",IFERROR(INDEX(Enrichment!$A$2:$GZ$2000,MATCH($A65,INDEX(Enrichment!$A$2:$GZ$2000,0,MATCH("row_id",Enrichment!$A$1:$GZ$1,0)),0),MATCH("backup_work_email",Enrichment!$A$1:$GZ$1,0))&amp;"",""))</f>
        <v/>
      </c>
      <c r="BR65" s="0" t="str">
        <f aca="false">IF($A65="","",IF(BQ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none</v>
      </c>
      <c r="BT65" s="0" t="s">
        <v>380</v>
      </c>
      <c r="BX65" s="0" t="s">
        <v>380</v>
      </c>
      <c r="BY65" s="0" t="s">
        <v>387</v>
      </c>
      <c r="BZ65" s="0" t="s">
        <v>388</v>
      </c>
      <c r="CA65" s="0" t="s">
        <v>2171</v>
      </c>
      <c r="CB65" s="0" t="s">
        <v>196</v>
      </c>
      <c r="CM65" s="0" t="s">
        <v>189</v>
      </c>
      <c r="CN65" s="0" t="s">
        <v>200</v>
      </c>
      <c r="CO65" s="0" t="s">
        <v>201</v>
      </c>
      <c r="CP65" s="0" t="s">
        <v>1</v>
      </c>
      <c r="CQ65" s="0" t="s">
        <v>2172</v>
      </c>
      <c r="CR65" s="0" t="s">
        <v>2173</v>
      </c>
      <c r="CS65" s="0" t="s">
        <v>1855</v>
      </c>
      <c r="CT65" s="0" t="s">
        <v>2174</v>
      </c>
      <c r="CV65" s="0" t="s">
        <v>976</v>
      </c>
      <c r="CW65" s="0" t="s">
        <v>204</v>
      </c>
      <c r="CX65" s="0" t="s">
        <v>205</v>
      </c>
      <c r="CY65" s="0" t="s">
        <v>2175</v>
      </c>
      <c r="DA65" s="0" t="s">
        <v>1351</v>
      </c>
      <c r="DB65" s="0" t="s">
        <v>209</v>
      </c>
      <c r="DC65" s="0" t="s">
        <v>209</v>
      </c>
      <c r="DD65" s="0" t="s">
        <v>209</v>
      </c>
      <c r="DE65" s="0" t="s">
        <v>2176</v>
      </c>
      <c r="DF65" s="0" t="s">
        <v>397</v>
      </c>
      <c r="DG65" s="0" t="n">
        <v>40.740157</v>
      </c>
      <c r="DH65" s="0" t="n">
        <v>-73.993377</v>
      </c>
      <c r="DI65" s="0" t="s">
        <v>164</v>
      </c>
      <c r="DJ65" s="0" t="n">
        <v>0</v>
      </c>
      <c r="DK65" s="0" t="s">
        <v>2177</v>
      </c>
      <c r="DL65" s="0" t="s">
        <v>2178</v>
      </c>
      <c r="DM65" s="0" t="s">
        <v>2179</v>
      </c>
      <c r="DN65" s="0" t="s">
        <v>263</v>
      </c>
      <c r="DO65" s="0" t="s">
        <v>214</v>
      </c>
      <c r="DP65" s="0" t="s">
        <v>2180</v>
      </c>
      <c r="DQ65" s="0" t="s">
        <v>2181</v>
      </c>
      <c r="DS65" s="0" t="s">
        <v>809</v>
      </c>
      <c r="DU65" s="0" t="s">
        <v>189</v>
      </c>
      <c r="DX65" s="0" t="s">
        <v>209</v>
      </c>
      <c r="EA65" s="0" t="s">
        <v>209</v>
      </c>
      <c r="EB65" s="0" t="s">
        <v>189</v>
      </c>
      <c r="EC65" s="0" t="s">
        <v>209</v>
      </c>
      <c r="EF65" s="0" t="n">
        <v>65</v>
      </c>
      <c r="EH65" s="0" t="s">
        <v>164</v>
      </c>
      <c r="EI65" s="0" t="s">
        <v>2182</v>
      </c>
      <c r="EJ65" s="0" t="s">
        <v>221</v>
      </c>
      <c r="EK65" s="0" t="n">
        <v>1</v>
      </c>
      <c r="EL65" s="0" t="n">
        <v>50</v>
      </c>
      <c r="EM65" s="0" t="n">
        <v>25</v>
      </c>
      <c r="EN65" s="0" t="n">
        <v>6</v>
      </c>
      <c r="EO65" s="0" t="n">
        <v>6</v>
      </c>
      <c r="EP65" s="0" t="n">
        <v>13</v>
      </c>
      <c r="EQ65" s="0" t="n">
        <f aca="false">IF($A65="","",IF(AH65="exact",10,IF(AH65="adjacent",5,0)))</f>
        <v>0</v>
      </c>
      <c r="ER65" s="0" t="n">
        <f aca="false">IF($A65="","",IF(R65="Y",15,0))</f>
        <v>0</v>
      </c>
      <c r="ES65" s="0" t="s">
        <v>982</v>
      </c>
      <c r="ET65" s="0" t="s">
        <v>1360</v>
      </c>
      <c r="EU65" s="0" t="s">
        <v>189</v>
      </c>
      <c r="EV65" s="0" t="s">
        <v>2183</v>
      </c>
      <c r="EW65" s="0" t="s">
        <v>224</v>
      </c>
      <c r="EX65" s="0" t="s">
        <v>2184</v>
      </c>
      <c r="EZ65" s="0" t="s">
        <v>2185</v>
      </c>
      <c r="FS65" s="0" t="str">
        <f aca="false">IF($A65="","",IF(ISNUMBER(MATCH(U65,{"queued","contacted","replied","call_booked","call_done","yes_in_principle","materials_sent"},0)),"Y","N"))</f>
        <v>N</v>
      </c>
      <c r="FT65" s="0" t="str">
        <f aca="false">IF($A65="","",IF(OR(T65="Y",U65="do_not_contact",AS65&amp;""&lt;&gt;""),"Y","N"))</f>
        <v>N</v>
      </c>
      <c r="FU65" s="0" t="str">
        <f aca="false">IF($A65="","",IF(AP65&amp;""&lt;&gt;"",AP65&amp;"",$A65))</f>
        <v>AO-C-207</v>
      </c>
      <c r="FV65" s="0" t="str">
        <f aca="false">IF($A65="","",IF(COUNTIFS($FU$2:$FU$1000,FU65,$FS$2:$FS$1000,"Y")+COUNTIFS($FU$2:$FU$1000,FU65,$FT$2:$FT$1000,"Y")&gt;0,"Y","N"))</f>
        <v>N</v>
      </c>
      <c r="FW65" s="0" t="str">
        <f aca="false">IF($A65="","",IF(AND(U65="new",T65="N",FT65="N",AT65="Y",FV65="N"),"Y","N"))</f>
        <v>N</v>
      </c>
      <c r="FX65" s="0" t="str">
        <f aca="false">IF($A65="","",IF(FW65&lt;&gt;"Y","N",IF(COUNTIFS($FU$2:$FU$1000,FU65,$FW$2:$FW$1000,"Y",$J$2:$J$1000,"&gt;"&amp;J65)+COUNTIFS($FU$2:$FU$1000,FU65,$FW$2:$FW$1000,"Y",$J$2:$J$1000,J65,$GD$2:$GD$1000,"&lt;"&amp;GD65)=0,"Y","N")))</f>
        <v>N</v>
      </c>
      <c r="FY65" s="0" t="str">
        <f aca="false">IF($A65="","",IF(AND(FW65="Y",FX65="Y",Y65&amp;""&lt;&gt;""),IF(Y65&lt;=10,"Y","N"),"N"))</f>
        <v>N</v>
      </c>
      <c r="FZ65" s="0" t="str">
        <f aca="false">IF(FY65="Y",Y65,"")</f>
        <v/>
      </c>
      <c r="GA65" s="0" t="str">
        <f aca="false">IF($A65="","",IF(AND(I65="walk-in",CN65="pass",U65="new",FT65="N",FV65="N",AQ65&lt;&gt;"Y"),"Y","N"))</f>
        <v>N</v>
      </c>
      <c r="GB65" s="0" t="str">
        <f aca="false">IF(GA65&lt;&gt;"Y","",IF(COUNTIFS($GA$2:$GA$1000,"Y",$J$2:$J$1000,"&gt;"&amp;J65)+COUNTIFS($GA$2:$GA$1000,"Y",$J$2:$J$1000,J65,$GD$2:$GD$1000,"&lt;"&amp;GD65)+1&lt;=25,COUNTIFS($GA$2:$GA$1000,"Y",$J$2:$J$1000,"&gt;"&amp;J65)+COUNTIFS($GA$2:$GA$1000,"Y",$J$2:$J$1000,J65,$GD$2:$GD$1000,"&lt;"&amp;GD65)+1,""))</f>
        <v/>
      </c>
      <c r="GC65" s="0" t="str">
        <f aca="false">IF(AND(_xlfn.ISFORMULA(C65),_xlfn.ISFORMULA(J65)),"Y","N")</f>
        <v>N</v>
      </c>
      <c r="GD65" s="0" t="n">
        <f aca="false">ROW()-1</f>
        <v>64</v>
      </c>
    </row>
    <row r="66" customFormat="false" ht="15" hidden="false" customHeight="false" outlineLevel="0" collapsed="false">
      <c r="A66" s="0" t="s">
        <v>2186</v>
      </c>
      <c r="B66" s="0" t="s">
        <v>2187</v>
      </c>
      <c r="C66" s="0" t="s">
        <v>2016</v>
      </c>
      <c r="D66" s="0" t="s">
        <v>2188</v>
      </c>
      <c r="E66" s="0" t="s">
        <v>2189</v>
      </c>
      <c r="F66" s="0" t="s">
        <v>2190</v>
      </c>
      <c r="G66" s="0" t="s">
        <v>189</v>
      </c>
      <c r="H66" s="0" t="s">
        <v>2008</v>
      </c>
      <c r="I66" s="0" t="s">
        <v>542</v>
      </c>
      <c r="J66" s="0" t="s">
        <v>862</v>
      </c>
      <c r="L66" s="0" t="s">
        <v>168</v>
      </c>
      <c r="M66" s="0" t="s">
        <v>283</v>
      </c>
      <c r="N66" s="0" t="s">
        <v>284</v>
      </c>
      <c r="O66" s="0" t="s">
        <v>2009</v>
      </c>
      <c r="P66" s="0" t="s">
        <v>172</v>
      </c>
      <c r="R66" s="5"/>
      <c r="U66" s="5"/>
      <c r="V66" s="0" t="s">
        <v>380</v>
      </c>
      <c r="AE66" s="0" t="s">
        <v>2024</v>
      </c>
      <c r="AF66" s="0" t="s">
        <v>2191</v>
      </c>
      <c r="AG66" s="0" t="s">
        <v>2017</v>
      </c>
      <c r="AH66" s="0" t="s">
        <v>1488</v>
      </c>
      <c r="AI66" s="0" t="s">
        <v>2022</v>
      </c>
      <c r="AJ66" s="0" t="s">
        <v>189</v>
      </c>
      <c r="AK66" s="0" t="s">
        <v>1794</v>
      </c>
      <c r="AL66" s="0" t="s">
        <v>164</v>
      </c>
      <c r="AM66" s="0" t="n">
        <v>66</v>
      </c>
      <c r="AN66" s="0" t="s">
        <v>187</v>
      </c>
      <c r="AO66" s="0" t="s">
        <v>2192</v>
      </c>
      <c r="AP66" s="0" t="s">
        <v>2193</v>
      </c>
      <c r="AQ66" s="5" t="s">
        <v>189</v>
      </c>
      <c r="AT66" s="0" t="str">
        <f aca="false">IF($A66="","",IF(AND(CN66="pass",AQ66&lt;&gt;"Y",C66&lt;&gt;"",OR(AX66&lt;&gt;"Y",AV66="Y")),"Y","N"))</f>
        <v>N</v>
      </c>
      <c r="AU66" s="0" t="str">
        <f aca="false">IF($A66="","",_xlfn.TEXTJOIN("; ",TRUE(),IF(CN66&lt;&gt;"pass","gated out",""),IF(AQ66="Y","on hold: "&amp;AR66,""),IF(C66="","no contact named on an opened page",""),IF(AND(AX66="Y",AV66&lt;&gt;"Y"),"Tuesday estimate band "&amp;L66&amp;": founder's call","")))</f>
        <v>Tuesday estimate band pantry or office lead (primary): founder's call</v>
      </c>
      <c r="AX66" s="0" t="s">
        <v>164</v>
      </c>
      <c r="BC66" s="0" t="str">
        <f aca="false">IF($A66="","",IFERROR(INDEX(Enrichment!$A$2:$GZ$2000,MATCH($A66,INDEX(Enrichment!$A$2:$GZ$2000,0,MATCH("row_id",Enrichment!$A$1:$GZ$1,0)),0),MATCH("work_email",Enrichment!$A$1:$GZ$1,0))&amp;"",""))</f>
        <v/>
      </c>
      <c r="BD66" s="0" t="str">
        <f aca="false">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none</v>
      </c>
      <c r="BF66" s="0" t="s">
        <v>380</v>
      </c>
      <c r="BJ66" s="0" t="s">
        <v>380</v>
      </c>
      <c r="BK66" s="0" t="s">
        <v>2194</v>
      </c>
      <c r="BL66" s="0" t="s">
        <v>837</v>
      </c>
      <c r="BQ66" s="0" t="str">
        <f aca="false">IF($A66="","",IFERROR(INDEX(Enrichment!$A$2:$GZ$2000,MATCH($A66,INDEX(Enrichment!$A$2:$GZ$2000,0,MATCH("row_id",Enrichment!$A$1:$GZ$1,0)),0),MATCH("backup_work_email",Enrichment!$A$1:$GZ$1,0))&amp;"",""))</f>
        <v/>
      </c>
      <c r="BR66" s="0" t="str">
        <f aca="false">IF($A66="","",IF(BQ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none</v>
      </c>
      <c r="BT66" s="0" t="s">
        <v>380</v>
      </c>
      <c r="BX66" s="0" t="s">
        <v>380</v>
      </c>
      <c r="BY66" s="0" t="s">
        <v>1769</v>
      </c>
      <c r="BZ66" s="0" t="s">
        <v>388</v>
      </c>
      <c r="CA66" s="0" t="s">
        <v>2195</v>
      </c>
      <c r="CB66" s="0" t="s">
        <v>196</v>
      </c>
      <c r="CM66" s="0" t="s">
        <v>164</v>
      </c>
      <c r="CN66" s="0" t="s">
        <v>200</v>
      </c>
      <c r="CO66" s="0" t="s">
        <v>201</v>
      </c>
      <c r="CP66" s="0" t="s">
        <v>1</v>
      </c>
      <c r="CQ66" s="0" t="s">
        <v>2196</v>
      </c>
      <c r="CR66" s="0" t="s">
        <v>2197</v>
      </c>
      <c r="CS66" s="0" t="s">
        <v>2198</v>
      </c>
      <c r="CT66" s="0" t="s">
        <v>2199</v>
      </c>
      <c r="CU66" s="0" t="s">
        <v>2200</v>
      </c>
      <c r="CV66" s="0" t="s">
        <v>209</v>
      </c>
      <c r="CW66" s="0" t="s">
        <v>209</v>
      </c>
      <c r="CX66" s="0" t="s">
        <v>440</v>
      </c>
      <c r="CY66" s="0" t="s">
        <v>2201</v>
      </c>
      <c r="CZ66" s="0" t="s">
        <v>2202</v>
      </c>
      <c r="DA66" s="0" t="s">
        <v>207</v>
      </c>
      <c r="DB66" s="0" t="s">
        <v>259</v>
      </c>
      <c r="DC66" s="0" t="s">
        <v>164</v>
      </c>
      <c r="DD66" s="0" t="s">
        <v>209</v>
      </c>
      <c r="DE66" s="0" t="s">
        <v>2203</v>
      </c>
      <c r="DF66" s="0" t="s">
        <v>210</v>
      </c>
      <c r="DG66" s="0" t="n">
        <v>40.73865</v>
      </c>
      <c r="DH66" s="0" t="n">
        <v>-73.991471</v>
      </c>
      <c r="DI66" s="0" t="s">
        <v>164</v>
      </c>
      <c r="DJ66" s="0" t="n">
        <v>0</v>
      </c>
      <c r="DK66" s="0" t="s">
        <v>756</v>
      </c>
      <c r="DL66" s="0" t="s">
        <v>757</v>
      </c>
      <c r="DM66" s="0" t="s">
        <v>2204</v>
      </c>
      <c r="DN66" s="0" t="s">
        <v>2205</v>
      </c>
      <c r="DO66" s="0" t="s">
        <v>363</v>
      </c>
      <c r="DS66" s="0" t="s">
        <v>809</v>
      </c>
      <c r="DU66" s="0" t="s">
        <v>189</v>
      </c>
      <c r="DX66" s="0" t="s">
        <v>209</v>
      </c>
      <c r="EA66" s="0" t="s">
        <v>209</v>
      </c>
      <c r="EB66" s="0" t="s">
        <v>164</v>
      </c>
      <c r="EC66" s="0" t="s">
        <v>2206</v>
      </c>
      <c r="ED66" s="0" t="s">
        <v>2207</v>
      </c>
      <c r="EE66" s="0" t="s">
        <v>172</v>
      </c>
      <c r="EF66" s="0" t="n">
        <v>37</v>
      </c>
      <c r="EG66" s="0" t="s">
        <v>1322</v>
      </c>
      <c r="EH66" s="0" t="s">
        <v>189</v>
      </c>
      <c r="EI66" s="0" t="s">
        <v>2208</v>
      </c>
      <c r="EJ66" s="0" t="s">
        <v>221</v>
      </c>
      <c r="EK66" s="0" t="n">
        <v>0.44</v>
      </c>
      <c r="EL66" s="0" t="n">
        <v>48.9</v>
      </c>
      <c r="EM66" s="0" t="n">
        <v>10.9</v>
      </c>
      <c r="EN66" s="0" t="n">
        <v>15</v>
      </c>
      <c r="EO66" s="0" t="n">
        <v>15</v>
      </c>
      <c r="EP66" s="0" t="n">
        <v>8</v>
      </c>
      <c r="EQ66" s="0" t="n">
        <f aca="false">IF($A66="","",IF(AH66="exact",10,IF(AH66="adjacent",5,0)))</f>
        <v>0</v>
      </c>
      <c r="ER66" s="0" t="n">
        <f aca="false">IF($A66="","",IF(R66="Y",15,0))</f>
        <v>0</v>
      </c>
      <c r="ES66" s="0" t="s">
        <v>222</v>
      </c>
      <c r="EX66" s="0" t="s">
        <v>2209</v>
      </c>
      <c r="EZ66" s="0" t="s">
        <v>2210</v>
      </c>
      <c r="FS66" s="0" t="str">
        <f aca="false">IF($A66="","",IF(ISNUMBER(MATCH(U66,{"queued","contacted","replied","call_booked","call_done","yes_in_principle","materials_sent"},0)),"Y","N"))</f>
        <v>N</v>
      </c>
      <c r="FT66" s="0" t="str">
        <f aca="false">IF($A66="","",IF(OR(T66="Y",U66="do_not_contact",AS66&amp;""&lt;&gt;""),"Y","N"))</f>
        <v>N</v>
      </c>
      <c r="FU66" s="0" t="str">
        <f aca="false">IF($A66="","",IF(AP66&amp;""&lt;&gt;"",AP66&amp;"",$A66))</f>
        <v>AO-C-046</v>
      </c>
      <c r="FV66" s="0" t="str">
        <f aca="false">IF($A66="","",IF(COUNTIFS($FU$2:$FU$1000,FU66,$FS$2:$FS$1000,"Y")+COUNTIFS($FU$2:$FU$1000,FU66,$FT$2:$FT$1000,"Y")&gt;0,"Y","N"))</f>
        <v>N</v>
      </c>
      <c r="FW66" s="0" t="str">
        <f aca="false">IF($A66="","",IF(AND(U66="new",T66="N",FT66="N",AT66="Y",FV66="N"),"Y","N"))</f>
        <v>N</v>
      </c>
      <c r="FX66" s="0" t="str">
        <f aca="false">IF($A66="","",IF(FW66&lt;&gt;"Y","N",IF(COUNTIFS($FU$2:$FU$1000,FU66,$FW$2:$FW$1000,"Y",$J$2:$J$1000,"&gt;"&amp;J66)+COUNTIFS($FU$2:$FU$1000,FU66,$FW$2:$FW$1000,"Y",$J$2:$J$1000,J66,$GD$2:$GD$1000,"&lt;"&amp;GD66)=0,"Y","N")))</f>
        <v>N</v>
      </c>
      <c r="FY66" s="0" t="str">
        <f aca="false">IF($A66="","",IF(AND(FW66="Y",FX66="Y",Y66&amp;""&lt;&gt;""),IF(Y66&lt;=10,"Y","N"),"N"))</f>
        <v>N</v>
      </c>
      <c r="FZ66" s="0" t="str">
        <f aca="false">IF(FY66="Y",Y66,"")</f>
        <v/>
      </c>
      <c r="GA66" s="0" t="str">
        <f aca="false">IF($A66="","",IF(AND(I66="walk-in",CN66="pass",U66="new",FT66="N",FV66="N",AQ66&lt;&gt;"Y"),"Y","N"))</f>
        <v>N</v>
      </c>
      <c r="GB66" s="0" t="str">
        <f aca="false">IF(GA66&lt;&gt;"Y","",IF(COUNTIFS($GA$2:$GA$1000,"Y",$J$2:$J$1000,"&gt;"&amp;J66)+COUNTIFS($GA$2:$GA$1000,"Y",$J$2:$J$1000,J66,$GD$2:$GD$1000,"&lt;"&amp;GD66)+1&lt;=25,COUNTIFS($GA$2:$GA$1000,"Y",$J$2:$J$1000,"&gt;"&amp;J66)+COUNTIFS($GA$2:$GA$1000,"Y",$J$2:$J$1000,J66,$GD$2:$GD$1000,"&lt;"&amp;GD66)+1,""))</f>
        <v/>
      </c>
      <c r="GC66" s="0" t="str">
        <f aca="false">IF(AND(_xlfn.ISFORMULA(C66),_xlfn.ISFORMULA(J66)),"Y","N")</f>
        <v>N</v>
      </c>
      <c r="GD66" s="0" t="n">
        <f aca="false">ROW()-1</f>
        <v>65</v>
      </c>
    </row>
    <row r="67" customFormat="false" ht="15" hidden="false" customHeight="false" outlineLevel="0" collapsed="false">
      <c r="A67" s="0" t="s">
        <v>2059</v>
      </c>
      <c r="B67" s="0" t="s">
        <v>2211</v>
      </c>
      <c r="C67" s="0" t="s">
        <v>2068</v>
      </c>
      <c r="D67" s="0" t="s">
        <v>2212</v>
      </c>
      <c r="E67" s="0" t="s">
        <v>2213</v>
      </c>
      <c r="F67" s="0" t="s">
        <v>1369</v>
      </c>
      <c r="G67" s="0" t="s">
        <v>189</v>
      </c>
      <c r="H67" s="0" t="s">
        <v>955</v>
      </c>
      <c r="I67" s="0" t="s">
        <v>209</v>
      </c>
      <c r="J67" s="0" t="s">
        <v>2060</v>
      </c>
      <c r="L67" s="0" t="s">
        <v>168</v>
      </c>
      <c r="M67" s="0" t="s">
        <v>283</v>
      </c>
      <c r="N67" s="0" t="s">
        <v>284</v>
      </c>
      <c r="O67" s="0" t="s">
        <v>2061</v>
      </c>
      <c r="P67" s="0" t="s">
        <v>172</v>
      </c>
      <c r="R67" s="5"/>
      <c r="U67" s="5"/>
      <c r="V67" s="0" t="s">
        <v>380</v>
      </c>
      <c r="AE67" s="0" t="s">
        <v>2214</v>
      </c>
      <c r="AF67" s="0" t="s">
        <v>209</v>
      </c>
      <c r="AG67" s="0" t="s">
        <v>2069</v>
      </c>
      <c r="AH67" s="0" t="s">
        <v>2070</v>
      </c>
      <c r="AI67" s="0" t="s">
        <v>2073</v>
      </c>
      <c r="AJ67" s="0" t="s">
        <v>189</v>
      </c>
      <c r="AK67" s="0" t="s">
        <v>1794</v>
      </c>
      <c r="AL67" s="0" t="s">
        <v>164</v>
      </c>
      <c r="AM67" s="0" t="n">
        <v>154</v>
      </c>
      <c r="AN67" s="0" t="s">
        <v>187</v>
      </c>
      <c r="AO67" s="0" t="s">
        <v>429</v>
      </c>
      <c r="AP67" s="0" t="s">
        <v>2215</v>
      </c>
      <c r="AQ67" s="5" t="s">
        <v>189</v>
      </c>
      <c r="AT67" s="0" t="str">
        <f aca="false">IF($A67="","",IF(AND(CN67="pass",AQ67&lt;&gt;"Y",C67&lt;&gt;"",OR(AX67&lt;&gt;"Y",AV67="Y")),"Y","N"))</f>
        <v>N</v>
      </c>
      <c r="AU67" s="0" t="str">
        <f aca="false">IF($A67="","",_xlfn.TEXTJOIN("; ",TRUE(),IF(CN67&lt;&gt;"pass","gated out",""),IF(AQ67="Y","on hold: "&amp;AR67,""),IF(C67="","no contact named on an opened page",""),IF(AND(AX67="Y",AV67&lt;&gt;"Y"),"Tuesday estimate band "&amp;L67&amp;": founder's call","")))</f>
        <v>Tuesday estimate band pantry or office lead (primary): founder's call</v>
      </c>
      <c r="AX67" s="0" t="s">
        <v>164</v>
      </c>
      <c r="BC67" s="0" t="str">
        <f aca="false">IF($A67="","",IFERROR(INDEX(Enrichment!$A$2:$GZ$2000,MATCH($A67,INDEX(Enrichment!$A$2:$GZ$2000,0,MATCH("row_id",Enrichment!$A$1:$GZ$1,0)),0),MATCH("work_email",Enrichment!$A$1:$GZ$1,0))&amp;"",""))</f>
        <v/>
      </c>
      <c r="BD67" s="0" t="str">
        <f aca="false">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none</v>
      </c>
      <c r="BF67" s="0" t="s">
        <v>380</v>
      </c>
      <c r="BJ67" s="0" t="s">
        <v>380</v>
      </c>
      <c r="BK67" s="0" t="s">
        <v>2194</v>
      </c>
      <c r="BL67" s="0" t="s">
        <v>837</v>
      </c>
      <c r="BQ67" s="0" t="str">
        <f aca="false">IF($A67="","",IFERROR(INDEX(Enrichment!$A$2:$GZ$2000,MATCH($A67,INDEX(Enrichment!$A$2:$GZ$2000,0,MATCH("row_id",Enrichment!$A$1:$GZ$1,0)),0),MATCH("backup_work_email",Enrichment!$A$1:$GZ$1,0))&amp;"",""))</f>
        <v/>
      </c>
      <c r="BR67" s="0" t="str">
        <f aca="false">IF($A67="","",IF(BQ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none</v>
      </c>
      <c r="BT67" s="0" t="s">
        <v>380</v>
      </c>
      <c r="BX67" s="0" t="s">
        <v>380</v>
      </c>
      <c r="BY67" s="0" t="s">
        <v>1769</v>
      </c>
      <c r="BZ67" s="0" t="s">
        <v>388</v>
      </c>
      <c r="CA67" s="0" t="s">
        <v>2216</v>
      </c>
      <c r="CB67" s="0" t="s">
        <v>196</v>
      </c>
      <c r="CM67" s="0" t="s">
        <v>164</v>
      </c>
      <c r="CN67" s="0" t="s">
        <v>200</v>
      </c>
      <c r="CO67" s="0" t="s">
        <v>201</v>
      </c>
      <c r="CP67" s="0" t="s">
        <v>1</v>
      </c>
      <c r="CQ67" s="0" t="s">
        <v>2217</v>
      </c>
      <c r="CR67" s="0" t="s">
        <v>2218</v>
      </c>
      <c r="CS67" s="0" t="s">
        <v>2219</v>
      </c>
      <c r="CT67" s="0" t="s">
        <v>2220</v>
      </c>
      <c r="CU67" s="0" t="s">
        <v>2221</v>
      </c>
      <c r="CV67" s="0" t="s">
        <v>203</v>
      </c>
      <c r="CW67" s="0" t="s">
        <v>204</v>
      </c>
      <c r="CX67" s="0" t="s">
        <v>356</v>
      </c>
      <c r="CY67" s="0" t="s">
        <v>2222</v>
      </c>
      <c r="CZ67" s="0" t="s">
        <v>2223</v>
      </c>
      <c r="DA67" s="0" t="s">
        <v>207</v>
      </c>
      <c r="DB67" s="0" t="s">
        <v>2224</v>
      </c>
      <c r="DC67" s="0" t="s">
        <v>189</v>
      </c>
      <c r="DD67" s="0" t="s">
        <v>209</v>
      </c>
      <c r="DE67" s="0" t="s">
        <v>2225</v>
      </c>
      <c r="DF67" s="0" t="s">
        <v>525</v>
      </c>
      <c r="DG67" s="0" t="n">
        <v>40.741548</v>
      </c>
      <c r="DH67" s="0" t="n">
        <v>-73.993007</v>
      </c>
      <c r="DI67" s="0" t="s">
        <v>164</v>
      </c>
      <c r="DJ67" s="0" t="n">
        <v>0</v>
      </c>
      <c r="DK67" s="0" t="s">
        <v>2226</v>
      </c>
      <c r="DL67" s="0" t="s">
        <v>2227</v>
      </c>
      <c r="DM67" s="0" t="s">
        <v>2228</v>
      </c>
      <c r="DN67" s="0" t="s">
        <v>2229</v>
      </c>
      <c r="DO67" s="0" t="s">
        <v>363</v>
      </c>
      <c r="DS67" s="0" t="s">
        <v>809</v>
      </c>
      <c r="DU67" s="0" t="s">
        <v>189</v>
      </c>
      <c r="DX67" s="0" t="s">
        <v>209</v>
      </c>
      <c r="EA67" s="0" t="s">
        <v>209</v>
      </c>
      <c r="EB67" s="0" t="s">
        <v>189</v>
      </c>
      <c r="EC67" s="0" t="s">
        <v>2230</v>
      </c>
      <c r="ED67" s="0" t="s">
        <v>2231</v>
      </c>
      <c r="EE67" s="0" t="s">
        <v>172</v>
      </c>
      <c r="EF67" s="0" t="n">
        <v>30</v>
      </c>
      <c r="EG67" s="0" t="s">
        <v>1322</v>
      </c>
      <c r="EH67" s="0" t="s">
        <v>189</v>
      </c>
      <c r="EI67" s="0" t="s">
        <v>2232</v>
      </c>
      <c r="EJ67" s="0" t="s">
        <v>221</v>
      </c>
      <c r="EK67" s="0" t="n">
        <v>0.42</v>
      </c>
      <c r="EL67" s="0" t="n">
        <v>48.4</v>
      </c>
      <c r="EM67" s="0" t="n">
        <v>10.4</v>
      </c>
      <c r="EN67" s="0" t="n">
        <v>15</v>
      </c>
      <c r="EO67" s="0" t="n">
        <v>10</v>
      </c>
      <c r="EP67" s="0" t="n">
        <v>13</v>
      </c>
      <c r="EQ67" s="0" t="n">
        <f aca="false">IF($A67="","",IF(AH67="exact",10,IF(AH67="adjacent",5,0)))</f>
        <v>0</v>
      </c>
      <c r="ER67" s="0" t="n">
        <f aca="false">IF($A67="","",IF(R67="Y",15,0))</f>
        <v>0</v>
      </c>
      <c r="ES67" s="0" t="s">
        <v>222</v>
      </c>
      <c r="EX67" s="0" t="s">
        <v>2233</v>
      </c>
      <c r="EZ67" s="0" t="s">
        <v>2234</v>
      </c>
      <c r="FS67" s="0" t="str">
        <f aca="false">IF($A67="","",IF(ISNUMBER(MATCH(U67,{"queued","contacted","replied","call_booked","call_done","yes_in_principle","materials_sent"},0)),"Y","N"))</f>
        <v>N</v>
      </c>
      <c r="FT67" s="0" t="str">
        <f aca="false">IF($A67="","",IF(OR(T67="Y",U67="do_not_contact",AS67&amp;""&lt;&gt;""),"Y","N"))</f>
        <v>N</v>
      </c>
      <c r="FU67" s="0" t="str">
        <f aca="false">IF($A67="","",IF(AP67&amp;""&lt;&gt;"",AP67&amp;"",$A67))</f>
        <v>AO-C-079</v>
      </c>
      <c r="FV67" s="0" t="str">
        <f aca="false">IF($A67="","",IF(COUNTIFS($FU$2:$FU$1000,FU67,$FS$2:$FS$1000,"Y")+COUNTIFS($FU$2:$FU$1000,FU67,$FT$2:$FT$1000,"Y")&gt;0,"Y","N"))</f>
        <v>N</v>
      </c>
      <c r="FW67" s="0" t="str">
        <f aca="false">IF($A67="","",IF(AND(U67="new",T67="N",FT67="N",AT67="Y",FV67="N"),"Y","N"))</f>
        <v>N</v>
      </c>
      <c r="FX67" s="0" t="str">
        <f aca="false">IF($A67="","",IF(FW67&lt;&gt;"Y","N",IF(COUNTIFS($FU$2:$FU$1000,FU67,$FW$2:$FW$1000,"Y",$J$2:$J$1000,"&gt;"&amp;J67)+COUNTIFS($FU$2:$FU$1000,FU67,$FW$2:$FW$1000,"Y",$J$2:$J$1000,J67,$GD$2:$GD$1000,"&lt;"&amp;GD67)=0,"Y","N")))</f>
        <v>N</v>
      </c>
      <c r="FY67" s="0" t="str">
        <f aca="false">IF($A67="","",IF(AND(FW67="Y",FX67="Y",Y67&amp;""&lt;&gt;""),IF(Y67&lt;=10,"Y","N"),"N"))</f>
        <v>N</v>
      </c>
      <c r="FZ67" s="0" t="str">
        <f aca="false">IF(FY67="Y",Y67,"")</f>
        <v/>
      </c>
      <c r="GA67" s="0" t="str">
        <f aca="false">IF($A67="","",IF(AND(I67="walk-in",CN67="pass",U67="new",FT67="N",FV67="N",AQ67&lt;&gt;"Y"),"Y","N"))</f>
        <v>N</v>
      </c>
      <c r="GB67" s="0" t="str">
        <f aca="false">IF(GA67&lt;&gt;"Y","",IF(COUNTIFS($GA$2:$GA$1000,"Y",$J$2:$J$1000,"&gt;"&amp;J67)+COUNTIFS($GA$2:$GA$1000,"Y",$J$2:$J$1000,J67,$GD$2:$GD$1000,"&lt;"&amp;GD67)+1&lt;=25,COUNTIFS($GA$2:$GA$1000,"Y",$J$2:$J$1000,"&gt;"&amp;J67)+COUNTIFS($GA$2:$GA$1000,"Y",$J$2:$J$1000,J67,$GD$2:$GD$1000,"&lt;"&amp;GD67)+1,""))</f>
        <v/>
      </c>
      <c r="GC67" s="0" t="str">
        <f aca="false">IF(AND(_xlfn.ISFORMULA(C67),_xlfn.ISFORMULA(J67)),"Y","N")</f>
        <v>N</v>
      </c>
      <c r="GD67" s="0" t="n">
        <f aca="false">ROW()-1</f>
        <v>66</v>
      </c>
    </row>
    <row r="68" customFormat="false" ht="15" hidden="false" customHeight="false" outlineLevel="0" collapsed="false">
      <c r="A68" s="0" t="s">
        <v>2085</v>
      </c>
      <c r="B68" s="0" t="s">
        <v>2235</v>
      </c>
      <c r="C68" s="0" t="s">
        <v>2088</v>
      </c>
      <c r="D68" s="0" t="s">
        <v>2236</v>
      </c>
      <c r="E68" s="0" t="s">
        <v>2237</v>
      </c>
      <c r="F68" s="0" t="s">
        <v>1369</v>
      </c>
      <c r="G68" s="0" t="s">
        <v>189</v>
      </c>
      <c r="M68" s="0" t="s">
        <v>380</v>
      </c>
      <c r="R68" s="5"/>
      <c r="U68" s="5"/>
      <c r="V68" s="0" t="s">
        <v>380</v>
      </c>
      <c r="AE68" s="0" t="s">
        <v>1436</v>
      </c>
      <c r="AF68" s="0" t="s">
        <v>728</v>
      </c>
      <c r="AG68" s="0" t="s">
        <v>2089</v>
      </c>
      <c r="AH68" s="0" t="s">
        <v>2090</v>
      </c>
      <c r="AI68" s="0" t="s">
        <v>2093</v>
      </c>
      <c r="AJ68" s="0" t="s">
        <v>189</v>
      </c>
      <c r="AK68" s="0" t="s">
        <v>298</v>
      </c>
      <c r="AL68" s="0" t="s">
        <v>164</v>
      </c>
      <c r="AM68" s="0" t="n">
        <v>570</v>
      </c>
      <c r="AN68" s="0" t="s">
        <v>187</v>
      </c>
      <c r="AO68" s="0" t="s">
        <v>512</v>
      </c>
      <c r="AP68" s="0" t="s">
        <v>1393</v>
      </c>
      <c r="AQ68" s="5" t="s">
        <v>189</v>
      </c>
      <c r="AT68" s="0" t="str">
        <f aca="false">IF($A68="","",IF(AND(CN68="pass",AQ68&lt;&gt;"Y",C68&lt;&gt;"",OR(AX68&lt;&gt;"Y",AV68="Y")),"Y","N"))</f>
        <v>Y</v>
      </c>
      <c r="AU68" s="0" t="str">
        <f aca="false">IF($A68="","",_xlfn.TEXTJOIN("; ",TRUE(),IF(CN68&lt;&gt;"pass","gated out",""),IF(AQ68="Y","on hold: "&amp;AR68,""),IF(C68="","no contact named on an opened page",""),IF(AND(AX68="Y",AV68&lt;&gt;"Y"),"Tuesday estimate band "&amp;L68&amp;": founder's call","")))</f>
        <v/>
      </c>
      <c r="AX68" s="0" t="s">
        <v>189</v>
      </c>
      <c r="AY68" s="0" t="s">
        <v>1399</v>
      </c>
      <c r="AZ68" s="0" t="s">
        <v>1400</v>
      </c>
      <c r="BA68" s="0" t="s">
        <v>1401</v>
      </c>
      <c r="BC68" s="0" t="str">
        <f aca="false">IF($A68="","",IFERROR(INDEX(Enrichment!$A$2:$GZ$2000,MATCH($A68,INDEX(Enrichment!$A$2:$GZ$2000,0,MATCH("row_id",Enrichment!$A$1:$GZ$1,0)),0),MATCH("work_email",Enrichment!$A$1:$GZ$1,0))&amp;"",""))</f>
        <v/>
      </c>
      <c r="BD68" s="0" t="str">
        <f aca="false">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none</v>
      </c>
      <c r="BE68" s="0" t="s">
        <v>168</v>
      </c>
      <c r="BF68" s="0" t="s">
        <v>169</v>
      </c>
      <c r="BG68" s="0" t="s">
        <v>170</v>
      </c>
      <c r="BH68" s="0" t="s">
        <v>1402</v>
      </c>
      <c r="BI68" s="0" t="s">
        <v>172</v>
      </c>
      <c r="BJ68" s="0" t="s">
        <v>301</v>
      </c>
      <c r="BK68" s="0" t="s">
        <v>2238</v>
      </c>
      <c r="BL68" s="0" t="s">
        <v>2239</v>
      </c>
      <c r="BQ68" s="0" t="str">
        <f aca="false">IF($A68="","",IFERROR(INDEX(Enrichment!$A$2:$GZ$2000,MATCH($A68,INDEX(Enrichment!$A$2:$GZ$2000,0,MATCH("row_id",Enrichment!$A$1:$GZ$1,0)),0),MATCH("backup_work_email",Enrichment!$A$1:$GZ$1,0))&amp;"",""))</f>
        <v/>
      </c>
      <c r="BR68" s="0" t="str">
        <f aca="false">IF($A68="","",IF(BQ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none</v>
      </c>
      <c r="BT68" s="0" t="s">
        <v>380</v>
      </c>
      <c r="BX68" s="0" t="s">
        <v>380</v>
      </c>
      <c r="BY68" s="0" t="s">
        <v>387</v>
      </c>
      <c r="BZ68" s="0" t="s">
        <v>388</v>
      </c>
      <c r="CA68" s="0" t="s">
        <v>2240</v>
      </c>
      <c r="CB68" s="0" t="s">
        <v>196</v>
      </c>
      <c r="CC68" s="0" t="s">
        <v>2241</v>
      </c>
      <c r="CE68" s="0" t="s">
        <v>2242</v>
      </c>
      <c r="CF68" s="0" t="s">
        <v>425</v>
      </c>
      <c r="CM68" s="0" t="s">
        <v>164</v>
      </c>
      <c r="CN68" s="0" t="s">
        <v>200</v>
      </c>
      <c r="CO68" s="0" t="s">
        <v>201</v>
      </c>
      <c r="CP68" s="0" t="s">
        <v>1</v>
      </c>
      <c r="CQ68" s="0" t="s">
        <v>2243</v>
      </c>
      <c r="CR68" s="0" t="s">
        <v>1395</v>
      </c>
      <c r="CS68" s="0" t="s">
        <v>1404</v>
      </c>
      <c r="CT68" s="0" t="s">
        <v>1297</v>
      </c>
      <c r="CV68" s="0" t="s">
        <v>976</v>
      </c>
      <c r="CW68" s="0" t="s">
        <v>204</v>
      </c>
      <c r="CX68" s="0" t="s">
        <v>205</v>
      </c>
      <c r="CY68" s="0" t="s">
        <v>2244</v>
      </c>
      <c r="DA68" s="0" t="s">
        <v>1351</v>
      </c>
      <c r="DB68" s="0" t="s">
        <v>209</v>
      </c>
      <c r="DC68" s="0" t="s">
        <v>209</v>
      </c>
      <c r="DD68" s="0" t="s">
        <v>209</v>
      </c>
      <c r="DE68" s="0" t="s">
        <v>1405</v>
      </c>
      <c r="DF68" s="0" t="s">
        <v>210</v>
      </c>
      <c r="DG68" s="0" t="n">
        <v>40.738809</v>
      </c>
      <c r="DH68" s="0" t="n">
        <v>-73.991356</v>
      </c>
      <c r="DI68" s="0" t="s">
        <v>164</v>
      </c>
      <c r="DJ68" s="0" t="n">
        <v>0</v>
      </c>
      <c r="DK68" s="0" t="s">
        <v>648</v>
      </c>
      <c r="DL68" s="0" t="s">
        <v>649</v>
      </c>
      <c r="DM68" s="0" t="s">
        <v>2204</v>
      </c>
      <c r="DN68" s="0" t="s">
        <v>2205</v>
      </c>
      <c r="DO68" s="0" t="s">
        <v>363</v>
      </c>
      <c r="DS68" s="0" t="s">
        <v>809</v>
      </c>
      <c r="DU68" s="0" t="s">
        <v>189</v>
      </c>
      <c r="DX68" s="0" t="s">
        <v>267</v>
      </c>
      <c r="DY68" s="0" t="s">
        <v>654</v>
      </c>
      <c r="EA68" s="0" t="s">
        <v>209</v>
      </c>
      <c r="EB68" s="0" t="s">
        <v>189</v>
      </c>
      <c r="EC68" s="0" t="s">
        <v>2245</v>
      </c>
      <c r="ED68" s="0" t="s">
        <v>2246</v>
      </c>
      <c r="EE68" s="0" t="s">
        <v>172</v>
      </c>
      <c r="EF68" s="0" t="n">
        <v>126</v>
      </c>
      <c r="EG68" s="0" t="s">
        <v>945</v>
      </c>
      <c r="EH68" s="0" t="s">
        <v>189</v>
      </c>
      <c r="EI68" s="0" t="s">
        <v>2247</v>
      </c>
      <c r="EJ68" s="0" t="s">
        <v>221</v>
      </c>
      <c r="EK68" s="0" t="n">
        <v>0.61</v>
      </c>
      <c r="EL68" s="0" t="n">
        <v>46.2</v>
      </c>
      <c r="EM68" s="0" t="n">
        <v>15.2</v>
      </c>
      <c r="EN68" s="0" t="n">
        <v>6</v>
      </c>
      <c r="EO68" s="0" t="n">
        <v>7</v>
      </c>
      <c r="EP68" s="0" t="n">
        <v>13</v>
      </c>
      <c r="EQ68" s="0" t="n">
        <f aca="false">IF($A68="","",IF(AH68="exact",10,IF(AH68="adjacent",5,0)))</f>
        <v>0</v>
      </c>
      <c r="ER68" s="0" t="n">
        <f aca="false">IF($A68="","",IF(R68="Y",15,0))</f>
        <v>0</v>
      </c>
      <c r="ES68" s="0" t="s">
        <v>982</v>
      </c>
      <c r="ET68" s="0" t="s">
        <v>1360</v>
      </c>
      <c r="EU68" s="0" t="s">
        <v>164</v>
      </c>
      <c r="EX68" s="0" t="s">
        <v>2248</v>
      </c>
      <c r="EZ68" s="0" t="s">
        <v>2249</v>
      </c>
      <c r="FS68" s="0" t="str">
        <f aca="false">IF($A68="","",IF(ISNUMBER(MATCH(U68,{"queued","contacted","replied","call_booked","call_done","yes_in_principle","materials_sent"},0)),"Y","N"))</f>
        <v>N</v>
      </c>
      <c r="FT68" s="0" t="str">
        <f aca="false">IF($A68="","",IF(OR(T68="Y",U68="do_not_contact",AS68&amp;""&lt;&gt;""),"Y","N"))</f>
        <v>N</v>
      </c>
      <c r="FU68" s="0" t="str">
        <f aca="false">IF($A68="","",IF(AP68&amp;""&lt;&gt;"",AP68&amp;"",$A68))</f>
        <v>AO-C-205</v>
      </c>
      <c r="FV68" s="0" t="str">
        <f aca="false">IF($A68="","",IF(COUNTIFS($FU$2:$FU$1000,FU68,$FS$2:$FS$1000,"Y")+COUNTIFS($FU$2:$FU$1000,FU68,$FT$2:$FT$1000,"Y")&gt;0,"Y","N"))</f>
        <v>N</v>
      </c>
      <c r="FW68" s="0" t="str">
        <f aca="false">IF($A68="","",IF(AND(U68="new",T68="N",FT68="N",AT68="Y",FV68="N"),"Y","N"))</f>
        <v>N</v>
      </c>
      <c r="FX68" s="0" t="str">
        <f aca="false">IF($A68="","",IF(FW68&lt;&gt;"Y","N",IF(COUNTIFS($FU$2:$FU$1000,FU68,$FW$2:$FW$1000,"Y",$J$2:$J$1000,"&gt;"&amp;J68)+COUNTIFS($FU$2:$FU$1000,FU68,$FW$2:$FW$1000,"Y",$J$2:$J$1000,J68,$GD$2:$GD$1000,"&lt;"&amp;GD68)=0,"Y","N")))</f>
        <v>N</v>
      </c>
      <c r="FY68" s="0" t="str">
        <f aca="false">IF($A68="","",IF(AND(FW68="Y",FX68="Y",Y68&amp;""&lt;&gt;""),IF(Y68&lt;=10,"Y","N"),"N"))</f>
        <v>N</v>
      </c>
      <c r="FZ68" s="0" t="str">
        <f aca="false">IF(FY68="Y",Y68,"")</f>
        <v/>
      </c>
      <c r="GA68" s="0" t="str">
        <f aca="false">IF($A68="","",IF(AND(I68="walk-in",CN68="pass",U68="new",FT68="N",FV68="N",AQ68&lt;&gt;"Y"),"Y","N"))</f>
        <v>N</v>
      </c>
      <c r="GB68" s="0" t="str">
        <f aca="false">IF(GA68&lt;&gt;"Y","",IF(COUNTIFS($GA$2:$GA$1000,"Y",$J$2:$J$1000,"&gt;"&amp;J68)+COUNTIFS($GA$2:$GA$1000,"Y",$J$2:$J$1000,J68,$GD$2:$GD$1000,"&lt;"&amp;GD68)+1&lt;=25,COUNTIFS($GA$2:$GA$1000,"Y",$J$2:$J$1000,"&gt;"&amp;J68)+COUNTIFS($GA$2:$GA$1000,"Y",$J$2:$J$1000,J68,$GD$2:$GD$1000,"&lt;"&amp;GD68)+1,""))</f>
        <v/>
      </c>
      <c r="GC68" s="0" t="str">
        <f aca="false">IF(AND(_xlfn.ISFORMULA(C68),_xlfn.ISFORMULA(J68)),"Y","N")</f>
        <v>N</v>
      </c>
      <c r="GD68" s="0" t="n">
        <f aca="false">ROW()-1</f>
        <v>67</v>
      </c>
    </row>
    <row r="69" customFormat="false" ht="15" hidden="false" customHeight="false" outlineLevel="0" collapsed="false">
      <c r="A69" s="0" t="s">
        <v>2107</v>
      </c>
      <c r="B69" s="0" t="s">
        <v>2250</v>
      </c>
      <c r="C69" s="0" t="s">
        <v>2110</v>
      </c>
      <c r="D69" s="0" t="s">
        <v>2251</v>
      </c>
      <c r="E69" s="0" t="s">
        <v>2252</v>
      </c>
      <c r="F69" s="0" t="s">
        <v>2253</v>
      </c>
      <c r="G69" s="0" t="s">
        <v>189</v>
      </c>
      <c r="M69" s="0" t="s">
        <v>380</v>
      </c>
      <c r="R69" s="5"/>
      <c r="U69" s="5"/>
      <c r="V69" s="0" t="s">
        <v>380</v>
      </c>
      <c r="AE69" s="0" t="s">
        <v>2254</v>
      </c>
      <c r="AF69" s="0" t="s">
        <v>456</v>
      </c>
      <c r="AG69" s="0" t="s">
        <v>2111</v>
      </c>
      <c r="AH69" s="0" t="s">
        <v>2112</v>
      </c>
      <c r="AI69" s="0" t="s">
        <v>2116</v>
      </c>
      <c r="AJ69" s="0" t="s">
        <v>189</v>
      </c>
      <c r="AK69" s="0" t="s">
        <v>298</v>
      </c>
      <c r="AL69" s="0" t="s">
        <v>189</v>
      </c>
      <c r="AM69" s="0" t="n">
        <v>224</v>
      </c>
      <c r="AN69" s="0" t="s">
        <v>187</v>
      </c>
      <c r="AO69" s="0" t="s">
        <v>1104</v>
      </c>
      <c r="AP69" s="0" t="s">
        <v>2255</v>
      </c>
      <c r="AQ69" s="5" t="s">
        <v>189</v>
      </c>
      <c r="AT69" s="0" t="str">
        <f aca="false">IF($A69="","",IF(AND(CN69="pass",AQ69&lt;&gt;"Y",C69&lt;&gt;"",OR(AX69&lt;&gt;"Y",AV69="Y")),"Y","N"))</f>
        <v>Y</v>
      </c>
      <c r="AU69" s="0" t="str">
        <f aca="false">IF($A69="","",_xlfn.TEXTJOIN("; ",TRUE(),IF(CN69&lt;&gt;"pass","gated out",""),IF(AQ69="Y","on hold: "&amp;AR69,""),IF(C69="","no contact named on an opened page",""),IF(AND(AX69="Y",AV69&lt;&gt;"Y"),"Tuesday estimate band "&amp;L69&amp;": founder's call","")))</f>
        <v/>
      </c>
      <c r="AX69" s="0" t="s">
        <v>189</v>
      </c>
      <c r="BC69" s="0" t="str">
        <f aca="false">IF($A69="","",IFERROR(INDEX(Enrichment!$A$2:$GZ$2000,MATCH($A69,INDEX(Enrichment!$A$2:$GZ$2000,0,MATCH("row_id",Enrichment!$A$1:$GZ$1,0)),0),MATCH("work_email",Enrichment!$A$1:$GZ$1,0))&amp;"",""))</f>
        <v/>
      </c>
      <c r="BD69" s="0" t="str">
        <f aca="false">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none</v>
      </c>
      <c r="BF69" s="0" t="s">
        <v>380</v>
      </c>
      <c r="BJ69" s="0" t="s">
        <v>380</v>
      </c>
      <c r="BL69" s="0" t="s">
        <v>896</v>
      </c>
      <c r="BQ69" s="0" t="str">
        <f aca="false">IF($A69="","",IFERROR(INDEX(Enrichment!$A$2:$GZ$2000,MATCH($A69,INDEX(Enrichment!$A$2:$GZ$2000,0,MATCH("row_id",Enrichment!$A$1:$GZ$1,0)),0),MATCH("backup_work_email",Enrichment!$A$1:$GZ$1,0))&amp;"",""))</f>
        <v/>
      </c>
      <c r="BR69" s="0" t="str">
        <f aca="false">IF($A69="","",IF(BQ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none</v>
      </c>
      <c r="BT69" s="0" t="s">
        <v>380</v>
      </c>
      <c r="BX69" s="0" t="s">
        <v>380</v>
      </c>
      <c r="BY69" s="0" t="s">
        <v>387</v>
      </c>
      <c r="BZ69" s="0" t="s">
        <v>388</v>
      </c>
      <c r="CA69" s="0" t="s">
        <v>2256</v>
      </c>
      <c r="CB69" s="0" t="s">
        <v>196</v>
      </c>
      <c r="CM69" s="0" t="s">
        <v>189</v>
      </c>
      <c r="CN69" s="0" t="s">
        <v>200</v>
      </c>
      <c r="CO69" s="0" t="s">
        <v>201</v>
      </c>
      <c r="CP69" s="0" t="s">
        <v>1</v>
      </c>
      <c r="CQ69" s="0" t="s">
        <v>2257</v>
      </c>
      <c r="CR69" s="0" t="s">
        <v>2258</v>
      </c>
      <c r="CS69" s="0" t="s">
        <v>2259</v>
      </c>
      <c r="CT69" s="0" t="s">
        <v>2220</v>
      </c>
      <c r="CU69" s="0" t="s">
        <v>927</v>
      </c>
      <c r="CV69" s="0" t="s">
        <v>209</v>
      </c>
      <c r="CW69" s="0" t="s">
        <v>209</v>
      </c>
      <c r="CX69" s="0" t="s">
        <v>440</v>
      </c>
      <c r="CY69" s="0" t="s">
        <v>2260</v>
      </c>
      <c r="CZ69" s="0" t="s">
        <v>2261</v>
      </c>
      <c r="DA69" s="0" t="s">
        <v>207</v>
      </c>
      <c r="DB69" s="0" t="s">
        <v>2262</v>
      </c>
      <c r="DC69" s="0" t="s">
        <v>189</v>
      </c>
      <c r="DD69" s="0" t="s">
        <v>209</v>
      </c>
      <c r="DE69" s="0" t="s">
        <v>2263</v>
      </c>
      <c r="DF69" s="0" t="s">
        <v>1190</v>
      </c>
      <c r="DG69" s="0" t="n">
        <v>40.743655</v>
      </c>
      <c r="DH69" s="0" t="n">
        <v>-73.988282</v>
      </c>
      <c r="DI69" s="0" t="s">
        <v>164</v>
      </c>
      <c r="DJ69" s="0" t="n">
        <v>0</v>
      </c>
      <c r="DK69" s="0" t="s">
        <v>2264</v>
      </c>
      <c r="DL69" s="0" t="s">
        <v>2265</v>
      </c>
      <c r="DM69" s="0" t="s">
        <v>2266</v>
      </c>
      <c r="DN69" s="0" t="s">
        <v>172</v>
      </c>
      <c r="DO69" s="0" t="s">
        <v>214</v>
      </c>
      <c r="DS69" s="0" t="s">
        <v>809</v>
      </c>
      <c r="DU69" s="0" t="s">
        <v>189</v>
      </c>
      <c r="DX69" s="0" t="s">
        <v>209</v>
      </c>
      <c r="EA69" s="0" t="s">
        <v>209</v>
      </c>
      <c r="EB69" s="0" t="s">
        <v>189</v>
      </c>
      <c r="EC69" s="0" t="s">
        <v>2267</v>
      </c>
      <c r="ED69" s="0" t="s">
        <v>2260</v>
      </c>
      <c r="EE69" s="0" t="s">
        <v>172</v>
      </c>
      <c r="EF69" s="0" t="n">
        <v>42</v>
      </c>
      <c r="EG69" s="0" t="s">
        <v>1280</v>
      </c>
      <c r="EH69" s="0" t="s">
        <v>189</v>
      </c>
      <c r="EI69" s="0" t="s">
        <v>2268</v>
      </c>
      <c r="EJ69" s="0" t="s">
        <v>221</v>
      </c>
      <c r="EK69" s="0" t="n">
        <v>0.52</v>
      </c>
      <c r="EL69" s="0" t="n">
        <v>45.9</v>
      </c>
      <c r="EM69" s="0" t="n">
        <v>12.9</v>
      </c>
      <c r="EN69" s="0" t="n">
        <v>15</v>
      </c>
      <c r="EO69" s="0" t="n">
        <v>5</v>
      </c>
      <c r="EP69" s="0" t="n">
        <v>13</v>
      </c>
      <c r="EQ69" s="0" t="n">
        <f aca="false">IF($A69="","",IF(AH69="exact",10,IF(AH69="adjacent",5,0)))</f>
        <v>0</v>
      </c>
      <c r="ER69" s="0" t="n">
        <f aca="false">IF($A69="","",IF(R69="Y",15,0))</f>
        <v>0</v>
      </c>
      <c r="ES69" s="0" t="s">
        <v>222</v>
      </c>
      <c r="EX69" s="0" t="s">
        <v>2269</v>
      </c>
      <c r="EZ69" s="0" t="s">
        <v>2270</v>
      </c>
      <c r="FS69" s="0" t="str">
        <f aca="false">IF($A69="","",IF(ISNUMBER(MATCH(U69,{"queued","contacted","replied","call_booked","call_done","yes_in_principle","materials_sent"},0)),"Y","N"))</f>
        <v>N</v>
      </c>
      <c r="FT69" s="0" t="str">
        <f aca="false">IF($A69="","",IF(OR(T69="Y",U69="do_not_contact",AS69&amp;""&lt;&gt;""),"Y","N"))</f>
        <v>N</v>
      </c>
      <c r="FU69" s="0" t="str">
        <f aca="false">IF($A69="","",IF(AP69&amp;""&lt;&gt;"",AP69&amp;"",$A69))</f>
        <v>AO-C-124</v>
      </c>
      <c r="FV69" s="0" t="str">
        <f aca="false">IF($A69="","",IF(COUNTIFS($FU$2:$FU$1000,FU69,$FS$2:$FS$1000,"Y")+COUNTIFS($FU$2:$FU$1000,FU69,$FT$2:$FT$1000,"Y")&gt;0,"Y","N"))</f>
        <v>N</v>
      </c>
      <c r="FW69" s="0" t="str">
        <f aca="false">IF($A69="","",IF(AND(U69="new",T69="N",FT69="N",AT69="Y",FV69="N"),"Y","N"))</f>
        <v>N</v>
      </c>
      <c r="FX69" s="0" t="str">
        <f aca="false">IF($A69="","",IF(FW69&lt;&gt;"Y","N",IF(COUNTIFS($FU$2:$FU$1000,FU69,$FW$2:$FW$1000,"Y",$J$2:$J$1000,"&gt;"&amp;J69)+COUNTIFS($FU$2:$FU$1000,FU69,$FW$2:$FW$1000,"Y",$J$2:$J$1000,J69,$GD$2:$GD$1000,"&lt;"&amp;GD69)=0,"Y","N")))</f>
        <v>N</v>
      </c>
      <c r="FY69" s="0" t="str">
        <f aca="false">IF($A69="","",IF(AND(FW69="Y",FX69="Y",Y69&amp;""&lt;&gt;""),IF(Y69&lt;=10,"Y","N"),"N"))</f>
        <v>N</v>
      </c>
      <c r="FZ69" s="0" t="str">
        <f aca="false">IF(FY69="Y",Y69,"")</f>
        <v/>
      </c>
      <c r="GA69" s="0" t="str">
        <f aca="false">IF($A69="","",IF(AND(I69="walk-in",CN69="pass",U69="new",FT69="N",FV69="N",AQ69&lt;&gt;"Y"),"Y","N"))</f>
        <v>N</v>
      </c>
      <c r="GB69" s="0" t="str">
        <f aca="false">IF(GA69&lt;&gt;"Y","",IF(COUNTIFS($GA$2:$GA$1000,"Y",$J$2:$J$1000,"&gt;"&amp;J69)+COUNTIFS($GA$2:$GA$1000,"Y",$J$2:$J$1000,J69,$GD$2:$GD$1000,"&lt;"&amp;GD69)+1&lt;=25,COUNTIFS($GA$2:$GA$1000,"Y",$J$2:$J$1000,"&gt;"&amp;J69)+COUNTIFS($GA$2:$GA$1000,"Y",$J$2:$J$1000,J69,$GD$2:$GD$1000,"&lt;"&amp;GD69)+1,""))</f>
        <v/>
      </c>
      <c r="GC69" s="0" t="str">
        <f aca="false">IF(AND(_xlfn.ISFORMULA(C69),_xlfn.ISFORMULA(J69)),"Y","N")</f>
        <v>N</v>
      </c>
      <c r="GD69" s="0" t="n">
        <f aca="false">ROW()-1</f>
        <v>68</v>
      </c>
    </row>
    <row r="70" customFormat="false" ht="15" hidden="false" customHeight="false" outlineLevel="0" collapsed="false">
      <c r="A70" s="0" t="s">
        <v>2134</v>
      </c>
      <c r="B70" s="0" t="s">
        <v>2271</v>
      </c>
      <c r="C70" s="0" t="s">
        <v>2137</v>
      </c>
      <c r="D70" s="0" t="s">
        <v>2272</v>
      </c>
      <c r="E70" s="0" t="s">
        <v>2273</v>
      </c>
      <c r="F70" s="0" t="s">
        <v>2253</v>
      </c>
      <c r="G70" s="0" t="s">
        <v>189</v>
      </c>
      <c r="M70" s="0" t="s">
        <v>380</v>
      </c>
      <c r="R70" s="5"/>
      <c r="U70" s="5"/>
      <c r="V70" s="0" t="s">
        <v>380</v>
      </c>
      <c r="AE70" s="0" t="s">
        <v>734</v>
      </c>
      <c r="AF70" s="0" t="s">
        <v>819</v>
      </c>
      <c r="AG70" s="0" t="s">
        <v>2138</v>
      </c>
      <c r="AH70" s="0" t="s">
        <v>2139</v>
      </c>
      <c r="AI70" s="0" t="s">
        <v>2142</v>
      </c>
      <c r="AJ70" s="0" t="s">
        <v>189</v>
      </c>
      <c r="AK70" s="0" t="s">
        <v>186</v>
      </c>
      <c r="AL70" s="0" t="s">
        <v>189</v>
      </c>
      <c r="AM70" s="0" t="n">
        <v>80</v>
      </c>
      <c r="AN70" s="0" t="s">
        <v>187</v>
      </c>
      <c r="AO70" s="0" t="s">
        <v>1104</v>
      </c>
      <c r="AP70" s="0" t="s">
        <v>2274</v>
      </c>
      <c r="AQ70" s="5" t="s">
        <v>164</v>
      </c>
      <c r="AR70" s="0" t="s">
        <v>2275</v>
      </c>
      <c r="AT70" s="0" t="str">
        <f aca="false">IF($A70="","",IF(AND(CN70="pass",AQ70&lt;&gt;"Y",C70&lt;&gt;"",OR(AX70&lt;&gt;"Y",AV70="Y")),"Y","N"))</f>
        <v>N</v>
      </c>
      <c r="AU70" s="0" t="str">
        <f aca="false">IF($A70="","",_xlfn.TEXTJOIN("; ",TRUE(),IF(CN70&lt;&gt;"pass","gated out",""),IF(AQ70="Y","on hold: "&amp;AR70,""),IF(C70="","no contact named on an opened page",""),IF(AND(AX70="Y",AV70&lt;&gt;"Y"),"Tuesday estimate band "&amp;L70&amp;": founder's call","")))</f>
        <v>on hold: address conflict in B's sources: check the lobby directory before outreach (B)</v>
      </c>
      <c r="AX70" s="0" t="s">
        <v>189</v>
      </c>
      <c r="BC70" s="0" t="str">
        <f aca="false">IF($A70="","",IFERROR(INDEX(Enrichment!$A$2:$GZ$2000,MATCH($A70,INDEX(Enrichment!$A$2:$GZ$2000,0,MATCH("row_id",Enrichment!$A$1:$GZ$1,0)),0),MATCH("work_email",Enrichment!$A$1:$GZ$1,0))&amp;"",""))</f>
        <v/>
      </c>
      <c r="BD70" s="0" t="str">
        <f aca="false">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none</v>
      </c>
      <c r="BF70" s="0" t="s">
        <v>380</v>
      </c>
      <c r="BJ70" s="0" t="s">
        <v>380</v>
      </c>
      <c r="BL70" s="0" t="s">
        <v>896</v>
      </c>
      <c r="BQ70" s="0" t="str">
        <f aca="false">IF($A70="","",IFERROR(INDEX(Enrichment!$A$2:$GZ$2000,MATCH($A70,INDEX(Enrichment!$A$2:$GZ$2000,0,MATCH("row_id",Enrichment!$A$1:$GZ$1,0)),0),MATCH("backup_work_email",Enrichment!$A$1:$GZ$1,0))&amp;"",""))</f>
        <v/>
      </c>
      <c r="BR70" s="0" t="str">
        <f aca="false">IF($A70="","",IF(BQ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none</v>
      </c>
      <c r="BT70" s="0" t="s">
        <v>380</v>
      </c>
      <c r="BX70" s="0" t="s">
        <v>380</v>
      </c>
      <c r="BY70" s="0" t="s">
        <v>387</v>
      </c>
      <c r="BZ70" s="0" t="s">
        <v>388</v>
      </c>
      <c r="CA70" s="0" t="s">
        <v>2276</v>
      </c>
      <c r="CB70" s="0" t="s">
        <v>196</v>
      </c>
      <c r="CM70" s="0" t="s">
        <v>189</v>
      </c>
      <c r="CN70" s="0" t="s">
        <v>200</v>
      </c>
      <c r="CO70" s="0" t="s">
        <v>201</v>
      </c>
      <c r="CP70" s="0" t="s">
        <v>1</v>
      </c>
      <c r="CQ70" s="0" t="s">
        <v>2277</v>
      </c>
      <c r="CR70" s="0" t="s">
        <v>2278</v>
      </c>
      <c r="CS70" s="0" t="s">
        <v>2279</v>
      </c>
      <c r="CT70" s="0" t="s">
        <v>2280</v>
      </c>
      <c r="CV70" s="0" t="s">
        <v>203</v>
      </c>
      <c r="CW70" s="0" t="s">
        <v>204</v>
      </c>
      <c r="CX70" s="0" t="s">
        <v>205</v>
      </c>
      <c r="CY70" s="0" t="s">
        <v>2281</v>
      </c>
      <c r="DA70" s="0" t="s">
        <v>207</v>
      </c>
      <c r="DB70" s="0" t="s">
        <v>259</v>
      </c>
      <c r="DC70" s="0" t="s">
        <v>164</v>
      </c>
      <c r="DD70" s="0" t="s">
        <v>209</v>
      </c>
      <c r="DE70" s="0" t="s">
        <v>2282</v>
      </c>
      <c r="DF70" s="0" t="s">
        <v>311</v>
      </c>
      <c r="DG70" s="0" t="n">
        <v>40.744255</v>
      </c>
      <c r="DH70" s="0" t="n">
        <v>-73.983762</v>
      </c>
      <c r="DI70" s="0" t="s">
        <v>164</v>
      </c>
      <c r="DJ70" s="0" t="n">
        <v>0</v>
      </c>
      <c r="DK70" s="0" t="s">
        <v>2283</v>
      </c>
      <c r="DL70" s="0" t="s">
        <v>2284</v>
      </c>
      <c r="DM70" s="0" t="s">
        <v>2281</v>
      </c>
      <c r="DN70" s="0" t="s">
        <v>263</v>
      </c>
      <c r="DO70" s="0" t="s">
        <v>651</v>
      </c>
      <c r="DP70" s="0" t="s">
        <v>2285</v>
      </c>
      <c r="DQ70" s="0" t="s">
        <v>2286</v>
      </c>
      <c r="DS70" s="0" t="s">
        <v>187</v>
      </c>
      <c r="DU70" s="0" t="s">
        <v>189</v>
      </c>
      <c r="DX70" s="0" t="s">
        <v>209</v>
      </c>
      <c r="EA70" s="0" t="s">
        <v>209</v>
      </c>
      <c r="EB70" s="0" t="s">
        <v>189</v>
      </c>
      <c r="EC70" s="0" t="s">
        <v>2287</v>
      </c>
      <c r="ED70" s="0" t="s">
        <v>2281</v>
      </c>
      <c r="EE70" s="0" t="s">
        <v>172</v>
      </c>
      <c r="EF70" s="0" t="n">
        <v>67</v>
      </c>
      <c r="EH70" s="0" t="s">
        <v>164</v>
      </c>
      <c r="EI70" s="0" t="s">
        <v>2288</v>
      </c>
      <c r="EJ70" s="0" t="s">
        <v>221</v>
      </c>
      <c r="EK70" s="0" t="n">
        <v>1</v>
      </c>
      <c r="EL70" s="0" t="n">
        <v>45</v>
      </c>
      <c r="EM70" s="0" t="n">
        <v>25</v>
      </c>
      <c r="EN70" s="0" t="n">
        <v>15</v>
      </c>
      <c r="EO70" s="0" t="n">
        <v>5</v>
      </c>
      <c r="EP70" s="0" t="n">
        <v>0</v>
      </c>
      <c r="EQ70" s="0" t="n">
        <f aca="false">IF($A70="","",IF(AH70="exact",10,IF(AH70="adjacent",5,0)))</f>
        <v>0</v>
      </c>
      <c r="ER70" s="0" t="n">
        <f aca="false">IF($A70="","",IF(R70="Y",15,0))</f>
        <v>0</v>
      </c>
      <c r="ES70" s="0" t="s">
        <v>222</v>
      </c>
      <c r="EV70" s="0" t="s">
        <v>913</v>
      </c>
      <c r="EW70" s="0" t="s">
        <v>224</v>
      </c>
      <c r="EX70" s="0" t="s">
        <v>2289</v>
      </c>
      <c r="EZ70" s="0" t="s">
        <v>2290</v>
      </c>
      <c r="FS70" s="0" t="str">
        <f aca="false">IF($A70="","",IF(ISNUMBER(MATCH(U70,{"queued","contacted","replied","call_booked","call_done","yes_in_principle","materials_sent"},0)),"Y","N"))</f>
        <v>N</v>
      </c>
      <c r="FT70" s="0" t="str">
        <f aca="false">IF($A70="","",IF(OR(T70="Y",U70="do_not_contact",AS70&amp;""&lt;&gt;""),"Y","N"))</f>
        <v>N</v>
      </c>
      <c r="FU70" s="0" t="str">
        <f aca="false">IF($A70="","",IF(AP70&amp;""&lt;&gt;"",AP70&amp;"",$A70))</f>
        <v>AO-C-169</v>
      </c>
      <c r="FV70" s="0" t="str">
        <f aca="false">IF($A70="","",IF(COUNTIFS($FU$2:$FU$1000,FU70,$FS$2:$FS$1000,"Y")+COUNTIFS($FU$2:$FU$1000,FU70,$FT$2:$FT$1000,"Y")&gt;0,"Y","N"))</f>
        <v>N</v>
      </c>
      <c r="FW70" s="0" t="str">
        <f aca="false">IF($A70="","",IF(AND(U70="new",T70="N",FT70="N",AT70="Y",FV70="N"),"Y","N"))</f>
        <v>N</v>
      </c>
      <c r="FX70" s="0" t="str">
        <f aca="false">IF($A70="","",IF(FW70&lt;&gt;"Y","N",IF(COUNTIFS($FU$2:$FU$1000,FU70,$FW$2:$FW$1000,"Y",$J$2:$J$1000,"&gt;"&amp;J70)+COUNTIFS($FU$2:$FU$1000,FU70,$FW$2:$FW$1000,"Y",$J$2:$J$1000,J70,$GD$2:$GD$1000,"&lt;"&amp;GD70)=0,"Y","N")))</f>
        <v>N</v>
      </c>
      <c r="FY70" s="0" t="str">
        <f aca="false">IF($A70="","",IF(AND(FW70="Y",FX70="Y",Y70&amp;""&lt;&gt;""),IF(Y70&lt;=10,"Y","N"),"N"))</f>
        <v>N</v>
      </c>
      <c r="FZ70" s="0" t="str">
        <f aca="false">IF(FY70="Y",Y70,"")</f>
        <v/>
      </c>
      <c r="GA70" s="0" t="str">
        <f aca="false">IF($A70="","",IF(AND(I70="walk-in",CN70="pass",U70="new",FT70="N",FV70="N",AQ70&lt;&gt;"Y"),"Y","N"))</f>
        <v>N</v>
      </c>
      <c r="GB70" s="0" t="str">
        <f aca="false">IF(GA70&lt;&gt;"Y","",IF(COUNTIFS($GA$2:$GA$1000,"Y",$J$2:$J$1000,"&gt;"&amp;J70)+COUNTIFS($GA$2:$GA$1000,"Y",$J$2:$J$1000,J70,$GD$2:$GD$1000,"&lt;"&amp;GD70)+1&lt;=25,COUNTIFS($GA$2:$GA$1000,"Y",$J$2:$J$1000,"&gt;"&amp;J70)+COUNTIFS($GA$2:$GA$1000,"Y",$J$2:$J$1000,J70,$GD$2:$GD$1000,"&lt;"&amp;GD70)+1,""))</f>
        <v/>
      </c>
      <c r="GC70" s="0" t="str">
        <f aca="false">IF(AND(_xlfn.ISFORMULA(C70),_xlfn.ISFORMULA(J70)),"Y","N")</f>
        <v>N</v>
      </c>
      <c r="GD70" s="0" t="n">
        <f aca="false">ROW()-1</f>
        <v>69</v>
      </c>
    </row>
    <row r="71" customFormat="false" ht="15" hidden="false" customHeight="false" outlineLevel="0" collapsed="false">
      <c r="A71" s="0" t="s">
        <v>2153</v>
      </c>
      <c r="B71" s="0" t="s">
        <v>2291</v>
      </c>
      <c r="C71" s="0" t="s">
        <v>2156</v>
      </c>
      <c r="D71" s="0" t="s">
        <v>2292</v>
      </c>
      <c r="E71" s="0" t="s">
        <v>2293</v>
      </c>
      <c r="F71" s="0" t="s">
        <v>2253</v>
      </c>
      <c r="G71" s="0" t="s">
        <v>189</v>
      </c>
      <c r="M71" s="0" t="s">
        <v>380</v>
      </c>
      <c r="R71" s="5"/>
      <c r="U71" s="5"/>
      <c r="V71" s="0" t="s">
        <v>380</v>
      </c>
      <c r="AE71" s="0" t="s">
        <v>906</v>
      </c>
      <c r="AF71" s="0" t="s">
        <v>508</v>
      </c>
      <c r="AG71" s="0" t="s">
        <v>2157</v>
      </c>
      <c r="AH71" s="0" t="s">
        <v>2158</v>
      </c>
      <c r="AI71" s="0" t="s">
        <v>2161</v>
      </c>
      <c r="AJ71" s="0" t="s">
        <v>189</v>
      </c>
      <c r="AK71" s="0" t="s">
        <v>298</v>
      </c>
      <c r="AL71" s="0" t="s">
        <v>189</v>
      </c>
      <c r="AM71" s="0" t="n">
        <v>106</v>
      </c>
      <c r="AN71" s="0" t="s">
        <v>187</v>
      </c>
      <c r="AO71" s="0" t="s">
        <v>209</v>
      </c>
      <c r="AP71" s="0" t="s">
        <v>2294</v>
      </c>
      <c r="AQ71" s="5" t="s">
        <v>189</v>
      </c>
      <c r="AT71" s="0" t="str">
        <f aca="false">IF($A71="","",IF(AND(CN71="pass",AQ71&lt;&gt;"Y",C71&lt;&gt;"",OR(AX71&lt;&gt;"Y",AV71="Y")),"Y","N"))</f>
        <v>Y</v>
      </c>
      <c r="AU71" s="0" t="str">
        <f aca="false">IF($A71="","",_xlfn.TEXTJOIN("; ",TRUE(),IF(CN71&lt;&gt;"pass","gated out",""),IF(AQ71="Y","on hold: "&amp;AR71,""),IF(C71="","no contact named on an opened page",""),IF(AND(AX71="Y",AV71&lt;&gt;"Y"),"Tuesday estimate band "&amp;L71&amp;": founder's call","")))</f>
        <v/>
      </c>
      <c r="AX71" s="0" t="s">
        <v>189</v>
      </c>
      <c r="BC71" s="0" t="str">
        <f aca="false">IF($A71="","",IFERROR(INDEX(Enrichment!$A$2:$GZ$2000,MATCH($A71,INDEX(Enrichment!$A$2:$GZ$2000,0,MATCH("row_id",Enrichment!$A$1:$GZ$1,0)),0),MATCH("work_email",Enrichment!$A$1:$GZ$1,0))&amp;"",""))</f>
        <v/>
      </c>
      <c r="BD71" s="0" t="str">
        <f aca="false">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none</v>
      </c>
      <c r="BF71" s="0" t="s">
        <v>380</v>
      </c>
      <c r="BJ71" s="0" t="s">
        <v>380</v>
      </c>
      <c r="BL71" s="0" t="s">
        <v>896</v>
      </c>
      <c r="BQ71" s="0" t="str">
        <f aca="false">IF($A71="","",IFERROR(INDEX(Enrichment!$A$2:$GZ$2000,MATCH($A71,INDEX(Enrichment!$A$2:$GZ$2000,0,MATCH("row_id",Enrichment!$A$1:$GZ$1,0)),0),MATCH("backup_work_email",Enrichment!$A$1:$GZ$1,0))&amp;"",""))</f>
        <v/>
      </c>
      <c r="BR71" s="0" t="str">
        <f aca="false">IF($A71="","",IF(BQ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none</v>
      </c>
      <c r="BT71" s="0" t="s">
        <v>380</v>
      </c>
      <c r="BX71" s="0" t="s">
        <v>380</v>
      </c>
      <c r="BY71" s="0" t="s">
        <v>387</v>
      </c>
      <c r="BZ71" s="0" t="s">
        <v>388</v>
      </c>
      <c r="CA71" s="0" t="s">
        <v>2295</v>
      </c>
      <c r="CB71" s="0" t="s">
        <v>196</v>
      </c>
      <c r="CM71" s="0" t="s">
        <v>189</v>
      </c>
      <c r="CN71" s="0" t="s">
        <v>200</v>
      </c>
      <c r="CO71" s="0" t="s">
        <v>201</v>
      </c>
      <c r="CP71" s="0" t="s">
        <v>1</v>
      </c>
      <c r="CQ71" s="0" t="s">
        <v>2296</v>
      </c>
      <c r="CR71" s="0" t="s">
        <v>2297</v>
      </c>
      <c r="CS71" s="0" t="s">
        <v>2298</v>
      </c>
      <c r="CT71" s="0" t="s">
        <v>2299</v>
      </c>
      <c r="CV71" s="0" t="s">
        <v>976</v>
      </c>
      <c r="CW71" s="0" t="s">
        <v>204</v>
      </c>
      <c r="CX71" s="0" t="s">
        <v>205</v>
      </c>
      <c r="CY71" s="0" t="s">
        <v>2300</v>
      </c>
      <c r="DA71" s="0" t="s">
        <v>2301</v>
      </c>
      <c r="DB71" s="0" t="s">
        <v>208</v>
      </c>
      <c r="DC71" s="0" t="s">
        <v>189</v>
      </c>
      <c r="DD71" s="0" t="s">
        <v>209</v>
      </c>
      <c r="DE71" s="0" t="s">
        <v>2302</v>
      </c>
      <c r="DF71" s="0" t="s">
        <v>397</v>
      </c>
      <c r="DG71" s="0" t="n">
        <v>40.738793</v>
      </c>
      <c r="DH71" s="0" t="n">
        <v>-73.991823</v>
      </c>
      <c r="DI71" s="0" t="s">
        <v>164</v>
      </c>
      <c r="DJ71" s="0" t="n">
        <v>0</v>
      </c>
      <c r="DK71" s="0" t="s">
        <v>2303</v>
      </c>
      <c r="DL71" s="0" t="s">
        <v>2304</v>
      </c>
      <c r="DM71" s="0" t="s">
        <v>2305</v>
      </c>
      <c r="DN71" s="0" t="s">
        <v>2306</v>
      </c>
      <c r="DO71" s="0" t="s">
        <v>363</v>
      </c>
      <c r="DP71" s="0" t="s">
        <v>2307</v>
      </c>
      <c r="DQ71" s="0" t="s">
        <v>2308</v>
      </c>
      <c r="DS71" s="0" t="s">
        <v>809</v>
      </c>
      <c r="DU71" s="0" t="s">
        <v>189</v>
      </c>
      <c r="DX71" s="0" t="s">
        <v>209</v>
      </c>
      <c r="EA71" s="0" t="s">
        <v>209</v>
      </c>
      <c r="EB71" s="0" t="s">
        <v>189</v>
      </c>
      <c r="EC71" s="0" t="s">
        <v>209</v>
      </c>
      <c r="EF71" s="0" t="n">
        <v>75</v>
      </c>
      <c r="EH71" s="0" t="s">
        <v>164</v>
      </c>
      <c r="EI71" s="0" t="s">
        <v>2309</v>
      </c>
      <c r="EJ71" s="0" t="s">
        <v>221</v>
      </c>
      <c r="EK71" s="0" t="n">
        <v>1</v>
      </c>
      <c r="EL71" s="0" t="n">
        <v>44</v>
      </c>
      <c r="EM71" s="0" t="n">
        <v>25</v>
      </c>
      <c r="EN71" s="0" t="n">
        <v>0</v>
      </c>
      <c r="EO71" s="0" t="n">
        <v>6</v>
      </c>
      <c r="EP71" s="0" t="n">
        <v>13</v>
      </c>
      <c r="EQ71" s="0" t="n">
        <f aca="false">IF($A71="","",IF(AH71="exact",10,IF(AH71="adjacent",5,0)))</f>
        <v>0</v>
      </c>
      <c r="ER71" s="0" t="n">
        <f aca="false">IF($A71="","",IF(R71="Y",15,0))</f>
        <v>0</v>
      </c>
      <c r="ES71" s="0" t="s">
        <v>982</v>
      </c>
      <c r="ET71" s="0" t="s">
        <v>2310</v>
      </c>
      <c r="EU71" s="0" t="s">
        <v>189</v>
      </c>
      <c r="EV71" s="0" t="s">
        <v>2311</v>
      </c>
      <c r="EW71" s="0" t="s">
        <v>224</v>
      </c>
      <c r="EX71" s="0" t="s">
        <v>2312</v>
      </c>
      <c r="EZ71" s="0" t="s">
        <v>2313</v>
      </c>
      <c r="FS71" s="0" t="str">
        <f aca="false">IF($A71="","",IF(ISNUMBER(MATCH(U71,{"queued","contacted","replied","call_booked","call_done","yes_in_principle","materials_sent"},0)),"Y","N"))</f>
        <v>N</v>
      </c>
      <c r="FT71" s="0" t="str">
        <f aca="false">IF($A71="","",IF(OR(T71="Y",U71="do_not_contact",AS71&amp;""&lt;&gt;""),"Y","N"))</f>
        <v>N</v>
      </c>
      <c r="FU71" s="0" t="str">
        <f aca="false">IF($A71="","",IF(AP71&amp;""&lt;&gt;"",AP71&amp;"",$A71))</f>
        <v>AO-C-198</v>
      </c>
      <c r="FV71" s="0" t="str">
        <f aca="false">IF($A71="","",IF(COUNTIFS($FU$2:$FU$1000,FU71,$FS$2:$FS$1000,"Y")+COUNTIFS($FU$2:$FU$1000,FU71,$FT$2:$FT$1000,"Y")&gt;0,"Y","N"))</f>
        <v>N</v>
      </c>
      <c r="FW71" s="0" t="str">
        <f aca="false">IF($A71="","",IF(AND(U71="new",T71="N",FT71="N",AT71="Y",FV71="N"),"Y","N"))</f>
        <v>N</v>
      </c>
      <c r="FX71" s="0" t="str">
        <f aca="false">IF($A71="","",IF(FW71&lt;&gt;"Y","N",IF(COUNTIFS($FU$2:$FU$1000,FU71,$FW$2:$FW$1000,"Y",$J$2:$J$1000,"&gt;"&amp;J71)+COUNTIFS($FU$2:$FU$1000,FU71,$FW$2:$FW$1000,"Y",$J$2:$J$1000,J71,$GD$2:$GD$1000,"&lt;"&amp;GD71)=0,"Y","N")))</f>
        <v>N</v>
      </c>
      <c r="FY71" s="0" t="str">
        <f aca="false">IF($A71="","",IF(AND(FW71="Y",FX71="Y",Y71&amp;""&lt;&gt;""),IF(Y71&lt;=10,"Y","N"),"N"))</f>
        <v>N</v>
      </c>
      <c r="FZ71" s="0" t="str">
        <f aca="false">IF(FY71="Y",Y71,"")</f>
        <v/>
      </c>
      <c r="GA71" s="0" t="str">
        <f aca="false">IF($A71="","",IF(AND(I71="walk-in",CN71="pass",U71="new",FT71="N",FV71="N",AQ71&lt;&gt;"Y"),"Y","N"))</f>
        <v>N</v>
      </c>
      <c r="GB71" s="0" t="str">
        <f aca="false">IF(GA71&lt;&gt;"Y","",IF(COUNTIFS($GA$2:$GA$1000,"Y",$J$2:$J$1000,"&gt;"&amp;J71)+COUNTIFS($GA$2:$GA$1000,"Y",$J$2:$J$1000,J71,$GD$2:$GD$1000,"&lt;"&amp;GD71)+1&lt;=25,COUNTIFS($GA$2:$GA$1000,"Y",$J$2:$J$1000,"&gt;"&amp;J71)+COUNTIFS($GA$2:$GA$1000,"Y",$J$2:$J$1000,J71,$GD$2:$GD$1000,"&lt;"&amp;GD71)+1,""))</f>
        <v/>
      </c>
      <c r="GC71" s="0" t="str">
        <f aca="false">IF(AND(_xlfn.ISFORMULA(C71),_xlfn.ISFORMULA(J71)),"Y","N")</f>
        <v>N</v>
      </c>
      <c r="GD71" s="0" t="n">
        <f aca="false">ROW()-1</f>
        <v>70</v>
      </c>
    </row>
    <row r="72" customFormat="false" ht="15" hidden="false" customHeight="false" outlineLevel="0" collapsed="false">
      <c r="A72" s="0" t="s">
        <v>2170</v>
      </c>
      <c r="B72" s="0" t="s">
        <v>2314</v>
      </c>
      <c r="C72" s="0" t="s">
        <v>2173</v>
      </c>
      <c r="D72" s="0" t="s">
        <v>2315</v>
      </c>
      <c r="E72" s="0" t="s">
        <v>2199</v>
      </c>
      <c r="F72" s="0" t="s">
        <v>2253</v>
      </c>
      <c r="G72" s="0" t="s">
        <v>189</v>
      </c>
      <c r="M72" s="0" t="s">
        <v>380</v>
      </c>
      <c r="R72" s="5"/>
      <c r="U72" s="5"/>
      <c r="V72" s="0" t="s">
        <v>380</v>
      </c>
      <c r="AE72" s="0" t="s">
        <v>2316</v>
      </c>
      <c r="AF72" s="0" t="s">
        <v>182</v>
      </c>
      <c r="AG72" s="0" t="s">
        <v>1855</v>
      </c>
      <c r="AH72" s="0" t="s">
        <v>2174</v>
      </c>
      <c r="AI72" s="0" t="s">
        <v>2176</v>
      </c>
      <c r="AJ72" s="0" t="s">
        <v>189</v>
      </c>
      <c r="AK72" s="0" t="s">
        <v>298</v>
      </c>
      <c r="AL72" s="0" t="s">
        <v>189</v>
      </c>
      <c r="AM72" s="0" t="n">
        <v>222</v>
      </c>
      <c r="AN72" s="0" t="s">
        <v>187</v>
      </c>
      <c r="AO72" s="0" t="s">
        <v>209</v>
      </c>
      <c r="AP72" s="0" t="s">
        <v>2317</v>
      </c>
      <c r="AQ72" s="5" t="s">
        <v>189</v>
      </c>
      <c r="AT72" s="0" t="str">
        <f aca="false">IF($A72="","",IF(AND(CN72="pass",AQ72&lt;&gt;"Y",C72&lt;&gt;"",OR(AX72&lt;&gt;"Y",AV72="Y")),"Y","N"))</f>
        <v>Y</v>
      </c>
      <c r="AU72" s="0" t="str">
        <f aca="false">IF($A72="","",_xlfn.TEXTJOIN("; ",TRUE(),IF(CN72&lt;&gt;"pass","gated out",""),IF(AQ72="Y","on hold: "&amp;AR72,""),IF(C72="","no contact named on an opened page",""),IF(AND(AX72="Y",AV72&lt;&gt;"Y"),"Tuesday estimate band "&amp;L72&amp;": founder's call","")))</f>
        <v/>
      </c>
      <c r="AX72" s="0" t="s">
        <v>189</v>
      </c>
      <c r="BC72" s="0" t="str">
        <f aca="false">IF($A72="","",IFERROR(INDEX(Enrichment!$A$2:$GZ$2000,MATCH($A72,INDEX(Enrichment!$A$2:$GZ$2000,0,MATCH("row_id",Enrichment!$A$1:$GZ$1,0)),0),MATCH("work_email",Enrichment!$A$1:$GZ$1,0))&amp;"",""))</f>
        <v/>
      </c>
      <c r="BD72" s="0" t="str">
        <f aca="false">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none</v>
      </c>
      <c r="BF72" s="0" t="s">
        <v>380</v>
      </c>
      <c r="BJ72" s="0" t="s">
        <v>380</v>
      </c>
      <c r="BL72" s="0" t="s">
        <v>896</v>
      </c>
      <c r="BQ72" s="0" t="str">
        <f aca="false">IF($A72="","",IFERROR(INDEX(Enrichment!$A$2:$GZ$2000,MATCH($A72,INDEX(Enrichment!$A$2:$GZ$2000,0,MATCH("row_id",Enrichment!$A$1:$GZ$1,0)),0),MATCH("backup_work_email",Enrichment!$A$1:$GZ$1,0))&amp;"",""))</f>
        <v/>
      </c>
      <c r="BR72" s="0" t="str">
        <f aca="false">IF($A72="","",IF(BQ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none</v>
      </c>
      <c r="BT72" s="0" t="s">
        <v>380</v>
      </c>
      <c r="BX72" s="0" t="s">
        <v>380</v>
      </c>
      <c r="BY72" s="0" t="s">
        <v>387</v>
      </c>
      <c r="BZ72" s="0" t="s">
        <v>388</v>
      </c>
      <c r="CA72" s="0" t="s">
        <v>2318</v>
      </c>
      <c r="CB72" s="0" t="s">
        <v>196</v>
      </c>
      <c r="CM72" s="0" t="s">
        <v>189</v>
      </c>
      <c r="CN72" s="0" t="s">
        <v>200</v>
      </c>
      <c r="CO72" s="0" t="s">
        <v>201</v>
      </c>
      <c r="CP72" s="0" t="s">
        <v>1</v>
      </c>
      <c r="CQ72" s="0" t="s">
        <v>2319</v>
      </c>
      <c r="CR72" s="0" t="s">
        <v>2320</v>
      </c>
      <c r="CS72" s="0" t="s">
        <v>2321</v>
      </c>
      <c r="CT72" s="0" t="s">
        <v>2322</v>
      </c>
      <c r="CV72" s="0" t="s">
        <v>976</v>
      </c>
      <c r="CW72" s="0" t="s">
        <v>204</v>
      </c>
      <c r="CX72" s="0" t="s">
        <v>205</v>
      </c>
      <c r="CY72" s="0" t="s">
        <v>2323</v>
      </c>
      <c r="DA72" s="0" t="s">
        <v>2301</v>
      </c>
      <c r="DB72" s="0" t="s">
        <v>209</v>
      </c>
      <c r="DC72" s="0" t="s">
        <v>209</v>
      </c>
      <c r="DD72" s="0" t="s">
        <v>209</v>
      </c>
      <c r="DE72" s="0" t="s">
        <v>2324</v>
      </c>
      <c r="DF72" s="0" t="s">
        <v>525</v>
      </c>
      <c r="DG72" s="0" t="n">
        <v>40.742477</v>
      </c>
      <c r="DH72" s="0" t="n">
        <v>-73.986608</v>
      </c>
      <c r="DI72" s="0" t="s">
        <v>164</v>
      </c>
      <c r="DJ72" s="0" t="n">
        <v>0</v>
      </c>
      <c r="DK72" s="0" t="s">
        <v>1882</v>
      </c>
      <c r="DL72" s="0" t="s">
        <v>1883</v>
      </c>
      <c r="DM72" s="0" t="s">
        <v>2325</v>
      </c>
      <c r="DN72" s="0" t="s">
        <v>2326</v>
      </c>
      <c r="DO72" s="0" t="s">
        <v>363</v>
      </c>
      <c r="DS72" s="0" t="s">
        <v>809</v>
      </c>
      <c r="DU72" s="0" t="s">
        <v>189</v>
      </c>
      <c r="DX72" s="0" t="s">
        <v>267</v>
      </c>
      <c r="DY72" s="0" t="s">
        <v>1888</v>
      </c>
      <c r="EA72" s="0" t="s">
        <v>209</v>
      </c>
      <c r="EB72" s="0" t="s">
        <v>189</v>
      </c>
      <c r="EC72" s="0" t="s">
        <v>209</v>
      </c>
      <c r="EF72" s="0" t="n">
        <v>157</v>
      </c>
      <c r="EH72" s="0" t="s">
        <v>164</v>
      </c>
      <c r="EI72" s="0" t="s">
        <v>2327</v>
      </c>
      <c r="EJ72" s="0" t="s">
        <v>221</v>
      </c>
      <c r="EK72" s="0" t="n">
        <v>1</v>
      </c>
      <c r="EL72" s="0" t="n">
        <v>44</v>
      </c>
      <c r="EM72" s="0" t="n">
        <v>25</v>
      </c>
      <c r="EN72" s="0" t="n">
        <v>0</v>
      </c>
      <c r="EO72" s="0" t="n">
        <v>6</v>
      </c>
      <c r="EP72" s="0" t="n">
        <v>13</v>
      </c>
      <c r="EQ72" s="0" t="n">
        <f aca="false">IF($A72="","",IF(AH72="exact",10,IF(AH72="adjacent",5,0)))</f>
        <v>0</v>
      </c>
      <c r="ER72" s="0" t="n">
        <f aca="false">IF($A72="","",IF(R72="Y",15,0))</f>
        <v>0</v>
      </c>
      <c r="ES72" s="0" t="s">
        <v>982</v>
      </c>
      <c r="ET72" s="0" t="s">
        <v>2310</v>
      </c>
      <c r="EU72" s="0" t="s">
        <v>189</v>
      </c>
      <c r="EV72" s="0" t="s">
        <v>2328</v>
      </c>
      <c r="EW72" s="0" t="s">
        <v>224</v>
      </c>
      <c r="EX72" s="0" t="s">
        <v>2329</v>
      </c>
      <c r="EZ72" s="0" t="s">
        <v>2330</v>
      </c>
      <c r="FS72" s="0" t="str">
        <f aca="false">IF($A72="","",IF(ISNUMBER(MATCH(U72,{"queued","contacted","replied","call_booked","call_done","yes_in_principle","materials_sent"},0)),"Y","N"))</f>
        <v>N</v>
      </c>
      <c r="FT72" s="0" t="str">
        <f aca="false">IF($A72="","",IF(OR(T72="Y",U72="do_not_contact",AS72&amp;""&lt;&gt;""),"Y","N"))</f>
        <v>N</v>
      </c>
      <c r="FU72" s="0" t="str">
        <f aca="false">IF($A72="","",IF(AP72&amp;""&lt;&gt;"",AP72&amp;"",$A72))</f>
        <v>AO-C-250</v>
      </c>
      <c r="FV72" s="0" t="str">
        <f aca="false">IF($A72="","",IF(COUNTIFS($FU$2:$FU$1000,FU72,$FS$2:$FS$1000,"Y")+COUNTIFS($FU$2:$FU$1000,FU72,$FT$2:$FT$1000,"Y")&gt;0,"Y","N"))</f>
        <v>N</v>
      </c>
      <c r="FW72" s="0" t="str">
        <f aca="false">IF($A72="","",IF(AND(U72="new",T72="N",FT72="N",AT72="Y",FV72="N"),"Y","N"))</f>
        <v>N</v>
      </c>
      <c r="FX72" s="0" t="str">
        <f aca="false">IF($A72="","",IF(FW72&lt;&gt;"Y","N",IF(COUNTIFS($FU$2:$FU$1000,FU72,$FW$2:$FW$1000,"Y",$J$2:$J$1000,"&gt;"&amp;J72)+COUNTIFS($FU$2:$FU$1000,FU72,$FW$2:$FW$1000,"Y",$J$2:$J$1000,J72,$GD$2:$GD$1000,"&lt;"&amp;GD72)=0,"Y","N")))</f>
        <v>N</v>
      </c>
      <c r="FY72" s="0" t="str">
        <f aca="false">IF($A72="","",IF(AND(FW72="Y",FX72="Y",Y72&amp;""&lt;&gt;""),IF(Y72&lt;=10,"Y","N"),"N"))</f>
        <v>N</v>
      </c>
      <c r="FZ72" s="0" t="str">
        <f aca="false">IF(FY72="Y",Y72,"")</f>
        <v/>
      </c>
      <c r="GA72" s="0" t="str">
        <f aca="false">IF($A72="","",IF(AND(I72="walk-in",CN72="pass",U72="new",FT72="N",FV72="N",AQ72&lt;&gt;"Y"),"Y","N"))</f>
        <v>N</v>
      </c>
      <c r="GB72" s="0" t="str">
        <f aca="false">IF(GA72&lt;&gt;"Y","",IF(COUNTIFS($GA$2:$GA$1000,"Y",$J$2:$J$1000,"&gt;"&amp;J72)+COUNTIFS($GA$2:$GA$1000,"Y",$J$2:$J$1000,J72,$GD$2:$GD$1000,"&lt;"&amp;GD72)+1&lt;=25,COUNTIFS($GA$2:$GA$1000,"Y",$J$2:$J$1000,"&gt;"&amp;J72)+COUNTIFS($GA$2:$GA$1000,"Y",$J$2:$J$1000,J72,$GD$2:$GD$1000,"&lt;"&amp;GD72)+1,""))</f>
        <v/>
      </c>
      <c r="GC72" s="0" t="str">
        <f aca="false">IF(AND(_xlfn.ISFORMULA(C72),_xlfn.ISFORMULA(J72)),"Y","N")</f>
        <v>N</v>
      </c>
      <c r="GD72" s="0" t="n">
        <f aca="false">ROW()-1</f>
        <v>71</v>
      </c>
    </row>
    <row r="73" customFormat="false" ht="15" hidden="false" customHeight="false" outlineLevel="0" collapsed="false">
      <c r="A73" s="0" t="s">
        <v>2193</v>
      </c>
      <c r="B73" s="0" t="s">
        <v>2331</v>
      </c>
      <c r="C73" s="0" t="s">
        <v>2197</v>
      </c>
      <c r="D73" s="0" t="s">
        <v>2332</v>
      </c>
      <c r="E73" s="0" t="s">
        <v>1774</v>
      </c>
      <c r="F73" s="0" t="s">
        <v>2333</v>
      </c>
      <c r="G73" s="0" t="s">
        <v>189</v>
      </c>
      <c r="M73" s="0" t="s">
        <v>380</v>
      </c>
      <c r="R73" s="5"/>
      <c r="U73" s="5"/>
      <c r="V73" s="0" t="s">
        <v>380</v>
      </c>
      <c r="AE73" s="0" t="s">
        <v>1616</v>
      </c>
      <c r="AF73" s="0" t="s">
        <v>209</v>
      </c>
      <c r="AG73" s="0" t="s">
        <v>2198</v>
      </c>
      <c r="AH73" s="0" t="s">
        <v>2199</v>
      </c>
      <c r="AI73" s="0" t="s">
        <v>2203</v>
      </c>
      <c r="AJ73" s="0" t="s">
        <v>189</v>
      </c>
      <c r="AK73" s="0" t="s">
        <v>1794</v>
      </c>
      <c r="AL73" s="0" t="s">
        <v>164</v>
      </c>
      <c r="AM73" s="0" t="n">
        <v>61</v>
      </c>
      <c r="AN73" s="0" t="s">
        <v>187</v>
      </c>
      <c r="AO73" s="0" t="s">
        <v>512</v>
      </c>
      <c r="AP73" s="0" t="s">
        <v>1427</v>
      </c>
      <c r="AQ73" s="5" t="s">
        <v>189</v>
      </c>
      <c r="AT73" s="0" t="str">
        <f aca="false">IF($A73="","",IF(AND(CN73="pass",AQ73&lt;&gt;"Y",C73&lt;&gt;"",OR(AX73&lt;&gt;"Y",AV73="Y")),"Y","N"))</f>
        <v>Y</v>
      </c>
      <c r="AU73" s="0" t="str">
        <f aca="false">IF($A73="","",_xlfn.TEXTJOIN("; ",TRUE(),IF(CN73&lt;&gt;"pass","gated out",""),IF(AQ73="Y","on hold: "&amp;AR73,""),IF(C73="","no contact named on an opened page",""),IF(AND(AX73="Y",AV73&lt;&gt;"Y"),"Tuesday estimate band "&amp;L73&amp;": founder's call","")))</f>
        <v/>
      </c>
      <c r="AX73" s="0" t="s">
        <v>189</v>
      </c>
      <c r="AY73" s="0" t="s">
        <v>280</v>
      </c>
      <c r="AZ73" s="0" t="s">
        <v>1433</v>
      </c>
      <c r="BA73" s="0" t="s">
        <v>1434</v>
      </c>
      <c r="BC73" s="0" t="str">
        <f aca="false">IF($A73="","",IFERROR(INDEX(Enrichment!$A$2:$GZ$2000,MATCH($A73,INDEX(Enrichment!$A$2:$GZ$2000,0,MATCH("row_id",Enrichment!$A$1:$GZ$1,0)),0),MATCH("work_email",Enrichment!$A$1:$GZ$1,0))&amp;"",""))</f>
        <v/>
      </c>
      <c r="BD73" s="0" t="str">
        <f aca="false">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none</v>
      </c>
      <c r="BE73" s="0" t="s">
        <v>168</v>
      </c>
      <c r="BF73" s="0" t="s">
        <v>283</v>
      </c>
      <c r="BG73" s="0" t="s">
        <v>284</v>
      </c>
      <c r="BH73" s="0" t="s">
        <v>1435</v>
      </c>
      <c r="BI73" s="0" t="s">
        <v>172</v>
      </c>
      <c r="BJ73" s="0" t="s">
        <v>301</v>
      </c>
      <c r="BK73" s="0" t="s">
        <v>2334</v>
      </c>
      <c r="BL73" s="0" t="s">
        <v>2335</v>
      </c>
      <c r="BQ73" s="0" t="str">
        <f aca="false">IF($A73="","",IFERROR(INDEX(Enrichment!$A$2:$GZ$2000,MATCH($A73,INDEX(Enrichment!$A$2:$GZ$2000,0,MATCH("row_id",Enrichment!$A$1:$GZ$1,0)),0),MATCH("backup_work_email",Enrichment!$A$1:$GZ$1,0))&amp;"",""))</f>
        <v/>
      </c>
      <c r="BR73" s="0" t="str">
        <f aca="false">IF($A73="","",IF(BQ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none</v>
      </c>
      <c r="BT73" s="0" t="s">
        <v>380</v>
      </c>
      <c r="BX73" s="0" t="s">
        <v>380</v>
      </c>
      <c r="BY73" s="0" t="s">
        <v>387</v>
      </c>
      <c r="BZ73" s="0" t="s">
        <v>388</v>
      </c>
      <c r="CA73" s="0" t="s">
        <v>2336</v>
      </c>
      <c r="CB73" s="0" t="s">
        <v>196</v>
      </c>
      <c r="CC73" s="0" t="s">
        <v>2337</v>
      </c>
      <c r="CD73" s="0" t="s">
        <v>683</v>
      </c>
      <c r="CE73" s="0" t="s">
        <v>2338</v>
      </c>
      <c r="CF73" s="0" t="s">
        <v>352</v>
      </c>
      <c r="CM73" s="0" t="s">
        <v>164</v>
      </c>
      <c r="CN73" s="0" t="s">
        <v>200</v>
      </c>
      <c r="CO73" s="0" t="s">
        <v>201</v>
      </c>
      <c r="CP73" s="0" t="s">
        <v>1</v>
      </c>
      <c r="CQ73" s="0" t="s">
        <v>2339</v>
      </c>
      <c r="CR73" s="0" t="s">
        <v>1429</v>
      </c>
      <c r="CS73" s="0" t="s">
        <v>1437</v>
      </c>
      <c r="CT73" s="0" t="s">
        <v>1438</v>
      </c>
      <c r="CU73" s="0" t="s">
        <v>2340</v>
      </c>
      <c r="CV73" s="0" t="s">
        <v>976</v>
      </c>
      <c r="CW73" s="0" t="s">
        <v>204</v>
      </c>
      <c r="CX73" s="0" t="s">
        <v>1348</v>
      </c>
      <c r="CY73" s="0" t="s">
        <v>2341</v>
      </c>
      <c r="CZ73" s="0" t="s">
        <v>2342</v>
      </c>
      <c r="DA73" s="0" t="s">
        <v>978</v>
      </c>
      <c r="DB73" s="0" t="s">
        <v>259</v>
      </c>
      <c r="DC73" s="0" t="s">
        <v>164</v>
      </c>
      <c r="DD73" s="0" t="s">
        <v>209</v>
      </c>
      <c r="DE73" s="0" t="s">
        <v>1439</v>
      </c>
      <c r="DF73" s="0" t="s">
        <v>210</v>
      </c>
      <c r="DG73" s="0" t="n">
        <v>40.734626</v>
      </c>
      <c r="DH73" s="0" t="n">
        <v>-73.9911</v>
      </c>
      <c r="DI73" s="0" t="s">
        <v>164</v>
      </c>
      <c r="DJ73" s="0" t="n">
        <v>0</v>
      </c>
      <c r="DK73" s="0" t="s">
        <v>1542</v>
      </c>
      <c r="DL73" s="0" t="s">
        <v>1543</v>
      </c>
      <c r="DM73" s="0" t="s">
        <v>2094</v>
      </c>
      <c r="DN73" s="0" t="s">
        <v>2095</v>
      </c>
      <c r="DO73" s="0" t="s">
        <v>363</v>
      </c>
      <c r="DP73" s="0" t="s">
        <v>2343</v>
      </c>
      <c r="DQ73" s="0" t="s">
        <v>2344</v>
      </c>
      <c r="DS73" s="0" t="s">
        <v>217</v>
      </c>
      <c r="DU73" s="0" t="s">
        <v>189</v>
      </c>
      <c r="DX73" s="0" t="s">
        <v>267</v>
      </c>
      <c r="DY73" s="0" t="s">
        <v>1548</v>
      </c>
      <c r="EA73" s="0" t="s">
        <v>209</v>
      </c>
      <c r="EB73" s="0" t="s">
        <v>189</v>
      </c>
      <c r="EC73" s="0" t="s">
        <v>1018</v>
      </c>
      <c r="ED73" s="0" t="s">
        <v>2345</v>
      </c>
      <c r="EE73" s="0" t="s">
        <v>172</v>
      </c>
      <c r="EF73" s="0" t="n">
        <v>43</v>
      </c>
      <c r="EH73" s="0" t="s">
        <v>164</v>
      </c>
      <c r="EI73" s="0" t="s">
        <v>2346</v>
      </c>
      <c r="EJ73" s="0" t="s">
        <v>221</v>
      </c>
      <c r="EK73" s="0" t="n">
        <v>0.59</v>
      </c>
      <c r="EL73" s="0" t="n">
        <v>43.9</v>
      </c>
      <c r="EM73" s="0" t="n">
        <v>14.9</v>
      </c>
      <c r="EN73" s="0" t="n">
        <v>2</v>
      </c>
      <c r="EO73" s="0" t="n">
        <v>7</v>
      </c>
      <c r="EP73" s="0" t="n">
        <v>15</v>
      </c>
      <c r="EQ73" s="0" t="n">
        <f aca="false">IF($A73="","",IF(AH73="exact",10,IF(AH73="adjacent",5,0)))</f>
        <v>0</v>
      </c>
      <c r="ER73" s="0" t="n">
        <f aca="false">IF($A73="","",IF(R73="Y",15,0))</f>
        <v>0</v>
      </c>
      <c r="ES73" s="0" t="s">
        <v>982</v>
      </c>
      <c r="ET73" s="0" t="s">
        <v>983</v>
      </c>
      <c r="EU73" s="0" t="s">
        <v>164</v>
      </c>
      <c r="EV73" s="0" t="s">
        <v>2347</v>
      </c>
      <c r="EW73" s="0" t="s">
        <v>224</v>
      </c>
      <c r="EX73" s="0" t="s">
        <v>2348</v>
      </c>
      <c r="EZ73" s="0" t="s">
        <v>2349</v>
      </c>
      <c r="FS73" s="0" t="str">
        <f aca="false">IF($A73="","",IF(ISNUMBER(MATCH(U73,{"queued","contacted","replied","call_booked","call_done","yes_in_principle","materials_sent"},0)),"Y","N"))</f>
        <v>N</v>
      </c>
      <c r="FT73" s="0" t="str">
        <f aca="false">IF($A73="","",IF(OR(T73="Y",U73="do_not_contact",AS73&amp;""&lt;&gt;""),"Y","N"))</f>
        <v>N</v>
      </c>
      <c r="FU73" s="0" t="str">
        <f aca="false">IF($A73="","",IF(AP73&amp;""&lt;&gt;"",AP73&amp;"",$A73))</f>
        <v>AO-C-005</v>
      </c>
      <c r="FV73" s="0" t="str">
        <f aca="false">IF($A73="","",IF(COUNTIFS($FU$2:$FU$1000,FU73,$FS$2:$FS$1000,"Y")+COUNTIFS($FU$2:$FU$1000,FU73,$FT$2:$FT$1000,"Y")&gt;0,"Y","N"))</f>
        <v>N</v>
      </c>
      <c r="FW73" s="0" t="str">
        <f aca="false">IF($A73="","",IF(AND(U73="new",T73="N",FT73="N",AT73="Y",FV73="N"),"Y","N"))</f>
        <v>N</v>
      </c>
      <c r="FX73" s="0" t="str">
        <f aca="false">IF($A73="","",IF(FW73&lt;&gt;"Y","N",IF(COUNTIFS($FU$2:$FU$1000,FU73,$FW$2:$FW$1000,"Y",$J$2:$J$1000,"&gt;"&amp;J73)+COUNTIFS($FU$2:$FU$1000,FU73,$FW$2:$FW$1000,"Y",$J$2:$J$1000,J73,$GD$2:$GD$1000,"&lt;"&amp;GD73)=0,"Y","N")))</f>
        <v>N</v>
      </c>
      <c r="FY73" s="0" t="str">
        <f aca="false">IF($A73="","",IF(AND(FW73="Y",FX73="Y",Y73&amp;""&lt;&gt;""),IF(Y73&lt;=10,"Y","N"),"N"))</f>
        <v>N</v>
      </c>
      <c r="FZ73" s="0" t="str">
        <f aca="false">IF(FY73="Y",Y73,"")</f>
        <v/>
      </c>
      <c r="GA73" s="0" t="str">
        <f aca="false">IF($A73="","",IF(AND(I73="walk-in",CN73="pass",U73="new",FT73="N",FV73="N",AQ73&lt;&gt;"Y"),"Y","N"))</f>
        <v>N</v>
      </c>
      <c r="GB73" s="0" t="str">
        <f aca="false">IF(GA73&lt;&gt;"Y","",IF(COUNTIFS($GA$2:$GA$1000,"Y",$J$2:$J$1000,"&gt;"&amp;J73)+COUNTIFS($GA$2:$GA$1000,"Y",$J$2:$J$1000,J73,$GD$2:$GD$1000,"&lt;"&amp;GD73)+1&lt;=25,COUNTIFS($GA$2:$GA$1000,"Y",$J$2:$J$1000,"&gt;"&amp;J73)+COUNTIFS($GA$2:$GA$1000,"Y",$J$2:$J$1000,J73,$GD$2:$GD$1000,"&lt;"&amp;GD73)+1,""))</f>
        <v/>
      </c>
      <c r="GC73" s="0" t="str">
        <f aca="false">IF(AND(_xlfn.ISFORMULA(C73),_xlfn.ISFORMULA(J73)),"Y","N")</f>
        <v>N</v>
      </c>
      <c r="GD73" s="0" t="n">
        <f aca="false">ROW()-1</f>
        <v>72</v>
      </c>
    </row>
    <row r="74" customFormat="false" ht="15" hidden="false" customHeight="false" outlineLevel="0" collapsed="false">
      <c r="A74" s="0" t="s">
        <v>2215</v>
      </c>
      <c r="B74" s="0" t="s">
        <v>2350</v>
      </c>
      <c r="C74" s="0" t="s">
        <v>2218</v>
      </c>
      <c r="D74" s="0" t="s">
        <v>2351</v>
      </c>
      <c r="E74" s="0" t="s">
        <v>2352</v>
      </c>
      <c r="F74" s="0" t="s">
        <v>2353</v>
      </c>
      <c r="G74" s="0" t="s">
        <v>189</v>
      </c>
      <c r="M74" s="0" t="s">
        <v>380</v>
      </c>
      <c r="R74" s="5"/>
      <c r="U74" s="5"/>
      <c r="V74" s="0" t="s">
        <v>380</v>
      </c>
      <c r="AE74" s="0" t="s">
        <v>2354</v>
      </c>
      <c r="AF74" s="0" t="s">
        <v>209</v>
      </c>
      <c r="AG74" s="0" t="s">
        <v>2219</v>
      </c>
      <c r="AH74" s="0" t="s">
        <v>2220</v>
      </c>
      <c r="AI74" s="0" t="s">
        <v>2225</v>
      </c>
      <c r="AJ74" s="0" t="s">
        <v>189</v>
      </c>
      <c r="AK74" s="0" t="s">
        <v>1794</v>
      </c>
      <c r="AL74" s="0" t="s">
        <v>164</v>
      </c>
      <c r="AM74" s="0" t="n">
        <v>1256</v>
      </c>
      <c r="AN74" s="0" t="s">
        <v>187</v>
      </c>
      <c r="AO74" s="0" t="s">
        <v>188</v>
      </c>
      <c r="AP74" s="0" t="s">
        <v>2355</v>
      </c>
      <c r="AQ74" s="5" t="s">
        <v>189</v>
      </c>
      <c r="AT74" s="0" t="str">
        <f aca="false">IF($A74="","",IF(AND(CN74="pass",AQ74&lt;&gt;"Y",C74&lt;&gt;"",OR(AX74&lt;&gt;"Y",AV74="Y")),"Y","N"))</f>
        <v>N</v>
      </c>
      <c r="AU74" s="0" t="str">
        <f aca="false">IF($A74="","",_xlfn.TEXTJOIN("; ",TRUE(),IF(CN74&lt;&gt;"pass","gated out",""),IF(AQ74="Y","on hold: "&amp;AR74,""),IF(C74="","no contact named on an opened page",""),IF(AND(AX74="Y",AV74&lt;&gt;"Y"),"Tuesday estimate band "&amp;L74&amp;": founder's call","")))</f>
        <v>Tuesday estimate band : founder's call</v>
      </c>
      <c r="AX74" s="0" t="s">
        <v>164</v>
      </c>
      <c r="BC74" s="0" t="str">
        <f aca="false">IF($A74="","",IFERROR(INDEX(Enrichment!$A$2:$GZ$2000,MATCH($A74,INDEX(Enrichment!$A$2:$GZ$2000,0,MATCH("row_id",Enrichment!$A$1:$GZ$1,0)),0),MATCH("work_email",Enrichment!$A$1:$GZ$1,0))&amp;"",""))</f>
        <v/>
      </c>
      <c r="BD74" s="0" t="str">
        <f aca="false">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none</v>
      </c>
      <c r="BF74" s="0" t="s">
        <v>380</v>
      </c>
      <c r="BJ74" s="0" t="s">
        <v>380</v>
      </c>
      <c r="BK74" s="0" t="s">
        <v>2356</v>
      </c>
      <c r="BL74" s="0" t="s">
        <v>896</v>
      </c>
      <c r="BQ74" s="0" t="str">
        <f aca="false">IF($A74="","",IFERROR(INDEX(Enrichment!$A$2:$GZ$2000,MATCH($A74,INDEX(Enrichment!$A$2:$GZ$2000,0,MATCH("row_id",Enrichment!$A$1:$GZ$1,0)),0),MATCH("backup_work_email",Enrichment!$A$1:$GZ$1,0))&amp;"",""))</f>
        <v/>
      </c>
      <c r="BR74" s="0" t="str">
        <f aca="false">IF($A74="","",IF(BQ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none</v>
      </c>
      <c r="BT74" s="0" t="s">
        <v>380</v>
      </c>
      <c r="BX74" s="0" t="s">
        <v>380</v>
      </c>
      <c r="BY74" s="0" t="s">
        <v>2357</v>
      </c>
      <c r="BZ74" s="0" t="s">
        <v>388</v>
      </c>
      <c r="CA74" s="0" t="s">
        <v>2358</v>
      </c>
      <c r="CB74" s="0" t="s">
        <v>196</v>
      </c>
      <c r="CM74" s="0" t="s">
        <v>189</v>
      </c>
      <c r="CN74" s="0" t="s">
        <v>200</v>
      </c>
      <c r="CO74" s="0" t="s">
        <v>201</v>
      </c>
      <c r="CP74" s="0" t="s">
        <v>1</v>
      </c>
      <c r="CQ74" s="0" t="s">
        <v>2359</v>
      </c>
      <c r="CR74" s="0" t="s">
        <v>2360</v>
      </c>
      <c r="CS74" s="0" t="s">
        <v>2361</v>
      </c>
      <c r="CT74" s="0" t="s">
        <v>2362</v>
      </c>
      <c r="CV74" s="0" t="s">
        <v>976</v>
      </c>
      <c r="CW74" s="0" t="s">
        <v>204</v>
      </c>
      <c r="CX74" s="0" t="s">
        <v>205</v>
      </c>
      <c r="CY74" s="0" t="s">
        <v>2363</v>
      </c>
      <c r="DA74" s="0" t="s">
        <v>978</v>
      </c>
      <c r="DB74" s="0" t="s">
        <v>2364</v>
      </c>
      <c r="DC74" s="0" t="s">
        <v>189</v>
      </c>
      <c r="DD74" s="0" t="s">
        <v>209</v>
      </c>
      <c r="DE74" s="0" t="s">
        <v>2365</v>
      </c>
      <c r="DF74" s="0" t="s">
        <v>525</v>
      </c>
      <c r="DG74" s="0" t="n">
        <v>40.740567</v>
      </c>
      <c r="DH74" s="0" t="n">
        <v>-73.985832</v>
      </c>
      <c r="DI74" s="0" t="s">
        <v>164</v>
      </c>
      <c r="DJ74" s="0" t="n">
        <v>0</v>
      </c>
      <c r="DL74" s="0" t="s">
        <v>209</v>
      </c>
      <c r="DM74" s="0" t="s">
        <v>2366</v>
      </c>
      <c r="DN74" s="0" t="s">
        <v>265</v>
      </c>
      <c r="DO74" s="0" t="s">
        <v>363</v>
      </c>
      <c r="DP74" s="0" t="s">
        <v>2363</v>
      </c>
      <c r="DQ74" s="0" t="s">
        <v>263</v>
      </c>
      <c r="DS74" s="0" t="s">
        <v>217</v>
      </c>
      <c r="DU74" s="0" t="s">
        <v>189</v>
      </c>
      <c r="DX74" s="0" t="s">
        <v>209</v>
      </c>
      <c r="DZ74" s="0" t="s">
        <v>1700</v>
      </c>
      <c r="EA74" s="0" t="s">
        <v>209</v>
      </c>
      <c r="EB74" s="0" t="s">
        <v>189</v>
      </c>
      <c r="EC74" s="0" t="s">
        <v>655</v>
      </c>
      <c r="ED74" s="0" t="s">
        <v>2363</v>
      </c>
      <c r="EE74" s="0" t="s">
        <v>172</v>
      </c>
      <c r="EF74" s="0" t="n">
        <v>281</v>
      </c>
      <c r="EG74" s="0" t="s">
        <v>366</v>
      </c>
      <c r="EH74" s="0" t="s">
        <v>189</v>
      </c>
      <c r="EI74" s="0" t="s">
        <v>2367</v>
      </c>
      <c r="EJ74" s="0" t="s">
        <v>221</v>
      </c>
      <c r="EK74" s="0" t="n">
        <v>0.46</v>
      </c>
      <c r="EL74" s="0" t="n">
        <v>43.5</v>
      </c>
      <c r="EM74" s="0" t="n">
        <v>11.5</v>
      </c>
      <c r="EN74" s="0" t="n">
        <v>2</v>
      </c>
      <c r="EO74" s="0" t="n">
        <v>15</v>
      </c>
      <c r="EP74" s="0" t="n">
        <v>15</v>
      </c>
      <c r="EQ74" s="0" t="n">
        <f aca="false">IF($A74="","",IF(AH74="exact",10,IF(AH74="adjacent",5,0)))</f>
        <v>0</v>
      </c>
      <c r="ER74" s="0" t="n">
        <f aca="false">IF($A74="","",IF(R74="Y",15,0))</f>
        <v>0</v>
      </c>
      <c r="ES74" s="0" t="s">
        <v>982</v>
      </c>
      <c r="ET74" s="0" t="s">
        <v>983</v>
      </c>
      <c r="EU74" s="0" t="s">
        <v>189</v>
      </c>
      <c r="EX74" s="0" t="s">
        <v>2368</v>
      </c>
      <c r="EZ74" s="0" t="s">
        <v>2369</v>
      </c>
      <c r="FS74" s="0" t="str">
        <f aca="false">IF($A74="","",IF(ISNUMBER(MATCH(U74,{"queued","contacted","replied","call_booked","call_done","yes_in_principle","materials_sent"},0)),"Y","N"))</f>
        <v>N</v>
      </c>
      <c r="FT74" s="0" t="str">
        <f aca="false">IF($A74="","",IF(OR(T74="Y",U74="do_not_contact",AS74&amp;""&lt;&gt;""),"Y","N"))</f>
        <v>N</v>
      </c>
      <c r="FU74" s="0" t="str">
        <f aca="false">IF($A74="","",IF(AP74&amp;""&lt;&gt;"",AP74&amp;"",$A74))</f>
        <v>AO-C-240</v>
      </c>
      <c r="FV74" s="0" t="str">
        <f aca="false">IF($A74="","",IF(COUNTIFS($FU$2:$FU$1000,FU74,$FS$2:$FS$1000,"Y")+COUNTIFS($FU$2:$FU$1000,FU74,$FT$2:$FT$1000,"Y")&gt;0,"Y","N"))</f>
        <v>N</v>
      </c>
      <c r="FW74" s="0" t="str">
        <f aca="false">IF($A74="","",IF(AND(U74="new",T74="N",FT74="N",AT74="Y",FV74="N"),"Y","N"))</f>
        <v>N</v>
      </c>
      <c r="FX74" s="0" t="str">
        <f aca="false">IF($A74="","",IF(FW74&lt;&gt;"Y","N",IF(COUNTIFS($FU$2:$FU$1000,FU74,$FW$2:$FW$1000,"Y",$J$2:$J$1000,"&gt;"&amp;J74)+COUNTIFS($FU$2:$FU$1000,FU74,$FW$2:$FW$1000,"Y",$J$2:$J$1000,J74,$GD$2:$GD$1000,"&lt;"&amp;GD74)=0,"Y","N")))</f>
        <v>N</v>
      </c>
      <c r="FY74" s="0" t="str">
        <f aca="false">IF($A74="","",IF(AND(FW74="Y",FX74="Y",Y74&amp;""&lt;&gt;""),IF(Y74&lt;=10,"Y","N"),"N"))</f>
        <v>N</v>
      </c>
      <c r="FZ74" s="0" t="str">
        <f aca="false">IF(FY74="Y",Y74,"")</f>
        <v/>
      </c>
      <c r="GA74" s="0" t="str">
        <f aca="false">IF($A74="","",IF(AND(I74="walk-in",CN74="pass",U74="new",FT74="N",FV74="N",AQ74&lt;&gt;"Y"),"Y","N"))</f>
        <v>N</v>
      </c>
      <c r="GB74" s="0" t="str">
        <f aca="false">IF(GA74&lt;&gt;"Y","",IF(COUNTIFS($GA$2:$GA$1000,"Y",$J$2:$J$1000,"&gt;"&amp;J74)+COUNTIFS($GA$2:$GA$1000,"Y",$J$2:$J$1000,J74,$GD$2:$GD$1000,"&lt;"&amp;GD74)+1&lt;=25,COUNTIFS($GA$2:$GA$1000,"Y",$J$2:$J$1000,"&gt;"&amp;J74)+COUNTIFS($GA$2:$GA$1000,"Y",$J$2:$J$1000,J74,$GD$2:$GD$1000,"&lt;"&amp;GD74)+1,""))</f>
        <v/>
      </c>
      <c r="GC74" s="0" t="str">
        <f aca="false">IF(AND(_xlfn.ISFORMULA(C74),_xlfn.ISFORMULA(J74)),"Y","N")</f>
        <v>N</v>
      </c>
      <c r="GD74" s="0" t="n">
        <f aca="false">ROW()-1</f>
        <v>73</v>
      </c>
    </row>
    <row r="75" customFormat="false" ht="15" hidden="false" customHeight="false" outlineLevel="0" collapsed="false">
      <c r="A75" s="0" t="s">
        <v>2255</v>
      </c>
      <c r="B75" s="0" t="s">
        <v>2370</v>
      </c>
      <c r="C75" s="0" t="s">
        <v>2258</v>
      </c>
      <c r="D75" s="0" t="s">
        <v>2371</v>
      </c>
      <c r="E75" s="0" t="s">
        <v>2372</v>
      </c>
      <c r="F75" s="0" t="s">
        <v>2373</v>
      </c>
      <c r="G75" s="0" t="s">
        <v>189</v>
      </c>
      <c r="M75" s="0" t="s">
        <v>380</v>
      </c>
      <c r="R75" s="5"/>
      <c r="U75" s="5"/>
      <c r="V75" s="0" t="s">
        <v>380</v>
      </c>
      <c r="AE75" s="0" t="s">
        <v>2265</v>
      </c>
      <c r="AF75" s="0" t="s">
        <v>494</v>
      </c>
      <c r="AG75" s="0" t="s">
        <v>2259</v>
      </c>
      <c r="AH75" s="0" t="s">
        <v>2220</v>
      </c>
      <c r="AI75" s="0" t="s">
        <v>2263</v>
      </c>
      <c r="AJ75" s="0" t="s">
        <v>189</v>
      </c>
      <c r="AK75" s="0" t="s">
        <v>298</v>
      </c>
      <c r="AL75" s="0" t="s">
        <v>189</v>
      </c>
      <c r="AM75" s="0" t="n">
        <v>644</v>
      </c>
      <c r="AN75" s="0" t="s">
        <v>187</v>
      </c>
      <c r="AO75" s="0" t="s">
        <v>188</v>
      </c>
      <c r="AP75" s="0" t="s">
        <v>1458</v>
      </c>
      <c r="AQ75" s="5" t="s">
        <v>189</v>
      </c>
      <c r="AT75" s="0" t="str">
        <f aca="false">IF($A75="","",IF(AND(CN75="pass",AQ75&lt;&gt;"Y",C75&lt;&gt;"",OR(AX75&lt;&gt;"Y",AV75="Y")),"Y","N"))</f>
        <v>Y</v>
      </c>
      <c r="AU75" s="0" t="str">
        <f aca="false">IF($A75="","",_xlfn.TEXTJOIN("; ",TRUE(),IF(CN75&lt;&gt;"pass","gated out",""),IF(AQ75="Y","on hold: "&amp;AR75,""),IF(C75="","no contact named on an opened page",""),IF(AND(AX75="Y",AV75&lt;&gt;"Y"),"Tuesday estimate band "&amp;L75&amp;": founder's call","")))</f>
        <v/>
      </c>
      <c r="AX75" s="0" t="s">
        <v>189</v>
      </c>
      <c r="AY75" s="0" t="s">
        <v>1464</v>
      </c>
      <c r="AZ75" s="0" t="s">
        <v>1465</v>
      </c>
      <c r="BA75" s="0" t="s">
        <v>1466</v>
      </c>
      <c r="BC75" s="0" t="str">
        <f aca="false">IF($A75="","",IFERROR(INDEX(Enrichment!$A$2:$GZ$2000,MATCH($A75,INDEX(Enrichment!$A$2:$GZ$2000,0,MATCH("row_id",Enrichment!$A$1:$GZ$1,0)),0),MATCH("work_email",Enrichment!$A$1:$GZ$1,0))&amp;"",""))</f>
        <v/>
      </c>
      <c r="BD75" s="0" t="str">
        <f aca="false">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none</v>
      </c>
      <c r="BE75" s="0" t="s">
        <v>168</v>
      </c>
      <c r="BF75" s="0" t="s">
        <v>283</v>
      </c>
      <c r="BG75" s="0" t="s">
        <v>284</v>
      </c>
      <c r="BH75" s="0" t="s">
        <v>1467</v>
      </c>
      <c r="BI75" s="0" t="s">
        <v>172</v>
      </c>
      <c r="BJ75" s="0" t="s">
        <v>301</v>
      </c>
      <c r="BK75" s="0" t="s">
        <v>2374</v>
      </c>
      <c r="BL75" s="0" t="s">
        <v>2375</v>
      </c>
      <c r="BQ75" s="0" t="str">
        <f aca="false">IF($A75="","",IFERROR(INDEX(Enrichment!$A$2:$GZ$2000,MATCH($A75,INDEX(Enrichment!$A$2:$GZ$2000,0,MATCH("row_id",Enrichment!$A$1:$GZ$1,0)),0),MATCH("backup_work_email",Enrichment!$A$1:$GZ$1,0))&amp;"",""))</f>
        <v/>
      </c>
      <c r="BR75" s="0" t="str">
        <f aca="false">IF($A75="","",IF(BQ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none</v>
      </c>
      <c r="BT75" s="0" t="s">
        <v>380</v>
      </c>
      <c r="BX75" s="0" t="s">
        <v>380</v>
      </c>
      <c r="BY75" s="0" t="s">
        <v>387</v>
      </c>
      <c r="BZ75" s="0" t="s">
        <v>388</v>
      </c>
      <c r="CA75" s="0" t="s">
        <v>2376</v>
      </c>
      <c r="CB75" s="0" t="s">
        <v>196</v>
      </c>
      <c r="CC75" s="0" t="s">
        <v>2377</v>
      </c>
      <c r="CD75" s="0" t="s">
        <v>2378</v>
      </c>
      <c r="CE75" s="0" t="s">
        <v>2379</v>
      </c>
      <c r="CF75" s="0" t="s">
        <v>180</v>
      </c>
      <c r="CM75" s="0" t="s">
        <v>164</v>
      </c>
      <c r="CN75" s="0" t="s">
        <v>200</v>
      </c>
      <c r="CO75" s="0" t="s">
        <v>201</v>
      </c>
      <c r="CP75" s="0" t="s">
        <v>1</v>
      </c>
      <c r="CQ75" s="0" t="s">
        <v>2380</v>
      </c>
      <c r="CR75" s="0" t="s">
        <v>1460</v>
      </c>
      <c r="CS75" s="0" t="s">
        <v>1470</v>
      </c>
      <c r="CT75" s="0" t="s">
        <v>1471</v>
      </c>
      <c r="CU75" s="0" t="s">
        <v>2381</v>
      </c>
      <c r="CV75" s="0" t="s">
        <v>976</v>
      </c>
      <c r="CW75" s="0" t="s">
        <v>204</v>
      </c>
      <c r="CX75" s="0" t="s">
        <v>1348</v>
      </c>
      <c r="CY75" s="0" t="s">
        <v>2382</v>
      </c>
      <c r="CZ75" s="0" t="s">
        <v>2383</v>
      </c>
      <c r="DA75" s="0" t="s">
        <v>978</v>
      </c>
      <c r="DB75" s="0" t="s">
        <v>208</v>
      </c>
      <c r="DC75" s="0" t="s">
        <v>189</v>
      </c>
      <c r="DD75" s="0" t="s">
        <v>209</v>
      </c>
      <c r="DE75" s="0" t="s">
        <v>1472</v>
      </c>
      <c r="DF75" s="0" t="s">
        <v>525</v>
      </c>
      <c r="DG75" s="0" t="n">
        <v>40.741141</v>
      </c>
      <c r="DH75" s="0" t="n">
        <v>-73.987489</v>
      </c>
      <c r="DI75" s="0" t="s">
        <v>164</v>
      </c>
      <c r="DJ75" s="0" t="n">
        <v>0</v>
      </c>
      <c r="DL75" s="0" t="s">
        <v>209</v>
      </c>
      <c r="DM75" s="0" t="s">
        <v>2384</v>
      </c>
      <c r="DN75" s="0" t="s">
        <v>676</v>
      </c>
      <c r="DO75" s="0" t="s">
        <v>363</v>
      </c>
      <c r="DP75" s="0" t="s">
        <v>2385</v>
      </c>
      <c r="DQ75" s="0" t="s">
        <v>2386</v>
      </c>
      <c r="DS75" s="0" t="s">
        <v>217</v>
      </c>
      <c r="DU75" s="0" t="s">
        <v>189</v>
      </c>
      <c r="DX75" s="0" t="s">
        <v>209</v>
      </c>
      <c r="EA75" s="0" t="s">
        <v>209</v>
      </c>
      <c r="EB75" s="0" t="s">
        <v>189</v>
      </c>
      <c r="EC75" s="0" t="s">
        <v>1656</v>
      </c>
      <c r="ED75" s="0" t="s">
        <v>2383</v>
      </c>
      <c r="EE75" s="0" t="s">
        <v>172</v>
      </c>
      <c r="EF75" s="0" t="n">
        <v>84</v>
      </c>
      <c r="EG75" s="0" t="s">
        <v>945</v>
      </c>
      <c r="EH75" s="0" t="s">
        <v>189</v>
      </c>
      <c r="EI75" s="0" t="s">
        <v>2387</v>
      </c>
      <c r="EJ75" s="0" t="s">
        <v>221</v>
      </c>
      <c r="EK75" s="0" t="n">
        <v>0.45</v>
      </c>
      <c r="EL75" s="0" t="n">
        <v>43.3</v>
      </c>
      <c r="EM75" s="0" t="n">
        <v>11.3</v>
      </c>
      <c r="EN75" s="0" t="n">
        <v>2</v>
      </c>
      <c r="EO75" s="0" t="n">
        <v>15</v>
      </c>
      <c r="EP75" s="0" t="n">
        <v>10</v>
      </c>
      <c r="EQ75" s="0" t="n">
        <f aca="false">IF($A75="","",IF(AH75="exact",10,IF(AH75="adjacent",5,0)))</f>
        <v>0</v>
      </c>
      <c r="ER75" s="0" t="n">
        <f aca="false">IF($A75="","",IF(R75="Y",15,0))</f>
        <v>0</v>
      </c>
      <c r="ES75" s="0" t="s">
        <v>982</v>
      </c>
      <c r="ET75" s="0" t="s">
        <v>983</v>
      </c>
      <c r="EU75" s="0" t="s">
        <v>189</v>
      </c>
      <c r="EV75" s="0" t="s">
        <v>2388</v>
      </c>
      <c r="EW75" s="0" t="s">
        <v>224</v>
      </c>
      <c r="EX75" s="0" t="s">
        <v>2389</v>
      </c>
      <c r="EZ75" s="0" t="s">
        <v>2390</v>
      </c>
      <c r="FS75" s="0" t="str">
        <f aca="false">IF($A75="","",IF(ISNUMBER(MATCH(U75,{"queued","contacted","replied","call_booked","call_done","yes_in_principle","materials_sent"},0)),"Y","N"))</f>
        <v>N</v>
      </c>
      <c r="FT75" s="0" t="str">
        <f aca="false">IF($A75="","",IF(OR(T75="Y",U75="do_not_contact",AS75&amp;""&lt;&gt;""),"Y","N"))</f>
        <v>N</v>
      </c>
      <c r="FU75" s="0" t="str">
        <f aca="false">IF($A75="","",IF(AP75&amp;""&lt;&gt;"",AP75&amp;"",$A75))</f>
        <v>AO-C-102</v>
      </c>
      <c r="FV75" s="0" t="str">
        <f aca="false">IF($A75="","",IF(COUNTIFS($FU$2:$FU$1000,FU75,$FS$2:$FS$1000,"Y")+COUNTIFS($FU$2:$FU$1000,FU75,$FT$2:$FT$1000,"Y")&gt;0,"Y","N"))</f>
        <v>N</v>
      </c>
      <c r="FW75" s="0" t="str">
        <f aca="false">IF($A75="","",IF(AND(U75="new",T75="N",FT75="N",AT75="Y",FV75="N"),"Y","N"))</f>
        <v>N</v>
      </c>
      <c r="FX75" s="0" t="str">
        <f aca="false">IF($A75="","",IF(FW75&lt;&gt;"Y","N",IF(COUNTIFS($FU$2:$FU$1000,FU75,$FW$2:$FW$1000,"Y",$J$2:$J$1000,"&gt;"&amp;J75)+COUNTIFS($FU$2:$FU$1000,FU75,$FW$2:$FW$1000,"Y",$J$2:$J$1000,J75,$GD$2:$GD$1000,"&lt;"&amp;GD75)=0,"Y","N")))</f>
        <v>N</v>
      </c>
      <c r="FY75" s="0" t="str">
        <f aca="false">IF($A75="","",IF(AND(FW75="Y",FX75="Y",Y75&amp;""&lt;&gt;""),IF(Y75&lt;=10,"Y","N"),"N"))</f>
        <v>N</v>
      </c>
      <c r="FZ75" s="0" t="str">
        <f aca="false">IF(FY75="Y",Y75,"")</f>
        <v/>
      </c>
      <c r="GA75" s="0" t="str">
        <f aca="false">IF($A75="","",IF(AND(I75="walk-in",CN75="pass",U75="new",FT75="N",FV75="N",AQ75&lt;&gt;"Y"),"Y","N"))</f>
        <v>N</v>
      </c>
      <c r="GB75" s="0" t="str">
        <f aca="false">IF(GA75&lt;&gt;"Y","",IF(COUNTIFS($GA$2:$GA$1000,"Y",$J$2:$J$1000,"&gt;"&amp;J75)+COUNTIFS($GA$2:$GA$1000,"Y",$J$2:$J$1000,J75,$GD$2:$GD$1000,"&lt;"&amp;GD75)+1&lt;=25,COUNTIFS($GA$2:$GA$1000,"Y",$J$2:$J$1000,"&gt;"&amp;J75)+COUNTIFS($GA$2:$GA$1000,"Y",$J$2:$J$1000,J75,$GD$2:$GD$1000,"&lt;"&amp;GD75)+1,""))</f>
        <v/>
      </c>
      <c r="GC75" s="0" t="str">
        <f aca="false">IF(AND(_xlfn.ISFORMULA(C75),_xlfn.ISFORMULA(J75)),"Y","N")</f>
        <v>N</v>
      </c>
      <c r="GD75" s="0" t="n">
        <f aca="false">ROW()-1</f>
        <v>74</v>
      </c>
    </row>
    <row r="76" customFormat="false" ht="15" hidden="false" customHeight="false" outlineLevel="0" collapsed="false">
      <c r="A76" s="0" t="s">
        <v>2274</v>
      </c>
      <c r="B76" s="0" t="s">
        <v>2391</v>
      </c>
      <c r="C76" s="0" t="s">
        <v>2278</v>
      </c>
      <c r="D76" s="0" t="s">
        <v>2392</v>
      </c>
      <c r="E76" s="0" t="s">
        <v>2393</v>
      </c>
      <c r="F76" s="0" t="s">
        <v>2394</v>
      </c>
      <c r="G76" s="0" t="s">
        <v>189</v>
      </c>
      <c r="M76" s="0" t="s">
        <v>380</v>
      </c>
      <c r="R76" s="5"/>
      <c r="U76" s="5"/>
      <c r="V76" s="0" t="s">
        <v>380</v>
      </c>
      <c r="AE76" s="0" t="s">
        <v>2395</v>
      </c>
      <c r="AF76" s="0" t="s">
        <v>209</v>
      </c>
      <c r="AG76" s="0" t="s">
        <v>2279</v>
      </c>
      <c r="AH76" s="0" t="s">
        <v>2280</v>
      </c>
      <c r="AI76" s="0" t="s">
        <v>2282</v>
      </c>
      <c r="AJ76" s="0" t="s">
        <v>189</v>
      </c>
      <c r="AK76" s="0" t="s">
        <v>298</v>
      </c>
      <c r="AL76" s="0" t="s">
        <v>189</v>
      </c>
      <c r="AM76" s="0" t="n">
        <v>46</v>
      </c>
      <c r="AN76" s="0" t="s">
        <v>187</v>
      </c>
      <c r="AO76" s="0" t="s">
        <v>512</v>
      </c>
      <c r="AP76" s="0" t="s">
        <v>2007</v>
      </c>
      <c r="AQ76" s="5" t="s">
        <v>189</v>
      </c>
      <c r="AT76" s="0" t="str">
        <f aca="false">IF($A76="","",IF(AND(CN76="pass",AQ76&lt;&gt;"Y",C76&lt;&gt;"",OR(AX76&lt;&gt;"Y",AV76="Y")),"Y","N"))</f>
        <v>N</v>
      </c>
      <c r="AU76" s="0" t="str">
        <f aca="false">IF($A76="","",_xlfn.TEXTJOIN("; ",TRUE(),IF(CN76&lt;&gt;"pass","gated out",""),IF(AQ76="Y","on hold: "&amp;AR76,""),IF(C76="","no contact named on an opened page",""),IF(AND(AX76="Y",AV76&lt;&gt;"Y"),"Tuesday estimate band "&amp;L76&amp;": founder's call","")))</f>
        <v>Tuesday estimate band : founder's call</v>
      </c>
      <c r="AX76" s="0" t="s">
        <v>164</v>
      </c>
      <c r="AY76" s="0" t="s">
        <v>2396</v>
      </c>
      <c r="AZ76" s="0" t="s">
        <v>2397</v>
      </c>
      <c r="BA76" s="0" t="s">
        <v>772</v>
      </c>
      <c r="BC76" s="0" t="str">
        <f aca="false">IF($A76="","",IFERROR(INDEX(Enrichment!$A$2:$GZ$2000,MATCH($A76,INDEX(Enrichment!$A$2:$GZ$2000,0,MATCH("row_id",Enrichment!$A$1:$GZ$1,0)),0),MATCH("work_email",Enrichment!$A$1:$GZ$1,0))&amp;"",""))</f>
        <v/>
      </c>
      <c r="BD76" s="0" t="str">
        <f aca="false">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none</v>
      </c>
      <c r="BE76" s="0" t="s">
        <v>168</v>
      </c>
      <c r="BF76" s="0" t="s">
        <v>169</v>
      </c>
      <c r="BG76" s="0" t="s">
        <v>170</v>
      </c>
      <c r="BH76" s="0" t="s">
        <v>2398</v>
      </c>
      <c r="BI76" s="0" t="s">
        <v>172</v>
      </c>
      <c r="BJ76" s="0" t="s">
        <v>301</v>
      </c>
      <c r="BK76" s="0" t="s">
        <v>2399</v>
      </c>
      <c r="BL76" s="0" t="s">
        <v>1106</v>
      </c>
      <c r="BM76" s="0" t="s">
        <v>2400</v>
      </c>
      <c r="BN76" s="0" t="s">
        <v>2401</v>
      </c>
      <c r="BO76" s="0" t="s">
        <v>862</v>
      </c>
      <c r="BQ76" s="0" t="str">
        <f aca="false">IF($A76="","",IFERROR(INDEX(Enrichment!$A$2:$GZ$2000,MATCH($A76,INDEX(Enrichment!$A$2:$GZ$2000,0,MATCH("row_id",Enrichment!$A$1:$GZ$1,0)),0),MATCH("backup_work_email",Enrichment!$A$1:$GZ$1,0))&amp;"",""))</f>
        <v/>
      </c>
      <c r="BR76" s="0" t="str">
        <f aca="false">IF($A76="","",IF(BQ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none</v>
      </c>
      <c r="BS76" s="0" t="s">
        <v>176</v>
      </c>
      <c r="BT76" s="0" t="s">
        <v>169</v>
      </c>
      <c r="BU76" s="0" t="s">
        <v>170</v>
      </c>
      <c r="BV76" s="0" t="s">
        <v>2398</v>
      </c>
      <c r="BW76" s="0" t="s">
        <v>172</v>
      </c>
      <c r="BX76" s="0" t="s">
        <v>301</v>
      </c>
      <c r="BY76" s="0" t="s">
        <v>2402</v>
      </c>
      <c r="BZ76" s="0" t="s">
        <v>1342</v>
      </c>
      <c r="CA76" s="0" t="s">
        <v>2403</v>
      </c>
      <c r="CB76" s="0" t="s">
        <v>196</v>
      </c>
      <c r="CC76" s="0" t="s">
        <v>2404</v>
      </c>
      <c r="CE76" s="0" t="s">
        <v>2405</v>
      </c>
      <c r="CF76" s="0" t="s">
        <v>425</v>
      </c>
      <c r="CH76" s="0" t="s">
        <v>2406</v>
      </c>
      <c r="CJ76" s="0" t="s">
        <v>2407</v>
      </c>
      <c r="CK76" s="0" t="s">
        <v>425</v>
      </c>
      <c r="CM76" s="0" t="s">
        <v>164</v>
      </c>
      <c r="CN76" s="0" t="s">
        <v>200</v>
      </c>
      <c r="CO76" s="0" t="s">
        <v>201</v>
      </c>
      <c r="CP76" s="0" t="s">
        <v>1</v>
      </c>
      <c r="CQ76" s="0" t="s">
        <v>2408</v>
      </c>
      <c r="CR76" s="0" t="s">
        <v>2409</v>
      </c>
      <c r="CS76" s="0" t="s">
        <v>2410</v>
      </c>
      <c r="CT76" s="0" t="s">
        <v>2411</v>
      </c>
      <c r="CU76" s="0" t="s">
        <v>2412</v>
      </c>
      <c r="CV76" s="0" t="s">
        <v>209</v>
      </c>
      <c r="CW76" s="0" t="s">
        <v>209</v>
      </c>
      <c r="CX76" s="0" t="s">
        <v>440</v>
      </c>
      <c r="CY76" s="0" t="s">
        <v>2413</v>
      </c>
      <c r="CZ76" s="0" t="s">
        <v>2414</v>
      </c>
      <c r="DA76" s="0" t="s">
        <v>207</v>
      </c>
      <c r="DB76" s="0" t="s">
        <v>259</v>
      </c>
      <c r="DC76" s="0" t="s">
        <v>164</v>
      </c>
      <c r="DD76" s="0" t="s">
        <v>2021</v>
      </c>
      <c r="DE76" s="0" t="s">
        <v>2415</v>
      </c>
      <c r="DF76" s="0" t="s">
        <v>1190</v>
      </c>
      <c r="DG76" s="0" t="n">
        <v>40.745243</v>
      </c>
      <c r="DH76" s="0" t="n">
        <v>-73.989968</v>
      </c>
      <c r="DI76" s="0" t="s">
        <v>164</v>
      </c>
      <c r="DJ76" s="0" t="n">
        <v>0</v>
      </c>
      <c r="DK76" s="0" t="s">
        <v>2416</v>
      </c>
      <c r="DL76" s="0" t="s">
        <v>2417</v>
      </c>
      <c r="DM76" s="0" t="s">
        <v>2418</v>
      </c>
      <c r="DN76" s="0" t="s">
        <v>263</v>
      </c>
      <c r="DO76" s="0" t="s">
        <v>214</v>
      </c>
      <c r="DP76" s="0" t="s">
        <v>2419</v>
      </c>
      <c r="DQ76" s="0" t="s">
        <v>2420</v>
      </c>
      <c r="DS76" s="0" t="s">
        <v>217</v>
      </c>
      <c r="DU76" s="0" t="s">
        <v>189</v>
      </c>
      <c r="DX76" s="0" t="s">
        <v>209</v>
      </c>
      <c r="EA76" s="0" t="s">
        <v>209</v>
      </c>
      <c r="EB76" s="0" t="s">
        <v>189</v>
      </c>
      <c r="EC76" s="0" t="s">
        <v>1018</v>
      </c>
      <c r="ED76" s="0" t="s">
        <v>2413</v>
      </c>
      <c r="EE76" s="0" t="s">
        <v>172</v>
      </c>
      <c r="EF76" s="0" t="n">
        <v>33</v>
      </c>
      <c r="EG76" s="0" t="s">
        <v>1322</v>
      </c>
      <c r="EH76" s="0" t="s">
        <v>164</v>
      </c>
      <c r="EI76" s="0" t="s">
        <v>2421</v>
      </c>
      <c r="EJ76" s="0" t="s">
        <v>221</v>
      </c>
      <c r="EK76" s="0" t="n">
        <v>0.2</v>
      </c>
      <c r="EL76" s="0" t="n">
        <v>43</v>
      </c>
      <c r="EM76" s="0" t="n">
        <v>5</v>
      </c>
      <c r="EN76" s="0" t="n">
        <v>11</v>
      </c>
      <c r="EO76" s="0" t="n">
        <v>7</v>
      </c>
      <c r="EP76" s="0" t="n">
        <v>15</v>
      </c>
      <c r="EQ76" s="0" t="n">
        <f aca="false">IF($A76="","",IF(AH76="exact",10,IF(AH76="adjacent",5,0)))</f>
        <v>0</v>
      </c>
      <c r="ER76" s="0" t="n">
        <f aca="false">IF($A76="","",IF(R76="Y",15,0))</f>
        <v>0</v>
      </c>
      <c r="ES76" s="0" t="s">
        <v>222</v>
      </c>
      <c r="EV76" s="0" t="s">
        <v>2422</v>
      </c>
      <c r="EW76" s="0" t="s">
        <v>224</v>
      </c>
      <c r="EX76" s="0" t="s">
        <v>2423</v>
      </c>
      <c r="EY76" s="0" t="s">
        <v>2424</v>
      </c>
      <c r="EZ76" s="0" t="s">
        <v>2425</v>
      </c>
      <c r="FA76" s="0" t="s">
        <v>2426</v>
      </c>
      <c r="FS76" s="0" t="str">
        <f aca="false">IF($A76="","",IF(ISNUMBER(MATCH(U76,{"queued","contacted","replied","call_booked","call_done","yes_in_principle","materials_sent"},0)),"Y","N"))</f>
        <v>N</v>
      </c>
      <c r="FT76" s="0" t="str">
        <f aca="false">IF($A76="","",IF(OR(T76="Y",U76="do_not_contact",AS76&amp;""&lt;&gt;""),"Y","N"))</f>
        <v>N</v>
      </c>
      <c r="FU76" s="0" t="str">
        <f aca="false">IF($A76="","",IF(AP76&amp;""&lt;&gt;"",AP76&amp;"",$A76))</f>
        <v>grp-C030-C151</v>
      </c>
      <c r="FV76" s="0" t="str">
        <f aca="false">IF($A76="","",IF(COUNTIFS($FU$2:$FU$1000,FU76,$FS$2:$FS$1000,"Y")+COUNTIFS($FU$2:$FU$1000,FU76,$FT$2:$FT$1000,"Y")&gt;0,"Y","N"))</f>
        <v>N</v>
      </c>
      <c r="FW76" s="0" t="str">
        <f aca="false">IF($A76="","",IF(AND(U76="new",T76="N",FT76="N",AT76="Y",FV76="N"),"Y","N"))</f>
        <v>N</v>
      </c>
      <c r="FX76" s="0" t="str">
        <f aca="false">IF($A76="","",IF(FW76&lt;&gt;"Y","N",IF(COUNTIFS($FU$2:$FU$1000,FU76,$FW$2:$FW$1000,"Y",$J$2:$J$1000,"&gt;"&amp;J76)+COUNTIFS($FU$2:$FU$1000,FU76,$FW$2:$FW$1000,"Y",$J$2:$J$1000,J76,$GD$2:$GD$1000,"&lt;"&amp;GD76)=0,"Y","N")))</f>
        <v>N</v>
      </c>
      <c r="FY76" s="0" t="str">
        <f aca="false">IF($A76="","",IF(AND(FW76="Y",FX76="Y",Y76&amp;""&lt;&gt;""),IF(Y76&lt;=10,"Y","N"),"N"))</f>
        <v>N</v>
      </c>
      <c r="FZ76" s="0" t="str">
        <f aca="false">IF(FY76="Y",Y76,"")</f>
        <v/>
      </c>
      <c r="GA76" s="0" t="str">
        <f aca="false">IF($A76="","",IF(AND(I76="walk-in",CN76="pass",U76="new",FT76="N",FV76="N",AQ76&lt;&gt;"Y"),"Y","N"))</f>
        <v>N</v>
      </c>
      <c r="GB76" s="0" t="str">
        <f aca="false">IF(GA76&lt;&gt;"Y","",IF(COUNTIFS($GA$2:$GA$1000,"Y",$J$2:$J$1000,"&gt;"&amp;J76)+COUNTIFS($GA$2:$GA$1000,"Y",$J$2:$J$1000,J76,$GD$2:$GD$1000,"&lt;"&amp;GD76)+1&lt;=25,COUNTIFS($GA$2:$GA$1000,"Y",$J$2:$J$1000,"&gt;"&amp;J76)+COUNTIFS($GA$2:$GA$1000,"Y",$J$2:$J$1000,J76,$GD$2:$GD$1000,"&lt;"&amp;GD76)+1,""))</f>
        <v/>
      </c>
      <c r="GC76" s="0" t="str">
        <f aca="false">IF(AND(_xlfn.ISFORMULA(C76),_xlfn.ISFORMULA(J76)),"Y","N")</f>
        <v>N</v>
      </c>
      <c r="GD76" s="0" t="n">
        <f aca="false">ROW()-1</f>
        <v>75</v>
      </c>
    </row>
    <row r="77" customFormat="false" ht="15" hidden="false" customHeight="false" outlineLevel="0" collapsed="false">
      <c r="A77" s="0" t="s">
        <v>2294</v>
      </c>
      <c r="B77" s="0" t="s">
        <v>2427</v>
      </c>
      <c r="C77" s="0" t="s">
        <v>2297</v>
      </c>
      <c r="D77" s="0" t="s">
        <v>2428</v>
      </c>
      <c r="E77" s="0" t="s">
        <v>2429</v>
      </c>
      <c r="F77" s="0" t="s">
        <v>2430</v>
      </c>
      <c r="G77" s="0" t="s">
        <v>189</v>
      </c>
      <c r="M77" s="0" t="s">
        <v>380</v>
      </c>
      <c r="R77" s="5"/>
      <c r="U77" s="5"/>
      <c r="V77" s="0" t="s">
        <v>380</v>
      </c>
      <c r="AE77" s="0" t="s">
        <v>2431</v>
      </c>
      <c r="AF77" s="0" t="s">
        <v>279</v>
      </c>
      <c r="AG77" s="0" t="s">
        <v>2298</v>
      </c>
      <c r="AH77" s="0" t="s">
        <v>2299</v>
      </c>
      <c r="AI77" s="0" t="s">
        <v>2302</v>
      </c>
      <c r="AJ77" s="0" t="s">
        <v>189</v>
      </c>
      <c r="AK77" s="0" t="s">
        <v>298</v>
      </c>
      <c r="AL77" s="0" t="s">
        <v>189</v>
      </c>
      <c r="AM77" s="0" t="n">
        <v>135</v>
      </c>
      <c r="AN77" s="0" t="s">
        <v>187</v>
      </c>
      <c r="AO77" s="0" t="s">
        <v>209</v>
      </c>
      <c r="AP77" s="0" t="s">
        <v>2432</v>
      </c>
      <c r="AQ77" s="5" t="s">
        <v>164</v>
      </c>
      <c r="AR77" s="0" t="s">
        <v>779</v>
      </c>
      <c r="AT77" s="0" t="str">
        <f aca="false">IF($A77="","",IF(AND(CN77="pass",AQ77&lt;&gt;"Y",C77&lt;&gt;"",OR(AX77&lt;&gt;"Y",AV77="Y")),"Y","N"))</f>
        <v>N</v>
      </c>
      <c r="AU77" s="0" t="str">
        <f aca="false">IF($A77="","",_xlfn.TEXTJOIN("; ",TRUE(),IF(CN77&lt;&gt;"pass","gated out",""),IF(AQ77="Y","on hold: "&amp;AR77,""),IF(C77="","no contact named on an opened page",""),IF(AND(AX77="Y",AV77&lt;&gt;"Y"),"Tuesday estimate band "&amp;L77&amp;": founder's call","")))</f>
        <v>on hold: lease signed, move not confirmed: check the lobby directory before outreach (B)</v>
      </c>
      <c r="AX77" s="0" t="s">
        <v>189</v>
      </c>
      <c r="AY77" s="0" t="s">
        <v>2433</v>
      </c>
      <c r="AZ77" s="0" t="s">
        <v>2434</v>
      </c>
      <c r="BA77" s="0" t="s">
        <v>2435</v>
      </c>
      <c r="BC77" s="0" t="str">
        <f aca="false">IF($A77="","",IFERROR(INDEX(Enrichment!$A$2:$GZ$2000,MATCH($A77,INDEX(Enrichment!$A$2:$GZ$2000,0,MATCH("row_id",Enrichment!$A$1:$GZ$1,0)),0),MATCH("work_email",Enrichment!$A$1:$GZ$1,0))&amp;"",""))</f>
        <v/>
      </c>
      <c r="BD77" s="0" t="str">
        <f aca="false">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none</v>
      </c>
      <c r="BE77" s="0" t="s">
        <v>168</v>
      </c>
      <c r="BF77" s="0" t="s">
        <v>283</v>
      </c>
      <c r="BG77" s="0" t="s">
        <v>284</v>
      </c>
      <c r="BH77" s="0" t="s">
        <v>2436</v>
      </c>
      <c r="BI77" s="0" t="s">
        <v>172</v>
      </c>
      <c r="BJ77" s="0" t="s">
        <v>301</v>
      </c>
      <c r="BK77" s="0" t="s">
        <v>2437</v>
      </c>
      <c r="BL77" s="0" t="s">
        <v>2438</v>
      </c>
      <c r="BQ77" s="0" t="str">
        <f aca="false">IF($A77="","",IFERROR(INDEX(Enrichment!$A$2:$GZ$2000,MATCH($A77,INDEX(Enrichment!$A$2:$GZ$2000,0,MATCH("row_id",Enrichment!$A$1:$GZ$1,0)),0),MATCH("backup_work_email",Enrichment!$A$1:$GZ$1,0))&amp;"",""))</f>
        <v/>
      </c>
      <c r="BR77" s="0" t="str">
        <f aca="false">IF($A77="","",IF(BQ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none</v>
      </c>
      <c r="BT77" s="0" t="s">
        <v>380</v>
      </c>
      <c r="BX77" s="0" t="s">
        <v>380</v>
      </c>
      <c r="BY77" s="0" t="s">
        <v>387</v>
      </c>
      <c r="BZ77" s="0" t="s">
        <v>388</v>
      </c>
      <c r="CA77" s="0" t="s">
        <v>2439</v>
      </c>
      <c r="CB77" s="0" t="s">
        <v>196</v>
      </c>
      <c r="CC77" s="0" t="s">
        <v>2440</v>
      </c>
      <c r="CD77" s="0" t="s">
        <v>2441</v>
      </c>
      <c r="CE77" s="0" t="s">
        <v>2442</v>
      </c>
      <c r="CF77" s="0" t="s">
        <v>352</v>
      </c>
      <c r="CM77" s="0" t="s">
        <v>164</v>
      </c>
      <c r="CN77" s="0" t="s">
        <v>200</v>
      </c>
      <c r="CO77" s="0" t="s">
        <v>201</v>
      </c>
      <c r="CP77" s="0" t="s">
        <v>1</v>
      </c>
      <c r="CQ77" s="0" t="s">
        <v>2443</v>
      </c>
      <c r="CR77" s="0" t="s">
        <v>2444</v>
      </c>
      <c r="CS77" s="0" t="s">
        <v>2445</v>
      </c>
      <c r="CT77" s="0" t="s">
        <v>2446</v>
      </c>
      <c r="CV77" s="0" t="s">
        <v>976</v>
      </c>
      <c r="CW77" s="0" t="s">
        <v>204</v>
      </c>
      <c r="CX77" s="0" t="s">
        <v>205</v>
      </c>
      <c r="CY77" s="0" t="s">
        <v>2447</v>
      </c>
      <c r="DA77" s="0" t="s">
        <v>978</v>
      </c>
      <c r="DB77" s="0" t="s">
        <v>259</v>
      </c>
      <c r="DC77" s="0" t="s">
        <v>164</v>
      </c>
      <c r="DD77" s="0" t="s">
        <v>209</v>
      </c>
      <c r="DE77" s="0" t="s">
        <v>2448</v>
      </c>
      <c r="DF77" s="0" t="s">
        <v>525</v>
      </c>
      <c r="DG77" s="0" t="n">
        <v>40.742654</v>
      </c>
      <c r="DH77" s="0" t="n">
        <v>-73.991559</v>
      </c>
      <c r="DI77" s="0" t="s">
        <v>164</v>
      </c>
      <c r="DJ77" s="0" t="n">
        <v>0</v>
      </c>
      <c r="DK77" s="0" t="s">
        <v>1114</v>
      </c>
      <c r="DL77" s="0" t="s">
        <v>1115</v>
      </c>
      <c r="DM77" s="0" t="s">
        <v>1678</v>
      </c>
      <c r="DN77" s="0" t="s">
        <v>1679</v>
      </c>
      <c r="DO77" s="0" t="s">
        <v>363</v>
      </c>
      <c r="DP77" s="0" t="s">
        <v>2449</v>
      </c>
      <c r="DQ77" s="0" t="s">
        <v>1885</v>
      </c>
      <c r="DS77" s="0" t="s">
        <v>809</v>
      </c>
      <c r="DT77" s="0" t="s">
        <v>209</v>
      </c>
      <c r="DU77" s="0" t="s">
        <v>189</v>
      </c>
      <c r="DX77" s="0" t="s">
        <v>267</v>
      </c>
      <c r="DY77" s="0" t="s">
        <v>1117</v>
      </c>
      <c r="EA77" s="0" t="s">
        <v>209</v>
      </c>
      <c r="EB77" s="0" t="s">
        <v>189</v>
      </c>
      <c r="EC77" s="0" t="s">
        <v>209</v>
      </c>
      <c r="EF77" s="0" t="n">
        <v>96</v>
      </c>
      <c r="EH77" s="0" t="s">
        <v>164</v>
      </c>
      <c r="EI77" s="0" t="s">
        <v>2450</v>
      </c>
      <c r="EJ77" s="0" t="s">
        <v>221</v>
      </c>
      <c r="EK77" s="0" t="n">
        <v>1</v>
      </c>
      <c r="EL77" s="0" t="n">
        <v>43</v>
      </c>
      <c r="EM77" s="0" t="n">
        <v>25</v>
      </c>
      <c r="EN77" s="0" t="n">
        <v>2</v>
      </c>
      <c r="EO77" s="0" t="n">
        <v>6</v>
      </c>
      <c r="EP77" s="0" t="n">
        <v>5</v>
      </c>
      <c r="EQ77" s="0" t="n">
        <f aca="false">IF($A77="","",IF(AH77="exact",10,IF(AH77="adjacent",5,0)))</f>
        <v>0</v>
      </c>
      <c r="ER77" s="0" t="n">
        <f aca="false">IF($A77="","",IF(R77="Y",15,0))</f>
        <v>0</v>
      </c>
      <c r="ES77" s="0" t="s">
        <v>982</v>
      </c>
      <c r="ET77" s="0" t="s">
        <v>983</v>
      </c>
      <c r="EU77" s="0" t="s">
        <v>189</v>
      </c>
      <c r="EV77" s="0" t="s">
        <v>2451</v>
      </c>
      <c r="EW77" s="0" t="s">
        <v>224</v>
      </c>
      <c r="EX77" s="0" t="s">
        <v>2452</v>
      </c>
      <c r="EZ77" s="0" t="s">
        <v>2453</v>
      </c>
      <c r="FS77" s="0" t="str">
        <f aca="false">IF($A77="","",IF(ISNUMBER(MATCH(U77,{"queued","contacted","replied","call_booked","call_done","yes_in_principle","materials_sent"},0)),"Y","N"))</f>
        <v>N</v>
      </c>
      <c r="FT77" s="0" t="str">
        <f aca="false">IF($A77="","",IF(OR(T77="Y",U77="do_not_contact",AS77&amp;""&lt;&gt;""),"Y","N"))</f>
        <v>N</v>
      </c>
      <c r="FU77" s="0" t="str">
        <f aca="false">IF($A77="","",IF(AP77&amp;""&lt;&gt;"",AP77&amp;"",$A77))</f>
        <v>AO-C-227</v>
      </c>
      <c r="FV77" s="0" t="str">
        <f aca="false">IF($A77="","",IF(COUNTIFS($FU$2:$FU$1000,FU77,$FS$2:$FS$1000,"Y")+COUNTIFS($FU$2:$FU$1000,FU77,$FT$2:$FT$1000,"Y")&gt;0,"Y","N"))</f>
        <v>N</v>
      </c>
      <c r="FW77" s="0" t="str">
        <f aca="false">IF($A77="","",IF(AND(U77="new",T77="N",FT77="N",AT77="Y",FV77="N"),"Y","N"))</f>
        <v>N</v>
      </c>
      <c r="FX77" s="0" t="str">
        <f aca="false">IF($A77="","",IF(FW77&lt;&gt;"Y","N",IF(COUNTIFS($FU$2:$FU$1000,FU77,$FW$2:$FW$1000,"Y",$J$2:$J$1000,"&gt;"&amp;J77)+COUNTIFS($FU$2:$FU$1000,FU77,$FW$2:$FW$1000,"Y",$J$2:$J$1000,J77,$GD$2:$GD$1000,"&lt;"&amp;GD77)=0,"Y","N")))</f>
        <v>N</v>
      </c>
      <c r="FY77" s="0" t="str">
        <f aca="false">IF($A77="","",IF(AND(FW77="Y",FX77="Y",Y77&amp;""&lt;&gt;""),IF(Y77&lt;=10,"Y","N"),"N"))</f>
        <v>N</v>
      </c>
      <c r="FZ77" s="0" t="str">
        <f aca="false">IF(FY77="Y",Y77,"")</f>
        <v/>
      </c>
      <c r="GA77" s="0" t="str">
        <f aca="false">IF($A77="","",IF(AND(I77="walk-in",CN77="pass",U77="new",FT77="N",FV77="N",AQ77&lt;&gt;"Y"),"Y","N"))</f>
        <v>N</v>
      </c>
      <c r="GB77" s="0" t="str">
        <f aca="false">IF(GA77&lt;&gt;"Y","",IF(COUNTIFS($GA$2:$GA$1000,"Y",$J$2:$J$1000,"&gt;"&amp;J77)+COUNTIFS($GA$2:$GA$1000,"Y",$J$2:$J$1000,J77,$GD$2:$GD$1000,"&lt;"&amp;GD77)+1&lt;=25,COUNTIFS($GA$2:$GA$1000,"Y",$J$2:$J$1000,"&gt;"&amp;J77)+COUNTIFS($GA$2:$GA$1000,"Y",$J$2:$J$1000,J77,$GD$2:$GD$1000,"&lt;"&amp;GD77)+1,""))</f>
        <v/>
      </c>
      <c r="GC77" s="0" t="str">
        <f aca="false">IF(AND(_xlfn.ISFORMULA(C77),_xlfn.ISFORMULA(J77)),"Y","N")</f>
        <v>N</v>
      </c>
      <c r="GD77" s="0" t="n">
        <f aca="false">ROW()-1</f>
        <v>76</v>
      </c>
    </row>
    <row r="78" customFormat="false" ht="15" hidden="false" customHeight="false" outlineLevel="0" collapsed="false">
      <c r="A78" s="0" t="s">
        <v>2317</v>
      </c>
      <c r="B78" s="0" t="s">
        <v>2454</v>
      </c>
      <c r="C78" s="0" t="s">
        <v>2320</v>
      </c>
      <c r="D78" s="0" t="s">
        <v>2455</v>
      </c>
      <c r="E78" s="0" t="s">
        <v>2456</v>
      </c>
      <c r="F78" s="0" t="s">
        <v>2430</v>
      </c>
      <c r="G78" s="0" t="s">
        <v>189</v>
      </c>
      <c r="M78" s="0" t="s">
        <v>380</v>
      </c>
      <c r="R78" s="5"/>
      <c r="U78" s="5"/>
      <c r="V78" s="0" t="s">
        <v>380</v>
      </c>
      <c r="AE78" s="0" t="s">
        <v>2058</v>
      </c>
      <c r="AF78" s="0" t="s">
        <v>2457</v>
      </c>
      <c r="AG78" s="0" t="s">
        <v>2321</v>
      </c>
      <c r="AH78" s="0" t="s">
        <v>2322</v>
      </c>
      <c r="AI78" s="0" t="s">
        <v>2324</v>
      </c>
      <c r="AJ78" s="0" t="s">
        <v>189</v>
      </c>
      <c r="AK78" s="0" t="s">
        <v>203</v>
      </c>
      <c r="AL78" s="0" t="s">
        <v>189</v>
      </c>
      <c r="AM78" s="0" t="n">
        <v>240</v>
      </c>
      <c r="AN78" s="0" t="s">
        <v>187</v>
      </c>
      <c r="AO78" s="0" t="s">
        <v>209</v>
      </c>
      <c r="AP78" s="0" t="s">
        <v>1484</v>
      </c>
      <c r="AQ78" s="5" t="s">
        <v>189</v>
      </c>
      <c r="AT78" s="0" t="str">
        <f aca="false">IF($A78="","",IF(AND(CN78="pass",AQ78&lt;&gt;"Y",C78&lt;&gt;"",OR(AX78&lt;&gt;"Y",AV78="Y")),"Y","N"))</f>
        <v>Y</v>
      </c>
      <c r="AU78" s="0" t="str">
        <f aca="false">IF($A78="","",_xlfn.TEXTJOIN("; ",TRUE(),IF(CN78&lt;&gt;"pass","gated out",""),IF(AQ78="Y","on hold: "&amp;AR78,""),IF(C78="","no contact named on an opened page",""),IF(AND(AX78="Y",AV78&lt;&gt;"Y"),"Tuesday estimate band "&amp;L78&amp;": founder's call","")))</f>
        <v/>
      </c>
      <c r="AX78" s="0" t="s">
        <v>189</v>
      </c>
      <c r="AY78" s="0" t="s">
        <v>1490</v>
      </c>
      <c r="AZ78" s="0" t="s">
        <v>542</v>
      </c>
      <c r="BA78" s="0" t="s">
        <v>1491</v>
      </c>
      <c r="BC78" s="0" t="str">
        <f aca="false">IF($A78="","",IFERROR(INDEX(Enrichment!$A$2:$GZ$2000,MATCH($A78,INDEX(Enrichment!$A$2:$GZ$2000,0,MATCH("row_id",Enrichment!$A$1:$GZ$1,0)),0),MATCH("work_email",Enrichment!$A$1:$GZ$1,0))&amp;"",""))</f>
        <v/>
      </c>
      <c r="BD78" s="0" t="str">
        <f aca="false">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none</v>
      </c>
      <c r="BE78" s="0" t="s">
        <v>168</v>
      </c>
      <c r="BF78" s="0" t="s">
        <v>283</v>
      </c>
      <c r="BG78" s="0" t="s">
        <v>284</v>
      </c>
      <c r="BH78" s="0" t="s">
        <v>1492</v>
      </c>
      <c r="BI78" s="0" t="s">
        <v>172</v>
      </c>
      <c r="BJ78" s="0" t="s">
        <v>301</v>
      </c>
      <c r="BK78" s="0" t="s">
        <v>2458</v>
      </c>
      <c r="BL78" s="0" t="s">
        <v>2459</v>
      </c>
      <c r="BQ78" s="0" t="str">
        <f aca="false">IF($A78="","",IFERROR(INDEX(Enrichment!$A$2:$GZ$2000,MATCH($A78,INDEX(Enrichment!$A$2:$GZ$2000,0,MATCH("row_id",Enrichment!$A$1:$GZ$1,0)),0),MATCH("backup_work_email",Enrichment!$A$1:$GZ$1,0))&amp;"",""))</f>
        <v/>
      </c>
      <c r="BR78" s="0" t="str">
        <f aca="false">IF($A78="","",IF(BQ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none</v>
      </c>
      <c r="BT78" s="0" t="s">
        <v>380</v>
      </c>
      <c r="BX78" s="0" t="s">
        <v>380</v>
      </c>
      <c r="BY78" s="0" t="s">
        <v>387</v>
      </c>
      <c r="BZ78" s="0" t="s">
        <v>388</v>
      </c>
      <c r="CA78" s="0" t="s">
        <v>2460</v>
      </c>
      <c r="CB78" s="0" t="s">
        <v>196</v>
      </c>
      <c r="CC78" s="0" t="s">
        <v>2461</v>
      </c>
      <c r="CD78" s="0" t="s">
        <v>2462</v>
      </c>
      <c r="CE78" s="0" t="s">
        <v>2463</v>
      </c>
      <c r="CF78" s="0" t="s">
        <v>352</v>
      </c>
      <c r="CM78" s="0" t="s">
        <v>164</v>
      </c>
      <c r="CN78" s="0" t="s">
        <v>200</v>
      </c>
      <c r="CO78" s="0" t="s">
        <v>201</v>
      </c>
      <c r="CP78" s="0" t="s">
        <v>1</v>
      </c>
      <c r="CQ78" s="0" t="s">
        <v>2464</v>
      </c>
      <c r="CR78" s="0" t="s">
        <v>1486</v>
      </c>
      <c r="CS78" s="0" t="s">
        <v>1494</v>
      </c>
      <c r="CT78" s="0" t="s">
        <v>1495</v>
      </c>
      <c r="CV78" s="0" t="s">
        <v>976</v>
      </c>
      <c r="CW78" s="0" t="s">
        <v>204</v>
      </c>
      <c r="CX78" s="0" t="s">
        <v>205</v>
      </c>
      <c r="CY78" s="0" t="s">
        <v>2465</v>
      </c>
      <c r="DA78" s="0" t="s">
        <v>978</v>
      </c>
      <c r="DB78" s="0" t="s">
        <v>259</v>
      </c>
      <c r="DC78" s="0" t="s">
        <v>164</v>
      </c>
      <c r="DD78" s="0" t="s">
        <v>209</v>
      </c>
      <c r="DE78" s="0" t="s">
        <v>1496</v>
      </c>
      <c r="DF78" s="0" t="s">
        <v>525</v>
      </c>
      <c r="DG78" s="0" t="n">
        <v>40.743288</v>
      </c>
      <c r="DH78" s="0" t="n">
        <v>-73.986627</v>
      </c>
      <c r="DI78" s="0" t="s">
        <v>164</v>
      </c>
      <c r="DJ78" s="0" t="n">
        <v>0</v>
      </c>
      <c r="DK78" s="0" t="s">
        <v>1859</v>
      </c>
      <c r="DL78" s="0" t="s">
        <v>1860</v>
      </c>
      <c r="DM78" s="0" t="s">
        <v>2465</v>
      </c>
      <c r="DN78" s="0" t="s">
        <v>263</v>
      </c>
      <c r="DO78" s="0" t="s">
        <v>651</v>
      </c>
      <c r="DP78" s="0" t="s">
        <v>2466</v>
      </c>
      <c r="DQ78" s="0" t="s">
        <v>2467</v>
      </c>
      <c r="DS78" s="0" t="s">
        <v>187</v>
      </c>
      <c r="DU78" s="0" t="s">
        <v>189</v>
      </c>
      <c r="DX78" s="0" t="s">
        <v>209</v>
      </c>
      <c r="EA78" s="0" t="s">
        <v>209</v>
      </c>
      <c r="EB78" s="0" t="s">
        <v>189</v>
      </c>
      <c r="EC78" s="0" t="s">
        <v>209</v>
      </c>
      <c r="EF78" s="0" t="n">
        <v>170</v>
      </c>
      <c r="EH78" s="0" t="s">
        <v>164</v>
      </c>
      <c r="EI78" s="0" t="s">
        <v>2468</v>
      </c>
      <c r="EJ78" s="0" t="s">
        <v>221</v>
      </c>
      <c r="EK78" s="0" t="n">
        <v>1</v>
      </c>
      <c r="EL78" s="0" t="n">
        <v>43</v>
      </c>
      <c r="EM78" s="0" t="n">
        <v>25</v>
      </c>
      <c r="EN78" s="0" t="n">
        <v>2</v>
      </c>
      <c r="EO78" s="0" t="n">
        <v>6</v>
      </c>
      <c r="EP78" s="0" t="n">
        <v>5</v>
      </c>
      <c r="EQ78" s="0" t="n">
        <f aca="false">IF($A78="","",IF(AH78="exact",10,IF(AH78="adjacent",5,0)))</f>
        <v>0</v>
      </c>
      <c r="ER78" s="0" t="n">
        <f aca="false">IF($A78="","",IF(R78="Y",15,0))</f>
        <v>0</v>
      </c>
      <c r="ES78" s="0" t="s">
        <v>982</v>
      </c>
      <c r="ET78" s="0" t="s">
        <v>983</v>
      </c>
      <c r="EU78" s="0" t="s">
        <v>189</v>
      </c>
      <c r="EV78" s="0" t="s">
        <v>2469</v>
      </c>
      <c r="EW78" s="0" t="s">
        <v>224</v>
      </c>
      <c r="EX78" s="0" t="s">
        <v>2470</v>
      </c>
      <c r="EZ78" s="0" t="s">
        <v>2471</v>
      </c>
      <c r="FS78" s="0" t="str">
        <f aca="false">IF($A78="","",IF(ISNUMBER(MATCH(U78,{"queued","contacted","replied","call_booked","call_done","yes_in_principle","materials_sent"},0)),"Y","N"))</f>
        <v>N</v>
      </c>
      <c r="FT78" s="0" t="str">
        <f aca="false">IF($A78="","",IF(OR(T78="Y",U78="do_not_contact",AS78&amp;""&lt;&gt;""),"Y","N"))</f>
        <v>N</v>
      </c>
      <c r="FU78" s="0" t="str">
        <f aca="false">IF($A78="","",IF(AP78&amp;""&lt;&gt;"",AP78&amp;"",$A78))</f>
        <v>AO-C-261</v>
      </c>
      <c r="FV78" s="0" t="str">
        <f aca="false">IF($A78="","",IF(COUNTIFS($FU$2:$FU$1000,FU78,$FS$2:$FS$1000,"Y")+COUNTIFS($FU$2:$FU$1000,FU78,$FT$2:$FT$1000,"Y")&gt;0,"Y","N"))</f>
        <v>N</v>
      </c>
      <c r="FW78" s="0" t="str">
        <f aca="false">IF($A78="","",IF(AND(U78="new",T78="N",FT78="N",AT78="Y",FV78="N"),"Y","N"))</f>
        <v>N</v>
      </c>
      <c r="FX78" s="0" t="str">
        <f aca="false">IF($A78="","",IF(FW78&lt;&gt;"Y","N",IF(COUNTIFS($FU$2:$FU$1000,FU78,$FW$2:$FW$1000,"Y",$J$2:$J$1000,"&gt;"&amp;J78)+COUNTIFS($FU$2:$FU$1000,FU78,$FW$2:$FW$1000,"Y",$J$2:$J$1000,J78,$GD$2:$GD$1000,"&lt;"&amp;GD78)=0,"Y","N")))</f>
        <v>N</v>
      </c>
      <c r="FY78" s="0" t="str">
        <f aca="false">IF($A78="","",IF(AND(FW78="Y",FX78="Y",Y78&amp;""&lt;&gt;""),IF(Y78&lt;=10,"Y","N"),"N"))</f>
        <v>N</v>
      </c>
      <c r="FZ78" s="0" t="str">
        <f aca="false">IF(FY78="Y",Y78,"")</f>
        <v/>
      </c>
      <c r="GA78" s="0" t="str">
        <f aca="false">IF($A78="","",IF(AND(I78="walk-in",CN78="pass",U78="new",FT78="N",FV78="N",AQ78&lt;&gt;"Y"),"Y","N"))</f>
        <v>N</v>
      </c>
      <c r="GB78" s="0" t="str">
        <f aca="false">IF(GA78&lt;&gt;"Y","",IF(COUNTIFS($GA$2:$GA$1000,"Y",$J$2:$J$1000,"&gt;"&amp;J78)+COUNTIFS($GA$2:$GA$1000,"Y",$J$2:$J$1000,J78,$GD$2:$GD$1000,"&lt;"&amp;GD78)+1&lt;=25,COUNTIFS($GA$2:$GA$1000,"Y",$J$2:$J$1000,"&gt;"&amp;J78)+COUNTIFS($GA$2:$GA$1000,"Y",$J$2:$J$1000,J78,$GD$2:$GD$1000,"&lt;"&amp;GD78)+1,""))</f>
        <v/>
      </c>
      <c r="GC78" s="0" t="str">
        <f aca="false">IF(AND(_xlfn.ISFORMULA(C78),_xlfn.ISFORMULA(J78)),"Y","N")</f>
        <v>N</v>
      </c>
      <c r="GD78" s="0" t="n">
        <f aca="false">ROW()-1</f>
        <v>77</v>
      </c>
    </row>
    <row r="79" customFormat="false" ht="15" hidden="false" customHeight="false" outlineLevel="0" collapsed="false">
      <c r="A79" s="0" t="s">
        <v>2355</v>
      </c>
      <c r="B79" s="0" t="s">
        <v>2472</v>
      </c>
      <c r="C79" s="0" t="s">
        <v>2360</v>
      </c>
      <c r="D79" s="0" t="s">
        <v>2473</v>
      </c>
      <c r="E79" s="0" t="s">
        <v>2474</v>
      </c>
      <c r="F79" s="0" t="s">
        <v>2475</v>
      </c>
      <c r="G79" s="0" t="s">
        <v>189</v>
      </c>
      <c r="M79" s="0" t="s">
        <v>380</v>
      </c>
      <c r="R79" s="5"/>
      <c r="U79" s="5"/>
      <c r="V79" s="0" t="s">
        <v>380</v>
      </c>
      <c r="AE79" s="0" t="s">
        <v>2476</v>
      </c>
      <c r="AF79" s="0" t="s">
        <v>209</v>
      </c>
      <c r="AG79" s="0" t="s">
        <v>2361</v>
      </c>
      <c r="AH79" s="0" t="s">
        <v>2362</v>
      </c>
      <c r="AI79" s="0" t="s">
        <v>2365</v>
      </c>
      <c r="AJ79" s="0" t="s">
        <v>189</v>
      </c>
      <c r="AK79" s="0" t="s">
        <v>355</v>
      </c>
      <c r="AL79" s="0" t="s">
        <v>189</v>
      </c>
      <c r="AM79" s="0" t="n">
        <v>112</v>
      </c>
      <c r="AN79" s="0" t="s">
        <v>187</v>
      </c>
      <c r="AO79" s="0" t="s">
        <v>512</v>
      </c>
      <c r="AP79" s="0" t="s">
        <v>2477</v>
      </c>
      <c r="AQ79" s="5" t="s">
        <v>189</v>
      </c>
      <c r="AT79" s="0" t="str">
        <f aca="false">IF($A79="","",IF(AND(CN79="pass",AQ79&lt;&gt;"Y",C79&lt;&gt;"",OR(AX79&lt;&gt;"Y",AV79="Y")),"Y","N"))</f>
        <v>Y</v>
      </c>
      <c r="AU79" s="0" t="str">
        <f aca="false">IF($A79="","",_xlfn.TEXTJOIN("; ",TRUE(),IF(CN79&lt;&gt;"pass","gated out",""),IF(AQ79="Y","on hold: "&amp;AR79,""),IF(C79="","no contact named on an opened page",""),IF(AND(AX79="Y",AV79&lt;&gt;"Y"),"Tuesday estimate band "&amp;L79&amp;": founder's call","")))</f>
        <v/>
      </c>
      <c r="AX79" s="0" t="s">
        <v>189</v>
      </c>
      <c r="BC79" s="0" t="str">
        <f aca="false">IF($A79="","",IFERROR(INDEX(Enrichment!$A$2:$GZ$2000,MATCH($A79,INDEX(Enrichment!$A$2:$GZ$2000,0,MATCH("row_id",Enrichment!$A$1:$GZ$1,0)),0),MATCH("work_email",Enrichment!$A$1:$GZ$1,0))&amp;"",""))</f>
        <v/>
      </c>
      <c r="BD79" s="0" t="str">
        <f aca="false">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none</v>
      </c>
      <c r="BF79" s="0" t="s">
        <v>380</v>
      </c>
      <c r="BJ79" s="0" t="s">
        <v>380</v>
      </c>
      <c r="BL79" s="0" t="s">
        <v>896</v>
      </c>
      <c r="BQ79" s="0" t="str">
        <f aca="false">IF($A79="","",IFERROR(INDEX(Enrichment!$A$2:$GZ$2000,MATCH($A79,INDEX(Enrichment!$A$2:$GZ$2000,0,MATCH("row_id",Enrichment!$A$1:$GZ$1,0)),0),MATCH("backup_work_email",Enrichment!$A$1:$GZ$1,0))&amp;"",""))</f>
        <v/>
      </c>
      <c r="BR79" s="0" t="str">
        <f aca="false">IF($A79="","",IF(BQ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none</v>
      </c>
      <c r="BT79" s="0" t="s">
        <v>380</v>
      </c>
      <c r="BX79" s="0" t="s">
        <v>380</v>
      </c>
      <c r="BY79" s="0" t="s">
        <v>387</v>
      </c>
      <c r="BZ79" s="0" t="s">
        <v>388</v>
      </c>
      <c r="CA79" s="0" t="s">
        <v>2478</v>
      </c>
      <c r="CB79" s="0" t="s">
        <v>196</v>
      </c>
      <c r="CM79" s="0" t="s">
        <v>189</v>
      </c>
      <c r="CN79" s="0" t="s">
        <v>200</v>
      </c>
      <c r="CO79" s="0" t="s">
        <v>201</v>
      </c>
      <c r="CP79" s="0" t="s">
        <v>1</v>
      </c>
      <c r="CQ79" s="0" t="s">
        <v>2479</v>
      </c>
      <c r="CR79" s="0" t="s">
        <v>2480</v>
      </c>
      <c r="CS79" s="0" t="s">
        <v>2481</v>
      </c>
      <c r="CT79" s="0" t="s">
        <v>1856</v>
      </c>
      <c r="CV79" s="0" t="s">
        <v>976</v>
      </c>
      <c r="CW79" s="0" t="s">
        <v>204</v>
      </c>
      <c r="CX79" s="0" t="s">
        <v>205</v>
      </c>
      <c r="CY79" s="0" t="s">
        <v>2482</v>
      </c>
      <c r="DA79" s="0" t="s">
        <v>1351</v>
      </c>
      <c r="DB79" s="0" t="s">
        <v>259</v>
      </c>
      <c r="DC79" s="0" t="s">
        <v>164</v>
      </c>
      <c r="DD79" s="0" t="s">
        <v>209</v>
      </c>
      <c r="DE79" s="0" t="s">
        <v>2483</v>
      </c>
      <c r="DF79" s="0" t="s">
        <v>210</v>
      </c>
      <c r="DG79" s="0" t="n">
        <v>40.734305</v>
      </c>
      <c r="DH79" s="0" t="n">
        <v>-73.991059</v>
      </c>
      <c r="DI79" s="0" t="s">
        <v>164</v>
      </c>
      <c r="DJ79" s="0" t="n">
        <v>0</v>
      </c>
      <c r="DK79" s="0" t="s">
        <v>1542</v>
      </c>
      <c r="DL79" s="0" t="s">
        <v>1543</v>
      </c>
      <c r="DM79" s="0" t="s">
        <v>1544</v>
      </c>
      <c r="DN79" s="0" t="s">
        <v>1545</v>
      </c>
      <c r="DO79" s="0" t="s">
        <v>363</v>
      </c>
      <c r="DS79" s="0" t="s">
        <v>187</v>
      </c>
      <c r="DU79" s="0" t="s">
        <v>189</v>
      </c>
      <c r="DX79" s="0" t="s">
        <v>267</v>
      </c>
      <c r="DY79" s="0" t="s">
        <v>1548</v>
      </c>
      <c r="EA79" s="0" t="s">
        <v>209</v>
      </c>
      <c r="EB79" s="0" t="s">
        <v>189</v>
      </c>
      <c r="EC79" s="0" t="s">
        <v>1018</v>
      </c>
      <c r="ED79" s="0" t="s">
        <v>2484</v>
      </c>
      <c r="EE79" s="0" t="s">
        <v>172</v>
      </c>
      <c r="EF79" s="0" t="n">
        <v>79</v>
      </c>
      <c r="EH79" s="0" t="s">
        <v>164</v>
      </c>
      <c r="EI79" s="0" t="s">
        <v>2485</v>
      </c>
      <c r="EJ79" s="0" t="s">
        <v>221</v>
      </c>
      <c r="EK79" s="0" t="n">
        <v>1</v>
      </c>
      <c r="EL79" s="0" t="n">
        <v>43</v>
      </c>
      <c r="EM79" s="0" t="n">
        <v>25</v>
      </c>
      <c r="EN79" s="0" t="n">
        <v>6</v>
      </c>
      <c r="EO79" s="0" t="n">
        <v>7</v>
      </c>
      <c r="EP79" s="0" t="n">
        <v>5</v>
      </c>
      <c r="EQ79" s="0" t="n">
        <f aca="false">IF($A79="","",IF(AH79="exact",10,IF(AH79="adjacent",5,0)))</f>
        <v>0</v>
      </c>
      <c r="ER79" s="0" t="n">
        <f aca="false">IF($A79="","",IF(R79="Y",15,0))</f>
        <v>0</v>
      </c>
      <c r="ES79" s="0" t="s">
        <v>982</v>
      </c>
      <c r="ET79" s="0" t="s">
        <v>1360</v>
      </c>
      <c r="EU79" s="0" t="s">
        <v>189</v>
      </c>
      <c r="EV79" s="0" t="s">
        <v>2486</v>
      </c>
      <c r="EW79" s="0" t="s">
        <v>224</v>
      </c>
      <c r="EX79" s="0" t="s">
        <v>2487</v>
      </c>
      <c r="EZ79" s="0" t="s">
        <v>2488</v>
      </c>
      <c r="FS79" s="0" t="str">
        <f aca="false">IF($A79="","",IF(ISNUMBER(MATCH(U79,{"queued","contacted","replied","call_booked","call_done","yes_in_principle","materials_sent"},0)),"Y","N"))</f>
        <v>N</v>
      </c>
      <c r="FT79" s="0" t="str">
        <f aca="false">IF($A79="","",IF(OR(T79="Y",U79="do_not_contact",AS79&amp;""&lt;&gt;""),"Y","N"))</f>
        <v>N</v>
      </c>
      <c r="FU79" s="0" t="str">
        <f aca="false">IF($A79="","",IF(AP79&amp;""&lt;&gt;"",AP79&amp;"",$A79))</f>
        <v>AO-C-179</v>
      </c>
      <c r="FV79" s="0" t="str">
        <f aca="false">IF($A79="","",IF(COUNTIFS($FU$2:$FU$1000,FU79,$FS$2:$FS$1000,"Y")+COUNTIFS($FU$2:$FU$1000,FU79,$FT$2:$FT$1000,"Y")&gt;0,"Y","N"))</f>
        <v>N</v>
      </c>
      <c r="FW79" s="0" t="str">
        <f aca="false">IF($A79="","",IF(AND(U79="new",T79="N",FT79="N",AT79="Y",FV79="N"),"Y","N"))</f>
        <v>N</v>
      </c>
      <c r="FX79" s="0" t="str">
        <f aca="false">IF($A79="","",IF(FW79&lt;&gt;"Y","N",IF(COUNTIFS($FU$2:$FU$1000,FU79,$FW$2:$FW$1000,"Y",$J$2:$J$1000,"&gt;"&amp;J79)+COUNTIFS($FU$2:$FU$1000,FU79,$FW$2:$FW$1000,"Y",$J$2:$J$1000,J79,$GD$2:$GD$1000,"&lt;"&amp;GD79)=0,"Y","N")))</f>
        <v>N</v>
      </c>
      <c r="FY79" s="0" t="str">
        <f aca="false">IF($A79="","",IF(AND(FW79="Y",FX79="Y",Y79&amp;""&lt;&gt;""),IF(Y79&lt;=10,"Y","N"),"N"))</f>
        <v>N</v>
      </c>
      <c r="FZ79" s="0" t="str">
        <f aca="false">IF(FY79="Y",Y79,"")</f>
        <v/>
      </c>
      <c r="GA79" s="0" t="str">
        <f aca="false">IF($A79="","",IF(AND(I79="walk-in",CN79="pass",U79="new",FT79="N",FV79="N",AQ79&lt;&gt;"Y"),"Y","N"))</f>
        <v>N</v>
      </c>
      <c r="GB79" s="0" t="str">
        <f aca="false">IF(GA79&lt;&gt;"Y","",IF(COUNTIFS($GA$2:$GA$1000,"Y",$J$2:$J$1000,"&gt;"&amp;J79)+COUNTIFS($GA$2:$GA$1000,"Y",$J$2:$J$1000,J79,$GD$2:$GD$1000,"&lt;"&amp;GD79)+1&lt;=25,COUNTIFS($GA$2:$GA$1000,"Y",$J$2:$J$1000,"&gt;"&amp;J79)+COUNTIFS($GA$2:$GA$1000,"Y",$J$2:$J$1000,J79,$GD$2:$GD$1000,"&lt;"&amp;GD79)+1,""))</f>
        <v/>
      </c>
      <c r="GC79" s="0" t="str">
        <f aca="false">IF(AND(_xlfn.ISFORMULA(C79),_xlfn.ISFORMULA(J79)),"Y","N")</f>
        <v>N</v>
      </c>
      <c r="GD79" s="0" t="n">
        <f aca="false">ROW()-1</f>
        <v>78</v>
      </c>
    </row>
    <row r="80" customFormat="false" ht="15" hidden="false" customHeight="false" outlineLevel="0" collapsed="false">
      <c r="A80" s="0" t="s">
        <v>2489</v>
      </c>
      <c r="B80" s="0" t="s">
        <v>2490</v>
      </c>
      <c r="C80" s="0" t="s">
        <v>2409</v>
      </c>
      <c r="D80" s="0" t="s">
        <v>2491</v>
      </c>
      <c r="E80" s="0" t="s">
        <v>1263</v>
      </c>
      <c r="F80" s="0" t="s">
        <v>1489</v>
      </c>
      <c r="G80" s="0" t="s">
        <v>189</v>
      </c>
      <c r="H80" s="0" t="s">
        <v>2396</v>
      </c>
      <c r="I80" s="0" t="s">
        <v>2397</v>
      </c>
      <c r="J80" s="0" t="s">
        <v>772</v>
      </c>
      <c r="L80" s="0" t="s">
        <v>168</v>
      </c>
      <c r="M80" s="0" t="s">
        <v>169</v>
      </c>
      <c r="N80" s="0" t="s">
        <v>170</v>
      </c>
      <c r="O80" s="0" t="s">
        <v>2398</v>
      </c>
      <c r="P80" s="0" t="s">
        <v>172</v>
      </c>
      <c r="Q80" s="0" t="s">
        <v>2400</v>
      </c>
      <c r="R80" s="5" t="s">
        <v>2401</v>
      </c>
      <c r="S80" s="0" t="s">
        <v>862</v>
      </c>
      <c r="U80" s="5" t="s">
        <v>176</v>
      </c>
      <c r="V80" s="0" t="s">
        <v>169</v>
      </c>
      <c r="W80" s="0" t="s">
        <v>170</v>
      </c>
      <c r="X80" s="0" t="s">
        <v>2398</v>
      </c>
      <c r="Y80" s="0" t="s">
        <v>172</v>
      </c>
      <c r="Z80" s="0" t="s">
        <v>2406</v>
      </c>
      <c r="AB80" s="0" t="s">
        <v>2407</v>
      </c>
      <c r="AC80" s="0" t="s">
        <v>425</v>
      </c>
      <c r="AE80" s="0" t="s">
        <v>2417</v>
      </c>
      <c r="AF80" s="0" t="s">
        <v>231</v>
      </c>
      <c r="AG80" s="0" t="s">
        <v>2410</v>
      </c>
      <c r="AH80" s="0" t="s">
        <v>2411</v>
      </c>
      <c r="AI80" s="0" t="s">
        <v>2415</v>
      </c>
      <c r="AJ80" s="0" t="s">
        <v>189</v>
      </c>
      <c r="AK80" s="0" t="s">
        <v>1794</v>
      </c>
      <c r="AL80" s="0" t="s">
        <v>164</v>
      </c>
      <c r="AM80" s="0" t="n">
        <v>405</v>
      </c>
      <c r="AN80" s="0" t="s">
        <v>187</v>
      </c>
      <c r="AO80" s="0" t="s">
        <v>188</v>
      </c>
      <c r="AP80" s="0" t="s">
        <v>2492</v>
      </c>
      <c r="AQ80" s="5" t="s">
        <v>164</v>
      </c>
      <c r="AR80" s="0" t="s">
        <v>779</v>
      </c>
      <c r="AT80" s="0" t="str">
        <f aca="false">IF($A80="","",IF(AND(CN80="pass",AQ80&lt;&gt;"Y",C80&lt;&gt;"",OR(AX80&lt;&gt;"Y",AV80="Y")),"Y","N"))</f>
        <v>N</v>
      </c>
      <c r="AU80" s="0" t="str">
        <f aca="false">IF($A80="","",_xlfn.TEXTJOIN("; ",TRUE(),IF(CN80&lt;&gt;"pass","gated out",""),IF(AQ80="Y","on hold: "&amp;AR80,""),IF(C80="","no contact named on an opened page",""),IF(AND(AX80="Y",AV80&lt;&gt;"Y"),"Tuesday estimate band "&amp;L80&amp;": founder's call","")))</f>
        <v>on hold: lease signed, move not confirmed: check the lobby directory before outreach (B)</v>
      </c>
      <c r="AX80" s="0" t="s">
        <v>189</v>
      </c>
      <c r="BC80" s="0" t="str">
        <f aca="false">IF($A80="","",IFERROR(INDEX(Enrichment!$A$2:$GZ$2000,MATCH($A80,INDEX(Enrichment!$A$2:$GZ$2000,0,MATCH("row_id",Enrichment!$A$1:$GZ$1,0)),0),MATCH("work_email",Enrichment!$A$1:$GZ$1,0))&amp;"",""))</f>
        <v/>
      </c>
      <c r="BD80" s="0" t="str">
        <f aca="false">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none</v>
      </c>
      <c r="BF80" s="0" t="s">
        <v>380</v>
      </c>
      <c r="BJ80" s="0" t="s">
        <v>380</v>
      </c>
      <c r="BL80" s="0" t="s">
        <v>896</v>
      </c>
      <c r="BQ80" s="0" t="str">
        <f aca="false">IF($A80="","",IFERROR(INDEX(Enrichment!$A$2:$GZ$2000,MATCH($A80,INDEX(Enrichment!$A$2:$GZ$2000,0,MATCH("row_id",Enrichment!$A$1:$GZ$1,0)),0),MATCH("backup_work_email",Enrichment!$A$1:$GZ$1,0))&amp;"",""))</f>
        <v/>
      </c>
      <c r="BR80" s="0" t="str">
        <f aca="false">IF($A80="","",IF(BQ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none</v>
      </c>
      <c r="BT80" s="0" t="s">
        <v>380</v>
      </c>
      <c r="BX80" s="0" t="s">
        <v>380</v>
      </c>
      <c r="BY80" s="0" t="s">
        <v>387</v>
      </c>
      <c r="BZ80" s="0" t="s">
        <v>388</v>
      </c>
      <c r="CA80" s="0" t="s">
        <v>2493</v>
      </c>
      <c r="CB80" s="0" t="s">
        <v>196</v>
      </c>
      <c r="CM80" s="0" t="s">
        <v>189</v>
      </c>
      <c r="CN80" s="0" t="s">
        <v>200</v>
      </c>
      <c r="CO80" s="0" t="s">
        <v>201</v>
      </c>
      <c r="CP80" s="0" t="s">
        <v>1</v>
      </c>
      <c r="CQ80" s="0" t="s">
        <v>2494</v>
      </c>
      <c r="CR80" s="0" t="s">
        <v>2495</v>
      </c>
      <c r="CS80" s="0" t="s">
        <v>2496</v>
      </c>
      <c r="CT80" s="0" t="s">
        <v>2497</v>
      </c>
      <c r="CU80" s="0" t="s">
        <v>2498</v>
      </c>
      <c r="CV80" s="0" t="s">
        <v>976</v>
      </c>
      <c r="CW80" s="0" t="s">
        <v>204</v>
      </c>
      <c r="CX80" s="0" t="s">
        <v>1348</v>
      </c>
      <c r="CY80" s="0" t="s">
        <v>2499</v>
      </c>
      <c r="CZ80" s="0" t="s">
        <v>2500</v>
      </c>
      <c r="DA80" s="0" t="s">
        <v>1351</v>
      </c>
      <c r="DB80" s="0" t="s">
        <v>259</v>
      </c>
      <c r="DC80" s="0" t="s">
        <v>164</v>
      </c>
      <c r="DD80" s="0" t="s">
        <v>209</v>
      </c>
      <c r="DE80" s="0" t="s">
        <v>2501</v>
      </c>
      <c r="DF80" s="0" t="s">
        <v>525</v>
      </c>
      <c r="DG80" s="0" t="n">
        <v>40.741761</v>
      </c>
      <c r="DH80" s="0" t="n">
        <v>-73.987033</v>
      </c>
      <c r="DI80" s="0" t="s">
        <v>164</v>
      </c>
      <c r="DJ80" s="0" t="n">
        <v>0</v>
      </c>
      <c r="DK80" s="0" t="s">
        <v>2502</v>
      </c>
      <c r="DL80" s="0" t="s">
        <v>2503</v>
      </c>
      <c r="DM80" s="0" t="s">
        <v>2504</v>
      </c>
      <c r="DN80" s="0" t="s">
        <v>676</v>
      </c>
      <c r="DO80" s="0" t="s">
        <v>363</v>
      </c>
      <c r="DP80" s="0" t="s">
        <v>2505</v>
      </c>
      <c r="DQ80" s="0" t="s">
        <v>2506</v>
      </c>
      <c r="DS80" s="0" t="s">
        <v>809</v>
      </c>
      <c r="DT80" s="0" t="s">
        <v>209</v>
      </c>
      <c r="DU80" s="0" t="s">
        <v>189</v>
      </c>
      <c r="DX80" s="0" t="s">
        <v>2507</v>
      </c>
      <c r="DY80" s="0" t="s">
        <v>2508</v>
      </c>
      <c r="EA80" s="0" t="s">
        <v>209</v>
      </c>
      <c r="EB80" s="0" t="s">
        <v>189</v>
      </c>
      <c r="EC80" s="0" t="s">
        <v>218</v>
      </c>
      <c r="ED80" s="0" t="s">
        <v>2500</v>
      </c>
      <c r="EE80" s="0" t="s">
        <v>172</v>
      </c>
      <c r="EF80" s="0" t="n">
        <v>105</v>
      </c>
      <c r="EG80" s="0" t="s">
        <v>945</v>
      </c>
      <c r="EH80" s="0" t="s">
        <v>189</v>
      </c>
      <c r="EI80" s="0" t="s">
        <v>2509</v>
      </c>
      <c r="EJ80" s="0" t="s">
        <v>221</v>
      </c>
      <c r="EK80" s="0" t="n">
        <v>0.68</v>
      </c>
      <c r="EL80" s="0" t="n">
        <v>42.9</v>
      </c>
      <c r="EM80" s="0" t="n">
        <v>16.9</v>
      </c>
      <c r="EN80" s="0" t="n">
        <v>6</v>
      </c>
      <c r="EO80" s="0" t="n">
        <v>15</v>
      </c>
      <c r="EP80" s="0" t="n">
        <v>5</v>
      </c>
      <c r="EQ80" s="0" t="n">
        <f aca="false">IF($A80="","",IF(AH80="exact",10,IF(AH80="adjacent",5,0)))</f>
        <v>0</v>
      </c>
      <c r="ER80" s="0" t="n">
        <f aca="false">IF($A80="","",IF(R80="Y",15,0))</f>
        <v>0</v>
      </c>
      <c r="ES80" s="0" t="s">
        <v>982</v>
      </c>
      <c r="ET80" s="0" t="s">
        <v>1360</v>
      </c>
      <c r="EU80" s="0" t="s">
        <v>189</v>
      </c>
      <c r="EV80" s="0" t="s">
        <v>2510</v>
      </c>
      <c r="EW80" s="0" t="s">
        <v>224</v>
      </c>
      <c r="EX80" s="0" t="s">
        <v>2511</v>
      </c>
      <c r="EZ80" s="0" t="s">
        <v>2512</v>
      </c>
      <c r="FS80" s="0" t="str">
        <f aca="false">IF($A80="","",IF(ISNUMBER(MATCH(U80,{"queued","contacted","replied","call_booked","call_done","yes_in_principle","materials_sent"},0)),"Y","N"))</f>
        <v>N</v>
      </c>
      <c r="FT80" s="0" t="str">
        <f aca="false">IF($A80="","",IF(OR(T80="Y",U80="do_not_contact",AS80&amp;""&lt;&gt;""),"Y","N"))</f>
        <v>N</v>
      </c>
      <c r="FU80" s="0" t="str">
        <f aca="false">IF($A80="","",IF(AP80&amp;""&lt;&gt;"",AP80&amp;"",$A80))</f>
        <v>AO-C-103</v>
      </c>
      <c r="FV80" s="0" t="str">
        <f aca="false">IF($A80="","",IF(COUNTIFS($FU$2:$FU$1000,FU80,$FS$2:$FS$1000,"Y")+COUNTIFS($FU$2:$FU$1000,FU80,$FT$2:$FT$1000,"Y")&gt;0,"Y","N"))</f>
        <v>N</v>
      </c>
      <c r="FW80" s="0" t="str">
        <f aca="false">IF($A80="","",IF(AND(U80="new",T80="N",FT80="N",AT80="Y",FV80="N"),"Y","N"))</f>
        <v>N</v>
      </c>
      <c r="FX80" s="0" t="str">
        <f aca="false">IF($A80="","",IF(FW80&lt;&gt;"Y","N",IF(COUNTIFS($FU$2:$FU$1000,FU80,$FW$2:$FW$1000,"Y",$J$2:$J$1000,"&gt;"&amp;J80)+COUNTIFS($FU$2:$FU$1000,FU80,$FW$2:$FW$1000,"Y",$J$2:$J$1000,J80,$GD$2:$GD$1000,"&lt;"&amp;GD80)=0,"Y","N")))</f>
        <v>N</v>
      </c>
      <c r="FY80" s="0" t="str">
        <f aca="false">IF($A80="","",IF(AND(FW80="Y",FX80="Y",Y80&amp;""&lt;&gt;""),IF(Y80&lt;=10,"Y","N"),"N"))</f>
        <v>N</v>
      </c>
      <c r="FZ80" s="0" t="str">
        <f aca="false">IF(FY80="Y",Y80,"")</f>
        <v/>
      </c>
      <c r="GA80" s="0" t="str">
        <f aca="false">IF($A80="","",IF(AND(I80="walk-in",CN80="pass",U80="new",FT80="N",FV80="N",AQ80&lt;&gt;"Y"),"Y","N"))</f>
        <v>N</v>
      </c>
      <c r="GB80" s="0" t="str">
        <f aca="false">IF(GA80&lt;&gt;"Y","",IF(COUNTIFS($GA$2:$GA$1000,"Y",$J$2:$J$1000,"&gt;"&amp;J80)+COUNTIFS($GA$2:$GA$1000,"Y",$J$2:$J$1000,J80,$GD$2:$GD$1000,"&lt;"&amp;GD80)+1&lt;=25,COUNTIFS($GA$2:$GA$1000,"Y",$J$2:$J$1000,"&gt;"&amp;J80)+COUNTIFS($GA$2:$GA$1000,"Y",$J$2:$J$1000,J80,$GD$2:$GD$1000,"&lt;"&amp;GD80)+1,""))</f>
        <v/>
      </c>
      <c r="GC80" s="0" t="str">
        <f aca="false">IF(AND(_xlfn.ISFORMULA(C80),_xlfn.ISFORMULA(J80)),"Y","N")</f>
        <v>N</v>
      </c>
      <c r="GD80" s="0" t="n">
        <f aca="false">ROW()-1</f>
        <v>79</v>
      </c>
    </row>
    <row r="81" customFormat="false" ht="15" hidden="false" customHeight="false" outlineLevel="0" collapsed="false">
      <c r="A81" s="0" t="s">
        <v>2432</v>
      </c>
      <c r="B81" s="0" t="s">
        <v>2513</v>
      </c>
      <c r="C81" s="0" t="s">
        <v>2444</v>
      </c>
      <c r="D81" s="0" t="s">
        <v>2514</v>
      </c>
      <c r="E81" s="0" t="s">
        <v>1318</v>
      </c>
      <c r="F81" s="0" t="s">
        <v>1489</v>
      </c>
      <c r="G81" s="0" t="s">
        <v>189</v>
      </c>
      <c r="H81" s="0" t="s">
        <v>2433</v>
      </c>
      <c r="I81" s="0" t="s">
        <v>2434</v>
      </c>
      <c r="J81" s="0" t="s">
        <v>2435</v>
      </c>
      <c r="L81" s="0" t="s">
        <v>168</v>
      </c>
      <c r="M81" s="0" t="s">
        <v>283</v>
      </c>
      <c r="N81" s="0" t="s">
        <v>284</v>
      </c>
      <c r="O81" s="0" t="s">
        <v>2436</v>
      </c>
      <c r="P81" s="0" t="s">
        <v>172</v>
      </c>
      <c r="R81" s="5"/>
      <c r="U81" s="5"/>
      <c r="V81" s="0" t="s">
        <v>380</v>
      </c>
      <c r="AE81" s="0" t="s">
        <v>925</v>
      </c>
      <c r="AF81" s="0" t="s">
        <v>494</v>
      </c>
      <c r="AG81" s="0" t="s">
        <v>2445</v>
      </c>
      <c r="AH81" s="0" t="s">
        <v>2446</v>
      </c>
      <c r="AI81" s="0" t="s">
        <v>2448</v>
      </c>
      <c r="AJ81" s="0" t="s">
        <v>189</v>
      </c>
      <c r="AK81" s="0" t="s">
        <v>186</v>
      </c>
      <c r="AL81" s="0" t="s">
        <v>164</v>
      </c>
      <c r="AM81" s="0" t="n">
        <v>88</v>
      </c>
      <c r="AN81" s="0" t="s">
        <v>187</v>
      </c>
      <c r="AO81" s="0" t="s">
        <v>188</v>
      </c>
      <c r="AP81" s="0" t="s">
        <v>2515</v>
      </c>
      <c r="AQ81" s="5" t="s">
        <v>189</v>
      </c>
      <c r="AT81" s="0" t="str">
        <f aca="false">IF($A81="","",IF(AND(CN81="pass",AQ81&lt;&gt;"Y",C81&lt;&gt;"",OR(AX81&lt;&gt;"Y",AV81="Y")),"Y","N"))</f>
        <v>N</v>
      </c>
      <c r="AU81" s="0" t="str">
        <f aca="false">IF($A81="","",_xlfn.TEXTJOIN("; ",TRUE(),IF(CN81&lt;&gt;"pass","gated out",""),IF(AQ81="Y","on hold: "&amp;AR81,""),IF(C81="","no contact named on an opened page",""),IF(AND(AX81="Y",AV81&lt;&gt;"Y"),"Tuesday estimate band "&amp;L81&amp;": founder's call","")))</f>
        <v>Tuesday estimate band pantry or office lead (primary): founder's call</v>
      </c>
      <c r="AX81" s="0" t="s">
        <v>164</v>
      </c>
      <c r="BC81" s="0" t="str">
        <f aca="false">IF($A81="","",IFERROR(INDEX(Enrichment!$A$2:$GZ$2000,MATCH($A81,INDEX(Enrichment!$A$2:$GZ$2000,0,MATCH("row_id",Enrichment!$A$1:$GZ$1,0)),0),MATCH("work_email",Enrichment!$A$1:$GZ$1,0))&amp;"",""))</f>
        <v/>
      </c>
      <c r="BD81" s="0" t="str">
        <f aca="false">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none</v>
      </c>
      <c r="BF81" s="0" t="s">
        <v>380</v>
      </c>
      <c r="BJ81" s="0" t="s">
        <v>380</v>
      </c>
      <c r="BK81" s="0" t="s">
        <v>2194</v>
      </c>
      <c r="BL81" s="0" t="s">
        <v>896</v>
      </c>
      <c r="BQ81" s="0" t="str">
        <f aca="false">IF($A81="","",IFERROR(INDEX(Enrichment!$A$2:$GZ$2000,MATCH($A81,INDEX(Enrichment!$A$2:$GZ$2000,0,MATCH("row_id",Enrichment!$A$1:$GZ$1,0)),0),MATCH("backup_work_email",Enrichment!$A$1:$GZ$1,0))&amp;"",""))</f>
        <v/>
      </c>
      <c r="BR81" s="0" t="str">
        <f aca="false">IF($A81="","",IF(BQ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none</v>
      </c>
      <c r="BT81" s="0" t="s">
        <v>380</v>
      </c>
      <c r="BX81" s="0" t="s">
        <v>380</v>
      </c>
      <c r="BY81" s="0" t="s">
        <v>1769</v>
      </c>
      <c r="BZ81" s="0" t="s">
        <v>388</v>
      </c>
      <c r="CA81" s="0" t="s">
        <v>2516</v>
      </c>
      <c r="CB81" s="0" t="s">
        <v>196</v>
      </c>
      <c r="CM81" s="0" t="s">
        <v>189</v>
      </c>
      <c r="CN81" s="0" t="s">
        <v>200</v>
      </c>
      <c r="CO81" s="0" t="s">
        <v>201</v>
      </c>
      <c r="CP81" s="0" t="s">
        <v>1</v>
      </c>
      <c r="CQ81" s="0" t="s">
        <v>2517</v>
      </c>
      <c r="CR81" s="0" t="s">
        <v>2518</v>
      </c>
      <c r="CS81" s="0" t="s">
        <v>2519</v>
      </c>
      <c r="CT81" s="0" t="s">
        <v>1949</v>
      </c>
      <c r="CU81" s="0" t="s">
        <v>2520</v>
      </c>
      <c r="CV81" s="0" t="s">
        <v>209</v>
      </c>
      <c r="CW81" s="0" t="s">
        <v>209</v>
      </c>
      <c r="CX81" s="0" t="s">
        <v>440</v>
      </c>
      <c r="CY81" s="0" t="s">
        <v>2521</v>
      </c>
      <c r="CZ81" s="0" t="s">
        <v>2522</v>
      </c>
      <c r="DA81" s="0" t="s">
        <v>207</v>
      </c>
      <c r="DB81" s="0" t="s">
        <v>208</v>
      </c>
      <c r="DC81" s="0" t="s">
        <v>189</v>
      </c>
      <c r="DD81" s="0" t="s">
        <v>209</v>
      </c>
      <c r="DE81" s="0" t="s">
        <v>2523</v>
      </c>
      <c r="DF81" s="0" t="s">
        <v>397</v>
      </c>
      <c r="DG81" s="0" t="n">
        <v>40.738754</v>
      </c>
      <c r="DH81" s="0" t="n">
        <v>-73.992922</v>
      </c>
      <c r="DI81" s="0" t="s">
        <v>164</v>
      </c>
      <c r="DJ81" s="0" t="n">
        <v>0</v>
      </c>
      <c r="DK81" s="0" t="s">
        <v>2524</v>
      </c>
      <c r="DL81" s="0" t="s">
        <v>2525</v>
      </c>
      <c r="DM81" s="0" t="s">
        <v>2526</v>
      </c>
      <c r="DN81" s="0" t="s">
        <v>2527</v>
      </c>
      <c r="DO81" s="0" t="s">
        <v>363</v>
      </c>
      <c r="DS81" s="0" t="s">
        <v>809</v>
      </c>
      <c r="DU81" s="0" t="s">
        <v>189</v>
      </c>
      <c r="DX81" s="0" t="s">
        <v>209</v>
      </c>
      <c r="EA81" s="0" t="s">
        <v>209</v>
      </c>
      <c r="EB81" s="0" t="s">
        <v>189</v>
      </c>
      <c r="EC81" s="0" t="s">
        <v>910</v>
      </c>
      <c r="ED81" s="0" t="s">
        <v>2528</v>
      </c>
      <c r="EE81" s="0" t="s">
        <v>172</v>
      </c>
      <c r="EF81" s="0" t="n">
        <v>9</v>
      </c>
      <c r="EG81" s="0" t="s">
        <v>2529</v>
      </c>
      <c r="EH81" s="0" t="s">
        <v>189</v>
      </c>
      <c r="EI81" s="0" t="s">
        <v>2530</v>
      </c>
      <c r="EJ81" s="0" t="s">
        <v>221</v>
      </c>
      <c r="EK81" s="0" t="n">
        <v>0.18</v>
      </c>
      <c r="EL81" s="0" t="n">
        <v>42.4</v>
      </c>
      <c r="EM81" s="0" t="n">
        <v>4.4</v>
      </c>
      <c r="EN81" s="0" t="n">
        <v>15</v>
      </c>
      <c r="EO81" s="0" t="n">
        <v>15</v>
      </c>
      <c r="EP81" s="0" t="n">
        <v>8</v>
      </c>
      <c r="EQ81" s="0" t="n">
        <f aca="false">IF($A81="","",IF(AH81="exact",10,IF(AH81="adjacent",5,0)))</f>
        <v>0</v>
      </c>
      <c r="ER81" s="0" t="n">
        <f aca="false">IF($A81="","",IF(R81="Y",15,0))</f>
        <v>0</v>
      </c>
      <c r="ES81" s="0" t="s">
        <v>222</v>
      </c>
      <c r="EX81" s="0" t="s">
        <v>2531</v>
      </c>
      <c r="EZ81" s="0" t="s">
        <v>2532</v>
      </c>
      <c r="FS81" s="0" t="str">
        <f aca="false">IF($A81="","",IF(ISNUMBER(MATCH(U81,{"queued","contacted","replied","call_booked","call_done","yes_in_principle","materials_sent"},0)),"Y","N"))</f>
        <v>N</v>
      </c>
      <c r="FT81" s="0" t="str">
        <f aca="false">IF($A81="","",IF(OR(T81="Y",U81="do_not_contact",AS81&amp;""&lt;&gt;""),"Y","N"))</f>
        <v>N</v>
      </c>
      <c r="FU81" s="0" t="str">
        <f aca="false">IF($A81="","",IF(AP81&amp;""&lt;&gt;"",AP81&amp;"",$A81))</f>
        <v>AO-C-032</v>
      </c>
      <c r="FV81" s="0" t="str">
        <f aca="false">IF($A81="","",IF(COUNTIFS($FU$2:$FU$1000,FU81,$FS$2:$FS$1000,"Y")+COUNTIFS($FU$2:$FU$1000,FU81,$FT$2:$FT$1000,"Y")&gt;0,"Y","N"))</f>
        <v>N</v>
      </c>
      <c r="FW81" s="0" t="str">
        <f aca="false">IF($A81="","",IF(AND(U81="new",T81="N",FT81="N",AT81="Y",FV81="N"),"Y","N"))</f>
        <v>N</v>
      </c>
      <c r="FX81" s="0" t="str">
        <f aca="false">IF($A81="","",IF(FW81&lt;&gt;"Y","N",IF(COUNTIFS($FU$2:$FU$1000,FU81,$FW$2:$FW$1000,"Y",$J$2:$J$1000,"&gt;"&amp;J81)+COUNTIFS($FU$2:$FU$1000,FU81,$FW$2:$FW$1000,"Y",$J$2:$J$1000,J81,$GD$2:$GD$1000,"&lt;"&amp;GD81)=0,"Y","N")))</f>
        <v>N</v>
      </c>
      <c r="FY81" s="0" t="str">
        <f aca="false">IF($A81="","",IF(AND(FW81="Y",FX81="Y",Y81&amp;""&lt;&gt;""),IF(Y81&lt;=10,"Y","N"),"N"))</f>
        <v>N</v>
      </c>
      <c r="FZ81" s="0" t="str">
        <f aca="false">IF(FY81="Y",Y81,"")</f>
        <v/>
      </c>
      <c r="GA81" s="0" t="str">
        <f aca="false">IF($A81="","",IF(AND(I81="walk-in",CN81="pass",U81="new",FT81="N",FV81="N",AQ81&lt;&gt;"Y"),"Y","N"))</f>
        <v>N</v>
      </c>
      <c r="GB81" s="0" t="str">
        <f aca="false">IF(GA81&lt;&gt;"Y","",IF(COUNTIFS($GA$2:$GA$1000,"Y",$J$2:$J$1000,"&gt;"&amp;J81)+COUNTIFS($GA$2:$GA$1000,"Y",$J$2:$J$1000,J81,$GD$2:$GD$1000,"&lt;"&amp;GD81)+1&lt;=25,COUNTIFS($GA$2:$GA$1000,"Y",$J$2:$J$1000,"&gt;"&amp;J81)+COUNTIFS($GA$2:$GA$1000,"Y",$J$2:$J$1000,J81,$GD$2:$GD$1000,"&lt;"&amp;GD81)+1,""))</f>
        <v/>
      </c>
      <c r="GC81" s="0" t="str">
        <f aca="false">IF(AND(_xlfn.ISFORMULA(C81),_xlfn.ISFORMULA(J81)),"Y","N")</f>
        <v>N</v>
      </c>
      <c r="GD81" s="0" t="n">
        <f aca="false">ROW()-1</f>
        <v>80</v>
      </c>
    </row>
    <row r="82" customFormat="false" ht="15" hidden="false" customHeight="false" outlineLevel="0" collapsed="false">
      <c r="A82" s="0" t="s">
        <v>2477</v>
      </c>
      <c r="B82" s="0" t="s">
        <v>2533</v>
      </c>
      <c r="C82" s="0" t="s">
        <v>2480</v>
      </c>
      <c r="D82" s="0" t="s">
        <v>2534</v>
      </c>
      <c r="E82" s="0" t="s">
        <v>2535</v>
      </c>
      <c r="F82" s="0" t="s">
        <v>1489</v>
      </c>
      <c r="G82" s="0" t="s">
        <v>189</v>
      </c>
      <c r="M82" s="0" t="s">
        <v>380</v>
      </c>
      <c r="R82" s="5"/>
      <c r="U82" s="5"/>
      <c r="V82" s="0" t="s">
        <v>380</v>
      </c>
      <c r="AE82" s="0" t="s">
        <v>1100</v>
      </c>
      <c r="AF82" s="0" t="s">
        <v>209</v>
      </c>
      <c r="AG82" s="0" t="s">
        <v>2481</v>
      </c>
      <c r="AH82" s="0" t="s">
        <v>1856</v>
      </c>
      <c r="AI82" s="0" t="s">
        <v>2483</v>
      </c>
      <c r="AJ82" s="0" t="s">
        <v>189</v>
      </c>
      <c r="AK82" s="0" t="s">
        <v>186</v>
      </c>
      <c r="AL82" s="0" t="s">
        <v>189</v>
      </c>
      <c r="AM82" s="0" t="n">
        <v>160</v>
      </c>
      <c r="AN82" s="0" t="s">
        <v>187</v>
      </c>
      <c r="AO82" s="0" t="s">
        <v>512</v>
      </c>
      <c r="AP82" s="0" t="s">
        <v>2536</v>
      </c>
      <c r="AQ82" s="5" t="s">
        <v>189</v>
      </c>
      <c r="AT82" s="0" t="str">
        <f aca="false">IF($A82="","",IF(AND(CN82="pass",AQ82&lt;&gt;"Y",C82&lt;&gt;"",OR(AX82&lt;&gt;"Y",AV82="Y")),"Y","N"))</f>
        <v>Y</v>
      </c>
      <c r="AU82" s="0" t="str">
        <f aca="false">IF($A82="","",_xlfn.TEXTJOIN("; ",TRUE(),IF(CN82&lt;&gt;"pass","gated out",""),IF(AQ82="Y","on hold: "&amp;AR82,""),IF(C82="","no contact named on an opened page",""),IF(AND(AX82="Y",AV82&lt;&gt;"Y"),"Tuesday estimate band "&amp;L82&amp;": founder's call","")))</f>
        <v/>
      </c>
      <c r="AX82" s="0" t="s">
        <v>189</v>
      </c>
      <c r="BC82" s="0" t="str">
        <f aca="false">IF($A82="","",IFERROR(INDEX(Enrichment!$A$2:$GZ$2000,MATCH($A82,INDEX(Enrichment!$A$2:$GZ$2000,0,MATCH("row_id",Enrichment!$A$1:$GZ$1,0)),0),MATCH("work_email",Enrichment!$A$1:$GZ$1,0))&amp;"",""))</f>
        <v/>
      </c>
      <c r="BD82" s="0" t="str">
        <f aca="false">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none</v>
      </c>
      <c r="BF82" s="0" t="s">
        <v>380</v>
      </c>
      <c r="BJ82" s="0" t="s">
        <v>380</v>
      </c>
      <c r="BL82" s="0" t="s">
        <v>896</v>
      </c>
      <c r="BQ82" s="0" t="str">
        <f aca="false">IF($A82="","",IFERROR(INDEX(Enrichment!$A$2:$GZ$2000,MATCH($A82,INDEX(Enrichment!$A$2:$GZ$2000,0,MATCH("row_id",Enrichment!$A$1:$GZ$1,0)),0),MATCH("backup_work_email",Enrichment!$A$1:$GZ$1,0))&amp;"",""))</f>
        <v/>
      </c>
      <c r="BR82" s="0" t="str">
        <f aca="false">IF($A82="","",IF(BQ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none</v>
      </c>
      <c r="BT82" s="0" t="s">
        <v>380</v>
      </c>
      <c r="BX82" s="0" t="s">
        <v>380</v>
      </c>
      <c r="BY82" s="0" t="s">
        <v>387</v>
      </c>
      <c r="BZ82" s="0" t="s">
        <v>388</v>
      </c>
      <c r="CA82" s="0" t="s">
        <v>2537</v>
      </c>
      <c r="CB82" s="0" t="s">
        <v>196</v>
      </c>
      <c r="CM82" s="0" t="s">
        <v>189</v>
      </c>
      <c r="CN82" s="0" t="s">
        <v>200</v>
      </c>
      <c r="CO82" s="0" t="s">
        <v>201</v>
      </c>
      <c r="CP82" s="0" t="s">
        <v>1</v>
      </c>
      <c r="CQ82" s="0" t="s">
        <v>2538</v>
      </c>
      <c r="CR82" s="0" t="s">
        <v>2539</v>
      </c>
      <c r="CS82" s="0" t="s">
        <v>2540</v>
      </c>
      <c r="CT82" s="0" t="s">
        <v>2541</v>
      </c>
      <c r="CV82" s="0" t="s">
        <v>976</v>
      </c>
      <c r="CW82" s="0" t="s">
        <v>204</v>
      </c>
      <c r="CX82" s="0" t="s">
        <v>205</v>
      </c>
      <c r="CY82" s="0" t="s">
        <v>2542</v>
      </c>
      <c r="DA82" s="0" t="s">
        <v>978</v>
      </c>
      <c r="DB82" s="0" t="s">
        <v>208</v>
      </c>
      <c r="DC82" s="0" t="s">
        <v>189</v>
      </c>
      <c r="DD82" s="0" t="s">
        <v>209</v>
      </c>
      <c r="DE82" s="0" t="s">
        <v>2543</v>
      </c>
      <c r="DF82" s="0" t="s">
        <v>397</v>
      </c>
      <c r="DG82" s="0" t="n">
        <v>40.738405</v>
      </c>
      <c r="DH82" s="0" t="n">
        <v>-73.99394</v>
      </c>
      <c r="DI82" s="0" t="s">
        <v>164</v>
      </c>
      <c r="DJ82" s="0" t="n">
        <v>0</v>
      </c>
      <c r="DK82" s="0" t="s">
        <v>905</v>
      </c>
      <c r="DL82" s="0" t="s">
        <v>906</v>
      </c>
      <c r="DM82" s="0" t="s">
        <v>907</v>
      </c>
      <c r="DN82" s="0" t="s">
        <v>908</v>
      </c>
      <c r="DO82" s="0" t="s">
        <v>363</v>
      </c>
      <c r="DS82" s="0" t="s">
        <v>809</v>
      </c>
      <c r="DU82" s="0" t="s">
        <v>189</v>
      </c>
      <c r="DX82" s="0" t="s">
        <v>209</v>
      </c>
      <c r="EA82" s="0" t="s">
        <v>209</v>
      </c>
      <c r="EB82" s="0" t="s">
        <v>189</v>
      </c>
      <c r="EC82" s="0" t="s">
        <v>684</v>
      </c>
      <c r="ED82" s="0" t="s">
        <v>2544</v>
      </c>
      <c r="EE82" s="0" t="s">
        <v>172</v>
      </c>
      <c r="EF82" s="0" t="n">
        <v>113</v>
      </c>
      <c r="EH82" s="0" t="s">
        <v>164</v>
      </c>
      <c r="EI82" s="0" t="s">
        <v>2545</v>
      </c>
      <c r="EJ82" s="0" t="s">
        <v>221</v>
      </c>
      <c r="EK82" s="0" t="n">
        <v>1</v>
      </c>
      <c r="EL82" s="0" t="n">
        <v>42</v>
      </c>
      <c r="EM82" s="0" t="n">
        <v>25</v>
      </c>
      <c r="EN82" s="0" t="n">
        <v>2</v>
      </c>
      <c r="EO82" s="0" t="n">
        <v>7</v>
      </c>
      <c r="EP82" s="0" t="n">
        <v>8</v>
      </c>
      <c r="EQ82" s="0" t="n">
        <f aca="false">IF($A82="","",IF(AH82="exact",10,IF(AH82="adjacent",5,0)))</f>
        <v>0</v>
      </c>
      <c r="ER82" s="0" t="n">
        <f aca="false">IF($A82="","",IF(R82="Y",15,0))</f>
        <v>0</v>
      </c>
      <c r="ES82" s="0" t="s">
        <v>982</v>
      </c>
      <c r="ET82" s="0" t="s">
        <v>983</v>
      </c>
      <c r="EU82" s="0" t="s">
        <v>189</v>
      </c>
      <c r="EV82" s="0" t="s">
        <v>2546</v>
      </c>
      <c r="EW82" s="0" t="s">
        <v>224</v>
      </c>
      <c r="EX82" s="0" t="s">
        <v>2547</v>
      </c>
      <c r="EZ82" s="0" t="s">
        <v>2548</v>
      </c>
      <c r="FS82" s="0" t="str">
        <f aca="false">IF($A82="","",IF(ISNUMBER(MATCH(U82,{"queued","contacted","replied","call_booked","call_done","yes_in_principle","materials_sent"},0)),"Y","N"))</f>
        <v>N</v>
      </c>
      <c r="FT82" s="0" t="str">
        <f aca="false">IF($A82="","",IF(OR(T82="Y",U82="do_not_contact",AS82&amp;""&lt;&gt;""),"Y","N"))</f>
        <v>N</v>
      </c>
      <c r="FU82" s="0" t="str">
        <f aca="false">IF($A82="","",IF(AP82&amp;""&lt;&gt;"",AP82&amp;"",$A82))</f>
        <v>AO-C-185</v>
      </c>
      <c r="FV82" s="0" t="str">
        <f aca="false">IF($A82="","",IF(COUNTIFS($FU$2:$FU$1000,FU82,$FS$2:$FS$1000,"Y")+COUNTIFS($FU$2:$FU$1000,FU82,$FT$2:$FT$1000,"Y")&gt;0,"Y","N"))</f>
        <v>N</v>
      </c>
      <c r="FW82" s="0" t="str">
        <f aca="false">IF($A82="","",IF(AND(U82="new",T82="N",FT82="N",AT82="Y",FV82="N"),"Y","N"))</f>
        <v>N</v>
      </c>
      <c r="FX82" s="0" t="str">
        <f aca="false">IF($A82="","",IF(FW82&lt;&gt;"Y","N",IF(COUNTIFS($FU$2:$FU$1000,FU82,$FW$2:$FW$1000,"Y",$J$2:$J$1000,"&gt;"&amp;J82)+COUNTIFS($FU$2:$FU$1000,FU82,$FW$2:$FW$1000,"Y",$J$2:$J$1000,J82,$GD$2:$GD$1000,"&lt;"&amp;GD82)=0,"Y","N")))</f>
        <v>N</v>
      </c>
      <c r="FY82" s="0" t="str">
        <f aca="false">IF($A82="","",IF(AND(FW82="Y",FX82="Y",Y82&amp;""&lt;&gt;""),IF(Y82&lt;=10,"Y","N"),"N"))</f>
        <v>N</v>
      </c>
      <c r="FZ82" s="0" t="str">
        <f aca="false">IF(FY82="Y",Y82,"")</f>
        <v/>
      </c>
      <c r="GA82" s="0" t="str">
        <f aca="false">IF($A82="","",IF(AND(I82="walk-in",CN82="pass",U82="new",FT82="N",FV82="N",AQ82&lt;&gt;"Y"),"Y","N"))</f>
        <v>N</v>
      </c>
      <c r="GB82" s="0" t="str">
        <f aca="false">IF(GA82&lt;&gt;"Y","",IF(COUNTIFS($GA$2:$GA$1000,"Y",$J$2:$J$1000,"&gt;"&amp;J82)+COUNTIFS($GA$2:$GA$1000,"Y",$J$2:$J$1000,J82,$GD$2:$GD$1000,"&lt;"&amp;GD82)+1&lt;=25,COUNTIFS($GA$2:$GA$1000,"Y",$J$2:$J$1000,"&gt;"&amp;J82)+COUNTIFS($GA$2:$GA$1000,"Y",$J$2:$J$1000,J82,$GD$2:$GD$1000,"&lt;"&amp;GD82)+1,""))</f>
        <v/>
      </c>
      <c r="GC82" s="0" t="str">
        <f aca="false">IF(AND(_xlfn.ISFORMULA(C82),_xlfn.ISFORMULA(J82)),"Y","N")</f>
        <v>N</v>
      </c>
      <c r="GD82" s="0" t="n">
        <f aca="false">ROW()-1</f>
        <v>81</v>
      </c>
    </row>
    <row r="83" customFormat="false" ht="15" hidden="false" customHeight="false" outlineLevel="0" collapsed="false">
      <c r="A83" s="0" t="s">
        <v>2492</v>
      </c>
      <c r="B83" s="0" t="s">
        <v>2549</v>
      </c>
      <c r="C83" s="0" t="s">
        <v>2495</v>
      </c>
      <c r="D83" s="0" t="s">
        <v>2550</v>
      </c>
      <c r="E83" s="0" t="s">
        <v>2551</v>
      </c>
      <c r="F83" s="0" t="s">
        <v>2552</v>
      </c>
      <c r="G83" s="0" t="s">
        <v>189</v>
      </c>
      <c r="M83" s="0" t="s">
        <v>380</v>
      </c>
      <c r="R83" s="5"/>
      <c r="U83" s="5"/>
      <c r="V83" s="0" t="s">
        <v>380</v>
      </c>
      <c r="AE83" s="0" t="s">
        <v>2553</v>
      </c>
      <c r="AF83" s="0" t="s">
        <v>2554</v>
      </c>
      <c r="AG83" s="0" t="s">
        <v>2496</v>
      </c>
      <c r="AH83" s="0" t="s">
        <v>2497</v>
      </c>
      <c r="AI83" s="0" t="s">
        <v>2501</v>
      </c>
      <c r="AJ83" s="0" t="s">
        <v>189</v>
      </c>
      <c r="AK83" s="0" t="s">
        <v>186</v>
      </c>
      <c r="AL83" s="0" t="s">
        <v>189</v>
      </c>
      <c r="AM83" s="0" t="n">
        <v>184</v>
      </c>
      <c r="AN83" s="0" t="s">
        <v>187</v>
      </c>
      <c r="AO83" s="0" t="s">
        <v>512</v>
      </c>
      <c r="AP83" s="0" t="s">
        <v>2555</v>
      </c>
      <c r="AQ83" s="5" t="s">
        <v>189</v>
      </c>
      <c r="AT83" s="0" t="str">
        <f aca="false">IF($A83="","",IF(AND(CN83="pass",AQ83&lt;&gt;"Y",C83&lt;&gt;"",OR(AX83&lt;&gt;"Y",AV83="Y")),"Y","N"))</f>
        <v>Y</v>
      </c>
      <c r="AU83" s="0" t="str">
        <f aca="false">IF($A83="","",_xlfn.TEXTJOIN("; ",TRUE(),IF(CN83&lt;&gt;"pass","gated out",""),IF(AQ83="Y","on hold: "&amp;AR83,""),IF(C83="","no contact named on an opened page",""),IF(AND(AX83="Y",AV83&lt;&gt;"Y"),"Tuesday estimate band "&amp;L83&amp;": founder's call","")))</f>
        <v/>
      </c>
      <c r="AX83" s="0" t="s">
        <v>189</v>
      </c>
      <c r="BC83" s="0" t="str">
        <f aca="false">IF($A83="","",IFERROR(INDEX(Enrichment!$A$2:$GZ$2000,MATCH($A83,INDEX(Enrichment!$A$2:$GZ$2000,0,MATCH("row_id",Enrichment!$A$1:$GZ$1,0)),0),MATCH("work_email",Enrichment!$A$1:$GZ$1,0))&amp;"",""))</f>
        <v/>
      </c>
      <c r="BD83" s="0" t="str">
        <f aca="false">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none</v>
      </c>
      <c r="BF83" s="0" t="s">
        <v>380</v>
      </c>
      <c r="BJ83" s="0" t="s">
        <v>380</v>
      </c>
      <c r="BL83" s="0" t="s">
        <v>896</v>
      </c>
      <c r="BQ83" s="0" t="str">
        <f aca="false">IF($A83="","",IFERROR(INDEX(Enrichment!$A$2:$GZ$2000,MATCH($A83,INDEX(Enrichment!$A$2:$GZ$2000,0,MATCH("row_id",Enrichment!$A$1:$GZ$1,0)),0),MATCH("backup_work_email",Enrichment!$A$1:$GZ$1,0))&amp;"",""))</f>
        <v/>
      </c>
      <c r="BR83" s="0" t="str">
        <f aca="false">IF($A83="","",IF(BQ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none</v>
      </c>
      <c r="BT83" s="0" t="s">
        <v>380</v>
      </c>
      <c r="BX83" s="0" t="s">
        <v>380</v>
      </c>
      <c r="BY83" s="0" t="s">
        <v>387</v>
      </c>
      <c r="BZ83" s="0" t="s">
        <v>388</v>
      </c>
      <c r="CA83" s="0" t="s">
        <v>2556</v>
      </c>
      <c r="CB83" s="0" t="s">
        <v>196</v>
      </c>
      <c r="CM83" s="0" t="s">
        <v>189</v>
      </c>
      <c r="CN83" s="0" t="s">
        <v>200</v>
      </c>
      <c r="CO83" s="0" t="s">
        <v>201</v>
      </c>
      <c r="CP83" s="0" t="s">
        <v>1</v>
      </c>
      <c r="CQ83" s="0" t="s">
        <v>2557</v>
      </c>
      <c r="CR83" s="0" t="s">
        <v>2558</v>
      </c>
      <c r="CS83" s="0" t="s">
        <v>2559</v>
      </c>
      <c r="CT83" s="0" t="s">
        <v>2560</v>
      </c>
      <c r="CV83" s="0" t="s">
        <v>976</v>
      </c>
      <c r="CW83" s="0" t="s">
        <v>204</v>
      </c>
      <c r="CX83" s="0" t="s">
        <v>205</v>
      </c>
      <c r="CY83" s="0" t="s">
        <v>2561</v>
      </c>
      <c r="DA83" s="0" t="s">
        <v>978</v>
      </c>
      <c r="DB83" s="0" t="s">
        <v>208</v>
      </c>
      <c r="DC83" s="0" t="s">
        <v>189</v>
      </c>
      <c r="DD83" s="0" t="s">
        <v>209</v>
      </c>
      <c r="DE83" s="0" t="s">
        <v>2562</v>
      </c>
      <c r="DF83" s="0" t="s">
        <v>525</v>
      </c>
      <c r="DG83" s="0" t="n">
        <v>40.741968</v>
      </c>
      <c r="DH83" s="0" t="n">
        <v>-73.985327</v>
      </c>
      <c r="DI83" s="0" t="s">
        <v>164</v>
      </c>
      <c r="DJ83" s="0" t="n">
        <v>0</v>
      </c>
      <c r="DK83" s="0" t="s">
        <v>1573</v>
      </c>
      <c r="DL83" s="0" t="s">
        <v>1574</v>
      </c>
      <c r="DM83" s="0" t="s">
        <v>2563</v>
      </c>
      <c r="DN83" s="0" t="s">
        <v>2564</v>
      </c>
      <c r="DO83" s="0" t="s">
        <v>363</v>
      </c>
      <c r="DP83" s="0" t="s">
        <v>2565</v>
      </c>
      <c r="DQ83" s="0" t="s">
        <v>2566</v>
      </c>
      <c r="DS83" s="0" t="s">
        <v>809</v>
      </c>
      <c r="DU83" s="0" t="s">
        <v>189</v>
      </c>
      <c r="DX83" s="0" t="s">
        <v>209</v>
      </c>
      <c r="EA83" s="0" t="s">
        <v>209</v>
      </c>
      <c r="EB83" s="0" t="s">
        <v>189</v>
      </c>
      <c r="EC83" s="0" t="s">
        <v>1357</v>
      </c>
      <c r="ED83" s="0" t="s">
        <v>2561</v>
      </c>
      <c r="EE83" s="0" t="s">
        <v>172</v>
      </c>
      <c r="EF83" s="0" t="n">
        <v>130</v>
      </c>
      <c r="EH83" s="0" t="s">
        <v>164</v>
      </c>
      <c r="EI83" s="0" t="s">
        <v>2567</v>
      </c>
      <c r="EJ83" s="0" t="s">
        <v>221</v>
      </c>
      <c r="EK83" s="0" t="n">
        <v>1</v>
      </c>
      <c r="EL83" s="0" t="n">
        <v>42</v>
      </c>
      <c r="EM83" s="0" t="n">
        <v>25</v>
      </c>
      <c r="EN83" s="0" t="n">
        <v>2</v>
      </c>
      <c r="EO83" s="0" t="n">
        <v>7</v>
      </c>
      <c r="EP83" s="0" t="n">
        <v>8</v>
      </c>
      <c r="EQ83" s="0" t="n">
        <f aca="false">IF($A83="","",IF(AH83="exact",10,IF(AH83="adjacent",5,0)))</f>
        <v>0</v>
      </c>
      <c r="ER83" s="0" t="n">
        <f aca="false">IF($A83="","",IF(R83="Y",15,0))</f>
        <v>0</v>
      </c>
      <c r="ES83" s="0" t="s">
        <v>982</v>
      </c>
      <c r="ET83" s="0" t="s">
        <v>983</v>
      </c>
      <c r="EU83" s="0" t="s">
        <v>189</v>
      </c>
      <c r="EV83" s="0" t="s">
        <v>1578</v>
      </c>
      <c r="EW83" s="0" t="s">
        <v>224</v>
      </c>
      <c r="EX83" s="0" t="s">
        <v>2568</v>
      </c>
      <c r="EZ83" s="0" t="s">
        <v>2569</v>
      </c>
      <c r="FS83" s="0" t="str">
        <f aca="false">IF($A83="","",IF(ISNUMBER(MATCH(U83,{"queued","contacted","replied","call_booked","call_done","yes_in_principle","materials_sent"},0)),"Y","N"))</f>
        <v>N</v>
      </c>
      <c r="FT83" s="0" t="str">
        <f aca="false">IF($A83="","",IF(OR(T83="Y",U83="do_not_contact",AS83&amp;""&lt;&gt;""),"Y","N"))</f>
        <v>N</v>
      </c>
      <c r="FU83" s="0" t="str">
        <f aca="false">IF($A83="","",IF(AP83&amp;""&lt;&gt;"",AP83&amp;"",$A83))</f>
        <v>AO-C-254</v>
      </c>
      <c r="FV83" s="0" t="str">
        <f aca="false">IF($A83="","",IF(COUNTIFS($FU$2:$FU$1000,FU83,$FS$2:$FS$1000,"Y")+COUNTIFS($FU$2:$FU$1000,FU83,$FT$2:$FT$1000,"Y")&gt;0,"Y","N"))</f>
        <v>N</v>
      </c>
      <c r="FW83" s="0" t="str">
        <f aca="false">IF($A83="","",IF(AND(U83="new",T83="N",FT83="N",AT83="Y",FV83="N"),"Y","N"))</f>
        <v>N</v>
      </c>
      <c r="FX83" s="0" t="str">
        <f aca="false">IF($A83="","",IF(FW83&lt;&gt;"Y","N",IF(COUNTIFS($FU$2:$FU$1000,FU83,$FW$2:$FW$1000,"Y",$J$2:$J$1000,"&gt;"&amp;J83)+COUNTIFS($FU$2:$FU$1000,FU83,$FW$2:$FW$1000,"Y",$J$2:$J$1000,J83,$GD$2:$GD$1000,"&lt;"&amp;GD83)=0,"Y","N")))</f>
        <v>N</v>
      </c>
      <c r="FY83" s="0" t="str">
        <f aca="false">IF($A83="","",IF(AND(FW83="Y",FX83="Y",Y83&amp;""&lt;&gt;""),IF(Y83&lt;=10,"Y","N"),"N"))</f>
        <v>N</v>
      </c>
      <c r="FZ83" s="0" t="str">
        <f aca="false">IF(FY83="Y",Y83,"")</f>
        <v/>
      </c>
      <c r="GA83" s="0" t="str">
        <f aca="false">IF($A83="","",IF(AND(I83="walk-in",CN83="pass",U83="new",FT83="N",FV83="N",AQ83&lt;&gt;"Y"),"Y","N"))</f>
        <v>N</v>
      </c>
      <c r="GB83" s="0" t="str">
        <f aca="false">IF(GA83&lt;&gt;"Y","",IF(COUNTIFS($GA$2:$GA$1000,"Y",$J$2:$J$1000,"&gt;"&amp;J83)+COUNTIFS($GA$2:$GA$1000,"Y",$J$2:$J$1000,J83,$GD$2:$GD$1000,"&lt;"&amp;GD83)+1&lt;=25,COUNTIFS($GA$2:$GA$1000,"Y",$J$2:$J$1000,"&gt;"&amp;J83)+COUNTIFS($GA$2:$GA$1000,"Y",$J$2:$J$1000,J83,$GD$2:$GD$1000,"&lt;"&amp;GD83)+1,""))</f>
        <v/>
      </c>
      <c r="GC83" s="0" t="str">
        <f aca="false">IF(AND(_xlfn.ISFORMULA(C83),_xlfn.ISFORMULA(J83)),"Y","N")</f>
        <v>N</v>
      </c>
      <c r="GD83" s="0" t="n">
        <f aca="false">ROW()-1</f>
        <v>82</v>
      </c>
    </row>
    <row r="84" customFormat="false" ht="15" hidden="false" customHeight="false" outlineLevel="0" collapsed="false">
      <c r="A84" s="0" t="s">
        <v>2515</v>
      </c>
      <c r="B84" s="0" t="s">
        <v>2570</v>
      </c>
      <c r="C84" s="0" t="s">
        <v>2518</v>
      </c>
      <c r="D84" s="0" t="s">
        <v>2571</v>
      </c>
      <c r="E84" s="0" t="s">
        <v>2572</v>
      </c>
      <c r="F84" s="0" t="s">
        <v>2573</v>
      </c>
      <c r="G84" s="0" t="s">
        <v>189</v>
      </c>
      <c r="M84" s="0" t="s">
        <v>380</v>
      </c>
      <c r="R84" s="5"/>
      <c r="U84" s="5"/>
      <c r="V84" s="0" t="s">
        <v>380</v>
      </c>
      <c r="AE84" s="0" t="s">
        <v>2525</v>
      </c>
      <c r="AF84" s="0" t="s">
        <v>209</v>
      </c>
      <c r="AG84" s="0" t="s">
        <v>2519</v>
      </c>
      <c r="AH84" s="0" t="s">
        <v>1949</v>
      </c>
      <c r="AI84" s="0" t="s">
        <v>2523</v>
      </c>
      <c r="AJ84" s="0" t="s">
        <v>189</v>
      </c>
      <c r="AK84" s="0" t="s">
        <v>1794</v>
      </c>
      <c r="AL84" s="0" t="s">
        <v>189</v>
      </c>
      <c r="AM84" s="0" t="n">
        <v>312</v>
      </c>
      <c r="AN84" s="0" t="s">
        <v>187</v>
      </c>
      <c r="AO84" s="0" t="s">
        <v>188</v>
      </c>
      <c r="AP84" s="0" t="s">
        <v>2574</v>
      </c>
      <c r="AQ84" s="5" t="s">
        <v>189</v>
      </c>
      <c r="AT84" s="0" t="str">
        <f aca="false">IF($A84="","",IF(AND(CN84="pass",AQ84&lt;&gt;"Y",C84&lt;&gt;"",OR(AX84&lt;&gt;"Y",AV84="Y")),"Y","N"))</f>
        <v>Y</v>
      </c>
      <c r="AU84" s="0" t="str">
        <f aca="false">IF($A84="","",_xlfn.TEXTJOIN("; ",TRUE(),IF(CN84&lt;&gt;"pass","gated out",""),IF(AQ84="Y","on hold: "&amp;AR84,""),IF(C84="","no contact named on an opened page",""),IF(AND(AX84="Y",AV84&lt;&gt;"Y"),"Tuesday estimate band "&amp;L84&amp;": founder's call","")))</f>
        <v/>
      </c>
      <c r="AX84" s="0" t="s">
        <v>189</v>
      </c>
      <c r="BC84" s="0" t="str">
        <f aca="false">IF($A84="","",IFERROR(INDEX(Enrichment!$A$2:$GZ$2000,MATCH($A84,INDEX(Enrichment!$A$2:$GZ$2000,0,MATCH("row_id",Enrichment!$A$1:$GZ$1,0)),0),MATCH("work_email",Enrichment!$A$1:$GZ$1,0))&amp;"",""))</f>
        <v/>
      </c>
      <c r="BD84" s="0" t="str">
        <f aca="false">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none</v>
      </c>
      <c r="BF84" s="0" t="s">
        <v>380</v>
      </c>
      <c r="BJ84" s="0" t="s">
        <v>380</v>
      </c>
      <c r="BL84" s="0" t="s">
        <v>896</v>
      </c>
      <c r="BQ84" s="0" t="str">
        <f aca="false">IF($A84="","",IFERROR(INDEX(Enrichment!$A$2:$GZ$2000,MATCH($A84,INDEX(Enrichment!$A$2:$GZ$2000,0,MATCH("row_id",Enrichment!$A$1:$GZ$1,0)),0),MATCH("backup_work_email",Enrichment!$A$1:$GZ$1,0))&amp;"",""))</f>
        <v/>
      </c>
      <c r="BR84" s="0" t="str">
        <f aca="false">IF($A84="","",IF(BQ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none</v>
      </c>
      <c r="BT84" s="0" t="s">
        <v>380</v>
      </c>
      <c r="BX84" s="0" t="s">
        <v>380</v>
      </c>
      <c r="BY84" s="0" t="s">
        <v>387</v>
      </c>
      <c r="BZ84" s="0" t="s">
        <v>388</v>
      </c>
      <c r="CA84" s="0" t="s">
        <v>2575</v>
      </c>
      <c r="CB84" s="0" t="s">
        <v>196</v>
      </c>
      <c r="CM84" s="0" t="s">
        <v>189</v>
      </c>
      <c r="CN84" s="0" t="s">
        <v>200</v>
      </c>
      <c r="CO84" s="0" t="s">
        <v>201</v>
      </c>
      <c r="CP84" s="0" t="s">
        <v>1</v>
      </c>
      <c r="CQ84" s="0" t="s">
        <v>2576</v>
      </c>
      <c r="CR84" s="0" t="s">
        <v>2577</v>
      </c>
      <c r="CS84" s="0" t="s">
        <v>2578</v>
      </c>
      <c r="CT84" s="0" t="s">
        <v>2579</v>
      </c>
      <c r="CV84" s="0" t="s">
        <v>976</v>
      </c>
      <c r="CW84" s="0" t="s">
        <v>204</v>
      </c>
      <c r="CX84" s="0" t="s">
        <v>205</v>
      </c>
      <c r="CY84" s="0" t="s">
        <v>2580</v>
      </c>
      <c r="DA84" s="0" t="s">
        <v>978</v>
      </c>
      <c r="DB84" s="0" t="s">
        <v>2581</v>
      </c>
      <c r="DC84" s="0" t="s">
        <v>189</v>
      </c>
      <c r="DD84" s="0" t="s">
        <v>209</v>
      </c>
      <c r="DE84" s="0" t="s">
        <v>2582</v>
      </c>
      <c r="DF84" s="0" t="s">
        <v>525</v>
      </c>
      <c r="DG84" s="0" t="n">
        <v>40.74118</v>
      </c>
      <c r="DH84" s="0" t="n">
        <v>-73.99129</v>
      </c>
      <c r="DI84" s="0" t="s">
        <v>164</v>
      </c>
      <c r="DJ84" s="0" t="n">
        <v>0</v>
      </c>
      <c r="DK84" s="0" t="s">
        <v>2583</v>
      </c>
      <c r="DL84" s="0" t="s">
        <v>2584</v>
      </c>
      <c r="DM84" s="0" t="s">
        <v>2585</v>
      </c>
      <c r="DN84" s="0" t="s">
        <v>1085</v>
      </c>
      <c r="DO84" s="0" t="s">
        <v>363</v>
      </c>
      <c r="DS84" s="0" t="s">
        <v>187</v>
      </c>
      <c r="DU84" s="0" t="s">
        <v>189</v>
      </c>
      <c r="DX84" s="0" t="s">
        <v>209</v>
      </c>
      <c r="EA84" s="0" t="s">
        <v>209</v>
      </c>
      <c r="EB84" s="0" t="s">
        <v>189</v>
      </c>
      <c r="EC84" s="0" t="s">
        <v>2586</v>
      </c>
      <c r="ED84" s="0" t="s">
        <v>2587</v>
      </c>
      <c r="EE84" s="0" t="s">
        <v>172</v>
      </c>
      <c r="EF84" s="0" t="n">
        <v>98</v>
      </c>
      <c r="EG84" s="0" t="s">
        <v>366</v>
      </c>
      <c r="EH84" s="0" t="s">
        <v>164</v>
      </c>
      <c r="EI84" s="0" t="s">
        <v>2588</v>
      </c>
      <c r="EJ84" s="0" t="s">
        <v>221</v>
      </c>
      <c r="EK84" s="0" t="n">
        <v>0.79</v>
      </c>
      <c r="EL84" s="0" t="n">
        <v>41.8</v>
      </c>
      <c r="EM84" s="0" t="n">
        <v>19.8</v>
      </c>
      <c r="EN84" s="0" t="n">
        <v>2</v>
      </c>
      <c r="EO84" s="0" t="n">
        <v>15</v>
      </c>
      <c r="EP84" s="0" t="n">
        <v>5</v>
      </c>
      <c r="EQ84" s="0" t="n">
        <f aca="false">IF($A84="","",IF(AH84="exact",10,IF(AH84="adjacent",5,0)))</f>
        <v>0</v>
      </c>
      <c r="ER84" s="0" t="n">
        <f aca="false">IF($A84="","",IF(R84="Y",15,0))</f>
        <v>0</v>
      </c>
      <c r="ES84" s="0" t="s">
        <v>982</v>
      </c>
      <c r="ET84" s="0" t="s">
        <v>983</v>
      </c>
      <c r="EU84" s="0" t="s">
        <v>189</v>
      </c>
      <c r="EV84" s="0" t="s">
        <v>2589</v>
      </c>
      <c r="EW84" s="0" t="s">
        <v>224</v>
      </c>
      <c r="EX84" s="0" t="s">
        <v>2590</v>
      </c>
      <c r="EZ84" s="0" t="s">
        <v>2591</v>
      </c>
      <c r="FS84" s="0" t="str">
        <f aca="false">IF($A84="","",IF(ISNUMBER(MATCH(U84,{"queued","contacted","replied","call_booked","call_done","yes_in_principle","materials_sent"},0)),"Y","N"))</f>
        <v>N</v>
      </c>
      <c r="FT84" s="0" t="str">
        <f aca="false">IF($A84="","",IF(OR(T84="Y",U84="do_not_contact",AS84&amp;""&lt;&gt;""),"Y","N"))</f>
        <v>N</v>
      </c>
      <c r="FU84" s="0" t="str">
        <f aca="false">IF($A84="","",IF(AP84&amp;""&lt;&gt;"",AP84&amp;"",$A84))</f>
        <v>AO-C-219</v>
      </c>
      <c r="FV84" s="0" t="str">
        <f aca="false">IF($A84="","",IF(COUNTIFS($FU$2:$FU$1000,FU84,$FS$2:$FS$1000,"Y")+COUNTIFS($FU$2:$FU$1000,FU84,$FT$2:$FT$1000,"Y")&gt;0,"Y","N"))</f>
        <v>N</v>
      </c>
      <c r="FW84" s="0" t="str">
        <f aca="false">IF($A84="","",IF(AND(U84="new",T84="N",FT84="N",AT84="Y",FV84="N"),"Y","N"))</f>
        <v>N</v>
      </c>
      <c r="FX84" s="0" t="str">
        <f aca="false">IF($A84="","",IF(FW84&lt;&gt;"Y","N",IF(COUNTIFS($FU$2:$FU$1000,FU84,$FW$2:$FW$1000,"Y",$J$2:$J$1000,"&gt;"&amp;J84)+COUNTIFS($FU$2:$FU$1000,FU84,$FW$2:$FW$1000,"Y",$J$2:$J$1000,J84,$GD$2:$GD$1000,"&lt;"&amp;GD84)=0,"Y","N")))</f>
        <v>N</v>
      </c>
      <c r="FY84" s="0" t="str">
        <f aca="false">IF($A84="","",IF(AND(FW84="Y",FX84="Y",Y84&amp;""&lt;&gt;""),IF(Y84&lt;=10,"Y","N"),"N"))</f>
        <v>N</v>
      </c>
      <c r="FZ84" s="0" t="str">
        <f aca="false">IF(FY84="Y",Y84,"")</f>
        <v/>
      </c>
      <c r="GA84" s="0" t="str">
        <f aca="false">IF($A84="","",IF(AND(I84="walk-in",CN84="pass",U84="new",FT84="N",FV84="N",AQ84&lt;&gt;"Y"),"Y","N"))</f>
        <v>N</v>
      </c>
      <c r="GB84" s="0" t="str">
        <f aca="false">IF(GA84&lt;&gt;"Y","",IF(COUNTIFS($GA$2:$GA$1000,"Y",$J$2:$J$1000,"&gt;"&amp;J84)+COUNTIFS($GA$2:$GA$1000,"Y",$J$2:$J$1000,J84,$GD$2:$GD$1000,"&lt;"&amp;GD84)+1&lt;=25,COUNTIFS($GA$2:$GA$1000,"Y",$J$2:$J$1000,"&gt;"&amp;J84)+COUNTIFS($GA$2:$GA$1000,"Y",$J$2:$J$1000,J84,$GD$2:$GD$1000,"&lt;"&amp;GD84)+1,""))</f>
        <v/>
      </c>
      <c r="GC84" s="0" t="str">
        <f aca="false">IF(AND(_xlfn.ISFORMULA(C84),_xlfn.ISFORMULA(J84)),"Y","N")</f>
        <v>N</v>
      </c>
      <c r="GD84" s="0" t="n">
        <f aca="false">ROW()-1</f>
        <v>83</v>
      </c>
    </row>
    <row r="85" customFormat="false" ht="15" hidden="false" customHeight="false" outlineLevel="0" collapsed="false">
      <c r="A85" s="0" t="s">
        <v>2536</v>
      </c>
      <c r="B85" s="0" t="s">
        <v>2592</v>
      </c>
      <c r="C85" s="0" t="s">
        <v>2539</v>
      </c>
      <c r="D85" s="0" t="s">
        <v>2593</v>
      </c>
      <c r="E85" s="0" t="s">
        <v>2594</v>
      </c>
      <c r="F85" s="0" t="s">
        <v>2595</v>
      </c>
      <c r="G85" s="0" t="s">
        <v>189</v>
      </c>
      <c r="M85" s="0" t="s">
        <v>380</v>
      </c>
      <c r="R85" s="5"/>
      <c r="U85" s="5"/>
      <c r="V85" s="0" t="s">
        <v>380</v>
      </c>
      <c r="AE85" s="0" t="s">
        <v>906</v>
      </c>
      <c r="AF85" s="0" t="s">
        <v>2596</v>
      </c>
      <c r="AG85" s="0" t="s">
        <v>2540</v>
      </c>
      <c r="AH85" s="0" t="s">
        <v>2541</v>
      </c>
      <c r="AI85" s="0" t="s">
        <v>2543</v>
      </c>
      <c r="AJ85" s="0" t="s">
        <v>189</v>
      </c>
      <c r="AK85" s="0" t="s">
        <v>186</v>
      </c>
      <c r="AL85" s="0" t="s">
        <v>189</v>
      </c>
      <c r="AM85" s="0" t="n">
        <v>49</v>
      </c>
      <c r="AN85" s="0" t="s">
        <v>187</v>
      </c>
      <c r="AO85" s="0" t="s">
        <v>188</v>
      </c>
      <c r="AP85" s="0" t="s">
        <v>2597</v>
      </c>
      <c r="AQ85" s="5" t="s">
        <v>164</v>
      </c>
      <c r="AR85" s="0" t="s">
        <v>779</v>
      </c>
      <c r="AT85" s="0" t="str">
        <f aca="false">IF($A85="","",IF(AND(CN85="pass",AQ85&lt;&gt;"Y",C85&lt;&gt;"",OR(AX85&lt;&gt;"Y",AV85="Y")),"Y","N"))</f>
        <v>N</v>
      </c>
      <c r="AU85" s="0" t="str">
        <f aca="false">IF($A85="","",_xlfn.TEXTJOIN("; ",TRUE(),IF(CN85&lt;&gt;"pass","gated out",""),IF(AQ85="Y","on hold: "&amp;AR85,""),IF(C85="","no contact named on an opened page",""),IF(AND(AX85="Y",AV85&lt;&gt;"Y"),"Tuesday estimate band "&amp;L85&amp;": founder's call","")))</f>
        <v>on hold: lease signed, move not confirmed: check the lobby directory before outreach (B); Tuesday estimate band : founder's call</v>
      </c>
      <c r="AX85" s="0" t="s">
        <v>164</v>
      </c>
      <c r="AY85" s="0" t="s">
        <v>2598</v>
      </c>
      <c r="AZ85" s="0" t="s">
        <v>2599</v>
      </c>
      <c r="BA85" s="0" t="s">
        <v>862</v>
      </c>
      <c r="BC85" s="0" t="str">
        <f aca="false">IF($A85="","",IFERROR(INDEX(Enrichment!$A$2:$GZ$2000,MATCH($A85,INDEX(Enrichment!$A$2:$GZ$2000,0,MATCH("row_id",Enrichment!$A$1:$GZ$1,0)),0),MATCH("work_email",Enrichment!$A$1:$GZ$1,0))&amp;"",""))</f>
        <v/>
      </c>
      <c r="BD85" s="0" t="str">
        <f aca="false">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none</v>
      </c>
      <c r="BE85" s="0" t="s">
        <v>168</v>
      </c>
      <c r="BF85" s="0" t="s">
        <v>169</v>
      </c>
      <c r="BG85" s="0" t="s">
        <v>170</v>
      </c>
      <c r="BH85" s="0" t="s">
        <v>2600</v>
      </c>
      <c r="BI85" s="0" t="s">
        <v>172</v>
      </c>
      <c r="BJ85" s="0" t="s">
        <v>301</v>
      </c>
      <c r="BK85" s="0" t="s">
        <v>2601</v>
      </c>
      <c r="BL85" s="0" t="s">
        <v>1342</v>
      </c>
      <c r="BQ85" s="0" t="str">
        <f aca="false">IF($A85="","",IFERROR(INDEX(Enrichment!$A$2:$GZ$2000,MATCH($A85,INDEX(Enrichment!$A$2:$GZ$2000,0,MATCH("row_id",Enrichment!$A$1:$GZ$1,0)),0),MATCH("backup_work_email",Enrichment!$A$1:$GZ$1,0))&amp;"",""))</f>
        <v/>
      </c>
      <c r="BR85" s="0" t="str">
        <f aca="false">IF($A85="","",IF(BQ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none</v>
      </c>
      <c r="BT85" s="0" t="s">
        <v>380</v>
      </c>
      <c r="BX85" s="0" t="s">
        <v>380</v>
      </c>
      <c r="BY85" s="0" t="s">
        <v>1769</v>
      </c>
      <c r="BZ85" s="0" t="s">
        <v>388</v>
      </c>
      <c r="CA85" s="0" t="s">
        <v>2602</v>
      </c>
      <c r="CB85" s="0" t="s">
        <v>196</v>
      </c>
      <c r="CC85" s="0" t="s">
        <v>2603</v>
      </c>
      <c r="CE85" s="0" t="s">
        <v>2604</v>
      </c>
      <c r="CF85" s="0" t="s">
        <v>425</v>
      </c>
      <c r="CM85" s="0" t="s">
        <v>164</v>
      </c>
      <c r="CN85" s="0" t="s">
        <v>200</v>
      </c>
      <c r="CO85" s="0" t="s">
        <v>201</v>
      </c>
      <c r="CP85" s="0" t="s">
        <v>1</v>
      </c>
      <c r="CQ85" s="0" t="s">
        <v>2605</v>
      </c>
      <c r="CR85" s="0" t="s">
        <v>2606</v>
      </c>
      <c r="CS85" s="0" t="s">
        <v>2607</v>
      </c>
      <c r="CT85" s="0" t="s">
        <v>2474</v>
      </c>
      <c r="CV85" s="0" t="s">
        <v>298</v>
      </c>
      <c r="CW85" s="0" t="s">
        <v>204</v>
      </c>
      <c r="CX85" s="0" t="s">
        <v>205</v>
      </c>
      <c r="CY85" s="0" t="s">
        <v>2608</v>
      </c>
      <c r="DA85" s="0" t="s">
        <v>207</v>
      </c>
      <c r="DB85" s="0" t="s">
        <v>208</v>
      </c>
      <c r="DC85" s="0" t="s">
        <v>189</v>
      </c>
      <c r="DD85" s="0" t="s">
        <v>209</v>
      </c>
      <c r="DE85" s="0" t="s">
        <v>2609</v>
      </c>
      <c r="DF85" s="0" t="s">
        <v>210</v>
      </c>
      <c r="DG85" s="0" t="n">
        <v>40.73865</v>
      </c>
      <c r="DH85" s="0" t="n">
        <v>-73.991471</v>
      </c>
      <c r="DI85" s="0" t="s">
        <v>164</v>
      </c>
      <c r="DJ85" s="0" t="n">
        <v>0</v>
      </c>
      <c r="DK85" s="0" t="s">
        <v>756</v>
      </c>
      <c r="DL85" s="0" t="s">
        <v>757</v>
      </c>
      <c r="DM85" s="0" t="s">
        <v>2204</v>
      </c>
      <c r="DN85" s="0" t="s">
        <v>2205</v>
      </c>
      <c r="DO85" s="0" t="s">
        <v>363</v>
      </c>
      <c r="DS85" s="0" t="s">
        <v>809</v>
      </c>
      <c r="DT85" s="0" t="s">
        <v>209</v>
      </c>
      <c r="DU85" s="0" t="s">
        <v>189</v>
      </c>
      <c r="DX85" s="0" t="s">
        <v>209</v>
      </c>
      <c r="EA85" s="0" t="s">
        <v>209</v>
      </c>
      <c r="EB85" s="0" t="s">
        <v>189</v>
      </c>
      <c r="EC85" s="0" t="s">
        <v>2610</v>
      </c>
      <c r="ED85" s="0" t="s">
        <v>2611</v>
      </c>
      <c r="EE85" s="0" t="s">
        <v>172</v>
      </c>
      <c r="EF85" s="0" t="n">
        <v>10</v>
      </c>
      <c r="EG85" s="0" t="s">
        <v>2529</v>
      </c>
      <c r="EH85" s="0" t="s">
        <v>164</v>
      </c>
      <c r="EI85" s="0" t="s">
        <v>2612</v>
      </c>
      <c r="EJ85" s="0" t="s">
        <v>221</v>
      </c>
      <c r="EK85" s="0" t="n">
        <v>0.06</v>
      </c>
      <c r="EL85" s="0" t="n">
        <v>41.6</v>
      </c>
      <c r="EM85" s="0" t="n">
        <v>1.6</v>
      </c>
      <c r="EN85" s="0" t="n">
        <v>15</v>
      </c>
      <c r="EO85" s="0" t="n">
        <v>15</v>
      </c>
      <c r="EP85" s="0" t="n">
        <v>5</v>
      </c>
      <c r="EQ85" s="0" t="n">
        <f aca="false">IF($A85="","",IF(AH85="exact",10,IF(AH85="adjacent",5,0)))</f>
        <v>0</v>
      </c>
      <c r="ER85" s="0" t="n">
        <f aca="false">IF($A85="","",IF(R85="Y",15,0))</f>
        <v>0</v>
      </c>
      <c r="ES85" s="0" t="s">
        <v>222</v>
      </c>
      <c r="EV85" s="0" t="s">
        <v>2546</v>
      </c>
      <c r="EW85" s="0" t="s">
        <v>224</v>
      </c>
      <c r="EX85" s="0" t="s">
        <v>2613</v>
      </c>
      <c r="EZ85" s="0" t="s">
        <v>2614</v>
      </c>
      <c r="FS85" s="0" t="str">
        <f aca="false">IF($A85="","",IF(ISNUMBER(MATCH(U85,{"queued","contacted","replied","call_booked","call_done","yes_in_principle","materials_sent"},0)),"Y","N"))</f>
        <v>N</v>
      </c>
      <c r="FT85" s="0" t="str">
        <f aca="false">IF($A85="","",IF(OR(T85="Y",U85="do_not_contact",AS85&amp;""&lt;&gt;""),"Y","N"))</f>
        <v>N</v>
      </c>
      <c r="FU85" s="0" t="str">
        <f aca="false">IF($A85="","",IF(AP85&amp;""&lt;&gt;"",AP85&amp;"",$A85))</f>
        <v>AO-C-044</v>
      </c>
      <c r="FV85" s="0" t="str">
        <f aca="false">IF($A85="","",IF(COUNTIFS($FU$2:$FU$1000,FU85,$FS$2:$FS$1000,"Y")+COUNTIFS($FU$2:$FU$1000,FU85,$FT$2:$FT$1000,"Y")&gt;0,"Y","N"))</f>
        <v>N</v>
      </c>
      <c r="FW85" s="0" t="str">
        <f aca="false">IF($A85="","",IF(AND(U85="new",T85="N",FT85="N",AT85="Y",FV85="N"),"Y","N"))</f>
        <v>N</v>
      </c>
      <c r="FX85" s="0" t="str">
        <f aca="false">IF($A85="","",IF(FW85&lt;&gt;"Y","N",IF(COUNTIFS($FU$2:$FU$1000,FU85,$FW$2:$FW$1000,"Y",$J$2:$J$1000,"&gt;"&amp;J85)+COUNTIFS($FU$2:$FU$1000,FU85,$FW$2:$FW$1000,"Y",$J$2:$J$1000,J85,$GD$2:$GD$1000,"&lt;"&amp;GD85)=0,"Y","N")))</f>
        <v>N</v>
      </c>
      <c r="FY85" s="0" t="str">
        <f aca="false">IF($A85="","",IF(AND(FW85="Y",FX85="Y",Y85&amp;""&lt;&gt;""),IF(Y85&lt;=10,"Y","N"),"N"))</f>
        <v>N</v>
      </c>
      <c r="FZ85" s="0" t="str">
        <f aca="false">IF(FY85="Y",Y85,"")</f>
        <v/>
      </c>
      <c r="GA85" s="0" t="str">
        <f aca="false">IF($A85="","",IF(AND(I85="walk-in",CN85="pass",U85="new",FT85="N",FV85="N",AQ85&lt;&gt;"Y"),"Y","N"))</f>
        <v>N</v>
      </c>
      <c r="GB85" s="0" t="str">
        <f aca="false">IF(GA85&lt;&gt;"Y","",IF(COUNTIFS($GA$2:$GA$1000,"Y",$J$2:$J$1000,"&gt;"&amp;J85)+COUNTIFS($GA$2:$GA$1000,"Y",$J$2:$J$1000,J85,$GD$2:$GD$1000,"&lt;"&amp;GD85)+1&lt;=25,COUNTIFS($GA$2:$GA$1000,"Y",$J$2:$J$1000,"&gt;"&amp;J85)+COUNTIFS($GA$2:$GA$1000,"Y",$J$2:$J$1000,J85,$GD$2:$GD$1000,"&lt;"&amp;GD85)+1,""))</f>
        <v/>
      </c>
      <c r="GC85" s="0" t="str">
        <f aca="false">IF(AND(_xlfn.ISFORMULA(C85),_xlfn.ISFORMULA(J85)),"Y","N")</f>
        <v>N</v>
      </c>
      <c r="GD85" s="0" t="n">
        <f aca="false">ROW()-1</f>
        <v>84</v>
      </c>
    </row>
    <row r="86" customFormat="false" ht="15" hidden="false" customHeight="false" outlineLevel="0" collapsed="false">
      <c r="A86" s="0" t="s">
        <v>2555</v>
      </c>
      <c r="B86" s="0" t="s">
        <v>2615</v>
      </c>
      <c r="C86" s="0" t="s">
        <v>2558</v>
      </c>
      <c r="D86" s="0" t="s">
        <v>2616</v>
      </c>
      <c r="E86" s="0" t="s">
        <v>2617</v>
      </c>
      <c r="F86" s="0" t="s">
        <v>2595</v>
      </c>
      <c r="G86" s="0" t="s">
        <v>189</v>
      </c>
      <c r="M86" s="0" t="s">
        <v>380</v>
      </c>
      <c r="R86" s="5"/>
      <c r="U86" s="5"/>
      <c r="V86" s="0" t="s">
        <v>380</v>
      </c>
      <c r="AE86" s="0" t="s">
        <v>1871</v>
      </c>
      <c r="AF86" s="0" t="s">
        <v>2618</v>
      </c>
      <c r="AG86" s="0" t="s">
        <v>2559</v>
      </c>
      <c r="AH86" s="0" t="s">
        <v>2560</v>
      </c>
      <c r="AI86" s="0" t="s">
        <v>2562</v>
      </c>
      <c r="AJ86" s="0" t="s">
        <v>189</v>
      </c>
      <c r="AK86" s="0" t="s">
        <v>186</v>
      </c>
      <c r="AL86" s="0" t="s">
        <v>189</v>
      </c>
      <c r="AM86" s="0" t="n">
        <v>63</v>
      </c>
      <c r="AN86" s="0" t="s">
        <v>187</v>
      </c>
      <c r="AO86" s="0" t="s">
        <v>188</v>
      </c>
      <c r="AP86" s="0" t="s">
        <v>2619</v>
      </c>
      <c r="AQ86" s="5" t="s">
        <v>189</v>
      </c>
      <c r="AT86" s="0" t="str">
        <f aca="false">IF($A86="","",IF(AND(CN86="pass",AQ86&lt;&gt;"Y",C86&lt;&gt;"",OR(AX86&lt;&gt;"Y",AV86="Y")),"Y","N"))</f>
        <v>N</v>
      </c>
      <c r="AU86" s="0" t="str">
        <f aca="false">IF($A86="","",_xlfn.TEXTJOIN("; ",TRUE(),IF(CN86&lt;&gt;"pass","gated out",""),IF(AQ86="Y","on hold: "&amp;AR86,""),IF(C86="","no contact named on an opened page",""),IF(AND(AX86="Y",AV86&lt;&gt;"Y"),"Tuesday estimate band "&amp;L86&amp;": founder's call","")))</f>
        <v>Tuesday estimate band : founder's call</v>
      </c>
      <c r="AX86" s="0" t="s">
        <v>164</v>
      </c>
      <c r="BC86" s="0" t="str">
        <f aca="false">IF($A86="","",IFERROR(INDEX(Enrichment!$A$2:$GZ$2000,MATCH($A86,INDEX(Enrichment!$A$2:$GZ$2000,0,MATCH("row_id",Enrichment!$A$1:$GZ$1,0)),0),MATCH("work_email",Enrichment!$A$1:$GZ$1,0))&amp;"",""))</f>
        <v/>
      </c>
      <c r="BD86" s="0" t="str">
        <f aca="false">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none</v>
      </c>
      <c r="BF86" s="0" t="s">
        <v>380</v>
      </c>
      <c r="BJ86" s="0" t="s">
        <v>380</v>
      </c>
      <c r="BK86" s="0" t="s">
        <v>2194</v>
      </c>
      <c r="BL86" s="0" t="s">
        <v>896</v>
      </c>
      <c r="BQ86" s="0" t="str">
        <f aca="false">IF($A86="","",IFERROR(INDEX(Enrichment!$A$2:$GZ$2000,MATCH($A86,INDEX(Enrichment!$A$2:$GZ$2000,0,MATCH("row_id",Enrichment!$A$1:$GZ$1,0)),0),MATCH("backup_work_email",Enrichment!$A$1:$GZ$1,0))&amp;"",""))</f>
        <v/>
      </c>
      <c r="BR86" s="0" t="str">
        <f aca="false">IF($A86="","",IF(BQ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none</v>
      </c>
      <c r="BT86" s="0" t="s">
        <v>380</v>
      </c>
      <c r="BX86" s="0" t="s">
        <v>380</v>
      </c>
      <c r="BY86" s="0" t="s">
        <v>1769</v>
      </c>
      <c r="BZ86" s="0" t="s">
        <v>388</v>
      </c>
      <c r="CA86" s="0" t="s">
        <v>2620</v>
      </c>
      <c r="CB86" s="0" t="s">
        <v>196</v>
      </c>
      <c r="CM86" s="0" t="s">
        <v>189</v>
      </c>
      <c r="CN86" s="0" t="s">
        <v>200</v>
      </c>
      <c r="CO86" s="0" t="s">
        <v>201</v>
      </c>
      <c r="CP86" s="0" t="s">
        <v>1</v>
      </c>
      <c r="CQ86" s="0" t="s">
        <v>2621</v>
      </c>
      <c r="CR86" s="0" t="s">
        <v>209</v>
      </c>
      <c r="CS86" s="0" t="s">
        <v>2622</v>
      </c>
      <c r="CT86" s="0" t="s">
        <v>2070</v>
      </c>
      <c r="CU86" s="0" t="s">
        <v>1025</v>
      </c>
      <c r="CV86" s="0" t="s">
        <v>209</v>
      </c>
      <c r="CW86" s="0" t="s">
        <v>209</v>
      </c>
      <c r="CX86" s="0" t="s">
        <v>440</v>
      </c>
      <c r="CY86" s="0" t="s">
        <v>2623</v>
      </c>
      <c r="CZ86" s="0" t="s">
        <v>2624</v>
      </c>
      <c r="DA86" s="0" t="s">
        <v>207</v>
      </c>
      <c r="DB86" s="0" t="s">
        <v>259</v>
      </c>
      <c r="DC86" s="0" t="s">
        <v>164</v>
      </c>
      <c r="DD86" s="0" t="s">
        <v>209</v>
      </c>
      <c r="DE86" s="0" t="s">
        <v>209</v>
      </c>
      <c r="DF86" s="0" t="s">
        <v>210</v>
      </c>
      <c r="DG86" s="0" t="n">
        <v>40.734626</v>
      </c>
      <c r="DH86" s="0" t="n">
        <v>-73.9911</v>
      </c>
      <c r="DI86" s="0" t="s">
        <v>164</v>
      </c>
      <c r="DJ86" s="0" t="n">
        <v>0</v>
      </c>
      <c r="DK86" s="0" t="s">
        <v>1542</v>
      </c>
      <c r="DL86" s="0" t="s">
        <v>1543</v>
      </c>
      <c r="DM86" s="0" t="s">
        <v>2625</v>
      </c>
      <c r="DN86" s="0" t="s">
        <v>2626</v>
      </c>
      <c r="DO86" s="0" t="s">
        <v>363</v>
      </c>
      <c r="DS86" s="0" t="s">
        <v>187</v>
      </c>
      <c r="DU86" s="0" t="s">
        <v>189</v>
      </c>
      <c r="DX86" s="0" t="s">
        <v>267</v>
      </c>
      <c r="DY86" s="0" t="s">
        <v>1548</v>
      </c>
      <c r="EA86" s="0" t="s">
        <v>209</v>
      </c>
      <c r="EB86" s="0" t="s">
        <v>189</v>
      </c>
      <c r="EC86" s="0" t="s">
        <v>218</v>
      </c>
      <c r="ED86" s="0" t="s">
        <v>2627</v>
      </c>
      <c r="EE86" s="0" t="s">
        <v>172</v>
      </c>
      <c r="EF86" s="0" t="n">
        <v>26</v>
      </c>
      <c r="EG86" s="0" t="s">
        <v>2529</v>
      </c>
      <c r="EH86" s="0" t="s">
        <v>164</v>
      </c>
      <c r="EI86" s="0" t="s">
        <v>2628</v>
      </c>
      <c r="EJ86" s="0" t="s">
        <v>221</v>
      </c>
      <c r="EK86" s="0" t="n">
        <v>0.26</v>
      </c>
      <c r="EL86" s="0" t="n">
        <v>41.5</v>
      </c>
      <c r="EM86" s="0" t="n">
        <v>6.5</v>
      </c>
      <c r="EN86" s="0" t="n">
        <v>15</v>
      </c>
      <c r="EO86" s="0" t="n">
        <v>15</v>
      </c>
      <c r="EP86" s="0" t="n">
        <v>5</v>
      </c>
      <c r="EQ86" s="0" t="n">
        <f aca="false">IF($A86="","",IF(AH86="exact",10,IF(AH86="adjacent",5,0)))</f>
        <v>0</v>
      </c>
      <c r="ER86" s="0" t="n">
        <f aca="false">IF($A86="","",IF(R86="Y",15,0))</f>
        <v>0</v>
      </c>
      <c r="ES86" s="0" t="s">
        <v>222</v>
      </c>
      <c r="EV86" s="0" t="s">
        <v>2629</v>
      </c>
      <c r="EW86" s="0" t="s">
        <v>224</v>
      </c>
      <c r="EX86" s="0" t="s">
        <v>2630</v>
      </c>
      <c r="FS86" s="0" t="str">
        <f aca="false">IF($A86="","",IF(ISNUMBER(MATCH(U86,{"queued","contacted","replied","call_booked","call_done","yes_in_principle","materials_sent"},0)),"Y","N"))</f>
        <v>N</v>
      </c>
      <c r="FT86" s="0" t="str">
        <f aca="false">IF($A86="","",IF(OR(T86="Y",U86="do_not_contact",AS86&amp;""&lt;&gt;""),"Y","N"))</f>
        <v>N</v>
      </c>
      <c r="FU86" s="0" t="str">
        <f aca="false">IF($A86="","",IF(AP86&amp;""&lt;&gt;"",AP86&amp;"",$A86))</f>
        <v>AO-C-003</v>
      </c>
      <c r="FV86" s="0" t="str">
        <f aca="false">IF($A86="","",IF(COUNTIFS($FU$2:$FU$1000,FU86,$FS$2:$FS$1000,"Y")+COUNTIFS($FU$2:$FU$1000,FU86,$FT$2:$FT$1000,"Y")&gt;0,"Y","N"))</f>
        <v>N</v>
      </c>
      <c r="FW86" s="0" t="str">
        <f aca="false">IF($A86="","",IF(AND(U86="new",T86="N",FT86="N",AT86="Y",FV86="N"),"Y","N"))</f>
        <v>N</v>
      </c>
      <c r="FX86" s="0" t="str">
        <f aca="false">IF($A86="","",IF(FW86&lt;&gt;"Y","N",IF(COUNTIFS($FU$2:$FU$1000,FU86,$FW$2:$FW$1000,"Y",$J$2:$J$1000,"&gt;"&amp;J86)+COUNTIFS($FU$2:$FU$1000,FU86,$FW$2:$FW$1000,"Y",$J$2:$J$1000,J86,$GD$2:$GD$1000,"&lt;"&amp;GD86)=0,"Y","N")))</f>
        <v>N</v>
      </c>
      <c r="FY86" s="0" t="str">
        <f aca="false">IF($A86="","",IF(AND(FW86="Y",FX86="Y",Y86&amp;""&lt;&gt;""),IF(Y86&lt;=10,"Y","N"),"N"))</f>
        <v>N</v>
      </c>
      <c r="FZ86" s="0" t="str">
        <f aca="false">IF(FY86="Y",Y86,"")</f>
        <v/>
      </c>
      <c r="GA86" s="0" t="str">
        <f aca="false">IF($A86="","",IF(AND(I86="walk-in",CN86="pass",U86="new",FT86="N",FV86="N",AQ86&lt;&gt;"Y"),"Y","N"))</f>
        <v>N</v>
      </c>
      <c r="GB86" s="0" t="str">
        <f aca="false">IF(GA86&lt;&gt;"Y","",IF(COUNTIFS($GA$2:$GA$1000,"Y",$J$2:$J$1000,"&gt;"&amp;J86)+COUNTIFS($GA$2:$GA$1000,"Y",$J$2:$J$1000,J86,$GD$2:$GD$1000,"&lt;"&amp;GD86)+1&lt;=25,COUNTIFS($GA$2:$GA$1000,"Y",$J$2:$J$1000,"&gt;"&amp;J86)+COUNTIFS($GA$2:$GA$1000,"Y",$J$2:$J$1000,J86,$GD$2:$GD$1000,"&lt;"&amp;GD86)+1,""))</f>
        <v/>
      </c>
      <c r="GC86" s="0" t="str">
        <f aca="false">IF(AND(_xlfn.ISFORMULA(C86),_xlfn.ISFORMULA(J86)),"Y","N")</f>
        <v>N</v>
      </c>
      <c r="GD86" s="0" t="n">
        <f aca="false">ROW()-1</f>
        <v>85</v>
      </c>
    </row>
    <row r="87" customFormat="false" ht="15" hidden="false" customHeight="false" outlineLevel="0" collapsed="false">
      <c r="A87" s="0" t="s">
        <v>2574</v>
      </c>
      <c r="B87" s="0" t="s">
        <v>2631</v>
      </c>
      <c r="C87" s="0" t="s">
        <v>2577</v>
      </c>
      <c r="D87" s="0" t="s">
        <v>2632</v>
      </c>
      <c r="E87" s="0" t="s">
        <v>1775</v>
      </c>
      <c r="F87" s="0" t="s">
        <v>2633</v>
      </c>
      <c r="G87" s="0" t="s">
        <v>189</v>
      </c>
      <c r="M87" s="0" t="s">
        <v>380</v>
      </c>
      <c r="R87" s="5"/>
      <c r="U87" s="5"/>
      <c r="V87" s="0" t="s">
        <v>380</v>
      </c>
      <c r="AE87" s="0" t="s">
        <v>2634</v>
      </c>
      <c r="AF87" s="0" t="s">
        <v>209</v>
      </c>
      <c r="AG87" s="0" t="s">
        <v>2578</v>
      </c>
      <c r="AH87" s="0" t="s">
        <v>2579</v>
      </c>
      <c r="AI87" s="0" t="s">
        <v>2582</v>
      </c>
      <c r="AJ87" s="0" t="s">
        <v>189</v>
      </c>
      <c r="AK87" s="0" t="s">
        <v>186</v>
      </c>
      <c r="AL87" s="0" t="s">
        <v>189</v>
      </c>
      <c r="AM87" s="0" t="n">
        <v>513</v>
      </c>
      <c r="AN87" s="0" t="s">
        <v>187</v>
      </c>
      <c r="AO87" s="0" t="s">
        <v>188</v>
      </c>
      <c r="AP87" s="0" t="s">
        <v>2635</v>
      </c>
      <c r="AQ87" s="5" t="s">
        <v>189</v>
      </c>
      <c r="AT87" s="0" t="str">
        <f aca="false">IF($A87="","",IF(AND(CN87="pass",AQ87&lt;&gt;"Y",C87&lt;&gt;"",OR(AX87&lt;&gt;"Y",AV87="Y")),"Y","N"))</f>
        <v>Y</v>
      </c>
      <c r="AU87" s="0" t="str">
        <f aca="false">IF($A87="","",_xlfn.TEXTJOIN("; ",TRUE(),IF(CN87&lt;&gt;"pass","gated out",""),IF(AQ87="Y","on hold: "&amp;AR87,""),IF(C87="","no contact named on an opened page",""),IF(AND(AX87="Y",AV87&lt;&gt;"Y"),"Tuesday estimate band "&amp;L87&amp;": founder's call","")))</f>
        <v/>
      </c>
      <c r="AX87" s="0" t="s">
        <v>189</v>
      </c>
      <c r="BC87" s="0" t="str">
        <f aca="false">IF($A87="","",IFERROR(INDEX(Enrichment!$A$2:$GZ$2000,MATCH($A87,INDEX(Enrichment!$A$2:$GZ$2000,0,MATCH("row_id",Enrichment!$A$1:$GZ$1,0)),0),MATCH("work_email",Enrichment!$A$1:$GZ$1,0))&amp;"",""))</f>
        <v/>
      </c>
      <c r="BD87" s="0" t="str">
        <f aca="false">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none</v>
      </c>
      <c r="BF87" s="0" t="s">
        <v>380</v>
      </c>
      <c r="BJ87" s="0" t="s">
        <v>380</v>
      </c>
      <c r="BL87" s="0" t="s">
        <v>896</v>
      </c>
      <c r="BQ87" s="0" t="str">
        <f aca="false">IF($A87="","",IFERROR(INDEX(Enrichment!$A$2:$GZ$2000,MATCH($A87,INDEX(Enrichment!$A$2:$GZ$2000,0,MATCH("row_id",Enrichment!$A$1:$GZ$1,0)),0),MATCH("backup_work_email",Enrichment!$A$1:$GZ$1,0))&amp;"",""))</f>
        <v/>
      </c>
      <c r="BR87" s="0" t="str">
        <f aca="false">IF($A87="","",IF(BQ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none</v>
      </c>
      <c r="BT87" s="0" t="s">
        <v>380</v>
      </c>
      <c r="BX87" s="0" t="s">
        <v>380</v>
      </c>
      <c r="BY87" s="0" t="s">
        <v>387</v>
      </c>
      <c r="BZ87" s="0" t="s">
        <v>388</v>
      </c>
      <c r="CA87" s="0" t="s">
        <v>2636</v>
      </c>
      <c r="CB87" s="0" t="s">
        <v>196</v>
      </c>
      <c r="CM87" s="0" t="s">
        <v>189</v>
      </c>
      <c r="CN87" s="0" t="s">
        <v>200</v>
      </c>
      <c r="CO87" s="0" t="s">
        <v>201</v>
      </c>
      <c r="CP87" s="0" t="s">
        <v>1</v>
      </c>
      <c r="CQ87" s="0" t="s">
        <v>2637</v>
      </c>
      <c r="CR87" s="0" t="s">
        <v>2638</v>
      </c>
      <c r="CS87" s="0" t="s">
        <v>2639</v>
      </c>
      <c r="CT87" s="0" t="s">
        <v>2640</v>
      </c>
      <c r="CV87" s="0" t="s">
        <v>976</v>
      </c>
      <c r="CW87" s="0" t="s">
        <v>204</v>
      </c>
      <c r="CX87" s="0" t="s">
        <v>205</v>
      </c>
      <c r="CY87" s="0" t="s">
        <v>2641</v>
      </c>
      <c r="DA87" s="0" t="s">
        <v>1351</v>
      </c>
      <c r="DB87" s="0" t="s">
        <v>208</v>
      </c>
      <c r="DC87" s="0" t="s">
        <v>189</v>
      </c>
      <c r="DD87" s="0" t="s">
        <v>209</v>
      </c>
      <c r="DE87" s="0" t="s">
        <v>2642</v>
      </c>
      <c r="DG87" s="0" t="n">
        <v>40.739614</v>
      </c>
      <c r="DH87" s="0" t="n">
        <v>-73.988361</v>
      </c>
      <c r="DI87" s="0" t="s">
        <v>164</v>
      </c>
      <c r="DJ87" s="0" t="n">
        <v>0</v>
      </c>
      <c r="DL87" s="0" t="s">
        <v>209</v>
      </c>
      <c r="DM87" s="0" t="s">
        <v>2643</v>
      </c>
      <c r="DN87" s="0" t="s">
        <v>263</v>
      </c>
      <c r="DO87" s="0" t="s">
        <v>651</v>
      </c>
      <c r="DS87" s="0" t="s">
        <v>187</v>
      </c>
      <c r="DU87" s="0" t="s">
        <v>189</v>
      </c>
      <c r="DX87" s="0" t="s">
        <v>209</v>
      </c>
      <c r="EA87" s="0" t="s">
        <v>209</v>
      </c>
      <c r="EB87" s="0" t="s">
        <v>189</v>
      </c>
      <c r="EC87" s="0" t="s">
        <v>2644</v>
      </c>
      <c r="ED87" s="0" t="s">
        <v>2643</v>
      </c>
      <c r="EE87" s="0" t="s">
        <v>172</v>
      </c>
      <c r="EF87" s="0" t="n">
        <v>115</v>
      </c>
      <c r="EG87" s="0" t="s">
        <v>945</v>
      </c>
      <c r="EH87" s="0" t="s">
        <v>189</v>
      </c>
      <c r="EI87" s="0" t="s">
        <v>2645</v>
      </c>
      <c r="EJ87" s="0" t="s">
        <v>221</v>
      </c>
      <c r="EK87" s="0" t="n">
        <v>0.61</v>
      </c>
      <c r="EL87" s="0" t="n">
        <v>41.4</v>
      </c>
      <c r="EM87" s="0" t="n">
        <v>15.4</v>
      </c>
      <c r="EN87" s="0" t="n">
        <v>6</v>
      </c>
      <c r="EO87" s="0" t="n">
        <v>15</v>
      </c>
      <c r="EP87" s="0" t="n">
        <v>5</v>
      </c>
      <c r="EQ87" s="0" t="n">
        <f aca="false">IF($A87="","",IF(AH87="exact",10,IF(AH87="adjacent",5,0)))</f>
        <v>0</v>
      </c>
      <c r="ER87" s="0" t="n">
        <f aca="false">IF($A87="","",IF(R87="Y",15,0))</f>
        <v>0</v>
      </c>
      <c r="ES87" s="0" t="s">
        <v>982</v>
      </c>
      <c r="ET87" s="0" t="s">
        <v>1360</v>
      </c>
      <c r="EU87" s="0" t="s">
        <v>189</v>
      </c>
      <c r="EX87" s="0" t="s">
        <v>2646</v>
      </c>
      <c r="EZ87" s="0" t="s">
        <v>2647</v>
      </c>
      <c r="FS87" s="0" t="str">
        <f aca="false">IF($A87="","",IF(ISNUMBER(MATCH(U87,{"queued","contacted","replied","call_booked","call_done","yes_in_principle","materials_sent"},0)),"Y","N"))</f>
        <v>N</v>
      </c>
      <c r="FT87" s="0" t="str">
        <f aca="false">IF($A87="","",IF(OR(T87="Y",U87="do_not_contact",AS87&amp;""&lt;&gt;""),"Y","N"))</f>
        <v>N</v>
      </c>
      <c r="FU87" s="0" t="str">
        <f aca="false">IF($A87="","",IF(AP87&amp;""&lt;&gt;"",AP87&amp;"",$A87))</f>
        <v>AO-C-217</v>
      </c>
      <c r="FV87" s="0" t="str">
        <f aca="false">IF($A87="","",IF(COUNTIFS($FU$2:$FU$1000,FU87,$FS$2:$FS$1000,"Y")+COUNTIFS($FU$2:$FU$1000,FU87,$FT$2:$FT$1000,"Y")&gt;0,"Y","N"))</f>
        <v>N</v>
      </c>
      <c r="FW87" s="0" t="str">
        <f aca="false">IF($A87="","",IF(AND(U87="new",T87="N",FT87="N",AT87="Y",FV87="N"),"Y","N"))</f>
        <v>N</v>
      </c>
      <c r="FX87" s="0" t="str">
        <f aca="false">IF($A87="","",IF(FW87&lt;&gt;"Y","N",IF(COUNTIFS($FU$2:$FU$1000,FU87,$FW$2:$FW$1000,"Y",$J$2:$J$1000,"&gt;"&amp;J87)+COUNTIFS($FU$2:$FU$1000,FU87,$FW$2:$FW$1000,"Y",$J$2:$J$1000,J87,$GD$2:$GD$1000,"&lt;"&amp;GD87)=0,"Y","N")))</f>
        <v>N</v>
      </c>
      <c r="FY87" s="0" t="str">
        <f aca="false">IF($A87="","",IF(AND(FW87="Y",FX87="Y",Y87&amp;""&lt;&gt;""),IF(Y87&lt;=10,"Y","N"),"N"))</f>
        <v>N</v>
      </c>
      <c r="FZ87" s="0" t="str">
        <f aca="false">IF(FY87="Y",Y87,"")</f>
        <v/>
      </c>
      <c r="GA87" s="0" t="str">
        <f aca="false">IF($A87="","",IF(AND(I87="walk-in",CN87="pass",U87="new",FT87="N",FV87="N",AQ87&lt;&gt;"Y"),"Y","N"))</f>
        <v>N</v>
      </c>
      <c r="GB87" s="0" t="str">
        <f aca="false">IF(GA87&lt;&gt;"Y","",IF(COUNTIFS($GA$2:$GA$1000,"Y",$J$2:$J$1000,"&gt;"&amp;J87)+COUNTIFS($GA$2:$GA$1000,"Y",$J$2:$J$1000,J87,$GD$2:$GD$1000,"&lt;"&amp;GD87)+1&lt;=25,COUNTIFS($GA$2:$GA$1000,"Y",$J$2:$J$1000,"&gt;"&amp;J87)+COUNTIFS($GA$2:$GA$1000,"Y",$J$2:$J$1000,J87,$GD$2:$GD$1000,"&lt;"&amp;GD87)+1,""))</f>
        <v/>
      </c>
      <c r="GC87" s="0" t="str">
        <f aca="false">IF(AND(_xlfn.ISFORMULA(C87),_xlfn.ISFORMULA(J87)),"Y","N")</f>
        <v>N</v>
      </c>
      <c r="GD87" s="0" t="n">
        <f aca="false">ROW()-1</f>
        <v>86</v>
      </c>
    </row>
    <row r="88" customFormat="false" ht="15" hidden="false" customHeight="false" outlineLevel="0" collapsed="false">
      <c r="A88" s="0" t="s">
        <v>2597</v>
      </c>
      <c r="B88" s="0" t="s">
        <v>2648</v>
      </c>
      <c r="C88" s="0" t="s">
        <v>2606</v>
      </c>
      <c r="D88" s="0" t="s">
        <v>2649</v>
      </c>
      <c r="E88" s="0" t="s">
        <v>2650</v>
      </c>
      <c r="F88" s="0" t="s">
        <v>2651</v>
      </c>
      <c r="G88" s="0" t="s">
        <v>189</v>
      </c>
      <c r="H88" s="0" t="s">
        <v>2598</v>
      </c>
      <c r="I88" s="0" t="s">
        <v>2599</v>
      </c>
      <c r="J88" s="0" t="s">
        <v>862</v>
      </c>
      <c r="L88" s="0" t="s">
        <v>168</v>
      </c>
      <c r="M88" s="0" t="s">
        <v>169</v>
      </c>
      <c r="N88" s="0" t="s">
        <v>170</v>
      </c>
      <c r="O88" s="0" t="s">
        <v>2600</v>
      </c>
      <c r="P88" s="0" t="s">
        <v>172</v>
      </c>
      <c r="R88" s="5"/>
      <c r="U88" s="5"/>
      <c r="V88" s="0" t="s">
        <v>380</v>
      </c>
      <c r="AE88" s="0" t="s">
        <v>1616</v>
      </c>
      <c r="AF88" s="0" t="s">
        <v>279</v>
      </c>
      <c r="AG88" s="0" t="s">
        <v>2607</v>
      </c>
      <c r="AH88" s="0" t="s">
        <v>2474</v>
      </c>
      <c r="AI88" s="0" t="s">
        <v>2609</v>
      </c>
      <c r="AJ88" s="0" t="s">
        <v>189</v>
      </c>
      <c r="AK88" s="0" t="s">
        <v>1794</v>
      </c>
      <c r="AL88" s="0" t="s">
        <v>164</v>
      </c>
      <c r="AM88" s="0" t="n">
        <v>376</v>
      </c>
      <c r="AN88" s="0" t="s">
        <v>187</v>
      </c>
      <c r="AO88" s="0" t="s">
        <v>188</v>
      </c>
      <c r="AP88" s="0" t="s">
        <v>2652</v>
      </c>
      <c r="AQ88" s="5" t="s">
        <v>164</v>
      </c>
      <c r="AR88" s="0" t="s">
        <v>779</v>
      </c>
      <c r="AT88" s="0" t="str">
        <f aca="false">IF($A88="","",IF(AND(CN88="pass",AQ88&lt;&gt;"Y",C88&lt;&gt;"",OR(AX88&lt;&gt;"Y",AV88="Y")),"Y","N"))</f>
        <v>N</v>
      </c>
      <c r="AU88" s="0" t="str">
        <f aca="false">IF($A88="","",_xlfn.TEXTJOIN("; ",TRUE(),IF(CN88&lt;&gt;"pass","gated out",""),IF(AQ88="Y","on hold: "&amp;AR88,""),IF(C88="","no contact named on an opened page",""),IF(AND(AX88="Y",AV88&lt;&gt;"Y"),"Tuesday estimate band "&amp;L88&amp;": founder's call","")))</f>
        <v>on hold: lease signed, move not confirmed: check the lobby directory before outreach (B); Tuesday estimate band pantry or office lead (primary): founder's call</v>
      </c>
      <c r="AX88" s="0" t="s">
        <v>164</v>
      </c>
      <c r="AY88" s="0" t="s">
        <v>2653</v>
      </c>
      <c r="AZ88" s="0" t="s">
        <v>2654</v>
      </c>
      <c r="BA88" s="0" t="s">
        <v>2655</v>
      </c>
      <c r="BC88" s="0" t="str">
        <f aca="false">IF($A88="","",IFERROR(INDEX(Enrichment!$A$2:$GZ$2000,MATCH($A88,INDEX(Enrichment!$A$2:$GZ$2000,0,MATCH("row_id",Enrichment!$A$1:$GZ$1,0)),0),MATCH("work_email",Enrichment!$A$1:$GZ$1,0))&amp;"",""))</f>
        <v/>
      </c>
      <c r="BD88" s="0" t="str">
        <f aca="false">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none</v>
      </c>
      <c r="BE88" s="0" t="s">
        <v>168</v>
      </c>
      <c r="BF88" s="0" t="s">
        <v>169</v>
      </c>
      <c r="BG88" s="0" t="s">
        <v>170</v>
      </c>
      <c r="BH88" s="0" t="s">
        <v>2656</v>
      </c>
      <c r="BI88" s="0" t="s">
        <v>172</v>
      </c>
      <c r="BJ88" s="0" t="s">
        <v>301</v>
      </c>
      <c r="BK88" s="0" t="s">
        <v>2657</v>
      </c>
      <c r="BL88" s="0" t="s">
        <v>2658</v>
      </c>
      <c r="BM88" s="0" t="s">
        <v>2659</v>
      </c>
      <c r="BN88" s="0" t="s">
        <v>542</v>
      </c>
      <c r="BO88" s="0" t="s">
        <v>2660</v>
      </c>
      <c r="BQ88" s="0" t="str">
        <f aca="false">IF($A88="","",IFERROR(INDEX(Enrichment!$A$2:$GZ$2000,MATCH($A88,INDEX(Enrichment!$A$2:$GZ$2000,0,MATCH("row_id",Enrichment!$A$1:$GZ$1,0)),0),MATCH("backup_work_email",Enrichment!$A$1:$GZ$1,0))&amp;"",""))</f>
        <v/>
      </c>
      <c r="BR88" s="0" t="str">
        <f aca="false">IF($A88="","",IF(BQ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none</v>
      </c>
      <c r="BS88" s="0" t="s">
        <v>176</v>
      </c>
      <c r="BT88" s="0" t="s">
        <v>283</v>
      </c>
      <c r="BU88" s="0" t="s">
        <v>284</v>
      </c>
      <c r="BV88" s="0" t="s">
        <v>2661</v>
      </c>
      <c r="BW88" s="0" t="s">
        <v>172</v>
      </c>
      <c r="BX88" s="0" t="s">
        <v>190</v>
      </c>
      <c r="BY88" s="0" t="s">
        <v>2662</v>
      </c>
      <c r="BZ88" s="0" t="s">
        <v>2663</v>
      </c>
      <c r="CA88" s="0" t="s">
        <v>2664</v>
      </c>
      <c r="CB88" s="0" t="s">
        <v>196</v>
      </c>
      <c r="CC88" s="0" t="s">
        <v>2665</v>
      </c>
      <c r="CE88" s="0" t="s">
        <v>2666</v>
      </c>
      <c r="CF88" s="0" t="s">
        <v>180</v>
      </c>
      <c r="CH88" s="0" t="s">
        <v>2667</v>
      </c>
      <c r="CI88" s="0" t="s">
        <v>2668</v>
      </c>
      <c r="CJ88" s="0" t="s">
        <v>2669</v>
      </c>
      <c r="CK88" s="0" t="s">
        <v>352</v>
      </c>
      <c r="CM88" s="0" t="s">
        <v>164</v>
      </c>
      <c r="CN88" s="0" t="s">
        <v>200</v>
      </c>
      <c r="CO88" s="0" t="s">
        <v>201</v>
      </c>
      <c r="CP88" s="0" t="s">
        <v>1</v>
      </c>
      <c r="CQ88" s="0" t="s">
        <v>2670</v>
      </c>
      <c r="CR88" s="0" t="s">
        <v>2671</v>
      </c>
      <c r="CS88" s="0" t="s">
        <v>2672</v>
      </c>
      <c r="CT88" s="0" t="s">
        <v>2673</v>
      </c>
      <c r="CV88" s="0" t="s">
        <v>976</v>
      </c>
      <c r="CW88" s="0" t="s">
        <v>204</v>
      </c>
      <c r="CX88" s="0" t="s">
        <v>205</v>
      </c>
      <c r="CY88" s="0" t="s">
        <v>2674</v>
      </c>
      <c r="DA88" s="0" t="s">
        <v>1351</v>
      </c>
      <c r="DB88" s="0" t="s">
        <v>259</v>
      </c>
      <c r="DC88" s="0" t="s">
        <v>164</v>
      </c>
      <c r="DD88" s="0" t="s">
        <v>209</v>
      </c>
      <c r="DE88" s="0" t="s">
        <v>2675</v>
      </c>
      <c r="DF88" s="0" t="s">
        <v>210</v>
      </c>
      <c r="DG88" s="0" t="n">
        <v>40.734305</v>
      </c>
      <c r="DH88" s="0" t="n">
        <v>-73.991059</v>
      </c>
      <c r="DI88" s="0" t="s">
        <v>164</v>
      </c>
      <c r="DJ88" s="0" t="n">
        <v>0</v>
      </c>
      <c r="DK88" s="0" t="s">
        <v>1542</v>
      </c>
      <c r="DL88" s="0" t="s">
        <v>1543</v>
      </c>
      <c r="DM88" s="0" t="s">
        <v>2676</v>
      </c>
      <c r="DN88" s="0" t="s">
        <v>2677</v>
      </c>
      <c r="DO88" s="0" t="s">
        <v>363</v>
      </c>
      <c r="DP88" s="0" t="s">
        <v>2678</v>
      </c>
      <c r="DQ88" s="0" t="s">
        <v>2679</v>
      </c>
      <c r="DS88" s="0" t="s">
        <v>809</v>
      </c>
      <c r="DT88" s="0" t="s">
        <v>209</v>
      </c>
      <c r="DU88" s="0" t="s">
        <v>189</v>
      </c>
      <c r="DX88" s="0" t="s">
        <v>267</v>
      </c>
      <c r="DY88" s="0" t="s">
        <v>1548</v>
      </c>
      <c r="EA88" s="0" t="s">
        <v>209</v>
      </c>
      <c r="EB88" s="0" t="s">
        <v>189</v>
      </c>
      <c r="EC88" s="0" t="s">
        <v>218</v>
      </c>
      <c r="ED88" s="0" t="s">
        <v>2680</v>
      </c>
      <c r="EE88" s="0" t="s">
        <v>172</v>
      </c>
      <c r="EF88" s="0" t="n">
        <v>266</v>
      </c>
      <c r="EG88" s="0" t="s">
        <v>366</v>
      </c>
      <c r="EH88" s="0" t="s">
        <v>189</v>
      </c>
      <c r="EI88" s="0" t="s">
        <v>2681</v>
      </c>
      <c r="EJ88" s="0" t="s">
        <v>221</v>
      </c>
      <c r="EK88" s="0" t="n">
        <v>0.41</v>
      </c>
      <c r="EL88" s="0" t="n">
        <v>41.3</v>
      </c>
      <c r="EM88" s="0" t="n">
        <v>10.3</v>
      </c>
      <c r="EN88" s="0" t="n">
        <v>6</v>
      </c>
      <c r="EO88" s="0" t="n">
        <v>15</v>
      </c>
      <c r="EP88" s="0" t="n">
        <v>5</v>
      </c>
      <c r="EQ88" s="0" t="n">
        <f aca="false">IF($A88="","",IF(AH88="exact",10,IF(AH88="adjacent",5,0)))</f>
        <v>0</v>
      </c>
      <c r="ER88" s="0" t="n">
        <f aca="false">IF($A88="","",IF(R88="Y",15,0))</f>
        <v>0</v>
      </c>
      <c r="ES88" s="0" t="s">
        <v>982</v>
      </c>
      <c r="ET88" s="0" t="s">
        <v>1360</v>
      </c>
      <c r="EU88" s="0" t="s">
        <v>189</v>
      </c>
      <c r="EV88" s="0" t="s">
        <v>2682</v>
      </c>
      <c r="EW88" s="0" t="s">
        <v>224</v>
      </c>
      <c r="EX88" s="0" t="s">
        <v>2683</v>
      </c>
      <c r="EZ88" s="0" t="s">
        <v>2684</v>
      </c>
      <c r="FS88" s="0" t="str">
        <f aca="false">IF($A88="","",IF(ISNUMBER(MATCH(U88,{"queued","contacted","replied","call_booked","call_done","yes_in_principle","materials_sent"},0)),"Y","N"))</f>
        <v>N</v>
      </c>
      <c r="FT88" s="0" t="str">
        <f aca="false">IF($A88="","",IF(OR(T88="Y",U88="do_not_contact",AS88&amp;""&lt;&gt;""),"Y","N"))</f>
        <v>N</v>
      </c>
      <c r="FU88" s="0" t="str">
        <f aca="false">IF($A88="","",IF(AP88&amp;""&lt;&gt;"",AP88&amp;"",$A88))</f>
        <v>AO-C-180</v>
      </c>
      <c r="FV88" s="0" t="str">
        <f aca="false">IF($A88="","",IF(COUNTIFS($FU$2:$FU$1000,FU88,$FS$2:$FS$1000,"Y")+COUNTIFS($FU$2:$FU$1000,FU88,$FT$2:$FT$1000,"Y")&gt;0,"Y","N"))</f>
        <v>N</v>
      </c>
      <c r="FW88" s="0" t="str">
        <f aca="false">IF($A88="","",IF(AND(U88="new",T88="N",FT88="N",AT88="Y",FV88="N"),"Y","N"))</f>
        <v>N</v>
      </c>
      <c r="FX88" s="0" t="str">
        <f aca="false">IF($A88="","",IF(FW88&lt;&gt;"Y","N",IF(COUNTIFS($FU$2:$FU$1000,FU88,$FW$2:$FW$1000,"Y",$J$2:$J$1000,"&gt;"&amp;J88)+COUNTIFS($FU$2:$FU$1000,FU88,$FW$2:$FW$1000,"Y",$J$2:$J$1000,J88,$GD$2:$GD$1000,"&lt;"&amp;GD88)=0,"Y","N")))</f>
        <v>N</v>
      </c>
      <c r="FY88" s="0" t="str">
        <f aca="false">IF($A88="","",IF(AND(FW88="Y",FX88="Y",Y88&amp;""&lt;&gt;""),IF(Y88&lt;=10,"Y","N"),"N"))</f>
        <v>N</v>
      </c>
      <c r="FZ88" s="0" t="str">
        <f aca="false">IF(FY88="Y",Y88,"")</f>
        <v/>
      </c>
      <c r="GA88" s="0" t="str">
        <f aca="false">IF($A88="","",IF(AND(I88="walk-in",CN88="pass",U88="new",FT88="N",FV88="N",AQ88&lt;&gt;"Y"),"Y","N"))</f>
        <v>N</v>
      </c>
      <c r="GB88" s="0" t="str">
        <f aca="false">IF(GA88&lt;&gt;"Y","",IF(COUNTIFS($GA$2:$GA$1000,"Y",$J$2:$J$1000,"&gt;"&amp;J88)+COUNTIFS($GA$2:$GA$1000,"Y",$J$2:$J$1000,J88,$GD$2:$GD$1000,"&lt;"&amp;GD88)+1&lt;=25,COUNTIFS($GA$2:$GA$1000,"Y",$J$2:$J$1000,"&gt;"&amp;J88)+COUNTIFS($GA$2:$GA$1000,"Y",$J$2:$J$1000,J88,$GD$2:$GD$1000,"&lt;"&amp;GD88)+1,""))</f>
        <v/>
      </c>
      <c r="GC88" s="0" t="str">
        <f aca="false">IF(AND(_xlfn.ISFORMULA(C88),_xlfn.ISFORMULA(J88)),"Y","N")</f>
        <v>N</v>
      </c>
      <c r="GD88" s="0" t="n">
        <f aca="false">ROW()-1</f>
        <v>87</v>
      </c>
    </row>
    <row r="89" customFormat="false" ht="15" hidden="false" customHeight="false" outlineLevel="0" collapsed="false">
      <c r="A89" s="0" t="s">
        <v>2619</v>
      </c>
      <c r="B89" s="0" t="s">
        <v>2685</v>
      </c>
      <c r="C89" s="0" t="s">
        <v>209</v>
      </c>
      <c r="E89" s="0" t="s">
        <v>2686</v>
      </c>
      <c r="F89" s="0" t="s">
        <v>2687</v>
      </c>
      <c r="G89" s="0" t="s">
        <v>189</v>
      </c>
      <c r="M89" s="0" t="s">
        <v>380</v>
      </c>
      <c r="R89" s="5"/>
      <c r="U89" s="5"/>
      <c r="V89" s="0" t="s">
        <v>380</v>
      </c>
      <c r="AE89" s="0" t="s">
        <v>1436</v>
      </c>
      <c r="AF89" s="0" t="s">
        <v>508</v>
      </c>
      <c r="AG89" s="0" t="s">
        <v>2622</v>
      </c>
      <c r="AH89" s="0" t="s">
        <v>2070</v>
      </c>
      <c r="AI89" s="0" t="s">
        <v>209</v>
      </c>
      <c r="AJ89" s="0" t="s">
        <v>189</v>
      </c>
      <c r="AK89" s="0" t="s">
        <v>1794</v>
      </c>
      <c r="AL89" s="0" t="s">
        <v>189</v>
      </c>
      <c r="AM89" s="0" t="n">
        <v>527</v>
      </c>
      <c r="AN89" s="0" t="s">
        <v>187</v>
      </c>
      <c r="AO89" s="0" t="s">
        <v>188</v>
      </c>
      <c r="AP89" s="0" t="s">
        <v>2688</v>
      </c>
      <c r="AQ89" s="5" t="s">
        <v>189</v>
      </c>
      <c r="AT89" s="0" t="str">
        <f aca="false">IF($A89="","",IF(AND(CN89="pass",AQ89&lt;&gt;"Y",C89&lt;&gt;"",OR(AX89&lt;&gt;"Y",AV89="Y")),"Y","N"))</f>
        <v>Y</v>
      </c>
      <c r="AU89" s="0" t="str">
        <f aca="false">IF($A89="","",_xlfn.TEXTJOIN("; ",TRUE(),IF(CN89&lt;&gt;"pass","gated out",""),IF(AQ89="Y","on hold: "&amp;AR89,""),IF(C89="","no contact named on an opened page",""),IF(AND(AX89="Y",AV89&lt;&gt;"Y"),"Tuesday estimate band "&amp;L89&amp;": founder's call","")))</f>
        <v/>
      </c>
      <c r="AX89" s="0" t="s">
        <v>189</v>
      </c>
      <c r="BC89" s="0" t="str">
        <f aca="false">IF($A89="","",IFERROR(INDEX(Enrichment!$A$2:$GZ$2000,MATCH($A89,INDEX(Enrichment!$A$2:$GZ$2000,0,MATCH("row_id",Enrichment!$A$1:$GZ$1,0)),0),MATCH("work_email",Enrichment!$A$1:$GZ$1,0))&amp;"",""))</f>
        <v/>
      </c>
      <c r="BD89" s="0" t="str">
        <f aca="false">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none</v>
      </c>
      <c r="BF89" s="0" t="s">
        <v>380</v>
      </c>
      <c r="BJ89" s="0" t="s">
        <v>380</v>
      </c>
      <c r="BL89" s="0" t="s">
        <v>896</v>
      </c>
      <c r="BQ89" s="0" t="str">
        <f aca="false">IF($A89="","",IFERROR(INDEX(Enrichment!$A$2:$GZ$2000,MATCH($A89,INDEX(Enrichment!$A$2:$GZ$2000,0,MATCH("row_id",Enrichment!$A$1:$GZ$1,0)),0),MATCH("backup_work_email",Enrichment!$A$1:$GZ$1,0))&amp;"",""))</f>
        <v/>
      </c>
      <c r="BR89" s="0" t="str">
        <f aca="false">IF($A89="","",IF(BQ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none</v>
      </c>
      <c r="BT89" s="0" t="s">
        <v>380</v>
      </c>
      <c r="BX89" s="0" t="s">
        <v>380</v>
      </c>
      <c r="BY89" s="0" t="s">
        <v>387</v>
      </c>
      <c r="BZ89" s="0" t="s">
        <v>388</v>
      </c>
      <c r="CA89" s="0" t="s">
        <v>2689</v>
      </c>
      <c r="CB89" s="0" t="s">
        <v>196</v>
      </c>
      <c r="CM89" s="0" t="s">
        <v>189</v>
      </c>
      <c r="CN89" s="0" t="s">
        <v>200</v>
      </c>
      <c r="CO89" s="0" t="s">
        <v>201</v>
      </c>
      <c r="CP89" s="0" t="s">
        <v>1</v>
      </c>
      <c r="CQ89" s="0" t="s">
        <v>2690</v>
      </c>
      <c r="CR89" s="0" t="s">
        <v>2691</v>
      </c>
      <c r="CS89" s="0" t="s">
        <v>2692</v>
      </c>
      <c r="CT89" s="0" t="s">
        <v>2693</v>
      </c>
      <c r="CV89" s="0" t="s">
        <v>976</v>
      </c>
      <c r="CW89" s="0" t="s">
        <v>204</v>
      </c>
      <c r="CX89" s="0" t="s">
        <v>205</v>
      </c>
      <c r="CY89" s="0" t="s">
        <v>2694</v>
      </c>
      <c r="DA89" s="0" t="s">
        <v>1351</v>
      </c>
      <c r="DB89" s="0" t="s">
        <v>209</v>
      </c>
      <c r="DC89" s="0" t="s">
        <v>209</v>
      </c>
      <c r="DD89" s="0" t="s">
        <v>209</v>
      </c>
      <c r="DE89" s="0" t="s">
        <v>2695</v>
      </c>
      <c r="DG89" s="0" t="n">
        <v>40.738765</v>
      </c>
      <c r="DH89" s="0" t="n">
        <v>-73.994763</v>
      </c>
      <c r="DI89" s="0" t="s">
        <v>164</v>
      </c>
      <c r="DJ89" s="0" t="n">
        <v>0</v>
      </c>
      <c r="DL89" s="0" t="s">
        <v>209</v>
      </c>
      <c r="DM89" s="0" t="s">
        <v>2696</v>
      </c>
      <c r="DN89" s="0" t="s">
        <v>172</v>
      </c>
      <c r="DO89" s="0" t="s">
        <v>651</v>
      </c>
      <c r="DS89" s="0" t="s">
        <v>187</v>
      </c>
      <c r="DU89" s="0" t="s">
        <v>189</v>
      </c>
      <c r="DX89" s="0" t="s">
        <v>209</v>
      </c>
      <c r="EA89" s="0" t="s">
        <v>209</v>
      </c>
      <c r="EB89" s="0" t="s">
        <v>189</v>
      </c>
      <c r="EC89" s="0" t="s">
        <v>1240</v>
      </c>
      <c r="ED89" s="0" t="s">
        <v>2696</v>
      </c>
      <c r="EE89" s="0" t="s">
        <v>172</v>
      </c>
      <c r="EF89" s="0" t="n">
        <v>117</v>
      </c>
      <c r="EG89" s="0" t="s">
        <v>945</v>
      </c>
      <c r="EH89" s="0" t="s">
        <v>189</v>
      </c>
      <c r="EI89" s="0" t="s">
        <v>2697</v>
      </c>
      <c r="EJ89" s="0" t="s">
        <v>221</v>
      </c>
      <c r="EK89" s="0" t="n">
        <v>0.61</v>
      </c>
      <c r="EL89" s="0" t="n">
        <v>41.2</v>
      </c>
      <c r="EM89" s="0" t="n">
        <v>15.2</v>
      </c>
      <c r="EN89" s="0" t="n">
        <v>6</v>
      </c>
      <c r="EO89" s="0" t="n">
        <v>15</v>
      </c>
      <c r="EP89" s="0" t="n">
        <v>5</v>
      </c>
      <c r="EQ89" s="0" t="n">
        <f aca="false">IF($A89="","",IF(AH89="exact",10,IF(AH89="adjacent",5,0)))</f>
        <v>0</v>
      </c>
      <c r="ER89" s="0" t="n">
        <f aca="false">IF($A89="","",IF(R89="Y",15,0))</f>
        <v>0</v>
      </c>
      <c r="ES89" s="0" t="s">
        <v>982</v>
      </c>
      <c r="ET89" s="0" t="s">
        <v>1360</v>
      </c>
      <c r="EU89" s="0" t="s">
        <v>189</v>
      </c>
      <c r="EX89" s="0" t="s">
        <v>2698</v>
      </c>
      <c r="EZ89" s="0" t="s">
        <v>2699</v>
      </c>
      <c r="FS89" s="0" t="str">
        <f aca="false">IF($A89="","",IF(ISNUMBER(MATCH(U89,{"queued","contacted","replied","call_booked","call_done","yes_in_principle","materials_sent"},0)),"Y","N"))</f>
        <v>N</v>
      </c>
      <c r="FT89" s="0" t="str">
        <f aca="false">IF($A89="","",IF(OR(T89="Y",U89="do_not_contact",AS89&amp;""&lt;&gt;""),"Y","N"))</f>
        <v>N</v>
      </c>
      <c r="FU89" s="0" t="str">
        <f aca="false">IF($A89="","",IF(AP89&amp;""&lt;&gt;"",AP89&amp;"",$A89))</f>
        <v>AO-C-186</v>
      </c>
      <c r="FV89" s="0" t="str">
        <f aca="false">IF($A89="","",IF(COUNTIFS($FU$2:$FU$1000,FU89,$FS$2:$FS$1000,"Y")+COUNTIFS($FU$2:$FU$1000,FU89,$FT$2:$FT$1000,"Y")&gt;0,"Y","N"))</f>
        <v>N</v>
      </c>
      <c r="FW89" s="0" t="str">
        <f aca="false">IF($A89="","",IF(AND(U89="new",T89="N",FT89="N",AT89="Y",FV89="N"),"Y","N"))</f>
        <v>N</v>
      </c>
      <c r="FX89" s="0" t="str">
        <f aca="false">IF($A89="","",IF(FW89&lt;&gt;"Y","N",IF(COUNTIFS($FU$2:$FU$1000,FU89,$FW$2:$FW$1000,"Y",$J$2:$J$1000,"&gt;"&amp;J89)+COUNTIFS($FU$2:$FU$1000,FU89,$FW$2:$FW$1000,"Y",$J$2:$J$1000,J89,$GD$2:$GD$1000,"&lt;"&amp;GD89)=0,"Y","N")))</f>
        <v>N</v>
      </c>
      <c r="FY89" s="0" t="str">
        <f aca="false">IF($A89="","",IF(AND(FW89="Y",FX89="Y",Y89&amp;""&lt;&gt;""),IF(Y89&lt;=10,"Y","N"),"N"))</f>
        <v>N</v>
      </c>
      <c r="FZ89" s="0" t="str">
        <f aca="false">IF(FY89="Y",Y89,"")</f>
        <v/>
      </c>
      <c r="GA89" s="0" t="str">
        <f aca="false">IF($A89="","",IF(AND(I89="walk-in",CN89="pass",U89="new",FT89="N",FV89="N",AQ89&lt;&gt;"Y"),"Y","N"))</f>
        <v>N</v>
      </c>
      <c r="GB89" s="0" t="str">
        <f aca="false">IF(GA89&lt;&gt;"Y","",IF(COUNTIFS($GA$2:$GA$1000,"Y",$J$2:$J$1000,"&gt;"&amp;J89)+COUNTIFS($GA$2:$GA$1000,"Y",$J$2:$J$1000,J89,$GD$2:$GD$1000,"&lt;"&amp;GD89)+1&lt;=25,COUNTIFS($GA$2:$GA$1000,"Y",$J$2:$J$1000,"&gt;"&amp;J89)+COUNTIFS($GA$2:$GA$1000,"Y",$J$2:$J$1000,J89,$GD$2:$GD$1000,"&lt;"&amp;GD89)+1,""))</f>
        <v/>
      </c>
      <c r="GC89" s="0" t="str">
        <f aca="false">IF(AND(_xlfn.ISFORMULA(C89),_xlfn.ISFORMULA(J89)),"Y","N")</f>
        <v>N</v>
      </c>
      <c r="GD89" s="0" t="n">
        <f aca="false">ROW()-1</f>
        <v>88</v>
      </c>
    </row>
    <row r="90" customFormat="false" ht="15" hidden="false" customHeight="false" outlineLevel="0" collapsed="false">
      <c r="A90" s="0" t="s">
        <v>2635</v>
      </c>
      <c r="B90" s="0" t="s">
        <v>2700</v>
      </c>
      <c r="C90" s="0" t="s">
        <v>2638</v>
      </c>
      <c r="D90" s="0" t="s">
        <v>2701</v>
      </c>
      <c r="E90" s="0" t="s">
        <v>2702</v>
      </c>
      <c r="F90" s="0" t="s">
        <v>2703</v>
      </c>
      <c r="G90" s="0" t="s">
        <v>189</v>
      </c>
      <c r="M90" s="0" t="s">
        <v>380</v>
      </c>
      <c r="R90" s="5"/>
      <c r="U90" s="5"/>
      <c r="V90" s="0" t="s">
        <v>380</v>
      </c>
      <c r="AE90" s="0" t="s">
        <v>2704</v>
      </c>
      <c r="AF90" s="0" t="s">
        <v>209</v>
      </c>
      <c r="AG90" s="0" t="s">
        <v>2639</v>
      </c>
      <c r="AH90" s="0" t="s">
        <v>2640</v>
      </c>
      <c r="AI90" s="0" t="s">
        <v>2642</v>
      </c>
      <c r="AJ90" s="0" t="s">
        <v>189</v>
      </c>
      <c r="AK90" s="0" t="s">
        <v>186</v>
      </c>
      <c r="AL90" s="0" t="s">
        <v>189</v>
      </c>
      <c r="AM90" s="0" t="s">
        <v>209</v>
      </c>
      <c r="AN90" s="0" t="s">
        <v>380</v>
      </c>
      <c r="AO90" s="0" t="s">
        <v>209</v>
      </c>
      <c r="AP90" s="0" t="s">
        <v>1524</v>
      </c>
      <c r="AQ90" s="5" t="s">
        <v>189</v>
      </c>
      <c r="AT90" s="0" t="str">
        <f aca="false">IF($A90="","",IF(AND(CN90="pass",AQ90&lt;&gt;"Y",C90&lt;&gt;"",OR(AX90&lt;&gt;"Y",AV90="Y")),"Y","N"))</f>
        <v>Y</v>
      </c>
      <c r="AU90" s="0" t="str">
        <f aca="false">IF($A90="","",_xlfn.TEXTJOIN("; ",TRUE(),IF(CN90&lt;&gt;"pass","gated out",""),IF(AQ90="Y","on hold: "&amp;AR90,""),IF(C90="","no contact named on an opened page",""),IF(AND(AX90="Y",AV90&lt;&gt;"Y"),"Tuesday estimate band "&amp;L90&amp;": founder's call","")))</f>
        <v/>
      </c>
      <c r="AX90" s="0" t="s">
        <v>189</v>
      </c>
      <c r="AY90" s="0" t="s">
        <v>1530</v>
      </c>
      <c r="AZ90" s="0" t="s">
        <v>1531</v>
      </c>
      <c r="BA90" s="0" t="s">
        <v>1532</v>
      </c>
      <c r="BC90" s="0" t="str">
        <f aca="false">IF($A90="","",IFERROR(INDEX(Enrichment!$A$2:$GZ$2000,MATCH($A90,INDEX(Enrichment!$A$2:$GZ$2000,0,MATCH("row_id",Enrichment!$A$1:$GZ$1,0)),0),MATCH("work_email",Enrichment!$A$1:$GZ$1,0))&amp;"",""))</f>
        <v/>
      </c>
      <c r="BD90" s="0" t="str">
        <f aca="false">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none</v>
      </c>
      <c r="BE90" s="0" t="s">
        <v>168</v>
      </c>
      <c r="BF90" s="0" t="s">
        <v>283</v>
      </c>
      <c r="BG90" s="0" t="s">
        <v>284</v>
      </c>
      <c r="BH90" s="0" t="s">
        <v>1533</v>
      </c>
      <c r="BI90" s="0" t="s">
        <v>172</v>
      </c>
      <c r="BJ90" s="0" t="s">
        <v>301</v>
      </c>
      <c r="BK90" s="0" t="s">
        <v>2705</v>
      </c>
      <c r="BL90" s="0" t="s">
        <v>2706</v>
      </c>
      <c r="BQ90" s="0" t="str">
        <f aca="false">IF($A90="","",IFERROR(INDEX(Enrichment!$A$2:$GZ$2000,MATCH($A90,INDEX(Enrichment!$A$2:$GZ$2000,0,MATCH("row_id",Enrichment!$A$1:$GZ$1,0)),0),MATCH("backup_work_email",Enrichment!$A$1:$GZ$1,0))&amp;"",""))</f>
        <v/>
      </c>
      <c r="BR90" s="0" t="str">
        <f aca="false">IF($A90="","",IF(BQ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none</v>
      </c>
      <c r="BT90" s="0" t="s">
        <v>380</v>
      </c>
      <c r="BX90" s="0" t="s">
        <v>380</v>
      </c>
      <c r="BY90" s="0" t="s">
        <v>387</v>
      </c>
      <c r="BZ90" s="0" t="s">
        <v>388</v>
      </c>
      <c r="CA90" s="0" t="s">
        <v>2707</v>
      </c>
      <c r="CB90" s="0" t="s">
        <v>196</v>
      </c>
      <c r="CC90" s="0" t="s">
        <v>2708</v>
      </c>
      <c r="CD90" s="0" t="s">
        <v>2709</v>
      </c>
      <c r="CE90" s="0" t="s">
        <v>2710</v>
      </c>
      <c r="CF90" s="0" t="s">
        <v>352</v>
      </c>
      <c r="CM90" s="0" t="s">
        <v>164</v>
      </c>
      <c r="CN90" s="0" t="s">
        <v>200</v>
      </c>
      <c r="CO90" s="0" t="s">
        <v>201</v>
      </c>
      <c r="CP90" s="0" t="s">
        <v>1</v>
      </c>
      <c r="CQ90" s="0" t="s">
        <v>2711</v>
      </c>
      <c r="CR90" s="0" t="s">
        <v>1526</v>
      </c>
      <c r="CS90" s="0" t="s">
        <v>1534</v>
      </c>
      <c r="CT90" s="0" t="s">
        <v>209</v>
      </c>
      <c r="CV90" s="0" t="s">
        <v>209</v>
      </c>
      <c r="CW90" s="0" t="s">
        <v>209</v>
      </c>
      <c r="CX90" s="0" t="s">
        <v>2712</v>
      </c>
      <c r="DA90" s="0" t="s">
        <v>209</v>
      </c>
      <c r="DB90" s="0" t="s">
        <v>209</v>
      </c>
      <c r="DC90" s="0" t="s">
        <v>209</v>
      </c>
      <c r="DD90" s="0" t="s">
        <v>209</v>
      </c>
      <c r="DE90" s="0" t="s">
        <v>1535</v>
      </c>
      <c r="DF90" s="0" t="s">
        <v>525</v>
      </c>
      <c r="DG90" s="0" t="n">
        <v>40.743288</v>
      </c>
      <c r="DH90" s="0" t="n">
        <v>-73.986627</v>
      </c>
      <c r="DI90" s="0" t="s">
        <v>164</v>
      </c>
      <c r="DJ90" s="0" t="n">
        <v>0</v>
      </c>
      <c r="DK90" s="0" t="s">
        <v>1859</v>
      </c>
      <c r="DL90" s="0" t="s">
        <v>1860</v>
      </c>
      <c r="DM90" s="0" t="s">
        <v>2713</v>
      </c>
      <c r="DN90" s="0" t="s">
        <v>2714</v>
      </c>
      <c r="DO90" s="0" t="s">
        <v>363</v>
      </c>
      <c r="DP90" s="0" t="s">
        <v>2715</v>
      </c>
      <c r="DQ90" s="0" t="s">
        <v>263</v>
      </c>
      <c r="DS90" s="0" t="s">
        <v>217</v>
      </c>
      <c r="DU90" s="0" t="s">
        <v>189</v>
      </c>
      <c r="DX90" s="0" t="s">
        <v>209</v>
      </c>
      <c r="EA90" s="0" t="s">
        <v>209</v>
      </c>
      <c r="EB90" s="0" t="s">
        <v>189</v>
      </c>
      <c r="EC90" s="0" t="s">
        <v>209</v>
      </c>
      <c r="EF90" s="0" t="s">
        <v>209</v>
      </c>
      <c r="EH90" s="0" t="s">
        <v>189</v>
      </c>
      <c r="EI90" s="0" t="s">
        <v>2716</v>
      </c>
      <c r="EJ90" s="0" t="s">
        <v>221</v>
      </c>
      <c r="EK90" s="0" t="s">
        <v>209</v>
      </c>
      <c r="EL90" s="0" t="n">
        <v>41</v>
      </c>
      <c r="EM90" s="0" t="n">
        <v>7</v>
      </c>
      <c r="EN90" s="0" t="n">
        <v>8</v>
      </c>
      <c r="EO90" s="0" t="n">
        <v>6</v>
      </c>
      <c r="EP90" s="0" t="n">
        <v>15</v>
      </c>
      <c r="EQ90" s="0" t="n">
        <f aca="false">IF($A90="","",IF(AH90="exact",10,IF(AH90="adjacent",5,0)))</f>
        <v>0</v>
      </c>
      <c r="ER90" s="0" t="n">
        <f aca="false">IF($A90="","",IF(R90="Y",15,0))</f>
        <v>0</v>
      </c>
      <c r="ES90" s="0" t="s">
        <v>222</v>
      </c>
      <c r="EV90" s="0" t="s">
        <v>913</v>
      </c>
      <c r="EW90" s="0" t="s">
        <v>224</v>
      </c>
      <c r="EX90" s="0" t="s">
        <v>2717</v>
      </c>
      <c r="EZ90" s="0" t="s">
        <v>2718</v>
      </c>
      <c r="FS90" s="0" t="str">
        <f aca="false">IF($A90="","",IF(ISNUMBER(MATCH(U90,{"queued","contacted","replied","call_booked","call_done","yes_in_principle","materials_sent"},0)),"Y","N"))</f>
        <v>N</v>
      </c>
      <c r="FT90" s="0" t="str">
        <f aca="false">IF($A90="","",IF(OR(T90="Y",U90="do_not_contact",AS90&amp;""&lt;&gt;""),"Y","N"))</f>
        <v>N</v>
      </c>
      <c r="FU90" s="0" t="str">
        <f aca="false">IF($A90="","",IF(AP90&amp;""&lt;&gt;"",AP90&amp;"",$A90))</f>
        <v>AO-C-140</v>
      </c>
      <c r="FV90" s="0" t="str">
        <f aca="false">IF($A90="","",IF(COUNTIFS($FU$2:$FU$1000,FU90,$FS$2:$FS$1000,"Y")+COUNTIFS($FU$2:$FU$1000,FU90,$FT$2:$FT$1000,"Y")&gt;0,"Y","N"))</f>
        <v>N</v>
      </c>
      <c r="FW90" s="0" t="str">
        <f aca="false">IF($A90="","",IF(AND(U90="new",T90="N",FT90="N",AT90="Y",FV90="N"),"Y","N"))</f>
        <v>N</v>
      </c>
      <c r="FX90" s="0" t="str">
        <f aca="false">IF($A90="","",IF(FW90&lt;&gt;"Y","N",IF(COUNTIFS($FU$2:$FU$1000,FU90,$FW$2:$FW$1000,"Y",$J$2:$J$1000,"&gt;"&amp;J90)+COUNTIFS($FU$2:$FU$1000,FU90,$FW$2:$FW$1000,"Y",$J$2:$J$1000,J90,$GD$2:$GD$1000,"&lt;"&amp;GD90)=0,"Y","N")))</f>
        <v>N</v>
      </c>
      <c r="FY90" s="0" t="str">
        <f aca="false">IF($A90="","",IF(AND(FW90="Y",FX90="Y",Y90&amp;""&lt;&gt;""),IF(Y90&lt;=10,"Y","N"),"N"))</f>
        <v>N</v>
      </c>
      <c r="FZ90" s="0" t="str">
        <f aca="false">IF(FY90="Y",Y90,"")</f>
        <v/>
      </c>
      <c r="GA90" s="0" t="str">
        <f aca="false">IF($A90="","",IF(AND(I90="walk-in",CN90="pass",U90="new",FT90="N",FV90="N",AQ90&lt;&gt;"Y"),"Y","N"))</f>
        <v>N</v>
      </c>
      <c r="GB90" s="0" t="str">
        <f aca="false">IF(GA90&lt;&gt;"Y","",IF(COUNTIFS($GA$2:$GA$1000,"Y",$J$2:$J$1000,"&gt;"&amp;J90)+COUNTIFS($GA$2:$GA$1000,"Y",$J$2:$J$1000,J90,$GD$2:$GD$1000,"&lt;"&amp;GD90)+1&lt;=25,COUNTIFS($GA$2:$GA$1000,"Y",$J$2:$J$1000,"&gt;"&amp;J90)+COUNTIFS($GA$2:$GA$1000,"Y",$J$2:$J$1000,J90,$GD$2:$GD$1000,"&lt;"&amp;GD90)+1,""))</f>
        <v/>
      </c>
      <c r="GC90" s="0" t="str">
        <f aca="false">IF(AND(_xlfn.ISFORMULA(C90),_xlfn.ISFORMULA(J90)),"Y","N")</f>
        <v>N</v>
      </c>
      <c r="GD90" s="0" t="n">
        <f aca="false">ROW()-1</f>
        <v>89</v>
      </c>
    </row>
    <row r="91" customFormat="false" ht="15" hidden="false" customHeight="false" outlineLevel="0" collapsed="false">
      <c r="A91" s="0" t="s">
        <v>2652</v>
      </c>
      <c r="B91" s="0" t="s">
        <v>2719</v>
      </c>
      <c r="C91" s="0" t="s">
        <v>2671</v>
      </c>
      <c r="D91" s="0" t="s">
        <v>2720</v>
      </c>
      <c r="E91" s="0" t="s">
        <v>2721</v>
      </c>
      <c r="F91" s="0" t="s">
        <v>2722</v>
      </c>
      <c r="G91" s="0" t="s">
        <v>189</v>
      </c>
      <c r="H91" s="0" t="s">
        <v>2653</v>
      </c>
      <c r="I91" s="0" t="s">
        <v>2654</v>
      </c>
      <c r="J91" s="0" t="s">
        <v>2655</v>
      </c>
      <c r="L91" s="0" t="s">
        <v>168</v>
      </c>
      <c r="M91" s="0" t="s">
        <v>169</v>
      </c>
      <c r="N91" s="0" t="s">
        <v>170</v>
      </c>
      <c r="O91" s="0" t="s">
        <v>2656</v>
      </c>
      <c r="P91" s="0" t="s">
        <v>172</v>
      </c>
      <c r="Q91" s="0" t="s">
        <v>2659</v>
      </c>
      <c r="R91" s="5" t="s">
        <v>542</v>
      </c>
      <c r="S91" s="0" t="s">
        <v>2660</v>
      </c>
      <c r="U91" s="5" t="s">
        <v>176</v>
      </c>
      <c r="V91" s="0" t="s">
        <v>283</v>
      </c>
      <c r="W91" s="0" t="s">
        <v>284</v>
      </c>
      <c r="X91" s="0" t="s">
        <v>2661</v>
      </c>
      <c r="Y91" s="0" t="s">
        <v>172</v>
      </c>
      <c r="Z91" s="0" t="s">
        <v>2667</v>
      </c>
      <c r="AA91" s="0" t="s">
        <v>2668</v>
      </c>
      <c r="AB91" s="0" t="s">
        <v>2669</v>
      </c>
      <c r="AC91" s="0" t="s">
        <v>352</v>
      </c>
      <c r="AE91" s="0" t="s">
        <v>1100</v>
      </c>
      <c r="AF91" s="0" t="s">
        <v>2723</v>
      </c>
      <c r="AG91" s="0" t="s">
        <v>2672</v>
      </c>
      <c r="AH91" s="0" t="s">
        <v>2673</v>
      </c>
      <c r="AI91" s="0" t="s">
        <v>2675</v>
      </c>
      <c r="AJ91" s="0" t="s">
        <v>189</v>
      </c>
      <c r="AK91" s="0" t="s">
        <v>355</v>
      </c>
      <c r="AL91" s="0" t="s">
        <v>164</v>
      </c>
      <c r="AM91" s="0" t="s">
        <v>209</v>
      </c>
      <c r="AN91" s="0" t="s">
        <v>380</v>
      </c>
      <c r="AO91" s="0" t="s">
        <v>209</v>
      </c>
      <c r="AP91" s="0" t="s">
        <v>1554</v>
      </c>
      <c r="AQ91" s="5" t="s">
        <v>189</v>
      </c>
      <c r="AT91" s="0" t="str">
        <f aca="false">IF($A91="","",IF(AND(CN91="pass",AQ91&lt;&gt;"Y",C91&lt;&gt;"",OR(AX91&lt;&gt;"Y",AV91="Y")),"Y","N"))</f>
        <v>Y</v>
      </c>
      <c r="AU91" s="0" t="str">
        <f aca="false">IF($A91="","",_xlfn.TEXTJOIN("; ",TRUE(),IF(CN91&lt;&gt;"pass","gated out",""),IF(AQ91="Y","on hold: "&amp;AR91,""),IF(C91="","no contact named on an opened page",""),IF(AND(AX91="Y",AV91&lt;&gt;"Y"),"Tuesday estimate band "&amp;L91&amp;": founder's call","")))</f>
        <v/>
      </c>
      <c r="AX91" s="0" t="s">
        <v>189</v>
      </c>
      <c r="AY91" s="0" t="s">
        <v>1559</v>
      </c>
      <c r="AZ91" s="0" t="s">
        <v>1560</v>
      </c>
      <c r="BA91" s="0" t="s">
        <v>772</v>
      </c>
      <c r="BC91" s="0" t="str">
        <f aca="false">IF($A91="","",IFERROR(INDEX(Enrichment!$A$2:$GZ$2000,MATCH($A91,INDEX(Enrichment!$A$2:$GZ$2000,0,MATCH("row_id",Enrichment!$A$1:$GZ$1,0)),0),MATCH("work_email",Enrichment!$A$1:$GZ$1,0))&amp;"",""))</f>
        <v/>
      </c>
      <c r="BD91" s="0" t="str">
        <f aca="false">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none</v>
      </c>
      <c r="BE91" s="0" t="s">
        <v>168</v>
      </c>
      <c r="BF91" s="0" t="s">
        <v>283</v>
      </c>
      <c r="BG91" s="0" t="s">
        <v>284</v>
      </c>
      <c r="BH91" s="0" t="s">
        <v>1561</v>
      </c>
      <c r="BI91" s="0" t="s">
        <v>172</v>
      </c>
      <c r="BJ91" s="0" t="s">
        <v>301</v>
      </c>
      <c r="BK91" s="0" t="s">
        <v>2724</v>
      </c>
      <c r="BL91" s="0" t="s">
        <v>970</v>
      </c>
      <c r="BQ91" s="0" t="str">
        <f aca="false">IF($A91="","",IFERROR(INDEX(Enrichment!$A$2:$GZ$2000,MATCH($A91,INDEX(Enrichment!$A$2:$GZ$2000,0,MATCH("row_id",Enrichment!$A$1:$GZ$1,0)),0),MATCH("backup_work_email",Enrichment!$A$1:$GZ$1,0))&amp;"",""))</f>
        <v/>
      </c>
      <c r="BR91" s="0" t="str">
        <f aca="false">IF($A91="","",IF(BQ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none</v>
      </c>
      <c r="BT91" s="0" t="s">
        <v>380</v>
      </c>
      <c r="BX91" s="0" t="s">
        <v>380</v>
      </c>
      <c r="BY91" s="0" t="s">
        <v>387</v>
      </c>
      <c r="BZ91" s="0" t="s">
        <v>388</v>
      </c>
      <c r="CA91" s="0" t="s">
        <v>2707</v>
      </c>
      <c r="CB91" s="0" t="s">
        <v>196</v>
      </c>
      <c r="CC91" s="0" t="s">
        <v>2725</v>
      </c>
      <c r="CD91" s="0" t="s">
        <v>2726</v>
      </c>
      <c r="CE91" s="0" t="s">
        <v>2727</v>
      </c>
      <c r="CF91" s="0" t="s">
        <v>352</v>
      </c>
      <c r="CM91" s="0" t="s">
        <v>164</v>
      </c>
      <c r="CN91" s="0" t="s">
        <v>200</v>
      </c>
      <c r="CO91" s="0" t="s">
        <v>201</v>
      </c>
      <c r="CP91" s="0" t="s">
        <v>1</v>
      </c>
      <c r="CQ91" s="0" t="s">
        <v>2728</v>
      </c>
      <c r="CR91" s="0" t="s">
        <v>1556</v>
      </c>
      <c r="CS91" s="0" t="s">
        <v>1563</v>
      </c>
      <c r="CT91" s="0" t="s">
        <v>209</v>
      </c>
      <c r="CV91" s="0" t="s">
        <v>209</v>
      </c>
      <c r="CW91" s="0" t="s">
        <v>209</v>
      </c>
      <c r="CX91" s="0" t="s">
        <v>2712</v>
      </c>
      <c r="DA91" s="0" t="s">
        <v>209</v>
      </c>
      <c r="DB91" s="0" t="s">
        <v>209</v>
      </c>
      <c r="DC91" s="0" t="s">
        <v>209</v>
      </c>
      <c r="DD91" s="0" t="s">
        <v>209</v>
      </c>
      <c r="DE91" s="0" t="s">
        <v>1564</v>
      </c>
      <c r="DF91" s="0" t="s">
        <v>1190</v>
      </c>
      <c r="DG91" s="0" t="n">
        <v>40.745609</v>
      </c>
      <c r="DH91" s="0" t="n">
        <v>-73.990014</v>
      </c>
      <c r="DI91" s="0" t="s">
        <v>164</v>
      </c>
      <c r="DJ91" s="0" t="n">
        <v>0</v>
      </c>
      <c r="DK91" s="0" t="s">
        <v>2729</v>
      </c>
      <c r="DL91" s="0" t="s">
        <v>2730</v>
      </c>
      <c r="DM91" s="0" t="s">
        <v>2731</v>
      </c>
      <c r="DN91" s="0" t="s">
        <v>2732</v>
      </c>
      <c r="DO91" s="0" t="s">
        <v>363</v>
      </c>
      <c r="DP91" s="0" t="s">
        <v>2733</v>
      </c>
      <c r="DQ91" s="0" t="s">
        <v>263</v>
      </c>
      <c r="DS91" s="0" t="s">
        <v>217</v>
      </c>
      <c r="DU91" s="0" t="s">
        <v>189</v>
      </c>
      <c r="DX91" s="0" t="s">
        <v>209</v>
      </c>
      <c r="EA91" s="0" t="s">
        <v>209</v>
      </c>
      <c r="EB91" s="0" t="s">
        <v>189</v>
      </c>
      <c r="EC91" s="0" t="s">
        <v>209</v>
      </c>
      <c r="EF91" s="0" t="s">
        <v>209</v>
      </c>
      <c r="EH91" s="0" t="s">
        <v>189</v>
      </c>
      <c r="EI91" s="0" t="s">
        <v>2716</v>
      </c>
      <c r="EJ91" s="0" t="s">
        <v>221</v>
      </c>
      <c r="EK91" s="0" t="s">
        <v>209</v>
      </c>
      <c r="EL91" s="0" t="n">
        <v>41</v>
      </c>
      <c r="EM91" s="0" t="n">
        <v>7</v>
      </c>
      <c r="EN91" s="0" t="n">
        <v>8</v>
      </c>
      <c r="EO91" s="0" t="n">
        <v>6</v>
      </c>
      <c r="EP91" s="0" t="n">
        <v>15</v>
      </c>
      <c r="EQ91" s="0" t="n">
        <f aca="false">IF($A91="","",IF(AH91="exact",10,IF(AH91="adjacent",5,0)))</f>
        <v>0</v>
      </c>
      <c r="ER91" s="0" t="n">
        <f aca="false">IF($A91="","",IF(R91="Y",15,0))</f>
        <v>0</v>
      </c>
      <c r="ES91" s="0" t="s">
        <v>222</v>
      </c>
      <c r="EV91" s="0" t="s">
        <v>2734</v>
      </c>
      <c r="EW91" s="0" t="s">
        <v>224</v>
      </c>
      <c r="EX91" s="0" t="s">
        <v>2735</v>
      </c>
      <c r="EZ91" s="0" t="s">
        <v>2736</v>
      </c>
      <c r="FS91" s="0" t="str">
        <f aca="false">IF($A91="","",IF(ISNUMBER(MATCH(U91,{"queued","contacted","replied","call_booked","call_done","yes_in_principle","materials_sent"},0)),"Y","N"))</f>
        <v>N</v>
      </c>
      <c r="FT91" s="0" t="str">
        <f aca="false">IF($A91="","",IF(OR(T91="Y",U91="do_not_contact",AS91&amp;""&lt;&gt;""),"Y","N"))</f>
        <v>N</v>
      </c>
      <c r="FU91" s="0" t="str">
        <f aca="false">IF($A91="","",IF(AP91&amp;""&lt;&gt;"",AP91&amp;"",$A91))</f>
        <v>AO-C-163</v>
      </c>
      <c r="FV91" s="0" t="str">
        <f aca="false">IF($A91="","",IF(COUNTIFS($FU$2:$FU$1000,FU91,$FS$2:$FS$1000,"Y")+COUNTIFS($FU$2:$FU$1000,FU91,$FT$2:$FT$1000,"Y")&gt;0,"Y","N"))</f>
        <v>N</v>
      </c>
      <c r="FW91" s="0" t="str">
        <f aca="false">IF($A91="","",IF(AND(U91="new",T91="N",FT91="N",AT91="Y",FV91="N"),"Y","N"))</f>
        <v>N</v>
      </c>
      <c r="FX91" s="0" t="str">
        <f aca="false">IF($A91="","",IF(FW91&lt;&gt;"Y","N",IF(COUNTIFS($FU$2:$FU$1000,FU91,$FW$2:$FW$1000,"Y",$J$2:$J$1000,"&gt;"&amp;J91)+COUNTIFS($FU$2:$FU$1000,FU91,$FW$2:$FW$1000,"Y",$J$2:$J$1000,J91,$GD$2:$GD$1000,"&lt;"&amp;GD91)=0,"Y","N")))</f>
        <v>N</v>
      </c>
      <c r="FY91" s="0" t="str">
        <f aca="false">IF($A91="","",IF(AND(FW91="Y",FX91="Y",Y91&amp;""&lt;&gt;""),IF(Y91&lt;=10,"Y","N"),"N"))</f>
        <v>N</v>
      </c>
      <c r="FZ91" s="0" t="str">
        <f aca="false">IF(FY91="Y",Y91,"")</f>
        <v/>
      </c>
      <c r="GA91" s="0" t="str">
        <f aca="false">IF($A91="","",IF(AND(I91="walk-in",CN91="pass",U91="new",FT91="N",FV91="N",AQ91&lt;&gt;"Y"),"Y","N"))</f>
        <v>N</v>
      </c>
      <c r="GB91" s="0" t="str">
        <f aca="false">IF(GA91&lt;&gt;"Y","",IF(COUNTIFS($GA$2:$GA$1000,"Y",$J$2:$J$1000,"&gt;"&amp;J91)+COUNTIFS($GA$2:$GA$1000,"Y",$J$2:$J$1000,J91,$GD$2:$GD$1000,"&lt;"&amp;GD91)+1&lt;=25,COUNTIFS($GA$2:$GA$1000,"Y",$J$2:$J$1000,"&gt;"&amp;J91)+COUNTIFS($GA$2:$GA$1000,"Y",$J$2:$J$1000,J91,$GD$2:$GD$1000,"&lt;"&amp;GD91)+1,""))</f>
        <v/>
      </c>
      <c r="GC91" s="0" t="str">
        <f aca="false">IF(AND(_xlfn.ISFORMULA(C91),_xlfn.ISFORMULA(J91)),"Y","N")</f>
        <v>N</v>
      </c>
      <c r="GD91" s="0" t="n">
        <f aca="false">ROW()-1</f>
        <v>90</v>
      </c>
    </row>
    <row r="92" customFormat="false" ht="15" hidden="false" customHeight="false" outlineLevel="0" collapsed="false">
      <c r="A92" s="0" t="s">
        <v>2688</v>
      </c>
      <c r="B92" s="0" t="s">
        <v>2737</v>
      </c>
      <c r="C92" s="0" t="s">
        <v>2691</v>
      </c>
      <c r="D92" s="0" t="s">
        <v>2738</v>
      </c>
      <c r="E92" s="0" t="s">
        <v>2739</v>
      </c>
      <c r="F92" s="0" t="s">
        <v>2740</v>
      </c>
      <c r="G92" s="0" t="s">
        <v>189</v>
      </c>
      <c r="M92" s="0" t="s">
        <v>380</v>
      </c>
      <c r="R92" s="5"/>
      <c r="U92" s="5"/>
      <c r="V92" s="0" t="s">
        <v>380</v>
      </c>
      <c r="AE92" s="0" t="s">
        <v>2741</v>
      </c>
      <c r="AF92" s="0" t="s">
        <v>209</v>
      </c>
      <c r="AG92" s="0" t="s">
        <v>2692</v>
      </c>
      <c r="AH92" s="0" t="s">
        <v>2693</v>
      </c>
      <c r="AI92" s="0" t="s">
        <v>2695</v>
      </c>
      <c r="AJ92" s="0" t="s">
        <v>189</v>
      </c>
      <c r="AK92" s="0" t="s">
        <v>186</v>
      </c>
      <c r="AL92" s="0" t="s">
        <v>189</v>
      </c>
      <c r="AM92" s="0" t="n">
        <v>184</v>
      </c>
      <c r="AN92" s="0" t="s">
        <v>187</v>
      </c>
      <c r="AO92" s="0" t="s">
        <v>209</v>
      </c>
      <c r="AP92" s="0" t="s">
        <v>2742</v>
      </c>
      <c r="AQ92" s="5" t="s">
        <v>189</v>
      </c>
      <c r="AT92" s="0" t="str">
        <f aca="false">IF($A92="","",IF(AND(CN92="pass",AQ92&lt;&gt;"Y",C92&lt;&gt;"",OR(AX92&lt;&gt;"Y",AV92="Y")),"Y","N"))</f>
        <v>Y</v>
      </c>
      <c r="AU92" s="0" t="str">
        <f aca="false">IF($A92="","",_xlfn.TEXTJOIN("; ",TRUE(),IF(CN92&lt;&gt;"pass","gated out",""),IF(AQ92="Y","on hold: "&amp;AR92,""),IF(C92="","no contact named on an opened page",""),IF(AND(AX92="Y",AV92&lt;&gt;"Y"),"Tuesday estimate band "&amp;L92&amp;": founder's call","")))</f>
        <v/>
      </c>
      <c r="AX92" s="0" t="s">
        <v>189</v>
      </c>
      <c r="BC92" s="0" t="str">
        <f aca="false">IF($A92="","",IFERROR(INDEX(Enrichment!$A$2:$GZ$2000,MATCH($A92,INDEX(Enrichment!$A$2:$GZ$2000,0,MATCH("row_id",Enrichment!$A$1:$GZ$1,0)),0),MATCH("work_email",Enrichment!$A$1:$GZ$1,0))&amp;"",""))</f>
        <v/>
      </c>
      <c r="BD92" s="0" t="str">
        <f aca="false">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none</v>
      </c>
      <c r="BF92" s="0" t="s">
        <v>380</v>
      </c>
      <c r="BJ92" s="0" t="s">
        <v>380</v>
      </c>
      <c r="BL92" s="0" t="s">
        <v>896</v>
      </c>
      <c r="BQ92" s="0" t="str">
        <f aca="false">IF($A92="","",IFERROR(INDEX(Enrichment!$A$2:$GZ$2000,MATCH($A92,INDEX(Enrichment!$A$2:$GZ$2000,0,MATCH("row_id",Enrichment!$A$1:$GZ$1,0)),0),MATCH("backup_work_email",Enrichment!$A$1:$GZ$1,0))&amp;"",""))</f>
        <v/>
      </c>
      <c r="BR92" s="0" t="str">
        <f aca="false">IF($A92="","",IF(BQ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none</v>
      </c>
      <c r="BT92" s="0" t="s">
        <v>380</v>
      </c>
      <c r="BX92" s="0" t="s">
        <v>380</v>
      </c>
      <c r="BY92" s="0" t="s">
        <v>387</v>
      </c>
      <c r="BZ92" s="0" t="s">
        <v>388</v>
      </c>
      <c r="CA92" s="0" t="s">
        <v>2743</v>
      </c>
      <c r="CB92" s="0" t="s">
        <v>196</v>
      </c>
      <c r="CM92" s="0" t="s">
        <v>189</v>
      </c>
      <c r="CN92" s="0" t="s">
        <v>200</v>
      </c>
      <c r="CO92" s="0" t="s">
        <v>201</v>
      </c>
      <c r="CP92" s="0" t="s">
        <v>1</v>
      </c>
      <c r="CQ92" s="0" t="s">
        <v>2744</v>
      </c>
      <c r="CR92" s="0" t="s">
        <v>2745</v>
      </c>
      <c r="CS92" s="0" t="s">
        <v>2746</v>
      </c>
      <c r="CT92" s="0" t="s">
        <v>2747</v>
      </c>
      <c r="CV92" s="0" t="s">
        <v>976</v>
      </c>
      <c r="CW92" s="0" t="s">
        <v>204</v>
      </c>
      <c r="CX92" s="0" t="s">
        <v>205</v>
      </c>
      <c r="CY92" s="0" t="s">
        <v>2748</v>
      </c>
      <c r="DA92" s="0" t="s">
        <v>2301</v>
      </c>
      <c r="DB92" s="0" t="s">
        <v>209</v>
      </c>
      <c r="DC92" s="0" t="s">
        <v>209</v>
      </c>
      <c r="DD92" s="0" t="s">
        <v>209</v>
      </c>
      <c r="DE92" s="0" t="s">
        <v>2749</v>
      </c>
      <c r="DF92" s="0" t="s">
        <v>525</v>
      </c>
      <c r="DG92" s="0" t="n">
        <v>40.741968</v>
      </c>
      <c r="DH92" s="0" t="n">
        <v>-73.985327</v>
      </c>
      <c r="DI92" s="0" t="s">
        <v>164</v>
      </c>
      <c r="DJ92" s="0" t="n">
        <v>0</v>
      </c>
      <c r="DK92" s="0" t="s">
        <v>1573</v>
      </c>
      <c r="DL92" s="0" t="s">
        <v>1574</v>
      </c>
      <c r="DM92" s="0" t="s">
        <v>1734</v>
      </c>
      <c r="DN92" s="0" t="s">
        <v>1735</v>
      </c>
      <c r="DO92" s="0" t="s">
        <v>363</v>
      </c>
      <c r="DP92" s="0" t="s">
        <v>2750</v>
      </c>
      <c r="DQ92" s="0" t="s">
        <v>2751</v>
      </c>
      <c r="DS92" s="0" t="s">
        <v>217</v>
      </c>
      <c r="DU92" s="0" t="s">
        <v>189</v>
      </c>
      <c r="DX92" s="0" t="s">
        <v>209</v>
      </c>
      <c r="EA92" s="0" t="s">
        <v>209</v>
      </c>
      <c r="EB92" s="0" t="s">
        <v>189</v>
      </c>
      <c r="EC92" s="0" t="s">
        <v>209</v>
      </c>
      <c r="EF92" s="0" t="n">
        <v>130</v>
      </c>
      <c r="EH92" s="0" t="s">
        <v>164</v>
      </c>
      <c r="EI92" s="0" t="s">
        <v>2752</v>
      </c>
      <c r="EJ92" s="0" t="s">
        <v>221</v>
      </c>
      <c r="EK92" s="0" t="n">
        <v>1</v>
      </c>
      <c r="EL92" s="0" t="n">
        <v>41</v>
      </c>
      <c r="EM92" s="0" t="n">
        <v>25</v>
      </c>
      <c r="EN92" s="0" t="n">
        <v>0</v>
      </c>
      <c r="EO92" s="0" t="n">
        <v>6</v>
      </c>
      <c r="EP92" s="0" t="n">
        <v>10</v>
      </c>
      <c r="EQ92" s="0" t="n">
        <f aca="false">IF($A92="","",IF(AH92="exact",10,IF(AH92="adjacent",5,0)))</f>
        <v>0</v>
      </c>
      <c r="ER92" s="0" t="n">
        <f aca="false">IF($A92="","",IF(R92="Y",15,0))</f>
        <v>0</v>
      </c>
      <c r="ES92" s="0" t="s">
        <v>982</v>
      </c>
      <c r="ET92" s="0" t="s">
        <v>2310</v>
      </c>
      <c r="EU92" s="0" t="s">
        <v>164</v>
      </c>
      <c r="EV92" s="0" t="s">
        <v>1739</v>
      </c>
      <c r="EW92" s="0" t="s">
        <v>224</v>
      </c>
      <c r="EX92" s="0" t="s">
        <v>2753</v>
      </c>
      <c r="EZ92" s="0" t="s">
        <v>2754</v>
      </c>
      <c r="FS92" s="0" t="str">
        <f aca="false">IF($A92="","",IF(ISNUMBER(MATCH(U92,{"queued","contacted","replied","call_booked","call_done","yes_in_principle","materials_sent"},0)),"Y","N"))</f>
        <v>N</v>
      </c>
      <c r="FT92" s="0" t="str">
        <f aca="false">IF($A92="","",IF(OR(T92="Y",U92="do_not_contact",AS92&amp;""&lt;&gt;""),"Y","N"))</f>
        <v>N</v>
      </c>
      <c r="FU92" s="0" t="str">
        <f aca="false">IF($A92="","",IF(AP92&amp;""&lt;&gt;"",AP92&amp;"",$A92))</f>
        <v>AO-C-252</v>
      </c>
      <c r="FV92" s="0" t="str">
        <f aca="false">IF($A92="","",IF(COUNTIFS($FU$2:$FU$1000,FU92,$FS$2:$FS$1000,"Y")+COUNTIFS($FU$2:$FU$1000,FU92,$FT$2:$FT$1000,"Y")&gt;0,"Y","N"))</f>
        <v>N</v>
      </c>
      <c r="FW92" s="0" t="str">
        <f aca="false">IF($A92="","",IF(AND(U92="new",T92="N",FT92="N",AT92="Y",FV92="N"),"Y","N"))</f>
        <v>N</v>
      </c>
      <c r="FX92" s="0" t="str">
        <f aca="false">IF($A92="","",IF(FW92&lt;&gt;"Y","N",IF(COUNTIFS($FU$2:$FU$1000,FU92,$FW$2:$FW$1000,"Y",$J$2:$J$1000,"&gt;"&amp;J92)+COUNTIFS($FU$2:$FU$1000,FU92,$FW$2:$FW$1000,"Y",$J$2:$J$1000,J92,$GD$2:$GD$1000,"&lt;"&amp;GD92)=0,"Y","N")))</f>
        <v>N</v>
      </c>
      <c r="FY92" s="0" t="str">
        <f aca="false">IF($A92="","",IF(AND(FW92="Y",FX92="Y",Y92&amp;""&lt;&gt;""),IF(Y92&lt;=10,"Y","N"),"N"))</f>
        <v>N</v>
      </c>
      <c r="FZ92" s="0" t="str">
        <f aca="false">IF(FY92="Y",Y92,"")</f>
        <v/>
      </c>
      <c r="GA92" s="0" t="str">
        <f aca="false">IF($A92="","",IF(AND(I92="walk-in",CN92="pass",U92="new",FT92="N",FV92="N",AQ92&lt;&gt;"Y"),"Y","N"))</f>
        <v>N</v>
      </c>
      <c r="GB92" s="0" t="str">
        <f aca="false">IF(GA92&lt;&gt;"Y","",IF(COUNTIFS($GA$2:$GA$1000,"Y",$J$2:$J$1000,"&gt;"&amp;J92)+COUNTIFS($GA$2:$GA$1000,"Y",$J$2:$J$1000,J92,$GD$2:$GD$1000,"&lt;"&amp;GD92)+1&lt;=25,COUNTIFS($GA$2:$GA$1000,"Y",$J$2:$J$1000,"&gt;"&amp;J92)+COUNTIFS($GA$2:$GA$1000,"Y",$J$2:$J$1000,J92,$GD$2:$GD$1000,"&lt;"&amp;GD92)+1,""))</f>
        <v/>
      </c>
      <c r="GC92" s="0" t="str">
        <f aca="false">IF(AND(_xlfn.ISFORMULA(C92),_xlfn.ISFORMULA(J92)),"Y","N")</f>
        <v>N</v>
      </c>
      <c r="GD92" s="0" t="n">
        <f aca="false">ROW()-1</f>
        <v>91</v>
      </c>
    </row>
    <row r="93" customFormat="false" ht="15" hidden="false" customHeight="false" outlineLevel="0" collapsed="false">
      <c r="A93" s="0" t="s">
        <v>2742</v>
      </c>
      <c r="B93" s="0" t="s">
        <v>2755</v>
      </c>
      <c r="C93" s="0" t="s">
        <v>2745</v>
      </c>
      <c r="D93" s="0" t="s">
        <v>2756</v>
      </c>
      <c r="E93" s="0" t="s">
        <v>1145</v>
      </c>
      <c r="F93" s="0" t="s">
        <v>1529</v>
      </c>
      <c r="G93" s="0" t="s">
        <v>189</v>
      </c>
      <c r="M93" s="0" t="s">
        <v>380</v>
      </c>
      <c r="R93" s="5"/>
      <c r="U93" s="5"/>
      <c r="V93" s="0" t="s">
        <v>380</v>
      </c>
      <c r="AE93" s="0" t="s">
        <v>1871</v>
      </c>
      <c r="AF93" s="0" t="s">
        <v>294</v>
      </c>
      <c r="AG93" s="0" t="s">
        <v>2746</v>
      </c>
      <c r="AH93" s="0" t="s">
        <v>2747</v>
      </c>
      <c r="AI93" s="0" t="s">
        <v>2749</v>
      </c>
      <c r="AJ93" s="0" t="s">
        <v>189</v>
      </c>
      <c r="AK93" s="0" t="s">
        <v>186</v>
      </c>
      <c r="AL93" s="0" t="s">
        <v>189</v>
      </c>
      <c r="AM93" s="0" t="n">
        <v>60</v>
      </c>
      <c r="AN93" s="0" t="s">
        <v>187</v>
      </c>
      <c r="AO93" s="0" t="s">
        <v>512</v>
      </c>
      <c r="AP93" s="0" t="s">
        <v>2757</v>
      </c>
      <c r="AQ93" s="5" t="s">
        <v>189</v>
      </c>
      <c r="AT93" s="0" t="str">
        <f aca="false">IF($A93="","",IF(AND(CN93="pass",AQ93&lt;&gt;"Y",C93&lt;&gt;"",OR(AX93&lt;&gt;"Y",AV93="Y")),"Y","N"))</f>
        <v>N</v>
      </c>
      <c r="AU93" s="0" t="str">
        <f aca="false">IF($A93="","",_xlfn.TEXTJOIN("; ",TRUE(),IF(CN93&lt;&gt;"pass","gated out",""),IF(AQ93="Y","on hold: "&amp;AR93,""),IF(C93="","no contact named on an opened page",""),IF(AND(AX93="Y",AV93&lt;&gt;"Y"),"Tuesday estimate band "&amp;L93&amp;": founder's call","")))</f>
        <v>Tuesday estimate band : founder's call</v>
      </c>
      <c r="AX93" s="0" t="s">
        <v>164</v>
      </c>
      <c r="BC93" s="0" t="str">
        <f aca="false">IF($A93="","",IFERROR(INDEX(Enrichment!$A$2:$GZ$2000,MATCH($A93,INDEX(Enrichment!$A$2:$GZ$2000,0,MATCH("row_id",Enrichment!$A$1:$GZ$1,0)),0),MATCH("work_email",Enrichment!$A$1:$GZ$1,0))&amp;"",""))</f>
        <v/>
      </c>
      <c r="BD93" s="0" t="str">
        <f aca="false">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none</v>
      </c>
      <c r="BF93" s="0" t="s">
        <v>380</v>
      </c>
      <c r="BJ93" s="0" t="s">
        <v>380</v>
      </c>
      <c r="BK93" s="0" t="s">
        <v>2194</v>
      </c>
      <c r="BL93" s="0" t="s">
        <v>896</v>
      </c>
      <c r="BQ93" s="0" t="str">
        <f aca="false">IF($A93="","",IFERROR(INDEX(Enrichment!$A$2:$GZ$2000,MATCH($A93,INDEX(Enrichment!$A$2:$GZ$2000,0,MATCH("row_id",Enrichment!$A$1:$GZ$1,0)),0),MATCH("backup_work_email",Enrichment!$A$1:$GZ$1,0))&amp;"",""))</f>
        <v/>
      </c>
      <c r="BR93" s="0" t="str">
        <f aca="false">IF($A93="","",IF(BQ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none</v>
      </c>
      <c r="BT93" s="0" t="s">
        <v>380</v>
      </c>
      <c r="BX93" s="0" t="s">
        <v>380</v>
      </c>
      <c r="BY93" s="0" t="s">
        <v>1769</v>
      </c>
      <c r="BZ93" s="0" t="s">
        <v>388</v>
      </c>
      <c r="CA93" s="0" t="s">
        <v>2758</v>
      </c>
      <c r="CB93" s="0" t="s">
        <v>196</v>
      </c>
      <c r="CM93" s="0" t="s">
        <v>189</v>
      </c>
      <c r="CN93" s="0" t="s">
        <v>200</v>
      </c>
      <c r="CO93" s="0" t="s">
        <v>201</v>
      </c>
      <c r="CP93" s="0" t="s">
        <v>1</v>
      </c>
      <c r="CQ93" s="0" t="s">
        <v>2759</v>
      </c>
      <c r="CR93" s="0" t="s">
        <v>2760</v>
      </c>
      <c r="CS93" s="0" t="s">
        <v>2761</v>
      </c>
      <c r="CT93" s="0" t="s">
        <v>1397</v>
      </c>
      <c r="CU93" s="0" t="s">
        <v>1558</v>
      </c>
      <c r="CV93" s="0" t="s">
        <v>209</v>
      </c>
      <c r="CW93" s="0" t="s">
        <v>209</v>
      </c>
      <c r="CX93" s="0" t="s">
        <v>440</v>
      </c>
      <c r="CY93" s="0" t="s">
        <v>2762</v>
      </c>
      <c r="CZ93" s="0" t="s">
        <v>2763</v>
      </c>
      <c r="DA93" s="0" t="s">
        <v>207</v>
      </c>
      <c r="DB93" s="0" t="s">
        <v>259</v>
      </c>
      <c r="DC93" s="0" t="s">
        <v>164</v>
      </c>
      <c r="DD93" s="0" t="s">
        <v>209</v>
      </c>
      <c r="DE93" s="0" t="s">
        <v>2764</v>
      </c>
      <c r="DF93" s="0" t="s">
        <v>397</v>
      </c>
      <c r="DG93" s="0" t="n">
        <v>40.738793</v>
      </c>
      <c r="DH93" s="0" t="n">
        <v>-73.991823</v>
      </c>
      <c r="DI93" s="0" t="s">
        <v>164</v>
      </c>
      <c r="DJ93" s="0" t="n">
        <v>0</v>
      </c>
      <c r="DK93" s="0" t="s">
        <v>2303</v>
      </c>
      <c r="DL93" s="0" t="s">
        <v>2304</v>
      </c>
      <c r="DM93" s="0" t="s">
        <v>2305</v>
      </c>
      <c r="DN93" s="0" t="s">
        <v>2306</v>
      </c>
      <c r="DO93" s="0" t="s">
        <v>363</v>
      </c>
      <c r="DS93" s="0" t="s">
        <v>187</v>
      </c>
      <c r="DU93" s="0" t="s">
        <v>189</v>
      </c>
      <c r="DX93" s="0" t="s">
        <v>209</v>
      </c>
      <c r="EA93" s="0" t="s">
        <v>209</v>
      </c>
      <c r="EB93" s="0" t="s">
        <v>164</v>
      </c>
      <c r="EC93" s="0" t="s">
        <v>2765</v>
      </c>
      <c r="ED93" s="0" t="s">
        <v>2766</v>
      </c>
      <c r="EE93" s="0" t="s">
        <v>172</v>
      </c>
      <c r="EF93" s="0" t="n">
        <v>36</v>
      </c>
      <c r="EG93" s="0" t="s">
        <v>1322</v>
      </c>
      <c r="EH93" s="0" t="s">
        <v>189</v>
      </c>
      <c r="EI93" s="0" t="s">
        <v>2767</v>
      </c>
      <c r="EJ93" s="0" t="s">
        <v>221</v>
      </c>
      <c r="EK93" s="0" t="n">
        <v>0.4</v>
      </c>
      <c r="EL93" s="0" t="n">
        <v>40.1</v>
      </c>
      <c r="EM93" s="0" t="n">
        <v>10.1</v>
      </c>
      <c r="EN93" s="0" t="n">
        <v>15</v>
      </c>
      <c r="EO93" s="0" t="n">
        <v>10</v>
      </c>
      <c r="EP93" s="0" t="n">
        <v>5</v>
      </c>
      <c r="EQ93" s="0" t="n">
        <f aca="false">IF($A93="","",IF(AH93="exact",10,IF(AH93="adjacent",5,0)))</f>
        <v>0</v>
      </c>
      <c r="ER93" s="0" t="n">
        <f aca="false">IF($A93="","",IF(R93="Y",15,0))</f>
        <v>0</v>
      </c>
      <c r="ES93" s="0" t="s">
        <v>222</v>
      </c>
      <c r="EX93" s="0" t="s">
        <v>2768</v>
      </c>
      <c r="EZ93" s="0" t="s">
        <v>2769</v>
      </c>
      <c r="FS93" s="0" t="str">
        <f aca="false">IF($A93="","",IF(ISNUMBER(MATCH(U93,{"queued","contacted","replied","call_booked","call_done","yes_in_principle","materials_sent"},0)),"Y","N"))</f>
        <v>N</v>
      </c>
      <c r="FT93" s="0" t="str">
        <f aca="false">IF($A93="","",IF(OR(T93="Y",U93="do_not_contact",AS93&amp;""&lt;&gt;""),"Y","N"))</f>
        <v>N</v>
      </c>
      <c r="FU93" s="0" t="str">
        <f aca="false">IF($A93="","",IF(AP93&amp;""&lt;&gt;"",AP93&amp;"",$A93))</f>
        <v>AO-C-042</v>
      </c>
      <c r="FV93" s="0" t="str">
        <f aca="false">IF($A93="","",IF(COUNTIFS($FU$2:$FU$1000,FU93,$FS$2:$FS$1000,"Y")+COUNTIFS($FU$2:$FU$1000,FU93,$FT$2:$FT$1000,"Y")&gt;0,"Y","N"))</f>
        <v>N</v>
      </c>
      <c r="FW93" s="0" t="str">
        <f aca="false">IF($A93="","",IF(AND(U93="new",T93="N",FT93="N",AT93="Y",FV93="N"),"Y","N"))</f>
        <v>N</v>
      </c>
      <c r="FX93" s="0" t="str">
        <f aca="false">IF($A93="","",IF(FW93&lt;&gt;"Y","N",IF(COUNTIFS($FU$2:$FU$1000,FU93,$FW$2:$FW$1000,"Y",$J$2:$J$1000,"&gt;"&amp;J93)+COUNTIFS($FU$2:$FU$1000,FU93,$FW$2:$FW$1000,"Y",$J$2:$J$1000,J93,$GD$2:$GD$1000,"&lt;"&amp;GD93)=0,"Y","N")))</f>
        <v>N</v>
      </c>
      <c r="FY93" s="0" t="str">
        <f aca="false">IF($A93="","",IF(AND(FW93="Y",FX93="Y",Y93&amp;""&lt;&gt;""),IF(Y93&lt;=10,"Y","N"),"N"))</f>
        <v>N</v>
      </c>
      <c r="FZ93" s="0" t="str">
        <f aca="false">IF(FY93="Y",Y93,"")</f>
        <v/>
      </c>
      <c r="GA93" s="0" t="str">
        <f aca="false">IF($A93="","",IF(AND(I93="walk-in",CN93="pass",U93="new",FT93="N",FV93="N",AQ93&lt;&gt;"Y"),"Y","N"))</f>
        <v>N</v>
      </c>
      <c r="GB93" s="0" t="str">
        <f aca="false">IF(GA93&lt;&gt;"Y","",IF(COUNTIFS($GA$2:$GA$1000,"Y",$J$2:$J$1000,"&gt;"&amp;J93)+COUNTIFS($GA$2:$GA$1000,"Y",$J$2:$J$1000,J93,$GD$2:$GD$1000,"&lt;"&amp;GD93)+1&lt;=25,COUNTIFS($GA$2:$GA$1000,"Y",$J$2:$J$1000,"&gt;"&amp;J93)+COUNTIFS($GA$2:$GA$1000,"Y",$J$2:$J$1000,J93,$GD$2:$GD$1000,"&lt;"&amp;GD93)+1,""))</f>
        <v/>
      </c>
      <c r="GC93" s="0" t="str">
        <f aca="false">IF(AND(_xlfn.ISFORMULA(C93),_xlfn.ISFORMULA(J93)),"Y","N")</f>
        <v>N</v>
      </c>
      <c r="GD93" s="0" t="n">
        <f aca="false">ROW()-1</f>
        <v>92</v>
      </c>
    </row>
    <row r="94" customFormat="false" ht="15" hidden="false" customHeight="false" outlineLevel="0" collapsed="false">
      <c r="A94" s="0" t="s">
        <v>2757</v>
      </c>
      <c r="B94" s="0" t="s">
        <v>2770</v>
      </c>
      <c r="C94" s="0" t="s">
        <v>2760</v>
      </c>
      <c r="D94" s="0" t="s">
        <v>2771</v>
      </c>
      <c r="E94" s="0" t="s">
        <v>2772</v>
      </c>
      <c r="F94" s="0" t="s">
        <v>2773</v>
      </c>
      <c r="G94" s="0" t="s">
        <v>189</v>
      </c>
      <c r="M94" s="0" t="s">
        <v>380</v>
      </c>
      <c r="R94" s="5"/>
      <c r="U94" s="5"/>
      <c r="V94" s="0" t="s">
        <v>380</v>
      </c>
      <c r="AE94" s="0" t="s">
        <v>2431</v>
      </c>
      <c r="AF94" s="0" t="s">
        <v>209</v>
      </c>
      <c r="AG94" s="0" t="s">
        <v>2761</v>
      </c>
      <c r="AH94" s="0" t="s">
        <v>1397</v>
      </c>
      <c r="AI94" s="0" t="s">
        <v>2764</v>
      </c>
      <c r="AJ94" s="0" t="s">
        <v>189</v>
      </c>
      <c r="AK94" s="0" t="s">
        <v>1794</v>
      </c>
      <c r="AL94" s="0" t="s">
        <v>189</v>
      </c>
      <c r="AM94" s="0" t="n">
        <v>80</v>
      </c>
      <c r="AN94" s="0" t="s">
        <v>187</v>
      </c>
      <c r="AO94" s="0" t="s">
        <v>1406</v>
      </c>
      <c r="AP94" s="0" t="s">
        <v>2774</v>
      </c>
      <c r="AQ94" s="5" t="s">
        <v>189</v>
      </c>
      <c r="AT94" s="0" t="str">
        <f aca="false">IF($A94="","",IF(AND(CN94="pass",AQ94&lt;&gt;"Y",C94&lt;&gt;"",OR(AX94&lt;&gt;"Y",AV94="Y")),"Y","N"))</f>
        <v>Y</v>
      </c>
      <c r="AU94" s="0" t="str">
        <f aca="false">IF($A94="","",_xlfn.TEXTJOIN("; ",TRUE(),IF(CN94&lt;&gt;"pass","gated out",""),IF(AQ94="Y","on hold: "&amp;AR94,""),IF(C94="","no contact named on an opened page",""),IF(AND(AX94="Y",AV94&lt;&gt;"Y"),"Tuesday estimate band "&amp;L94&amp;": founder's call","")))</f>
        <v/>
      </c>
      <c r="AX94" s="0" t="s">
        <v>189</v>
      </c>
      <c r="BC94" s="0" t="str">
        <f aca="false">IF($A94="","",IFERROR(INDEX(Enrichment!$A$2:$GZ$2000,MATCH($A94,INDEX(Enrichment!$A$2:$GZ$2000,0,MATCH("row_id",Enrichment!$A$1:$GZ$1,0)),0),MATCH("work_email",Enrichment!$A$1:$GZ$1,0))&amp;"",""))</f>
        <v/>
      </c>
      <c r="BD94" s="0" t="str">
        <f aca="false">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none</v>
      </c>
      <c r="BF94" s="0" t="s">
        <v>380</v>
      </c>
      <c r="BJ94" s="0" t="s">
        <v>380</v>
      </c>
      <c r="BL94" s="0" t="s">
        <v>896</v>
      </c>
      <c r="BQ94" s="0" t="str">
        <f aca="false">IF($A94="","",IFERROR(INDEX(Enrichment!$A$2:$GZ$2000,MATCH($A94,INDEX(Enrichment!$A$2:$GZ$2000,0,MATCH("row_id",Enrichment!$A$1:$GZ$1,0)),0),MATCH("backup_work_email",Enrichment!$A$1:$GZ$1,0))&amp;"",""))</f>
        <v/>
      </c>
      <c r="BR94" s="0" t="str">
        <f aca="false">IF($A94="","",IF(BQ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none</v>
      </c>
      <c r="BT94" s="0" t="s">
        <v>380</v>
      </c>
      <c r="BX94" s="0" t="s">
        <v>380</v>
      </c>
      <c r="BY94" s="0" t="s">
        <v>387</v>
      </c>
      <c r="BZ94" s="0" t="s">
        <v>388</v>
      </c>
      <c r="CA94" s="0" t="s">
        <v>2775</v>
      </c>
      <c r="CB94" s="0" t="s">
        <v>196</v>
      </c>
      <c r="CM94" s="0" t="s">
        <v>189</v>
      </c>
      <c r="CN94" s="0" t="s">
        <v>200</v>
      </c>
      <c r="CO94" s="0" t="s">
        <v>201</v>
      </c>
      <c r="CP94" s="0" t="s">
        <v>1</v>
      </c>
      <c r="CQ94" s="0" t="s">
        <v>2776</v>
      </c>
      <c r="CR94" s="0" t="s">
        <v>2777</v>
      </c>
      <c r="CS94" s="0" t="s">
        <v>2778</v>
      </c>
      <c r="CT94" s="0" t="s">
        <v>439</v>
      </c>
      <c r="CU94" s="0" t="s">
        <v>2779</v>
      </c>
      <c r="CV94" s="0" t="s">
        <v>209</v>
      </c>
      <c r="CW94" s="0" t="s">
        <v>209</v>
      </c>
      <c r="CX94" s="0" t="s">
        <v>440</v>
      </c>
      <c r="CY94" s="0" t="s">
        <v>2780</v>
      </c>
      <c r="CZ94" s="0" t="s">
        <v>2781</v>
      </c>
      <c r="DA94" s="0" t="s">
        <v>207</v>
      </c>
      <c r="DB94" s="0" t="s">
        <v>259</v>
      </c>
      <c r="DC94" s="0" t="s">
        <v>164</v>
      </c>
      <c r="DD94" s="0" t="s">
        <v>209</v>
      </c>
      <c r="DE94" s="0" t="s">
        <v>2782</v>
      </c>
      <c r="DF94" s="0" t="s">
        <v>525</v>
      </c>
      <c r="DG94" s="0" t="n">
        <v>40.741355</v>
      </c>
      <c r="DH94" s="0" t="n">
        <v>-73.990598</v>
      </c>
      <c r="DI94" s="0" t="s">
        <v>164</v>
      </c>
      <c r="DJ94" s="0" t="n">
        <v>0</v>
      </c>
      <c r="DK94" s="0" t="s">
        <v>2783</v>
      </c>
      <c r="DL94" s="0" t="s">
        <v>2784</v>
      </c>
      <c r="DM94" s="0" t="s">
        <v>2785</v>
      </c>
      <c r="DN94" s="0" t="s">
        <v>2786</v>
      </c>
      <c r="DO94" s="0" t="s">
        <v>363</v>
      </c>
      <c r="DS94" s="0" t="s">
        <v>187</v>
      </c>
      <c r="DU94" s="0" t="s">
        <v>189</v>
      </c>
      <c r="DX94" s="0" t="s">
        <v>209</v>
      </c>
      <c r="EA94" s="0" t="s">
        <v>209</v>
      </c>
      <c r="EB94" s="0" t="s">
        <v>189</v>
      </c>
      <c r="EC94" s="0" t="s">
        <v>2787</v>
      </c>
      <c r="ED94" s="0" t="s">
        <v>2788</v>
      </c>
      <c r="EE94" s="0" t="s">
        <v>172</v>
      </c>
      <c r="EF94" s="0" t="n">
        <v>67</v>
      </c>
      <c r="EH94" s="0" t="s">
        <v>164</v>
      </c>
      <c r="EI94" s="0" t="s">
        <v>2789</v>
      </c>
      <c r="EJ94" s="0" t="s">
        <v>221</v>
      </c>
      <c r="EK94" s="0" t="n">
        <v>1</v>
      </c>
      <c r="EL94" s="0" t="n">
        <v>40</v>
      </c>
      <c r="EM94" s="0" t="n">
        <v>25</v>
      </c>
      <c r="EN94" s="0" t="n">
        <v>15</v>
      </c>
      <c r="EO94" s="0" t="n">
        <v>-5</v>
      </c>
      <c r="EP94" s="0" t="n">
        <v>5</v>
      </c>
      <c r="EQ94" s="0" t="n">
        <f aca="false">IF($A94="","",IF(AH94="exact",10,IF(AH94="adjacent",5,0)))</f>
        <v>0</v>
      </c>
      <c r="ER94" s="0" t="n">
        <f aca="false">IF($A94="","",IF(R94="Y",15,0))</f>
        <v>0</v>
      </c>
      <c r="ES94" s="0" t="s">
        <v>222</v>
      </c>
      <c r="EV94" s="0" t="s">
        <v>913</v>
      </c>
      <c r="EW94" s="0" t="s">
        <v>224</v>
      </c>
      <c r="EX94" s="0" t="s">
        <v>2790</v>
      </c>
      <c r="EZ94" s="0" t="s">
        <v>2791</v>
      </c>
      <c r="FS94" s="0" t="str">
        <f aca="false">IF($A94="","",IF(ISNUMBER(MATCH(U94,{"queued","contacted","replied","call_booked","call_done","yes_in_principle","materials_sent"},0)),"Y","N"))</f>
        <v>N</v>
      </c>
      <c r="FT94" s="0" t="str">
        <f aca="false">IF($A94="","",IF(OR(T94="Y",U94="do_not_contact",AS94&amp;""&lt;&gt;""),"Y","N"))</f>
        <v>N</v>
      </c>
      <c r="FU94" s="0" t="str">
        <f aca="false">IF($A94="","",IF(AP94&amp;""&lt;&gt;"",AP94&amp;"",$A94))</f>
        <v>AO-C-090</v>
      </c>
      <c r="FV94" s="0" t="str">
        <f aca="false">IF($A94="","",IF(COUNTIFS($FU$2:$FU$1000,FU94,$FS$2:$FS$1000,"Y")+COUNTIFS($FU$2:$FU$1000,FU94,$FT$2:$FT$1000,"Y")&gt;0,"Y","N"))</f>
        <v>N</v>
      </c>
      <c r="FW94" s="0" t="str">
        <f aca="false">IF($A94="","",IF(AND(U94="new",T94="N",FT94="N",AT94="Y",FV94="N"),"Y","N"))</f>
        <v>N</v>
      </c>
      <c r="FX94" s="0" t="str">
        <f aca="false">IF($A94="","",IF(FW94&lt;&gt;"Y","N",IF(COUNTIFS($FU$2:$FU$1000,FU94,$FW$2:$FW$1000,"Y",$J$2:$J$1000,"&gt;"&amp;J94)+COUNTIFS($FU$2:$FU$1000,FU94,$FW$2:$FW$1000,"Y",$J$2:$J$1000,J94,$GD$2:$GD$1000,"&lt;"&amp;GD94)=0,"Y","N")))</f>
        <v>N</v>
      </c>
      <c r="FY94" s="0" t="str">
        <f aca="false">IF($A94="","",IF(AND(FW94="Y",FX94="Y",Y94&amp;""&lt;&gt;""),IF(Y94&lt;=10,"Y","N"),"N"))</f>
        <v>N</v>
      </c>
      <c r="FZ94" s="0" t="str">
        <f aca="false">IF(FY94="Y",Y94,"")</f>
        <v/>
      </c>
      <c r="GA94" s="0" t="str">
        <f aca="false">IF($A94="","",IF(AND(I94="walk-in",CN94="pass",U94="new",FT94="N",FV94="N",AQ94&lt;&gt;"Y"),"Y","N"))</f>
        <v>N</v>
      </c>
      <c r="GB94" s="0" t="str">
        <f aca="false">IF(GA94&lt;&gt;"Y","",IF(COUNTIFS($GA$2:$GA$1000,"Y",$J$2:$J$1000,"&gt;"&amp;J94)+COUNTIFS($GA$2:$GA$1000,"Y",$J$2:$J$1000,J94,$GD$2:$GD$1000,"&lt;"&amp;GD94)+1&lt;=25,COUNTIFS($GA$2:$GA$1000,"Y",$J$2:$J$1000,"&gt;"&amp;J94)+COUNTIFS($GA$2:$GA$1000,"Y",$J$2:$J$1000,J94,$GD$2:$GD$1000,"&lt;"&amp;GD94)+1,""))</f>
        <v/>
      </c>
      <c r="GC94" s="0" t="str">
        <f aca="false">IF(AND(_xlfn.ISFORMULA(C94),_xlfn.ISFORMULA(J94)),"Y","N")</f>
        <v>N</v>
      </c>
      <c r="GD94" s="0" t="n">
        <f aca="false">ROW()-1</f>
        <v>93</v>
      </c>
    </row>
    <row r="95" customFormat="false" ht="15" hidden="false" customHeight="false" outlineLevel="0" collapsed="false">
      <c r="A95" s="0" t="s">
        <v>2774</v>
      </c>
      <c r="B95" s="0" t="s">
        <v>2792</v>
      </c>
      <c r="C95" s="0" t="s">
        <v>2777</v>
      </c>
      <c r="D95" s="0" t="s">
        <v>2793</v>
      </c>
      <c r="E95" s="0" t="s">
        <v>2498</v>
      </c>
      <c r="F95" s="0" t="s">
        <v>2794</v>
      </c>
      <c r="G95" s="0" t="s">
        <v>189</v>
      </c>
      <c r="M95" s="0" t="s">
        <v>380</v>
      </c>
      <c r="R95" s="5"/>
      <c r="U95" s="5"/>
      <c r="V95" s="0" t="s">
        <v>380</v>
      </c>
      <c r="AE95" s="0" t="s">
        <v>2784</v>
      </c>
      <c r="AF95" s="0" t="s">
        <v>412</v>
      </c>
      <c r="AG95" s="0" t="s">
        <v>2778</v>
      </c>
      <c r="AH95" s="0" t="s">
        <v>439</v>
      </c>
      <c r="AI95" s="0" t="s">
        <v>2782</v>
      </c>
      <c r="AJ95" s="0" t="s">
        <v>189</v>
      </c>
      <c r="AK95" s="0" t="s">
        <v>298</v>
      </c>
      <c r="AL95" s="0" t="s">
        <v>189</v>
      </c>
      <c r="AM95" s="0" t="n">
        <v>47</v>
      </c>
      <c r="AN95" s="0" t="s">
        <v>187</v>
      </c>
      <c r="AO95" s="0" t="s">
        <v>188</v>
      </c>
      <c r="AP95" s="0" t="s">
        <v>2795</v>
      </c>
      <c r="AQ95" s="5" t="s">
        <v>189</v>
      </c>
      <c r="AT95" s="0" t="str">
        <f aca="false">IF($A95="","",IF(AND(CN95="pass",AQ95&lt;&gt;"Y",C95&lt;&gt;"",OR(AX95&lt;&gt;"Y",AV95="Y")),"Y","N"))</f>
        <v>N</v>
      </c>
      <c r="AU95" s="0" t="str">
        <f aca="false">IF($A95="","",_xlfn.TEXTJOIN("; ",TRUE(),IF(CN95&lt;&gt;"pass","gated out",""),IF(AQ95="Y","on hold: "&amp;AR95,""),IF(C95="","no contact named on an opened page",""),IF(AND(AX95="Y",AV95&lt;&gt;"Y"),"Tuesday estimate band "&amp;L95&amp;": founder's call","")))</f>
        <v>Tuesday estimate band : founder's call</v>
      </c>
      <c r="AX95" s="0" t="s">
        <v>164</v>
      </c>
      <c r="BC95" s="0" t="str">
        <f aca="false">IF($A95="","",IFERROR(INDEX(Enrichment!$A$2:$GZ$2000,MATCH($A95,INDEX(Enrichment!$A$2:$GZ$2000,0,MATCH("row_id",Enrichment!$A$1:$GZ$1,0)),0),MATCH("work_email",Enrichment!$A$1:$GZ$1,0))&amp;"",""))</f>
        <v/>
      </c>
      <c r="BD95" s="0" t="str">
        <f aca="false">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none</v>
      </c>
      <c r="BF95" s="0" t="s">
        <v>380</v>
      </c>
      <c r="BJ95" s="0" t="s">
        <v>380</v>
      </c>
      <c r="BK95" s="0" t="s">
        <v>2194</v>
      </c>
      <c r="BL95" s="0" t="s">
        <v>837</v>
      </c>
      <c r="BQ95" s="0" t="str">
        <f aca="false">IF($A95="","",IFERROR(INDEX(Enrichment!$A$2:$GZ$2000,MATCH($A95,INDEX(Enrichment!$A$2:$GZ$2000,0,MATCH("row_id",Enrichment!$A$1:$GZ$1,0)),0),MATCH("backup_work_email",Enrichment!$A$1:$GZ$1,0))&amp;"",""))</f>
        <v/>
      </c>
      <c r="BR95" s="0" t="str">
        <f aca="false">IF($A95="","",IF(BQ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none</v>
      </c>
      <c r="BT95" s="0" t="s">
        <v>380</v>
      </c>
      <c r="BX95" s="0" t="s">
        <v>380</v>
      </c>
      <c r="BY95" s="0" t="s">
        <v>1769</v>
      </c>
      <c r="BZ95" s="0" t="s">
        <v>388</v>
      </c>
      <c r="CA95" s="0" t="s">
        <v>2796</v>
      </c>
      <c r="CB95" s="0" t="s">
        <v>196</v>
      </c>
      <c r="CM95" s="0" t="s">
        <v>164</v>
      </c>
      <c r="CN95" s="0" t="s">
        <v>200</v>
      </c>
      <c r="CO95" s="0" t="s">
        <v>201</v>
      </c>
      <c r="CP95" s="0" t="s">
        <v>1</v>
      </c>
      <c r="CQ95" s="0" t="s">
        <v>2797</v>
      </c>
      <c r="CR95" s="0" t="s">
        <v>2798</v>
      </c>
      <c r="CS95" s="0" t="s">
        <v>2799</v>
      </c>
      <c r="CT95" s="0" t="s">
        <v>2800</v>
      </c>
      <c r="CU95" s="0" t="s">
        <v>2801</v>
      </c>
      <c r="CV95" s="0" t="s">
        <v>976</v>
      </c>
      <c r="CW95" s="0" t="s">
        <v>204</v>
      </c>
      <c r="CX95" s="0" t="s">
        <v>1348</v>
      </c>
      <c r="CY95" s="0" t="s">
        <v>2802</v>
      </c>
      <c r="CZ95" s="0" t="s">
        <v>2803</v>
      </c>
      <c r="DA95" s="0" t="s">
        <v>1351</v>
      </c>
      <c r="DB95" s="0" t="s">
        <v>2804</v>
      </c>
      <c r="DC95" s="0" t="s">
        <v>189</v>
      </c>
      <c r="DD95" s="0" t="s">
        <v>209</v>
      </c>
      <c r="DE95" s="0" t="s">
        <v>2805</v>
      </c>
      <c r="DF95" s="0" t="s">
        <v>1190</v>
      </c>
      <c r="DG95" s="0" t="n">
        <v>40.744515</v>
      </c>
      <c r="DH95" s="0" t="n">
        <v>-73.988255</v>
      </c>
      <c r="DI95" s="0" t="s">
        <v>164</v>
      </c>
      <c r="DJ95" s="0" t="n">
        <v>0</v>
      </c>
      <c r="DK95" s="0" t="s">
        <v>2806</v>
      </c>
      <c r="DL95" s="0" t="s">
        <v>2807</v>
      </c>
      <c r="DM95" s="0" t="s">
        <v>2808</v>
      </c>
      <c r="DN95" s="0" t="s">
        <v>263</v>
      </c>
      <c r="DO95" s="0" t="s">
        <v>214</v>
      </c>
      <c r="DP95" s="0" t="s">
        <v>2809</v>
      </c>
      <c r="DQ95" s="0" t="s">
        <v>2810</v>
      </c>
      <c r="DS95" s="0" t="s">
        <v>809</v>
      </c>
      <c r="DU95" s="0" t="s">
        <v>189</v>
      </c>
      <c r="DX95" s="0" t="s">
        <v>209</v>
      </c>
      <c r="EA95" s="0" t="s">
        <v>209</v>
      </c>
      <c r="EB95" s="0" t="s">
        <v>189</v>
      </c>
      <c r="EC95" s="0" t="s">
        <v>218</v>
      </c>
      <c r="ED95" s="0" t="s">
        <v>2803</v>
      </c>
      <c r="EE95" s="0" t="s">
        <v>172</v>
      </c>
      <c r="EF95" s="0" t="n">
        <v>34</v>
      </c>
      <c r="EG95" s="0" t="s">
        <v>1322</v>
      </c>
      <c r="EH95" s="0" t="s">
        <v>164</v>
      </c>
      <c r="EI95" s="0" t="s">
        <v>2811</v>
      </c>
      <c r="EJ95" s="0" t="s">
        <v>221</v>
      </c>
      <c r="EK95" s="0" t="n">
        <v>0.24</v>
      </c>
      <c r="EL95" s="0" t="n">
        <v>40</v>
      </c>
      <c r="EM95" s="0" t="n">
        <v>6</v>
      </c>
      <c r="EN95" s="0" t="n">
        <v>6</v>
      </c>
      <c r="EO95" s="0" t="n">
        <v>15</v>
      </c>
      <c r="EP95" s="0" t="n">
        <v>13</v>
      </c>
      <c r="EQ95" s="0" t="n">
        <f aca="false">IF($A95="","",IF(AH95="exact",10,IF(AH95="adjacent",5,0)))</f>
        <v>0</v>
      </c>
      <c r="ER95" s="0" t="n">
        <f aca="false">IF($A95="","",IF(R95="Y",15,0))</f>
        <v>0</v>
      </c>
      <c r="ES95" s="0" t="s">
        <v>982</v>
      </c>
      <c r="ET95" s="0" t="s">
        <v>1360</v>
      </c>
      <c r="EU95" s="0" t="s">
        <v>164</v>
      </c>
      <c r="EV95" s="0" t="s">
        <v>2812</v>
      </c>
      <c r="EW95" s="0" t="s">
        <v>224</v>
      </c>
      <c r="EX95" s="0" t="s">
        <v>2813</v>
      </c>
      <c r="EZ95" s="0" t="s">
        <v>2814</v>
      </c>
      <c r="FS95" s="0" t="str">
        <f aca="false">IF($A95="","",IF(ISNUMBER(MATCH(U95,{"queued","contacted","replied","call_booked","call_done","yes_in_principle","materials_sent"},0)),"Y","N"))</f>
        <v>N</v>
      </c>
      <c r="FT95" s="0" t="str">
        <f aca="false">IF($A95="","",IF(OR(T95="Y",U95="do_not_contact",AS95&amp;""&lt;&gt;""),"Y","N"))</f>
        <v>N</v>
      </c>
      <c r="FU95" s="0" t="str">
        <f aca="false">IF($A95="","",IF(AP95&amp;""&lt;&gt;"",AP95&amp;"",$A95))</f>
        <v>AO-C-153</v>
      </c>
      <c r="FV95" s="0" t="str">
        <f aca="false">IF($A95="","",IF(COUNTIFS($FU$2:$FU$1000,FU95,$FS$2:$FS$1000,"Y")+COUNTIFS($FU$2:$FU$1000,FU95,$FT$2:$FT$1000,"Y")&gt;0,"Y","N"))</f>
        <v>N</v>
      </c>
      <c r="FW95" s="0" t="str">
        <f aca="false">IF($A95="","",IF(AND(U95="new",T95="N",FT95="N",AT95="Y",FV95="N"),"Y","N"))</f>
        <v>N</v>
      </c>
      <c r="FX95" s="0" t="str">
        <f aca="false">IF($A95="","",IF(FW95&lt;&gt;"Y","N",IF(COUNTIFS($FU$2:$FU$1000,FU95,$FW$2:$FW$1000,"Y",$J$2:$J$1000,"&gt;"&amp;J95)+COUNTIFS($FU$2:$FU$1000,FU95,$FW$2:$FW$1000,"Y",$J$2:$J$1000,J95,$GD$2:$GD$1000,"&lt;"&amp;GD95)=0,"Y","N")))</f>
        <v>N</v>
      </c>
      <c r="FY95" s="0" t="str">
        <f aca="false">IF($A95="","",IF(AND(FW95="Y",FX95="Y",Y95&amp;""&lt;&gt;""),IF(Y95&lt;=10,"Y","N"),"N"))</f>
        <v>N</v>
      </c>
      <c r="FZ95" s="0" t="str">
        <f aca="false">IF(FY95="Y",Y95,"")</f>
        <v/>
      </c>
      <c r="GA95" s="0" t="str">
        <f aca="false">IF($A95="","",IF(AND(I95="walk-in",CN95="pass",U95="new",FT95="N",FV95="N",AQ95&lt;&gt;"Y"),"Y","N"))</f>
        <v>N</v>
      </c>
      <c r="GB95" s="0" t="str">
        <f aca="false">IF(GA95&lt;&gt;"Y","",IF(COUNTIFS($GA$2:$GA$1000,"Y",$J$2:$J$1000,"&gt;"&amp;J95)+COUNTIFS($GA$2:$GA$1000,"Y",$J$2:$J$1000,J95,$GD$2:$GD$1000,"&lt;"&amp;GD95)+1&lt;=25,COUNTIFS($GA$2:$GA$1000,"Y",$J$2:$J$1000,"&gt;"&amp;J95)+COUNTIFS($GA$2:$GA$1000,"Y",$J$2:$J$1000,J95,$GD$2:$GD$1000,"&lt;"&amp;GD95)+1,""))</f>
        <v/>
      </c>
      <c r="GC95" s="0" t="str">
        <f aca="false">IF(AND(_xlfn.ISFORMULA(C95),_xlfn.ISFORMULA(J95)),"Y","N")</f>
        <v>N</v>
      </c>
      <c r="GD95" s="0" t="n">
        <f aca="false">ROW()-1</f>
        <v>94</v>
      </c>
    </row>
    <row r="96" customFormat="false" ht="15" hidden="false" customHeight="false" outlineLevel="0" collapsed="false">
      <c r="A96" s="0" t="s">
        <v>2795</v>
      </c>
      <c r="B96" s="0" t="s">
        <v>2815</v>
      </c>
      <c r="C96" s="0" t="s">
        <v>2798</v>
      </c>
      <c r="D96" s="0" t="s">
        <v>2816</v>
      </c>
      <c r="E96" s="0" t="s">
        <v>843</v>
      </c>
      <c r="F96" s="0" t="s">
        <v>2794</v>
      </c>
      <c r="G96" s="0" t="s">
        <v>189</v>
      </c>
      <c r="M96" s="0" t="s">
        <v>380</v>
      </c>
      <c r="R96" s="5"/>
      <c r="U96" s="5"/>
      <c r="V96" s="0" t="s">
        <v>380</v>
      </c>
      <c r="AE96" s="0" t="s">
        <v>2817</v>
      </c>
      <c r="AF96" s="0" t="s">
        <v>279</v>
      </c>
      <c r="AG96" s="0" t="s">
        <v>2799</v>
      </c>
      <c r="AH96" s="0" t="s">
        <v>2800</v>
      </c>
      <c r="AI96" s="0" t="s">
        <v>2805</v>
      </c>
      <c r="AJ96" s="0" t="s">
        <v>189</v>
      </c>
      <c r="AK96" s="0" t="s">
        <v>1794</v>
      </c>
      <c r="AL96" s="0" t="s">
        <v>164</v>
      </c>
      <c r="AM96" s="0" t="n">
        <v>281</v>
      </c>
      <c r="AN96" s="0" t="s">
        <v>187</v>
      </c>
      <c r="AO96" s="0" t="s">
        <v>1104</v>
      </c>
      <c r="AP96" s="0" t="s">
        <v>1581</v>
      </c>
      <c r="AQ96" s="5" t="s">
        <v>189</v>
      </c>
      <c r="AT96" s="0" t="str">
        <f aca="false">IF($A96="","",IF(AND(CN96="pass",AQ96&lt;&gt;"Y",C96&lt;&gt;"",OR(AX96&lt;&gt;"Y",AV96="Y")),"Y","N"))</f>
        <v>Y</v>
      </c>
      <c r="AU96" s="0" t="str">
        <f aca="false">IF($A96="","",_xlfn.TEXTJOIN("; ",TRUE(),IF(CN96&lt;&gt;"pass","gated out",""),IF(AQ96="Y","on hold: "&amp;AR96,""),IF(C96="","no contact named on an opened page",""),IF(AND(AX96="Y",AV96&lt;&gt;"Y"),"Tuesday estimate band "&amp;L96&amp;": founder's call","")))</f>
        <v/>
      </c>
      <c r="AW96" s="0" t="s">
        <v>164</v>
      </c>
      <c r="AX96" s="0" t="s">
        <v>189</v>
      </c>
      <c r="AY96" s="0" t="s">
        <v>1586</v>
      </c>
      <c r="AZ96" s="0" t="s">
        <v>1587</v>
      </c>
      <c r="BA96" s="0" t="s">
        <v>772</v>
      </c>
      <c r="BC96" s="0" t="str">
        <f aca="false">IF($A96="","",IFERROR(INDEX(Enrichment!$A$2:$GZ$2000,MATCH($A96,INDEX(Enrichment!$A$2:$GZ$2000,0,MATCH("row_id",Enrichment!$A$1:$GZ$1,0)),0),MATCH("work_email",Enrichment!$A$1:$GZ$1,0))&amp;"",""))</f>
        <v/>
      </c>
      <c r="BD96" s="0" t="str">
        <f aca="false">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none</v>
      </c>
      <c r="BE96" s="0" t="s">
        <v>168</v>
      </c>
      <c r="BF96" s="0" t="s">
        <v>283</v>
      </c>
      <c r="BG96" s="0" t="s">
        <v>284</v>
      </c>
      <c r="BH96" s="0" t="s">
        <v>1588</v>
      </c>
      <c r="BI96" s="0" t="s">
        <v>172</v>
      </c>
      <c r="BJ96" s="0" t="s">
        <v>301</v>
      </c>
      <c r="BK96" s="0" t="s">
        <v>2818</v>
      </c>
      <c r="BL96" s="0" t="s">
        <v>970</v>
      </c>
      <c r="BM96" s="0" t="s">
        <v>1589</v>
      </c>
      <c r="BN96" s="0" t="s">
        <v>1590</v>
      </c>
      <c r="BO96" s="0" t="s">
        <v>1591</v>
      </c>
      <c r="BQ96" s="0" t="str">
        <f aca="false">IF($A96="","",IFERROR(INDEX(Enrichment!$A$2:$GZ$2000,MATCH($A96,INDEX(Enrichment!$A$2:$GZ$2000,0,MATCH("row_id",Enrichment!$A$1:$GZ$1,0)),0),MATCH("backup_work_email",Enrichment!$A$1:$GZ$1,0))&amp;"",""))</f>
        <v/>
      </c>
      <c r="BR96" s="0" t="str">
        <f aca="false">IF($A96="","",IF(BQ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none</v>
      </c>
      <c r="BS96" s="0" t="s">
        <v>176</v>
      </c>
      <c r="BT96" s="0" t="s">
        <v>283</v>
      </c>
      <c r="BU96" s="0" t="s">
        <v>284</v>
      </c>
      <c r="BV96" s="0" t="s">
        <v>1592</v>
      </c>
      <c r="BW96" s="0" t="s">
        <v>172</v>
      </c>
      <c r="BX96" s="0" t="s">
        <v>301</v>
      </c>
      <c r="BY96" s="0" t="s">
        <v>2819</v>
      </c>
      <c r="BZ96" s="0" t="s">
        <v>2820</v>
      </c>
      <c r="CA96" s="0" t="s">
        <v>2821</v>
      </c>
      <c r="CB96" s="0" t="s">
        <v>196</v>
      </c>
      <c r="CC96" s="0" t="s">
        <v>2822</v>
      </c>
      <c r="CD96" s="0" t="s">
        <v>2726</v>
      </c>
      <c r="CE96" s="0" t="s">
        <v>2727</v>
      </c>
      <c r="CF96" s="0" t="s">
        <v>352</v>
      </c>
      <c r="CH96" s="0" t="s">
        <v>1593</v>
      </c>
      <c r="CI96" s="0" t="s">
        <v>1594</v>
      </c>
      <c r="CJ96" s="0" t="s">
        <v>1595</v>
      </c>
      <c r="CK96" s="0" t="s">
        <v>352</v>
      </c>
      <c r="CM96" s="0" t="s">
        <v>164</v>
      </c>
      <c r="CN96" s="0" t="s">
        <v>200</v>
      </c>
      <c r="CO96" s="0" t="s">
        <v>201</v>
      </c>
      <c r="CP96" s="0" t="s">
        <v>1</v>
      </c>
      <c r="CQ96" s="0" t="s">
        <v>2823</v>
      </c>
      <c r="CR96" s="0" t="s">
        <v>1583</v>
      </c>
      <c r="CS96" s="0" t="s">
        <v>1596</v>
      </c>
      <c r="CT96" s="0" t="s">
        <v>1597</v>
      </c>
      <c r="CV96" s="0" t="s">
        <v>976</v>
      </c>
      <c r="CW96" s="0" t="s">
        <v>204</v>
      </c>
      <c r="CX96" s="0" t="s">
        <v>205</v>
      </c>
      <c r="CY96" s="0" t="s">
        <v>2824</v>
      </c>
      <c r="DA96" s="0" t="s">
        <v>1351</v>
      </c>
      <c r="DB96" s="0" t="s">
        <v>259</v>
      </c>
      <c r="DC96" s="0" t="s">
        <v>164</v>
      </c>
      <c r="DD96" s="0" t="s">
        <v>209</v>
      </c>
      <c r="DE96" s="0" t="s">
        <v>1598</v>
      </c>
      <c r="DF96" s="0" t="s">
        <v>397</v>
      </c>
      <c r="DG96" s="0" t="n">
        <v>40.74024</v>
      </c>
      <c r="DH96" s="0" t="n">
        <v>-73.994996</v>
      </c>
      <c r="DI96" s="0" t="s">
        <v>164</v>
      </c>
      <c r="DJ96" s="0" t="n">
        <v>0</v>
      </c>
      <c r="DK96" s="0" t="s">
        <v>398</v>
      </c>
      <c r="DL96" s="0" t="s">
        <v>399</v>
      </c>
      <c r="DM96" s="0" t="s">
        <v>2825</v>
      </c>
      <c r="DN96" s="0" t="s">
        <v>263</v>
      </c>
      <c r="DO96" s="0" t="s">
        <v>651</v>
      </c>
      <c r="DP96" s="0" t="s">
        <v>400</v>
      </c>
      <c r="DQ96" s="0" t="s">
        <v>401</v>
      </c>
      <c r="DS96" s="0" t="s">
        <v>217</v>
      </c>
      <c r="DU96" s="0" t="s">
        <v>189</v>
      </c>
      <c r="DX96" s="0" t="s">
        <v>209</v>
      </c>
      <c r="EA96" s="0" t="s">
        <v>209</v>
      </c>
      <c r="EB96" s="0" t="s">
        <v>189</v>
      </c>
      <c r="EC96" s="0" t="s">
        <v>2826</v>
      </c>
      <c r="ED96" s="0" t="s">
        <v>2825</v>
      </c>
      <c r="EE96" s="0" t="s">
        <v>172</v>
      </c>
      <c r="EF96" s="0" t="n">
        <v>235</v>
      </c>
      <c r="EG96" s="0" t="s">
        <v>366</v>
      </c>
      <c r="EH96" s="0" t="s">
        <v>164</v>
      </c>
      <c r="EI96" s="0" t="s">
        <v>2827</v>
      </c>
      <c r="EJ96" s="0" t="s">
        <v>221</v>
      </c>
      <c r="EK96" s="0" t="n">
        <v>0.35</v>
      </c>
      <c r="EL96" s="0" t="n">
        <v>39.7</v>
      </c>
      <c r="EM96" s="0" t="n">
        <v>8.7</v>
      </c>
      <c r="EN96" s="0" t="n">
        <v>6</v>
      </c>
      <c r="EO96" s="0" t="n">
        <v>5</v>
      </c>
      <c r="EP96" s="0" t="n">
        <v>15</v>
      </c>
      <c r="EQ96" s="0" t="n">
        <f aca="false">IF($A96="","",IF(AH96="exact",10,IF(AH96="adjacent",5,0)))</f>
        <v>0</v>
      </c>
      <c r="ER96" s="0" t="n">
        <f aca="false">IF($A96="","",IF(R96="Y",15,0))</f>
        <v>0</v>
      </c>
      <c r="ES96" s="0" t="s">
        <v>982</v>
      </c>
      <c r="ET96" s="0" t="s">
        <v>1360</v>
      </c>
      <c r="EU96" s="0" t="s">
        <v>189</v>
      </c>
      <c r="EV96" s="0" t="s">
        <v>405</v>
      </c>
      <c r="EW96" s="0" t="s">
        <v>224</v>
      </c>
      <c r="EX96" s="0" t="s">
        <v>2828</v>
      </c>
      <c r="EZ96" s="0" t="s">
        <v>2829</v>
      </c>
      <c r="FS96" s="0" t="str">
        <f aca="false">IF($A96="","",IF(ISNUMBER(MATCH(U96,{"queued","contacted","replied","call_booked","call_done","yes_in_principle","materials_sent"},0)),"Y","N"))</f>
        <v>N</v>
      </c>
      <c r="FT96" s="0" t="str">
        <f aca="false">IF($A96="","",IF(OR(T96="Y",U96="do_not_contact",AS96&amp;""&lt;&gt;""),"Y","N"))</f>
        <v>N</v>
      </c>
      <c r="FU96" s="0" t="str">
        <f aca="false">IF($A96="","",IF(AP96&amp;""&lt;&gt;"",AP96&amp;"",$A96))</f>
        <v>AO-C-200</v>
      </c>
      <c r="FV96" s="0" t="str">
        <f aca="false">IF($A96="","",IF(COUNTIFS($FU$2:$FU$1000,FU96,$FS$2:$FS$1000,"Y")+COUNTIFS($FU$2:$FU$1000,FU96,$FT$2:$FT$1000,"Y")&gt;0,"Y","N"))</f>
        <v>N</v>
      </c>
      <c r="FW96" s="0" t="str">
        <f aca="false">IF($A96="","",IF(AND(U96="new",T96="N",FT96="N",AT96="Y",FV96="N"),"Y","N"))</f>
        <v>N</v>
      </c>
      <c r="FX96" s="0" t="str">
        <f aca="false">IF($A96="","",IF(FW96&lt;&gt;"Y","N",IF(COUNTIFS($FU$2:$FU$1000,FU96,$FW$2:$FW$1000,"Y",$J$2:$J$1000,"&gt;"&amp;J96)+COUNTIFS($FU$2:$FU$1000,FU96,$FW$2:$FW$1000,"Y",$J$2:$J$1000,J96,$GD$2:$GD$1000,"&lt;"&amp;GD96)=0,"Y","N")))</f>
        <v>N</v>
      </c>
      <c r="FY96" s="0" t="str">
        <f aca="false">IF($A96="","",IF(AND(FW96="Y",FX96="Y",Y96&amp;""&lt;&gt;""),IF(Y96&lt;=10,"Y","N"),"N"))</f>
        <v>N</v>
      </c>
      <c r="FZ96" s="0" t="str">
        <f aca="false">IF(FY96="Y",Y96,"")</f>
        <v/>
      </c>
      <c r="GA96" s="0" t="str">
        <f aca="false">IF($A96="","",IF(AND(I96="walk-in",CN96="pass",U96="new",FT96="N",FV96="N",AQ96&lt;&gt;"Y"),"Y","N"))</f>
        <v>N</v>
      </c>
      <c r="GB96" s="0" t="str">
        <f aca="false">IF(GA96&lt;&gt;"Y","",IF(COUNTIFS($GA$2:$GA$1000,"Y",$J$2:$J$1000,"&gt;"&amp;J96)+COUNTIFS($GA$2:$GA$1000,"Y",$J$2:$J$1000,J96,$GD$2:$GD$1000,"&lt;"&amp;GD96)+1&lt;=25,COUNTIFS($GA$2:$GA$1000,"Y",$J$2:$J$1000,"&gt;"&amp;J96)+COUNTIFS($GA$2:$GA$1000,"Y",$J$2:$J$1000,J96,$GD$2:$GD$1000,"&lt;"&amp;GD96)+1,""))</f>
        <v/>
      </c>
      <c r="GC96" s="0" t="str">
        <f aca="false">IF(AND(_xlfn.ISFORMULA(C96),_xlfn.ISFORMULA(J96)),"Y","N")</f>
        <v>N</v>
      </c>
      <c r="GD96" s="0" t="n">
        <f aca="false">ROW()-1</f>
        <v>95</v>
      </c>
    </row>
    <row r="97" customFormat="false" ht="15" hidden="false" customHeight="false" outlineLevel="0" collapsed="false">
      <c r="A97" s="0" t="s">
        <v>2830</v>
      </c>
      <c r="B97" s="0" t="s">
        <v>2831</v>
      </c>
      <c r="C97" s="0" t="s">
        <v>2832</v>
      </c>
      <c r="D97" s="0" t="s">
        <v>2833</v>
      </c>
      <c r="E97" s="0" t="s">
        <v>1231</v>
      </c>
      <c r="F97" s="0" t="s">
        <v>2834</v>
      </c>
      <c r="G97" s="0" t="s">
        <v>189</v>
      </c>
      <c r="M97" s="0" t="s">
        <v>380</v>
      </c>
      <c r="R97" s="5"/>
      <c r="U97" s="5"/>
      <c r="V97" s="0" t="s">
        <v>380</v>
      </c>
      <c r="AE97" s="0" t="s">
        <v>1071</v>
      </c>
      <c r="AF97" s="0" t="s">
        <v>209</v>
      </c>
      <c r="AG97" s="0" t="s">
        <v>2835</v>
      </c>
      <c r="AH97" s="0" t="s">
        <v>2836</v>
      </c>
      <c r="AI97" s="0" t="s">
        <v>2837</v>
      </c>
      <c r="AJ97" s="0" t="s">
        <v>189</v>
      </c>
      <c r="AK97" s="0" t="s">
        <v>186</v>
      </c>
      <c r="AL97" s="0" t="s">
        <v>189</v>
      </c>
      <c r="AM97" s="0" t="n">
        <v>542</v>
      </c>
      <c r="AN97" s="0" t="s">
        <v>187</v>
      </c>
      <c r="AO97" s="0" t="s">
        <v>1104</v>
      </c>
      <c r="AP97" s="0" t="s">
        <v>2830</v>
      </c>
      <c r="AQ97" s="5" t="s">
        <v>189</v>
      </c>
      <c r="AT97" s="0" t="str">
        <f aca="false">IF($A97="","",IF(AND(CN97="pass",AQ97&lt;&gt;"Y",C97&lt;&gt;"",OR(AX97&lt;&gt;"Y",AV97="Y")),"Y","N"))</f>
        <v>Y</v>
      </c>
      <c r="AU97" s="0" t="str">
        <f aca="false">IF($A97="","",_xlfn.TEXTJOIN("; ",TRUE(),IF(CN97&lt;&gt;"pass","gated out",""),IF(AQ97="Y","on hold: "&amp;AR97,""),IF(C97="","no contact named on an opened page",""),IF(AND(AX97="Y",AV97&lt;&gt;"Y"),"Tuesday estimate band "&amp;L97&amp;": founder's call","")))</f>
        <v/>
      </c>
      <c r="AX97" s="0" t="s">
        <v>189</v>
      </c>
      <c r="BC97" s="0" t="str">
        <f aca="false">IF($A97="","",IFERROR(INDEX(Enrichment!$A$2:$GZ$2000,MATCH($A97,INDEX(Enrichment!$A$2:$GZ$2000,0,MATCH("row_id",Enrichment!$A$1:$GZ$1,0)),0),MATCH("work_email",Enrichment!$A$1:$GZ$1,0))&amp;"",""))</f>
        <v/>
      </c>
      <c r="BD97" s="0" t="str">
        <f aca="false">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none</v>
      </c>
      <c r="BF97" s="0" t="s">
        <v>380</v>
      </c>
      <c r="BJ97" s="0" t="s">
        <v>380</v>
      </c>
      <c r="BL97" s="0" t="s">
        <v>896</v>
      </c>
      <c r="BQ97" s="0" t="str">
        <f aca="false">IF($A97="","",IFERROR(INDEX(Enrichment!$A$2:$GZ$2000,MATCH($A97,INDEX(Enrichment!$A$2:$GZ$2000,0,MATCH("row_id",Enrichment!$A$1:$GZ$1,0)),0),MATCH("backup_work_email",Enrichment!$A$1:$GZ$1,0))&amp;"",""))</f>
        <v/>
      </c>
      <c r="BR97" s="0" t="str">
        <f aca="false">IF($A97="","",IF(BQ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none</v>
      </c>
      <c r="BT97" s="0" t="s">
        <v>380</v>
      </c>
      <c r="BX97" s="0" t="s">
        <v>380</v>
      </c>
      <c r="BY97" s="0" t="s">
        <v>387</v>
      </c>
      <c r="BZ97" s="0" t="s">
        <v>388</v>
      </c>
      <c r="CA97" s="0" t="s">
        <v>2838</v>
      </c>
      <c r="CB97" s="0" t="s">
        <v>196</v>
      </c>
      <c r="CM97" s="0" t="s">
        <v>189</v>
      </c>
      <c r="CN97" s="0" t="s">
        <v>200</v>
      </c>
      <c r="CO97" s="0" t="s">
        <v>201</v>
      </c>
      <c r="CP97" s="0" t="s">
        <v>1</v>
      </c>
      <c r="CQ97" s="0" t="s">
        <v>2839</v>
      </c>
      <c r="CR97" s="0" t="s">
        <v>2832</v>
      </c>
      <c r="CS97" s="0" t="s">
        <v>2835</v>
      </c>
      <c r="CT97" s="0" t="s">
        <v>2836</v>
      </c>
      <c r="CV97" s="0" t="s">
        <v>976</v>
      </c>
      <c r="CW97" s="0" t="s">
        <v>204</v>
      </c>
      <c r="CX97" s="0" t="s">
        <v>205</v>
      </c>
      <c r="CY97" s="0" t="s">
        <v>2840</v>
      </c>
      <c r="DA97" s="0" t="s">
        <v>1351</v>
      </c>
      <c r="DB97" s="0" t="s">
        <v>209</v>
      </c>
      <c r="DC97" s="0" t="s">
        <v>209</v>
      </c>
      <c r="DD97" s="0" t="s">
        <v>209</v>
      </c>
      <c r="DE97" s="0" t="s">
        <v>2837</v>
      </c>
      <c r="DF97" s="0" t="s">
        <v>525</v>
      </c>
      <c r="DG97" s="0" t="n">
        <v>40.742199</v>
      </c>
      <c r="DH97" s="0" t="n">
        <v>-73.99172</v>
      </c>
      <c r="DI97" s="0" t="s">
        <v>164</v>
      </c>
      <c r="DJ97" s="0" t="n">
        <v>0</v>
      </c>
      <c r="DK97" s="0" t="s">
        <v>1451</v>
      </c>
      <c r="DL97" s="0" t="s">
        <v>1452</v>
      </c>
      <c r="DM97" s="0" t="s">
        <v>1453</v>
      </c>
      <c r="DN97" s="0" t="s">
        <v>1454</v>
      </c>
      <c r="DO97" s="0" t="s">
        <v>363</v>
      </c>
      <c r="DP97" s="0" t="s">
        <v>2840</v>
      </c>
      <c r="DQ97" s="0" t="s">
        <v>263</v>
      </c>
      <c r="DS97" s="0" t="s">
        <v>809</v>
      </c>
      <c r="DU97" s="0" t="s">
        <v>189</v>
      </c>
      <c r="DX97" s="0" t="s">
        <v>267</v>
      </c>
      <c r="DY97" s="0" t="s">
        <v>1453</v>
      </c>
      <c r="EA97" s="0" t="s">
        <v>209</v>
      </c>
      <c r="EB97" s="0" t="s">
        <v>189</v>
      </c>
      <c r="EC97" s="0" t="s">
        <v>2826</v>
      </c>
      <c r="ED97" s="0" t="s">
        <v>2840</v>
      </c>
      <c r="EE97" s="0" t="s">
        <v>172</v>
      </c>
      <c r="EF97" s="0" t="n">
        <v>121</v>
      </c>
      <c r="EG97" s="0" t="s">
        <v>945</v>
      </c>
      <c r="EH97" s="0" t="s">
        <v>189</v>
      </c>
      <c r="EI97" s="0" t="s">
        <v>2841</v>
      </c>
      <c r="EJ97" s="0" t="s">
        <v>221</v>
      </c>
      <c r="EK97" s="0" t="n">
        <v>0.61</v>
      </c>
      <c r="EL97" s="0" t="n">
        <v>39.3</v>
      </c>
      <c r="EM97" s="0" t="n">
        <v>15.3</v>
      </c>
      <c r="EN97" s="0" t="n">
        <v>6</v>
      </c>
      <c r="EO97" s="0" t="n">
        <v>5</v>
      </c>
      <c r="EP97" s="0" t="n">
        <v>13</v>
      </c>
      <c r="EQ97" s="0" t="n">
        <f aca="false">IF($A97="","",IF(AH97="exact",10,IF(AH97="adjacent",5,0)))</f>
        <v>0</v>
      </c>
      <c r="ER97" s="0" t="n">
        <f aca="false">IF($A97="","",IF(R97="Y",15,0))</f>
        <v>0</v>
      </c>
      <c r="ES97" s="0" t="s">
        <v>982</v>
      </c>
      <c r="ET97" s="0" t="s">
        <v>1360</v>
      </c>
      <c r="EU97" s="0" t="s">
        <v>189</v>
      </c>
      <c r="EX97" s="0" t="s">
        <v>2842</v>
      </c>
      <c r="EZ97" s="0" t="s">
        <v>2843</v>
      </c>
      <c r="FS97" s="0" t="str">
        <f aca="false">IF($A97="","",IF(ISNUMBER(MATCH(U97,{"queued","contacted","replied","call_booked","call_done","yes_in_principle","materials_sent"},0)),"Y","N"))</f>
        <v>N</v>
      </c>
      <c r="FT97" s="0" t="str">
        <f aca="false">IF($A97="","",IF(OR(T97="Y",U97="do_not_contact",AS97&amp;""&lt;&gt;""),"Y","N"))</f>
        <v>N</v>
      </c>
      <c r="FU97" s="0" t="str">
        <f aca="false">IF($A97="","",IF(AP97&amp;""&lt;&gt;"",AP97&amp;"",$A97))</f>
        <v>AO-C-224</v>
      </c>
      <c r="FV97" s="0" t="str">
        <f aca="false">IF($A97="","",IF(COUNTIFS($FU$2:$FU$1000,FU97,$FS$2:$FS$1000,"Y")+COUNTIFS($FU$2:$FU$1000,FU97,$FT$2:$FT$1000,"Y")&gt;0,"Y","N"))</f>
        <v>N</v>
      </c>
      <c r="FW97" s="0" t="str">
        <f aca="false">IF($A97="","",IF(AND(U97="new",T97="N",FT97="N",AT97="Y",FV97="N"),"Y","N"))</f>
        <v>N</v>
      </c>
      <c r="FX97" s="0" t="str">
        <f aca="false">IF($A97="","",IF(FW97&lt;&gt;"Y","N",IF(COUNTIFS($FU$2:$FU$1000,FU97,$FW$2:$FW$1000,"Y",$J$2:$J$1000,"&gt;"&amp;J97)+COUNTIFS($FU$2:$FU$1000,FU97,$FW$2:$FW$1000,"Y",$J$2:$J$1000,J97,$GD$2:$GD$1000,"&lt;"&amp;GD97)=0,"Y","N")))</f>
        <v>N</v>
      </c>
      <c r="FY97" s="0" t="str">
        <f aca="false">IF($A97="","",IF(AND(FW97="Y",FX97="Y",Y97&amp;""&lt;&gt;""),IF(Y97&lt;=10,"Y","N"),"N"))</f>
        <v>N</v>
      </c>
      <c r="FZ97" s="0" t="str">
        <f aca="false">IF(FY97="Y",Y97,"")</f>
        <v/>
      </c>
      <c r="GA97" s="0" t="str">
        <f aca="false">IF($A97="","",IF(AND(I97="walk-in",CN97="pass",U97="new",FT97="N",FV97="N",AQ97&lt;&gt;"Y"),"Y","N"))</f>
        <v>N</v>
      </c>
      <c r="GB97" s="0" t="str">
        <f aca="false">IF(GA97&lt;&gt;"Y","",IF(COUNTIFS($GA$2:$GA$1000,"Y",$J$2:$J$1000,"&gt;"&amp;J97)+COUNTIFS($GA$2:$GA$1000,"Y",$J$2:$J$1000,J97,$GD$2:$GD$1000,"&lt;"&amp;GD97)+1&lt;=25,COUNTIFS($GA$2:$GA$1000,"Y",$J$2:$J$1000,"&gt;"&amp;J97)+COUNTIFS($GA$2:$GA$1000,"Y",$J$2:$J$1000,J97,$GD$2:$GD$1000,"&lt;"&amp;GD97)+1,""))</f>
        <v/>
      </c>
      <c r="GC97" s="0" t="str">
        <f aca="false">IF(AND(_xlfn.ISFORMULA(C97),_xlfn.ISFORMULA(J97)),"Y","N")</f>
        <v>N</v>
      </c>
      <c r="GD97" s="0" t="n">
        <f aca="false">ROW()-1</f>
        <v>96</v>
      </c>
    </row>
    <row r="98" customFormat="false" ht="15" hidden="false" customHeight="false" outlineLevel="0" collapsed="false">
      <c r="A98" s="0" t="s">
        <v>2844</v>
      </c>
      <c r="B98" s="0" t="s">
        <v>2845</v>
      </c>
      <c r="C98" s="0" t="s">
        <v>2846</v>
      </c>
      <c r="D98" s="0" t="s">
        <v>2847</v>
      </c>
      <c r="E98" s="0" t="s">
        <v>2848</v>
      </c>
      <c r="F98" s="0" t="s">
        <v>2834</v>
      </c>
      <c r="G98" s="0" t="s">
        <v>189</v>
      </c>
      <c r="M98" s="0" t="s">
        <v>380</v>
      </c>
      <c r="R98" s="5"/>
      <c r="U98" s="5"/>
      <c r="V98" s="0" t="s">
        <v>380</v>
      </c>
      <c r="AE98" s="0" t="s">
        <v>2849</v>
      </c>
      <c r="AF98" s="0" t="s">
        <v>231</v>
      </c>
      <c r="AG98" s="0" t="s">
        <v>2850</v>
      </c>
      <c r="AH98" s="0" t="s">
        <v>1856</v>
      </c>
      <c r="AI98" s="0" t="s">
        <v>2851</v>
      </c>
      <c r="AJ98" s="0" t="s">
        <v>189</v>
      </c>
      <c r="AK98" s="0" t="s">
        <v>186</v>
      </c>
      <c r="AL98" s="0" t="s">
        <v>189</v>
      </c>
      <c r="AM98" s="0" t="n">
        <v>342</v>
      </c>
      <c r="AN98" s="0" t="s">
        <v>187</v>
      </c>
      <c r="AO98" s="0" t="s">
        <v>429</v>
      </c>
      <c r="AP98" s="0" t="s">
        <v>2844</v>
      </c>
      <c r="AQ98" s="5" t="s">
        <v>189</v>
      </c>
      <c r="AT98" s="0" t="str">
        <f aca="false">IF($A98="","",IF(AND(CN98="pass",AQ98&lt;&gt;"Y",C98&lt;&gt;"",OR(AX98&lt;&gt;"Y",AV98="Y")),"Y","N"))</f>
        <v>Y</v>
      </c>
      <c r="AU98" s="0" t="str">
        <f aca="false">IF($A98="","",_xlfn.TEXTJOIN("; ",TRUE(),IF(CN98&lt;&gt;"pass","gated out",""),IF(AQ98="Y","on hold: "&amp;AR98,""),IF(C98="","no contact named on an opened page",""),IF(AND(AX98="Y",AV98&lt;&gt;"Y"),"Tuesday estimate band "&amp;L98&amp;": founder's call","")))</f>
        <v/>
      </c>
      <c r="AX98" s="0" t="s">
        <v>189</v>
      </c>
      <c r="BC98" s="0" t="str">
        <f aca="false">IF($A98="","",IFERROR(INDEX(Enrichment!$A$2:$GZ$2000,MATCH($A98,INDEX(Enrichment!$A$2:$GZ$2000,0,MATCH("row_id",Enrichment!$A$1:$GZ$1,0)),0),MATCH("work_email",Enrichment!$A$1:$GZ$1,0))&amp;"",""))</f>
        <v/>
      </c>
      <c r="BD98" s="0" t="str">
        <f aca="false">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none</v>
      </c>
      <c r="BF98" s="0" t="s">
        <v>380</v>
      </c>
      <c r="BJ98" s="0" t="s">
        <v>380</v>
      </c>
      <c r="BL98" s="0" t="s">
        <v>896</v>
      </c>
      <c r="BQ98" s="0" t="str">
        <f aca="false">IF($A98="","",IFERROR(INDEX(Enrichment!$A$2:$GZ$2000,MATCH($A98,INDEX(Enrichment!$A$2:$GZ$2000,0,MATCH("row_id",Enrichment!$A$1:$GZ$1,0)),0),MATCH("backup_work_email",Enrichment!$A$1:$GZ$1,0))&amp;"",""))</f>
        <v/>
      </c>
      <c r="BR98" s="0" t="str">
        <f aca="false">IF($A98="","",IF(BQ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none</v>
      </c>
      <c r="BT98" s="0" t="s">
        <v>380</v>
      </c>
      <c r="BX98" s="0" t="s">
        <v>380</v>
      </c>
      <c r="BY98" s="0" t="s">
        <v>387</v>
      </c>
      <c r="BZ98" s="0" t="s">
        <v>388</v>
      </c>
      <c r="CA98" s="0" t="s">
        <v>2852</v>
      </c>
      <c r="CB98" s="0" t="s">
        <v>196</v>
      </c>
      <c r="CM98" s="0" t="s">
        <v>189</v>
      </c>
      <c r="CN98" s="0" t="s">
        <v>200</v>
      </c>
      <c r="CO98" s="0" t="s">
        <v>201</v>
      </c>
      <c r="CP98" s="0" t="s">
        <v>1</v>
      </c>
      <c r="CQ98" s="0" t="s">
        <v>2853</v>
      </c>
      <c r="CR98" s="0" t="s">
        <v>2846</v>
      </c>
      <c r="CS98" s="0" t="s">
        <v>2850</v>
      </c>
      <c r="CT98" s="0" t="s">
        <v>1856</v>
      </c>
      <c r="CV98" s="0" t="s">
        <v>976</v>
      </c>
      <c r="CW98" s="0" t="s">
        <v>204</v>
      </c>
      <c r="CX98" s="0" t="s">
        <v>205</v>
      </c>
      <c r="CY98" s="0" t="s">
        <v>2854</v>
      </c>
      <c r="DA98" s="0" t="s">
        <v>1351</v>
      </c>
      <c r="DB98" s="0" t="s">
        <v>208</v>
      </c>
      <c r="DC98" s="0" t="s">
        <v>189</v>
      </c>
      <c r="DD98" s="0" t="s">
        <v>209</v>
      </c>
      <c r="DE98" s="0" t="s">
        <v>2851</v>
      </c>
      <c r="DF98" s="0" t="s">
        <v>525</v>
      </c>
      <c r="DG98" s="0" t="n">
        <v>40.743977</v>
      </c>
      <c r="DH98" s="0" t="n">
        <v>-73.99079</v>
      </c>
      <c r="DI98" s="0" t="s">
        <v>164</v>
      </c>
      <c r="DJ98" s="0" t="n">
        <v>0</v>
      </c>
      <c r="DL98" s="0" t="s">
        <v>209</v>
      </c>
      <c r="DM98" s="0" t="s">
        <v>2854</v>
      </c>
      <c r="DN98" s="0" t="s">
        <v>172</v>
      </c>
      <c r="DO98" s="0" t="s">
        <v>651</v>
      </c>
      <c r="DS98" s="0" t="s">
        <v>187</v>
      </c>
      <c r="DU98" s="0" t="s">
        <v>189</v>
      </c>
      <c r="DX98" s="0" t="s">
        <v>209</v>
      </c>
      <c r="EA98" s="0" t="s">
        <v>209</v>
      </c>
      <c r="EB98" s="0" t="s">
        <v>164</v>
      </c>
      <c r="EC98" s="0" t="s">
        <v>2855</v>
      </c>
      <c r="ED98" s="0" t="s">
        <v>2854</v>
      </c>
      <c r="EE98" s="0" t="s">
        <v>172</v>
      </c>
      <c r="EF98" s="0" t="n">
        <v>76</v>
      </c>
      <c r="EG98" s="0" t="s">
        <v>945</v>
      </c>
      <c r="EH98" s="0" t="s">
        <v>189</v>
      </c>
      <c r="EI98" s="0" t="s">
        <v>2856</v>
      </c>
      <c r="EJ98" s="0" t="s">
        <v>221</v>
      </c>
      <c r="EK98" s="0" t="n">
        <v>0.61</v>
      </c>
      <c r="EL98" s="0" t="n">
        <v>39.3</v>
      </c>
      <c r="EM98" s="0" t="n">
        <v>15.3</v>
      </c>
      <c r="EN98" s="0" t="n">
        <v>6</v>
      </c>
      <c r="EO98" s="0" t="n">
        <v>13</v>
      </c>
      <c r="EP98" s="0" t="n">
        <v>5</v>
      </c>
      <c r="EQ98" s="0" t="n">
        <f aca="false">IF($A98="","",IF(AH98="exact",10,IF(AH98="adjacent",5,0)))</f>
        <v>0</v>
      </c>
      <c r="ER98" s="0" t="n">
        <f aca="false">IF($A98="","",IF(R98="Y",15,0))</f>
        <v>0</v>
      </c>
      <c r="ES98" s="0" t="s">
        <v>982</v>
      </c>
      <c r="ET98" s="0" t="s">
        <v>1360</v>
      </c>
      <c r="EU98" s="0" t="s">
        <v>189</v>
      </c>
      <c r="EX98" s="0" t="s">
        <v>2857</v>
      </c>
      <c r="EZ98" s="0" t="s">
        <v>2858</v>
      </c>
      <c r="FS98" s="0" t="str">
        <f aca="false">IF($A98="","",IF(ISNUMBER(MATCH(U98,{"queued","contacted","replied","call_booked","call_done","yes_in_principle","materials_sent"},0)),"Y","N"))</f>
        <v>N</v>
      </c>
      <c r="FT98" s="0" t="str">
        <f aca="false">IF($A98="","",IF(OR(T98="Y",U98="do_not_contact",AS98&amp;""&lt;&gt;""),"Y","N"))</f>
        <v>N</v>
      </c>
      <c r="FU98" s="0" t="str">
        <f aca="false">IF($A98="","",IF(AP98&amp;""&lt;&gt;"",AP98&amp;"",$A98))</f>
        <v>AO-C-249</v>
      </c>
      <c r="FV98" s="0" t="str">
        <f aca="false">IF($A98="","",IF(COUNTIFS($FU$2:$FU$1000,FU98,$FS$2:$FS$1000,"Y")+COUNTIFS($FU$2:$FU$1000,FU98,$FT$2:$FT$1000,"Y")&gt;0,"Y","N"))</f>
        <v>N</v>
      </c>
      <c r="FW98" s="0" t="str">
        <f aca="false">IF($A98="","",IF(AND(U98="new",T98="N",FT98="N",AT98="Y",FV98="N"),"Y","N"))</f>
        <v>N</v>
      </c>
      <c r="FX98" s="0" t="str">
        <f aca="false">IF($A98="","",IF(FW98&lt;&gt;"Y","N",IF(COUNTIFS($FU$2:$FU$1000,FU98,$FW$2:$FW$1000,"Y",$J$2:$J$1000,"&gt;"&amp;J98)+COUNTIFS($FU$2:$FU$1000,FU98,$FW$2:$FW$1000,"Y",$J$2:$J$1000,J98,$GD$2:$GD$1000,"&lt;"&amp;GD98)=0,"Y","N")))</f>
        <v>N</v>
      </c>
      <c r="FY98" s="0" t="str">
        <f aca="false">IF($A98="","",IF(AND(FW98="Y",FX98="Y",Y98&amp;""&lt;&gt;""),IF(Y98&lt;=10,"Y","N"),"N"))</f>
        <v>N</v>
      </c>
      <c r="FZ98" s="0" t="str">
        <f aca="false">IF(FY98="Y",Y98,"")</f>
        <v/>
      </c>
      <c r="GA98" s="0" t="str">
        <f aca="false">IF($A98="","",IF(AND(I98="walk-in",CN98="pass",U98="new",FT98="N",FV98="N",AQ98&lt;&gt;"Y"),"Y","N"))</f>
        <v>N</v>
      </c>
      <c r="GB98" s="0" t="str">
        <f aca="false">IF(GA98&lt;&gt;"Y","",IF(COUNTIFS($GA$2:$GA$1000,"Y",$J$2:$J$1000,"&gt;"&amp;J98)+COUNTIFS($GA$2:$GA$1000,"Y",$J$2:$J$1000,J98,$GD$2:$GD$1000,"&lt;"&amp;GD98)+1&lt;=25,COUNTIFS($GA$2:$GA$1000,"Y",$J$2:$J$1000,"&gt;"&amp;J98)+COUNTIFS($GA$2:$GA$1000,"Y",$J$2:$J$1000,J98,$GD$2:$GD$1000,"&lt;"&amp;GD98)+1,""))</f>
        <v/>
      </c>
      <c r="GC98" s="0" t="str">
        <f aca="false">IF(AND(_xlfn.ISFORMULA(C98),_xlfn.ISFORMULA(J98)),"Y","N")</f>
        <v>N</v>
      </c>
      <c r="GD98" s="0" t="n">
        <f aca="false">ROW()-1</f>
        <v>97</v>
      </c>
    </row>
    <row r="99" customFormat="false" ht="15" hidden="false" customHeight="false" outlineLevel="0" collapsed="false">
      <c r="A99" s="0" t="s">
        <v>2859</v>
      </c>
      <c r="B99" s="0" t="s">
        <v>2860</v>
      </c>
      <c r="C99" s="0" t="s">
        <v>2861</v>
      </c>
      <c r="D99" s="0" t="s">
        <v>2862</v>
      </c>
      <c r="E99" s="0" t="s">
        <v>2863</v>
      </c>
      <c r="F99" s="0" t="s">
        <v>2864</v>
      </c>
      <c r="G99" s="0" t="s">
        <v>189</v>
      </c>
      <c r="M99" s="0" t="s">
        <v>380</v>
      </c>
      <c r="R99" s="5"/>
      <c r="U99" s="5"/>
      <c r="V99" s="0" t="s">
        <v>380</v>
      </c>
      <c r="AE99" s="0" t="s">
        <v>2865</v>
      </c>
      <c r="AF99" s="0" t="s">
        <v>209</v>
      </c>
      <c r="AG99" s="0" t="s">
        <v>2866</v>
      </c>
      <c r="AH99" s="0" t="s">
        <v>967</v>
      </c>
      <c r="AI99" s="0" t="s">
        <v>2867</v>
      </c>
      <c r="AJ99" s="0" t="s">
        <v>189</v>
      </c>
      <c r="AK99" s="0" t="s">
        <v>1794</v>
      </c>
      <c r="AL99" s="0" t="s">
        <v>189</v>
      </c>
      <c r="AM99" s="0" t="n">
        <v>84</v>
      </c>
      <c r="AN99" s="0" t="s">
        <v>187</v>
      </c>
      <c r="AO99" s="0" t="s">
        <v>188</v>
      </c>
      <c r="AP99" s="0" t="s">
        <v>2859</v>
      </c>
      <c r="AQ99" s="5" t="s">
        <v>164</v>
      </c>
      <c r="AR99" s="0" t="s">
        <v>779</v>
      </c>
      <c r="AT99" s="0" t="str">
        <f aca="false">IF($A99="","",IF(AND(CN99="pass",AQ99&lt;&gt;"Y",C99&lt;&gt;"",OR(AX99&lt;&gt;"Y",AV99="Y")),"Y","N"))</f>
        <v>N</v>
      </c>
      <c r="AU99" s="0" t="str">
        <f aca="false">IF($A99="","",_xlfn.TEXTJOIN("; ",TRUE(),IF(CN99&lt;&gt;"pass","gated out",""),IF(AQ99="Y","on hold: "&amp;AR99,""),IF(C99="","no contact named on an opened page",""),IF(AND(AX99="Y",AV99&lt;&gt;"Y"),"Tuesday estimate band "&amp;L99&amp;": founder's call","")))</f>
        <v>on hold: lease signed, move not confirmed: check the lobby directory before outreach (B); Tuesday estimate band : founder's call</v>
      </c>
      <c r="AX99" s="0" t="s">
        <v>164</v>
      </c>
      <c r="BC99" s="0" t="str">
        <f aca="false">IF($A99="","",IFERROR(INDEX(Enrichment!$A$2:$GZ$2000,MATCH($A99,INDEX(Enrichment!$A$2:$GZ$2000,0,MATCH("row_id",Enrichment!$A$1:$GZ$1,0)),0),MATCH("work_email",Enrichment!$A$1:$GZ$1,0))&amp;"",""))</f>
        <v/>
      </c>
      <c r="BD99" s="0" t="str">
        <f aca="false">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none</v>
      </c>
      <c r="BF99" s="0" t="s">
        <v>380</v>
      </c>
      <c r="BJ99" s="0" t="s">
        <v>380</v>
      </c>
      <c r="BK99" s="0" t="s">
        <v>2194</v>
      </c>
      <c r="BL99" s="0" t="s">
        <v>896</v>
      </c>
      <c r="BQ99" s="0" t="str">
        <f aca="false">IF($A99="","",IFERROR(INDEX(Enrichment!$A$2:$GZ$2000,MATCH($A99,INDEX(Enrichment!$A$2:$GZ$2000,0,MATCH("row_id",Enrichment!$A$1:$GZ$1,0)),0),MATCH("backup_work_email",Enrichment!$A$1:$GZ$1,0))&amp;"",""))</f>
        <v/>
      </c>
      <c r="BR99" s="0" t="str">
        <f aca="false">IF($A99="","",IF(BQ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none</v>
      </c>
      <c r="BT99" s="0" t="s">
        <v>380</v>
      </c>
      <c r="BX99" s="0" t="s">
        <v>380</v>
      </c>
      <c r="BY99" s="0" t="s">
        <v>1769</v>
      </c>
      <c r="BZ99" s="0" t="s">
        <v>388</v>
      </c>
      <c r="CA99" s="0" t="s">
        <v>2868</v>
      </c>
      <c r="CB99" s="0" t="s">
        <v>196</v>
      </c>
      <c r="CM99" s="0" t="s">
        <v>189</v>
      </c>
      <c r="CN99" s="0" t="s">
        <v>200</v>
      </c>
      <c r="CO99" s="0" t="s">
        <v>201</v>
      </c>
      <c r="CP99" s="0" t="s">
        <v>1</v>
      </c>
      <c r="CQ99" s="0" t="s">
        <v>2869</v>
      </c>
      <c r="CR99" s="0" t="s">
        <v>2861</v>
      </c>
      <c r="CS99" s="0" t="s">
        <v>2866</v>
      </c>
      <c r="CT99" s="0" t="s">
        <v>967</v>
      </c>
      <c r="CU99" s="0" t="s">
        <v>2870</v>
      </c>
      <c r="CV99" s="0" t="s">
        <v>209</v>
      </c>
      <c r="CW99" s="0" t="s">
        <v>209</v>
      </c>
      <c r="CX99" s="0" t="s">
        <v>440</v>
      </c>
      <c r="CY99" s="0" t="s">
        <v>2871</v>
      </c>
      <c r="CZ99" s="0" t="s">
        <v>2872</v>
      </c>
      <c r="DA99" s="0" t="s">
        <v>207</v>
      </c>
      <c r="DB99" s="0" t="s">
        <v>208</v>
      </c>
      <c r="DC99" s="0" t="s">
        <v>189</v>
      </c>
      <c r="DD99" s="0" t="s">
        <v>209</v>
      </c>
      <c r="DE99" s="0" t="s">
        <v>2867</v>
      </c>
      <c r="DF99" s="0" t="s">
        <v>525</v>
      </c>
      <c r="DG99" s="0" t="n">
        <v>40.742498</v>
      </c>
      <c r="DH99" s="0" t="n">
        <v>-73.991188</v>
      </c>
      <c r="DI99" s="0" t="s">
        <v>164</v>
      </c>
      <c r="DJ99" s="0" t="n">
        <v>0</v>
      </c>
      <c r="DK99" s="0" t="s">
        <v>2873</v>
      </c>
      <c r="DL99" s="0" t="s">
        <v>2874</v>
      </c>
      <c r="DM99" s="0" t="s">
        <v>2875</v>
      </c>
      <c r="DN99" s="0" t="s">
        <v>2876</v>
      </c>
      <c r="DO99" s="0" t="s">
        <v>363</v>
      </c>
      <c r="DS99" s="0" t="s">
        <v>809</v>
      </c>
      <c r="DT99" s="0" t="s">
        <v>209</v>
      </c>
      <c r="DU99" s="0" t="s">
        <v>189</v>
      </c>
      <c r="DX99" s="0" t="s">
        <v>209</v>
      </c>
      <c r="EA99" s="0" t="s">
        <v>209</v>
      </c>
      <c r="EB99" s="0" t="s">
        <v>189</v>
      </c>
      <c r="EC99" s="0" t="s">
        <v>218</v>
      </c>
      <c r="ED99" s="0" t="s">
        <v>2871</v>
      </c>
      <c r="EE99" s="0" t="s">
        <v>172</v>
      </c>
      <c r="EF99" s="0" t="n">
        <v>9</v>
      </c>
      <c r="EG99" s="0" t="s">
        <v>2529</v>
      </c>
      <c r="EH99" s="0" t="s">
        <v>164</v>
      </c>
      <c r="EI99" s="0" t="s">
        <v>2877</v>
      </c>
      <c r="EJ99" s="0" t="s">
        <v>221</v>
      </c>
      <c r="EK99" s="0" t="n">
        <v>0.17</v>
      </c>
      <c r="EL99" s="0" t="n">
        <v>39.2</v>
      </c>
      <c r="EM99" s="0" t="n">
        <v>4.2</v>
      </c>
      <c r="EN99" s="0" t="n">
        <v>15</v>
      </c>
      <c r="EO99" s="0" t="n">
        <v>15</v>
      </c>
      <c r="EP99" s="0" t="n">
        <v>5</v>
      </c>
      <c r="EQ99" s="0" t="n">
        <f aca="false">IF($A99="","",IF(AH99="exact",10,IF(AH99="adjacent",5,0)))</f>
        <v>0</v>
      </c>
      <c r="ER99" s="0" t="n">
        <f aca="false">IF($A99="","",IF(R99="Y",15,0))</f>
        <v>0</v>
      </c>
      <c r="ES99" s="0" t="s">
        <v>222</v>
      </c>
      <c r="EV99" s="0" t="s">
        <v>2878</v>
      </c>
      <c r="EW99" s="0" t="s">
        <v>224</v>
      </c>
      <c r="EX99" s="0" t="s">
        <v>2879</v>
      </c>
      <c r="EZ99" s="0" t="s">
        <v>2880</v>
      </c>
      <c r="FS99" s="0" t="str">
        <f aca="false">IF($A99="","",IF(ISNUMBER(MATCH(U99,{"queued","contacted","replied","call_booked","call_done","yes_in_principle","materials_sent"},0)),"Y","N"))</f>
        <v>N</v>
      </c>
      <c r="FT99" s="0" t="str">
        <f aca="false">IF($A99="","",IF(OR(T99="Y",U99="do_not_contact",AS99&amp;""&lt;&gt;""),"Y","N"))</f>
        <v>N</v>
      </c>
      <c r="FU99" s="0" t="str">
        <f aca="false">IF($A99="","",IF(AP99&amp;""&lt;&gt;"",AP99&amp;"",$A99))</f>
        <v>AO-C-099</v>
      </c>
      <c r="FV99" s="0" t="str">
        <f aca="false">IF($A99="","",IF(COUNTIFS($FU$2:$FU$1000,FU99,$FS$2:$FS$1000,"Y")+COUNTIFS($FU$2:$FU$1000,FU99,$FT$2:$FT$1000,"Y")&gt;0,"Y","N"))</f>
        <v>N</v>
      </c>
      <c r="FW99" s="0" t="str">
        <f aca="false">IF($A99="","",IF(AND(U99="new",T99="N",FT99="N",AT99="Y",FV99="N"),"Y","N"))</f>
        <v>N</v>
      </c>
      <c r="FX99" s="0" t="str">
        <f aca="false">IF($A99="","",IF(FW99&lt;&gt;"Y","N",IF(COUNTIFS($FU$2:$FU$1000,FU99,$FW$2:$FW$1000,"Y",$J$2:$J$1000,"&gt;"&amp;J99)+COUNTIFS($FU$2:$FU$1000,FU99,$FW$2:$FW$1000,"Y",$J$2:$J$1000,J99,$GD$2:$GD$1000,"&lt;"&amp;GD99)=0,"Y","N")))</f>
        <v>N</v>
      </c>
      <c r="FY99" s="0" t="str">
        <f aca="false">IF($A99="","",IF(AND(FW99="Y",FX99="Y",Y99&amp;""&lt;&gt;""),IF(Y99&lt;=10,"Y","N"),"N"))</f>
        <v>N</v>
      </c>
      <c r="FZ99" s="0" t="str">
        <f aca="false">IF(FY99="Y",Y99,"")</f>
        <v/>
      </c>
      <c r="GA99" s="0" t="str">
        <f aca="false">IF($A99="","",IF(AND(I99="walk-in",CN99="pass",U99="new",FT99="N",FV99="N",AQ99&lt;&gt;"Y"),"Y","N"))</f>
        <v>N</v>
      </c>
      <c r="GB99" s="0" t="str">
        <f aca="false">IF(GA99&lt;&gt;"Y","",IF(COUNTIFS($GA$2:$GA$1000,"Y",$J$2:$J$1000,"&gt;"&amp;J99)+COUNTIFS($GA$2:$GA$1000,"Y",$J$2:$J$1000,J99,$GD$2:$GD$1000,"&lt;"&amp;GD99)+1&lt;=25,COUNTIFS($GA$2:$GA$1000,"Y",$J$2:$J$1000,"&gt;"&amp;J99)+COUNTIFS($GA$2:$GA$1000,"Y",$J$2:$J$1000,J99,$GD$2:$GD$1000,"&lt;"&amp;GD99)+1,""))</f>
        <v/>
      </c>
      <c r="GC99" s="0" t="str">
        <f aca="false">IF(AND(_xlfn.ISFORMULA(C99),_xlfn.ISFORMULA(J99)),"Y","N")</f>
        <v>N</v>
      </c>
      <c r="GD99" s="0" t="n">
        <f aca="false">ROW()-1</f>
        <v>98</v>
      </c>
    </row>
    <row r="100" customFormat="false" ht="15" hidden="false" customHeight="false" outlineLevel="0" collapsed="false">
      <c r="A100" s="0" t="s">
        <v>2881</v>
      </c>
      <c r="B100" s="0" t="s">
        <v>2882</v>
      </c>
      <c r="C100" s="0" t="s">
        <v>2883</v>
      </c>
      <c r="D100" s="0" t="s">
        <v>2884</v>
      </c>
      <c r="E100" s="0" t="s">
        <v>2200</v>
      </c>
      <c r="F100" s="0" t="s">
        <v>2885</v>
      </c>
      <c r="G100" s="0" t="s">
        <v>189</v>
      </c>
      <c r="M100" s="0" t="s">
        <v>380</v>
      </c>
      <c r="R100" s="5"/>
      <c r="U100" s="5"/>
      <c r="V100" s="0" t="s">
        <v>380</v>
      </c>
      <c r="AE100" s="0" t="s">
        <v>594</v>
      </c>
      <c r="AF100" s="0" t="s">
        <v>209</v>
      </c>
      <c r="AG100" s="0" t="s">
        <v>2886</v>
      </c>
      <c r="AH100" s="0" t="s">
        <v>2887</v>
      </c>
      <c r="AI100" s="0" t="s">
        <v>2888</v>
      </c>
      <c r="AJ100" s="0" t="s">
        <v>189</v>
      </c>
      <c r="AK100" s="0" t="s">
        <v>298</v>
      </c>
      <c r="AL100" s="0" t="s">
        <v>189</v>
      </c>
      <c r="AM100" s="0" t="n">
        <v>400</v>
      </c>
      <c r="AN100" s="0" t="s">
        <v>187</v>
      </c>
      <c r="AO100" s="0" t="s">
        <v>188</v>
      </c>
      <c r="AP100" s="0" t="s">
        <v>2881</v>
      </c>
      <c r="AQ100" s="5" t="s">
        <v>164</v>
      </c>
      <c r="AR100" s="0" t="s">
        <v>779</v>
      </c>
      <c r="AT100" s="0" t="str">
        <f aca="false">IF($A100="","",IF(AND(CN100="pass",AQ100&lt;&gt;"Y",C100&lt;&gt;"",OR(AX100&lt;&gt;"Y",AV100="Y")),"Y","N"))</f>
        <v>N</v>
      </c>
      <c r="AU100" s="0" t="str">
        <f aca="false">IF($A100="","",_xlfn.TEXTJOIN("; ",TRUE(),IF(CN100&lt;&gt;"pass","gated out",""),IF(AQ100="Y","on hold: "&amp;AR100,""),IF(C100="","no contact named on an opened page",""),IF(AND(AX100="Y",AV100&lt;&gt;"Y"),"Tuesday estimate band "&amp;L100&amp;": founder's call","")))</f>
        <v>on hold: lease signed, move not confirmed: check the lobby directory before outreach (B)</v>
      </c>
      <c r="AX100" s="0" t="s">
        <v>189</v>
      </c>
      <c r="BC100" s="0" t="str">
        <f aca="false">IF($A100="","",IFERROR(INDEX(Enrichment!$A$2:$GZ$2000,MATCH($A100,INDEX(Enrichment!$A$2:$GZ$2000,0,MATCH("row_id",Enrichment!$A$1:$GZ$1,0)),0),MATCH("work_email",Enrichment!$A$1:$GZ$1,0))&amp;"",""))</f>
        <v/>
      </c>
      <c r="BD100" s="0" t="str">
        <f aca="false">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none</v>
      </c>
      <c r="BF100" s="0" t="s">
        <v>380</v>
      </c>
      <c r="BJ100" s="0" t="s">
        <v>380</v>
      </c>
      <c r="BL100" s="0" t="s">
        <v>896</v>
      </c>
      <c r="BQ100" s="0" t="str">
        <f aca="false">IF($A100="","",IFERROR(INDEX(Enrichment!$A$2:$GZ$2000,MATCH($A100,INDEX(Enrichment!$A$2:$GZ$2000,0,MATCH("row_id",Enrichment!$A$1:$GZ$1,0)),0),MATCH("backup_work_email",Enrichment!$A$1:$GZ$1,0))&amp;"",""))</f>
        <v/>
      </c>
      <c r="BR100" s="0" t="str">
        <f aca="false">IF($A100="","",IF(BQ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none</v>
      </c>
      <c r="BT100" s="0" t="s">
        <v>380</v>
      </c>
      <c r="BX100" s="0" t="s">
        <v>380</v>
      </c>
      <c r="BY100" s="0" t="s">
        <v>387</v>
      </c>
      <c r="BZ100" s="0" t="s">
        <v>388</v>
      </c>
      <c r="CA100" s="0" t="s">
        <v>2889</v>
      </c>
      <c r="CB100" s="0" t="s">
        <v>196</v>
      </c>
      <c r="CM100" s="0" t="s">
        <v>189</v>
      </c>
      <c r="CN100" s="0" t="s">
        <v>200</v>
      </c>
      <c r="CO100" s="0" t="s">
        <v>201</v>
      </c>
      <c r="CP100" s="0" t="s">
        <v>1</v>
      </c>
      <c r="CQ100" s="0" t="s">
        <v>2890</v>
      </c>
      <c r="CR100" s="0" t="s">
        <v>2883</v>
      </c>
      <c r="CS100" s="0" t="s">
        <v>2886</v>
      </c>
      <c r="CT100" s="0" t="s">
        <v>2887</v>
      </c>
      <c r="CU100" s="0" t="s">
        <v>2891</v>
      </c>
      <c r="CV100" s="0" t="s">
        <v>976</v>
      </c>
      <c r="CW100" s="0" t="s">
        <v>204</v>
      </c>
      <c r="CX100" s="0" t="s">
        <v>1348</v>
      </c>
      <c r="CY100" s="0" t="s">
        <v>2892</v>
      </c>
      <c r="CZ100" s="0" t="s">
        <v>2893</v>
      </c>
      <c r="DA100" s="0" t="s">
        <v>1351</v>
      </c>
      <c r="DB100" s="0" t="s">
        <v>310</v>
      </c>
      <c r="DC100" s="0" t="s">
        <v>189</v>
      </c>
      <c r="DD100" s="0" t="s">
        <v>209</v>
      </c>
      <c r="DE100" s="0" t="s">
        <v>2888</v>
      </c>
      <c r="DF100" s="0" t="s">
        <v>525</v>
      </c>
      <c r="DG100" s="0" t="n">
        <v>40.742014</v>
      </c>
      <c r="DH100" s="0" t="n">
        <v>-73.993705</v>
      </c>
      <c r="DI100" s="0" t="s">
        <v>164</v>
      </c>
      <c r="DJ100" s="0" t="n">
        <v>0</v>
      </c>
      <c r="DK100" s="0" t="s">
        <v>609</v>
      </c>
      <c r="DL100" s="0" t="s">
        <v>610</v>
      </c>
      <c r="DM100" s="0" t="s">
        <v>2894</v>
      </c>
      <c r="DN100" s="0" t="s">
        <v>2895</v>
      </c>
      <c r="DO100" s="0" t="s">
        <v>363</v>
      </c>
      <c r="DS100" s="0" t="s">
        <v>809</v>
      </c>
      <c r="DT100" s="0" t="s">
        <v>209</v>
      </c>
      <c r="DU100" s="0" t="s">
        <v>189</v>
      </c>
      <c r="DX100" s="0" t="s">
        <v>209</v>
      </c>
      <c r="EA100" s="0" t="s">
        <v>209</v>
      </c>
      <c r="EB100" s="0" t="s">
        <v>189</v>
      </c>
      <c r="EC100" s="0" t="s">
        <v>1240</v>
      </c>
      <c r="ED100" s="0" t="s">
        <v>2896</v>
      </c>
      <c r="EE100" s="0" t="s">
        <v>172</v>
      </c>
      <c r="EF100" s="0" t="n">
        <v>69</v>
      </c>
      <c r="EG100" s="0" t="s">
        <v>945</v>
      </c>
      <c r="EH100" s="0" t="s">
        <v>164</v>
      </c>
      <c r="EI100" s="0" t="s">
        <v>2897</v>
      </c>
      <c r="EJ100" s="0" t="s">
        <v>221</v>
      </c>
      <c r="EK100" s="0" t="n">
        <v>0.52</v>
      </c>
      <c r="EL100" s="0" t="n">
        <v>39.1</v>
      </c>
      <c r="EM100" s="0" t="n">
        <v>13.1</v>
      </c>
      <c r="EN100" s="0" t="n">
        <v>6</v>
      </c>
      <c r="EO100" s="0" t="n">
        <v>15</v>
      </c>
      <c r="EP100" s="0" t="n">
        <v>5</v>
      </c>
      <c r="EQ100" s="0" t="n">
        <f aca="false">IF($A100="","",IF(AH100="exact",10,IF(AH100="adjacent",5,0)))</f>
        <v>0</v>
      </c>
      <c r="ER100" s="0" t="n">
        <f aca="false">IF($A100="","",IF(R100="Y",15,0))</f>
        <v>0</v>
      </c>
      <c r="ES100" s="0" t="s">
        <v>982</v>
      </c>
      <c r="ET100" s="0" t="s">
        <v>1360</v>
      </c>
      <c r="EU100" s="0" t="s">
        <v>164</v>
      </c>
      <c r="EV100" s="0" t="s">
        <v>2898</v>
      </c>
      <c r="EW100" s="0" t="s">
        <v>224</v>
      </c>
      <c r="EX100" s="0" t="s">
        <v>2899</v>
      </c>
      <c r="EZ100" s="0" t="s">
        <v>2900</v>
      </c>
      <c r="FS100" s="0" t="str">
        <f aca="false">IF($A100="","",IF(ISNUMBER(MATCH(U100,{"queued","contacted","replied","call_booked","call_done","yes_in_principle","materials_sent"},0)),"Y","N"))</f>
        <v>N</v>
      </c>
      <c r="FT100" s="0" t="str">
        <f aca="false">IF($A100="","",IF(OR(T100="Y",U100="do_not_contact",AS100&amp;""&lt;&gt;""),"Y","N"))</f>
        <v>N</v>
      </c>
      <c r="FU100" s="0" t="str">
        <f aca="false">IF($A100="","",IF(AP100&amp;""&lt;&gt;"",AP100&amp;"",$A100))</f>
        <v>AO-C-084</v>
      </c>
      <c r="FV100" s="0" t="str">
        <f aca="false">IF($A100="","",IF(COUNTIFS($FU$2:$FU$1000,FU100,$FS$2:$FS$1000,"Y")+COUNTIFS($FU$2:$FU$1000,FU100,$FT$2:$FT$1000,"Y")&gt;0,"Y","N"))</f>
        <v>N</v>
      </c>
      <c r="FW100" s="0" t="str">
        <f aca="false">IF($A100="","",IF(AND(U100="new",T100="N",FT100="N",AT100="Y",FV100="N"),"Y","N"))</f>
        <v>N</v>
      </c>
      <c r="FX100" s="0" t="str">
        <f aca="false">IF($A100="","",IF(FW100&lt;&gt;"Y","N",IF(COUNTIFS($FU$2:$FU$1000,FU100,$FW$2:$FW$1000,"Y",$J$2:$J$1000,"&gt;"&amp;J100)+COUNTIFS($FU$2:$FU$1000,FU100,$FW$2:$FW$1000,"Y",$J$2:$J$1000,J100,$GD$2:$GD$1000,"&lt;"&amp;GD100)=0,"Y","N")))</f>
        <v>N</v>
      </c>
      <c r="FY100" s="0" t="str">
        <f aca="false">IF($A100="","",IF(AND(FW100="Y",FX100="Y",Y100&amp;""&lt;&gt;""),IF(Y100&lt;=10,"Y","N"),"N"))</f>
        <v>N</v>
      </c>
      <c r="FZ100" s="0" t="str">
        <f aca="false">IF(FY100="Y",Y100,"")</f>
        <v/>
      </c>
      <c r="GA100" s="0" t="str">
        <f aca="false">IF($A100="","",IF(AND(I100="walk-in",CN100="pass",U100="new",FT100="N",FV100="N",AQ100&lt;&gt;"Y"),"Y","N"))</f>
        <v>N</v>
      </c>
      <c r="GB100" s="0" t="str">
        <f aca="false">IF(GA100&lt;&gt;"Y","",IF(COUNTIFS($GA$2:$GA$1000,"Y",$J$2:$J$1000,"&gt;"&amp;J100)+COUNTIFS($GA$2:$GA$1000,"Y",$J$2:$J$1000,J100,$GD$2:$GD$1000,"&lt;"&amp;GD100)+1&lt;=25,COUNTIFS($GA$2:$GA$1000,"Y",$J$2:$J$1000,"&gt;"&amp;J100)+COUNTIFS($GA$2:$GA$1000,"Y",$J$2:$J$1000,J100,$GD$2:$GD$1000,"&lt;"&amp;GD100)+1,""))</f>
        <v/>
      </c>
      <c r="GC100" s="0" t="str">
        <f aca="false">IF(AND(_xlfn.ISFORMULA(C100),_xlfn.ISFORMULA(J100)),"Y","N")</f>
        <v>N</v>
      </c>
      <c r="GD100" s="0" t="n">
        <f aca="false">ROW()-1</f>
        <v>99</v>
      </c>
    </row>
    <row r="101" customFormat="false" ht="15" hidden="false" customHeight="false" outlineLevel="0" collapsed="false">
      <c r="A101" s="0" t="s">
        <v>2901</v>
      </c>
      <c r="B101" s="0" t="s">
        <v>2902</v>
      </c>
      <c r="C101" s="0" t="s">
        <v>2903</v>
      </c>
      <c r="D101" s="0" t="s">
        <v>2904</v>
      </c>
      <c r="E101" s="0" t="s">
        <v>2905</v>
      </c>
      <c r="F101" s="0" t="s">
        <v>2906</v>
      </c>
      <c r="G101" s="0" t="s">
        <v>189</v>
      </c>
      <c r="M101" s="0" t="s">
        <v>380</v>
      </c>
      <c r="R101" s="5"/>
      <c r="U101" s="5"/>
      <c r="V101" s="0" t="s">
        <v>380</v>
      </c>
      <c r="AE101" s="0" t="s">
        <v>2634</v>
      </c>
      <c r="AF101" s="0" t="s">
        <v>339</v>
      </c>
      <c r="AG101" s="0" t="s">
        <v>2907</v>
      </c>
      <c r="AH101" s="0" t="s">
        <v>2908</v>
      </c>
      <c r="AI101" s="0" t="s">
        <v>2909</v>
      </c>
      <c r="AJ101" s="0" t="s">
        <v>189</v>
      </c>
      <c r="AK101" s="0" t="s">
        <v>186</v>
      </c>
      <c r="AL101" s="0" t="s">
        <v>189</v>
      </c>
      <c r="AM101" s="0" t="n">
        <v>104</v>
      </c>
      <c r="AN101" s="0" t="s">
        <v>187</v>
      </c>
      <c r="AO101" s="0" t="s">
        <v>512</v>
      </c>
      <c r="AP101" s="0" t="s">
        <v>2901</v>
      </c>
      <c r="AQ101" s="5" t="s">
        <v>189</v>
      </c>
      <c r="AT101" s="0" t="str">
        <f aca="false">IF($A101="","",IF(AND(CN101="pass",AQ101&lt;&gt;"Y",C101&lt;&gt;"",OR(AX101&lt;&gt;"Y",AV101="Y")),"Y","N"))</f>
        <v>Y</v>
      </c>
      <c r="AU101" s="0" t="str">
        <f aca="false">IF($A101="","",_xlfn.TEXTJOIN("; ",TRUE(),IF(CN101&lt;&gt;"pass","gated out",""),IF(AQ101="Y","on hold: "&amp;AR101,""),IF(C101="","no contact named on an opened page",""),IF(AND(AX101="Y",AV101&lt;&gt;"Y"),"Tuesday estimate band "&amp;L101&amp;": founder's call","")))</f>
        <v/>
      </c>
      <c r="AX101" s="0" t="s">
        <v>189</v>
      </c>
      <c r="BC101" s="0" t="str">
        <f aca="false">IF($A101="","",IFERROR(INDEX(Enrichment!$A$2:$GZ$2000,MATCH($A101,INDEX(Enrichment!$A$2:$GZ$2000,0,MATCH("row_id",Enrichment!$A$1:$GZ$1,0)),0),MATCH("work_email",Enrichment!$A$1:$GZ$1,0))&amp;"",""))</f>
        <v/>
      </c>
      <c r="BD101" s="0" t="str">
        <f aca="false">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none</v>
      </c>
      <c r="BF101" s="0" t="s">
        <v>380</v>
      </c>
      <c r="BJ101" s="0" t="s">
        <v>380</v>
      </c>
      <c r="BL101" s="0" t="s">
        <v>896</v>
      </c>
      <c r="BQ101" s="0" t="str">
        <f aca="false">IF($A101="","",IFERROR(INDEX(Enrichment!$A$2:$GZ$2000,MATCH($A101,INDEX(Enrichment!$A$2:$GZ$2000,0,MATCH("row_id",Enrichment!$A$1:$GZ$1,0)),0),MATCH("backup_work_email",Enrichment!$A$1:$GZ$1,0))&amp;"",""))</f>
        <v/>
      </c>
      <c r="BR101" s="0" t="str">
        <f aca="false">IF($A101="","",IF(BQ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none</v>
      </c>
      <c r="BT101" s="0" t="s">
        <v>380</v>
      </c>
      <c r="BX101" s="0" t="s">
        <v>380</v>
      </c>
      <c r="BY101" s="0" t="s">
        <v>387</v>
      </c>
      <c r="BZ101" s="0" t="s">
        <v>388</v>
      </c>
      <c r="CA101" s="0" t="s">
        <v>2910</v>
      </c>
      <c r="CB101" s="0" t="s">
        <v>196</v>
      </c>
      <c r="CM101" s="0" t="s">
        <v>189</v>
      </c>
      <c r="CN101" s="0" t="s">
        <v>200</v>
      </c>
      <c r="CO101" s="0" t="s">
        <v>201</v>
      </c>
      <c r="CP101" s="0" t="s">
        <v>1</v>
      </c>
      <c r="CQ101" s="0" t="s">
        <v>2911</v>
      </c>
      <c r="CR101" s="0" t="s">
        <v>2903</v>
      </c>
      <c r="CS101" s="0" t="s">
        <v>2907</v>
      </c>
      <c r="CT101" s="0" t="s">
        <v>2908</v>
      </c>
      <c r="CV101" s="0" t="s">
        <v>976</v>
      </c>
      <c r="CW101" s="0" t="s">
        <v>204</v>
      </c>
      <c r="CX101" s="0" t="s">
        <v>205</v>
      </c>
      <c r="CY101" s="0" t="s">
        <v>2912</v>
      </c>
      <c r="DA101" s="0" t="s">
        <v>978</v>
      </c>
      <c r="DB101" s="0" t="s">
        <v>209</v>
      </c>
      <c r="DC101" s="0" t="s">
        <v>209</v>
      </c>
      <c r="DD101" s="0" t="s">
        <v>209</v>
      </c>
      <c r="DE101" s="0" t="s">
        <v>2909</v>
      </c>
      <c r="DF101" s="0" t="s">
        <v>525</v>
      </c>
      <c r="DG101" s="0" t="n">
        <v>40.74118</v>
      </c>
      <c r="DH101" s="0" t="n">
        <v>-73.99129</v>
      </c>
      <c r="DI101" s="0" t="s">
        <v>164</v>
      </c>
      <c r="DJ101" s="0" t="n">
        <v>0</v>
      </c>
      <c r="DK101" s="0" t="s">
        <v>2583</v>
      </c>
      <c r="DL101" s="0" t="s">
        <v>2584</v>
      </c>
      <c r="DM101" s="0" t="s">
        <v>2913</v>
      </c>
      <c r="DN101" s="0" t="s">
        <v>263</v>
      </c>
      <c r="DO101" s="0" t="s">
        <v>651</v>
      </c>
      <c r="DP101" s="0" t="s">
        <v>2914</v>
      </c>
      <c r="DQ101" s="0" t="s">
        <v>2915</v>
      </c>
      <c r="DS101" s="0" t="s">
        <v>187</v>
      </c>
      <c r="DU101" s="0" t="s">
        <v>189</v>
      </c>
      <c r="DX101" s="0" t="s">
        <v>209</v>
      </c>
      <c r="EA101" s="0" t="s">
        <v>209</v>
      </c>
      <c r="EB101" s="0" t="s">
        <v>189</v>
      </c>
      <c r="EC101" s="0" t="s">
        <v>2916</v>
      </c>
      <c r="ED101" s="0" t="s">
        <v>2913</v>
      </c>
      <c r="EE101" s="0" t="s">
        <v>172</v>
      </c>
      <c r="EF101" s="0" t="n">
        <v>77</v>
      </c>
      <c r="EH101" s="0" t="s">
        <v>164</v>
      </c>
      <c r="EI101" s="0" t="s">
        <v>2917</v>
      </c>
      <c r="EJ101" s="0" t="s">
        <v>221</v>
      </c>
      <c r="EK101" s="0" t="n">
        <v>1</v>
      </c>
      <c r="EL101" s="0" t="n">
        <v>39</v>
      </c>
      <c r="EM101" s="0" t="n">
        <v>25</v>
      </c>
      <c r="EN101" s="0" t="n">
        <v>2</v>
      </c>
      <c r="EO101" s="0" t="n">
        <v>7</v>
      </c>
      <c r="EP101" s="0" t="n">
        <v>5</v>
      </c>
      <c r="EQ101" s="0" t="n">
        <f aca="false">IF($A101="","",IF(AH101="exact",10,IF(AH101="adjacent",5,0)))</f>
        <v>0</v>
      </c>
      <c r="ER101" s="0" t="n">
        <f aca="false">IF($A101="","",IF(R101="Y",15,0))</f>
        <v>0</v>
      </c>
      <c r="ES101" s="0" t="s">
        <v>982</v>
      </c>
      <c r="ET101" s="0" t="s">
        <v>983</v>
      </c>
      <c r="EU101" s="0" t="s">
        <v>189</v>
      </c>
      <c r="EV101" s="0" t="s">
        <v>2918</v>
      </c>
      <c r="EW101" s="0" t="s">
        <v>224</v>
      </c>
      <c r="EX101" s="0" t="s">
        <v>2919</v>
      </c>
      <c r="EZ101" s="0" t="s">
        <v>2920</v>
      </c>
      <c r="FS101" s="0" t="str">
        <f aca="false">IF($A101="","",IF(ISNUMBER(MATCH(U101,{"queued","contacted","replied","call_booked","call_done","yes_in_principle","materials_sent"},0)),"Y","N"))</f>
        <v>N</v>
      </c>
      <c r="FT101" s="0" t="str">
        <f aca="false">IF($A101="","",IF(OR(T101="Y",U101="do_not_contact",AS101&amp;""&lt;&gt;""),"Y","N"))</f>
        <v>N</v>
      </c>
      <c r="FU101" s="0" t="str">
        <f aca="false">IF($A101="","",IF(AP101&amp;""&lt;&gt;"",AP101&amp;"",$A101))</f>
        <v>AO-C-218</v>
      </c>
      <c r="FV101" s="0" t="str">
        <f aca="false">IF($A101="","",IF(COUNTIFS($FU$2:$FU$1000,FU101,$FS$2:$FS$1000,"Y")+COUNTIFS($FU$2:$FU$1000,FU101,$FT$2:$FT$1000,"Y")&gt;0,"Y","N"))</f>
        <v>N</v>
      </c>
      <c r="FW101" s="0" t="str">
        <f aca="false">IF($A101="","",IF(AND(U101="new",T101="N",FT101="N",AT101="Y",FV101="N"),"Y","N"))</f>
        <v>N</v>
      </c>
      <c r="FX101" s="0" t="str">
        <f aca="false">IF($A101="","",IF(FW101&lt;&gt;"Y","N",IF(COUNTIFS($FU$2:$FU$1000,FU101,$FW$2:$FW$1000,"Y",$J$2:$J$1000,"&gt;"&amp;J101)+COUNTIFS($FU$2:$FU$1000,FU101,$FW$2:$FW$1000,"Y",$J$2:$J$1000,J101,$GD$2:$GD$1000,"&lt;"&amp;GD101)=0,"Y","N")))</f>
        <v>N</v>
      </c>
      <c r="FY101" s="0" t="str">
        <f aca="false">IF($A101="","",IF(AND(FW101="Y",FX101="Y",Y101&amp;""&lt;&gt;""),IF(Y101&lt;=10,"Y","N"),"N"))</f>
        <v>N</v>
      </c>
      <c r="FZ101" s="0" t="str">
        <f aca="false">IF(FY101="Y",Y101,"")</f>
        <v/>
      </c>
      <c r="GA101" s="0" t="str">
        <f aca="false">IF($A101="","",IF(AND(I101="walk-in",CN101="pass",U101="new",FT101="N",FV101="N",AQ101&lt;&gt;"Y"),"Y","N"))</f>
        <v>N</v>
      </c>
      <c r="GB101" s="0" t="str">
        <f aca="false">IF(GA101&lt;&gt;"Y","",IF(COUNTIFS($GA$2:$GA$1000,"Y",$J$2:$J$1000,"&gt;"&amp;J101)+COUNTIFS($GA$2:$GA$1000,"Y",$J$2:$J$1000,J101,$GD$2:$GD$1000,"&lt;"&amp;GD101)+1&lt;=25,COUNTIFS($GA$2:$GA$1000,"Y",$J$2:$J$1000,"&gt;"&amp;J101)+COUNTIFS($GA$2:$GA$1000,"Y",$J$2:$J$1000,J101,$GD$2:$GD$1000,"&lt;"&amp;GD101)+1,""))</f>
        <v/>
      </c>
      <c r="GC101" s="0" t="str">
        <f aca="false">IF(AND(_xlfn.ISFORMULA(C101),_xlfn.ISFORMULA(J101)),"Y","N")</f>
        <v>N</v>
      </c>
      <c r="GD101" s="0" t="n">
        <f aca="false">ROW()-1</f>
        <v>100</v>
      </c>
    </row>
    <row r="102" customFormat="false" ht="15" hidden="false" customHeight="false" outlineLevel="0" collapsed="false">
      <c r="A102" s="0" t="s">
        <v>2921</v>
      </c>
      <c r="B102" s="0" t="s">
        <v>2922</v>
      </c>
      <c r="C102" s="0" t="s">
        <v>2923</v>
      </c>
      <c r="D102" s="0" t="s">
        <v>2924</v>
      </c>
      <c r="E102" s="0" t="s">
        <v>2925</v>
      </c>
      <c r="F102" s="0" t="s">
        <v>2926</v>
      </c>
      <c r="G102" s="0" t="s">
        <v>189</v>
      </c>
      <c r="M102" s="0" t="s">
        <v>380</v>
      </c>
      <c r="R102" s="5"/>
      <c r="U102" s="5"/>
      <c r="V102" s="0" t="s">
        <v>380</v>
      </c>
      <c r="AE102" s="0" t="s">
        <v>1071</v>
      </c>
      <c r="AF102" s="0" t="s">
        <v>209</v>
      </c>
      <c r="AG102" s="0" t="s">
        <v>2927</v>
      </c>
      <c r="AH102" s="0" t="s">
        <v>2429</v>
      </c>
      <c r="AI102" s="0" t="s">
        <v>2928</v>
      </c>
      <c r="AJ102" s="0" t="s">
        <v>189</v>
      </c>
      <c r="AK102" s="0" t="s">
        <v>1794</v>
      </c>
      <c r="AL102" s="0" t="s">
        <v>189</v>
      </c>
      <c r="AM102" s="0" t="n">
        <v>47</v>
      </c>
      <c r="AN102" s="0" t="s">
        <v>187</v>
      </c>
      <c r="AO102" s="0" t="s">
        <v>1104</v>
      </c>
      <c r="AP102" s="0" t="s">
        <v>2921</v>
      </c>
      <c r="AQ102" s="5" t="s">
        <v>189</v>
      </c>
      <c r="AT102" s="0" t="str">
        <f aca="false">IF($A102="","",IF(AND(CN102="pass",AQ102&lt;&gt;"Y",C102&lt;&gt;"",OR(AX102&lt;&gt;"Y",AV102="Y")),"Y","N"))</f>
        <v>N</v>
      </c>
      <c r="AU102" s="0" t="str">
        <f aca="false">IF($A102="","",_xlfn.TEXTJOIN("; ",TRUE(),IF(CN102&lt;&gt;"pass","gated out",""),IF(AQ102="Y","on hold: "&amp;AR102,""),IF(C102="","no contact named on an opened page",""),IF(AND(AX102="Y",AV102&lt;&gt;"Y"),"Tuesday estimate band "&amp;L102&amp;": founder's call","")))</f>
        <v>Tuesday estimate band : founder's call</v>
      </c>
      <c r="AX102" s="0" t="s">
        <v>164</v>
      </c>
      <c r="BC102" s="0" t="str">
        <f aca="false">IF($A102="","",IFERROR(INDEX(Enrichment!$A$2:$GZ$2000,MATCH($A102,INDEX(Enrichment!$A$2:$GZ$2000,0,MATCH("row_id",Enrichment!$A$1:$GZ$1,0)),0),MATCH("work_email",Enrichment!$A$1:$GZ$1,0))&amp;"",""))</f>
        <v/>
      </c>
      <c r="BD102" s="0" t="str">
        <f aca="false">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none</v>
      </c>
      <c r="BF102" s="0" t="s">
        <v>380</v>
      </c>
      <c r="BJ102" s="0" t="s">
        <v>380</v>
      </c>
      <c r="BK102" s="0" t="s">
        <v>2194</v>
      </c>
      <c r="BL102" s="0" t="s">
        <v>896</v>
      </c>
      <c r="BQ102" s="0" t="str">
        <f aca="false">IF($A102="","",IFERROR(INDEX(Enrichment!$A$2:$GZ$2000,MATCH($A102,INDEX(Enrichment!$A$2:$GZ$2000,0,MATCH("row_id",Enrichment!$A$1:$GZ$1,0)),0),MATCH("backup_work_email",Enrichment!$A$1:$GZ$1,0))&amp;"",""))</f>
        <v/>
      </c>
      <c r="BR102" s="0" t="str">
        <f aca="false">IF($A102="","",IF(BQ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none</v>
      </c>
      <c r="BT102" s="0" t="s">
        <v>380</v>
      </c>
      <c r="BX102" s="0" t="s">
        <v>380</v>
      </c>
      <c r="BY102" s="0" t="s">
        <v>1769</v>
      </c>
      <c r="BZ102" s="0" t="s">
        <v>388</v>
      </c>
      <c r="CA102" s="0" t="s">
        <v>2929</v>
      </c>
      <c r="CB102" s="0" t="s">
        <v>196</v>
      </c>
      <c r="CM102" s="0" t="s">
        <v>189</v>
      </c>
      <c r="CN102" s="0" t="s">
        <v>200</v>
      </c>
      <c r="CO102" s="0" t="s">
        <v>201</v>
      </c>
      <c r="CP102" s="0" t="s">
        <v>1</v>
      </c>
      <c r="CQ102" s="0" t="s">
        <v>2930</v>
      </c>
      <c r="CR102" s="0" t="s">
        <v>2923</v>
      </c>
      <c r="CS102" s="0" t="s">
        <v>2927</v>
      </c>
      <c r="CT102" s="0" t="s">
        <v>2429</v>
      </c>
      <c r="CV102" s="0" t="s">
        <v>298</v>
      </c>
      <c r="CW102" s="0" t="s">
        <v>204</v>
      </c>
      <c r="CX102" s="0" t="s">
        <v>205</v>
      </c>
      <c r="CY102" s="0" t="s">
        <v>2931</v>
      </c>
      <c r="DA102" s="0" t="s">
        <v>207</v>
      </c>
      <c r="DB102" s="0" t="s">
        <v>259</v>
      </c>
      <c r="DC102" s="0" t="s">
        <v>164</v>
      </c>
      <c r="DD102" s="0" t="s">
        <v>209</v>
      </c>
      <c r="DE102" s="0" t="s">
        <v>2928</v>
      </c>
      <c r="DF102" s="0" t="s">
        <v>525</v>
      </c>
      <c r="DG102" s="0" t="n">
        <v>40.742199</v>
      </c>
      <c r="DH102" s="0" t="n">
        <v>-73.99172</v>
      </c>
      <c r="DI102" s="0" t="s">
        <v>164</v>
      </c>
      <c r="DJ102" s="0" t="n">
        <v>0</v>
      </c>
      <c r="DK102" s="0" t="s">
        <v>1451</v>
      </c>
      <c r="DL102" s="0" t="s">
        <v>1452</v>
      </c>
      <c r="DM102" s="0" t="s">
        <v>2932</v>
      </c>
      <c r="DN102" s="0" t="s">
        <v>2933</v>
      </c>
      <c r="DO102" s="0" t="s">
        <v>363</v>
      </c>
      <c r="DP102" s="0" t="s">
        <v>1453</v>
      </c>
      <c r="DQ102" s="0" t="s">
        <v>1454</v>
      </c>
      <c r="DS102" s="0" t="s">
        <v>809</v>
      </c>
      <c r="DU102" s="0" t="s">
        <v>189</v>
      </c>
      <c r="DX102" s="0" t="s">
        <v>267</v>
      </c>
      <c r="DY102" s="0" t="s">
        <v>1453</v>
      </c>
      <c r="EA102" s="0" t="s">
        <v>209</v>
      </c>
      <c r="EB102" s="0" t="s">
        <v>189</v>
      </c>
      <c r="EC102" s="0" t="s">
        <v>2826</v>
      </c>
      <c r="ED102" s="0" t="s">
        <v>2931</v>
      </c>
      <c r="EE102" s="0" t="s">
        <v>172</v>
      </c>
      <c r="EF102" s="0" t="n">
        <v>33</v>
      </c>
      <c r="EG102" s="0" t="s">
        <v>1322</v>
      </c>
      <c r="EH102" s="0" t="s">
        <v>189</v>
      </c>
      <c r="EI102" s="0" t="s">
        <v>2934</v>
      </c>
      <c r="EJ102" s="0" t="s">
        <v>221</v>
      </c>
      <c r="EK102" s="0" t="n">
        <v>0.23</v>
      </c>
      <c r="EL102" s="0" t="n">
        <v>38.6</v>
      </c>
      <c r="EM102" s="0" t="n">
        <v>5.6</v>
      </c>
      <c r="EN102" s="0" t="n">
        <v>15</v>
      </c>
      <c r="EO102" s="0" t="n">
        <v>5</v>
      </c>
      <c r="EP102" s="0" t="n">
        <v>13</v>
      </c>
      <c r="EQ102" s="0" t="n">
        <f aca="false">IF($A102="","",IF(AH102="exact",10,IF(AH102="adjacent",5,0)))</f>
        <v>0</v>
      </c>
      <c r="ER102" s="0" t="n">
        <f aca="false">IF($A102="","",IF(R102="Y",15,0))</f>
        <v>0</v>
      </c>
      <c r="ES102" s="0" t="s">
        <v>222</v>
      </c>
      <c r="EX102" s="0" t="s">
        <v>2935</v>
      </c>
      <c r="EZ102" s="0" t="s">
        <v>2936</v>
      </c>
      <c r="FS102" s="0" t="str">
        <f aca="false">IF($A102="","",IF(ISNUMBER(MATCH(U102,{"queued","contacted","replied","call_booked","call_done","yes_in_principle","materials_sent"},0)),"Y","N"))</f>
        <v>N</v>
      </c>
      <c r="FT102" s="0" t="str">
        <f aca="false">IF($A102="","",IF(OR(T102="Y",U102="do_not_contact",AS102&amp;""&lt;&gt;""),"Y","N"))</f>
        <v>N</v>
      </c>
      <c r="FU102" s="0" t="str">
        <f aca="false">IF($A102="","",IF(AP102&amp;""&lt;&gt;"",AP102&amp;"",$A102))</f>
        <v>AO-C-094</v>
      </c>
      <c r="FV102" s="0" t="str">
        <f aca="false">IF($A102="","",IF(COUNTIFS($FU$2:$FU$1000,FU102,$FS$2:$FS$1000,"Y")+COUNTIFS($FU$2:$FU$1000,FU102,$FT$2:$FT$1000,"Y")&gt;0,"Y","N"))</f>
        <v>N</v>
      </c>
      <c r="FW102" s="0" t="str">
        <f aca="false">IF($A102="","",IF(AND(U102="new",T102="N",FT102="N",AT102="Y",FV102="N"),"Y","N"))</f>
        <v>N</v>
      </c>
      <c r="FX102" s="0" t="str">
        <f aca="false">IF($A102="","",IF(FW102&lt;&gt;"Y","N",IF(COUNTIFS($FU$2:$FU$1000,FU102,$FW$2:$FW$1000,"Y",$J$2:$J$1000,"&gt;"&amp;J102)+COUNTIFS($FU$2:$FU$1000,FU102,$FW$2:$FW$1000,"Y",$J$2:$J$1000,J102,$GD$2:$GD$1000,"&lt;"&amp;GD102)=0,"Y","N")))</f>
        <v>N</v>
      </c>
      <c r="FY102" s="0" t="str">
        <f aca="false">IF($A102="","",IF(AND(FW102="Y",FX102="Y",Y102&amp;""&lt;&gt;""),IF(Y102&lt;=10,"Y","N"),"N"))</f>
        <v>N</v>
      </c>
      <c r="FZ102" s="0" t="str">
        <f aca="false">IF(FY102="Y",Y102,"")</f>
        <v/>
      </c>
      <c r="GA102" s="0" t="str">
        <f aca="false">IF($A102="","",IF(AND(I102="walk-in",CN102="pass",U102="new",FT102="N",FV102="N",AQ102&lt;&gt;"Y"),"Y","N"))</f>
        <v>N</v>
      </c>
      <c r="GB102" s="0" t="str">
        <f aca="false">IF(GA102&lt;&gt;"Y","",IF(COUNTIFS($GA$2:$GA$1000,"Y",$J$2:$J$1000,"&gt;"&amp;J102)+COUNTIFS($GA$2:$GA$1000,"Y",$J$2:$J$1000,J102,$GD$2:$GD$1000,"&lt;"&amp;GD102)+1&lt;=25,COUNTIFS($GA$2:$GA$1000,"Y",$J$2:$J$1000,"&gt;"&amp;J102)+COUNTIFS($GA$2:$GA$1000,"Y",$J$2:$J$1000,J102,$GD$2:$GD$1000,"&lt;"&amp;GD102)+1,""))</f>
        <v/>
      </c>
      <c r="GC102" s="0" t="str">
        <f aca="false">IF(AND(_xlfn.ISFORMULA(C102),_xlfn.ISFORMULA(J102)),"Y","N")</f>
        <v>N</v>
      </c>
      <c r="GD102" s="0" t="n">
        <f aca="false">ROW()-1</f>
        <v>101</v>
      </c>
    </row>
    <row r="103" customFormat="false" ht="15" hidden="false" customHeight="false" outlineLevel="0" collapsed="false">
      <c r="A103" s="0" t="s">
        <v>2937</v>
      </c>
      <c r="B103" s="0" t="s">
        <v>2938</v>
      </c>
      <c r="C103" s="0" t="s">
        <v>2939</v>
      </c>
      <c r="D103" s="0" t="s">
        <v>2940</v>
      </c>
      <c r="E103" s="0" t="s">
        <v>2941</v>
      </c>
      <c r="F103" s="0" t="s">
        <v>2942</v>
      </c>
      <c r="G103" s="0" t="s">
        <v>189</v>
      </c>
      <c r="M103" s="0" t="s">
        <v>380</v>
      </c>
      <c r="R103" s="5"/>
      <c r="U103" s="5"/>
      <c r="V103" s="0" t="s">
        <v>380</v>
      </c>
      <c r="AE103" s="0" t="s">
        <v>2943</v>
      </c>
      <c r="AF103" s="0" t="s">
        <v>2944</v>
      </c>
      <c r="AG103" s="0" t="s">
        <v>2945</v>
      </c>
      <c r="AH103" s="0" t="s">
        <v>2541</v>
      </c>
      <c r="AI103" s="0" t="s">
        <v>2946</v>
      </c>
      <c r="AJ103" s="0" t="s">
        <v>189</v>
      </c>
      <c r="AK103" s="0" t="s">
        <v>203</v>
      </c>
      <c r="AL103" s="0" t="s">
        <v>189</v>
      </c>
      <c r="AM103" s="0" t="n">
        <v>684</v>
      </c>
      <c r="AN103" s="0" t="s">
        <v>187</v>
      </c>
      <c r="AO103" s="0" t="s">
        <v>209</v>
      </c>
      <c r="AP103" s="0" t="s">
        <v>2937</v>
      </c>
      <c r="AQ103" s="5" t="s">
        <v>189</v>
      </c>
      <c r="AT103" s="0" t="str">
        <f aca="false">IF($A103="","",IF(AND(CN103="pass",AQ103&lt;&gt;"Y",C103&lt;&gt;"",OR(AX103&lt;&gt;"Y",AV103="Y")),"Y","N"))</f>
        <v>Y</v>
      </c>
      <c r="AU103" s="0" t="str">
        <f aca="false">IF($A103="","",_xlfn.TEXTJOIN("; ",TRUE(),IF(CN103&lt;&gt;"pass","gated out",""),IF(AQ103="Y","on hold: "&amp;AR103,""),IF(C103="","no contact named on an opened page",""),IF(AND(AX103="Y",AV103&lt;&gt;"Y"),"Tuesday estimate band "&amp;L103&amp;": founder's call","")))</f>
        <v/>
      </c>
      <c r="AX103" s="0" t="s">
        <v>189</v>
      </c>
      <c r="BC103" s="0" t="str">
        <f aca="false">IF($A103="","",IFERROR(INDEX(Enrichment!$A$2:$GZ$2000,MATCH($A103,INDEX(Enrichment!$A$2:$GZ$2000,0,MATCH("row_id",Enrichment!$A$1:$GZ$1,0)),0),MATCH("work_email",Enrichment!$A$1:$GZ$1,0))&amp;"",""))</f>
        <v/>
      </c>
      <c r="BD103" s="0" t="str">
        <f aca="false">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none</v>
      </c>
      <c r="BF103" s="0" t="s">
        <v>380</v>
      </c>
      <c r="BJ103" s="0" t="s">
        <v>380</v>
      </c>
      <c r="BL103" s="0" t="s">
        <v>896</v>
      </c>
      <c r="BQ103" s="0" t="str">
        <f aca="false">IF($A103="","",IFERROR(INDEX(Enrichment!$A$2:$GZ$2000,MATCH($A103,INDEX(Enrichment!$A$2:$GZ$2000,0,MATCH("row_id",Enrichment!$A$1:$GZ$1,0)),0),MATCH("backup_work_email",Enrichment!$A$1:$GZ$1,0))&amp;"",""))</f>
        <v/>
      </c>
      <c r="BR103" s="0" t="str">
        <f aca="false">IF($A103="","",IF(BQ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none</v>
      </c>
      <c r="BT103" s="0" t="s">
        <v>380</v>
      </c>
      <c r="BX103" s="0" t="s">
        <v>380</v>
      </c>
      <c r="BY103" s="0" t="s">
        <v>387</v>
      </c>
      <c r="BZ103" s="0" t="s">
        <v>388</v>
      </c>
      <c r="CA103" s="0" t="s">
        <v>2947</v>
      </c>
      <c r="CB103" s="0" t="s">
        <v>196</v>
      </c>
      <c r="CM103" s="0" t="s">
        <v>189</v>
      </c>
      <c r="CN103" s="0" t="s">
        <v>200</v>
      </c>
      <c r="CO103" s="0" t="s">
        <v>201</v>
      </c>
      <c r="CP103" s="0" t="s">
        <v>1</v>
      </c>
      <c r="CQ103" s="0" t="s">
        <v>2948</v>
      </c>
      <c r="CR103" s="0" t="s">
        <v>2939</v>
      </c>
      <c r="CS103" s="0" t="s">
        <v>2945</v>
      </c>
      <c r="CT103" s="0" t="s">
        <v>2541</v>
      </c>
      <c r="CV103" s="0" t="s">
        <v>976</v>
      </c>
      <c r="CW103" s="0" t="s">
        <v>204</v>
      </c>
      <c r="CX103" s="0" t="s">
        <v>205</v>
      </c>
      <c r="CY103" s="0" t="s">
        <v>2949</v>
      </c>
      <c r="DA103" s="0" t="s">
        <v>978</v>
      </c>
      <c r="DB103" s="0" t="s">
        <v>209</v>
      </c>
      <c r="DC103" s="0" t="s">
        <v>209</v>
      </c>
      <c r="DD103" s="0" t="s">
        <v>209</v>
      </c>
      <c r="DE103" s="0" t="s">
        <v>2946</v>
      </c>
      <c r="DF103" s="0" t="s">
        <v>525</v>
      </c>
      <c r="DG103" s="0" t="n">
        <v>40.741817</v>
      </c>
      <c r="DH103" s="0" t="n">
        <v>-73.990988</v>
      </c>
      <c r="DI103" s="0" t="s">
        <v>164</v>
      </c>
      <c r="DJ103" s="0" t="n">
        <v>0</v>
      </c>
      <c r="DL103" s="0" t="s">
        <v>209</v>
      </c>
      <c r="DM103" s="0" t="s">
        <v>2950</v>
      </c>
      <c r="DN103" s="0" t="s">
        <v>2951</v>
      </c>
      <c r="DO103" s="0" t="s">
        <v>363</v>
      </c>
      <c r="DP103" s="0" t="s">
        <v>2505</v>
      </c>
      <c r="DQ103" s="0" t="s">
        <v>2506</v>
      </c>
      <c r="DS103" s="0" t="s">
        <v>217</v>
      </c>
      <c r="DU103" s="0" t="s">
        <v>189</v>
      </c>
      <c r="DX103" s="0" t="s">
        <v>209</v>
      </c>
      <c r="DZ103" s="0" t="s">
        <v>1700</v>
      </c>
      <c r="EA103" s="0" t="s">
        <v>209</v>
      </c>
      <c r="EB103" s="0" t="s">
        <v>189</v>
      </c>
      <c r="EC103" s="0" t="s">
        <v>209</v>
      </c>
      <c r="EF103" s="0" t="n">
        <v>152</v>
      </c>
      <c r="EG103" s="0" t="s">
        <v>366</v>
      </c>
      <c r="EH103" s="0" t="s">
        <v>164</v>
      </c>
      <c r="EI103" s="0" t="s">
        <v>2952</v>
      </c>
      <c r="EJ103" s="0" t="s">
        <v>221</v>
      </c>
      <c r="EK103" s="0" t="n">
        <v>0.61</v>
      </c>
      <c r="EL103" s="0" t="n">
        <v>38.3</v>
      </c>
      <c r="EM103" s="0" t="n">
        <v>15.3</v>
      </c>
      <c r="EN103" s="0" t="n">
        <v>2</v>
      </c>
      <c r="EO103" s="0" t="n">
        <v>6</v>
      </c>
      <c r="EP103" s="0" t="n">
        <v>15</v>
      </c>
      <c r="EQ103" s="0" t="n">
        <f aca="false">IF($A103="","",IF(AH103="exact",10,IF(AH103="adjacent",5,0)))</f>
        <v>0</v>
      </c>
      <c r="ER103" s="0" t="n">
        <f aca="false">IF($A103="","",IF(R103="Y",15,0))</f>
        <v>0</v>
      </c>
      <c r="ES103" s="0" t="s">
        <v>982</v>
      </c>
      <c r="ET103" s="0" t="s">
        <v>983</v>
      </c>
      <c r="EU103" s="0" t="s">
        <v>189</v>
      </c>
      <c r="EV103" s="0" t="s">
        <v>2953</v>
      </c>
      <c r="EW103" s="0" t="s">
        <v>224</v>
      </c>
      <c r="EX103" s="0" t="s">
        <v>2954</v>
      </c>
      <c r="EZ103" s="0" t="s">
        <v>2955</v>
      </c>
      <c r="FS103" s="0" t="str">
        <f aca="false">IF($A103="","",IF(ISNUMBER(MATCH(U103,{"queued","contacted","replied","call_booked","call_done","yes_in_principle","materials_sent"},0)),"Y","N"))</f>
        <v>N</v>
      </c>
      <c r="FT103" s="0" t="str">
        <f aca="false">IF($A103="","",IF(OR(T103="Y",U103="do_not_contact",AS103&amp;""&lt;&gt;""),"Y","N"))</f>
        <v>N</v>
      </c>
      <c r="FU103" s="0" t="str">
        <f aca="false">IF($A103="","",IF(AP103&amp;""&lt;&gt;"",AP103&amp;"",$A103))</f>
        <v>AO-C-225</v>
      </c>
      <c r="FV103" s="0" t="str">
        <f aca="false">IF($A103="","",IF(COUNTIFS($FU$2:$FU$1000,FU103,$FS$2:$FS$1000,"Y")+COUNTIFS($FU$2:$FU$1000,FU103,$FT$2:$FT$1000,"Y")&gt;0,"Y","N"))</f>
        <v>N</v>
      </c>
      <c r="FW103" s="0" t="str">
        <f aca="false">IF($A103="","",IF(AND(U103="new",T103="N",FT103="N",AT103="Y",FV103="N"),"Y","N"))</f>
        <v>N</v>
      </c>
      <c r="FX103" s="0" t="str">
        <f aca="false">IF($A103="","",IF(FW103&lt;&gt;"Y","N",IF(COUNTIFS($FU$2:$FU$1000,FU103,$FW$2:$FW$1000,"Y",$J$2:$J$1000,"&gt;"&amp;J103)+COUNTIFS($FU$2:$FU$1000,FU103,$FW$2:$FW$1000,"Y",$J$2:$J$1000,J103,$GD$2:$GD$1000,"&lt;"&amp;GD103)=0,"Y","N")))</f>
        <v>N</v>
      </c>
      <c r="FY103" s="0" t="str">
        <f aca="false">IF($A103="","",IF(AND(FW103="Y",FX103="Y",Y103&amp;""&lt;&gt;""),IF(Y103&lt;=10,"Y","N"),"N"))</f>
        <v>N</v>
      </c>
      <c r="FZ103" s="0" t="str">
        <f aca="false">IF(FY103="Y",Y103,"")</f>
        <v/>
      </c>
      <c r="GA103" s="0" t="str">
        <f aca="false">IF($A103="","",IF(AND(I103="walk-in",CN103="pass",U103="new",FT103="N",FV103="N",AQ103&lt;&gt;"Y"),"Y","N"))</f>
        <v>N</v>
      </c>
      <c r="GB103" s="0" t="str">
        <f aca="false">IF(GA103&lt;&gt;"Y","",IF(COUNTIFS($GA$2:$GA$1000,"Y",$J$2:$J$1000,"&gt;"&amp;J103)+COUNTIFS($GA$2:$GA$1000,"Y",$J$2:$J$1000,J103,$GD$2:$GD$1000,"&lt;"&amp;GD103)+1&lt;=25,COUNTIFS($GA$2:$GA$1000,"Y",$J$2:$J$1000,"&gt;"&amp;J103)+COUNTIFS($GA$2:$GA$1000,"Y",$J$2:$J$1000,J103,$GD$2:$GD$1000,"&lt;"&amp;GD103)+1,""))</f>
        <v/>
      </c>
      <c r="GC103" s="0" t="str">
        <f aca="false">IF(AND(_xlfn.ISFORMULA(C103),_xlfn.ISFORMULA(J103)),"Y","N")</f>
        <v>N</v>
      </c>
      <c r="GD103" s="0" t="n">
        <f aca="false">ROW()-1</f>
        <v>102</v>
      </c>
    </row>
    <row r="104" customFormat="false" ht="15" hidden="false" customHeight="false" outlineLevel="0" collapsed="false">
      <c r="A104" s="0" t="s">
        <v>2956</v>
      </c>
      <c r="B104" s="0" t="s">
        <v>2957</v>
      </c>
      <c r="C104" s="0" t="s">
        <v>209</v>
      </c>
      <c r="E104" s="0" t="s">
        <v>2958</v>
      </c>
      <c r="F104" s="0" t="s">
        <v>2959</v>
      </c>
      <c r="G104" s="0" t="s">
        <v>189</v>
      </c>
      <c r="M104" s="0" t="s">
        <v>380</v>
      </c>
      <c r="R104" s="5"/>
      <c r="U104" s="5"/>
      <c r="V104" s="0" t="s">
        <v>380</v>
      </c>
      <c r="AE104" s="0" t="s">
        <v>2960</v>
      </c>
      <c r="AF104" s="0" t="s">
        <v>209</v>
      </c>
      <c r="AG104" s="0" t="s">
        <v>2961</v>
      </c>
      <c r="AH104" s="0" t="s">
        <v>2962</v>
      </c>
      <c r="AI104" s="0" t="s">
        <v>209</v>
      </c>
      <c r="AJ104" s="0" t="s">
        <v>189</v>
      </c>
      <c r="AK104" s="0" t="s">
        <v>203</v>
      </c>
      <c r="AL104" s="0" t="s">
        <v>189</v>
      </c>
      <c r="AM104" s="0" t="n">
        <v>248</v>
      </c>
      <c r="AN104" s="0" t="s">
        <v>187</v>
      </c>
      <c r="AO104" s="0" t="s">
        <v>209</v>
      </c>
      <c r="AP104" s="0" t="s">
        <v>2956</v>
      </c>
      <c r="AQ104" s="5" t="s">
        <v>164</v>
      </c>
      <c r="AR104" s="0" t="s">
        <v>779</v>
      </c>
      <c r="AT104" s="0" t="str">
        <f aca="false">IF($A104="","",IF(AND(CN104="pass",AQ104&lt;&gt;"Y",C104&lt;&gt;"",OR(AX104&lt;&gt;"Y",AV104="Y")),"Y","N"))</f>
        <v>N</v>
      </c>
      <c r="AU104" s="0" t="str">
        <f aca="false">IF($A104="","",_xlfn.TEXTJOIN("; ",TRUE(),IF(CN104&lt;&gt;"pass","gated out",""),IF(AQ104="Y","on hold: "&amp;AR104,""),IF(C104="","no contact named on an opened page",""),IF(AND(AX104="Y",AV104&lt;&gt;"Y"),"Tuesday estimate band "&amp;L104&amp;": founder's call","")))</f>
        <v>on hold: lease signed, move not confirmed: check the lobby directory before outreach (B)</v>
      </c>
      <c r="AX104" s="0" t="s">
        <v>189</v>
      </c>
      <c r="BC104" s="0" t="str">
        <f aca="false">IF($A104="","",IFERROR(INDEX(Enrichment!$A$2:$GZ$2000,MATCH($A104,INDEX(Enrichment!$A$2:$GZ$2000,0,MATCH("row_id",Enrichment!$A$1:$GZ$1,0)),0),MATCH("work_email",Enrichment!$A$1:$GZ$1,0))&amp;"",""))</f>
        <v/>
      </c>
      <c r="BD104" s="0" t="str">
        <f aca="false">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none</v>
      </c>
      <c r="BF104" s="0" t="s">
        <v>380</v>
      </c>
      <c r="BJ104" s="0" t="s">
        <v>380</v>
      </c>
      <c r="BL104" s="0" t="s">
        <v>896</v>
      </c>
      <c r="BQ104" s="0" t="str">
        <f aca="false">IF($A104="","",IFERROR(INDEX(Enrichment!$A$2:$GZ$2000,MATCH($A104,INDEX(Enrichment!$A$2:$GZ$2000,0,MATCH("row_id",Enrichment!$A$1:$GZ$1,0)),0),MATCH("backup_work_email",Enrichment!$A$1:$GZ$1,0))&amp;"",""))</f>
        <v/>
      </c>
      <c r="BR104" s="0" t="str">
        <f aca="false">IF($A104="","",IF(BQ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none</v>
      </c>
      <c r="BT104" s="0" t="s">
        <v>380</v>
      </c>
      <c r="BX104" s="0" t="s">
        <v>380</v>
      </c>
      <c r="BY104" s="0" t="s">
        <v>387</v>
      </c>
      <c r="BZ104" s="0" t="s">
        <v>388</v>
      </c>
      <c r="CA104" s="0" t="s">
        <v>2963</v>
      </c>
      <c r="CB104" s="0" t="s">
        <v>196</v>
      </c>
      <c r="CM104" s="0" t="s">
        <v>189</v>
      </c>
      <c r="CN104" s="0" t="s">
        <v>200</v>
      </c>
      <c r="CO104" s="0" t="s">
        <v>201</v>
      </c>
      <c r="CP104" s="0" t="s">
        <v>1</v>
      </c>
      <c r="CQ104" s="0" t="s">
        <v>2964</v>
      </c>
      <c r="CR104" s="0" t="s">
        <v>209</v>
      </c>
      <c r="CS104" s="0" t="s">
        <v>2961</v>
      </c>
      <c r="CT104" s="0" t="s">
        <v>2962</v>
      </c>
      <c r="CV104" s="0" t="s">
        <v>976</v>
      </c>
      <c r="CW104" s="0" t="s">
        <v>204</v>
      </c>
      <c r="CX104" s="0" t="s">
        <v>205</v>
      </c>
      <c r="CY104" s="0" t="s">
        <v>2965</v>
      </c>
      <c r="DA104" s="0" t="s">
        <v>978</v>
      </c>
      <c r="DB104" s="0" t="s">
        <v>259</v>
      </c>
      <c r="DC104" s="0" t="s">
        <v>164</v>
      </c>
      <c r="DD104" s="0" t="s">
        <v>209</v>
      </c>
      <c r="DE104" s="0" t="s">
        <v>209</v>
      </c>
      <c r="DF104" s="0" t="s">
        <v>311</v>
      </c>
      <c r="DG104" s="0" t="n">
        <v>40.746186</v>
      </c>
      <c r="DH104" s="0" t="n">
        <v>-73.985981</v>
      </c>
      <c r="DI104" s="0" t="s">
        <v>164</v>
      </c>
      <c r="DJ104" s="0" t="n">
        <v>0</v>
      </c>
      <c r="DK104" s="0" t="s">
        <v>2966</v>
      </c>
      <c r="DL104" s="0" t="s">
        <v>2967</v>
      </c>
      <c r="DM104" s="0" t="s">
        <v>2968</v>
      </c>
      <c r="DN104" s="0" t="s">
        <v>2969</v>
      </c>
      <c r="DO104" s="0" t="s">
        <v>363</v>
      </c>
      <c r="DS104" s="0" t="s">
        <v>809</v>
      </c>
      <c r="DT104" s="0" t="s">
        <v>209</v>
      </c>
      <c r="DU104" s="0" t="s">
        <v>189</v>
      </c>
      <c r="DX104" s="0" t="s">
        <v>209</v>
      </c>
      <c r="EA104" s="0" t="s">
        <v>209</v>
      </c>
      <c r="EB104" s="0" t="s">
        <v>189</v>
      </c>
      <c r="EC104" s="0" t="s">
        <v>209</v>
      </c>
      <c r="EF104" s="0" t="n">
        <v>175</v>
      </c>
      <c r="EH104" s="0" t="s">
        <v>164</v>
      </c>
      <c r="EI104" s="0" t="s">
        <v>2970</v>
      </c>
      <c r="EJ104" s="0" t="s">
        <v>221</v>
      </c>
      <c r="EK104" s="0" t="n">
        <v>1</v>
      </c>
      <c r="EL104" s="0" t="n">
        <v>38</v>
      </c>
      <c r="EM104" s="0" t="n">
        <v>25</v>
      </c>
      <c r="EN104" s="0" t="n">
        <v>2</v>
      </c>
      <c r="EO104" s="0" t="n">
        <v>6</v>
      </c>
      <c r="EP104" s="0" t="n">
        <v>5</v>
      </c>
      <c r="EQ104" s="0" t="n">
        <f aca="false">IF($A104="","",IF(AH104="exact",10,IF(AH104="adjacent",5,0)))</f>
        <v>0</v>
      </c>
      <c r="ER104" s="0" t="n">
        <f aca="false">IF($A104="","",IF(R104="Y",15,0))</f>
        <v>0</v>
      </c>
      <c r="ES104" s="0" t="s">
        <v>982</v>
      </c>
      <c r="ET104" s="0" t="s">
        <v>983</v>
      </c>
      <c r="EU104" s="0" t="s">
        <v>164</v>
      </c>
      <c r="EV104" s="0" t="s">
        <v>2971</v>
      </c>
      <c r="EW104" s="0" t="s">
        <v>224</v>
      </c>
      <c r="EX104" s="0" t="s">
        <v>2972</v>
      </c>
      <c r="FS104" s="0" t="str">
        <f aca="false">IF($A104="","",IF(ISNUMBER(MATCH(U104,{"queued","contacted","replied","call_booked","call_done","yes_in_principle","materials_sent"},0)),"Y","N"))</f>
        <v>N</v>
      </c>
      <c r="FT104" s="0" t="str">
        <f aca="false">IF($A104="","",IF(OR(T104="Y",U104="do_not_contact",AS104&amp;""&lt;&gt;""),"Y","N"))</f>
        <v>N</v>
      </c>
      <c r="FU104" s="0" t="str">
        <f aca="false">IF($A104="","",IF(AP104&amp;""&lt;&gt;"",AP104&amp;"",$A104))</f>
        <v>AO-C-270</v>
      </c>
      <c r="FV104" s="0" t="str">
        <f aca="false">IF($A104="","",IF(COUNTIFS($FU$2:$FU$1000,FU104,$FS$2:$FS$1000,"Y")+COUNTIFS($FU$2:$FU$1000,FU104,$FT$2:$FT$1000,"Y")&gt;0,"Y","N"))</f>
        <v>N</v>
      </c>
      <c r="FW104" s="0" t="str">
        <f aca="false">IF($A104="","",IF(AND(U104="new",T104="N",FT104="N",AT104="Y",FV104="N"),"Y","N"))</f>
        <v>N</v>
      </c>
      <c r="FX104" s="0" t="str">
        <f aca="false">IF($A104="","",IF(FW104&lt;&gt;"Y","N",IF(COUNTIFS($FU$2:$FU$1000,FU104,$FW$2:$FW$1000,"Y",$J$2:$J$1000,"&gt;"&amp;J104)+COUNTIFS($FU$2:$FU$1000,FU104,$FW$2:$FW$1000,"Y",$J$2:$J$1000,J104,$GD$2:$GD$1000,"&lt;"&amp;GD104)=0,"Y","N")))</f>
        <v>N</v>
      </c>
      <c r="FY104" s="0" t="str">
        <f aca="false">IF($A104="","",IF(AND(FW104="Y",FX104="Y",Y104&amp;""&lt;&gt;""),IF(Y104&lt;=10,"Y","N"),"N"))</f>
        <v>N</v>
      </c>
      <c r="FZ104" s="0" t="str">
        <f aca="false">IF(FY104="Y",Y104,"")</f>
        <v/>
      </c>
      <c r="GA104" s="0" t="str">
        <f aca="false">IF($A104="","",IF(AND(I104="walk-in",CN104="pass",U104="new",FT104="N",FV104="N",AQ104&lt;&gt;"Y"),"Y","N"))</f>
        <v>N</v>
      </c>
      <c r="GB104" s="0" t="str">
        <f aca="false">IF(GA104&lt;&gt;"Y","",IF(COUNTIFS($GA$2:$GA$1000,"Y",$J$2:$J$1000,"&gt;"&amp;J104)+COUNTIFS($GA$2:$GA$1000,"Y",$J$2:$J$1000,J104,$GD$2:$GD$1000,"&lt;"&amp;GD104)+1&lt;=25,COUNTIFS($GA$2:$GA$1000,"Y",$J$2:$J$1000,"&gt;"&amp;J104)+COUNTIFS($GA$2:$GA$1000,"Y",$J$2:$J$1000,J104,$GD$2:$GD$1000,"&lt;"&amp;GD104)+1,""))</f>
        <v/>
      </c>
      <c r="GC104" s="0" t="str">
        <f aca="false">IF(AND(_xlfn.ISFORMULA(C104),_xlfn.ISFORMULA(J104)),"Y","N")</f>
        <v>N</v>
      </c>
      <c r="GD104" s="0" t="n">
        <f aca="false">ROW()-1</f>
        <v>103</v>
      </c>
    </row>
    <row r="105" customFormat="false" ht="15" hidden="false" customHeight="false" outlineLevel="0" collapsed="false">
      <c r="A105" s="0" t="s">
        <v>2973</v>
      </c>
      <c r="B105" s="0" t="s">
        <v>2974</v>
      </c>
      <c r="C105" s="0" t="s">
        <v>209</v>
      </c>
      <c r="E105" s="0" t="s">
        <v>2975</v>
      </c>
      <c r="F105" s="0" t="s">
        <v>2959</v>
      </c>
      <c r="G105" s="0" t="s">
        <v>189</v>
      </c>
      <c r="M105" s="0" t="s">
        <v>380</v>
      </c>
      <c r="R105" s="5"/>
      <c r="U105" s="5"/>
      <c r="V105" s="0" t="s">
        <v>380</v>
      </c>
      <c r="AE105" s="0" t="s">
        <v>2976</v>
      </c>
      <c r="AF105" s="0" t="s">
        <v>209</v>
      </c>
      <c r="AG105" s="0" t="s">
        <v>2977</v>
      </c>
      <c r="AH105" s="0" t="s">
        <v>1839</v>
      </c>
      <c r="AI105" s="0" t="s">
        <v>209</v>
      </c>
      <c r="AJ105" s="0" t="s">
        <v>189</v>
      </c>
      <c r="AK105" s="0" t="s">
        <v>298</v>
      </c>
      <c r="AL105" s="0" t="s">
        <v>189</v>
      </c>
      <c r="AM105" s="0" t="n">
        <v>82</v>
      </c>
      <c r="AN105" s="0" t="s">
        <v>187</v>
      </c>
      <c r="AO105" s="0" t="s">
        <v>512</v>
      </c>
      <c r="AP105" s="0" t="s">
        <v>2973</v>
      </c>
      <c r="AQ105" s="5" t="s">
        <v>164</v>
      </c>
      <c r="AR105" s="0" t="s">
        <v>2978</v>
      </c>
      <c r="AT105" s="0" t="str">
        <f aca="false">IF($A105="","",IF(AND(CN105="pass",AQ105&lt;&gt;"Y",C105&lt;&gt;"",OR(AX105&lt;&gt;"Y",AV105="Y")),"Y","N"))</f>
        <v>N</v>
      </c>
      <c r="AU105" s="0" t="str">
        <f aca="false">IF($A105="","",_xlfn.TEXTJOIN("; ",TRUE(),IF(CN105&lt;&gt;"pass","gated out",""),IF(AQ105="Y","on hold: "&amp;AR105,""),IF(C105="","no contact named on an opened page",""),IF(AND(AX105="Y",AV105&lt;&gt;"Y"),"Tuesday estimate band "&amp;L105&amp;": founder's call","")))</f>
        <v>on hold: moving out of this address: confirm where the office will be before outreach (B)</v>
      </c>
      <c r="AX105" s="0" t="s">
        <v>189</v>
      </c>
      <c r="BC105" s="0" t="str">
        <f aca="false">IF($A105="","",IFERROR(INDEX(Enrichment!$A$2:$GZ$2000,MATCH($A105,INDEX(Enrichment!$A$2:$GZ$2000,0,MATCH("row_id",Enrichment!$A$1:$GZ$1,0)),0),MATCH("work_email",Enrichment!$A$1:$GZ$1,0))&amp;"",""))</f>
        <v/>
      </c>
      <c r="BD105" s="0" t="str">
        <f aca="false">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none</v>
      </c>
      <c r="BF105" s="0" t="s">
        <v>380</v>
      </c>
      <c r="BJ105" s="0" t="s">
        <v>380</v>
      </c>
      <c r="BL105" s="0" t="s">
        <v>896</v>
      </c>
      <c r="BQ105" s="0" t="str">
        <f aca="false">IF($A105="","",IFERROR(INDEX(Enrichment!$A$2:$GZ$2000,MATCH($A105,INDEX(Enrichment!$A$2:$GZ$2000,0,MATCH("row_id",Enrichment!$A$1:$GZ$1,0)),0),MATCH("backup_work_email",Enrichment!$A$1:$GZ$1,0))&amp;"",""))</f>
        <v/>
      </c>
      <c r="BR105" s="0" t="str">
        <f aca="false">IF($A105="","",IF(BQ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none</v>
      </c>
      <c r="BT105" s="0" t="s">
        <v>380</v>
      </c>
      <c r="BX105" s="0" t="s">
        <v>380</v>
      </c>
      <c r="BY105" s="0" t="s">
        <v>387</v>
      </c>
      <c r="BZ105" s="0" t="s">
        <v>388</v>
      </c>
      <c r="CA105" s="0" t="s">
        <v>2979</v>
      </c>
      <c r="CB105" s="0" t="s">
        <v>196</v>
      </c>
      <c r="CM105" s="0" t="s">
        <v>189</v>
      </c>
      <c r="CN105" s="0" t="s">
        <v>200</v>
      </c>
      <c r="CO105" s="0" t="s">
        <v>201</v>
      </c>
      <c r="CP105" s="0" t="s">
        <v>1</v>
      </c>
      <c r="CQ105" s="0" t="s">
        <v>2980</v>
      </c>
      <c r="CR105" s="0" t="s">
        <v>209</v>
      </c>
      <c r="CS105" s="0" t="s">
        <v>2977</v>
      </c>
      <c r="CT105" s="0" t="s">
        <v>1839</v>
      </c>
      <c r="CV105" s="0" t="s">
        <v>976</v>
      </c>
      <c r="CW105" s="0" t="s">
        <v>204</v>
      </c>
      <c r="CX105" s="0" t="s">
        <v>205</v>
      </c>
      <c r="CY105" s="0" t="s">
        <v>2981</v>
      </c>
      <c r="DA105" s="0" t="s">
        <v>1351</v>
      </c>
      <c r="DB105" s="0" t="s">
        <v>2982</v>
      </c>
      <c r="DC105" s="0" t="s">
        <v>189</v>
      </c>
      <c r="DD105" s="0" t="s">
        <v>209</v>
      </c>
      <c r="DE105" s="0" t="s">
        <v>209</v>
      </c>
      <c r="DF105" s="0" t="s">
        <v>397</v>
      </c>
      <c r="DG105" s="0" t="n">
        <v>40.738186</v>
      </c>
      <c r="DH105" s="0" t="n">
        <v>-73.992429</v>
      </c>
      <c r="DI105" s="0" t="s">
        <v>164</v>
      </c>
      <c r="DJ105" s="0" t="n">
        <v>0</v>
      </c>
      <c r="DK105" s="0" t="s">
        <v>2983</v>
      </c>
      <c r="DL105" s="0" t="s">
        <v>2976</v>
      </c>
      <c r="DM105" s="0" t="s">
        <v>2984</v>
      </c>
      <c r="DN105" s="0" t="s">
        <v>2985</v>
      </c>
      <c r="DO105" s="0" t="s">
        <v>363</v>
      </c>
      <c r="DS105" s="0" t="s">
        <v>187</v>
      </c>
      <c r="DT105" s="0" t="s">
        <v>209</v>
      </c>
      <c r="DU105" s="0" t="s">
        <v>189</v>
      </c>
      <c r="DX105" s="0" t="s">
        <v>209</v>
      </c>
      <c r="EA105" s="0" t="s">
        <v>209</v>
      </c>
      <c r="EB105" s="0" t="s">
        <v>189</v>
      </c>
      <c r="EC105" s="0" t="s">
        <v>571</v>
      </c>
      <c r="ED105" s="0" t="s">
        <v>2986</v>
      </c>
      <c r="EE105" s="0" t="s">
        <v>172</v>
      </c>
      <c r="EF105" s="0" t="n">
        <v>58</v>
      </c>
      <c r="EH105" s="0" t="s">
        <v>164</v>
      </c>
      <c r="EI105" s="0" t="s">
        <v>2987</v>
      </c>
      <c r="EJ105" s="0" t="s">
        <v>221</v>
      </c>
      <c r="EK105" s="0" t="n">
        <v>1</v>
      </c>
      <c r="EL105" s="0" t="n">
        <v>38</v>
      </c>
      <c r="EM105" s="0" t="n">
        <v>25</v>
      </c>
      <c r="EN105" s="0" t="n">
        <v>6</v>
      </c>
      <c r="EO105" s="0" t="n">
        <v>7</v>
      </c>
      <c r="EP105" s="0" t="n">
        <v>0</v>
      </c>
      <c r="EQ105" s="0" t="n">
        <f aca="false">IF($A105="","",IF(AH105="exact",10,IF(AH105="adjacent",5,0)))</f>
        <v>0</v>
      </c>
      <c r="ER105" s="0" t="n">
        <f aca="false">IF($A105="","",IF(R105="Y",15,0))</f>
        <v>0</v>
      </c>
      <c r="ES105" s="0" t="s">
        <v>982</v>
      </c>
      <c r="ET105" s="0" t="s">
        <v>1360</v>
      </c>
      <c r="EU105" s="0" t="s">
        <v>189</v>
      </c>
      <c r="EV105" s="0" t="s">
        <v>2988</v>
      </c>
      <c r="EW105" s="0" t="s">
        <v>224</v>
      </c>
      <c r="EX105" s="0" t="s">
        <v>2989</v>
      </c>
      <c r="FS105" s="0" t="str">
        <f aca="false">IF($A105="","",IF(ISNUMBER(MATCH(U105,{"queued","contacted","replied","call_booked","call_done","yes_in_principle","materials_sent"},0)),"Y","N"))</f>
        <v>N</v>
      </c>
      <c r="FT105" s="0" t="str">
        <f aca="false">IF($A105="","",IF(OR(T105="Y",U105="do_not_contact",AS105&amp;""&lt;&gt;""),"Y","N"))</f>
        <v>N</v>
      </c>
      <c r="FU105" s="0" t="str">
        <f aca="false">IF($A105="","",IF(AP105&amp;""&lt;&gt;"",AP105&amp;"",$A105))</f>
        <v>AO-C-190</v>
      </c>
      <c r="FV105" s="0" t="str">
        <f aca="false">IF($A105="","",IF(COUNTIFS($FU$2:$FU$1000,FU105,$FS$2:$FS$1000,"Y")+COUNTIFS($FU$2:$FU$1000,FU105,$FT$2:$FT$1000,"Y")&gt;0,"Y","N"))</f>
        <v>N</v>
      </c>
      <c r="FW105" s="0" t="str">
        <f aca="false">IF($A105="","",IF(AND(U105="new",T105="N",FT105="N",AT105="Y",FV105="N"),"Y","N"))</f>
        <v>N</v>
      </c>
      <c r="FX105" s="0" t="str">
        <f aca="false">IF($A105="","",IF(FW105&lt;&gt;"Y","N",IF(COUNTIFS($FU$2:$FU$1000,FU105,$FW$2:$FW$1000,"Y",$J$2:$J$1000,"&gt;"&amp;J105)+COUNTIFS($FU$2:$FU$1000,FU105,$FW$2:$FW$1000,"Y",$J$2:$J$1000,J105,$GD$2:$GD$1000,"&lt;"&amp;GD105)=0,"Y","N")))</f>
        <v>N</v>
      </c>
      <c r="FY105" s="0" t="str">
        <f aca="false">IF($A105="","",IF(AND(FW105="Y",FX105="Y",Y105&amp;""&lt;&gt;""),IF(Y105&lt;=10,"Y","N"),"N"))</f>
        <v>N</v>
      </c>
      <c r="FZ105" s="0" t="str">
        <f aca="false">IF(FY105="Y",Y105,"")</f>
        <v/>
      </c>
      <c r="GA105" s="0" t="str">
        <f aca="false">IF($A105="","",IF(AND(I105="walk-in",CN105="pass",U105="new",FT105="N",FV105="N",AQ105&lt;&gt;"Y"),"Y","N"))</f>
        <v>N</v>
      </c>
      <c r="GB105" s="0" t="str">
        <f aca="false">IF(GA105&lt;&gt;"Y","",IF(COUNTIFS($GA$2:$GA$1000,"Y",$J$2:$J$1000,"&gt;"&amp;J105)+COUNTIFS($GA$2:$GA$1000,"Y",$J$2:$J$1000,J105,$GD$2:$GD$1000,"&lt;"&amp;GD105)+1&lt;=25,COUNTIFS($GA$2:$GA$1000,"Y",$J$2:$J$1000,"&gt;"&amp;J105)+COUNTIFS($GA$2:$GA$1000,"Y",$J$2:$J$1000,J105,$GD$2:$GD$1000,"&lt;"&amp;GD105)+1,""))</f>
        <v/>
      </c>
      <c r="GC105" s="0" t="str">
        <f aca="false">IF(AND(_xlfn.ISFORMULA(C105),_xlfn.ISFORMULA(J105)),"Y","N")</f>
        <v>N</v>
      </c>
      <c r="GD105" s="0" t="n">
        <f aca="false">ROW()-1</f>
        <v>104</v>
      </c>
    </row>
    <row r="106" customFormat="false" ht="15" hidden="false" customHeight="false" outlineLevel="0" collapsed="false">
      <c r="A106" s="0" t="s">
        <v>2990</v>
      </c>
      <c r="B106" s="0" t="s">
        <v>2991</v>
      </c>
      <c r="C106" s="0" t="s">
        <v>2992</v>
      </c>
      <c r="D106" s="0" t="s">
        <v>2993</v>
      </c>
      <c r="E106" s="0" t="s">
        <v>2994</v>
      </c>
      <c r="F106" s="0" t="s">
        <v>2995</v>
      </c>
      <c r="G106" s="0" t="s">
        <v>189</v>
      </c>
      <c r="M106" s="0" t="s">
        <v>380</v>
      </c>
      <c r="R106" s="5"/>
      <c r="U106" s="5"/>
      <c r="V106" s="0" t="s">
        <v>380</v>
      </c>
      <c r="AE106" s="0" t="s">
        <v>1871</v>
      </c>
      <c r="AF106" s="0" t="s">
        <v>2996</v>
      </c>
      <c r="AG106" s="0" t="s">
        <v>2997</v>
      </c>
      <c r="AH106" s="0" t="s">
        <v>2998</v>
      </c>
      <c r="AI106" s="0" t="s">
        <v>2999</v>
      </c>
      <c r="AJ106" s="0" t="s">
        <v>189</v>
      </c>
      <c r="AK106" s="0" t="s">
        <v>298</v>
      </c>
      <c r="AL106" s="0" t="s">
        <v>189</v>
      </c>
      <c r="AM106" s="0" t="n">
        <v>314</v>
      </c>
      <c r="AN106" s="0" t="s">
        <v>187</v>
      </c>
      <c r="AO106" s="0" t="s">
        <v>209</v>
      </c>
      <c r="AP106" s="0" t="s">
        <v>2990</v>
      </c>
      <c r="AQ106" s="5" t="s">
        <v>189</v>
      </c>
      <c r="AT106" s="0" t="str">
        <f aca="false">IF($A106="","",IF(AND(CN106="pass",AQ106&lt;&gt;"Y",C106&lt;&gt;"",OR(AX106&lt;&gt;"Y",AV106="Y")),"Y","N"))</f>
        <v>Y</v>
      </c>
      <c r="AU106" s="0" t="str">
        <f aca="false">IF($A106="","",_xlfn.TEXTJOIN("; ",TRUE(),IF(CN106&lt;&gt;"pass","gated out",""),IF(AQ106="Y","on hold: "&amp;AR106,""),IF(C106="","no contact named on an opened page",""),IF(AND(AX106="Y",AV106&lt;&gt;"Y"),"Tuesday estimate band "&amp;L106&amp;": founder's call","")))</f>
        <v/>
      </c>
      <c r="AX106" s="0" t="s">
        <v>189</v>
      </c>
      <c r="BC106" s="0" t="str">
        <f aca="false">IF($A106="","",IFERROR(INDEX(Enrichment!$A$2:$GZ$2000,MATCH($A106,INDEX(Enrichment!$A$2:$GZ$2000,0,MATCH("row_id",Enrichment!$A$1:$GZ$1,0)),0),MATCH("work_email",Enrichment!$A$1:$GZ$1,0))&amp;"",""))</f>
        <v/>
      </c>
      <c r="BD106" s="0" t="str">
        <f aca="false">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none</v>
      </c>
      <c r="BF106" s="0" t="s">
        <v>380</v>
      </c>
      <c r="BJ106" s="0" t="s">
        <v>380</v>
      </c>
      <c r="BL106" s="0" t="s">
        <v>896</v>
      </c>
      <c r="BQ106" s="0" t="str">
        <f aca="false">IF($A106="","",IFERROR(INDEX(Enrichment!$A$2:$GZ$2000,MATCH($A106,INDEX(Enrichment!$A$2:$GZ$2000,0,MATCH("row_id",Enrichment!$A$1:$GZ$1,0)),0),MATCH("backup_work_email",Enrichment!$A$1:$GZ$1,0))&amp;"",""))</f>
        <v/>
      </c>
      <c r="BR106" s="0" t="str">
        <f aca="false">IF($A106="","",IF(BQ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none</v>
      </c>
      <c r="BT106" s="0" t="s">
        <v>380</v>
      </c>
      <c r="BX106" s="0" t="s">
        <v>380</v>
      </c>
      <c r="BY106" s="0" t="s">
        <v>387</v>
      </c>
      <c r="BZ106" s="0" t="s">
        <v>388</v>
      </c>
      <c r="CA106" s="0" t="s">
        <v>3000</v>
      </c>
      <c r="CB106" s="0" t="s">
        <v>196</v>
      </c>
      <c r="CM106" s="0" t="s">
        <v>189</v>
      </c>
      <c r="CN106" s="0" t="s">
        <v>200</v>
      </c>
      <c r="CO106" s="0" t="s">
        <v>201</v>
      </c>
      <c r="CP106" s="0" t="s">
        <v>1</v>
      </c>
      <c r="CQ106" s="0" t="s">
        <v>3001</v>
      </c>
      <c r="CR106" s="0" t="s">
        <v>2992</v>
      </c>
      <c r="CS106" s="0" t="s">
        <v>2997</v>
      </c>
      <c r="CT106" s="0" t="s">
        <v>2998</v>
      </c>
      <c r="CV106" s="0" t="s">
        <v>976</v>
      </c>
      <c r="CW106" s="0" t="s">
        <v>204</v>
      </c>
      <c r="CX106" s="0" t="s">
        <v>205</v>
      </c>
      <c r="CY106" s="0" t="s">
        <v>3002</v>
      </c>
      <c r="DA106" s="0" t="s">
        <v>1351</v>
      </c>
      <c r="DB106" s="0" t="s">
        <v>209</v>
      </c>
      <c r="DC106" s="0" t="s">
        <v>209</v>
      </c>
      <c r="DD106" s="0" t="s">
        <v>209</v>
      </c>
      <c r="DE106" s="0" t="s">
        <v>2999</v>
      </c>
      <c r="DF106" s="0" t="s">
        <v>525</v>
      </c>
      <c r="DG106" s="0" t="n">
        <v>40.741968</v>
      </c>
      <c r="DH106" s="0" t="n">
        <v>-73.985327</v>
      </c>
      <c r="DI106" s="0" t="s">
        <v>164</v>
      </c>
      <c r="DJ106" s="0" t="n">
        <v>0</v>
      </c>
      <c r="DK106" s="0" t="s">
        <v>1573</v>
      </c>
      <c r="DL106" s="0" t="s">
        <v>1574</v>
      </c>
      <c r="DM106" s="0" t="s">
        <v>1734</v>
      </c>
      <c r="DN106" s="0" t="s">
        <v>1735</v>
      </c>
      <c r="DO106" s="0" t="s">
        <v>363</v>
      </c>
      <c r="DP106" s="0" t="s">
        <v>2750</v>
      </c>
      <c r="DQ106" s="0" t="s">
        <v>2751</v>
      </c>
      <c r="DS106" s="0" t="s">
        <v>217</v>
      </c>
      <c r="DU106" s="0" t="s">
        <v>189</v>
      </c>
      <c r="DX106" s="0" t="s">
        <v>209</v>
      </c>
      <c r="EA106" s="0" t="s">
        <v>209</v>
      </c>
      <c r="EB106" s="0" t="s">
        <v>189</v>
      </c>
      <c r="EC106" s="0" t="s">
        <v>209</v>
      </c>
      <c r="EF106" s="0" t="n">
        <v>71</v>
      </c>
      <c r="EG106" s="0" t="s">
        <v>945</v>
      </c>
      <c r="EH106" s="0" t="s">
        <v>189</v>
      </c>
      <c r="EI106" s="0" t="s">
        <v>3003</v>
      </c>
      <c r="EJ106" s="0" t="s">
        <v>221</v>
      </c>
      <c r="EK106" s="0" t="n">
        <v>0.62</v>
      </c>
      <c r="EL106" s="0" t="n">
        <v>37.4</v>
      </c>
      <c r="EM106" s="0" t="n">
        <v>15.4</v>
      </c>
      <c r="EN106" s="0" t="n">
        <v>6</v>
      </c>
      <c r="EO106" s="0" t="n">
        <v>6</v>
      </c>
      <c r="EP106" s="0" t="n">
        <v>10</v>
      </c>
      <c r="EQ106" s="0" t="n">
        <f aca="false">IF($A106="","",IF(AH106="exact",10,IF(AH106="adjacent",5,0)))</f>
        <v>0</v>
      </c>
      <c r="ER106" s="0" t="n">
        <f aca="false">IF($A106="","",IF(R106="Y",15,0))</f>
        <v>0</v>
      </c>
      <c r="ES106" s="0" t="s">
        <v>982</v>
      </c>
      <c r="ET106" s="0" t="s">
        <v>1360</v>
      </c>
      <c r="EU106" s="0" t="s">
        <v>189</v>
      </c>
      <c r="EV106" s="0" t="s">
        <v>3004</v>
      </c>
      <c r="EW106" s="0" t="s">
        <v>224</v>
      </c>
      <c r="EX106" s="0" t="s">
        <v>3005</v>
      </c>
      <c r="EZ106" s="0" t="s">
        <v>3006</v>
      </c>
      <c r="FS106" s="0" t="str">
        <f aca="false">IF($A106="","",IF(ISNUMBER(MATCH(U106,{"queued","contacted","replied","call_booked","call_done","yes_in_principle","materials_sent"},0)),"Y","N"))</f>
        <v>N</v>
      </c>
      <c r="FT106" s="0" t="str">
        <f aca="false">IF($A106="","",IF(OR(T106="Y",U106="do_not_contact",AS106&amp;""&lt;&gt;""),"Y","N"))</f>
        <v>N</v>
      </c>
      <c r="FU106" s="0" t="str">
        <f aca="false">IF($A106="","",IF(AP106&amp;""&lt;&gt;"",AP106&amp;"",$A106))</f>
        <v>AO-C-255</v>
      </c>
      <c r="FV106" s="0" t="str">
        <f aca="false">IF($A106="","",IF(COUNTIFS($FU$2:$FU$1000,FU106,$FS$2:$FS$1000,"Y")+COUNTIFS($FU$2:$FU$1000,FU106,$FT$2:$FT$1000,"Y")&gt;0,"Y","N"))</f>
        <v>N</v>
      </c>
      <c r="FW106" s="0" t="str">
        <f aca="false">IF($A106="","",IF(AND(U106="new",T106="N",FT106="N",AT106="Y",FV106="N"),"Y","N"))</f>
        <v>N</v>
      </c>
      <c r="FX106" s="0" t="str">
        <f aca="false">IF($A106="","",IF(FW106&lt;&gt;"Y","N",IF(COUNTIFS($FU$2:$FU$1000,FU106,$FW$2:$FW$1000,"Y",$J$2:$J$1000,"&gt;"&amp;J106)+COUNTIFS($FU$2:$FU$1000,FU106,$FW$2:$FW$1000,"Y",$J$2:$J$1000,J106,$GD$2:$GD$1000,"&lt;"&amp;GD106)=0,"Y","N")))</f>
        <v>N</v>
      </c>
      <c r="FY106" s="0" t="str">
        <f aca="false">IF($A106="","",IF(AND(FW106="Y",FX106="Y",Y106&amp;""&lt;&gt;""),IF(Y106&lt;=10,"Y","N"),"N"))</f>
        <v>N</v>
      </c>
      <c r="FZ106" s="0" t="str">
        <f aca="false">IF(FY106="Y",Y106,"")</f>
        <v/>
      </c>
      <c r="GA106" s="0" t="str">
        <f aca="false">IF($A106="","",IF(AND(I106="walk-in",CN106="pass",U106="new",FT106="N",FV106="N",AQ106&lt;&gt;"Y"),"Y","N"))</f>
        <v>N</v>
      </c>
      <c r="GB106" s="0" t="str">
        <f aca="false">IF(GA106&lt;&gt;"Y","",IF(COUNTIFS($GA$2:$GA$1000,"Y",$J$2:$J$1000,"&gt;"&amp;J106)+COUNTIFS($GA$2:$GA$1000,"Y",$J$2:$J$1000,J106,$GD$2:$GD$1000,"&lt;"&amp;GD106)+1&lt;=25,COUNTIFS($GA$2:$GA$1000,"Y",$J$2:$J$1000,"&gt;"&amp;J106)+COUNTIFS($GA$2:$GA$1000,"Y",$J$2:$J$1000,J106,$GD$2:$GD$1000,"&lt;"&amp;GD106)+1,""))</f>
        <v/>
      </c>
      <c r="GC106" s="0" t="str">
        <f aca="false">IF(AND(_xlfn.ISFORMULA(C106),_xlfn.ISFORMULA(J106)),"Y","N")</f>
        <v>N</v>
      </c>
      <c r="GD106" s="0" t="n">
        <f aca="false">ROW()-1</f>
        <v>105</v>
      </c>
    </row>
    <row r="107" customFormat="false" ht="15" hidden="false" customHeight="false" outlineLevel="0" collapsed="false">
      <c r="A107" s="0" t="s">
        <v>3007</v>
      </c>
      <c r="B107" s="0" t="s">
        <v>3008</v>
      </c>
      <c r="C107" s="0" t="s">
        <v>3009</v>
      </c>
      <c r="D107" s="0" t="s">
        <v>3010</v>
      </c>
      <c r="E107" s="0" t="s">
        <v>3011</v>
      </c>
      <c r="F107" s="0" t="s">
        <v>2995</v>
      </c>
      <c r="G107" s="0" t="s">
        <v>189</v>
      </c>
      <c r="M107" s="0" t="s">
        <v>380</v>
      </c>
      <c r="R107" s="5"/>
      <c r="U107" s="5"/>
      <c r="V107" s="0" t="s">
        <v>380</v>
      </c>
      <c r="AE107" s="0" t="s">
        <v>1001</v>
      </c>
      <c r="AF107" s="0" t="s">
        <v>209</v>
      </c>
      <c r="AG107" s="0" t="s">
        <v>1855</v>
      </c>
      <c r="AH107" s="0" t="s">
        <v>1774</v>
      </c>
      <c r="AI107" s="0" t="s">
        <v>3012</v>
      </c>
      <c r="AJ107" s="0" t="s">
        <v>189</v>
      </c>
      <c r="AK107" s="0" t="s">
        <v>1794</v>
      </c>
      <c r="AL107" s="0" t="s">
        <v>189</v>
      </c>
      <c r="AM107" s="0" t="n">
        <v>44</v>
      </c>
      <c r="AN107" s="0" t="s">
        <v>187</v>
      </c>
      <c r="AO107" s="0" t="s">
        <v>209</v>
      </c>
      <c r="AP107" s="0" t="s">
        <v>3007</v>
      </c>
      <c r="AQ107" s="5" t="s">
        <v>189</v>
      </c>
      <c r="AT107" s="0" t="str">
        <f aca="false">IF($A107="","",IF(AND(CN107="pass",AQ107&lt;&gt;"Y",C107&lt;&gt;"",OR(AX107&lt;&gt;"Y",AV107="Y")),"Y","N"))</f>
        <v>N</v>
      </c>
      <c r="AU107" s="0" t="str">
        <f aca="false">IF($A107="","",_xlfn.TEXTJOIN("; ",TRUE(),IF(CN107&lt;&gt;"pass","gated out",""),IF(AQ107="Y","on hold: "&amp;AR107,""),IF(C107="","no contact named on an opened page",""),IF(AND(AX107="Y",AV107&lt;&gt;"Y"),"Tuesday estimate band "&amp;L107&amp;": founder's call","")))</f>
        <v>Tuesday estimate band : founder's call</v>
      </c>
      <c r="AX107" s="0" t="s">
        <v>164</v>
      </c>
      <c r="BC107" s="0" t="str">
        <f aca="false">IF($A107="","",IFERROR(INDEX(Enrichment!$A$2:$GZ$2000,MATCH($A107,INDEX(Enrichment!$A$2:$GZ$2000,0,MATCH("row_id",Enrichment!$A$1:$GZ$1,0)),0),MATCH("work_email",Enrichment!$A$1:$GZ$1,0))&amp;"",""))</f>
        <v/>
      </c>
      <c r="BD107" s="0" t="str">
        <f aca="false">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none</v>
      </c>
      <c r="BF107" s="0" t="s">
        <v>380</v>
      </c>
      <c r="BJ107" s="0" t="s">
        <v>380</v>
      </c>
      <c r="BK107" s="0" t="s">
        <v>2194</v>
      </c>
      <c r="BL107" s="0" t="s">
        <v>896</v>
      </c>
      <c r="BQ107" s="0" t="str">
        <f aca="false">IF($A107="","",IFERROR(INDEX(Enrichment!$A$2:$GZ$2000,MATCH($A107,INDEX(Enrichment!$A$2:$GZ$2000,0,MATCH("row_id",Enrichment!$A$1:$GZ$1,0)),0),MATCH("backup_work_email",Enrichment!$A$1:$GZ$1,0))&amp;"",""))</f>
        <v/>
      </c>
      <c r="BR107" s="0" t="str">
        <f aca="false">IF($A107="","",IF(BQ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none</v>
      </c>
      <c r="BT107" s="0" t="s">
        <v>380</v>
      </c>
      <c r="BX107" s="0" t="s">
        <v>380</v>
      </c>
      <c r="BY107" s="0" t="s">
        <v>1769</v>
      </c>
      <c r="BZ107" s="0" t="s">
        <v>388</v>
      </c>
      <c r="CA107" s="0" t="s">
        <v>3013</v>
      </c>
      <c r="CB107" s="0" t="s">
        <v>196</v>
      </c>
      <c r="CM107" s="0" t="s">
        <v>189</v>
      </c>
      <c r="CN107" s="0" t="s">
        <v>200</v>
      </c>
      <c r="CO107" s="0" t="s">
        <v>201</v>
      </c>
      <c r="CP107" s="0" t="s">
        <v>1</v>
      </c>
      <c r="CQ107" s="0" t="s">
        <v>3014</v>
      </c>
      <c r="CR107" s="0" t="s">
        <v>3009</v>
      </c>
      <c r="CS107" s="0" t="s">
        <v>1855</v>
      </c>
      <c r="CT107" s="0" t="s">
        <v>1774</v>
      </c>
      <c r="CV107" s="0" t="s">
        <v>298</v>
      </c>
      <c r="CW107" s="0" t="s">
        <v>204</v>
      </c>
      <c r="CX107" s="0" t="s">
        <v>205</v>
      </c>
      <c r="CY107" s="0" t="s">
        <v>3015</v>
      </c>
      <c r="DA107" s="0" t="s">
        <v>207</v>
      </c>
      <c r="DB107" s="0" t="s">
        <v>259</v>
      </c>
      <c r="DC107" s="0" t="s">
        <v>164</v>
      </c>
      <c r="DD107" s="0" t="s">
        <v>209</v>
      </c>
      <c r="DE107" s="0" t="s">
        <v>3012</v>
      </c>
      <c r="DF107" s="0" t="s">
        <v>210</v>
      </c>
      <c r="DG107" s="0" t="n">
        <v>40.73716</v>
      </c>
      <c r="DH107" s="0" t="n">
        <v>-73.990073</v>
      </c>
      <c r="DI107" s="0" t="s">
        <v>164</v>
      </c>
      <c r="DJ107" s="0" t="n">
        <v>0</v>
      </c>
      <c r="DK107" s="0" t="s">
        <v>1352</v>
      </c>
      <c r="DL107" s="0" t="s">
        <v>1001</v>
      </c>
      <c r="DM107" s="0" t="s">
        <v>1353</v>
      </c>
      <c r="DN107" s="0" t="s">
        <v>1354</v>
      </c>
      <c r="DO107" s="0" t="s">
        <v>363</v>
      </c>
      <c r="DP107" s="0" t="s">
        <v>3016</v>
      </c>
      <c r="DQ107" s="0" t="s">
        <v>1354</v>
      </c>
      <c r="DS107" s="0" t="s">
        <v>809</v>
      </c>
      <c r="DU107" s="0" t="s">
        <v>189</v>
      </c>
      <c r="DX107" s="0" t="s">
        <v>209</v>
      </c>
      <c r="EA107" s="0" t="s">
        <v>209</v>
      </c>
      <c r="EB107" s="0" t="s">
        <v>189</v>
      </c>
      <c r="EC107" s="0" t="s">
        <v>209</v>
      </c>
      <c r="EF107" s="0" t="n">
        <v>31</v>
      </c>
      <c r="EG107" s="0" t="s">
        <v>1322</v>
      </c>
      <c r="EH107" s="0" t="s">
        <v>189</v>
      </c>
      <c r="EI107" s="0" t="s">
        <v>3017</v>
      </c>
      <c r="EJ107" s="0" t="s">
        <v>221</v>
      </c>
      <c r="EK107" s="0" t="n">
        <v>0.14</v>
      </c>
      <c r="EL107" s="0" t="n">
        <v>37.4</v>
      </c>
      <c r="EM107" s="0" t="n">
        <v>3.4</v>
      </c>
      <c r="EN107" s="0" t="n">
        <v>15</v>
      </c>
      <c r="EO107" s="0" t="n">
        <v>6</v>
      </c>
      <c r="EP107" s="0" t="n">
        <v>13</v>
      </c>
      <c r="EQ107" s="0" t="n">
        <f aca="false">IF($A107="","",IF(AH107="exact",10,IF(AH107="adjacent",5,0)))</f>
        <v>0</v>
      </c>
      <c r="ER107" s="0" t="n">
        <f aca="false">IF($A107="","",IF(R107="Y",15,0))</f>
        <v>0</v>
      </c>
      <c r="ES107" s="0" t="s">
        <v>222</v>
      </c>
      <c r="EV107" s="0" t="s">
        <v>1361</v>
      </c>
      <c r="EW107" s="0" t="s">
        <v>224</v>
      </c>
      <c r="EX107" s="0" t="s">
        <v>3018</v>
      </c>
      <c r="EZ107" s="0" t="s">
        <v>3019</v>
      </c>
      <c r="FS107" s="0" t="str">
        <f aca="false">IF($A107="","",IF(ISNUMBER(MATCH(U107,{"queued","contacted","replied","call_booked","call_done","yes_in_principle","materials_sent"},0)),"Y","N"))</f>
        <v>N</v>
      </c>
      <c r="FT107" s="0" t="str">
        <f aca="false">IF($A107="","",IF(OR(T107="Y",U107="do_not_contact",AS107&amp;""&lt;&gt;""),"Y","N"))</f>
        <v>N</v>
      </c>
      <c r="FU107" s="0" t="str">
        <f aca="false">IF($A107="","",IF(AP107&amp;""&lt;&gt;"",AP107&amp;"",$A107))</f>
        <v>AO-C-027</v>
      </c>
      <c r="FV107" s="0" t="str">
        <f aca="false">IF($A107="","",IF(COUNTIFS($FU$2:$FU$1000,FU107,$FS$2:$FS$1000,"Y")+COUNTIFS($FU$2:$FU$1000,FU107,$FT$2:$FT$1000,"Y")&gt;0,"Y","N"))</f>
        <v>N</v>
      </c>
      <c r="FW107" s="0" t="str">
        <f aca="false">IF($A107="","",IF(AND(U107="new",T107="N",FT107="N",AT107="Y",FV107="N"),"Y","N"))</f>
        <v>N</v>
      </c>
      <c r="FX107" s="0" t="str">
        <f aca="false">IF($A107="","",IF(FW107&lt;&gt;"Y","N",IF(COUNTIFS($FU$2:$FU$1000,FU107,$FW$2:$FW$1000,"Y",$J$2:$J$1000,"&gt;"&amp;J107)+COUNTIFS($FU$2:$FU$1000,FU107,$FW$2:$FW$1000,"Y",$J$2:$J$1000,J107,$GD$2:$GD$1000,"&lt;"&amp;GD107)=0,"Y","N")))</f>
        <v>N</v>
      </c>
      <c r="FY107" s="0" t="str">
        <f aca="false">IF($A107="","",IF(AND(FW107="Y",FX107="Y",Y107&amp;""&lt;&gt;""),IF(Y107&lt;=10,"Y","N"),"N"))</f>
        <v>N</v>
      </c>
      <c r="FZ107" s="0" t="str">
        <f aca="false">IF(FY107="Y",Y107,"")</f>
        <v/>
      </c>
      <c r="GA107" s="0" t="str">
        <f aca="false">IF($A107="","",IF(AND(I107="walk-in",CN107="pass",U107="new",FT107="N",FV107="N",AQ107&lt;&gt;"Y"),"Y","N"))</f>
        <v>N</v>
      </c>
      <c r="GB107" s="0" t="str">
        <f aca="false">IF(GA107&lt;&gt;"Y","",IF(COUNTIFS($GA$2:$GA$1000,"Y",$J$2:$J$1000,"&gt;"&amp;J107)+COUNTIFS($GA$2:$GA$1000,"Y",$J$2:$J$1000,J107,$GD$2:$GD$1000,"&lt;"&amp;GD107)+1&lt;=25,COUNTIFS($GA$2:$GA$1000,"Y",$J$2:$J$1000,"&gt;"&amp;J107)+COUNTIFS($GA$2:$GA$1000,"Y",$J$2:$J$1000,J107,$GD$2:$GD$1000,"&lt;"&amp;GD107)+1,""))</f>
        <v/>
      </c>
      <c r="GC107" s="0" t="str">
        <f aca="false">IF(AND(_xlfn.ISFORMULA(C107),_xlfn.ISFORMULA(J107)),"Y","N")</f>
        <v>N</v>
      </c>
      <c r="GD107" s="0" t="n">
        <f aca="false">ROW()-1</f>
        <v>106</v>
      </c>
    </row>
    <row r="108" customFormat="false" ht="15" hidden="false" customHeight="false" outlineLevel="0" collapsed="false">
      <c r="A108" s="0" t="s">
        <v>3020</v>
      </c>
      <c r="B108" s="0" t="s">
        <v>3021</v>
      </c>
      <c r="C108" s="0" t="s">
        <v>3022</v>
      </c>
      <c r="D108" s="0" t="s">
        <v>3023</v>
      </c>
      <c r="E108" s="0" t="s">
        <v>3024</v>
      </c>
      <c r="F108" s="0" t="s">
        <v>3025</v>
      </c>
      <c r="G108" s="0" t="s">
        <v>189</v>
      </c>
      <c r="M108" s="0" t="s">
        <v>380</v>
      </c>
      <c r="R108" s="5"/>
      <c r="U108" s="5"/>
      <c r="V108" s="0" t="s">
        <v>380</v>
      </c>
      <c r="AE108" s="0" t="s">
        <v>181</v>
      </c>
      <c r="AF108" s="0" t="s">
        <v>833</v>
      </c>
      <c r="AG108" s="0" t="s">
        <v>3026</v>
      </c>
      <c r="AH108" s="0" t="s">
        <v>3027</v>
      </c>
      <c r="AI108" s="0" t="s">
        <v>209</v>
      </c>
      <c r="AJ108" s="0" t="s">
        <v>189</v>
      </c>
      <c r="AK108" s="0" t="s">
        <v>186</v>
      </c>
      <c r="AL108" s="0" t="s">
        <v>189</v>
      </c>
      <c r="AM108" s="0" t="n">
        <v>205</v>
      </c>
      <c r="AN108" s="0" t="s">
        <v>187</v>
      </c>
      <c r="AO108" s="0" t="s">
        <v>1406</v>
      </c>
      <c r="AP108" s="0" t="s">
        <v>3020</v>
      </c>
      <c r="AQ108" s="5" t="s">
        <v>189</v>
      </c>
      <c r="AT108" s="0" t="str">
        <f aca="false">IF($A108="","",IF(AND(CN108="pass",AQ108&lt;&gt;"Y",C108&lt;&gt;"",OR(AX108&lt;&gt;"Y",AV108="Y")),"Y","N"))</f>
        <v>Y</v>
      </c>
      <c r="AU108" s="0" t="str">
        <f aca="false">IF($A108="","",_xlfn.TEXTJOIN("; ",TRUE(),IF(CN108&lt;&gt;"pass","gated out",""),IF(AQ108="Y","on hold: "&amp;AR108,""),IF(C108="","no contact named on an opened page",""),IF(AND(AX108="Y",AV108&lt;&gt;"Y"),"Tuesday estimate band "&amp;L108&amp;": founder's call","")))</f>
        <v/>
      </c>
      <c r="AX108" s="0" t="s">
        <v>189</v>
      </c>
      <c r="BC108" s="0" t="str">
        <f aca="false">IF($A108="","",IFERROR(INDEX(Enrichment!$A$2:$GZ$2000,MATCH($A108,INDEX(Enrichment!$A$2:$GZ$2000,0,MATCH("row_id",Enrichment!$A$1:$GZ$1,0)),0),MATCH("work_email",Enrichment!$A$1:$GZ$1,0))&amp;"",""))</f>
        <v/>
      </c>
      <c r="BD108" s="0" t="str">
        <f aca="false">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none</v>
      </c>
      <c r="BF108" s="0" t="s">
        <v>380</v>
      </c>
      <c r="BJ108" s="0" t="s">
        <v>380</v>
      </c>
      <c r="BL108" s="0" t="s">
        <v>896</v>
      </c>
      <c r="BQ108" s="0" t="str">
        <f aca="false">IF($A108="","",IFERROR(INDEX(Enrichment!$A$2:$GZ$2000,MATCH($A108,INDEX(Enrichment!$A$2:$GZ$2000,0,MATCH("row_id",Enrichment!$A$1:$GZ$1,0)),0),MATCH("backup_work_email",Enrichment!$A$1:$GZ$1,0))&amp;"",""))</f>
        <v/>
      </c>
      <c r="BR108" s="0" t="str">
        <f aca="false">IF($A108="","",IF(BQ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none</v>
      </c>
      <c r="BT108" s="0" t="s">
        <v>380</v>
      </c>
      <c r="BX108" s="0" t="s">
        <v>380</v>
      </c>
      <c r="BY108" s="0" t="s">
        <v>387</v>
      </c>
      <c r="BZ108" s="0" t="s">
        <v>388</v>
      </c>
      <c r="CA108" s="0" t="s">
        <v>3028</v>
      </c>
      <c r="CB108" s="0" t="s">
        <v>196</v>
      </c>
      <c r="CM108" s="0" t="s">
        <v>189</v>
      </c>
      <c r="CN108" s="0" t="s">
        <v>200</v>
      </c>
      <c r="CO108" s="0" t="s">
        <v>201</v>
      </c>
      <c r="CP108" s="0" t="s">
        <v>1</v>
      </c>
      <c r="CQ108" s="0" t="s">
        <v>3029</v>
      </c>
      <c r="CR108" s="0" t="s">
        <v>3022</v>
      </c>
      <c r="CS108" s="0" t="s">
        <v>3026</v>
      </c>
      <c r="CT108" s="0" t="s">
        <v>3027</v>
      </c>
      <c r="CU108" s="0" t="s">
        <v>3030</v>
      </c>
      <c r="CV108" s="0" t="s">
        <v>976</v>
      </c>
      <c r="CW108" s="0" t="s">
        <v>204</v>
      </c>
      <c r="CX108" s="0" t="s">
        <v>1348</v>
      </c>
      <c r="CY108" s="0" t="s">
        <v>3031</v>
      </c>
      <c r="CZ108" s="0" t="s">
        <v>3032</v>
      </c>
      <c r="DA108" s="0" t="s">
        <v>1351</v>
      </c>
      <c r="DB108" s="0" t="s">
        <v>259</v>
      </c>
      <c r="DC108" s="0" t="s">
        <v>164</v>
      </c>
      <c r="DD108" s="0" t="s">
        <v>3033</v>
      </c>
      <c r="DE108" s="0" t="s">
        <v>209</v>
      </c>
      <c r="DF108" s="0" t="s">
        <v>210</v>
      </c>
      <c r="DG108" s="0" t="n">
        <v>40.733674</v>
      </c>
      <c r="DH108" s="0" t="n">
        <v>-73.988766</v>
      </c>
      <c r="DI108" s="0" t="s">
        <v>164</v>
      </c>
      <c r="DJ108" s="0" t="n">
        <v>0</v>
      </c>
      <c r="DK108" s="0" t="s">
        <v>211</v>
      </c>
      <c r="DL108" s="0" t="s">
        <v>212</v>
      </c>
      <c r="DM108" s="0" t="s">
        <v>3034</v>
      </c>
      <c r="DN108" s="0" t="s">
        <v>172</v>
      </c>
      <c r="DO108" s="0" t="s">
        <v>214</v>
      </c>
      <c r="DP108" s="0" t="s">
        <v>3035</v>
      </c>
      <c r="DQ108" s="0" t="s">
        <v>3036</v>
      </c>
      <c r="DS108" s="0" t="s">
        <v>217</v>
      </c>
      <c r="DU108" s="0" t="s">
        <v>189</v>
      </c>
      <c r="DX108" s="0" t="s">
        <v>209</v>
      </c>
      <c r="EA108" s="0" t="s">
        <v>209</v>
      </c>
      <c r="EB108" s="0" t="s">
        <v>189</v>
      </c>
      <c r="EC108" s="0" t="s">
        <v>3037</v>
      </c>
      <c r="ED108" s="0" t="s">
        <v>3038</v>
      </c>
      <c r="EE108" s="0" t="s">
        <v>172</v>
      </c>
      <c r="EF108" s="0" t="n">
        <v>123</v>
      </c>
      <c r="EH108" s="0" t="s">
        <v>164</v>
      </c>
      <c r="EI108" s="0" t="s">
        <v>3039</v>
      </c>
      <c r="EJ108" s="0" t="s">
        <v>221</v>
      </c>
      <c r="EK108" s="0" t="n">
        <v>1</v>
      </c>
      <c r="EL108" s="0" t="n">
        <v>37</v>
      </c>
      <c r="EM108" s="0" t="n">
        <v>25</v>
      </c>
      <c r="EN108" s="0" t="n">
        <v>2</v>
      </c>
      <c r="EO108" s="0" t="n">
        <v>-5</v>
      </c>
      <c r="EP108" s="0" t="n">
        <v>15</v>
      </c>
      <c r="EQ108" s="0" t="n">
        <f aca="false">IF($A108="","",IF(AH108="exact",10,IF(AH108="adjacent",5,0)))</f>
        <v>0</v>
      </c>
      <c r="ER108" s="0" t="n">
        <f aca="false">IF($A108="","",IF(R108="Y",15,0))</f>
        <v>0</v>
      </c>
      <c r="ES108" s="0" t="s">
        <v>982</v>
      </c>
      <c r="ET108" s="0" t="s">
        <v>1360</v>
      </c>
      <c r="EU108" s="0" t="s">
        <v>189</v>
      </c>
      <c r="EV108" s="0" t="s">
        <v>3040</v>
      </c>
      <c r="EW108" s="0" t="s">
        <v>224</v>
      </c>
      <c r="EX108" s="0" t="s">
        <v>3041</v>
      </c>
      <c r="FS108" s="0" t="str">
        <f aca="false">IF($A108="","",IF(ISNUMBER(MATCH(U108,{"queued","contacted","replied","call_booked","call_done","yes_in_principle","materials_sent"},0)),"Y","N"))</f>
        <v>N</v>
      </c>
      <c r="FT108" s="0" t="str">
        <f aca="false">IF($A108="","",IF(OR(T108="Y",U108="do_not_contact",AS108&amp;""&lt;&gt;""),"Y","N"))</f>
        <v>N</v>
      </c>
      <c r="FU108" s="0" t="str">
        <f aca="false">IF($A108="","",IF(AP108&amp;""&lt;&gt;"",AP108&amp;"",$A108))</f>
        <v>AO-C-010</v>
      </c>
      <c r="FV108" s="0" t="str">
        <f aca="false">IF($A108="","",IF(COUNTIFS($FU$2:$FU$1000,FU108,$FS$2:$FS$1000,"Y")+COUNTIFS($FU$2:$FU$1000,FU108,$FT$2:$FT$1000,"Y")&gt;0,"Y","N"))</f>
        <v>N</v>
      </c>
      <c r="FW108" s="0" t="str">
        <f aca="false">IF($A108="","",IF(AND(U108="new",T108="N",FT108="N",AT108="Y",FV108="N"),"Y","N"))</f>
        <v>N</v>
      </c>
      <c r="FX108" s="0" t="str">
        <f aca="false">IF($A108="","",IF(FW108&lt;&gt;"Y","N",IF(COUNTIFS($FU$2:$FU$1000,FU108,$FW$2:$FW$1000,"Y",$J$2:$J$1000,"&gt;"&amp;J108)+COUNTIFS($FU$2:$FU$1000,FU108,$FW$2:$FW$1000,"Y",$J$2:$J$1000,J108,$GD$2:$GD$1000,"&lt;"&amp;GD108)=0,"Y","N")))</f>
        <v>N</v>
      </c>
      <c r="FY108" s="0" t="str">
        <f aca="false">IF($A108="","",IF(AND(FW108="Y",FX108="Y",Y108&amp;""&lt;&gt;""),IF(Y108&lt;=10,"Y","N"),"N"))</f>
        <v>N</v>
      </c>
      <c r="FZ108" s="0" t="str">
        <f aca="false">IF(FY108="Y",Y108,"")</f>
        <v/>
      </c>
      <c r="GA108" s="0" t="str">
        <f aca="false">IF($A108="","",IF(AND(I108="walk-in",CN108="pass",U108="new",FT108="N",FV108="N",AQ108&lt;&gt;"Y"),"Y","N"))</f>
        <v>N</v>
      </c>
      <c r="GB108" s="0" t="str">
        <f aca="false">IF(GA108&lt;&gt;"Y","",IF(COUNTIFS($GA$2:$GA$1000,"Y",$J$2:$J$1000,"&gt;"&amp;J108)+COUNTIFS($GA$2:$GA$1000,"Y",$J$2:$J$1000,J108,$GD$2:$GD$1000,"&lt;"&amp;GD108)+1&lt;=25,COUNTIFS($GA$2:$GA$1000,"Y",$J$2:$J$1000,"&gt;"&amp;J108)+COUNTIFS($GA$2:$GA$1000,"Y",$J$2:$J$1000,J108,$GD$2:$GD$1000,"&lt;"&amp;GD108)+1,""))</f>
        <v/>
      </c>
      <c r="GC108" s="0" t="str">
        <f aca="false">IF(AND(_xlfn.ISFORMULA(C108),_xlfn.ISFORMULA(J108)),"Y","N")</f>
        <v>N</v>
      </c>
      <c r="GD108" s="0" t="n">
        <f aca="false">ROW()-1</f>
        <v>107</v>
      </c>
    </row>
    <row r="109" customFormat="false" ht="15" hidden="false" customHeight="false" outlineLevel="0" collapsed="false">
      <c r="A109" s="0" t="s">
        <v>3042</v>
      </c>
      <c r="B109" s="0" t="s">
        <v>3043</v>
      </c>
      <c r="C109" s="0" t="s">
        <v>3044</v>
      </c>
      <c r="D109" s="0" t="s">
        <v>3045</v>
      </c>
      <c r="E109" s="0" t="s">
        <v>3046</v>
      </c>
      <c r="F109" s="0" t="s">
        <v>3025</v>
      </c>
      <c r="G109" s="0" t="s">
        <v>189</v>
      </c>
      <c r="M109" s="0" t="s">
        <v>380</v>
      </c>
      <c r="R109" s="5"/>
      <c r="U109" s="5"/>
      <c r="V109" s="0" t="s">
        <v>380</v>
      </c>
      <c r="AE109" s="0" t="s">
        <v>3047</v>
      </c>
      <c r="AF109" s="0" t="s">
        <v>412</v>
      </c>
      <c r="AG109" s="0" t="s">
        <v>3048</v>
      </c>
      <c r="AH109" s="0" t="s">
        <v>1263</v>
      </c>
      <c r="AI109" s="0" t="s">
        <v>3049</v>
      </c>
      <c r="AJ109" s="0" t="s">
        <v>189</v>
      </c>
      <c r="AK109" s="0" t="s">
        <v>1794</v>
      </c>
      <c r="AL109" s="0" t="s">
        <v>189</v>
      </c>
      <c r="AM109" s="0" t="n">
        <v>50</v>
      </c>
      <c r="AN109" s="0" t="s">
        <v>187</v>
      </c>
      <c r="AO109" s="0" t="s">
        <v>188</v>
      </c>
      <c r="AP109" s="0" t="s">
        <v>3042</v>
      </c>
      <c r="AQ109" s="5" t="s">
        <v>189</v>
      </c>
      <c r="AT109" s="0" t="str">
        <f aca="false">IF($A109="","",IF(AND(CN109="pass",AQ109&lt;&gt;"Y",C109&lt;&gt;"",OR(AX109&lt;&gt;"Y",AV109="Y")),"Y","N"))</f>
        <v>N</v>
      </c>
      <c r="AU109" s="0" t="str">
        <f aca="false">IF($A109="","",_xlfn.TEXTJOIN("; ",TRUE(),IF(CN109&lt;&gt;"pass","gated out",""),IF(AQ109="Y","on hold: "&amp;AR109,""),IF(C109="","no contact named on an opened page",""),IF(AND(AX109="Y",AV109&lt;&gt;"Y"),"Tuesday estimate band "&amp;L109&amp;": founder's call","")))</f>
        <v>Tuesday estimate band : founder's call</v>
      </c>
      <c r="AX109" s="0" t="s">
        <v>164</v>
      </c>
      <c r="BC109" s="0" t="str">
        <f aca="false">IF($A109="","",IFERROR(INDEX(Enrichment!$A$2:$GZ$2000,MATCH($A109,INDEX(Enrichment!$A$2:$GZ$2000,0,MATCH("row_id",Enrichment!$A$1:$GZ$1,0)),0),MATCH("work_email",Enrichment!$A$1:$GZ$1,0))&amp;"",""))</f>
        <v/>
      </c>
      <c r="BD109" s="0" t="str">
        <f aca="false">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none</v>
      </c>
      <c r="BF109" s="0" t="s">
        <v>380</v>
      </c>
      <c r="BJ109" s="0" t="s">
        <v>380</v>
      </c>
      <c r="BK109" s="0" t="s">
        <v>2194</v>
      </c>
      <c r="BL109" s="0" t="s">
        <v>896</v>
      </c>
      <c r="BQ109" s="0" t="str">
        <f aca="false">IF($A109="","",IFERROR(INDEX(Enrichment!$A$2:$GZ$2000,MATCH($A109,INDEX(Enrichment!$A$2:$GZ$2000,0,MATCH("row_id",Enrichment!$A$1:$GZ$1,0)),0),MATCH("backup_work_email",Enrichment!$A$1:$GZ$1,0))&amp;"",""))</f>
        <v/>
      </c>
      <c r="BR109" s="0" t="str">
        <f aca="false">IF($A109="","",IF(BQ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none</v>
      </c>
      <c r="BT109" s="0" t="s">
        <v>380</v>
      </c>
      <c r="BX109" s="0" t="s">
        <v>380</v>
      </c>
      <c r="BY109" s="0" t="s">
        <v>1769</v>
      </c>
      <c r="BZ109" s="0" t="s">
        <v>388</v>
      </c>
      <c r="CA109" s="0" t="s">
        <v>3050</v>
      </c>
      <c r="CB109" s="0" t="s">
        <v>196</v>
      </c>
      <c r="CM109" s="0" t="s">
        <v>189</v>
      </c>
      <c r="CN109" s="0" t="s">
        <v>200</v>
      </c>
      <c r="CO109" s="0" t="s">
        <v>201</v>
      </c>
      <c r="CP109" s="0" t="s">
        <v>1</v>
      </c>
      <c r="CQ109" s="0" t="s">
        <v>3051</v>
      </c>
      <c r="CR109" s="0" t="s">
        <v>3044</v>
      </c>
      <c r="CS109" s="0" t="s">
        <v>3048</v>
      </c>
      <c r="CT109" s="0" t="s">
        <v>1263</v>
      </c>
      <c r="CV109" s="0" t="s">
        <v>298</v>
      </c>
      <c r="CW109" s="0" t="s">
        <v>204</v>
      </c>
      <c r="CX109" s="0" t="s">
        <v>205</v>
      </c>
      <c r="CY109" s="0" t="s">
        <v>3052</v>
      </c>
      <c r="DA109" s="0" t="s">
        <v>207</v>
      </c>
      <c r="DB109" s="0" t="s">
        <v>209</v>
      </c>
      <c r="DC109" s="0" t="s">
        <v>209</v>
      </c>
      <c r="DD109" s="0" t="s">
        <v>209</v>
      </c>
      <c r="DE109" s="0" t="s">
        <v>3049</v>
      </c>
      <c r="DF109" s="0" t="s">
        <v>210</v>
      </c>
      <c r="DG109" s="0" t="n">
        <v>40.736419</v>
      </c>
      <c r="DH109" s="0" t="n">
        <v>-73.993096</v>
      </c>
      <c r="DI109" s="0" t="s">
        <v>164</v>
      </c>
      <c r="DJ109" s="0" t="n">
        <v>0</v>
      </c>
      <c r="DK109" s="0" t="s">
        <v>3053</v>
      </c>
      <c r="DL109" s="0" t="s">
        <v>3047</v>
      </c>
      <c r="DM109" s="0" t="s">
        <v>3054</v>
      </c>
      <c r="DN109" s="0" t="s">
        <v>3055</v>
      </c>
      <c r="DO109" s="0" t="s">
        <v>363</v>
      </c>
      <c r="DS109" s="0" t="s">
        <v>187</v>
      </c>
      <c r="DU109" s="0" t="s">
        <v>189</v>
      </c>
      <c r="DX109" s="0" t="s">
        <v>209</v>
      </c>
      <c r="EA109" s="0" t="s">
        <v>209</v>
      </c>
      <c r="EB109" s="0" t="s">
        <v>189</v>
      </c>
      <c r="EC109" s="0" t="s">
        <v>1942</v>
      </c>
      <c r="ED109" s="0" t="s">
        <v>3056</v>
      </c>
      <c r="EE109" s="0" t="s">
        <v>172</v>
      </c>
      <c r="EF109" s="0" t="n">
        <v>12</v>
      </c>
      <c r="EG109" s="0" t="s">
        <v>2529</v>
      </c>
      <c r="EH109" s="0" t="s">
        <v>164</v>
      </c>
      <c r="EI109" s="0" t="s">
        <v>3057</v>
      </c>
      <c r="EJ109" s="0" t="s">
        <v>221</v>
      </c>
      <c r="EK109" s="0" t="n">
        <v>0.08</v>
      </c>
      <c r="EL109" s="0" t="n">
        <v>37</v>
      </c>
      <c r="EM109" s="0" t="n">
        <v>2</v>
      </c>
      <c r="EN109" s="0" t="n">
        <v>15</v>
      </c>
      <c r="EO109" s="0" t="n">
        <v>15</v>
      </c>
      <c r="EP109" s="0" t="n">
        <v>5</v>
      </c>
      <c r="EQ109" s="0" t="n">
        <f aca="false">IF($A109="","",IF(AH109="exact",10,IF(AH109="adjacent",5,0)))</f>
        <v>0</v>
      </c>
      <c r="ER109" s="0" t="n">
        <f aca="false">IF($A109="","",IF(R109="Y",15,0))</f>
        <v>0</v>
      </c>
      <c r="ES109" s="0" t="s">
        <v>222</v>
      </c>
      <c r="EV109" s="0" t="s">
        <v>3058</v>
      </c>
      <c r="EW109" s="0" t="s">
        <v>224</v>
      </c>
      <c r="EX109" s="0" t="s">
        <v>3059</v>
      </c>
      <c r="EZ109" s="0" t="s">
        <v>3060</v>
      </c>
      <c r="FS109" s="0" t="str">
        <f aca="false">IF($A109="","",IF(ISNUMBER(MATCH(U109,{"queued","contacted","replied","call_booked","call_done","yes_in_principle","materials_sent"},0)),"Y","N"))</f>
        <v>N</v>
      </c>
      <c r="FT109" s="0" t="str">
        <f aca="false">IF($A109="","",IF(OR(T109="Y",U109="do_not_contact",AS109&amp;""&lt;&gt;""),"Y","N"))</f>
        <v>N</v>
      </c>
      <c r="FU109" s="0" t="str">
        <f aca="false">IF($A109="","",IF(AP109&amp;""&lt;&gt;"",AP109&amp;"",$A109))</f>
        <v>AO-C-014</v>
      </c>
      <c r="FV109" s="0" t="str">
        <f aca="false">IF($A109="","",IF(COUNTIFS($FU$2:$FU$1000,FU109,$FS$2:$FS$1000,"Y")+COUNTIFS($FU$2:$FU$1000,FU109,$FT$2:$FT$1000,"Y")&gt;0,"Y","N"))</f>
        <v>N</v>
      </c>
      <c r="FW109" s="0" t="str">
        <f aca="false">IF($A109="","",IF(AND(U109="new",T109="N",FT109="N",AT109="Y",FV109="N"),"Y","N"))</f>
        <v>N</v>
      </c>
      <c r="FX109" s="0" t="str">
        <f aca="false">IF($A109="","",IF(FW109&lt;&gt;"Y","N",IF(COUNTIFS($FU$2:$FU$1000,FU109,$FW$2:$FW$1000,"Y",$J$2:$J$1000,"&gt;"&amp;J109)+COUNTIFS($FU$2:$FU$1000,FU109,$FW$2:$FW$1000,"Y",$J$2:$J$1000,J109,$GD$2:$GD$1000,"&lt;"&amp;GD109)=0,"Y","N")))</f>
        <v>N</v>
      </c>
      <c r="FY109" s="0" t="str">
        <f aca="false">IF($A109="","",IF(AND(FW109="Y",FX109="Y",Y109&amp;""&lt;&gt;""),IF(Y109&lt;=10,"Y","N"),"N"))</f>
        <v>N</v>
      </c>
      <c r="FZ109" s="0" t="str">
        <f aca="false">IF(FY109="Y",Y109,"")</f>
        <v/>
      </c>
      <c r="GA109" s="0" t="str">
        <f aca="false">IF($A109="","",IF(AND(I109="walk-in",CN109="pass",U109="new",FT109="N",FV109="N",AQ109&lt;&gt;"Y"),"Y","N"))</f>
        <v>N</v>
      </c>
      <c r="GB109" s="0" t="str">
        <f aca="false">IF(GA109&lt;&gt;"Y","",IF(COUNTIFS($GA$2:$GA$1000,"Y",$J$2:$J$1000,"&gt;"&amp;J109)+COUNTIFS($GA$2:$GA$1000,"Y",$J$2:$J$1000,J109,$GD$2:$GD$1000,"&lt;"&amp;GD109)+1&lt;=25,COUNTIFS($GA$2:$GA$1000,"Y",$J$2:$J$1000,"&gt;"&amp;J109)+COUNTIFS($GA$2:$GA$1000,"Y",$J$2:$J$1000,J109,$GD$2:$GD$1000,"&lt;"&amp;GD109)+1,""))</f>
        <v/>
      </c>
      <c r="GC109" s="0" t="str">
        <f aca="false">IF(AND(_xlfn.ISFORMULA(C109),_xlfn.ISFORMULA(J109)),"Y","N")</f>
        <v>N</v>
      </c>
      <c r="GD109" s="0" t="n">
        <f aca="false">ROW()-1</f>
        <v>108</v>
      </c>
    </row>
    <row r="110" customFormat="false" ht="15" hidden="false" customHeight="false" outlineLevel="0" collapsed="false">
      <c r="A110" s="0" t="s">
        <v>3061</v>
      </c>
      <c r="B110" s="0" t="s">
        <v>786</v>
      </c>
      <c r="C110" s="0" t="s">
        <v>3062</v>
      </c>
      <c r="D110" s="0" t="s">
        <v>3063</v>
      </c>
      <c r="E110" s="0" t="s">
        <v>1039</v>
      </c>
      <c r="F110" s="0" t="s">
        <v>3064</v>
      </c>
      <c r="G110" s="0" t="s">
        <v>189</v>
      </c>
      <c r="M110" s="0" t="s">
        <v>380</v>
      </c>
      <c r="R110" s="5"/>
      <c r="U110" s="5"/>
      <c r="V110" s="0" t="s">
        <v>380</v>
      </c>
      <c r="AE110" s="0" t="s">
        <v>734</v>
      </c>
      <c r="AF110" s="0" t="s">
        <v>209</v>
      </c>
      <c r="AG110" s="0" t="s">
        <v>3065</v>
      </c>
      <c r="AH110" s="0" t="s">
        <v>3066</v>
      </c>
      <c r="AI110" s="0" t="s">
        <v>3067</v>
      </c>
      <c r="AJ110" s="0" t="s">
        <v>189</v>
      </c>
      <c r="AK110" s="0" t="s">
        <v>298</v>
      </c>
      <c r="AL110" s="0" t="s">
        <v>189</v>
      </c>
      <c r="AM110" s="0" t="n">
        <v>431</v>
      </c>
      <c r="AN110" s="0" t="s">
        <v>187</v>
      </c>
      <c r="AO110" s="0" t="s">
        <v>188</v>
      </c>
      <c r="AP110" s="0" t="s">
        <v>3061</v>
      </c>
      <c r="AQ110" s="5" t="s">
        <v>164</v>
      </c>
      <c r="AR110" s="0" t="s">
        <v>779</v>
      </c>
      <c r="AT110" s="0" t="str">
        <f aca="false">IF($A110="","",IF(AND(CN110="pass",AQ110&lt;&gt;"Y",C110&lt;&gt;"",OR(AX110&lt;&gt;"Y",AV110="Y")),"Y","N"))</f>
        <v>N</v>
      </c>
      <c r="AU110" s="0" t="str">
        <f aca="false">IF($A110="","",_xlfn.TEXTJOIN("; ",TRUE(),IF(CN110&lt;&gt;"pass","gated out",""),IF(AQ110="Y","on hold: "&amp;AR110,""),IF(C110="","no contact named on an opened page",""),IF(AND(AX110="Y",AV110&lt;&gt;"Y"),"Tuesday estimate band "&amp;L110&amp;": founder's call","")))</f>
        <v>on hold: lease signed, move not confirmed: check the lobby directory before outreach (B)</v>
      </c>
      <c r="AX110" s="0" t="s">
        <v>189</v>
      </c>
      <c r="BC110" s="0" t="str">
        <f aca="false">IF($A110="","",IFERROR(INDEX(Enrichment!$A$2:$GZ$2000,MATCH($A110,INDEX(Enrichment!$A$2:$GZ$2000,0,MATCH("row_id",Enrichment!$A$1:$GZ$1,0)),0),MATCH("work_email",Enrichment!$A$1:$GZ$1,0))&amp;"",""))</f>
        <v/>
      </c>
      <c r="BD110" s="0" t="str">
        <f aca="false">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none</v>
      </c>
      <c r="BF110" s="0" t="s">
        <v>380</v>
      </c>
      <c r="BJ110" s="0" t="s">
        <v>380</v>
      </c>
      <c r="BL110" s="0" t="s">
        <v>896</v>
      </c>
      <c r="BQ110" s="0" t="str">
        <f aca="false">IF($A110="","",IFERROR(INDEX(Enrichment!$A$2:$GZ$2000,MATCH($A110,INDEX(Enrichment!$A$2:$GZ$2000,0,MATCH("row_id",Enrichment!$A$1:$GZ$1,0)),0),MATCH("backup_work_email",Enrichment!$A$1:$GZ$1,0))&amp;"",""))</f>
        <v/>
      </c>
      <c r="BR110" s="0" t="str">
        <f aca="false">IF($A110="","",IF(BQ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none</v>
      </c>
      <c r="BT110" s="0" t="s">
        <v>380</v>
      </c>
      <c r="BX110" s="0" t="s">
        <v>380</v>
      </c>
      <c r="BY110" s="0" t="s">
        <v>387</v>
      </c>
      <c r="BZ110" s="0" t="s">
        <v>388</v>
      </c>
      <c r="CA110" s="0" t="s">
        <v>3068</v>
      </c>
      <c r="CB110" s="0" t="s">
        <v>196</v>
      </c>
      <c r="CM110" s="0" t="s">
        <v>189</v>
      </c>
      <c r="CN110" s="0" t="s">
        <v>200</v>
      </c>
      <c r="CO110" s="0" t="s">
        <v>201</v>
      </c>
      <c r="CP110" s="0" t="s">
        <v>1</v>
      </c>
      <c r="CQ110" s="0" t="s">
        <v>3069</v>
      </c>
      <c r="CR110" s="0" t="s">
        <v>3062</v>
      </c>
      <c r="CS110" s="0" t="s">
        <v>3065</v>
      </c>
      <c r="CT110" s="0" t="s">
        <v>3066</v>
      </c>
      <c r="CU110" s="0" t="s">
        <v>3070</v>
      </c>
      <c r="CV110" s="0" t="s">
        <v>976</v>
      </c>
      <c r="CW110" s="0" t="s">
        <v>204</v>
      </c>
      <c r="CX110" s="0" t="s">
        <v>1348</v>
      </c>
      <c r="CY110" s="0" t="s">
        <v>3071</v>
      </c>
      <c r="CZ110" s="0" t="s">
        <v>3072</v>
      </c>
      <c r="DA110" s="0" t="s">
        <v>1351</v>
      </c>
      <c r="DB110" s="0" t="s">
        <v>208</v>
      </c>
      <c r="DC110" s="0" t="s">
        <v>189</v>
      </c>
      <c r="DD110" s="0" t="s">
        <v>209</v>
      </c>
      <c r="DE110" s="0" t="s">
        <v>3067</v>
      </c>
      <c r="DF110" s="0" t="s">
        <v>525</v>
      </c>
      <c r="DG110" s="0" t="n">
        <v>40.743309</v>
      </c>
      <c r="DH110" s="0" t="n">
        <v>-73.987329</v>
      </c>
      <c r="DI110" s="0" t="s">
        <v>164</v>
      </c>
      <c r="DJ110" s="0" t="n">
        <v>0</v>
      </c>
      <c r="DK110" s="0" t="s">
        <v>940</v>
      </c>
      <c r="DL110" s="0" t="s">
        <v>941</v>
      </c>
      <c r="DM110" s="0" t="s">
        <v>3073</v>
      </c>
      <c r="DN110" s="0" t="s">
        <v>3074</v>
      </c>
      <c r="DO110" s="0" t="s">
        <v>363</v>
      </c>
      <c r="DP110" s="0" t="s">
        <v>3075</v>
      </c>
      <c r="DQ110" s="0" t="s">
        <v>3076</v>
      </c>
      <c r="DS110" s="0" t="s">
        <v>809</v>
      </c>
      <c r="DT110" s="0" t="s">
        <v>209</v>
      </c>
      <c r="DU110" s="0" t="s">
        <v>189</v>
      </c>
      <c r="DX110" s="0" t="s">
        <v>209</v>
      </c>
      <c r="EA110" s="0" t="s">
        <v>209</v>
      </c>
      <c r="EB110" s="0" t="s">
        <v>189</v>
      </c>
      <c r="EC110" s="0" t="s">
        <v>655</v>
      </c>
      <c r="ED110" s="0" t="s">
        <v>3072</v>
      </c>
      <c r="EE110" s="0" t="s">
        <v>172</v>
      </c>
      <c r="EF110" s="0" t="n">
        <v>46</v>
      </c>
      <c r="EG110" s="0" t="s">
        <v>945</v>
      </c>
      <c r="EH110" s="0" t="s">
        <v>189</v>
      </c>
      <c r="EI110" s="0" t="s">
        <v>3077</v>
      </c>
      <c r="EJ110" s="0" t="s">
        <v>221</v>
      </c>
      <c r="EK110" s="0" t="n">
        <v>0.41</v>
      </c>
      <c r="EL110" s="0" t="n">
        <v>36.3</v>
      </c>
      <c r="EM110" s="0" t="n">
        <v>10.3</v>
      </c>
      <c r="EN110" s="0" t="n">
        <v>6</v>
      </c>
      <c r="EO110" s="0" t="n">
        <v>15</v>
      </c>
      <c r="EP110" s="0" t="n">
        <v>5</v>
      </c>
      <c r="EQ110" s="0" t="n">
        <f aca="false">IF($A110="","",IF(AH110="exact",10,IF(AH110="adjacent",5,0)))</f>
        <v>0</v>
      </c>
      <c r="ER110" s="0" t="n">
        <f aca="false">IF($A110="","",IF(R110="Y",15,0))</f>
        <v>0</v>
      </c>
      <c r="ES110" s="0" t="s">
        <v>982</v>
      </c>
      <c r="ET110" s="0" t="s">
        <v>1360</v>
      </c>
      <c r="EU110" s="0" t="s">
        <v>189</v>
      </c>
      <c r="EV110" s="0" t="s">
        <v>3078</v>
      </c>
      <c r="EW110" s="0" t="s">
        <v>224</v>
      </c>
      <c r="EX110" s="0" t="s">
        <v>3079</v>
      </c>
      <c r="EZ110" s="0" t="s">
        <v>3080</v>
      </c>
      <c r="FS110" s="0" t="str">
        <f aca="false">IF($A110="","",IF(ISNUMBER(MATCH(U110,{"queued","contacted","replied","call_booked","call_done","yes_in_principle","materials_sent"},0)),"Y","N"))</f>
        <v>N</v>
      </c>
      <c r="FT110" s="0" t="str">
        <f aca="false">IF($A110="","",IF(OR(T110="Y",U110="do_not_contact",AS110&amp;""&lt;&gt;""),"Y","N"))</f>
        <v>N</v>
      </c>
      <c r="FU110" s="0" t="str">
        <f aca="false">IF($A110="","",IF(AP110&amp;""&lt;&gt;"",AP110&amp;"",$A110))</f>
        <v>AO-C-135</v>
      </c>
      <c r="FV110" s="0" t="str">
        <f aca="false">IF($A110="","",IF(COUNTIFS($FU$2:$FU$1000,FU110,$FS$2:$FS$1000,"Y")+COUNTIFS($FU$2:$FU$1000,FU110,$FT$2:$FT$1000,"Y")&gt;0,"Y","N"))</f>
        <v>N</v>
      </c>
      <c r="FW110" s="0" t="str">
        <f aca="false">IF($A110="","",IF(AND(U110="new",T110="N",FT110="N",AT110="Y",FV110="N"),"Y","N"))</f>
        <v>N</v>
      </c>
      <c r="FX110" s="0" t="str">
        <f aca="false">IF($A110="","",IF(FW110&lt;&gt;"Y","N",IF(COUNTIFS($FU$2:$FU$1000,FU110,$FW$2:$FW$1000,"Y",$J$2:$J$1000,"&gt;"&amp;J110)+COUNTIFS($FU$2:$FU$1000,FU110,$FW$2:$FW$1000,"Y",$J$2:$J$1000,J110,$GD$2:$GD$1000,"&lt;"&amp;GD110)=0,"Y","N")))</f>
        <v>N</v>
      </c>
      <c r="FY110" s="0" t="str">
        <f aca="false">IF($A110="","",IF(AND(FW110="Y",FX110="Y",Y110&amp;""&lt;&gt;""),IF(Y110&lt;=10,"Y","N"),"N"))</f>
        <v>N</v>
      </c>
      <c r="FZ110" s="0" t="str">
        <f aca="false">IF(FY110="Y",Y110,"")</f>
        <v/>
      </c>
      <c r="GA110" s="0" t="str">
        <f aca="false">IF($A110="","",IF(AND(I110="walk-in",CN110="pass",U110="new",FT110="N",FV110="N",AQ110&lt;&gt;"Y"),"Y","N"))</f>
        <v>N</v>
      </c>
      <c r="GB110" s="0" t="str">
        <f aca="false">IF(GA110&lt;&gt;"Y","",IF(COUNTIFS($GA$2:$GA$1000,"Y",$J$2:$J$1000,"&gt;"&amp;J110)+COUNTIFS($GA$2:$GA$1000,"Y",$J$2:$J$1000,J110,$GD$2:$GD$1000,"&lt;"&amp;GD110)+1&lt;=25,COUNTIFS($GA$2:$GA$1000,"Y",$J$2:$J$1000,"&gt;"&amp;J110)+COUNTIFS($GA$2:$GA$1000,"Y",$J$2:$J$1000,J110,$GD$2:$GD$1000,"&lt;"&amp;GD110)+1,""))</f>
        <v/>
      </c>
      <c r="GC110" s="0" t="str">
        <f aca="false">IF(AND(_xlfn.ISFORMULA(C110),_xlfn.ISFORMULA(J110)),"Y","N")</f>
        <v>N</v>
      </c>
      <c r="GD110" s="0" t="n">
        <f aca="false">ROW()-1</f>
        <v>109</v>
      </c>
    </row>
    <row r="111" customFormat="false" ht="15" hidden="false" customHeight="false" outlineLevel="0" collapsed="false">
      <c r="A111" s="0" t="s">
        <v>3081</v>
      </c>
      <c r="B111" s="0" t="s">
        <v>3082</v>
      </c>
      <c r="C111" s="0" t="s">
        <v>3083</v>
      </c>
      <c r="D111" s="0" t="s">
        <v>3084</v>
      </c>
      <c r="E111" s="0" t="s">
        <v>3085</v>
      </c>
      <c r="F111" s="0" t="s">
        <v>3086</v>
      </c>
      <c r="G111" s="0" t="s">
        <v>189</v>
      </c>
      <c r="M111" s="0" t="s">
        <v>380</v>
      </c>
      <c r="R111" s="5"/>
      <c r="U111" s="5"/>
      <c r="V111" s="0" t="s">
        <v>380</v>
      </c>
      <c r="AE111" s="0" t="s">
        <v>3087</v>
      </c>
      <c r="AF111" s="0" t="s">
        <v>231</v>
      </c>
      <c r="AG111" s="0" t="s">
        <v>3088</v>
      </c>
      <c r="AH111" s="0" t="s">
        <v>3089</v>
      </c>
      <c r="AI111" s="0" t="s">
        <v>3090</v>
      </c>
      <c r="AJ111" s="0" t="s">
        <v>189</v>
      </c>
      <c r="AK111" s="0" t="s">
        <v>203</v>
      </c>
      <c r="AL111" s="0" t="s">
        <v>189</v>
      </c>
      <c r="AM111" s="0" t="n">
        <v>223</v>
      </c>
      <c r="AN111" s="0" t="s">
        <v>187</v>
      </c>
      <c r="AO111" s="0" t="s">
        <v>209</v>
      </c>
      <c r="AP111" s="0" t="s">
        <v>3081</v>
      </c>
      <c r="AQ111" s="5" t="s">
        <v>164</v>
      </c>
      <c r="AR111" s="0" t="s">
        <v>779</v>
      </c>
      <c r="AT111" s="0" t="str">
        <f aca="false">IF($A111="","",IF(AND(CN111="pass",AQ111&lt;&gt;"Y",C111&lt;&gt;"",OR(AX111&lt;&gt;"Y",AV111="Y")),"Y","N"))</f>
        <v>N</v>
      </c>
      <c r="AU111" s="0" t="str">
        <f aca="false">IF($A111="","",_xlfn.TEXTJOIN("; ",TRUE(),IF(CN111&lt;&gt;"pass","gated out",""),IF(AQ111="Y","on hold: "&amp;AR111,""),IF(C111="","no contact named on an opened page",""),IF(AND(AX111="Y",AV111&lt;&gt;"Y"),"Tuesday estimate band "&amp;L111&amp;": founder's call","")))</f>
        <v>on hold: lease signed, move not confirmed: check the lobby directory before outreach (B)</v>
      </c>
      <c r="AX111" s="0" t="s">
        <v>189</v>
      </c>
      <c r="BC111" s="0" t="str">
        <f aca="false">IF($A111="","",IFERROR(INDEX(Enrichment!$A$2:$GZ$2000,MATCH($A111,INDEX(Enrichment!$A$2:$GZ$2000,0,MATCH("row_id",Enrichment!$A$1:$GZ$1,0)),0),MATCH("work_email",Enrichment!$A$1:$GZ$1,0))&amp;"",""))</f>
        <v/>
      </c>
      <c r="BD111" s="0" t="str">
        <f aca="false">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none</v>
      </c>
      <c r="BF111" s="0" t="s">
        <v>380</v>
      </c>
      <c r="BJ111" s="0" t="s">
        <v>380</v>
      </c>
      <c r="BL111" s="0" t="s">
        <v>896</v>
      </c>
      <c r="BQ111" s="0" t="str">
        <f aca="false">IF($A111="","",IFERROR(INDEX(Enrichment!$A$2:$GZ$2000,MATCH($A111,INDEX(Enrichment!$A$2:$GZ$2000,0,MATCH("row_id",Enrichment!$A$1:$GZ$1,0)),0),MATCH("backup_work_email",Enrichment!$A$1:$GZ$1,0))&amp;"",""))</f>
        <v/>
      </c>
      <c r="BR111" s="0" t="str">
        <f aca="false">IF($A111="","",IF(BQ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none</v>
      </c>
      <c r="BT111" s="0" t="s">
        <v>380</v>
      </c>
      <c r="BX111" s="0" t="s">
        <v>380</v>
      </c>
      <c r="BY111" s="0" t="s">
        <v>387</v>
      </c>
      <c r="BZ111" s="0" t="s">
        <v>388</v>
      </c>
      <c r="CA111" s="0" t="s">
        <v>3091</v>
      </c>
      <c r="CB111" s="0" t="s">
        <v>196</v>
      </c>
      <c r="CM111" s="0" t="s">
        <v>189</v>
      </c>
      <c r="CN111" s="0" t="s">
        <v>200</v>
      </c>
      <c r="CO111" s="0" t="s">
        <v>201</v>
      </c>
      <c r="CP111" s="0" t="s">
        <v>1</v>
      </c>
      <c r="CQ111" s="0" t="s">
        <v>3092</v>
      </c>
      <c r="CR111" s="0" t="s">
        <v>3083</v>
      </c>
      <c r="CS111" s="0" t="s">
        <v>3088</v>
      </c>
      <c r="CT111" s="0" t="s">
        <v>3089</v>
      </c>
      <c r="CV111" s="0" t="s">
        <v>976</v>
      </c>
      <c r="CW111" s="0" t="s">
        <v>204</v>
      </c>
      <c r="CX111" s="0" t="s">
        <v>205</v>
      </c>
      <c r="CY111" s="0" t="s">
        <v>3093</v>
      </c>
      <c r="DA111" s="0" t="s">
        <v>2301</v>
      </c>
      <c r="DB111" s="0" t="s">
        <v>3094</v>
      </c>
      <c r="DC111" s="0" t="s">
        <v>189</v>
      </c>
      <c r="DD111" s="0" t="s">
        <v>209</v>
      </c>
      <c r="DE111" s="0" t="s">
        <v>3090</v>
      </c>
      <c r="DF111" s="0" t="s">
        <v>397</v>
      </c>
      <c r="DG111" s="0" t="n">
        <v>40.738461</v>
      </c>
      <c r="DH111" s="0" t="n">
        <v>-73.992523</v>
      </c>
      <c r="DI111" s="0" t="s">
        <v>164</v>
      </c>
      <c r="DJ111" s="0" t="n">
        <v>0</v>
      </c>
      <c r="DL111" s="0" t="s">
        <v>209</v>
      </c>
      <c r="DM111" s="0" t="s">
        <v>3095</v>
      </c>
      <c r="DN111" s="0" t="s">
        <v>3096</v>
      </c>
      <c r="DO111" s="0" t="s">
        <v>363</v>
      </c>
      <c r="DS111" s="0" t="s">
        <v>809</v>
      </c>
      <c r="DT111" s="0" t="s">
        <v>209</v>
      </c>
      <c r="DU111" s="0" t="s">
        <v>189</v>
      </c>
      <c r="DX111" s="0" t="s">
        <v>209</v>
      </c>
      <c r="EA111" s="0" t="s">
        <v>209</v>
      </c>
      <c r="EB111" s="0" t="s">
        <v>189</v>
      </c>
      <c r="EC111" s="0" t="s">
        <v>209</v>
      </c>
      <c r="EF111" s="0" t="n">
        <v>158</v>
      </c>
      <c r="EH111" s="0" t="s">
        <v>164</v>
      </c>
      <c r="EI111" s="0" t="s">
        <v>3097</v>
      </c>
      <c r="EJ111" s="0" t="s">
        <v>221</v>
      </c>
      <c r="EK111" s="0" t="n">
        <v>1</v>
      </c>
      <c r="EL111" s="0" t="n">
        <v>36</v>
      </c>
      <c r="EM111" s="0" t="n">
        <v>25</v>
      </c>
      <c r="EN111" s="0" t="n">
        <v>0</v>
      </c>
      <c r="EO111" s="0" t="n">
        <v>6</v>
      </c>
      <c r="EP111" s="0" t="n">
        <v>5</v>
      </c>
      <c r="EQ111" s="0" t="n">
        <f aca="false">IF($A111="","",IF(AH111="exact",10,IF(AH111="adjacent",5,0)))</f>
        <v>0</v>
      </c>
      <c r="ER111" s="0" t="n">
        <f aca="false">IF($A111="","",IF(R111="Y",15,0))</f>
        <v>0</v>
      </c>
      <c r="ES111" s="0" t="s">
        <v>982</v>
      </c>
      <c r="ET111" s="0" t="s">
        <v>2310</v>
      </c>
      <c r="EU111" s="0" t="s">
        <v>189</v>
      </c>
      <c r="EV111" s="0" t="s">
        <v>3098</v>
      </c>
      <c r="EW111" s="0" t="s">
        <v>224</v>
      </c>
      <c r="EX111" s="0" t="s">
        <v>3099</v>
      </c>
      <c r="EZ111" s="0" t="s">
        <v>3100</v>
      </c>
      <c r="FS111" s="0" t="str">
        <f aca="false">IF($A111="","",IF(ISNUMBER(MATCH(U111,{"queued","contacted","replied","call_booked","call_done","yes_in_principle","materials_sent"},0)),"Y","N"))</f>
        <v>N</v>
      </c>
      <c r="FT111" s="0" t="str">
        <f aca="false">IF($A111="","",IF(OR(T111="Y",U111="do_not_contact",AS111&amp;""&lt;&gt;""),"Y","N"))</f>
        <v>N</v>
      </c>
      <c r="FU111" s="0" t="str">
        <f aca="false">IF($A111="","",IF(AP111&amp;""&lt;&gt;"",AP111&amp;"",$A111))</f>
        <v>AO-C-195</v>
      </c>
      <c r="FV111" s="0" t="str">
        <f aca="false">IF($A111="","",IF(COUNTIFS($FU$2:$FU$1000,FU111,$FS$2:$FS$1000,"Y")+COUNTIFS($FU$2:$FU$1000,FU111,$FT$2:$FT$1000,"Y")&gt;0,"Y","N"))</f>
        <v>N</v>
      </c>
      <c r="FW111" s="0" t="str">
        <f aca="false">IF($A111="","",IF(AND(U111="new",T111="N",FT111="N",AT111="Y",FV111="N"),"Y","N"))</f>
        <v>N</v>
      </c>
      <c r="FX111" s="0" t="str">
        <f aca="false">IF($A111="","",IF(FW111&lt;&gt;"Y","N",IF(COUNTIFS($FU$2:$FU$1000,FU111,$FW$2:$FW$1000,"Y",$J$2:$J$1000,"&gt;"&amp;J111)+COUNTIFS($FU$2:$FU$1000,FU111,$FW$2:$FW$1000,"Y",$J$2:$J$1000,J111,$GD$2:$GD$1000,"&lt;"&amp;GD111)=0,"Y","N")))</f>
        <v>N</v>
      </c>
      <c r="FY111" s="0" t="str">
        <f aca="false">IF($A111="","",IF(AND(FW111="Y",FX111="Y",Y111&amp;""&lt;&gt;""),IF(Y111&lt;=10,"Y","N"),"N"))</f>
        <v>N</v>
      </c>
      <c r="FZ111" s="0" t="str">
        <f aca="false">IF(FY111="Y",Y111,"")</f>
        <v/>
      </c>
      <c r="GA111" s="0" t="str">
        <f aca="false">IF($A111="","",IF(AND(I111="walk-in",CN111="pass",U111="new",FT111="N",FV111="N",AQ111&lt;&gt;"Y"),"Y","N"))</f>
        <v>N</v>
      </c>
      <c r="GB111" s="0" t="str">
        <f aca="false">IF(GA111&lt;&gt;"Y","",IF(COUNTIFS($GA$2:$GA$1000,"Y",$J$2:$J$1000,"&gt;"&amp;J111)+COUNTIFS($GA$2:$GA$1000,"Y",$J$2:$J$1000,J111,$GD$2:$GD$1000,"&lt;"&amp;GD111)+1&lt;=25,COUNTIFS($GA$2:$GA$1000,"Y",$J$2:$J$1000,"&gt;"&amp;J111)+COUNTIFS($GA$2:$GA$1000,"Y",$J$2:$J$1000,J111,$GD$2:$GD$1000,"&lt;"&amp;GD111)+1,""))</f>
        <v/>
      </c>
      <c r="GC111" s="0" t="str">
        <f aca="false">IF(AND(_xlfn.ISFORMULA(C111),_xlfn.ISFORMULA(J111)),"Y","N")</f>
        <v>N</v>
      </c>
      <c r="GD111" s="0" t="n">
        <f aca="false">ROW()-1</f>
        <v>110</v>
      </c>
    </row>
    <row r="112" customFormat="false" ht="15" hidden="false" customHeight="false" outlineLevel="0" collapsed="false">
      <c r="A112" s="0" t="s">
        <v>3101</v>
      </c>
      <c r="B112" s="0" t="s">
        <v>3102</v>
      </c>
      <c r="C112" s="0" t="s">
        <v>3103</v>
      </c>
      <c r="D112" s="0" t="s">
        <v>3104</v>
      </c>
      <c r="E112" s="0" t="s">
        <v>3105</v>
      </c>
      <c r="F112" s="0" t="s">
        <v>3086</v>
      </c>
      <c r="G112" s="0" t="s">
        <v>189</v>
      </c>
      <c r="M112" s="0" t="s">
        <v>380</v>
      </c>
      <c r="R112" s="5"/>
      <c r="U112" s="5"/>
      <c r="V112" s="0" t="s">
        <v>380</v>
      </c>
      <c r="AE112" s="0" t="s">
        <v>1897</v>
      </c>
      <c r="AF112" s="0" t="s">
        <v>279</v>
      </c>
      <c r="AG112" s="0" t="s">
        <v>966</v>
      </c>
      <c r="AH112" s="0" t="s">
        <v>209</v>
      </c>
      <c r="AI112" s="0" t="s">
        <v>3106</v>
      </c>
      <c r="AJ112" s="0" t="s">
        <v>189</v>
      </c>
      <c r="AK112" s="0" t="s">
        <v>209</v>
      </c>
      <c r="AL112" s="0" t="s">
        <v>189</v>
      </c>
      <c r="AM112" s="0" t="s">
        <v>209</v>
      </c>
      <c r="AN112" s="0" t="s">
        <v>380</v>
      </c>
      <c r="AO112" s="0" t="s">
        <v>209</v>
      </c>
      <c r="AP112" s="0" t="s">
        <v>3101</v>
      </c>
      <c r="AQ112" s="5" t="s">
        <v>189</v>
      </c>
      <c r="AT112" s="0" t="str">
        <f aca="false">IF($A112="","",IF(AND(CN112="pass",AQ112&lt;&gt;"Y",C112&lt;&gt;"",OR(AX112&lt;&gt;"Y",AV112="Y")),"Y","N"))</f>
        <v>Y</v>
      </c>
      <c r="AU112" s="0" t="str">
        <f aca="false">IF($A112="","",_xlfn.TEXTJOIN("; ",TRUE(),IF(CN112&lt;&gt;"pass","gated out",""),IF(AQ112="Y","on hold: "&amp;AR112,""),IF(C112="","no contact named on an opened page",""),IF(AND(AX112="Y",AV112&lt;&gt;"Y"),"Tuesday estimate band "&amp;L112&amp;": founder's call","")))</f>
        <v/>
      </c>
      <c r="AX112" s="0" t="s">
        <v>189</v>
      </c>
      <c r="BC112" s="0" t="str">
        <f aca="false">IF($A112="","",IFERROR(INDEX(Enrichment!$A$2:$GZ$2000,MATCH($A112,INDEX(Enrichment!$A$2:$GZ$2000,0,MATCH("row_id",Enrichment!$A$1:$GZ$1,0)),0),MATCH("work_email",Enrichment!$A$1:$GZ$1,0))&amp;"",""))</f>
        <v/>
      </c>
      <c r="BD112" s="0" t="str">
        <f aca="false">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none</v>
      </c>
      <c r="BF112" s="0" t="s">
        <v>380</v>
      </c>
      <c r="BJ112" s="0" t="s">
        <v>380</v>
      </c>
      <c r="BL112" s="0" t="s">
        <v>896</v>
      </c>
      <c r="BQ112" s="0" t="str">
        <f aca="false">IF($A112="","",IFERROR(INDEX(Enrichment!$A$2:$GZ$2000,MATCH($A112,INDEX(Enrichment!$A$2:$GZ$2000,0,MATCH("row_id",Enrichment!$A$1:$GZ$1,0)),0),MATCH("backup_work_email",Enrichment!$A$1:$GZ$1,0))&amp;"",""))</f>
        <v/>
      </c>
      <c r="BR112" s="0" t="str">
        <f aca="false">IF($A112="","",IF(BQ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none</v>
      </c>
      <c r="BT112" s="0" t="s">
        <v>380</v>
      </c>
      <c r="BX112" s="0" t="s">
        <v>380</v>
      </c>
      <c r="BY112" s="0" t="s">
        <v>387</v>
      </c>
      <c r="BZ112" s="0" t="s">
        <v>388</v>
      </c>
      <c r="CA112" s="0" t="s">
        <v>2707</v>
      </c>
      <c r="CB112" s="0" t="s">
        <v>196</v>
      </c>
      <c r="CM112" s="0" t="s">
        <v>189</v>
      </c>
      <c r="CN112" s="0" t="s">
        <v>200</v>
      </c>
      <c r="CO112" s="0" t="s">
        <v>201</v>
      </c>
      <c r="CP112" s="0" t="s">
        <v>1</v>
      </c>
      <c r="CQ112" s="0" t="s">
        <v>3107</v>
      </c>
      <c r="CR112" s="0" t="s">
        <v>3103</v>
      </c>
      <c r="CS112" s="0" t="s">
        <v>966</v>
      </c>
      <c r="CT112" s="0" t="s">
        <v>209</v>
      </c>
      <c r="CV112" s="0" t="s">
        <v>209</v>
      </c>
      <c r="CW112" s="0" t="s">
        <v>209</v>
      </c>
      <c r="CX112" s="0" t="s">
        <v>2712</v>
      </c>
      <c r="DA112" s="0" t="s">
        <v>209</v>
      </c>
      <c r="DB112" s="0" t="s">
        <v>209</v>
      </c>
      <c r="DC112" s="0" t="s">
        <v>209</v>
      </c>
      <c r="DD112" s="0" t="s">
        <v>209</v>
      </c>
      <c r="DE112" s="0" t="s">
        <v>3106</v>
      </c>
      <c r="DF112" s="0" t="s">
        <v>397</v>
      </c>
      <c r="DG112" s="0" t="n">
        <v>40.736981</v>
      </c>
      <c r="DH112" s="0" t="n">
        <v>-73.993144</v>
      </c>
      <c r="DI112" s="0" t="s">
        <v>164</v>
      </c>
      <c r="DJ112" s="0" t="n">
        <v>0</v>
      </c>
      <c r="DK112" s="0" t="s">
        <v>1628</v>
      </c>
      <c r="DL112" s="0" t="s">
        <v>1629</v>
      </c>
      <c r="DM112" s="0" t="s">
        <v>3108</v>
      </c>
      <c r="DN112" s="0" t="s">
        <v>263</v>
      </c>
      <c r="DO112" s="0" t="s">
        <v>214</v>
      </c>
      <c r="DP112" s="0" t="s">
        <v>1630</v>
      </c>
      <c r="DQ112" s="0" t="s">
        <v>1153</v>
      </c>
      <c r="DS112" s="0" t="s">
        <v>217</v>
      </c>
      <c r="DU112" s="0" t="s">
        <v>189</v>
      </c>
      <c r="DX112" s="0" t="s">
        <v>209</v>
      </c>
      <c r="EA112" s="0" t="s">
        <v>209</v>
      </c>
      <c r="EB112" s="0" t="s">
        <v>189</v>
      </c>
      <c r="EC112" s="0" t="s">
        <v>209</v>
      </c>
      <c r="EF112" s="0" t="s">
        <v>209</v>
      </c>
      <c r="EH112" s="0" t="s">
        <v>189</v>
      </c>
      <c r="EI112" s="0" t="s">
        <v>2716</v>
      </c>
      <c r="EJ112" s="0" t="s">
        <v>221</v>
      </c>
      <c r="EK112" s="0" t="s">
        <v>209</v>
      </c>
      <c r="EL112" s="0" t="n">
        <v>36</v>
      </c>
      <c r="EM112" s="0" t="n">
        <v>7</v>
      </c>
      <c r="EN112" s="0" t="n">
        <v>8</v>
      </c>
      <c r="EO112" s="0" t="n">
        <v>6</v>
      </c>
      <c r="EP112" s="0" t="n">
        <v>15</v>
      </c>
      <c r="EQ112" s="0" t="n">
        <f aca="false">IF($A112="","",IF(AH112="exact",10,IF(AH112="adjacent",5,0)))</f>
        <v>0</v>
      </c>
      <c r="ER112" s="0" t="n">
        <f aca="false">IF($A112="","",IF(R112="Y",15,0))</f>
        <v>0</v>
      </c>
      <c r="ES112" s="0" t="s">
        <v>222</v>
      </c>
      <c r="EV112" s="0" t="s">
        <v>3109</v>
      </c>
      <c r="EW112" s="0" t="s">
        <v>224</v>
      </c>
      <c r="EX112" s="0" t="s">
        <v>3110</v>
      </c>
      <c r="EZ112" s="0" t="s">
        <v>3111</v>
      </c>
      <c r="FS112" s="0" t="str">
        <f aca="false">IF($A112="","",IF(ISNUMBER(MATCH(U112,{"queued","contacted","replied","call_booked","call_done","yes_in_principle","materials_sent"},0)),"Y","N"))</f>
        <v>N</v>
      </c>
      <c r="FT112" s="0" t="str">
        <f aca="false">IF($A112="","",IF(OR(T112="Y",U112="do_not_contact",AS112&amp;""&lt;&gt;""),"Y","N"))</f>
        <v>N</v>
      </c>
      <c r="FU112" s="0" t="str">
        <f aca="false">IF($A112="","",IF(AP112&amp;""&lt;&gt;"",AP112&amp;"",$A112))</f>
        <v>AO-C-016</v>
      </c>
      <c r="FV112" s="0" t="str">
        <f aca="false">IF($A112="","",IF(COUNTIFS($FU$2:$FU$1000,FU112,$FS$2:$FS$1000,"Y")+COUNTIFS($FU$2:$FU$1000,FU112,$FT$2:$FT$1000,"Y")&gt;0,"Y","N"))</f>
        <v>N</v>
      </c>
      <c r="FW112" s="0" t="str">
        <f aca="false">IF($A112="","",IF(AND(U112="new",T112="N",FT112="N",AT112="Y",FV112="N"),"Y","N"))</f>
        <v>N</v>
      </c>
      <c r="FX112" s="0" t="str">
        <f aca="false">IF($A112="","",IF(FW112&lt;&gt;"Y","N",IF(COUNTIFS($FU$2:$FU$1000,FU112,$FW$2:$FW$1000,"Y",$J$2:$J$1000,"&gt;"&amp;J112)+COUNTIFS($FU$2:$FU$1000,FU112,$FW$2:$FW$1000,"Y",$J$2:$J$1000,J112,$GD$2:$GD$1000,"&lt;"&amp;GD112)=0,"Y","N")))</f>
        <v>N</v>
      </c>
      <c r="FY112" s="0" t="str">
        <f aca="false">IF($A112="","",IF(AND(FW112="Y",FX112="Y",Y112&amp;""&lt;&gt;""),IF(Y112&lt;=10,"Y","N"),"N"))</f>
        <v>N</v>
      </c>
      <c r="FZ112" s="0" t="str">
        <f aca="false">IF(FY112="Y",Y112,"")</f>
        <v/>
      </c>
      <c r="GA112" s="0" t="str">
        <f aca="false">IF($A112="","",IF(AND(I112="walk-in",CN112="pass",U112="new",FT112="N",FV112="N",AQ112&lt;&gt;"Y"),"Y","N"))</f>
        <v>N</v>
      </c>
      <c r="GB112" s="0" t="str">
        <f aca="false">IF(GA112&lt;&gt;"Y","",IF(COUNTIFS($GA$2:$GA$1000,"Y",$J$2:$J$1000,"&gt;"&amp;J112)+COUNTIFS($GA$2:$GA$1000,"Y",$J$2:$J$1000,J112,$GD$2:$GD$1000,"&lt;"&amp;GD112)+1&lt;=25,COUNTIFS($GA$2:$GA$1000,"Y",$J$2:$J$1000,"&gt;"&amp;J112)+COUNTIFS($GA$2:$GA$1000,"Y",$J$2:$J$1000,J112,$GD$2:$GD$1000,"&lt;"&amp;GD112)+1,""))</f>
        <v/>
      </c>
      <c r="GC112" s="0" t="str">
        <f aca="false">IF(AND(_xlfn.ISFORMULA(C112),_xlfn.ISFORMULA(J112)),"Y","N")</f>
        <v>N</v>
      </c>
      <c r="GD112" s="0" t="n">
        <f aca="false">ROW()-1</f>
        <v>111</v>
      </c>
    </row>
    <row r="113" customFormat="false" ht="15" hidden="false" customHeight="false" outlineLevel="0" collapsed="false">
      <c r="A113" s="0" t="s">
        <v>3112</v>
      </c>
      <c r="B113" s="0" t="s">
        <v>3113</v>
      </c>
      <c r="C113" s="0" t="s">
        <v>3114</v>
      </c>
      <c r="D113" s="0" t="s">
        <v>3115</v>
      </c>
      <c r="E113" s="0" t="s">
        <v>3116</v>
      </c>
      <c r="F113" s="0" t="s">
        <v>3086</v>
      </c>
      <c r="G113" s="0" t="s">
        <v>189</v>
      </c>
      <c r="M113" s="0" t="s">
        <v>380</v>
      </c>
      <c r="R113" s="5"/>
      <c r="U113" s="5"/>
      <c r="V113" s="0" t="s">
        <v>380</v>
      </c>
      <c r="AE113" s="0" t="s">
        <v>3117</v>
      </c>
      <c r="AF113" s="0" t="s">
        <v>209</v>
      </c>
      <c r="AG113" s="0" t="s">
        <v>3118</v>
      </c>
      <c r="AH113" s="0" t="s">
        <v>209</v>
      </c>
      <c r="AI113" s="0" t="s">
        <v>3119</v>
      </c>
      <c r="AJ113" s="0" t="s">
        <v>189</v>
      </c>
      <c r="AK113" s="0" t="s">
        <v>209</v>
      </c>
      <c r="AL113" s="0" t="s">
        <v>189</v>
      </c>
      <c r="AM113" s="0" t="s">
        <v>209</v>
      </c>
      <c r="AN113" s="0" t="s">
        <v>380</v>
      </c>
      <c r="AO113" s="0" t="s">
        <v>209</v>
      </c>
      <c r="AP113" s="0" t="s">
        <v>3112</v>
      </c>
      <c r="AQ113" s="5" t="s">
        <v>189</v>
      </c>
      <c r="AT113" s="0" t="str">
        <f aca="false">IF($A113="","",IF(AND(CN113="pass",AQ113&lt;&gt;"Y",C113&lt;&gt;"",OR(AX113&lt;&gt;"Y",AV113="Y")),"Y","N"))</f>
        <v>Y</v>
      </c>
      <c r="AU113" s="0" t="str">
        <f aca="false">IF($A113="","",_xlfn.TEXTJOIN("; ",TRUE(),IF(CN113&lt;&gt;"pass","gated out",""),IF(AQ113="Y","on hold: "&amp;AR113,""),IF(C113="","no contact named on an opened page",""),IF(AND(AX113="Y",AV113&lt;&gt;"Y"),"Tuesday estimate band "&amp;L113&amp;": founder's call","")))</f>
        <v/>
      </c>
      <c r="AX113" s="0" t="s">
        <v>189</v>
      </c>
      <c r="BC113" s="0" t="str">
        <f aca="false">IF($A113="","",IFERROR(INDEX(Enrichment!$A$2:$GZ$2000,MATCH($A113,INDEX(Enrichment!$A$2:$GZ$2000,0,MATCH("row_id",Enrichment!$A$1:$GZ$1,0)),0),MATCH("work_email",Enrichment!$A$1:$GZ$1,0))&amp;"",""))</f>
        <v/>
      </c>
      <c r="BD113" s="0" t="str">
        <f aca="false">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none</v>
      </c>
      <c r="BF113" s="0" t="s">
        <v>380</v>
      </c>
      <c r="BJ113" s="0" t="s">
        <v>380</v>
      </c>
      <c r="BL113" s="0" t="s">
        <v>896</v>
      </c>
      <c r="BQ113" s="0" t="str">
        <f aca="false">IF($A113="","",IFERROR(INDEX(Enrichment!$A$2:$GZ$2000,MATCH($A113,INDEX(Enrichment!$A$2:$GZ$2000,0,MATCH("row_id",Enrichment!$A$1:$GZ$1,0)),0),MATCH("backup_work_email",Enrichment!$A$1:$GZ$1,0))&amp;"",""))</f>
        <v/>
      </c>
      <c r="BR113" s="0" t="str">
        <f aca="false">IF($A113="","",IF(BQ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none</v>
      </c>
      <c r="BT113" s="0" t="s">
        <v>380</v>
      </c>
      <c r="BX113" s="0" t="s">
        <v>380</v>
      </c>
      <c r="BY113" s="0" t="s">
        <v>387</v>
      </c>
      <c r="BZ113" s="0" t="s">
        <v>388</v>
      </c>
      <c r="CA113" s="0" t="s">
        <v>3120</v>
      </c>
      <c r="CB113" s="0" t="s">
        <v>196</v>
      </c>
      <c r="CM113" s="0" t="s">
        <v>189</v>
      </c>
      <c r="CN113" s="0" t="s">
        <v>200</v>
      </c>
      <c r="CO113" s="0" t="s">
        <v>201</v>
      </c>
      <c r="CP113" s="0" t="s">
        <v>3121</v>
      </c>
      <c r="CQ113" s="0" t="s">
        <v>3122</v>
      </c>
      <c r="CR113" s="0" t="s">
        <v>3114</v>
      </c>
      <c r="CS113" s="0" t="s">
        <v>3118</v>
      </c>
      <c r="CT113" s="0" t="s">
        <v>209</v>
      </c>
      <c r="CV113" s="0" t="s">
        <v>209</v>
      </c>
      <c r="CW113" s="0" t="s">
        <v>209</v>
      </c>
      <c r="DA113" s="0" t="s">
        <v>209</v>
      </c>
      <c r="DB113" s="0" t="s">
        <v>3123</v>
      </c>
      <c r="DC113" s="0" t="s">
        <v>209</v>
      </c>
      <c r="DD113" s="0" t="s">
        <v>3124</v>
      </c>
      <c r="DE113" s="0" t="s">
        <v>3119</v>
      </c>
      <c r="DF113" s="0" t="s">
        <v>525</v>
      </c>
      <c r="DG113" s="0" t="n">
        <v>40.741737</v>
      </c>
      <c r="DH113" s="0" t="n">
        <v>-73.984856</v>
      </c>
      <c r="DI113" s="0" t="s">
        <v>164</v>
      </c>
      <c r="DJ113" s="0" t="n">
        <v>0</v>
      </c>
      <c r="DK113" s="0" t="s">
        <v>3125</v>
      </c>
      <c r="DL113" s="0" t="s">
        <v>3126</v>
      </c>
      <c r="DM113" s="0" t="s">
        <v>3127</v>
      </c>
      <c r="DN113" s="0" t="s">
        <v>172</v>
      </c>
      <c r="DO113" s="0" t="s">
        <v>3128</v>
      </c>
      <c r="DP113" s="0" t="s">
        <v>3129</v>
      </c>
      <c r="DS113" s="0" t="s">
        <v>217</v>
      </c>
      <c r="DU113" s="0" t="s">
        <v>189</v>
      </c>
      <c r="DV113" s="0" t="s">
        <v>3122</v>
      </c>
      <c r="DW113" s="0" t="s">
        <v>3130</v>
      </c>
      <c r="DX113" s="0" t="s">
        <v>209</v>
      </c>
      <c r="EA113" s="0" t="s">
        <v>209</v>
      </c>
      <c r="EB113" s="0" t="s">
        <v>189</v>
      </c>
      <c r="EC113" s="0" t="s">
        <v>209</v>
      </c>
      <c r="EF113" s="0" t="s">
        <v>209</v>
      </c>
      <c r="EH113" s="0" t="s">
        <v>189</v>
      </c>
      <c r="EI113" s="0" t="s">
        <v>3131</v>
      </c>
      <c r="EJ113" s="0" t="s">
        <v>221</v>
      </c>
      <c r="EK113" s="0" t="s">
        <v>209</v>
      </c>
      <c r="EL113" s="0" t="n">
        <v>36</v>
      </c>
      <c r="EM113" s="0" t="n">
        <v>7</v>
      </c>
      <c r="EN113" s="0" t="n">
        <v>8</v>
      </c>
      <c r="EO113" s="0" t="n">
        <v>6</v>
      </c>
      <c r="EP113" s="0" t="n">
        <v>15</v>
      </c>
      <c r="EQ113" s="0" t="n">
        <f aca="false">IF($A113="","",IF(AH113="exact",10,IF(AH113="adjacent",5,0)))</f>
        <v>0</v>
      </c>
      <c r="ER113" s="0" t="n">
        <f aca="false">IF($A113="","",IF(R113="Y",15,0))</f>
        <v>0</v>
      </c>
      <c r="ES113" s="0" t="s">
        <v>3121</v>
      </c>
      <c r="EX113" s="0" t="s">
        <v>3132</v>
      </c>
      <c r="EZ113" s="0" t="s">
        <v>3133</v>
      </c>
      <c r="FS113" s="0" t="str">
        <f aca="false">IF($A113="","",IF(ISNUMBER(MATCH(U113,{"queued","contacted","replied","call_booked","call_done","yes_in_principle","materials_sent"},0)),"Y","N"))</f>
        <v>N</v>
      </c>
      <c r="FT113" s="0" t="str">
        <f aca="false">IF($A113="","",IF(OR(T113="Y",U113="do_not_contact",AS113&amp;""&lt;&gt;""),"Y","N"))</f>
        <v>N</v>
      </c>
      <c r="FU113" s="0" t="str">
        <f aca="false">IF($A113="","",IF(AP113&amp;""&lt;&gt;"",AP113&amp;"",$A113))</f>
        <v>AO-W-013</v>
      </c>
      <c r="FV113" s="0" t="str">
        <f aca="false">IF($A113="","",IF(COUNTIFS($FU$2:$FU$1000,FU113,$FS$2:$FS$1000,"Y")+COUNTIFS($FU$2:$FU$1000,FU113,$FT$2:$FT$1000,"Y")&gt;0,"Y","N"))</f>
        <v>N</v>
      </c>
      <c r="FW113" s="0" t="str">
        <f aca="false">IF($A113="","",IF(AND(U113="new",T113="N",FT113="N",AT113="Y",FV113="N"),"Y","N"))</f>
        <v>N</v>
      </c>
      <c r="FX113" s="0" t="str">
        <f aca="false">IF($A113="","",IF(FW113&lt;&gt;"Y","N",IF(COUNTIFS($FU$2:$FU$1000,FU113,$FW$2:$FW$1000,"Y",$J$2:$J$1000,"&gt;"&amp;J113)+COUNTIFS($FU$2:$FU$1000,FU113,$FW$2:$FW$1000,"Y",$J$2:$J$1000,J113,$GD$2:$GD$1000,"&lt;"&amp;GD113)=0,"Y","N")))</f>
        <v>N</v>
      </c>
      <c r="FY113" s="0" t="str">
        <f aca="false">IF($A113="","",IF(AND(FW113="Y",FX113="Y",Y113&amp;""&lt;&gt;""),IF(Y113&lt;=10,"Y","N"),"N"))</f>
        <v>N</v>
      </c>
      <c r="FZ113" s="0" t="str">
        <f aca="false">IF(FY113="Y",Y113,"")</f>
        <v/>
      </c>
      <c r="GA113" s="0" t="str">
        <f aca="false">IF($A113="","",IF(AND(I113="walk-in",CN113="pass",U113="new",FT113="N",FV113="N",AQ113&lt;&gt;"Y"),"Y","N"))</f>
        <v>N</v>
      </c>
      <c r="GB113" s="0" t="str">
        <f aca="false">IF(GA113&lt;&gt;"Y","",IF(COUNTIFS($GA$2:$GA$1000,"Y",$J$2:$J$1000,"&gt;"&amp;J113)+COUNTIFS($GA$2:$GA$1000,"Y",$J$2:$J$1000,J113,$GD$2:$GD$1000,"&lt;"&amp;GD113)+1&lt;=25,COUNTIFS($GA$2:$GA$1000,"Y",$J$2:$J$1000,"&gt;"&amp;J113)+COUNTIFS($GA$2:$GA$1000,"Y",$J$2:$J$1000,J113,$GD$2:$GD$1000,"&lt;"&amp;GD113)+1,""))</f>
        <v/>
      </c>
      <c r="GC113" s="0" t="str">
        <f aca="false">IF(AND(_xlfn.ISFORMULA(C113),_xlfn.ISFORMULA(J113)),"Y","N")</f>
        <v>N</v>
      </c>
      <c r="GD113" s="0" t="n">
        <f aca="false">ROW()-1</f>
        <v>112</v>
      </c>
    </row>
    <row r="114" customFormat="false" ht="15" hidden="false" customHeight="false" outlineLevel="0" collapsed="false">
      <c r="A114" s="0" t="s">
        <v>3134</v>
      </c>
      <c r="B114" s="0" t="s">
        <v>3135</v>
      </c>
      <c r="C114" s="0" t="s">
        <v>3136</v>
      </c>
      <c r="D114" s="0" t="s">
        <v>3137</v>
      </c>
      <c r="E114" s="0" t="s">
        <v>3138</v>
      </c>
      <c r="F114" s="0" t="s">
        <v>3086</v>
      </c>
      <c r="G114" s="0" t="s">
        <v>189</v>
      </c>
      <c r="M114" s="0" t="s">
        <v>380</v>
      </c>
      <c r="R114" s="5"/>
      <c r="U114" s="5"/>
      <c r="V114" s="0" t="s">
        <v>380</v>
      </c>
      <c r="AE114" s="0" t="s">
        <v>3139</v>
      </c>
      <c r="AF114" s="0" t="s">
        <v>412</v>
      </c>
      <c r="AG114" s="0" t="s">
        <v>3140</v>
      </c>
      <c r="AH114" s="0" t="s">
        <v>209</v>
      </c>
      <c r="AI114" s="0" t="s">
        <v>3141</v>
      </c>
      <c r="AJ114" s="0" t="s">
        <v>189</v>
      </c>
      <c r="AK114" s="0" t="s">
        <v>209</v>
      </c>
      <c r="AL114" s="0" t="s">
        <v>189</v>
      </c>
      <c r="AM114" s="0" t="s">
        <v>209</v>
      </c>
      <c r="AN114" s="0" t="s">
        <v>380</v>
      </c>
      <c r="AO114" s="0" t="s">
        <v>209</v>
      </c>
      <c r="AP114" s="0" t="s">
        <v>3134</v>
      </c>
      <c r="AQ114" s="5" t="s">
        <v>189</v>
      </c>
      <c r="AT114" s="0" t="str">
        <f aca="false">IF($A114="","",IF(AND(CN114="pass",AQ114&lt;&gt;"Y",C114&lt;&gt;"",OR(AX114&lt;&gt;"Y",AV114="Y")),"Y","N"))</f>
        <v>Y</v>
      </c>
      <c r="AU114" s="0" t="str">
        <f aca="false">IF($A114="","",_xlfn.TEXTJOIN("; ",TRUE(),IF(CN114&lt;&gt;"pass","gated out",""),IF(AQ114="Y","on hold: "&amp;AR114,""),IF(C114="","no contact named on an opened page",""),IF(AND(AX114="Y",AV114&lt;&gt;"Y"),"Tuesday estimate band "&amp;L114&amp;": founder's call","")))</f>
        <v/>
      </c>
      <c r="AX114" s="0" t="s">
        <v>189</v>
      </c>
      <c r="BC114" s="0" t="str">
        <f aca="false">IF($A114="","",IFERROR(INDEX(Enrichment!$A$2:$GZ$2000,MATCH($A114,INDEX(Enrichment!$A$2:$GZ$2000,0,MATCH("row_id",Enrichment!$A$1:$GZ$1,0)),0),MATCH("work_email",Enrichment!$A$1:$GZ$1,0))&amp;"",""))</f>
        <v/>
      </c>
      <c r="BD114" s="0" t="str">
        <f aca="false">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none</v>
      </c>
      <c r="BF114" s="0" t="s">
        <v>380</v>
      </c>
      <c r="BJ114" s="0" t="s">
        <v>380</v>
      </c>
      <c r="BL114" s="0" t="s">
        <v>896</v>
      </c>
      <c r="BQ114" s="0" t="str">
        <f aca="false">IF($A114="","",IFERROR(INDEX(Enrichment!$A$2:$GZ$2000,MATCH($A114,INDEX(Enrichment!$A$2:$GZ$2000,0,MATCH("row_id",Enrichment!$A$1:$GZ$1,0)),0),MATCH("backup_work_email",Enrichment!$A$1:$GZ$1,0))&amp;"",""))</f>
        <v/>
      </c>
      <c r="BR114" s="0" t="str">
        <f aca="false">IF($A114="","",IF(BQ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none</v>
      </c>
      <c r="BT114" s="0" t="s">
        <v>380</v>
      </c>
      <c r="BX114" s="0" t="s">
        <v>380</v>
      </c>
      <c r="BY114" s="0" t="s">
        <v>387</v>
      </c>
      <c r="BZ114" s="0" t="s">
        <v>388</v>
      </c>
      <c r="CA114" s="0" t="s">
        <v>2707</v>
      </c>
      <c r="CB114" s="0" t="s">
        <v>196</v>
      </c>
      <c r="CM114" s="0" t="s">
        <v>189</v>
      </c>
      <c r="CN114" s="0" t="s">
        <v>200</v>
      </c>
      <c r="CO114" s="0" t="s">
        <v>201</v>
      </c>
      <c r="CP114" s="0" t="s">
        <v>1</v>
      </c>
      <c r="CQ114" s="0" t="s">
        <v>3142</v>
      </c>
      <c r="CR114" s="0" t="s">
        <v>3136</v>
      </c>
      <c r="CS114" s="0" t="s">
        <v>3140</v>
      </c>
      <c r="CT114" s="0" t="s">
        <v>209</v>
      </c>
      <c r="CV114" s="0" t="s">
        <v>209</v>
      </c>
      <c r="CW114" s="0" t="s">
        <v>209</v>
      </c>
      <c r="CX114" s="0" t="s">
        <v>2712</v>
      </c>
      <c r="DA114" s="0" t="s">
        <v>209</v>
      </c>
      <c r="DB114" s="0" t="s">
        <v>209</v>
      </c>
      <c r="DC114" s="0" t="s">
        <v>209</v>
      </c>
      <c r="DD114" s="0" t="s">
        <v>209</v>
      </c>
      <c r="DE114" s="0" t="s">
        <v>3141</v>
      </c>
      <c r="DF114" s="0" t="s">
        <v>210</v>
      </c>
      <c r="DG114" s="0" t="n">
        <v>40.739138</v>
      </c>
      <c r="DH114" s="0" t="n">
        <v>-73.991116</v>
      </c>
      <c r="DI114" s="0" t="s">
        <v>164</v>
      </c>
      <c r="DJ114" s="0" t="n">
        <v>0</v>
      </c>
      <c r="DK114" s="0" t="s">
        <v>3143</v>
      </c>
      <c r="DL114" s="0" t="s">
        <v>3139</v>
      </c>
      <c r="DM114" s="0" t="s">
        <v>3144</v>
      </c>
      <c r="DN114" s="0" t="s">
        <v>1354</v>
      </c>
      <c r="DO114" s="0" t="s">
        <v>363</v>
      </c>
      <c r="DP114" s="0" t="s">
        <v>3145</v>
      </c>
      <c r="DQ114" s="0" t="s">
        <v>263</v>
      </c>
      <c r="DS114" s="0" t="s">
        <v>217</v>
      </c>
      <c r="DU114" s="0" t="s">
        <v>189</v>
      </c>
      <c r="DX114" s="0" t="s">
        <v>209</v>
      </c>
      <c r="EA114" s="0" t="s">
        <v>209</v>
      </c>
      <c r="EB114" s="0" t="s">
        <v>189</v>
      </c>
      <c r="EC114" s="0" t="s">
        <v>209</v>
      </c>
      <c r="EF114" s="0" t="s">
        <v>209</v>
      </c>
      <c r="EH114" s="0" t="s">
        <v>189</v>
      </c>
      <c r="EI114" s="0" t="s">
        <v>2716</v>
      </c>
      <c r="EJ114" s="0" t="s">
        <v>221</v>
      </c>
      <c r="EK114" s="0" t="s">
        <v>209</v>
      </c>
      <c r="EL114" s="0" t="n">
        <v>36</v>
      </c>
      <c r="EM114" s="0" t="n">
        <v>7</v>
      </c>
      <c r="EN114" s="0" t="n">
        <v>8</v>
      </c>
      <c r="EO114" s="0" t="n">
        <v>6</v>
      </c>
      <c r="EP114" s="0" t="n">
        <v>15</v>
      </c>
      <c r="EQ114" s="0" t="n">
        <f aca="false">IF($A114="","",IF(AH114="exact",10,IF(AH114="adjacent",5,0)))</f>
        <v>0</v>
      </c>
      <c r="ER114" s="0" t="n">
        <f aca="false">IF($A114="","",IF(R114="Y",15,0))</f>
        <v>0</v>
      </c>
      <c r="ES114" s="0" t="s">
        <v>222</v>
      </c>
      <c r="EV114" s="0" t="s">
        <v>3146</v>
      </c>
      <c r="EW114" s="0" t="s">
        <v>224</v>
      </c>
      <c r="EX114" s="0" t="s">
        <v>3147</v>
      </c>
      <c r="EZ114" s="0" t="s">
        <v>3148</v>
      </c>
      <c r="FS114" s="0" t="str">
        <f aca="false">IF($A114="","",IF(ISNUMBER(MATCH(U114,{"queued","contacted","replied","call_booked","call_done","yes_in_principle","materials_sent"},0)),"Y","N"))</f>
        <v>N</v>
      </c>
      <c r="FT114" s="0" t="str">
        <f aca="false">IF($A114="","",IF(OR(T114="Y",U114="do_not_contact",AS114&amp;""&lt;&gt;""),"Y","N"))</f>
        <v>N</v>
      </c>
      <c r="FU114" s="0" t="str">
        <f aca="false">IF($A114="","",IF(AP114&amp;""&lt;&gt;"",AP114&amp;"",$A114))</f>
        <v>AO-C-053</v>
      </c>
      <c r="FV114" s="0" t="str">
        <f aca="false">IF($A114="","",IF(COUNTIFS($FU$2:$FU$1000,FU114,$FS$2:$FS$1000,"Y")+COUNTIFS($FU$2:$FU$1000,FU114,$FT$2:$FT$1000,"Y")&gt;0,"Y","N"))</f>
        <v>N</v>
      </c>
      <c r="FW114" s="0" t="str">
        <f aca="false">IF($A114="","",IF(AND(U114="new",T114="N",FT114="N",AT114="Y",FV114="N"),"Y","N"))</f>
        <v>N</v>
      </c>
      <c r="FX114" s="0" t="str">
        <f aca="false">IF($A114="","",IF(FW114&lt;&gt;"Y","N",IF(COUNTIFS($FU$2:$FU$1000,FU114,$FW$2:$FW$1000,"Y",$J$2:$J$1000,"&gt;"&amp;J114)+COUNTIFS($FU$2:$FU$1000,FU114,$FW$2:$FW$1000,"Y",$J$2:$J$1000,J114,$GD$2:$GD$1000,"&lt;"&amp;GD114)=0,"Y","N")))</f>
        <v>N</v>
      </c>
      <c r="FY114" s="0" t="str">
        <f aca="false">IF($A114="","",IF(AND(FW114="Y",FX114="Y",Y114&amp;""&lt;&gt;""),IF(Y114&lt;=10,"Y","N"),"N"))</f>
        <v>N</v>
      </c>
      <c r="FZ114" s="0" t="str">
        <f aca="false">IF(FY114="Y",Y114,"")</f>
        <v/>
      </c>
      <c r="GA114" s="0" t="str">
        <f aca="false">IF($A114="","",IF(AND(I114="walk-in",CN114="pass",U114="new",FT114="N",FV114="N",AQ114&lt;&gt;"Y"),"Y","N"))</f>
        <v>N</v>
      </c>
      <c r="GB114" s="0" t="str">
        <f aca="false">IF(GA114&lt;&gt;"Y","",IF(COUNTIFS($GA$2:$GA$1000,"Y",$J$2:$J$1000,"&gt;"&amp;J114)+COUNTIFS($GA$2:$GA$1000,"Y",$J$2:$J$1000,J114,$GD$2:$GD$1000,"&lt;"&amp;GD114)+1&lt;=25,COUNTIFS($GA$2:$GA$1000,"Y",$J$2:$J$1000,"&gt;"&amp;J114)+COUNTIFS($GA$2:$GA$1000,"Y",$J$2:$J$1000,J114,$GD$2:$GD$1000,"&lt;"&amp;GD114)+1,""))</f>
        <v/>
      </c>
      <c r="GC114" s="0" t="str">
        <f aca="false">IF(AND(_xlfn.ISFORMULA(C114),_xlfn.ISFORMULA(J114)),"Y","N")</f>
        <v>N</v>
      </c>
      <c r="GD114" s="0" t="n">
        <f aca="false">ROW()-1</f>
        <v>113</v>
      </c>
    </row>
    <row r="115" customFormat="false" ht="15" hidden="false" customHeight="false" outlineLevel="0" collapsed="false">
      <c r="A115" s="0" t="s">
        <v>3149</v>
      </c>
      <c r="B115" s="0" t="s">
        <v>3150</v>
      </c>
      <c r="C115" s="0" t="s">
        <v>3151</v>
      </c>
      <c r="D115" s="0" t="s">
        <v>3152</v>
      </c>
      <c r="E115" s="0" t="s">
        <v>3153</v>
      </c>
      <c r="F115" s="0" t="s">
        <v>3086</v>
      </c>
      <c r="G115" s="0" t="s">
        <v>189</v>
      </c>
      <c r="M115" s="0" t="s">
        <v>380</v>
      </c>
      <c r="R115" s="5"/>
      <c r="U115" s="5"/>
      <c r="V115" s="0" t="s">
        <v>380</v>
      </c>
      <c r="AE115" s="0" t="s">
        <v>2105</v>
      </c>
      <c r="AF115" s="0" t="s">
        <v>3154</v>
      </c>
      <c r="AG115" s="0" t="s">
        <v>3155</v>
      </c>
      <c r="AH115" s="0" t="s">
        <v>209</v>
      </c>
      <c r="AI115" s="0" t="s">
        <v>209</v>
      </c>
      <c r="AJ115" s="0" t="s">
        <v>189</v>
      </c>
      <c r="AK115" s="0" t="s">
        <v>209</v>
      </c>
      <c r="AL115" s="0" t="s">
        <v>189</v>
      </c>
      <c r="AM115" s="0" t="s">
        <v>209</v>
      </c>
      <c r="AN115" s="0" t="s">
        <v>380</v>
      </c>
      <c r="AO115" s="0" t="s">
        <v>209</v>
      </c>
      <c r="AP115" s="0" t="s">
        <v>3149</v>
      </c>
      <c r="AQ115" s="5" t="s">
        <v>189</v>
      </c>
      <c r="AT115" s="0" t="str">
        <f aca="false">IF($A115="","",IF(AND(CN115="pass",AQ115&lt;&gt;"Y",C115&lt;&gt;"",OR(AX115&lt;&gt;"Y",AV115="Y")),"Y","N"))</f>
        <v>Y</v>
      </c>
      <c r="AU115" s="0" t="str">
        <f aca="false">IF($A115="","",_xlfn.TEXTJOIN("; ",TRUE(),IF(CN115&lt;&gt;"pass","gated out",""),IF(AQ115="Y","on hold: "&amp;AR115,""),IF(C115="","no contact named on an opened page",""),IF(AND(AX115="Y",AV115&lt;&gt;"Y"),"Tuesday estimate band "&amp;L115&amp;": founder's call","")))</f>
        <v/>
      </c>
      <c r="AX115" s="0" t="s">
        <v>189</v>
      </c>
      <c r="BC115" s="0" t="str">
        <f aca="false">IF($A115="","",IFERROR(INDEX(Enrichment!$A$2:$GZ$2000,MATCH($A115,INDEX(Enrichment!$A$2:$GZ$2000,0,MATCH("row_id",Enrichment!$A$1:$GZ$1,0)),0),MATCH("work_email",Enrichment!$A$1:$GZ$1,0))&amp;"",""))</f>
        <v/>
      </c>
      <c r="BD115" s="0" t="str">
        <f aca="false">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none</v>
      </c>
      <c r="BF115" s="0" t="s">
        <v>380</v>
      </c>
      <c r="BJ115" s="0" t="s">
        <v>380</v>
      </c>
      <c r="BL115" s="0" t="s">
        <v>896</v>
      </c>
      <c r="BQ115" s="0" t="str">
        <f aca="false">IF($A115="","",IFERROR(INDEX(Enrichment!$A$2:$GZ$2000,MATCH($A115,INDEX(Enrichment!$A$2:$GZ$2000,0,MATCH("row_id",Enrichment!$A$1:$GZ$1,0)),0),MATCH("backup_work_email",Enrichment!$A$1:$GZ$1,0))&amp;"",""))</f>
        <v/>
      </c>
      <c r="BR115" s="0" t="str">
        <f aca="false">IF($A115="","",IF(BQ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none</v>
      </c>
      <c r="BT115" s="0" t="s">
        <v>380</v>
      </c>
      <c r="BX115" s="0" t="s">
        <v>380</v>
      </c>
      <c r="BY115" s="0" t="s">
        <v>387</v>
      </c>
      <c r="BZ115" s="0" t="s">
        <v>388</v>
      </c>
      <c r="CA115" s="0" t="s">
        <v>2707</v>
      </c>
      <c r="CB115" s="0" t="s">
        <v>196</v>
      </c>
      <c r="CM115" s="0" t="s">
        <v>189</v>
      </c>
      <c r="CN115" s="0" t="s">
        <v>200</v>
      </c>
      <c r="CO115" s="0" t="s">
        <v>201</v>
      </c>
      <c r="CP115" s="0" t="s">
        <v>1</v>
      </c>
      <c r="CQ115" s="0" t="s">
        <v>3156</v>
      </c>
      <c r="CR115" s="0" t="s">
        <v>3151</v>
      </c>
      <c r="CS115" s="0" t="s">
        <v>3155</v>
      </c>
      <c r="CT115" s="0" t="s">
        <v>209</v>
      </c>
      <c r="CV115" s="0" t="s">
        <v>209</v>
      </c>
      <c r="CW115" s="0" t="s">
        <v>209</v>
      </c>
      <c r="CX115" s="0" t="s">
        <v>2712</v>
      </c>
      <c r="DA115" s="0" t="s">
        <v>209</v>
      </c>
      <c r="DB115" s="0" t="s">
        <v>3157</v>
      </c>
      <c r="DC115" s="0" t="s">
        <v>189</v>
      </c>
      <c r="DD115" s="0" t="s">
        <v>209</v>
      </c>
      <c r="DE115" s="0" t="s">
        <v>209</v>
      </c>
      <c r="DF115" s="0" t="s">
        <v>311</v>
      </c>
      <c r="DG115" s="0" t="n">
        <v>40.745027</v>
      </c>
      <c r="DH115" s="0" t="n">
        <v>-73.986825</v>
      </c>
      <c r="DI115" s="0" t="s">
        <v>164</v>
      </c>
      <c r="DJ115" s="0" t="n">
        <v>0</v>
      </c>
      <c r="DK115" s="0" t="s">
        <v>1937</v>
      </c>
      <c r="DL115" s="0" t="s">
        <v>1938</v>
      </c>
      <c r="DM115" s="0" t="s">
        <v>3158</v>
      </c>
      <c r="DN115" s="0" t="s">
        <v>3159</v>
      </c>
      <c r="DO115" s="0" t="s">
        <v>363</v>
      </c>
      <c r="DP115" s="0" t="s">
        <v>3160</v>
      </c>
      <c r="DQ115" s="0" t="s">
        <v>263</v>
      </c>
      <c r="DS115" s="0" t="s">
        <v>217</v>
      </c>
      <c r="DU115" s="0" t="s">
        <v>189</v>
      </c>
      <c r="DX115" s="0" t="s">
        <v>267</v>
      </c>
      <c r="DY115" s="0" t="s">
        <v>1941</v>
      </c>
      <c r="EA115" s="0" t="s">
        <v>209</v>
      </c>
      <c r="EB115" s="0" t="s">
        <v>189</v>
      </c>
      <c r="EC115" s="0" t="s">
        <v>209</v>
      </c>
      <c r="EF115" s="0" t="s">
        <v>209</v>
      </c>
      <c r="EH115" s="0" t="s">
        <v>189</v>
      </c>
      <c r="EI115" s="0" t="s">
        <v>2716</v>
      </c>
      <c r="EJ115" s="0" t="s">
        <v>221</v>
      </c>
      <c r="EK115" s="0" t="s">
        <v>209</v>
      </c>
      <c r="EL115" s="0" t="n">
        <v>36</v>
      </c>
      <c r="EM115" s="0" t="n">
        <v>7</v>
      </c>
      <c r="EN115" s="0" t="n">
        <v>8</v>
      </c>
      <c r="EO115" s="0" t="n">
        <v>6</v>
      </c>
      <c r="EP115" s="0" t="n">
        <v>15</v>
      </c>
      <c r="EQ115" s="0" t="n">
        <f aca="false">IF($A115="","",IF(AH115="exact",10,IF(AH115="adjacent",5,0)))</f>
        <v>0</v>
      </c>
      <c r="ER115" s="0" t="n">
        <f aca="false">IF($A115="","",IF(R115="Y",15,0))</f>
        <v>0</v>
      </c>
      <c r="ES115" s="0" t="s">
        <v>222</v>
      </c>
      <c r="EV115" s="0" t="s">
        <v>3161</v>
      </c>
      <c r="EW115" s="0" t="s">
        <v>224</v>
      </c>
      <c r="EX115" s="0" t="s">
        <v>3162</v>
      </c>
      <c r="FS115" s="0" t="str">
        <f aca="false">IF($A115="","",IF(ISNUMBER(MATCH(U115,{"queued","contacted","replied","call_booked","call_done","yes_in_principle","materials_sent"},0)),"Y","N"))</f>
        <v>N</v>
      </c>
      <c r="FT115" s="0" t="str">
        <f aca="false">IF($A115="","",IF(OR(T115="Y",U115="do_not_contact",AS115&amp;""&lt;&gt;""),"Y","N"))</f>
        <v>N</v>
      </c>
      <c r="FU115" s="0" t="str">
        <f aca="false">IF($A115="","",IF(AP115&amp;""&lt;&gt;"",AP115&amp;"",$A115))</f>
        <v>AO-C-165</v>
      </c>
      <c r="FV115" s="0" t="str">
        <f aca="false">IF($A115="","",IF(COUNTIFS($FU$2:$FU$1000,FU115,$FS$2:$FS$1000,"Y")+COUNTIFS($FU$2:$FU$1000,FU115,$FT$2:$FT$1000,"Y")&gt;0,"Y","N"))</f>
        <v>N</v>
      </c>
      <c r="FW115" s="0" t="str">
        <f aca="false">IF($A115="","",IF(AND(U115="new",T115="N",FT115="N",AT115="Y",FV115="N"),"Y","N"))</f>
        <v>N</v>
      </c>
      <c r="FX115" s="0" t="str">
        <f aca="false">IF($A115="","",IF(FW115&lt;&gt;"Y","N",IF(COUNTIFS($FU$2:$FU$1000,FU115,$FW$2:$FW$1000,"Y",$J$2:$J$1000,"&gt;"&amp;J115)+COUNTIFS($FU$2:$FU$1000,FU115,$FW$2:$FW$1000,"Y",$J$2:$J$1000,J115,$GD$2:$GD$1000,"&lt;"&amp;GD115)=0,"Y","N")))</f>
        <v>N</v>
      </c>
      <c r="FY115" s="0" t="str">
        <f aca="false">IF($A115="","",IF(AND(FW115="Y",FX115="Y",Y115&amp;""&lt;&gt;""),IF(Y115&lt;=10,"Y","N"),"N"))</f>
        <v>N</v>
      </c>
      <c r="FZ115" s="0" t="str">
        <f aca="false">IF(FY115="Y",Y115,"")</f>
        <v/>
      </c>
      <c r="GA115" s="0" t="str">
        <f aca="false">IF($A115="","",IF(AND(I115="walk-in",CN115="pass",U115="new",FT115="N",FV115="N",AQ115&lt;&gt;"Y"),"Y","N"))</f>
        <v>N</v>
      </c>
      <c r="GB115" s="0" t="str">
        <f aca="false">IF(GA115&lt;&gt;"Y","",IF(COUNTIFS($GA$2:$GA$1000,"Y",$J$2:$J$1000,"&gt;"&amp;J115)+COUNTIFS($GA$2:$GA$1000,"Y",$J$2:$J$1000,J115,$GD$2:$GD$1000,"&lt;"&amp;GD115)+1&lt;=25,COUNTIFS($GA$2:$GA$1000,"Y",$J$2:$J$1000,"&gt;"&amp;J115)+COUNTIFS($GA$2:$GA$1000,"Y",$J$2:$J$1000,J115,$GD$2:$GD$1000,"&lt;"&amp;GD115)+1,""))</f>
        <v/>
      </c>
      <c r="GC115" s="0" t="str">
        <f aca="false">IF(AND(_xlfn.ISFORMULA(C115),_xlfn.ISFORMULA(J115)),"Y","N")</f>
        <v>N</v>
      </c>
      <c r="GD115" s="0" t="n">
        <f aca="false">ROW()-1</f>
        <v>114</v>
      </c>
    </row>
    <row r="116" customFormat="false" ht="15" hidden="false" customHeight="false" outlineLevel="0" collapsed="false">
      <c r="A116" s="0" t="s">
        <v>3163</v>
      </c>
      <c r="B116" s="0" t="s">
        <v>3164</v>
      </c>
      <c r="C116" s="0" t="s">
        <v>3165</v>
      </c>
      <c r="D116" s="0" t="s">
        <v>3166</v>
      </c>
      <c r="E116" s="0" t="s">
        <v>3167</v>
      </c>
      <c r="F116" s="0" t="s">
        <v>3086</v>
      </c>
      <c r="G116" s="0" t="s">
        <v>189</v>
      </c>
      <c r="M116" s="0" t="s">
        <v>380</v>
      </c>
      <c r="R116" s="5"/>
      <c r="U116" s="5"/>
      <c r="V116" s="0" t="s">
        <v>380</v>
      </c>
      <c r="AE116" s="0" t="s">
        <v>1493</v>
      </c>
      <c r="AF116" s="0" t="s">
        <v>3168</v>
      </c>
      <c r="AG116" s="0" t="s">
        <v>3169</v>
      </c>
      <c r="AH116" s="0" t="s">
        <v>209</v>
      </c>
      <c r="AI116" s="0" t="s">
        <v>209</v>
      </c>
      <c r="AJ116" s="0" t="s">
        <v>189</v>
      </c>
      <c r="AK116" s="0" t="s">
        <v>209</v>
      </c>
      <c r="AL116" s="0" t="s">
        <v>189</v>
      </c>
      <c r="AM116" s="0" t="s">
        <v>209</v>
      </c>
      <c r="AN116" s="0" t="s">
        <v>380</v>
      </c>
      <c r="AO116" s="0" t="s">
        <v>209</v>
      </c>
      <c r="AP116" s="0" t="s">
        <v>3163</v>
      </c>
      <c r="AQ116" s="5" t="s">
        <v>189</v>
      </c>
      <c r="AT116" s="0" t="str">
        <f aca="false">IF($A116="","",IF(AND(CN116="pass",AQ116&lt;&gt;"Y",C116&lt;&gt;"",OR(AX116&lt;&gt;"Y",AV116="Y")),"Y","N"))</f>
        <v>Y</v>
      </c>
      <c r="AU116" s="0" t="str">
        <f aca="false">IF($A116="","",_xlfn.TEXTJOIN("; ",TRUE(),IF(CN116&lt;&gt;"pass","gated out",""),IF(AQ116="Y","on hold: "&amp;AR116,""),IF(C116="","no contact named on an opened page",""),IF(AND(AX116="Y",AV116&lt;&gt;"Y"),"Tuesday estimate band "&amp;L116&amp;": founder's call","")))</f>
        <v/>
      </c>
      <c r="AX116" s="0" t="s">
        <v>189</v>
      </c>
      <c r="BC116" s="0" t="str">
        <f aca="false">IF($A116="","",IFERROR(INDEX(Enrichment!$A$2:$GZ$2000,MATCH($A116,INDEX(Enrichment!$A$2:$GZ$2000,0,MATCH("row_id",Enrichment!$A$1:$GZ$1,0)),0),MATCH("work_email",Enrichment!$A$1:$GZ$1,0))&amp;"",""))</f>
        <v/>
      </c>
      <c r="BD116" s="0" t="str">
        <f aca="false">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none</v>
      </c>
      <c r="BF116" s="0" t="s">
        <v>380</v>
      </c>
      <c r="BJ116" s="0" t="s">
        <v>380</v>
      </c>
      <c r="BL116" s="0" t="s">
        <v>896</v>
      </c>
      <c r="BQ116" s="0" t="str">
        <f aca="false">IF($A116="","",IFERROR(INDEX(Enrichment!$A$2:$GZ$2000,MATCH($A116,INDEX(Enrichment!$A$2:$GZ$2000,0,MATCH("row_id",Enrichment!$A$1:$GZ$1,0)),0),MATCH("backup_work_email",Enrichment!$A$1:$GZ$1,0))&amp;"",""))</f>
        <v/>
      </c>
      <c r="BR116" s="0" t="str">
        <f aca="false">IF($A116="","",IF(BQ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none</v>
      </c>
      <c r="BT116" s="0" t="s">
        <v>380</v>
      </c>
      <c r="BX116" s="0" t="s">
        <v>380</v>
      </c>
      <c r="BY116" s="0" t="s">
        <v>387</v>
      </c>
      <c r="BZ116" s="0" t="s">
        <v>388</v>
      </c>
      <c r="CA116" s="0" t="s">
        <v>2707</v>
      </c>
      <c r="CB116" s="0" t="s">
        <v>196</v>
      </c>
      <c r="CM116" s="0" t="s">
        <v>189</v>
      </c>
      <c r="CN116" s="0" t="s">
        <v>200</v>
      </c>
      <c r="CO116" s="0" t="s">
        <v>201</v>
      </c>
      <c r="CP116" s="0" t="s">
        <v>1</v>
      </c>
      <c r="CQ116" s="0" t="s">
        <v>3170</v>
      </c>
      <c r="CR116" s="0" t="s">
        <v>3165</v>
      </c>
      <c r="CS116" s="0" t="s">
        <v>3169</v>
      </c>
      <c r="CT116" s="0" t="s">
        <v>209</v>
      </c>
      <c r="CV116" s="0" t="s">
        <v>209</v>
      </c>
      <c r="CW116" s="0" t="s">
        <v>209</v>
      </c>
      <c r="CX116" s="0" t="s">
        <v>2712</v>
      </c>
      <c r="DA116" s="0" t="s">
        <v>209</v>
      </c>
      <c r="DB116" s="0" t="s">
        <v>209</v>
      </c>
      <c r="DC116" s="0" t="s">
        <v>209</v>
      </c>
      <c r="DD116" s="0" t="s">
        <v>209</v>
      </c>
      <c r="DE116" s="0" t="s">
        <v>209</v>
      </c>
      <c r="DF116" s="0" t="s">
        <v>525</v>
      </c>
      <c r="DG116" s="0" t="n">
        <v>40.743288</v>
      </c>
      <c r="DH116" s="0" t="n">
        <v>-73.986627</v>
      </c>
      <c r="DI116" s="0" t="s">
        <v>164</v>
      </c>
      <c r="DJ116" s="0" t="n">
        <v>0</v>
      </c>
      <c r="DK116" s="0" t="s">
        <v>1859</v>
      </c>
      <c r="DL116" s="0" t="s">
        <v>1860</v>
      </c>
      <c r="DM116" s="0" t="s">
        <v>3171</v>
      </c>
      <c r="DN116" s="0" t="s">
        <v>2677</v>
      </c>
      <c r="DO116" s="0" t="s">
        <v>363</v>
      </c>
      <c r="DP116" s="0" t="s">
        <v>3172</v>
      </c>
      <c r="DQ116" s="0" t="s">
        <v>263</v>
      </c>
      <c r="DS116" s="0" t="s">
        <v>217</v>
      </c>
      <c r="DU116" s="0" t="s">
        <v>189</v>
      </c>
      <c r="DX116" s="0" t="s">
        <v>209</v>
      </c>
      <c r="EA116" s="0" t="s">
        <v>209</v>
      </c>
      <c r="EB116" s="0" t="s">
        <v>189</v>
      </c>
      <c r="EC116" s="0" t="s">
        <v>209</v>
      </c>
      <c r="EF116" s="0" t="s">
        <v>209</v>
      </c>
      <c r="EH116" s="0" t="s">
        <v>189</v>
      </c>
      <c r="EI116" s="0" t="s">
        <v>2716</v>
      </c>
      <c r="EJ116" s="0" t="s">
        <v>221</v>
      </c>
      <c r="EK116" s="0" t="s">
        <v>209</v>
      </c>
      <c r="EL116" s="0" t="n">
        <v>36</v>
      </c>
      <c r="EM116" s="0" t="n">
        <v>7</v>
      </c>
      <c r="EN116" s="0" t="n">
        <v>8</v>
      </c>
      <c r="EO116" s="0" t="n">
        <v>6</v>
      </c>
      <c r="EP116" s="0" t="n">
        <v>15</v>
      </c>
      <c r="EQ116" s="0" t="n">
        <f aca="false">IF($A116="","",IF(AH116="exact",10,IF(AH116="adjacent",5,0)))</f>
        <v>0</v>
      </c>
      <c r="ER116" s="0" t="n">
        <f aca="false">IF($A116="","",IF(R116="Y",15,0))</f>
        <v>0</v>
      </c>
      <c r="ES116" s="0" t="s">
        <v>222</v>
      </c>
      <c r="EV116" s="0" t="s">
        <v>1719</v>
      </c>
      <c r="EW116" s="0" t="s">
        <v>224</v>
      </c>
      <c r="EX116" s="0" t="s">
        <v>3173</v>
      </c>
      <c r="FS116" s="0" t="str">
        <f aca="false">IF($A116="","",IF(ISNUMBER(MATCH(U116,{"queued","contacted","replied","call_booked","call_done","yes_in_principle","materials_sent"},0)),"Y","N"))</f>
        <v>N</v>
      </c>
      <c r="FT116" s="0" t="str">
        <f aca="false">IF($A116="","",IF(OR(T116="Y",U116="do_not_contact",AS116&amp;""&lt;&gt;""),"Y","N"))</f>
        <v>N</v>
      </c>
      <c r="FU116" s="0" t="str">
        <f aca="false">IF($A116="","",IF(AP116&amp;""&lt;&gt;"",AP116&amp;"",$A116))</f>
        <v>AO-C-141</v>
      </c>
      <c r="FV116" s="0" t="str">
        <f aca="false">IF($A116="","",IF(COUNTIFS($FU$2:$FU$1000,FU116,$FS$2:$FS$1000,"Y")+COUNTIFS($FU$2:$FU$1000,FU116,$FT$2:$FT$1000,"Y")&gt;0,"Y","N"))</f>
        <v>N</v>
      </c>
      <c r="FW116" s="0" t="str">
        <f aca="false">IF($A116="","",IF(AND(U116="new",T116="N",FT116="N",AT116="Y",FV116="N"),"Y","N"))</f>
        <v>N</v>
      </c>
      <c r="FX116" s="0" t="str">
        <f aca="false">IF($A116="","",IF(FW116&lt;&gt;"Y","N",IF(COUNTIFS($FU$2:$FU$1000,FU116,$FW$2:$FW$1000,"Y",$J$2:$J$1000,"&gt;"&amp;J116)+COUNTIFS($FU$2:$FU$1000,FU116,$FW$2:$FW$1000,"Y",$J$2:$J$1000,J116,$GD$2:$GD$1000,"&lt;"&amp;GD116)=0,"Y","N")))</f>
        <v>N</v>
      </c>
      <c r="FY116" s="0" t="str">
        <f aca="false">IF($A116="","",IF(AND(FW116="Y",FX116="Y",Y116&amp;""&lt;&gt;""),IF(Y116&lt;=10,"Y","N"),"N"))</f>
        <v>N</v>
      </c>
      <c r="FZ116" s="0" t="str">
        <f aca="false">IF(FY116="Y",Y116,"")</f>
        <v/>
      </c>
      <c r="GA116" s="0" t="str">
        <f aca="false">IF($A116="","",IF(AND(I116="walk-in",CN116="pass",U116="new",FT116="N",FV116="N",AQ116&lt;&gt;"Y"),"Y","N"))</f>
        <v>N</v>
      </c>
      <c r="GB116" s="0" t="str">
        <f aca="false">IF(GA116&lt;&gt;"Y","",IF(COUNTIFS($GA$2:$GA$1000,"Y",$J$2:$J$1000,"&gt;"&amp;J116)+COUNTIFS($GA$2:$GA$1000,"Y",$J$2:$J$1000,J116,$GD$2:$GD$1000,"&lt;"&amp;GD116)+1&lt;=25,COUNTIFS($GA$2:$GA$1000,"Y",$J$2:$J$1000,"&gt;"&amp;J116)+COUNTIFS($GA$2:$GA$1000,"Y",$J$2:$J$1000,J116,$GD$2:$GD$1000,"&lt;"&amp;GD116)+1,""))</f>
        <v/>
      </c>
      <c r="GC116" s="0" t="str">
        <f aca="false">IF(AND(_xlfn.ISFORMULA(C116),_xlfn.ISFORMULA(J116)),"Y","N")</f>
        <v>N</v>
      </c>
      <c r="GD116" s="0" t="n">
        <f aca="false">ROW()-1</f>
        <v>115</v>
      </c>
    </row>
    <row r="117" customFormat="false" ht="15" hidden="false" customHeight="false" outlineLevel="0" collapsed="false">
      <c r="A117" s="0" t="s">
        <v>3174</v>
      </c>
      <c r="B117" s="0" t="s">
        <v>3175</v>
      </c>
      <c r="C117" s="0" t="s">
        <v>3176</v>
      </c>
      <c r="D117" s="0" t="s">
        <v>3177</v>
      </c>
      <c r="E117" s="0" t="s">
        <v>3178</v>
      </c>
      <c r="F117" s="0" t="s">
        <v>3086</v>
      </c>
      <c r="G117" s="0" t="s">
        <v>189</v>
      </c>
      <c r="M117" s="0" t="s">
        <v>380</v>
      </c>
      <c r="R117" s="5"/>
      <c r="U117" s="5"/>
      <c r="V117" s="0" t="s">
        <v>380</v>
      </c>
      <c r="AE117" s="0" t="s">
        <v>3179</v>
      </c>
      <c r="AF117" s="0" t="s">
        <v>3180</v>
      </c>
      <c r="AG117" s="0" t="s">
        <v>3118</v>
      </c>
      <c r="AH117" s="0" t="s">
        <v>209</v>
      </c>
      <c r="AJ117" s="0" t="s">
        <v>189</v>
      </c>
      <c r="AK117" s="0" t="s">
        <v>209</v>
      </c>
      <c r="AL117" s="0" t="s">
        <v>189</v>
      </c>
      <c r="AM117" s="0" t="s">
        <v>209</v>
      </c>
      <c r="AN117" s="0" t="s">
        <v>380</v>
      </c>
      <c r="AO117" s="0" t="s">
        <v>209</v>
      </c>
      <c r="AP117" s="0" t="s">
        <v>3181</v>
      </c>
      <c r="AQ117" s="5" t="s">
        <v>189</v>
      </c>
      <c r="AT117" s="0" t="str">
        <f aca="false">IF($A117="","",IF(AND(CN117="pass",AQ117&lt;&gt;"Y",C117&lt;&gt;"",OR(AX117&lt;&gt;"Y",AV117="Y")),"Y","N"))</f>
        <v>Y</v>
      </c>
      <c r="AU117" s="0" t="str">
        <f aca="false">IF($A117="","",_xlfn.TEXTJOIN("; ",TRUE(),IF(CN117&lt;&gt;"pass","gated out",""),IF(AQ117="Y","on hold: "&amp;AR117,""),IF(C117="","no contact named on an opened page",""),IF(AND(AX117="Y",AV117&lt;&gt;"Y"),"Tuesday estimate band "&amp;L117&amp;": founder's call","")))</f>
        <v/>
      </c>
      <c r="AX117" s="0" t="s">
        <v>189</v>
      </c>
      <c r="BC117" s="0" t="str">
        <f aca="false">IF($A117="","",IFERROR(INDEX(Enrichment!$A$2:$GZ$2000,MATCH($A117,INDEX(Enrichment!$A$2:$GZ$2000,0,MATCH("row_id",Enrichment!$A$1:$GZ$1,0)),0),MATCH("work_email",Enrichment!$A$1:$GZ$1,0))&amp;"",""))</f>
        <v/>
      </c>
      <c r="BD117" s="0" t="str">
        <f aca="false">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none</v>
      </c>
      <c r="BF117" s="0" t="s">
        <v>380</v>
      </c>
      <c r="BJ117" s="0" t="s">
        <v>380</v>
      </c>
      <c r="BL117" s="0" t="s">
        <v>896</v>
      </c>
      <c r="BQ117" s="0" t="str">
        <f aca="false">IF($A117="","",IFERROR(INDEX(Enrichment!$A$2:$GZ$2000,MATCH($A117,INDEX(Enrichment!$A$2:$GZ$2000,0,MATCH("row_id",Enrichment!$A$1:$GZ$1,0)),0),MATCH("backup_work_email",Enrichment!$A$1:$GZ$1,0))&amp;"",""))</f>
        <v/>
      </c>
      <c r="BR117" s="0" t="str">
        <f aca="false">IF($A117="","",IF(BQ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none</v>
      </c>
      <c r="BT117" s="0" t="s">
        <v>380</v>
      </c>
      <c r="BX117" s="0" t="s">
        <v>380</v>
      </c>
      <c r="BY117" s="0" t="s">
        <v>387</v>
      </c>
      <c r="BZ117" s="0" t="s">
        <v>388</v>
      </c>
      <c r="CA117" s="0" t="s">
        <v>3120</v>
      </c>
      <c r="CB117" s="0" t="s">
        <v>196</v>
      </c>
      <c r="CM117" s="0" t="s">
        <v>189</v>
      </c>
      <c r="CN117" s="0" t="s">
        <v>200</v>
      </c>
      <c r="CO117" s="0" t="s">
        <v>201</v>
      </c>
      <c r="CP117" s="0" t="s">
        <v>3121</v>
      </c>
      <c r="CQ117" s="0" t="s">
        <v>3182</v>
      </c>
      <c r="CR117" s="0" t="s">
        <v>3176</v>
      </c>
      <c r="CS117" s="0" t="s">
        <v>3118</v>
      </c>
      <c r="CT117" s="0" t="s">
        <v>209</v>
      </c>
      <c r="CV117" s="0" t="s">
        <v>209</v>
      </c>
      <c r="CW117" s="0" t="s">
        <v>209</v>
      </c>
      <c r="DA117" s="0" t="s">
        <v>209</v>
      </c>
      <c r="DB117" s="0" t="s">
        <v>3123</v>
      </c>
      <c r="DC117" s="0" t="s">
        <v>209</v>
      </c>
      <c r="DD117" s="0" t="s">
        <v>3183</v>
      </c>
      <c r="DF117" s="0" t="s">
        <v>525</v>
      </c>
      <c r="DG117" s="0" t="n">
        <v>40.739961</v>
      </c>
      <c r="DH117" s="0" t="n">
        <v>-73.990971</v>
      </c>
      <c r="DI117" s="0" t="s">
        <v>164</v>
      </c>
      <c r="DJ117" s="0" t="n">
        <v>0</v>
      </c>
      <c r="DK117" s="0" t="s">
        <v>1716</v>
      </c>
      <c r="DL117" s="0" t="s">
        <v>1717</v>
      </c>
      <c r="DM117" s="0" t="s">
        <v>3184</v>
      </c>
      <c r="DN117" s="0" t="s">
        <v>263</v>
      </c>
      <c r="DO117" s="0" t="s">
        <v>3128</v>
      </c>
      <c r="DP117" s="0" t="s">
        <v>3185</v>
      </c>
      <c r="DS117" s="0" t="s">
        <v>217</v>
      </c>
      <c r="DU117" s="0" t="s">
        <v>189</v>
      </c>
      <c r="DV117" s="0" t="s">
        <v>3182</v>
      </c>
      <c r="DW117" s="0" t="s">
        <v>3130</v>
      </c>
      <c r="DX117" s="0" t="s">
        <v>209</v>
      </c>
      <c r="EA117" s="0" t="s">
        <v>209</v>
      </c>
      <c r="EB117" s="0" t="s">
        <v>189</v>
      </c>
      <c r="EC117" s="0" t="s">
        <v>209</v>
      </c>
      <c r="EF117" s="0" t="s">
        <v>209</v>
      </c>
      <c r="EH117" s="0" t="s">
        <v>189</v>
      </c>
      <c r="EI117" s="0" t="s">
        <v>3131</v>
      </c>
      <c r="EJ117" s="0" t="s">
        <v>221</v>
      </c>
      <c r="EK117" s="0" t="s">
        <v>209</v>
      </c>
      <c r="EL117" s="0" t="n">
        <v>36</v>
      </c>
      <c r="EM117" s="0" t="n">
        <v>7</v>
      </c>
      <c r="EN117" s="0" t="n">
        <v>8</v>
      </c>
      <c r="EO117" s="0" t="n">
        <v>6</v>
      </c>
      <c r="EP117" s="0" t="n">
        <v>15</v>
      </c>
      <c r="EQ117" s="0" t="n">
        <f aca="false">IF($A117="","",IF(AH117="exact",10,IF(AH117="adjacent",5,0)))</f>
        <v>0</v>
      </c>
      <c r="ER117" s="0" t="n">
        <f aca="false">IF($A117="","",IF(R117="Y",15,0))</f>
        <v>0</v>
      </c>
      <c r="ES117" s="0" t="s">
        <v>3121</v>
      </c>
      <c r="EX117" s="0" t="s">
        <v>3186</v>
      </c>
      <c r="FA117" s="0" t="s">
        <v>3187</v>
      </c>
      <c r="FS117" s="0" t="str">
        <f aca="false">IF($A117="","",IF(ISNUMBER(MATCH(U117,{"queued","contacted","replied","call_booked","call_done","yes_in_principle","materials_sent"},0)),"Y","N"))</f>
        <v>N</v>
      </c>
      <c r="FT117" s="0" t="str">
        <f aca="false">IF($A117="","",IF(OR(T117="Y",U117="do_not_contact",AS117&amp;""&lt;&gt;""),"Y","N"))</f>
        <v>N</v>
      </c>
      <c r="FU117" s="0" t="str">
        <f aca="false">IF($A117="","",IF(AP117&amp;""&lt;&gt;"",AP117&amp;"",$A117))</f>
        <v>grp-W003-W005-W007-W008-W014-W016-W027</v>
      </c>
      <c r="FV117" s="0" t="str">
        <f aca="false">IF($A117="","",IF(COUNTIFS($FU$2:$FU$1000,FU117,$FS$2:$FS$1000,"Y")+COUNTIFS($FU$2:$FU$1000,FU117,$FT$2:$FT$1000,"Y")&gt;0,"Y","N"))</f>
        <v>N</v>
      </c>
      <c r="FW117" s="0" t="str">
        <f aca="false">IF($A117="","",IF(AND(U117="new",T117="N",FT117="N",AT117="Y",FV117="N"),"Y","N"))</f>
        <v>N</v>
      </c>
      <c r="FX117" s="0" t="str">
        <f aca="false">IF($A117="","",IF(FW117&lt;&gt;"Y","N",IF(COUNTIFS($FU$2:$FU$1000,FU117,$FW$2:$FW$1000,"Y",$J$2:$J$1000,"&gt;"&amp;J117)+COUNTIFS($FU$2:$FU$1000,FU117,$FW$2:$FW$1000,"Y",$J$2:$J$1000,J117,$GD$2:$GD$1000,"&lt;"&amp;GD117)=0,"Y","N")))</f>
        <v>N</v>
      </c>
      <c r="FY117" s="0" t="str">
        <f aca="false">IF($A117="","",IF(AND(FW117="Y",FX117="Y",Y117&amp;""&lt;&gt;""),IF(Y117&lt;=10,"Y","N"),"N"))</f>
        <v>N</v>
      </c>
      <c r="FZ117" s="0" t="str">
        <f aca="false">IF(FY117="Y",Y117,"")</f>
        <v/>
      </c>
      <c r="GA117" s="0" t="str">
        <f aca="false">IF($A117="","",IF(AND(I117="walk-in",CN117="pass",U117="new",FT117="N",FV117="N",AQ117&lt;&gt;"Y"),"Y","N"))</f>
        <v>N</v>
      </c>
      <c r="GB117" s="0" t="str">
        <f aca="false">IF(GA117&lt;&gt;"Y","",IF(COUNTIFS($GA$2:$GA$1000,"Y",$J$2:$J$1000,"&gt;"&amp;J117)+COUNTIFS($GA$2:$GA$1000,"Y",$J$2:$J$1000,J117,$GD$2:$GD$1000,"&lt;"&amp;GD117)+1&lt;=25,COUNTIFS($GA$2:$GA$1000,"Y",$J$2:$J$1000,"&gt;"&amp;J117)+COUNTIFS($GA$2:$GA$1000,"Y",$J$2:$J$1000,J117,$GD$2:$GD$1000,"&lt;"&amp;GD117)+1,""))</f>
        <v/>
      </c>
      <c r="GC117" s="0" t="str">
        <f aca="false">IF(AND(_xlfn.ISFORMULA(C117),_xlfn.ISFORMULA(J117)),"Y","N")</f>
        <v>N</v>
      </c>
      <c r="GD117" s="0" t="n">
        <f aca="false">ROW()-1</f>
        <v>116</v>
      </c>
    </row>
    <row r="118" customFormat="false" ht="15" hidden="false" customHeight="false" outlineLevel="0" collapsed="false">
      <c r="A118" s="0" t="s">
        <v>3188</v>
      </c>
      <c r="B118" s="0" t="s">
        <v>3189</v>
      </c>
      <c r="C118" s="0" t="s">
        <v>3176</v>
      </c>
      <c r="D118" s="0" t="s">
        <v>3177</v>
      </c>
      <c r="E118" s="0" t="s">
        <v>3190</v>
      </c>
      <c r="F118" s="0" t="s">
        <v>3086</v>
      </c>
      <c r="G118" s="0" t="s">
        <v>189</v>
      </c>
      <c r="M118" s="0" t="s">
        <v>380</v>
      </c>
      <c r="R118" s="5"/>
      <c r="U118" s="5"/>
      <c r="V118" s="0" t="s">
        <v>380</v>
      </c>
      <c r="AE118" s="0" t="s">
        <v>3191</v>
      </c>
      <c r="AF118" s="0" t="s">
        <v>3192</v>
      </c>
      <c r="AG118" s="0" t="s">
        <v>3118</v>
      </c>
      <c r="AH118" s="0" t="s">
        <v>209</v>
      </c>
      <c r="AJ118" s="0" t="s">
        <v>189</v>
      </c>
      <c r="AK118" s="0" t="s">
        <v>209</v>
      </c>
      <c r="AL118" s="0" t="s">
        <v>189</v>
      </c>
      <c r="AM118" s="0" t="s">
        <v>209</v>
      </c>
      <c r="AN118" s="0" t="s">
        <v>380</v>
      </c>
      <c r="AO118" s="0" t="s">
        <v>209</v>
      </c>
      <c r="AP118" s="0" t="s">
        <v>3181</v>
      </c>
      <c r="AQ118" s="5" t="s">
        <v>189</v>
      </c>
      <c r="AT118" s="0" t="str">
        <f aca="false">IF($A118="","",IF(AND(CN118="pass",AQ118&lt;&gt;"Y",C118&lt;&gt;"",OR(AX118&lt;&gt;"Y",AV118="Y")),"Y","N"))</f>
        <v>Y</v>
      </c>
      <c r="AU118" s="0" t="str">
        <f aca="false">IF($A118="","",_xlfn.TEXTJOIN("; ",TRUE(),IF(CN118&lt;&gt;"pass","gated out",""),IF(AQ118="Y","on hold: "&amp;AR118,""),IF(C118="","no contact named on an opened page",""),IF(AND(AX118="Y",AV118&lt;&gt;"Y"),"Tuesday estimate band "&amp;L118&amp;": founder's call","")))</f>
        <v/>
      </c>
      <c r="AX118" s="0" t="s">
        <v>189</v>
      </c>
      <c r="BC118" s="0" t="str">
        <f aca="false">IF($A118="","",IFERROR(INDEX(Enrichment!$A$2:$GZ$2000,MATCH($A118,INDEX(Enrichment!$A$2:$GZ$2000,0,MATCH("row_id",Enrichment!$A$1:$GZ$1,0)),0),MATCH("work_email",Enrichment!$A$1:$GZ$1,0))&amp;"",""))</f>
        <v/>
      </c>
      <c r="BD118" s="0" t="str">
        <f aca="false">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none</v>
      </c>
      <c r="BF118" s="0" t="s">
        <v>380</v>
      </c>
      <c r="BJ118" s="0" t="s">
        <v>380</v>
      </c>
      <c r="BL118" s="0" t="s">
        <v>896</v>
      </c>
      <c r="BQ118" s="0" t="str">
        <f aca="false">IF($A118="","",IFERROR(INDEX(Enrichment!$A$2:$GZ$2000,MATCH($A118,INDEX(Enrichment!$A$2:$GZ$2000,0,MATCH("row_id",Enrichment!$A$1:$GZ$1,0)),0),MATCH("backup_work_email",Enrichment!$A$1:$GZ$1,0))&amp;"",""))</f>
        <v/>
      </c>
      <c r="BR118" s="0" t="str">
        <f aca="false">IF($A118="","",IF(BQ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none</v>
      </c>
      <c r="BT118" s="0" t="s">
        <v>380</v>
      </c>
      <c r="BX118" s="0" t="s">
        <v>380</v>
      </c>
      <c r="BY118" s="0" t="s">
        <v>387</v>
      </c>
      <c r="BZ118" s="0" t="s">
        <v>388</v>
      </c>
      <c r="CA118" s="0" t="s">
        <v>3120</v>
      </c>
      <c r="CB118" s="0" t="s">
        <v>196</v>
      </c>
      <c r="CM118" s="0" t="s">
        <v>189</v>
      </c>
      <c r="CN118" s="0" t="s">
        <v>200</v>
      </c>
      <c r="CO118" s="0" t="s">
        <v>201</v>
      </c>
      <c r="CP118" s="0" t="s">
        <v>3121</v>
      </c>
      <c r="CQ118" s="0" t="s">
        <v>3193</v>
      </c>
      <c r="CR118" s="0" t="s">
        <v>3176</v>
      </c>
      <c r="CS118" s="0" t="s">
        <v>3118</v>
      </c>
      <c r="CT118" s="0" t="s">
        <v>209</v>
      </c>
      <c r="CV118" s="0" t="s">
        <v>209</v>
      </c>
      <c r="CW118" s="0" t="s">
        <v>209</v>
      </c>
      <c r="DA118" s="0" t="s">
        <v>209</v>
      </c>
      <c r="DB118" s="0" t="s">
        <v>3123</v>
      </c>
      <c r="DC118" s="0" t="s">
        <v>209</v>
      </c>
      <c r="DD118" s="0" t="s">
        <v>3183</v>
      </c>
      <c r="DF118" s="0" t="s">
        <v>311</v>
      </c>
      <c r="DG118" s="0" t="n">
        <v>40.74291</v>
      </c>
      <c r="DH118" s="0" t="n">
        <v>-73.984627</v>
      </c>
      <c r="DI118" s="0" t="s">
        <v>164</v>
      </c>
      <c r="DJ118" s="0" t="n">
        <v>0</v>
      </c>
      <c r="DK118" s="0" t="s">
        <v>1275</v>
      </c>
      <c r="DL118" s="0" t="s">
        <v>1276</v>
      </c>
      <c r="DM118" s="0" t="s">
        <v>3184</v>
      </c>
      <c r="DN118" s="0" t="s">
        <v>263</v>
      </c>
      <c r="DO118" s="0" t="s">
        <v>3128</v>
      </c>
      <c r="DP118" s="0" t="s">
        <v>3194</v>
      </c>
      <c r="DS118" s="0" t="s">
        <v>217</v>
      </c>
      <c r="DU118" s="0" t="s">
        <v>189</v>
      </c>
      <c r="DV118" s="0" t="s">
        <v>3193</v>
      </c>
      <c r="DW118" s="0" t="s">
        <v>3130</v>
      </c>
      <c r="DX118" s="0" t="s">
        <v>209</v>
      </c>
      <c r="EA118" s="0" t="s">
        <v>209</v>
      </c>
      <c r="EB118" s="0" t="s">
        <v>189</v>
      </c>
      <c r="EC118" s="0" t="s">
        <v>209</v>
      </c>
      <c r="EF118" s="0" t="s">
        <v>209</v>
      </c>
      <c r="EH118" s="0" t="s">
        <v>189</v>
      </c>
      <c r="EI118" s="0" t="s">
        <v>3131</v>
      </c>
      <c r="EJ118" s="0" t="s">
        <v>221</v>
      </c>
      <c r="EK118" s="0" t="s">
        <v>209</v>
      </c>
      <c r="EL118" s="0" t="n">
        <v>36</v>
      </c>
      <c r="EM118" s="0" t="n">
        <v>7</v>
      </c>
      <c r="EN118" s="0" t="n">
        <v>8</v>
      </c>
      <c r="EO118" s="0" t="n">
        <v>6</v>
      </c>
      <c r="EP118" s="0" t="n">
        <v>15</v>
      </c>
      <c r="EQ118" s="0" t="n">
        <f aca="false">IF($A118="","",IF(AH118="exact",10,IF(AH118="adjacent",5,0)))</f>
        <v>0</v>
      </c>
      <c r="ER118" s="0" t="n">
        <f aca="false">IF($A118="","",IF(R118="Y",15,0))</f>
        <v>0</v>
      </c>
      <c r="ES118" s="0" t="s">
        <v>3121</v>
      </c>
      <c r="EX118" s="0" t="s">
        <v>3195</v>
      </c>
      <c r="FA118" s="0" t="s">
        <v>3196</v>
      </c>
      <c r="FS118" s="0" t="str">
        <f aca="false">IF($A118="","",IF(ISNUMBER(MATCH(U118,{"queued","contacted","replied","call_booked","call_done","yes_in_principle","materials_sent"},0)),"Y","N"))</f>
        <v>N</v>
      </c>
      <c r="FT118" s="0" t="str">
        <f aca="false">IF($A118="","",IF(OR(T118="Y",U118="do_not_contact",AS118&amp;""&lt;&gt;""),"Y","N"))</f>
        <v>N</v>
      </c>
      <c r="FU118" s="0" t="str">
        <f aca="false">IF($A118="","",IF(AP118&amp;""&lt;&gt;"",AP118&amp;"",$A118))</f>
        <v>grp-W003-W005-W007-W008-W014-W016-W027</v>
      </c>
      <c r="FV118" s="0" t="str">
        <f aca="false">IF($A118="","",IF(COUNTIFS($FU$2:$FU$1000,FU118,$FS$2:$FS$1000,"Y")+COUNTIFS($FU$2:$FU$1000,FU118,$FT$2:$FT$1000,"Y")&gt;0,"Y","N"))</f>
        <v>N</v>
      </c>
      <c r="FW118" s="0" t="str">
        <f aca="false">IF($A118="","",IF(AND(U118="new",T118="N",FT118="N",AT118="Y",FV118="N"),"Y","N"))</f>
        <v>N</v>
      </c>
      <c r="FX118" s="0" t="str">
        <f aca="false">IF($A118="","",IF(FW118&lt;&gt;"Y","N",IF(COUNTIFS($FU$2:$FU$1000,FU118,$FW$2:$FW$1000,"Y",$J$2:$J$1000,"&gt;"&amp;J118)+COUNTIFS($FU$2:$FU$1000,FU118,$FW$2:$FW$1000,"Y",$J$2:$J$1000,J118,$GD$2:$GD$1000,"&lt;"&amp;GD118)=0,"Y","N")))</f>
        <v>N</v>
      </c>
      <c r="FY118" s="0" t="str">
        <f aca="false">IF($A118="","",IF(AND(FW118="Y",FX118="Y",Y118&amp;""&lt;&gt;""),IF(Y118&lt;=10,"Y","N"),"N"))</f>
        <v>N</v>
      </c>
      <c r="FZ118" s="0" t="str">
        <f aca="false">IF(FY118="Y",Y118,"")</f>
        <v/>
      </c>
      <c r="GA118" s="0" t="str">
        <f aca="false">IF($A118="","",IF(AND(I118="walk-in",CN118="pass",U118="new",FT118="N",FV118="N",AQ118&lt;&gt;"Y"),"Y","N"))</f>
        <v>N</v>
      </c>
      <c r="GB118" s="0" t="str">
        <f aca="false">IF(GA118&lt;&gt;"Y","",IF(COUNTIFS($GA$2:$GA$1000,"Y",$J$2:$J$1000,"&gt;"&amp;J118)+COUNTIFS($GA$2:$GA$1000,"Y",$J$2:$J$1000,J118,$GD$2:$GD$1000,"&lt;"&amp;GD118)+1&lt;=25,COUNTIFS($GA$2:$GA$1000,"Y",$J$2:$J$1000,"&gt;"&amp;J118)+COUNTIFS($GA$2:$GA$1000,"Y",$J$2:$J$1000,J118,$GD$2:$GD$1000,"&lt;"&amp;GD118)+1,""))</f>
        <v/>
      </c>
      <c r="GC118" s="0" t="str">
        <f aca="false">IF(AND(_xlfn.ISFORMULA(C118),_xlfn.ISFORMULA(J118)),"Y","N")</f>
        <v>N</v>
      </c>
      <c r="GD118" s="0" t="n">
        <f aca="false">ROW()-1</f>
        <v>117</v>
      </c>
    </row>
    <row r="119" customFormat="false" ht="15" hidden="false" customHeight="false" outlineLevel="0" collapsed="false">
      <c r="A119" s="0" t="s">
        <v>3197</v>
      </c>
      <c r="B119" s="0" t="s">
        <v>3198</v>
      </c>
      <c r="C119" s="0" t="s">
        <v>3176</v>
      </c>
      <c r="D119" s="0" t="s">
        <v>3177</v>
      </c>
      <c r="E119" s="0" t="s">
        <v>3199</v>
      </c>
      <c r="F119" s="0" t="s">
        <v>3086</v>
      </c>
      <c r="G119" s="0" t="s">
        <v>189</v>
      </c>
      <c r="M119" s="0" t="s">
        <v>380</v>
      </c>
      <c r="R119" s="5"/>
      <c r="U119" s="5"/>
      <c r="V119" s="0" t="s">
        <v>380</v>
      </c>
      <c r="AE119" s="0" t="s">
        <v>3200</v>
      </c>
      <c r="AF119" s="0" t="s">
        <v>3201</v>
      </c>
      <c r="AG119" s="0" t="s">
        <v>3118</v>
      </c>
      <c r="AH119" s="0" t="s">
        <v>209</v>
      </c>
      <c r="AJ119" s="0" t="s">
        <v>189</v>
      </c>
      <c r="AK119" s="0" t="s">
        <v>209</v>
      </c>
      <c r="AL119" s="0" t="s">
        <v>189</v>
      </c>
      <c r="AM119" s="0" t="s">
        <v>209</v>
      </c>
      <c r="AN119" s="0" t="s">
        <v>380</v>
      </c>
      <c r="AO119" s="0" t="s">
        <v>209</v>
      </c>
      <c r="AP119" s="0" t="s">
        <v>3181</v>
      </c>
      <c r="AQ119" s="5" t="s">
        <v>189</v>
      </c>
      <c r="AT119" s="0" t="str">
        <f aca="false">IF($A119="","",IF(AND(CN119="pass",AQ119&lt;&gt;"Y",C119&lt;&gt;"",OR(AX119&lt;&gt;"Y",AV119="Y")),"Y","N"))</f>
        <v>Y</v>
      </c>
      <c r="AU119" s="0" t="str">
        <f aca="false">IF($A119="","",_xlfn.TEXTJOIN("; ",TRUE(),IF(CN119&lt;&gt;"pass","gated out",""),IF(AQ119="Y","on hold: "&amp;AR119,""),IF(C119="","no contact named on an opened page",""),IF(AND(AX119="Y",AV119&lt;&gt;"Y"),"Tuesday estimate band "&amp;L119&amp;": founder's call","")))</f>
        <v/>
      </c>
      <c r="AX119" s="0" t="s">
        <v>189</v>
      </c>
      <c r="BC119" s="0" t="str">
        <f aca="false">IF($A119="","",IFERROR(INDEX(Enrichment!$A$2:$GZ$2000,MATCH($A119,INDEX(Enrichment!$A$2:$GZ$2000,0,MATCH("row_id",Enrichment!$A$1:$GZ$1,0)),0),MATCH("work_email",Enrichment!$A$1:$GZ$1,0))&amp;"",""))</f>
        <v/>
      </c>
      <c r="BD119" s="0" t="str">
        <f aca="false">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none</v>
      </c>
      <c r="BF119" s="0" t="s">
        <v>380</v>
      </c>
      <c r="BJ119" s="0" t="s">
        <v>380</v>
      </c>
      <c r="BL119" s="0" t="s">
        <v>896</v>
      </c>
      <c r="BQ119" s="0" t="str">
        <f aca="false">IF($A119="","",IFERROR(INDEX(Enrichment!$A$2:$GZ$2000,MATCH($A119,INDEX(Enrichment!$A$2:$GZ$2000,0,MATCH("row_id",Enrichment!$A$1:$GZ$1,0)),0),MATCH("backup_work_email",Enrichment!$A$1:$GZ$1,0))&amp;"",""))</f>
        <v/>
      </c>
      <c r="BR119" s="0" t="str">
        <f aca="false">IF($A119="","",IF(BQ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none</v>
      </c>
      <c r="BT119" s="0" t="s">
        <v>380</v>
      </c>
      <c r="BX119" s="0" t="s">
        <v>380</v>
      </c>
      <c r="BY119" s="0" t="s">
        <v>387</v>
      </c>
      <c r="BZ119" s="0" t="s">
        <v>388</v>
      </c>
      <c r="CA119" s="0" t="s">
        <v>3120</v>
      </c>
      <c r="CB119" s="0" t="s">
        <v>196</v>
      </c>
      <c r="CM119" s="0" t="s">
        <v>189</v>
      </c>
      <c r="CN119" s="0" t="s">
        <v>200</v>
      </c>
      <c r="CO119" s="0" t="s">
        <v>201</v>
      </c>
      <c r="CP119" s="0" t="s">
        <v>3121</v>
      </c>
      <c r="CQ119" s="0" t="s">
        <v>3202</v>
      </c>
      <c r="CR119" s="0" t="s">
        <v>3176</v>
      </c>
      <c r="CS119" s="0" t="s">
        <v>3118</v>
      </c>
      <c r="CT119" s="0" t="s">
        <v>209</v>
      </c>
      <c r="CV119" s="0" t="s">
        <v>209</v>
      </c>
      <c r="CW119" s="0" t="s">
        <v>209</v>
      </c>
      <c r="DA119" s="0" t="s">
        <v>209</v>
      </c>
      <c r="DB119" s="0" t="s">
        <v>3123</v>
      </c>
      <c r="DC119" s="0" t="s">
        <v>209</v>
      </c>
      <c r="DD119" s="0" t="s">
        <v>3183</v>
      </c>
      <c r="DF119" s="0" t="s">
        <v>525</v>
      </c>
      <c r="DG119" s="0" t="n">
        <v>40.739363</v>
      </c>
      <c r="DH119" s="0" t="n">
        <v>-73.989534</v>
      </c>
      <c r="DI119" s="0" t="s">
        <v>164</v>
      </c>
      <c r="DJ119" s="0" t="n">
        <v>0</v>
      </c>
      <c r="DK119" s="0" t="s">
        <v>3203</v>
      </c>
      <c r="DL119" s="0" t="s">
        <v>3204</v>
      </c>
      <c r="DM119" s="0" t="s">
        <v>3184</v>
      </c>
      <c r="DN119" s="0" t="s">
        <v>263</v>
      </c>
      <c r="DO119" s="0" t="s">
        <v>3128</v>
      </c>
      <c r="DP119" s="0" t="s">
        <v>3205</v>
      </c>
      <c r="DS119" s="0" t="s">
        <v>217</v>
      </c>
      <c r="DU119" s="0" t="s">
        <v>189</v>
      </c>
      <c r="DV119" s="0" t="s">
        <v>3202</v>
      </c>
      <c r="DW119" s="0" t="s">
        <v>3130</v>
      </c>
      <c r="DX119" s="0" t="s">
        <v>267</v>
      </c>
      <c r="DY119" s="0" t="s">
        <v>3206</v>
      </c>
      <c r="EA119" s="0" t="s">
        <v>209</v>
      </c>
      <c r="EB119" s="0" t="s">
        <v>189</v>
      </c>
      <c r="EC119" s="0" t="s">
        <v>209</v>
      </c>
      <c r="EF119" s="0" t="s">
        <v>209</v>
      </c>
      <c r="EH119" s="0" t="s">
        <v>189</v>
      </c>
      <c r="EI119" s="0" t="s">
        <v>3131</v>
      </c>
      <c r="EJ119" s="0" t="s">
        <v>221</v>
      </c>
      <c r="EK119" s="0" t="s">
        <v>209</v>
      </c>
      <c r="EL119" s="0" t="n">
        <v>36</v>
      </c>
      <c r="EM119" s="0" t="n">
        <v>7</v>
      </c>
      <c r="EN119" s="0" t="n">
        <v>8</v>
      </c>
      <c r="EO119" s="0" t="n">
        <v>6</v>
      </c>
      <c r="EP119" s="0" t="n">
        <v>15</v>
      </c>
      <c r="EQ119" s="0" t="n">
        <f aca="false">IF($A119="","",IF(AH119="exact",10,IF(AH119="adjacent",5,0)))</f>
        <v>0</v>
      </c>
      <c r="ER119" s="0" t="n">
        <f aca="false">IF($A119="","",IF(R119="Y",15,0))</f>
        <v>0</v>
      </c>
      <c r="ES119" s="0" t="s">
        <v>3121</v>
      </c>
      <c r="EX119" s="0" t="s">
        <v>3207</v>
      </c>
      <c r="FA119" s="0" t="s">
        <v>3208</v>
      </c>
      <c r="FS119" s="0" t="str">
        <f aca="false">IF($A119="","",IF(ISNUMBER(MATCH(U119,{"queued","contacted","replied","call_booked","call_done","yes_in_principle","materials_sent"},0)),"Y","N"))</f>
        <v>N</v>
      </c>
      <c r="FT119" s="0" t="str">
        <f aca="false">IF($A119="","",IF(OR(T119="Y",U119="do_not_contact",AS119&amp;""&lt;&gt;""),"Y","N"))</f>
        <v>N</v>
      </c>
      <c r="FU119" s="0" t="str">
        <f aca="false">IF($A119="","",IF(AP119&amp;""&lt;&gt;"",AP119&amp;"",$A119))</f>
        <v>grp-W003-W005-W007-W008-W014-W016-W027</v>
      </c>
      <c r="FV119" s="0" t="str">
        <f aca="false">IF($A119="","",IF(COUNTIFS($FU$2:$FU$1000,FU119,$FS$2:$FS$1000,"Y")+COUNTIFS($FU$2:$FU$1000,FU119,$FT$2:$FT$1000,"Y")&gt;0,"Y","N"))</f>
        <v>N</v>
      </c>
      <c r="FW119" s="0" t="str">
        <f aca="false">IF($A119="","",IF(AND(U119="new",T119="N",FT119="N",AT119="Y",FV119="N"),"Y","N"))</f>
        <v>N</v>
      </c>
      <c r="FX119" s="0" t="str">
        <f aca="false">IF($A119="","",IF(FW119&lt;&gt;"Y","N",IF(COUNTIFS($FU$2:$FU$1000,FU119,$FW$2:$FW$1000,"Y",$J$2:$J$1000,"&gt;"&amp;J119)+COUNTIFS($FU$2:$FU$1000,FU119,$FW$2:$FW$1000,"Y",$J$2:$J$1000,J119,$GD$2:$GD$1000,"&lt;"&amp;GD119)=0,"Y","N")))</f>
        <v>N</v>
      </c>
      <c r="FY119" s="0" t="str">
        <f aca="false">IF($A119="","",IF(AND(FW119="Y",FX119="Y",Y119&amp;""&lt;&gt;""),IF(Y119&lt;=10,"Y","N"),"N"))</f>
        <v>N</v>
      </c>
      <c r="FZ119" s="0" t="str">
        <f aca="false">IF(FY119="Y",Y119,"")</f>
        <v/>
      </c>
      <c r="GA119" s="0" t="str">
        <f aca="false">IF($A119="","",IF(AND(I119="walk-in",CN119="pass",U119="new",FT119="N",FV119="N",AQ119&lt;&gt;"Y"),"Y","N"))</f>
        <v>N</v>
      </c>
      <c r="GB119" s="0" t="str">
        <f aca="false">IF(GA119&lt;&gt;"Y","",IF(COUNTIFS($GA$2:$GA$1000,"Y",$J$2:$J$1000,"&gt;"&amp;J119)+COUNTIFS($GA$2:$GA$1000,"Y",$J$2:$J$1000,J119,$GD$2:$GD$1000,"&lt;"&amp;GD119)+1&lt;=25,COUNTIFS($GA$2:$GA$1000,"Y",$J$2:$J$1000,"&gt;"&amp;J119)+COUNTIFS($GA$2:$GA$1000,"Y",$J$2:$J$1000,J119,$GD$2:$GD$1000,"&lt;"&amp;GD119)+1,""))</f>
        <v/>
      </c>
      <c r="GC119" s="0" t="str">
        <f aca="false">IF(AND(_xlfn.ISFORMULA(C119),_xlfn.ISFORMULA(J119)),"Y","N")</f>
        <v>N</v>
      </c>
      <c r="GD119" s="0" t="n">
        <f aca="false">ROW()-1</f>
        <v>118</v>
      </c>
    </row>
    <row r="120" customFormat="false" ht="15" hidden="false" customHeight="false" outlineLevel="0" collapsed="false">
      <c r="A120" s="0" t="s">
        <v>3209</v>
      </c>
      <c r="B120" s="0" t="s">
        <v>3210</v>
      </c>
      <c r="C120" s="0" t="s">
        <v>3176</v>
      </c>
      <c r="D120" s="0" t="s">
        <v>3177</v>
      </c>
      <c r="E120" s="0" t="s">
        <v>3211</v>
      </c>
      <c r="F120" s="0" t="s">
        <v>3086</v>
      </c>
      <c r="G120" s="0" t="s">
        <v>189</v>
      </c>
      <c r="M120" s="0" t="s">
        <v>380</v>
      </c>
      <c r="R120" s="5"/>
      <c r="U120" s="5"/>
      <c r="V120" s="0" t="s">
        <v>380</v>
      </c>
      <c r="AE120" s="0" t="s">
        <v>3212</v>
      </c>
      <c r="AF120" s="0" t="s">
        <v>209</v>
      </c>
      <c r="AG120" s="0" t="s">
        <v>3118</v>
      </c>
      <c r="AH120" s="0" t="s">
        <v>209</v>
      </c>
      <c r="AJ120" s="0" t="s">
        <v>189</v>
      </c>
      <c r="AK120" s="0" t="s">
        <v>209</v>
      </c>
      <c r="AL120" s="0" t="s">
        <v>189</v>
      </c>
      <c r="AM120" s="0" t="s">
        <v>209</v>
      </c>
      <c r="AN120" s="0" t="s">
        <v>380</v>
      </c>
      <c r="AO120" s="0" t="s">
        <v>209</v>
      </c>
      <c r="AP120" s="0" t="s">
        <v>3181</v>
      </c>
      <c r="AQ120" s="5" t="s">
        <v>189</v>
      </c>
      <c r="AT120" s="0" t="str">
        <f aca="false">IF($A120="","",IF(AND(CN120="pass",AQ120&lt;&gt;"Y",C120&lt;&gt;"",OR(AX120&lt;&gt;"Y",AV120="Y")),"Y","N"))</f>
        <v>Y</v>
      </c>
      <c r="AU120" s="0" t="str">
        <f aca="false">IF($A120="","",_xlfn.TEXTJOIN("; ",TRUE(),IF(CN120&lt;&gt;"pass","gated out",""),IF(AQ120="Y","on hold: "&amp;AR120,""),IF(C120="","no contact named on an opened page",""),IF(AND(AX120="Y",AV120&lt;&gt;"Y"),"Tuesday estimate band "&amp;L120&amp;": founder's call","")))</f>
        <v/>
      </c>
      <c r="AX120" s="0" t="s">
        <v>189</v>
      </c>
      <c r="BC120" s="0" t="str">
        <f aca="false">IF($A120="","",IFERROR(INDEX(Enrichment!$A$2:$GZ$2000,MATCH($A120,INDEX(Enrichment!$A$2:$GZ$2000,0,MATCH("row_id",Enrichment!$A$1:$GZ$1,0)),0),MATCH("work_email",Enrichment!$A$1:$GZ$1,0))&amp;"",""))</f>
        <v/>
      </c>
      <c r="BD120" s="0" t="str">
        <f aca="false">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none</v>
      </c>
      <c r="BF120" s="0" t="s">
        <v>380</v>
      </c>
      <c r="BJ120" s="0" t="s">
        <v>380</v>
      </c>
      <c r="BL120" s="0" t="s">
        <v>896</v>
      </c>
      <c r="BQ120" s="0" t="str">
        <f aca="false">IF($A120="","",IFERROR(INDEX(Enrichment!$A$2:$GZ$2000,MATCH($A120,INDEX(Enrichment!$A$2:$GZ$2000,0,MATCH("row_id",Enrichment!$A$1:$GZ$1,0)),0),MATCH("backup_work_email",Enrichment!$A$1:$GZ$1,0))&amp;"",""))</f>
        <v/>
      </c>
      <c r="BR120" s="0" t="str">
        <f aca="false">IF($A120="","",IF(BQ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none</v>
      </c>
      <c r="BT120" s="0" t="s">
        <v>380</v>
      </c>
      <c r="BX120" s="0" t="s">
        <v>380</v>
      </c>
      <c r="BY120" s="0" t="s">
        <v>387</v>
      </c>
      <c r="BZ120" s="0" t="s">
        <v>388</v>
      </c>
      <c r="CA120" s="0" t="s">
        <v>3120</v>
      </c>
      <c r="CB120" s="0" t="s">
        <v>196</v>
      </c>
      <c r="CM120" s="0" t="s">
        <v>189</v>
      </c>
      <c r="CN120" s="0" t="s">
        <v>200</v>
      </c>
      <c r="CO120" s="0" t="s">
        <v>201</v>
      </c>
      <c r="CP120" s="0" t="s">
        <v>3121</v>
      </c>
      <c r="CQ120" s="0" t="s">
        <v>3213</v>
      </c>
      <c r="CR120" s="0" t="s">
        <v>3176</v>
      </c>
      <c r="CS120" s="0" t="s">
        <v>3118</v>
      </c>
      <c r="CT120" s="0" t="s">
        <v>209</v>
      </c>
      <c r="CV120" s="0" t="s">
        <v>209</v>
      </c>
      <c r="CW120" s="0" t="s">
        <v>209</v>
      </c>
      <c r="DA120" s="0" t="s">
        <v>209</v>
      </c>
      <c r="DB120" s="0" t="s">
        <v>3123</v>
      </c>
      <c r="DC120" s="0" t="s">
        <v>209</v>
      </c>
      <c r="DD120" s="0" t="s">
        <v>3183</v>
      </c>
      <c r="DF120" s="0" t="s">
        <v>1190</v>
      </c>
      <c r="DG120" s="0" t="n">
        <v>40.744955</v>
      </c>
      <c r="DH120" s="0" t="n">
        <v>-73.990911</v>
      </c>
      <c r="DI120" s="0" t="s">
        <v>164</v>
      </c>
      <c r="DJ120" s="0" t="n">
        <v>0</v>
      </c>
      <c r="DL120" s="0" t="s">
        <v>209</v>
      </c>
      <c r="DM120" s="0" t="s">
        <v>3184</v>
      </c>
      <c r="DN120" s="0" t="s">
        <v>263</v>
      </c>
      <c r="DO120" s="0" t="s">
        <v>3128</v>
      </c>
      <c r="DP120" s="0" t="s">
        <v>3185</v>
      </c>
      <c r="DS120" s="0" t="s">
        <v>217</v>
      </c>
      <c r="DU120" s="0" t="s">
        <v>189</v>
      </c>
      <c r="DV120" s="0" t="s">
        <v>3213</v>
      </c>
      <c r="DW120" s="0" t="s">
        <v>3130</v>
      </c>
      <c r="DX120" s="0" t="s">
        <v>209</v>
      </c>
      <c r="EA120" s="0" t="s">
        <v>209</v>
      </c>
      <c r="EB120" s="0" t="s">
        <v>189</v>
      </c>
      <c r="EC120" s="0" t="s">
        <v>209</v>
      </c>
      <c r="EF120" s="0" t="s">
        <v>209</v>
      </c>
      <c r="EH120" s="0" t="s">
        <v>189</v>
      </c>
      <c r="EI120" s="0" t="s">
        <v>3131</v>
      </c>
      <c r="EJ120" s="0" t="s">
        <v>221</v>
      </c>
      <c r="EK120" s="0" t="s">
        <v>209</v>
      </c>
      <c r="EL120" s="0" t="n">
        <v>36</v>
      </c>
      <c r="EM120" s="0" t="n">
        <v>7</v>
      </c>
      <c r="EN120" s="0" t="n">
        <v>8</v>
      </c>
      <c r="EO120" s="0" t="n">
        <v>6</v>
      </c>
      <c r="EP120" s="0" t="n">
        <v>15</v>
      </c>
      <c r="EQ120" s="0" t="n">
        <f aca="false">IF($A120="","",IF(AH120="exact",10,IF(AH120="adjacent",5,0)))</f>
        <v>0</v>
      </c>
      <c r="ER120" s="0" t="n">
        <f aca="false">IF($A120="","",IF(R120="Y",15,0))</f>
        <v>0</v>
      </c>
      <c r="ES120" s="0" t="s">
        <v>3121</v>
      </c>
      <c r="EX120" s="0" t="s">
        <v>3214</v>
      </c>
      <c r="FA120" s="0" t="s">
        <v>3215</v>
      </c>
      <c r="FS120" s="0" t="str">
        <f aca="false">IF($A120="","",IF(ISNUMBER(MATCH(U120,{"queued","contacted","replied","call_booked","call_done","yes_in_principle","materials_sent"},0)),"Y","N"))</f>
        <v>N</v>
      </c>
      <c r="FT120" s="0" t="str">
        <f aca="false">IF($A120="","",IF(OR(T120="Y",U120="do_not_contact",AS120&amp;""&lt;&gt;""),"Y","N"))</f>
        <v>N</v>
      </c>
      <c r="FU120" s="0" t="str">
        <f aca="false">IF($A120="","",IF(AP120&amp;""&lt;&gt;"",AP120&amp;"",$A120))</f>
        <v>grp-W003-W005-W007-W008-W014-W016-W027</v>
      </c>
      <c r="FV120" s="0" t="str">
        <f aca="false">IF($A120="","",IF(COUNTIFS($FU$2:$FU$1000,FU120,$FS$2:$FS$1000,"Y")+COUNTIFS($FU$2:$FU$1000,FU120,$FT$2:$FT$1000,"Y")&gt;0,"Y","N"))</f>
        <v>N</v>
      </c>
      <c r="FW120" s="0" t="str">
        <f aca="false">IF($A120="","",IF(AND(U120="new",T120="N",FT120="N",AT120="Y",FV120="N"),"Y","N"))</f>
        <v>N</v>
      </c>
      <c r="FX120" s="0" t="str">
        <f aca="false">IF($A120="","",IF(FW120&lt;&gt;"Y","N",IF(COUNTIFS($FU$2:$FU$1000,FU120,$FW$2:$FW$1000,"Y",$J$2:$J$1000,"&gt;"&amp;J120)+COUNTIFS($FU$2:$FU$1000,FU120,$FW$2:$FW$1000,"Y",$J$2:$J$1000,J120,$GD$2:$GD$1000,"&lt;"&amp;GD120)=0,"Y","N")))</f>
        <v>N</v>
      </c>
      <c r="FY120" s="0" t="str">
        <f aca="false">IF($A120="","",IF(AND(FW120="Y",FX120="Y",Y120&amp;""&lt;&gt;""),IF(Y120&lt;=10,"Y","N"),"N"))</f>
        <v>N</v>
      </c>
      <c r="FZ120" s="0" t="str">
        <f aca="false">IF(FY120="Y",Y120,"")</f>
        <v/>
      </c>
      <c r="GA120" s="0" t="str">
        <f aca="false">IF($A120="","",IF(AND(I120="walk-in",CN120="pass",U120="new",FT120="N",FV120="N",AQ120&lt;&gt;"Y"),"Y","N"))</f>
        <v>N</v>
      </c>
      <c r="GB120" s="0" t="str">
        <f aca="false">IF(GA120&lt;&gt;"Y","",IF(COUNTIFS($GA$2:$GA$1000,"Y",$J$2:$J$1000,"&gt;"&amp;J120)+COUNTIFS($GA$2:$GA$1000,"Y",$J$2:$J$1000,J120,$GD$2:$GD$1000,"&lt;"&amp;GD120)+1&lt;=25,COUNTIFS($GA$2:$GA$1000,"Y",$J$2:$J$1000,"&gt;"&amp;J120)+COUNTIFS($GA$2:$GA$1000,"Y",$J$2:$J$1000,J120,$GD$2:$GD$1000,"&lt;"&amp;GD120)+1,""))</f>
        <v/>
      </c>
      <c r="GC120" s="0" t="str">
        <f aca="false">IF(AND(_xlfn.ISFORMULA(C120),_xlfn.ISFORMULA(J120)),"Y","N")</f>
        <v>N</v>
      </c>
      <c r="GD120" s="0" t="n">
        <f aca="false">ROW()-1</f>
        <v>119</v>
      </c>
    </row>
    <row r="121" customFormat="false" ht="15" hidden="false" customHeight="false" outlineLevel="0" collapsed="false">
      <c r="A121" s="0" t="s">
        <v>3216</v>
      </c>
      <c r="B121" s="0" t="s">
        <v>3217</v>
      </c>
      <c r="C121" s="0" t="s">
        <v>3176</v>
      </c>
      <c r="D121" s="0" t="s">
        <v>3177</v>
      </c>
      <c r="E121" s="0" t="s">
        <v>3218</v>
      </c>
      <c r="F121" s="0" t="s">
        <v>3086</v>
      </c>
      <c r="G121" s="0" t="s">
        <v>189</v>
      </c>
      <c r="M121" s="0" t="s">
        <v>380</v>
      </c>
      <c r="R121" s="5"/>
      <c r="U121" s="5"/>
      <c r="V121" s="0" t="s">
        <v>380</v>
      </c>
      <c r="AE121" s="0" t="s">
        <v>3219</v>
      </c>
      <c r="AF121" s="0" t="s">
        <v>3220</v>
      </c>
      <c r="AG121" s="0" t="s">
        <v>3118</v>
      </c>
      <c r="AH121" s="0" t="s">
        <v>209</v>
      </c>
      <c r="AJ121" s="0" t="s">
        <v>189</v>
      </c>
      <c r="AK121" s="0" t="s">
        <v>209</v>
      </c>
      <c r="AL121" s="0" t="s">
        <v>189</v>
      </c>
      <c r="AM121" s="0" t="s">
        <v>209</v>
      </c>
      <c r="AN121" s="0" t="s">
        <v>380</v>
      </c>
      <c r="AO121" s="0" t="s">
        <v>209</v>
      </c>
      <c r="AP121" s="0" t="s">
        <v>3181</v>
      </c>
      <c r="AQ121" s="5" t="s">
        <v>189</v>
      </c>
      <c r="AT121" s="0" t="str">
        <f aca="false">IF($A121="","",IF(AND(CN121="pass",AQ121&lt;&gt;"Y",C121&lt;&gt;"",OR(AX121&lt;&gt;"Y",AV121="Y")),"Y","N"))</f>
        <v>Y</v>
      </c>
      <c r="AU121" s="0" t="str">
        <f aca="false">IF($A121="","",_xlfn.TEXTJOIN("; ",TRUE(),IF(CN121&lt;&gt;"pass","gated out",""),IF(AQ121="Y","on hold: "&amp;AR121,""),IF(C121="","no contact named on an opened page",""),IF(AND(AX121="Y",AV121&lt;&gt;"Y"),"Tuesday estimate band "&amp;L121&amp;": founder's call","")))</f>
        <v/>
      </c>
      <c r="AX121" s="0" t="s">
        <v>189</v>
      </c>
      <c r="BC121" s="0" t="str">
        <f aca="false">IF($A121="","",IFERROR(INDEX(Enrichment!$A$2:$GZ$2000,MATCH($A121,INDEX(Enrichment!$A$2:$GZ$2000,0,MATCH("row_id",Enrichment!$A$1:$GZ$1,0)),0),MATCH("work_email",Enrichment!$A$1:$GZ$1,0))&amp;"",""))</f>
        <v/>
      </c>
      <c r="BD121" s="0" t="str">
        <f aca="false">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none</v>
      </c>
      <c r="BF121" s="0" t="s">
        <v>380</v>
      </c>
      <c r="BJ121" s="0" t="s">
        <v>380</v>
      </c>
      <c r="BL121" s="0" t="s">
        <v>896</v>
      </c>
      <c r="BQ121" s="0" t="str">
        <f aca="false">IF($A121="","",IFERROR(INDEX(Enrichment!$A$2:$GZ$2000,MATCH($A121,INDEX(Enrichment!$A$2:$GZ$2000,0,MATCH("row_id",Enrichment!$A$1:$GZ$1,0)),0),MATCH("backup_work_email",Enrichment!$A$1:$GZ$1,0))&amp;"",""))</f>
        <v/>
      </c>
      <c r="BR121" s="0" t="str">
        <f aca="false">IF($A121="","",IF(BQ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none</v>
      </c>
      <c r="BT121" s="0" t="s">
        <v>380</v>
      </c>
      <c r="BX121" s="0" t="s">
        <v>380</v>
      </c>
      <c r="BY121" s="0" t="s">
        <v>387</v>
      </c>
      <c r="BZ121" s="0" t="s">
        <v>388</v>
      </c>
      <c r="CA121" s="0" t="s">
        <v>3120</v>
      </c>
      <c r="CB121" s="0" t="s">
        <v>196</v>
      </c>
      <c r="CM121" s="0" t="s">
        <v>189</v>
      </c>
      <c r="CN121" s="0" t="s">
        <v>200</v>
      </c>
      <c r="CO121" s="0" t="s">
        <v>201</v>
      </c>
      <c r="CP121" s="0" t="s">
        <v>3121</v>
      </c>
      <c r="CQ121" s="0" t="s">
        <v>3221</v>
      </c>
      <c r="CR121" s="0" t="s">
        <v>3176</v>
      </c>
      <c r="CS121" s="0" t="s">
        <v>3118</v>
      </c>
      <c r="CT121" s="0" t="s">
        <v>209</v>
      </c>
      <c r="CV121" s="0" t="s">
        <v>209</v>
      </c>
      <c r="CW121" s="0" t="s">
        <v>209</v>
      </c>
      <c r="DA121" s="0" t="s">
        <v>209</v>
      </c>
      <c r="DB121" s="0" t="s">
        <v>3123</v>
      </c>
      <c r="DC121" s="0" t="s">
        <v>209</v>
      </c>
      <c r="DD121" s="0" t="s">
        <v>3183</v>
      </c>
      <c r="DF121" s="0" t="s">
        <v>210</v>
      </c>
      <c r="DG121" s="0" t="n">
        <v>40.73686</v>
      </c>
      <c r="DH121" s="0" t="n">
        <v>-73.988546</v>
      </c>
      <c r="DI121" s="0" t="s">
        <v>164</v>
      </c>
      <c r="DJ121" s="0" t="n">
        <v>0</v>
      </c>
      <c r="DK121" s="0" t="s">
        <v>260</v>
      </c>
      <c r="DL121" s="0" t="s">
        <v>261</v>
      </c>
      <c r="DM121" s="0" t="s">
        <v>3184</v>
      </c>
      <c r="DN121" s="0" t="s">
        <v>263</v>
      </c>
      <c r="DO121" s="0" t="s">
        <v>3128</v>
      </c>
      <c r="DP121" s="0" t="s">
        <v>264</v>
      </c>
      <c r="DR121" s="0" t="s">
        <v>266</v>
      </c>
      <c r="DS121" s="0" t="s">
        <v>217</v>
      </c>
      <c r="DU121" s="0" t="s">
        <v>189</v>
      </c>
      <c r="DV121" s="0" t="s">
        <v>3221</v>
      </c>
      <c r="DW121" s="0" t="s">
        <v>3130</v>
      </c>
      <c r="DX121" s="0" t="s">
        <v>267</v>
      </c>
      <c r="DY121" s="0" t="s">
        <v>268</v>
      </c>
      <c r="EA121" s="0" t="s">
        <v>209</v>
      </c>
      <c r="EB121" s="0" t="s">
        <v>189</v>
      </c>
      <c r="EC121" s="0" t="s">
        <v>209</v>
      </c>
      <c r="EF121" s="0" t="s">
        <v>209</v>
      </c>
      <c r="EH121" s="0" t="s">
        <v>189</v>
      </c>
      <c r="EI121" s="0" t="s">
        <v>3131</v>
      </c>
      <c r="EJ121" s="0" t="s">
        <v>221</v>
      </c>
      <c r="EK121" s="0" t="s">
        <v>209</v>
      </c>
      <c r="EL121" s="0" t="n">
        <v>36</v>
      </c>
      <c r="EM121" s="0" t="n">
        <v>7</v>
      </c>
      <c r="EN121" s="0" t="n">
        <v>8</v>
      </c>
      <c r="EO121" s="0" t="n">
        <v>6</v>
      </c>
      <c r="EP121" s="0" t="n">
        <v>15</v>
      </c>
      <c r="EQ121" s="0" t="n">
        <f aca="false">IF($A121="","",IF(AH121="exact",10,IF(AH121="adjacent",5,0)))</f>
        <v>0</v>
      </c>
      <c r="ER121" s="0" t="n">
        <f aca="false">IF($A121="","",IF(R121="Y",15,0))</f>
        <v>0</v>
      </c>
      <c r="ES121" s="0" t="s">
        <v>3121</v>
      </c>
      <c r="EX121" s="0" t="s">
        <v>3222</v>
      </c>
      <c r="FA121" s="0" t="s">
        <v>3223</v>
      </c>
      <c r="FS121" s="0" t="str">
        <f aca="false">IF($A121="","",IF(ISNUMBER(MATCH(U121,{"queued","contacted","replied","call_booked","call_done","yes_in_principle","materials_sent"},0)),"Y","N"))</f>
        <v>N</v>
      </c>
      <c r="FT121" s="0" t="str">
        <f aca="false">IF($A121="","",IF(OR(T121="Y",U121="do_not_contact",AS121&amp;""&lt;&gt;""),"Y","N"))</f>
        <v>N</v>
      </c>
      <c r="FU121" s="0" t="str">
        <f aca="false">IF($A121="","",IF(AP121&amp;""&lt;&gt;"",AP121&amp;"",$A121))</f>
        <v>grp-W003-W005-W007-W008-W014-W016-W027</v>
      </c>
      <c r="FV121" s="0" t="str">
        <f aca="false">IF($A121="","",IF(COUNTIFS($FU$2:$FU$1000,FU121,$FS$2:$FS$1000,"Y")+COUNTIFS($FU$2:$FU$1000,FU121,$FT$2:$FT$1000,"Y")&gt;0,"Y","N"))</f>
        <v>N</v>
      </c>
      <c r="FW121" s="0" t="str">
        <f aca="false">IF($A121="","",IF(AND(U121="new",T121="N",FT121="N",AT121="Y",FV121="N"),"Y","N"))</f>
        <v>N</v>
      </c>
      <c r="FX121" s="0" t="str">
        <f aca="false">IF($A121="","",IF(FW121&lt;&gt;"Y","N",IF(COUNTIFS($FU$2:$FU$1000,FU121,$FW$2:$FW$1000,"Y",$J$2:$J$1000,"&gt;"&amp;J121)+COUNTIFS($FU$2:$FU$1000,FU121,$FW$2:$FW$1000,"Y",$J$2:$J$1000,J121,$GD$2:$GD$1000,"&lt;"&amp;GD121)=0,"Y","N")))</f>
        <v>N</v>
      </c>
      <c r="FY121" s="0" t="str">
        <f aca="false">IF($A121="","",IF(AND(FW121="Y",FX121="Y",Y121&amp;""&lt;&gt;""),IF(Y121&lt;=10,"Y","N"),"N"))</f>
        <v>N</v>
      </c>
      <c r="FZ121" s="0" t="str">
        <f aca="false">IF(FY121="Y",Y121,"")</f>
        <v/>
      </c>
      <c r="GA121" s="0" t="str">
        <f aca="false">IF($A121="","",IF(AND(I121="walk-in",CN121="pass",U121="new",FT121="N",FV121="N",AQ121&lt;&gt;"Y"),"Y","N"))</f>
        <v>N</v>
      </c>
      <c r="GB121" s="0" t="str">
        <f aca="false">IF(GA121&lt;&gt;"Y","",IF(COUNTIFS($GA$2:$GA$1000,"Y",$J$2:$J$1000,"&gt;"&amp;J121)+COUNTIFS($GA$2:$GA$1000,"Y",$J$2:$J$1000,J121,$GD$2:$GD$1000,"&lt;"&amp;GD121)+1&lt;=25,COUNTIFS($GA$2:$GA$1000,"Y",$J$2:$J$1000,"&gt;"&amp;J121)+COUNTIFS($GA$2:$GA$1000,"Y",$J$2:$J$1000,J121,$GD$2:$GD$1000,"&lt;"&amp;GD121)+1,""))</f>
        <v/>
      </c>
      <c r="GC121" s="0" t="str">
        <f aca="false">IF(AND(_xlfn.ISFORMULA(C121),_xlfn.ISFORMULA(J121)),"Y","N")</f>
        <v>N</v>
      </c>
      <c r="GD121" s="0" t="n">
        <f aca="false">ROW()-1</f>
        <v>120</v>
      </c>
    </row>
    <row r="122" customFormat="false" ht="15" hidden="false" customHeight="false" outlineLevel="0" collapsed="false">
      <c r="A122" s="0" t="s">
        <v>3224</v>
      </c>
      <c r="B122" s="0" t="s">
        <v>3225</v>
      </c>
      <c r="C122" s="0" t="s">
        <v>3226</v>
      </c>
      <c r="D122" s="0" t="s">
        <v>3227</v>
      </c>
      <c r="E122" s="0" t="s">
        <v>3228</v>
      </c>
      <c r="F122" s="0" t="s">
        <v>3086</v>
      </c>
      <c r="G122" s="0" t="s">
        <v>189</v>
      </c>
      <c r="M122" s="0" t="s">
        <v>380</v>
      </c>
      <c r="R122" s="5"/>
      <c r="U122" s="5"/>
      <c r="V122" s="0" t="s">
        <v>380</v>
      </c>
      <c r="AE122" s="0" t="s">
        <v>293</v>
      </c>
      <c r="AF122" s="0" t="s">
        <v>339</v>
      </c>
      <c r="AG122" s="0" t="s">
        <v>3229</v>
      </c>
      <c r="AH122" s="0" t="s">
        <v>209</v>
      </c>
      <c r="AI122" s="0" t="s">
        <v>3230</v>
      </c>
      <c r="AJ122" s="0" t="s">
        <v>189</v>
      </c>
      <c r="AK122" s="0" t="s">
        <v>209</v>
      </c>
      <c r="AL122" s="0" t="s">
        <v>189</v>
      </c>
      <c r="AM122" s="0" t="s">
        <v>209</v>
      </c>
      <c r="AN122" s="0" t="s">
        <v>380</v>
      </c>
      <c r="AO122" s="0" t="s">
        <v>209</v>
      </c>
      <c r="AP122" s="0" t="s">
        <v>3224</v>
      </c>
      <c r="AQ122" s="5" t="s">
        <v>189</v>
      </c>
      <c r="AT122" s="0" t="str">
        <f aca="false">IF($A122="","",IF(AND(CN122="pass",AQ122&lt;&gt;"Y",C122&lt;&gt;"",OR(AX122&lt;&gt;"Y",AV122="Y")),"Y","N"))</f>
        <v>Y</v>
      </c>
      <c r="AU122" s="0" t="str">
        <f aca="false">IF($A122="","",_xlfn.TEXTJOIN("; ",TRUE(),IF(CN122&lt;&gt;"pass","gated out",""),IF(AQ122="Y","on hold: "&amp;AR122,""),IF(C122="","no contact named on an opened page",""),IF(AND(AX122="Y",AV122&lt;&gt;"Y"),"Tuesday estimate band "&amp;L122&amp;": founder's call","")))</f>
        <v/>
      </c>
      <c r="AX122" s="0" t="s">
        <v>189</v>
      </c>
      <c r="BC122" s="0" t="str">
        <f aca="false">IF($A122="","",IFERROR(INDEX(Enrichment!$A$2:$GZ$2000,MATCH($A122,INDEX(Enrichment!$A$2:$GZ$2000,0,MATCH("row_id",Enrichment!$A$1:$GZ$1,0)),0),MATCH("work_email",Enrichment!$A$1:$GZ$1,0))&amp;"",""))</f>
        <v/>
      </c>
      <c r="BD122" s="0" t="str">
        <f aca="false">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none</v>
      </c>
      <c r="BF122" s="0" t="s">
        <v>380</v>
      </c>
      <c r="BJ122" s="0" t="s">
        <v>380</v>
      </c>
      <c r="BL122" s="0" t="s">
        <v>896</v>
      </c>
      <c r="BQ122" s="0" t="str">
        <f aca="false">IF($A122="","",IFERROR(INDEX(Enrichment!$A$2:$GZ$2000,MATCH($A122,INDEX(Enrichment!$A$2:$GZ$2000,0,MATCH("row_id",Enrichment!$A$1:$GZ$1,0)),0),MATCH("backup_work_email",Enrichment!$A$1:$GZ$1,0))&amp;"",""))</f>
        <v/>
      </c>
      <c r="BR122" s="0" t="str">
        <f aca="false">IF($A122="","",IF(BQ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none</v>
      </c>
      <c r="BT122" s="0" t="s">
        <v>380</v>
      </c>
      <c r="BX122" s="0" t="s">
        <v>380</v>
      </c>
      <c r="BY122" s="0" t="s">
        <v>387</v>
      </c>
      <c r="BZ122" s="0" t="s">
        <v>388</v>
      </c>
      <c r="CA122" s="0" t="s">
        <v>2707</v>
      </c>
      <c r="CB122" s="0" t="s">
        <v>196</v>
      </c>
      <c r="CM122" s="0" t="s">
        <v>189</v>
      </c>
      <c r="CN122" s="0" t="s">
        <v>200</v>
      </c>
      <c r="CO122" s="0" t="s">
        <v>201</v>
      </c>
      <c r="CP122" s="0" t="s">
        <v>1</v>
      </c>
      <c r="CQ122" s="0" t="s">
        <v>3231</v>
      </c>
      <c r="CR122" s="0" t="s">
        <v>3226</v>
      </c>
      <c r="CS122" s="0" t="s">
        <v>3229</v>
      </c>
      <c r="CT122" s="0" t="s">
        <v>209</v>
      </c>
      <c r="CV122" s="0" t="s">
        <v>209</v>
      </c>
      <c r="CW122" s="0" t="s">
        <v>209</v>
      </c>
      <c r="CX122" s="0" t="s">
        <v>2712</v>
      </c>
      <c r="DA122" s="0" t="s">
        <v>209</v>
      </c>
      <c r="DB122" s="0" t="s">
        <v>209</v>
      </c>
      <c r="DC122" s="0" t="s">
        <v>209</v>
      </c>
      <c r="DD122" s="0" t="s">
        <v>209</v>
      </c>
      <c r="DE122" s="0" t="s">
        <v>3230</v>
      </c>
      <c r="DF122" s="0" t="s">
        <v>311</v>
      </c>
      <c r="DG122" s="0" t="n">
        <v>40.744442</v>
      </c>
      <c r="DH122" s="0" t="n">
        <v>-73.983525</v>
      </c>
      <c r="DI122" s="0" t="s">
        <v>164</v>
      </c>
      <c r="DJ122" s="0" t="n">
        <v>0</v>
      </c>
      <c r="DK122" s="0" t="s">
        <v>312</v>
      </c>
      <c r="DL122" s="0" t="s">
        <v>313</v>
      </c>
      <c r="DM122" s="0" t="s">
        <v>3232</v>
      </c>
      <c r="DN122" s="0" t="s">
        <v>3233</v>
      </c>
      <c r="DO122" s="0" t="s">
        <v>363</v>
      </c>
      <c r="DP122" s="0" t="s">
        <v>3234</v>
      </c>
      <c r="DQ122" s="0" t="s">
        <v>263</v>
      </c>
      <c r="DS122" s="0" t="s">
        <v>217</v>
      </c>
      <c r="DU122" s="0" t="s">
        <v>189</v>
      </c>
      <c r="DX122" s="0" t="s">
        <v>209</v>
      </c>
      <c r="EA122" s="0" t="s">
        <v>209</v>
      </c>
      <c r="EB122" s="0" t="s">
        <v>189</v>
      </c>
      <c r="EC122" s="0" t="s">
        <v>209</v>
      </c>
      <c r="EF122" s="0" t="s">
        <v>209</v>
      </c>
      <c r="EH122" s="0" t="s">
        <v>189</v>
      </c>
      <c r="EI122" s="0" t="s">
        <v>2716</v>
      </c>
      <c r="EJ122" s="0" t="s">
        <v>221</v>
      </c>
      <c r="EK122" s="0" t="s">
        <v>209</v>
      </c>
      <c r="EL122" s="0" t="n">
        <v>36</v>
      </c>
      <c r="EM122" s="0" t="n">
        <v>7</v>
      </c>
      <c r="EN122" s="0" t="n">
        <v>8</v>
      </c>
      <c r="EO122" s="0" t="n">
        <v>6</v>
      </c>
      <c r="EP122" s="0" t="n">
        <v>15</v>
      </c>
      <c r="EQ122" s="0" t="n">
        <f aca="false">IF($A122="","",IF(AH122="exact",10,IF(AH122="adjacent",5,0)))</f>
        <v>0</v>
      </c>
      <c r="ER122" s="0" t="n">
        <f aca="false">IF($A122="","",IF(R122="Y",15,0))</f>
        <v>0</v>
      </c>
      <c r="ES122" s="0" t="s">
        <v>222</v>
      </c>
      <c r="EV122" s="0" t="s">
        <v>3235</v>
      </c>
      <c r="EW122" s="0" t="s">
        <v>224</v>
      </c>
      <c r="EX122" s="0" t="s">
        <v>3236</v>
      </c>
      <c r="EZ122" s="0" t="s">
        <v>3237</v>
      </c>
      <c r="FS122" s="0" t="str">
        <f aca="false">IF($A122="","",IF(ISNUMBER(MATCH(U122,{"queued","contacted","replied","call_booked","call_done","yes_in_principle","materials_sent"},0)),"Y","N"))</f>
        <v>N</v>
      </c>
      <c r="FT122" s="0" t="str">
        <f aca="false">IF($A122="","",IF(OR(T122="Y",U122="do_not_contact",AS122&amp;""&lt;&gt;""),"Y","N"))</f>
        <v>N</v>
      </c>
      <c r="FU122" s="0" t="str">
        <f aca="false">IF($A122="","",IF(AP122&amp;""&lt;&gt;"",AP122&amp;"",$A122))</f>
        <v>AO-C-170</v>
      </c>
      <c r="FV122" s="0" t="str">
        <f aca="false">IF($A122="","",IF(COUNTIFS($FU$2:$FU$1000,FU122,$FS$2:$FS$1000,"Y")+COUNTIFS($FU$2:$FU$1000,FU122,$FT$2:$FT$1000,"Y")&gt;0,"Y","N"))</f>
        <v>N</v>
      </c>
      <c r="FW122" s="0" t="str">
        <f aca="false">IF($A122="","",IF(AND(U122="new",T122="N",FT122="N",AT122="Y",FV122="N"),"Y","N"))</f>
        <v>N</v>
      </c>
      <c r="FX122" s="0" t="str">
        <f aca="false">IF($A122="","",IF(FW122&lt;&gt;"Y","N",IF(COUNTIFS($FU$2:$FU$1000,FU122,$FW$2:$FW$1000,"Y",$J$2:$J$1000,"&gt;"&amp;J122)+COUNTIFS($FU$2:$FU$1000,FU122,$FW$2:$FW$1000,"Y",$J$2:$J$1000,J122,$GD$2:$GD$1000,"&lt;"&amp;GD122)=0,"Y","N")))</f>
        <v>N</v>
      </c>
      <c r="FY122" s="0" t="str">
        <f aca="false">IF($A122="","",IF(AND(FW122="Y",FX122="Y",Y122&amp;""&lt;&gt;""),IF(Y122&lt;=10,"Y","N"),"N"))</f>
        <v>N</v>
      </c>
      <c r="FZ122" s="0" t="str">
        <f aca="false">IF(FY122="Y",Y122,"")</f>
        <v/>
      </c>
      <c r="GA122" s="0" t="str">
        <f aca="false">IF($A122="","",IF(AND(I122="walk-in",CN122="pass",U122="new",FT122="N",FV122="N",AQ122&lt;&gt;"Y"),"Y","N"))</f>
        <v>N</v>
      </c>
      <c r="GB122" s="0" t="str">
        <f aca="false">IF(GA122&lt;&gt;"Y","",IF(COUNTIFS($GA$2:$GA$1000,"Y",$J$2:$J$1000,"&gt;"&amp;J122)+COUNTIFS($GA$2:$GA$1000,"Y",$J$2:$J$1000,J122,$GD$2:$GD$1000,"&lt;"&amp;GD122)+1&lt;=25,COUNTIFS($GA$2:$GA$1000,"Y",$J$2:$J$1000,"&gt;"&amp;J122)+COUNTIFS($GA$2:$GA$1000,"Y",$J$2:$J$1000,J122,$GD$2:$GD$1000,"&lt;"&amp;GD122)+1,""))</f>
        <v/>
      </c>
      <c r="GC122" s="0" t="str">
        <f aca="false">IF(AND(_xlfn.ISFORMULA(C122),_xlfn.ISFORMULA(J122)),"Y","N")</f>
        <v>N</v>
      </c>
      <c r="GD122" s="0" t="n">
        <f aca="false">ROW()-1</f>
        <v>121</v>
      </c>
    </row>
    <row r="123" customFormat="false" ht="15" hidden="false" customHeight="false" outlineLevel="0" collapsed="false">
      <c r="A123" s="0" t="s">
        <v>3238</v>
      </c>
      <c r="B123" s="0" t="s">
        <v>3239</v>
      </c>
      <c r="C123" s="0" t="s">
        <v>3240</v>
      </c>
      <c r="D123" s="0" t="s">
        <v>3241</v>
      </c>
      <c r="E123" s="0" t="s">
        <v>842</v>
      </c>
      <c r="F123" s="0" t="s">
        <v>3086</v>
      </c>
      <c r="G123" s="0" t="s">
        <v>189</v>
      </c>
      <c r="M123" s="0" t="s">
        <v>380</v>
      </c>
      <c r="R123" s="5"/>
      <c r="U123" s="5"/>
      <c r="V123" s="0" t="s">
        <v>380</v>
      </c>
      <c r="AE123" s="0" t="s">
        <v>2024</v>
      </c>
      <c r="AF123" s="0" t="s">
        <v>339</v>
      </c>
      <c r="AG123" s="0" t="s">
        <v>3242</v>
      </c>
      <c r="AH123" s="0" t="s">
        <v>209</v>
      </c>
      <c r="AI123" s="0" t="s">
        <v>3243</v>
      </c>
      <c r="AJ123" s="0" t="s">
        <v>189</v>
      </c>
      <c r="AK123" s="0" t="s">
        <v>209</v>
      </c>
      <c r="AL123" s="0" t="s">
        <v>189</v>
      </c>
      <c r="AM123" s="0" t="s">
        <v>209</v>
      </c>
      <c r="AN123" s="0" t="s">
        <v>380</v>
      </c>
      <c r="AO123" s="0" t="s">
        <v>209</v>
      </c>
      <c r="AP123" s="0" t="s">
        <v>3238</v>
      </c>
      <c r="AQ123" s="5" t="s">
        <v>189</v>
      </c>
      <c r="AT123" s="0" t="str">
        <f aca="false">IF($A123="","",IF(AND(CN123="pass",AQ123&lt;&gt;"Y",C123&lt;&gt;"",OR(AX123&lt;&gt;"Y",AV123="Y")),"Y","N"))</f>
        <v>Y</v>
      </c>
      <c r="AU123" s="0" t="str">
        <f aca="false">IF($A123="","",_xlfn.TEXTJOIN("; ",TRUE(),IF(CN123&lt;&gt;"pass","gated out",""),IF(AQ123="Y","on hold: "&amp;AR123,""),IF(C123="","no contact named on an opened page",""),IF(AND(AX123="Y",AV123&lt;&gt;"Y"),"Tuesday estimate band "&amp;L123&amp;": founder's call","")))</f>
        <v/>
      </c>
      <c r="AX123" s="0" t="s">
        <v>189</v>
      </c>
      <c r="BC123" s="0" t="str">
        <f aca="false">IF($A123="","",IFERROR(INDEX(Enrichment!$A$2:$GZ$2000,MATCH($A123,INDEX(Enrichment!$A$2:$GZ$2000,0,MATCH("row_id",Enrichment!$A$1:$GZ$1,0)),0),MATCH("work_email",Enrichment!$A$1:$GZ$1,0))&amp;"",""))</f>
        <v/>
      </c>
      <c r="BD123" s="0" t="str">
        <f aca="false">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none</v>
      </c>
      <c r="BF123" s="0" t="s">
        <v>380</v>
      </c>
      <c r="BJ123" s="0" t="s">
        <v>380</v>
      </c>
      <c r="BL123" s="0" t="s">
        <v>896</v>
      </c>
      <c r="BQ123" s="0" t="str">
        <f aca="false">IF($A123="","",IFERROR(INDEX(Enrichment!$A$2:$GZ$2000,MATCH($A123,INDEX(Enrichment!$A$2:$GZ$2000,0,MATCH("row_id",Enrichment!$A$1:$GZ$1,0)),0),MATCH("backup_work_email",Enrichment!$A$1:$GZ$1,0))&amp;"",""))</f>
        <v/>
      </c>
      <c r="BR123" s="0" t="str">
        <f aca="false">IF($A123="","",IF(BQ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none</v>
      </c>
      <c r="BT123" s="0" t="s">
        <v>380</v>
      </c>
      <c r="BX123" s="0" t="s">
        <v>380</v>
      </c>
      <c r="BY123" s="0" t="s">
        <v>387</v>
      </c>
      <c r="BZ123" s="0" t="s">
        <v>388</v>
      </c>
      <c r="CA123" s="0" t="s">
        <v>2707</v>
      </c>
      <c r="CB123" s="0" t="s">
        <v>196</v>
      </c>
      <c r="CM123" s="0" t="s">
        <v>189</v>
      </c>
      <c r="CN123" s="0" t="s">
        <v>200</v>
      </c>
      <c r="CO123" s="0" t="s">
        <v>201</v>
      </c>
      <c r="CP123" s="0" t="s">
        <v>1</v>
      </c>
      <c r="CQ123" s="0" t="s">
        <v>3244</v>
      </c>
      <c r="CR123" s="0" t="s">
        <v>3240</v>
      </c>
      <c r="CS123" s="0" t="s">
        <v>3242</v>
      </c>
      <c r="CT123" s="0" t="s">
        <v>209</v>
      </c>
      <c r="CV123" s="0" t="s">
        <v>209</v>
      </c>
      <c r="CW123" s="0" t="s">
        <v>209</v>
      </c>
      <c r="CX123" s="0" t="s">
        <v>2712</v>
      </c>
      <c r="DA123" s="0" t="s">
        <v>209</v>
      </c>
      <c r="DB123" s="0" t="s">
        <v>209</v>
      </c>
      <c r="DC123" s="0" t="s">
        <v>209</v>
      </c>
      <c r="DD123" s="0" t="s">
        <v>209</v>
      </c>
      <c r="DE123" s="0" t="s">
        <v>3243</v>
      </c>
      <c r="DF123" s="0" t="s">
        <v>210</v>
      </c>
      <c r="DG123" s="0" t="n">
        <v>40.738063</v>
      </c>
      <c r="DH123" s="0" t="n">
        <v>-73.991898</v>
      </c>
      <c r="DI123" s="0" t="s">
        <v>164</v>
      </c>
      <c r="DJ123" s="0" t="n">
        <v>0</v>
      </c>
      <c r="DK123" s="0" t="s">
        <v>2023</v>
      </c>
      <c r="DL123" s="0" t="s">
        <v>2024</v>
      </c>
      <c r="DM123" s="0" t="s">
        <v>3245</v>
      </c>
      <c r="DN123" s="0" t="s">
        <v>263</v>
      </c>
      <c r="DO123" s="0" t="s">
        <v>214</v>
      </c>
      <c r="DP123" s="0" t="s">
        <v>2025</v>
      </c>
      <c r="DQ123" s="0" t="s">
        <v>2026</v>
      </c>
      <c r="DS123" s="0" t="s">
        <v>217</v>
      </c>
      <c r="DU123" s="0" t="s">
        <v>189</v>
      </c>
      <c r="DX123" s="0" t="s">
        <v>209</v>
      </c>
      <c r="EA123" s="0" t="s">
        <v>209</v>
      </c>
      <c r="EB123" s="0" t="s">
        <v>189</v>
      </c>
      <c r="EC123" s="0" t="s">
        <v>209</v>
      </c>
      <c r="EF123" s="0" t="s">
        <v>209</v>
      </c>
      <c r="EH123" s="0" t="s">
        <v>189</v>
      </c>
      <c r="EI123" s="0" t="s">
        <v>2716</v>
      </c>
      <c r="EJ123" s="0" t="s">
        <v>221</v>
      </c>
      <c r="EK123" s="0" t="s">
        <v>209</v>
      </c>
      <c r="EL123" s="0" t="n">
        <v>36</v>
      </c>
      <c r="EM123" s="0" t="n">
        <v>7</v>
      </c>
      <c r="EN123" s="0" t="n">
        <v>8</v>
      </c>
      <c r="EO123" s="0" t="n">
        <v>6</v>
      </c>
      <c r="EP123" s="0" t="n">
        <v>15</v>
      </c>
      <c r="EQ123" s="0" t="n">
        <f aca="false">IF($A123="","",IF(AH123="exact",10,IF(AH123="adjacent",5,0)))</f>
        <v>0</v>
      </c>
      <c r="ER123" s="0" t="n">
        <f aca="false">IF($A123="","",IF(R123="Y",15,0))</f>
        <v>0</v>
      </c>
      <c r="ES123" s="0" t="s">
        <v>222</v>
      </c>
      <c r="EX123" s="0" t="s">
        <v>3246</v>
      </c>
      <c r="EZ123" s="0" t="s">
        <v>3247</v>
      </c>
      <c r="FS123" s="0" t="str">
        <f aca="false">IF($A123="","",IF(ISNUMBER(MATCH(U123,{"queued","contacted","replied","call_booked","call_done","yes_in_principle","materials_sent"},0)),"Y","N"))</f>
        <v>N</v>
      </c>
      <c r="FT123" s="0" t="str">
        <f aca="false">IF($A123="","",IF(OR(T123="Y",U123="do_not_contact",AS123&amp;""&lt;&gt;""),"Y","N"))</f>
        <v>N</v>
      </c>
      <c r="FU123" s="0" t="str">
        <f aca="false">IF($A123="","",IF(AP123&amp;""&lt;&gt;"",AP123&amp;"",$A123))</f>
        <v>AO-C-029</v>
      </c>
      <c r="FV123" s="0" t="str">
        <f aca="false">IF($A123="","",IF(COUNTIFS($FU$2:$FU$1000,FU123,$FS$2:$FS$1000,"Y")+COUNTIFS($FU$2:$FU$1000,FU123,$FT$2:$FT$1000,"Y")&gt;0,"Y","N"))</f>
        <v>N</v>
      </c>
      <c r="FW123" s="0" t="str">
        <f aca="false">IF($A123="","",IF(AND(U123="new",T123="N",FT123="N",AT123="Y",FV123="N"),"Y","N"))</f>
        <v>N</v>
      </c>
      <c r="FX123" s="0" t="str">
        <f aca="false">IF($A123="","",IF(FW123&lt;&gt;"Y","N",IF(COUNTIFS($FU$2:$FU$1000,FU123,$FW$2:$FW$1000,"Y",$J$2:$J$1000,"&gt;"&amp;J123)+COUNTIFS($FU$2:$FU$1000,FU123,$FW$2:$FW$1000,"Y",$J$2:$J$1000,J123,$GD$2:$GD$1000,"&lt;"&amp;GD123)=0,"Y","N")))</f>
        <v>N</v>
      </c>
      <c r="FY123" s="0" t="str">
        <f aca="false">IF($A123="","",IF(AND(FW123="Y",FX123="Y",Y123&amp;""&lt;&gt;""),IF(Y123&lt;=10,"Y","N"),"N"))</f>
        <v>N</v>
      </c>
      <c r="FZ123" s="0" t="str">
        <f aca="false">IF(FY123="Y",Y123,"")</f>
        <v/>
      </c>
      <c r="GA123" s="0" t="str">
        <f aca="false">IF($A123="","",IF(AND(I123="walk-in",CN123="pass",U123="new",FT123="N",FV123="N",AQ123&lt;&gt;"Y"),"Y","N"))</f>
        <v>N</v>
      </c>
      <c r="GB123" s="0" t="str">
        <f aca="false">IF(GA123&lt;&gt;"Y","",IF(COUNTIFS($GA$2:$GA$1000,"Y",$J$2:$J$1000,"&gt;"&amp;J123)+COUNTIFS($GA$2:$GA$1000,"Y",$J$2:$J$1000,J123,$GD$2:$GD$1000,"&lt;"&amp;GD123)+1&lt;=25,COUNTIFS($GA$2:$GA$1000,"Y",$J$2:$J$1000,"&gt;"&amp;J123)+COUNTIFS($GA$2:$GA$1000,"Y",$J$2:$J$1000,J123,$GD$2:$GD$1000,"&lt;"&amp;GD123)+1,""))</f>
        <v/>
      </c>
      <c r="GC123" s="0" t="str">
        <f aca="false">IF(AND(_xlfn.ISFORMULA(C123),_xlfn.ISFORMULA(J123)),"Y","N")</f>
        <v>N</v>
      </c>
      <c r="GD123" s="0" t="n">
        <f aca="false">ROW()-1</f>
        <v>122</v>
      </c>
    </row>
    <row r="124" customFormat="false" ht="15" hidden="false" customHeight="false" outlineLevel="0" collapsed="false">
      <c r="A124" s="0" t="s">
        <v>3248</v>
      </c>
      <c r="B124" s="0" t="s">
        <v>3249</v>
      </c>
      <c r="C124" s="0" t="s">
        <v>3250</v>
      </c>
      <c r="D124" s="0" t="s">
        <v>3251</v>
      </c>
      <c r="E124" s="0" t="s">
        <v>3252</v>
      </c>
      <c r="F124" s="0" t="s">
        <v>3086</v>
      </c>
      <c r="G124" s="0" t="s">
        <v>189</v>
      </c>
      <c r="M124" s="0" t="s">
        <v>380</v>
      </c>
      <c r="R124" s="5"/>
      <c r="U124" s="5"/>
      <c r="V124" s="0" t="s">
        <v>380</v>
      </c>
      <c r="AE124" s="0" t="s">
        <v>3253</v>
      </c>
      <c r="AF124" s="0" t="s">
        <v>3254</v>
      </c>
      <c r="AG124" s="0" t="s">
        <v>3255</v>
      </c>
      <c r="AH124" s="0" t="s">
        <v>209</v>
      </c>
      <c r="AI124" s="0" t="s">
        <v>3256</v>
      </c>
      <c r="AJ124" s="0" t="s">
        <v>189</v>
      </c>
      <c r="AK124" s="0" t="s">
        <v>209</v>
      </c>
      <c r="AL124" s="0" t="s">
        <v>189</v>
      </c>
      <c r="AM124" s="0" t="s">
        <v>209</v>
      </c>
      <c r="AN124" s="0" t="s">
        <v>380</v>
      </c>
      <c r="AO124" s="0" t="s">
        <v>209</v>
      </c>
      <c r="AP124" s="0" t="s">
        <v>3248</v>
      </c>
      <c r="AQ124" s="5" t="s">
        <v>189</v>
      </c>
      <c r="AT124" s="0" t="str">
        <f aca="false">IF($A124="","",IF(AND(CN124="pass",AQ124&lt;&gt;"Y",C124&lt;&gt;"",OR(AX124&lt;&gt;"Y",AV124="Y")),"Y","N"))</f>
        <v>Y</v>
      </c>
      <c r="AU124" s="0" t="str">
        <f aca="false">IF($A124="","",_xlfn.TEXTJOIN("; ",TRUE(),IF(CN124&lt;&gt;"pass","gated out",""),IF(AQ124="Y","on hold: "&amp;AR124,""),IF(C124="","no contact named on an opened page",""),IF(AND(AX124="Y",AV124&lt;&gt;"Y"),"Tuesday estimate band "&amp;L124&amp;": founder's call","")))</f>
        <v/>
      </c>
      <c r="AX124" s="0" t="s">
        <v>189</v>
      </c>
      <c r="BC124" s="0" t="str">
        <f aca="false">IF($A124="","",IFERROR(INDEX(Enrichment!$A$2:$GZ$2000,MATCH($A124,INDEX(Enrichment!$A$2:$GZ$2000,0,MATCH("row_id",Enrichment!$A$1:$GZ$1,0)),0),MATCH("work_email",Enrichment!$A$1:$GZ$1,0))&amp;"",""))</f>
        <v/>
      </c>
      <c r="BD124" s="0" t="str">
        <f aca="false">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none</v>
      </c>
      <c r="BF124" s="0" t="s">
        <v>380</v>
      </c>
      <c r="BJ124" s="0" t="s">
        <v>380</v>
      </c>
      <c r="BL124" s="0" t="s">
        <v>896</v>
      </c>
      <c r="BQ124" s="0" t="str">
        <f aca="false">IF($A124="","",IFERROR(INDEX(Enrichment!$A$2:$GZ$2000,MATCH($A124,INDEX(Enrichment!$A$2:$GZ$2000,0,MATCH("row_id",Enrichment!$A$1:$GZ$1,0)),0),MATCH("backup_work_email",Enrichment!$A$1:$GZ$1,0))&amp;"",""))</f>
        <v/>
      </c>
      <c r="BR124" s="0" t="str">
        <f aca="false">IF($A124="","",IF(BQ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none</v>
      </c>
      <c r="BT124" s="0" t="s">
        <v>380</v>
      </c>
      <c r="BX124" s="0" t="s">
        <v>380</v>
      </c>
      <c r="BY124" s="0" t="s">
        <v>387</v>
      </c>
      <c r="BZ124" s="0" t="s">
        <v>388</v>
      </c>
      <c r="CA124" s="0" t="s">
        <v>2707</v>
      </c>
      <c r="CB124" s="0" t="s">
        <v>196</v>
      </c>
      <c r="CM124" s="0" t="s">
        <v>189</v>
      </c>
      <c r="CN124" s="0" t="s">
        <v>200</v>
      </c>
      <c r="CO124" s="0" t="s">
        <v>201</v>
      </c>
      <c r="CP124" s="0" t="s">
        <v>1</v>
      </c>
      <c r="CQ124" s="0" t="s">
        <v>3257</v>
      </c>
      <c r="CR124" s="0" t="s">
        <v>3250</v>
      </c>
      <c r="CS124" s="0" t="s">
        <v>3255</v>
      </c>
      <c r="CT124" s="0" t="s">
        <v>209</v>
      </c>
      <c r="CV124" s="0" t="s">
        <v>209</v>
      </c>
      <c r="CW124" s="0" t="s">
        <v>209</v>
      </c>
      <c r="CX124" s="0" t="s">
        <v>2712</v>
      </c>
      <c r="DA124" s="0" t="s">
        <v>209</v>
      </c>
      <c r="DB124" s="0" t="s">
        <v>209</v>
      </c>
      <c r="DC124" s="0" t="s">
        <v>209</v>
      </c>
      <c r="DD124" s="0" t="s">
        <v>209</v>
      </c>
      <c r="DE124" s="0" t="s">
        <v>3256</v>
      </c>
      <c r="DF124" s="0" t="s">
        <v>311</v>
      </c>
      <c r="DG124" s="0" t="n">
        <v>40.7425</v>
      </c>
      <c r="DH124" s="0" t="n">
        <v>-73.984446</v>
      </c>
      <c r="DI124" s="0" t="s">
        <v>164</v>
      </c>
      <c r="DJ124" s="0" t="n">
        <v>0</v>
      </c>
      <c r="DK124" s="0" t="s">
        <v>3258</v>
      </c>
      <c r="DL124" s="0" t="s">
        <v>3259</v>
      </c>
      <c r="DM124" s="0" t="s">
        <v>3260</v>
      </c>
      <c r="DN124" s="0" t="s">
        <v>263</v>
      </c>
      <c r="DO124" s="0" t="s">
        <v>214</v>
      </c>
      <c r="DP124" s="0" t="s">
        <v>3261</v>
      </c>
      <c r="DQ124" s="0" t="s">
        <v>3262</v>
      </c>
      <c r="DS124" s="0" t="s">
        <v>217</v>
      </c>
      <c r="DU124" s="0" t="s">
        <v>189</v>
      </c>
      <c r="DX124" s="0" t="s">
        <v>209</v>
      </c>
      <c r="EA124" s="0" t="s">
        <v>209</v>
      </c>
      <c r="EB124" s="0" t="s">
        <v>189</v>
      </c>
      <c r="EC124" s="0" t="s">
        <v>209</v>
      </c>
      <c r="EF124" s="0" t="s">
        <v>209</v>
      </c>
      <c r="EH124" s="0" t="s">
        <v>189</v>
      </c>
      <c r="EI124" s="0" t="s">
        <v>2716</v>
      </c>
      <c r="EJ124" s="0" t="s">
        <v>221</v>
      </c>
      <c r="EK124" s="0" t="s">
        <v>209</v>
      </c>
      <c r="EL124" s="0" t="n">
        <v>36</v>
      </c>
      <c r="EM124" s="0" t="n">
        <v>7</v>
      </c>
      <c r="EN124" s="0" t="n">
        <v>8</v>
      </c>
      <c r="EO124" s="0" t="n">
        <v>6</v>
      </c>
      <c r="EP124" s="0" t="n">
        <v>15</v>
      </c>
      <c r="EQ124" s="0" t="n">
        <f aca="false">IF($A124="","",IF(AH124="exact",10,IF(AH124="adjacent",5,0)))</f>
        <v>0</v>
      </c>
      <c r="ER124" s="0" t="n">
        <f aca="false">IF($A124="","",IF(R124="Y",15,0))</f>
        <v>0</v>
      </c>
      <c r="ES124" s="0" t="s">
        <v>222</v>
      </c>
      <c r="EV124" s="0" t="s">
        <v>3263</v>
      </c>
      <c r="EW124" s="0" t="s">
        <v>224</v>
      </c>
      <c r="EX124" s="0" t="s">
        <v>3264</v>
      </c>
      <c r="EZ124" s="0" t="s">
        <v>3265</v>
      </c>
      <c r="FS124" s="0" t="str">
        <f aca="false">IF($A124="","",IF(ISNUMBER(MATCH(U124,{"queued","contacted","replied","call_booked","call_done","yes_in_principle","materials_sent"},0)),"Y","N"))</f>
        <v>N</v>
      </c>
      <c r="FT124" s="0" t="str">
        <f aca="false">IF($A124="","",IF(OR(T124="Y",U124="do_not_contact",AS124&amp;""&lt;&gt;""),"Y","N"))</f>
        <v>N</v>
      </c>
      <c r="FU124" s="0" t="str">
        <f aca="false">IF($A124="","",IF(AP124&amp;""&lt;&gt;"",AP124&amp;"",$A124))</f>
        <v>AO-C-148</v>
      </c>
      <c r="FV124" s="0" t="str">
        <f aca="false">IF($A124="","",IF(COUNTIFS($FU$2:$FU$1000,FU124,$FS$2:$FS$1000,"Y")+COUNTIFS($FU$2:$FU$1000,FU124,$FT$2:$FT$1000,"Y")&gt;0,"Y","N"))</f>
        <v>N</v>
      </c>
      <c r="FW124" s="0" t="str">
        <f aca="false">IF($A124="","",IF(AND(U124="new",T124="N",FT124="N",AT124="Y",FV124="N"),"Y","N"))</f>
        <v>N</v>
      </c>
      <c r="FX124" s="0" t="str">
        <f aca="false">IF($A124="","",IF(FW124&lt;&gt;"Y","N",IF(COUNTIFS($FU$2:$FU$1000,FU124,$FW$2:$FW$1000,"Y",$J$2:$J$1000,"&gt;"&amp;J124)+COUNTIFS($FU$2:$FU$1000,FU124,$FW$2:$FW$1000,"Y",$J$2:$J$1000,J124,$GD$2:$GD$1000,"&lt;"&amp;GD124)=0,"Y","N")))</f>
        <v>N</v>
      </c>
      <c r="FY124" s="0" t="str">
        <f aca="false">IF($A124="","",IF(AND(FW124="Y",FX124="Y",Y124&amp;""&lt;&gt;""),IF(Y124&lt;=10,"Y","N"),"N"))</f>
        <v>N</v>
      </c>
      <c r="FZ124" s="0" t="str">
        <f aca="false">IF(FY124="Y",Y124,"")</f>
        <v/>
      </c>
      <c r="GA124" s="0" t="str">
        <f aca="false">IF($A124="","",IF(AND(I124="walk-in",CN124="pass",U124="new",FT124="N",FV124="N",AQ124&lt;&gt;"Y"),"Y","N"))</f>
        <v>N</v>
      </c>
      <c r="GB124" s="0" t="str">
        <f aca="false">IF(GA124&lt;&gt;"Y","",IF(COUNTIFS($GA$2:$GA$1000,"Y",$J$2:$J$1000,"&gt;"&amp;J124)+COUNTIFS($GA$2:$GA$1000,"Y",$J$2:$J$1000,J124,$GD$2:$GD$1000,"&lt;"&amp;GD124)+1&lt;=25,COUNTIFS($GA$2:$GA$1000,"Y",$J$2:$J$1000,"&gt;"&amp;J124)+COUNTIFS($GA$2:$GA$1000,"Y",$J$2:$J$1000,J124,$GD$2:$GD$1000,"&lt;"&amp;GD124)+1,""))</f>
        <v/>
      </c>
      <c r="GC124" s="0" t="str">
        <f aca="false">IF(AND(_xlfn.ISFORMULA(C124),_xlfn.ISFORMULA(J124)),"Y","N")</f>
        <v>N</v>
      </c>
      <c r="GD124" s="0" t="n">
        <f aca="false">ROW()-1</f>
        <v>123</v>
      </c>
    </row>
    <row r="125" customFormat="false" ht="15" hidden="false" customHeight="false" outlineLevel="0" collapsed="false">
      <c r="A125" s="0" t="s">
        <v>3266</v>
      </c>
      <c r="B125" s="0" t="s">
        <v>3267</v>
      </c>
      <c r="C125" s="0" t="s">
        <v>3268</v>
      </c>
      <c r="D125" s="0" t="s">
        <v>3269</v>
      </c>
      <c r="E125" s="0" t="s">
        <v>3270</v>
      </c>
      <c r="F125" s="0" t="s">
        <v>3086</v>
      </c>
      <c r="G125" s="0" t="s">
        <v>189</v>
      </c>
      <c r="M125" s="0" t="s">
        <v>380</v>
      </c>
      <c r="R125" s="5"/>
      <c r="U125" s="5"/>
      <c r="V125" s="0" t="s">
        <v>380</v>
      </c>
      <c r="AE125" s="0" t="s">
        <v>1436</v>
      </c>
      <c r="AF125" s="0" t="s">
        <v>468</v>
      </c>
      <c r="AG125" s="0" t="s">
        <v>3271</v>
      </c>
      <c r="AH125" s="0" t="s">
        <v>209</v>
      </c>
      <c r="AI125" s="0" t="s">
        <v>209</v>
      </c>
      <c r="AJ125" s="0" t="s">
        <v>189</v>
      </c>
      <c r="AK125" s="0" t="s">
        <v>209</v>
      </c>
      <c r="AL125" s="0" t="s">
        <v>189</v>
      </c>
      <c r="AM125" s="0" t="s">
        <v>209</v>
      </c>
      <c r="AN125" s="0" t="s">
        <v>380</v>
      </c>
      <c r="AO125" s="0" t="s">
        <v>209</v>
      </c>
      <c r="AP125" s="0" t="s">
        <v>3266</v>
      </c>
      <c r="AQ125" s="5" t="s">
        <v>189</v>
      </c>
      <c r="AT125" s="0" t="str">
        <f aca="false">IF($A125="","",IF(AND(CN125="pass",AQ125&lt;&gt;"Y",C125&lt;&gt;"",OR(AX125&lt;&gt;"Y",AV125="Y")),"Y","N"))</f>
        <v>Y</v>
      </c>
      <c r="AU125" s="0" t="str">
        <f aca="false">IF($A125="","",_xlfn.TEXTJOIN("; ",TRUE(),IF(CN125&lt;&gt;"pass","gated out",""),IF(AQ125="Y","on hold: "&amp;AR125,""),IF(C125="","no contact named on an opened page",""),IF(AND(AX125="Y",AV125&lt;&gt;"Y"),"Tuesday estimate band "&amp;L125&amp;": founder's call","")))</f>
        <v/>
      </c>
      <c r="AX125" s="0" t="s">
        <v>189</v>
      </c>
      <c r="BC125" s="0" t="str">
        <f aca="false">IF($A125="","",IFERROR(INDEX(Enrichment!$A$2:$GZ$2000,MATCH($A125,INDEX(Enrichment!$A$2:$GZ$2000,0,MATCH("row_id",Enrichment!$A$1:$GZ$1,0)),0),MATCH("work_email",Enrichment!$A$1:$GZ$1,0))&amp;"",""))</f>
        <v/>
      </c>
      <c r="BD125" s="0" t="str">
        <f aca="false">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none</v>
      </c>
      <c r="BF125" s="0" t="s">
        <v>380</v>
      </c>
      <c r="BJ125" s="0" t="s">
        <v>380</v>
      </c>
      <c r="BL125" s="0" t="s">
        <v>896</v>
      </c>
      <c r="BQ125" s="0" t="str">
        <f aca="false">IF($A125="","",IFERROR(INDEX(Enrichment!$A$2:$GZ$2000,MATCH($A125,INDEX(Enrichment!$A$2:$GZ$2000,0,MATCH("row_id",Enrichment!$A$1:$GZ$1,0)),0),MATCH("backup_work_email",Enrichment!$A$1:$GZ$1,0))&amp;"",""))</f>
        <v/>
      </c>
      <c r="BR125" s="0" t="str">
        <f aca="false">IF($A125="","",IF(BQ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none</v>
      </c>
      <c r="BT125" s="0" t="s">
        <v>380</v>
      </c>
      <c r="BX125" s="0" t="s">
        <v>380</v>
      </c>
      <c r="BY125" s="0" t="s">
        <v>387</v>
      </c>
      <c r="BZ125" s="0" t="s">
        <v>388</v>
      </c>
      <c r="CA125" s="0" t="s">
        <v>2707</v>
      </c>
      <c r="CB125" s="0" t="s">
        <v>196</v>
      </c>
      <c r="CM125" s="0" t="s">
        <v>189</v>
      </c>
      <c r="CN125" s="0" t="s">
        <v>200</v>
      </c>
      <c r="CO125" s="0" t="s">
        <v>201</v>
      </c>
      <c r="CP125" s="0" t="s">
        <v>1</v>
      </c>
      <c r="CQ125" s="0" t="s">
        <v>3272</v>
      </c>
      <c r="CR125" s="0" t="s">
        <v>3268</v>
      </c>
      <c r="CS125" s="0" t="s">
        <v>3271</v>
      </c>
      <c r="CT125" s="0" t="s">
        <v>209</v>
      </c>
      <c r="CV125" s="0" t="s">
        <v>209</v>
      </c>
      <c r="CW125" s="0" t="s">
        <v>209</v>
      </c>
      <c r="CX125" s="0" t="s">
        <v>2712</v>
      </c>
      <c r="DA125" s="0" t="s">
        <v>209</v>
      </c>
      <c r="DB125" s="0" t="s">
        <v>209</v>
      </c>
      <c r="DC125" s="0" t="s">
        <v>209</v>
      </c>
      <c r="DD125" s="0" t="s">
        <v>209</v>
      </c>
      <c r="DE125" s="0" t="s">
        <v>209</v>
      </c>
      <c r="DF125" s="0" t="s">
        <v>210</v>
      </c>
      <c r="DG125" s="0" t="n">
        <v>40.734626</v>
      </c>
      <c r="DH125" s="0" t="n">
        <v>-73.9911</v>
      </c>
      <c r="DI125" s="0" t="s">
        <v>164</v>
      </c>
      <c r="DJ125" s="0" t="n">
        <v>0</v>
      </c>
      <c r="DK125" s="0" t="s">
        <v>1542</v>
      </c>
      <c r="DL125" s="0" t="s">
        <v>1543</v>
      </c>
      <c r="DM125" s="0" t="s">
        <v>3273</v>
      </c>
      <c r="DN125" s="0" t="s">
        <v>263</v>
      </c>
      <c r="DO125" s="0" t="s">
        <v>214</v>
      </c>
      <c r="DP125" s="0" t="s">
        <v>2094</v>
      </c>
      <c r="DQ125" s="0" t="s">
        <v>2095</v>
      </c>
      <c r="DS125" s="0" t="s">
        <v>217</v>
      </c>
      <c r="DU125" s="0" t="s">
        <v>189</v>
      </c>
      <c r="DX125" s="0" t="s">
        <v>267</v>
      </c>
      <c r="DY125" s="0" t="s">
        <v>1548</v>
      </c>
      <c r="EA125" s="0" t="s">
        <v>209</v>
      </c>
      <c r="EB125" s="0" t="s">
        <v>189</v>
      </c>
      <c r="EC125" s="0" t="s">
        <v>209</v>
      </c>
      <c r="EF125" s="0" t="s">
        <v>209</v>
      </c>
      <c r="EH125" s="0" t="s">
        <v>189</v>
      </c>
      <c r="EI125" s="0" t="s">
        <v>2716</v>
      </c>
      <c r="EJ125" s="0" t="s">
        <v>221</v>
      </c>
      <c r="EK125" s="0" t="s">
        <v>209</v>
      </c>
      <c r="EL125" s="0" t="n">
        <v>36</v>
      </c>
      <c r="EM125" s="0" t="n">
        <v>7</v>
      </c>
      <c r="EN125" s="0" t="n">
        <v>8</v>
      </c>
      <c r="EO125" s="0" t="n">
        <v>6</v>
      </c>
      <c r="EP125" s="0" t="n">
        <v>15</v>
      </c>
      <c r="EQ125" s="0" t="n">
        <f aca="false">IF($A125="","",IF(AH125="exact",10,IF(AH125="adjacent",5,0)))</f>
        <v>0</v>
      </c>
      <c r="ER125" s="0" t="n">
        <f aca="false">IF($A125="","",IF(R125="Y",15,0))</f>
        <v>0</v>
      </c>
      <c r="ES125" s="0" t="s">
        <v>222</v>
      </c>
      <c r="EV125" s="0" t="s">
        <v>2347</v>
      </c>
      <c r="EW125" s="0" t="s">
        <v>224</v>
      </c>
      <c r="EX125" s="0" t="s">
        <v>3274</v>
      </c>
      <c r="FS125" s="0" t="str">
        <f aca="false">IF($A125="","",IF(ISNUMBER(MATCH(U125,{"queued","contacted","replied","call_booked","call_done","yes_in_principle","materials_sent"},0)),"Y","N"))</f>
        <v>N</v>
      </c>
      <c r="FT125" s="0" t="str">
        <f aca="false">IF($A125="","",IF(OR(T125="Y",U125="do_not_contact",AS125&amp;""&lt;&gt;""),"Y","N"))</f>
        <v>N</v>
      </c>
      <c r="FU125" s="0" t="str">
        <f aca="false">IF($A125="","",IF(AP125&amp;""&lt;&gt;"",AP125&amp;"",$A125))</f>
        <v>AO-C-004</v>
      </c>
      <c r="FV125" s="0" t="str">
        <f aca="false">IF($A125="","",IF(COUNTIFS($FU$2:$FU$1000,FU125,$FS$2:$FS$1000,"Y")+COUNTIFS($FU$2:$FU$1000,FU125,$FT$2:$FT$1000,"Y")&gt;0,"Y","N"))</f>
        <v>N</v>
      </c>
      <c r="FW125" s="0" t="str">
        <f aca="false">IF($A125="","",IF(AND(U125="new",T125="N",FT125="N",AT125="Y",FV125="N"),"Y","N"))</f>
        <v>N</v>
      </c>
      <c r="FX125" s="0" t="str">
        <f aca="false">IF($A125="","",IF(FW125&lt;&gt;"Y","N",IF(COUNTIFS($FU$2:$FU$1000,FU125,$FW$2:$FW$1000,"Y",$J$2:$J$1000,"&gt;"&amp;J125)+COUNTIFS($FU$2:$FU$1000,FU125,$FW$2:$FW$1000,"Y",$J$2:$J$1000,J125,$GD$2:$GD$1000,"&lt;"&amp;GD125)=0,"Y","N")))</f>
        <v>N</v>
      </c>
      <c r="FY125" s="0" t="str">
        <f aca="false">IF($A125="","",IF(AND(FW125="Y",FX125="Y",Y125&amp;""&lt;&gt;""),IF(Y125&lt;=10,"Y","N"),"N"))</f>
        <v>N</v>
      </c>
      <c r="FZ125" s="0" t="str">
        <f aca="false">IF(FY125="Y",Y125,"")</f>
        <v/>
      </c>
      <c r="GA125" s="0" t="str">
        <f aca="false">IF($A125="","",IF(AND(I125="walk-in",CN125="pass",U125="new",FT125="N",FV125="N",AQ125&lt;&gt;"Y"),"Y","N"))</f>
        <v>N</v>
      </c>
      <c r="GB125" s="0" t="str">
        <f aca="false">IF(GA125&lt;&gt;"Y","",IF(COUNTIFS($GA$2:$GA$1000,"Y",$J$2:$J$1000,"&gt;"&amp;J125)+COUNTIFS($GA$2:$GA$1000,"Y",$J$2:$J$1000,J125,$GD$2:$GD$1000,"&lt;"&amp;GD125)+1&lt;=25,COUNTIFS($GA$2:$GA$1000,"Y",$J$2:$J$1000,"&gt;"&amp;J125)+COUNTIFS($GA$2:$GA$1000,"Y",$J$2:$J$1000,J125,$GD$2:$GD$1000,"&lt;"&amp;GD125)+1,""))</f>
        <v/>
      </c>
      <c r="GC125" s="0" t="str">
        <f aca="false">IF(AND(_xlfn.ISFORMULA(C125),_xlfn.ISFORMULA(J125)),"Y","N")</f>
        <v>N</v>
      </c>
      <c r="GD125" s="0" t="n">
        <f aca="false">ROW()-1</f>
        <v>124</v>
      </c>
    </row>
    <row r="126" customFormat="false" ht="15" hidden="false" customHeight="false" outlineLevel="0" collapsed="false">
      <c r="A126" s="0" t="s">
        <v>3275</v>
      </c>
      <c r="B126" s="0" t="s">
        <v>3276</v>
      </c>
      <c r="C126" s="0" t="s">
        <v>3277</v>
      </c>
      <c r="D126" s="0" t="s">
        <v>3278</v>
      </c>
      <c r="E126" s="0" t="s">
        <v>3279</v>
      </c>
      <c r="F126" s="0" t="s">
        <v>3086</v>
      </c>
      <c r="G126" s="0" t="s">
        <v>189</v>
      </c>
      <c r="M126" s="0" t="s">
        <v>380</v>
      </c>
      <c r="R126" s="5"/>
      <c r="U126" s="5"/>
      <c r="V126" s="0" t="s">
        <v>380</v>
      </c>
      <c r="AE126" s="0" t="s">
        <v>3280</v>
      </c>
      <c r="AF126" s="0" t="s">
        <v>209</v>
      </c>
      <c r="AG126" s="0" t="s">
        <v>3118</v>
      </c>
      <c r="AH126" s="0" t="s">
        <v>209</v>
      </c>
      <c r="AJ126" s="0" t="s">
        <v>189</v>
      </c>
      <c r="AK126" s="0" t="s">
        <v>209</v>
      </c>
      <c r="AL126" s="0" t="s">
        <v>189</v>
      </c>
      <c r="AM126" s="0" t="s">
        <v>209</v>
      </c>
      <c r="AN126" s="0" t="s">
        <v>380</v>
      </c>
      <c r="AO126" s="0" t="s">
        <v>209</v>
      </c>
      <c r="AP126" s="0" t="s">
        <v>3275</v>
      </c>
      <c r="AQ126" s="5" t="s">
        <v>189</v>
      </c>
      <c r="AT126" s="0" t="str">
        <f aca="false">IF($A126="","",IF(AND(CN126="pass",AQ126&lt;&gt;"Y",C126&lt;&gt;"",OR(AX126&lt;&gt;"Y",AV126="Y")),"Y","N"))</f>
        <v>Y</v>
      </c>
      <c r="AU126" s="0" t="str">
        <f aca="false">IF($A126="","",_xlfn.TEXTJOIN("; ",TRUE(),IF(CN126&lt;&gt;"pass","gated out",""),IF(AQ126="Y","on hold: "&amp;AR126,""),IF(C126="","no contact named on an opened page",""),IF(AND(AX126="Y",AV126&lt;&gt;"Y"),"Tuesday estimate band "&amp;L126&amp;": founder's call","")))</f>
        <v/>
      </c>
      <c r="AX126" s="0" t="s">
        <v>189</v>
      </c>
      <c r="BC126" s="0" t="str">
        <f aca="false">IF($A126="","",IFERROR(INDEX(Enrichment!$A$2:$GZ$2000,MATCH($A126,INDEX(Enrichment!$A$2:$GZ$2000,0,MATCH("row_id",Enrichment!$A$1:$GZ$1,0)),0),MATCH("work_email",Enrichment!$A$1:$GZ$1,0))&amp;"",""))</f>
        <v/>
      </c>
      <c r="BD126" s="0" t="str">
        <f aca="false">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none</v>
      </c>
      <c r="BF126" s="0" t="s">
        <v>380</v>
      </c>
      <c r="BJ126" s="0" t="s">
        <v>380</v>
      </c>
      <c r="BL126" s="0" t="s">
        <v>896</v>
      </c>
      <c r="BQ126" s="0" t="str">
        <f aca="false">IF($A126="","",IFERROR(INDEX(Enrichment!$A$2:$GZ$2000,MATCH($A126,INDEX(Enrichment!$A$2:$GZ$2000,0,MATCH("row_id",Enrichment!$A$1:$GZ$1,0)),0),MATCH("backup_work_email",Enrichment!$A$1:$GZ$1,0))&amp;"",""))</f>
        <v/>
      </c>
      <c r="BR126" s="0" t="str">
        <f aca="false">IF($A126="","",IF(BQ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none</v>
      </c>
      <c r="BT126" s="0" t="s">
        <v>380</v>
      </c>
      <c r="BX126" s="0" t="s">
        <v>380</v>
      </c>
      <c r="BY126" s="0" t="s">
        <v>387</v>
      </c>
      <c r="BZ126" s="0" t="s">
        <v>388</v>
      </c>
      <c r="CA126" s="0" t="s">
        <v>3120</v>
      </c>
      <c r="CB126" s="0" t="s">
        <v>196</v>
      </c>
      <c r="CM126" s="0" t="s">
        <v>189</v>
      </c>
      <c r="CN126" s="0" t="s">
        <v>200</v>
      </c>
      <c r="CO126" s="0" t="s">
        <v>201</v>
      </c>
      <c r="CP126" s="0" t="s">
        <v>3121</v>
      </c>
      <c r="CQ126" s="0" t="s">
        <v>3281</v>
      </c>
      <c r="CR126" s="0" t="s">
        <v>3277</v>
      </c>
      <c r="CS126" s="0" t="s">
        <v>3118</v>
      </c>
      <c r="CT126" s="0" t="s">
        <v>209</v>
      </c>
      <c r="CV126" s="0" t="s">
        <v>209</v>
      </c>
      <c r="CW126" s="0" t="s">
        <v>209</v>
      </c>
      <c r="DA126" s="0" t="s">
        <v>209</v>
      </c>
      <c r="DB126" s="0" t="s">
        <v>3123</v>
      </c>
      <c r="DC126" s="0" t="s">
        <v>209</v>
      </c>
      <c r="DD126" s="0" t="s">
        <v>3282</v>
      </c>
      <c r="DF126" s="0" t="s">
        <v>525</v>
      </c>
      <c r="DG126" s="0" t="n">
        <v>40.741024</v>
      </c>
      <c r="DH126" s="0" t="n">
        <v>-73.984936</v>
      </c>
      <c r="DI126" s="0" t="s">
        <v>164</v>
      </c>
      <c r="DJ126" s="0" t="n">
        <v>0</v>
      </c>
      <c r="DK126" s="0" t="s">
        <v>3283</v>
      </c>
      <c r="DL126" s="0" t="s">
        <v>3284</v>
      </c>
      <c r="DM126" s="0" t="s">
        <v>3285</v>
      </c>
      <c r="DN126" s="0" t="s">
        <v>2122</v>
      </c>
      <c r="DO126" s="0" t="s">
        <v>363</v>
      </c>
      <c r="DP126" s="0" t="s">
        <v>3286</v>
      </c>
      <c r="DS126" s="0" t="s">
        <v>217</v>
      </c>
      <c r="DU126" s="0" t="s">
        <v>189</v>
      </c>
      <c r="DV126" s="0" t="s">
        <v>3281</v>
      </c>
      <c r="DW126" s="0" t="s">
        <v>3130</v>
      </c>
      <c r="DX126" s="0" t="s">
        <v>209</v>
      </c>
      <c r="EA126" s="0" t="s">
        <v>209</v>
      </c>
      <c r="EB126" s="0" t="s">
        <v>189</v>
      </c>
      <c r="EC126" s="0" t="s">
        <v>209</v>
      </c>
      <c r="EF126" s="0" t="s">
        <v>209</v>
      </c>
      <c r="EH126" s="0" t="s">
        <v>189</v>
      </c>
      <c r="EI126" s="0" t="s">
        <v>3131</v>
      </c>
      <c r="EJ126" s="0" t="s">
        <v>221</v>
      </c>
      <c r="EK126" s="0" t="s">
        <v>209</v>
      </c>
      <c r="EL126" s="0" t="n">
        <v>36</v>
      </c>
      <c r="EM126" s="0" t="n">
        <v>7</v>
      </c>
      <c r="EN126" s="0" t="n">
        <v>8</v>
      </c>
      <c r="EO126" s="0" t="n">
        <v>6</v>
      </c>
      <c r="EP126" s="0" t="n">
        <v>15</v>
      </c>
      <c r="EQ126" s="0" t="n">
        <f aca="false">IF($A126="","",IF(AH126="exact",10,IF(AH126="adjacent",5,0)))</f>
        <v>0</v>
      </c>
      <c r="ER126" s="0" t="n">
        <f aca="false">IF($A126="","",IF(R126="Y",15,0))</f>
        <v>0</v>
      </c>
      <c r="ES126" s="0" t="s">
        <v>3121</v>
      </c>
      <c r="EX126" s="0" t="s">
        <v>3287</v>
      </c>
      <c r="FS126" s="0" t="str">
        <f aca="false">IF($A126="","",IF(ISNUMBER(MATCH(U126,{"queued","contacted","replied","call_booked","call_done","yes_in_principle","materials_sent"},0)),"Y","N"))</f>
        <v>N</v>
      </c>
      <c r="FT126" s="0" t="str">
        <f aca="false">IF($A126="","",IF(OR(T126="Y",U126="do_not_contact",AS126&amp;""&lt;&gt;""),"Y","N"))</f>
        <v>N</v>
      </c>
      <c r="FU126" s="0" t="str">
        <f aca="false">IF($A126="","",IF(AP126&amp;""&lt;&gt;"",AP126&amp;"",$A126))</f>
        <v>AO-W-010</v>
      </c>
      <c r="FV126" s="0" t="str">
        <f aca="false">IF($A126="","",IF(COUNTIFS($FU$2:$FU$1000,FU126,$FS$2:$FS$1000,"Y")+COUNTIFS($FU$2:$FU$1000,FU126,$FT$2:$FT$1000,"Y")&gt;0,"Y","N"))</f>
        <v>N</v>
      </c>
      <c r="FW126" s="0" t="str">
        <f aca="false">IF($A126="","",IF(AND(U126="new",T126="N",FT126="N",AT126="Y",FV126="N"),"Y","N"))</f>
        <v>N</v>
      </c>
      <c r="FX126" s="0" t="str">
        <f aca="false">IF($A126="","",IF(FW126&lt;&gt;"Y","N",IF(COUNTIFS($FU$2:$FU$1000,FU126,$FW$2:$FW$1000,"Y",$J$2:$J$1000,"&gt;"&amp;J126)+COUNTIFS($FU$2:$FU$1000,FU126,$FW$2:$FW$1000,"Y",$J$2:$J$1000,J126,$GD$2:$GD$1000,"&lt;"&amp;GD126)=0,"Y","N")))</f>
        <v>N</v>
      </c>
      <c r="FY126" s="0" t="str">
        <f aca="false">IF($A126="","",IF(AND(FW126="Y",FX126="Y",Y126&amp;""&lt;&gt;""),IF(Y126&lt;=10,"Y","N"),"N"))</f>
        <v>N</v>
      </c>
      <c r="FZ126" s="0" t="str">
        <f aca="false">IF(FY126="Y",Y126,"")</f>
        <v/>
      </c>
      <c r="GA126" s="0" t="str">
        <f aca="false">IF($A126="","",IF(AND(I126="walk-in",CN126="pass",U126="new",FT126="N",FV126="N",AQ126&lt;&gt;"Y"),"Y","N"))</f>
        <v>N</v>
      </c>
      <c r="GB126" s="0" t="str">
        <f aca="false">IF(GA126&lt;&gt;"Y","",IF(COUNTIFS($GA$2:$GA$1000,"Y",$J$2:$J$1000,"&gt;"&amp;J126)+COUNTIFS($GA$2:$GA$1000,"Y",$J$2:$J$1000,J126,$GD$2:$GD$1000,"&lt;"&amp;GD126)+1&lt;=25,COUNTIFS($GA$2:$GA$1000,"Y",$J$2:$J$1000,"&gt;"&amp;J126)+COUNTIFS($GA$2:$GA$1000,"Y",$J$2:$J$1000,J126,$GD$2:$GD$1000,"&lt;"&amp;GD126)+1,""))</f>
        <v/>
      </c>
      <c r="GC126" s="0" t="str">
        <f aca="false">IF(AND(_xlfn.ISFORMULA(C126),_xlfn.ISFORMULA(J126)),"Y","N")</f>
        <v>N</v>
      </c>
      <c r="GD126" s="0" t="n">
        <f aca="false">ROW()-1</f>
        <v>125</v>
      </c>
    </row>
    <row r="127" customFormat="false" ht="15" hidden="false" customHeight="false" outlineLevel="0" collapsed="false">
      <c r="A127" s="0" t="s">
        <v>3288</v>
      </c>
      <c r="B127" s="0" t="s">
        <v>3289</v>
      </c>
      <c r="C127" s="0" t="s">
        <v>3290</v>
      </c>
      <c r="D127" s="0" t="s">
        <v>3291</v>
      </c>
      <c r="E127" s="0" t="s">
        <v>2870</v>
      </c>
      <c r="F127" s="0" t="s">
        <v>3086</v>
      </c>
      <c r="G127" s="0" t="s">
        <v>189</v>
      </c>
      <c r="M127" s="0" t="s">
        <v>380</v>
      </c>
      <c r="R127" s="5"/>
      <c r="U127" s="5"/>
      <c r="V127" s="0" t="s">
        <v>380</v>
      </c>
      <c r="AE127" s="0" t="s">
        <v>3292</v>
      </c>
      <c r="AF127" s="0" t="s">
        <v>456</v>
      </c>
      <c r="AG127" s="0" t="s">
        <v>3293</v>
      </c>
      <c r="AH127" s="0" t="s">
        <v>209</v>
      </c>
      <c r="AI127" s="0" t="s">
        <v>3294</v>
      </c>
      <c r="AJ127" s="0" t="s">
        <v>189</v>
      </c>
      <c r="AK127" s="0" t="s">
        <v>209</v>
      </c>
      <c r="AL127" s="0" t="s">
        <v>189</v>
      </c>
      <c r="AM127" s="0" t="s">
        <v>209</v>
      </c>
      <c r="AN127" s="0" t="s">
        <v>380</v>
      </c>
      <c r="AO127" s="0" t="s">
        <v>209</v>
      </c>
      <c r="AP127" s="0" t="s">
        <v>3288</v>
      </c>
      <c r="AQ127" s="5" t="s">
        <v>189</v>
      </c>
      <c r="AT127" s="0" t="str">
        <f aca="false">IF($A127="","",IF(AND(CN127="pass",AQ127&lt;&gt;"Y",C127&lt;&gt;"",OR(AX127&lt;&gt;"Y",AV127="Y")),"Y","N"))</f>
        <v>Y</v>
      </c>
      <c r="AU127" s="0" t="str">
        <f aca="false">IF($A127="","",_xlfn.TEXTJOIN("; ",TRUE(),IF(CN127&lt;&gt;"pass","gated out",""),IF(AQ127="Y","on hold: "&amp;AR127,""),IF(C127="","no contact named on an opened page",""),IF(AND(AX127="Y",AV127&lt;&gt;"Y"),"Tuesday estimate band "&amp;L127&amp;": founder's call","")))</f>
        <v/>
      </c>
      <c r="AX127" s="0" t="s">
        <v>189</v>
      </c>
      <c r="BC127" s="0" t="str">
        <f aca="false">IF($A127="","",IFERROR(INDEX(Enrichment!$A$2:$GZ$2000,MATCH($A127,INDEX(Enrichment!$A$2:$GZ$2000,0,MATCH("row_id",Enrichment!$A$1:$GZ$1,0)),0),MATCH("work_email",Enrichment!$A$1:$GZ$1,0))&amp;"",""))</f>
        <v/>
      </c>
      <c r="BD127" s="0" t="str">
        <f aca="false">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none</v>
      </c>
      <c r="BF127" s="0" t="s">
        <v>380</v>
      </c>
      <c r="BJ127" s="0" t="s">
        <v>380</v>
      </c>
      <c r="BL127" s="0" t="s">
        <v>896</v>
      </c>
      <c r="BQ127" s="0" t="str">
        <f aca="false">IF($A127="","",IFERROR(INDEX(Enrichment!$A$2:$GZ$2000,MATCH($A127,INDEX(Enrichment!$A$2:$GZ$2000,0,MATCH("row_id",Enrichment!$A$1:$GZ$1,0)),0),MATCH("backup_work_email",Enrichment!$A$1:$GZ$1,0))&amp;"",""))</f>
        <v/>
      </c>
      <c r="BR127" s="0" t="str">
        <f aca="false">IF($A127="","",IF(BQ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none</v>
      </c>
      <c r="BT127" s="0" t="s">
        <v>380</v>
      </c>
      <c r="BX127" s="0" t="s">
        <v>380</v>
      </c>
      <c r="BY127" s="0" t="s">
        <v>387</v>
      </c>
      <c r="BZ127" s="0" t="s">
        <v>388</v>
      </c>
      <c r="CA127" s="0" t="s">
        <v>2707</v>
      </c>
      <c r="CB127" s="0" t="s">
        <v>196</v>
      </c>
      <c r="CM127" s="0" t="s">
        <v>189</v>
      </c>
      <c r="CN127" s="0" t="s">
        <v>200</v>
      </c>
      <c r="CO127" s="0" t="s">
        <v>201</v>
      </c>
      <c r="CP127" s="0" t="s">
        <v>1</v>
      </c>
      <c r="CQ127" s="0" t="s">
        <v>3295</v>
      </c>
      <c r="CR127" s="0" t="s">
        <v>3290</v>
      </c>
      <c r="CS127" s="0" t="s">
        <v>3293</v>
      </c>
      <c r="CT127" s="0" t="s">
        <v>209</v>
      </c>
      <c r="CV127" s="0" t="s">
        <v>209</v>
      </c>
      <c r="CW127" s="0" t="s">
        <v>209</v>
      </c>
      <c r="CX127" s="0" t="s">
        <v>2712</v>
      </c>
      <c r="DA127" s="0" t="s">
        <v>209</v>
      </c>
      <c r="DB127" s="0" t="s">
        <v>209</v>
      </c>
      <c r="DC127" s="0" t="s">
        <v>209</v>
      </c>
      <c r="DD127" s="0" t="s">
        <v>209</v>
      </c>
      <c r="DE127" s="0" t="s">
        <v>3294</v>
      </c>
      <c r="DF127" s="0" t="s">
        <v>525</v>
      </c>
      <c r="DG127" s="0" t="n">
        <v>40.744387</v>
      </c>
      <c r="DH127" s="0" t="n">
        <v>-73.989871</v>
      </c>
      <c r="DI127" s="0" t="s">
        <v>164</v>
      </c>
      <c r="DJ127" s="0" t="n">
        <v>0</v>
      </c>
      <c r="DK127" s="0" t="s">
        <v>3296</v>
      </c>
      <c r="DL127" s="0" t="s">
        <v>3292</v>
      </c>
      <c r="DM127" s="0" t="s">
        <v>3297</v>
      </c>
      <c r="DN127" s="0" t="s">
        <v>263</v>
      </c>
      <c r="DO127" s="0" t="s">
        <v>214</v>
      </c>
      <c r="DP127" s="0" t="s">
        <v>3298</v>
      </c>
      <c r="DQ127" s="0" t="s">
        <v>3299</v>
      </c>
      <c r="DS127" s="0" t="s">
        <v>217</v>
      </c>
      <c r="DU127" s="0" t="s">
        <v>189</v>
      </c>
      <c r="DX127" s="0" t="s">
        <v>209</v>
      </c>
      <c r="EA127" s="0" t="s">
        <v>209</v>
      </c>
      <c r="EB127" s="0" t="s">
        <v>189</v>
      </c>
      <c r="EC127" s="0" t="s">
        <v>209</v>
      </c>
      <c r="EF127" s="0" t="s">
        <v>209</v>
      </c>
      <c r="EH127" s="0" t="s">
        <v>189</v>
      </c>
      <c r="EI127" s="0" t="s">
        <v>2716</v>
      </c>
      <c r="EJ127" s="0" t="s">
        <v>221</v>
      </c>
      <c r="EK127" s="0" t="s">
        <v>209</v>
      </c>
      <c r="EL127" s="0" t="n">
        <v>36</v>
      </c>
      <c r="EM127" s="0" t="n">
        <v>7</v>
      </c>
      <c r="EN127" s="0" t="n">
        <v>8</v>
      </c>
      <c r="EO127" s="0" t="n">
        <v>6</v>
      </c>
      <c r="EP127" s="0" t="n">
        <v>15</v>
      </c>
      <c r="EQ127" s="0" t="n">
        <f aca="false">IF($A127="","",IF(AH127="exact",10,IF(AH127="adjacent",5,0)))</f>
        <v>0</v>
      </c>
      <c r="ER127" s="0" t="n">
        <f aca="false">IF($A127="","",IF(R127="Y",15,0))</f>
        <v>0</v>
      </c>
      <c r="ES127" s="0" t="s">
        <v>222</v>
      </c>
      <c r="EV127" s="0" t="s">
        <v>3300</v>
      </c>
      <c r="EW127" s="0" t="s">
        <v>224</v>
      </c>
      <c r="EX127" s="0" t="s">
        <v>3301</v>
      </c>
      <c r="EZ127" s="0" t="s">
        <v>3302</v>
      </c>
      <c r="FS127" s="0" t="str">
        <f aca="false">IF($A127="","",IF(ISNUMBER(MATCH(U127,{"queued","contacted","replied","call_booked","call_done","yes_in_principle","materials_sent"},0)),"Y","N"))</f>
        <v>N</v>
      </c>
      <c r="FT127" s="0" t="str">
        <f aca="false">IF($A127="","",IF(OR(T127="Y",U127="do_not_contact",AS127&amp;""&lt;&gt;""),"Y","N"))</f>
        <v>N</v>
      </c>
      <c r="FU127" s="0" t="str">
        <f aca="false">IF($A127="","",IF(AP127&amp;""&lt;&gt;"",AP127&amp;"",$A127))</f>
        <v>AO-C-125</v>
      </c>
      <c r="FV127" s="0" t="str">
        <f aca="false">IF($A127="","",IF(COUNTIFS($FU$2:$FU$1000,FU127,$FS$2:$FS$1000,"Y")+COUNTIFS($FU$2:$FU$1000,FU127,$FT$2:$FT$1000,"Y")&gt;0,"Y","N"))</f>
        <v>N</v>
      </c>
      <c r="FW127" s="0" t="str">
        <f aca="false">IF($A127="","",IF(AND(U127="new",T127="N",FT127="N",AT127="Y",FV127="N"),"Y","N"))</f>
        <v>N</v>
      </c>
      <c r="FX127" s="0" t="str">
        <f aca="false">IF($A127="","",IF(FW127&lt;&gt;"Y","N",IF(COUNTIFS($FU$2:$FU$1000,FU127,$FW$2:$FW$1000,"Y",$J$2:$J$1000,"&gt;"&amp;J127)+COUNTIFS($FU$2:$FU$1000,FU127,$FW$2:$FW$1000,"Y",$J$2:$J$1000,J127,$GD$2:$GD$1000,"&lt;"&amp;GD127)=0,"Y","N")))</f>
        <v>N</v>
      </c>
      <c r="FY127" s="0" t="str">
        <f aca="false">IF($A127="","",IF(AND(FW127="Y",FX127="Y",Y127&amp;""&lt;&gt;""),IF(Y127&lt;=10,"Y","N"),"N"))</f>
        <v>N</v>
      </c>
      <c r="FZ127" s="0" t="str">
        <f aca="false">IF(FY127="Y",Y127,"")</f>
        <v/>
      </c>
      <c r="GA127" s="0" t="str">
        <f aca="false">IF($A127="","",IF(AND(I127="walk-in",CN127="pass",U127="new",FT127="N",FV127="N",AQ127&lt;&gt;"Y"),"Y","N"))</f>
        <v>N</v>
      </c>
      <c r="GB127" s="0" t="str">
        <f aca="false">IF(GA127&lt;&gt;"Y","",IF(COUNTIFS($GA$2:$GA$1000,"Y",$J$2:$J$1000,"&gt;"&amp;J127)+COUNTIFS($GA$2:$GA$1000,"Y",$J$2:$J$1000,J127,$GD$2:$GD$1000,"&lt;"&amp;GD127)+1&lt;=25,COUNTIFS($GA$2:$GA$1000,"Y",$J$2:$J$1000,"&gt;"&amp;J127)+COUNTIFS($GA$2:$GA$1000,"Y",$J$2:$J$1000,J127,$GD$2:$GD$1000,"&lt;"&amp;GD127)+1,""))</f>
        <v/>
      </c>
      <c r="GC127" s="0" t="str">
        <f aca="false">IF(AND(_xlfn.ISFORMULA(C127),_xlfn.ISFORMULA(J127)),"Y","N")</f>
        <v>N</v>
      </c>
      <c r="GD127" s="0" t="n">
        <f aca="false">ROW()-1</f>
        <v>126</v>
      </c>
    </row>
    <row r="128" customFormat="false" ht="15" hidden="false" customHeight="false" outlineLevel="0" collapsed="false">
      <c r="A128" s="0" t="s">
        <v>3303</v>
      </c>
      <c r="B128" s="0" t="s">
        <v>3304</v>
      </c>
      <c r="C128" s="0" t="s">
        <v>3305</v>
      </c>
      <c r="D128" s="0" t="s">
        <v>3306</v>
      </c>
      <c r="E128" s="0" t="s">
        <v>3307</v>
      </c>
      <c r="F128" s="0" t="s">
        <v>3086</v>
      </c>
      <c r="G128" s="0" t="s">
        <v>189</v>
      </c>
      <c r="M128" s="0" t="s">
        <v>380</v>
      </c>
      <c r="R128" s="5"/>
      <c r="U128" s="5"/>
      <c r="V128" s="0" t="s">
        <v>380</v>
      </c>
      <c r="AE128" s="0" t="s">
        <v>2254</v>
      </c>
      <c r="AF128" s="0" t="s">
        <v>209</v>
      </c>
      <c r="AG128" s="0" t="s">
        <v>3308</v>
      </c>
      <c r="AH128" s="0" t="s">
        <v>209</v>
      </c>
      <c r="AI128" s="0" t="s">
        <v>3309</v>
      </c>
      <c r="AJ128" s="0" t="s">
        <v>189</v>
      </c>
      <c r="AK128" s="0" t="s">
        <v>209</v>
      </c>
      <c r="AL128" s="0" t="s">
        <v>189</v>
      </c>
      <c r="AM128" s="0" t="s">
        <v>209</v>
      </c>
      <c r="AN128" s="0" t="s">
        <v>380</v>
      </c>
      <c r="AO128" s="0" t="s">
        <v>209</v>
      </c>
      <c r="AP128" s="0" t="s">
        <v>3303</v>
      </c>
      <c r="AQ128" s="5" t="s">
        <v>189</v>
      </c>
      <c r="AT128" s="0" t="str">
        <f aca="false">IF($A128="","",IF(AND(CN128="pass",AQ128&lt;&gt;"Y",C128&lt;&gt;"",OR(AX128&lt;&gt;"Y",AV128="Y")),"Y","N"))</f>
        <v>Y</v>
      </c>
      <c r="AU128" s="0" t="str">
        <f aca="false">IF($A128="","",_xlfn.TEXTJOIN("; ",TRUE(),IF(CN128&lt;&gt;"pass","gated out",""),IF(AQ128="Y","on hold: "&amp;AR128,""),IF(C128="","no contact named on an opened page",""),IF(AND(AX128="Y",AV128&lt;&gt;"Y"),"Tuesday estimate band "&amp;L128&amp;": founder's call","")))</f>
        <v/>
      </c>
      <c r="AX128" s="0" t="s">
        <v>189</v>
      </c>
      <c r="BC128" s="0" t="str">
        <f aca="false">IF($A128="","",IFERROR(INDEX(Enrichment!$A$2:$GZ$2000,MATCH($A128,INDEX(Enrichment!$A$2:$GZ$2000,0,MATCH("row_id",Enrichment!$A$1:$GZ$1,0)),0),MATCH("work_email",Enrichment!$A$1:$GZ$1,0))&amp;"",""))</f>
        <v/>
      </c>
      <c r="BD128" s="0" t="str">
        <f aca="false">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none</v>
      </c>
      <c r="BF128" s="0" t="s">
        <v>380</v>
      </c>
      <c r="BJ128" s="0" t="s">
        <v>380</v>
      </c>
      <c r="BL128" s="0" t="s">
        <v>896</v>
      </c>
      <c r="BQ128" s="0" t="str">
        <f aca="false">IF($A128="","",IFERROR(INDEX(Enrichment!$A$2:$GZ$2000,MATCH($A128,INDEX(Enrichment!$A$2:$GZ$2000,0,MATCH("row_id",Enrichment!$A$1:$GZ$1,0)),0),MATCH("backup_work_email",Enrichment!$A$1:$GZ$1,0))&amp;"",""))</f>
        <v/>
      </c>
      <c r="BR128" s="0" t="str">
        <f aca="false">IF($A128="","",IF(BQ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none</v>
      </c>
      <c r="BT128" s="0" t="s">
        <v>380</v>
      </c>
      <c r="BX128" s="0" t="s">
        <v>380</v>
      </c>
      <c r="BY128" s="0" t="s">
        <v>387</v>
      </c>
      <c r="BZ128" s="0" t="s">
        <v>388</v>
      </c>
      <c r="CA128" s="0" t="s">
        <v>2707</v>
      </c>
      <c r="CB128" s="0" t="s">
        <v>196</v>
      </c>
      <c r="CM128" s="0" t="s">
        <v>189</v>
      </c>
      <c r="CN128" s="0" t="s">
        <v>200</v>
      </c>
      <c r="CO128" s="0" t="s">
        <v>201</v>
      </c>
      <c r="CP128" s="0" t="s">
        <v>1</v>
      </c>
      <c r="CQ128" s="0" t="s">
        <v>3310</v>
      </c>
      <c r="CR128" s="0" t="s">
        <v>3305</v>
      </c>
      <c r="CS128" s="0" t="s">
        <v>3308</v>
      </c>
      <c r="CT128" s="0" t="s">
        <v>209</v>
      </c>
      <c r="CV128" s="0" t="s">
        <v>209</v>
      </c>
      <c r="CW128" s="0" t="s">
        <v>209</v>
      </c>
      <c r="CX128" s="0" t="s">
        <v>2712</v>
      </c>
      <c r="DA128" s="0" t="s">
        <v>209</v>
      </c>
      <c r="DB128" s="0" t="s">
        <v>209</v>
      </c>
      <c r="DC128" s="0" t="s">
        <v>209</v>
      </c>
      <c r="DD128" s="0" t="s">
        <v>209</v>
      </c>
      <c r="DE128" s="0" t="s">
        <v>3309</v>
      </c>
      <c r="DF128" s="0" t="s">
        <v>210</v>
      </c>
      <c r="DG128" s="0" t="n">
        <v>40.73827</v>
      </c>
      <c r="DH128" s="0" t="n">
        <v>-73.988199</v>
      </c>
      <c r="DI128" s="0" t="s">
        <v>164</v>
      </c>
      <c r="DJ128" s="0" t="n">
        <v>0</v>
      </c>
      <c r="DK128" s="0" t="s">
        <v>2117</v>
      </c>
      <c r="DL128" s="0" t="s">
        <v>2118</v>
      </c>
      <c r="DM128" s="0" t="s">
        <v>3311</v>
      </c>
      <c r="DN128" s="0" t="s">
        <v>263</v>
      </c>
      <c r="DO128" s="0" t="s">
        <v>214</v>
      </c>
      <c r="DP128" s="0" t="s">
        <v>2119</v>
      </c>
      <c r="DQ128" s="0" t="s">
        <v>2120</v>
      </c>
      <c r="DS128" s="0" t="s">
        <v>217</v>
      </c>
      <c r="DU128" s="0" t="s">
        <v>189</v>
      </c>
      <c r="DX128" s="0" t="s">
        <v>209</v>
      </c>
      <c r="EA128" s="0" t="s">
        <v>209</v>
      </c>
      <c r="EB128" s="0" t="s">
        <v>189</v>
      </c>
      <c r="EC128" s="0" t="s">
        <v>209</v>
      </c>
      <c r="EF128" s="0" t="s">
        <v>209</v>
      </c>
      <c r="EH128" s="0" t="s">
        <v>189</v>
      </c>
      <c r="EI128" s="0" t="s">
        <v>2716</v>
      </c>
      <c r="EJ128" s="0" t="s">
        <v>221</v>
      </c>
      <c r="EK128" s="0" t="s">
        <v>209</v>
      </c>
      <c r="EL128" s="0" t="n">
        <v>36</v>
      </c>
      <c r="EM128" s="0" t="n">
        <v>7</v>
      </c>
      <c r="EN128" s="0" t="n">
        <v>8</v>
      </c>
      <c r="EO128" s="0" t="n">
        <v>6</v>
      </c>
      <c r="EP128" s="0" t="n">
        <v>15</v>
      </c>
      <c r="EQ128" s="0" t="n">
        <f aca="false">IF($A128="","",IF(AH128="exact",10,IF(AH128="adjacent",5,0)))</f>
        <v>0</v>
      </c>
      <c r="ER128" s="0" t="n">
        <f aca="false">IF($A128="","",IF(R128="Y",15,0))</f>
        <v>0</v>
      </c>
      <c r="ES128" s="0" t="s">
        <v>222</v>
      </c>
      <c r="EX128" s="0" t="s">
        <v>3312</v>
      </c>
      <c r="EZ128" s="0" t="s">
        <v>3313</v>
      </c>
      <c r="FS128" s="0" t="str">
        <f aca="false">IF($A128="","",IF(ISNUMBER(MATCH(U128,{"queued","contacted","replied","call_booked","call_done","yes_in_principle","materials_sent"},0)),"Y","N"))</f>
        <v>N</v>
      </c>
      <c r="FT128" s="0" t="str">
        <f aca="false">IF($A128="","",IF(OR(T128="Y",U128="do_not_contact",AS128&amp;""&lt;&gt;""),"Y","N"))</f>
        <v>N</v>
      </c>
      <c r="FU128" s="0" t="str">
        <f aca="false">IF($A128="","",IF(AP128&amp;""&lt;&gt;"",AP128&amp;"",$A128))</f>
        <v>AO-C-057</v>
      </c>
      <c r="FV128" s="0" t="str">
        <f aca="false">IF($A128="","",IF(COUNTIFS($FU$2:$FU$1000,FU128,$FS$2:$FS$1000,"Y")+COUNTIFS($FU$2:$FU$1000,FU128,$FT$2:$FT$1000,"Y")&gt;0,"Y","N"))</f>
        <v>N</v>
      </c>
      <c r="FW128" s="0" t="str">
        <f aca="false">IF($A128="","",IF(AND(U128="new",T128="N",FT128="N",AT128="Y",FV128="N"),"Y","N"))</f>
        <v>N</v>
      </c>
      <c r="FX128" s="0" t="str">
        <f aca="false">IF($A128="","",IF(FW128&lt;&gt;"Y","N",IF(COUNTIFS($FU$2:$FU$1000,FU128,$FW$2:$FW$1000,"Y",$J$2:$J$1000,"&gt;"&amp;J128)+COUNTIFS($FU$2:$FU$1000,FU128,$FW$2:$FW$1000,"Y",$J$2:$J$1000,J128,$GD$2:$GD$1000,"&lt;"&amp;GD128)=0,"Y","N")))</f>
        <v>N</v>
      </c>
      <c r="FY128" s="0" t="str">
        <f aca="false">IF($A128="","",IF(AND(FW128="Y",FX128="Y",Y128&amp;""&lt;&gt;""),IF(Y128&lt;=10,"Y","N"),"N"))</f>
        <v>N</v>
      </c>
      <c r="FZ128" s="0" t="str">
        <f aca="false">IF(FY128="Y",Y128,"")</f>
        <v/>
      </c>
      <c r="GA128" s="0" t="str">
        <f aca="false">IF($A128="","",IF(AND(I128="walk-in",CN128="pass",U128="new",FT128="N",FV128="N",AQ128&lt;&gt;"Y"),"Y","N"))</f>
        <v>N</v>
      </c>
      <c r="GB128" s="0" t="str">
        <f aca="false">IF(GA128&lt;&gt;"Y","",IF(COUNTIFS($GA$2:$GA$1000,"Y",$J$2:$J$1000,"&gt;"&amp;J128)+COUNTIFS($GA$2:$GA$1000,"Y",$J$2:$J$1000,J128,$GD$2:$GD$1000,"&lt;"&amp;GD128)+1&lt;=25,COUNTIFS($GA$2:$GA$1000,"Y",$J$2:$J$1000,"&gt;"&amp;J128)+COUNTIFS($GA$2:$GA$1000,"Y",$J$2:$J$1000,J128,$GD$2:$GD$1000,"&lt;"&amp;GD128)+1,""))</f>
        <v/>
      </c>
      <c r="GC128" s="0" t="str">
        <f aca="false">IF(AND(_xlfn.ISFORMULA(C128),_xlfn.ISFORMULA(J128)),"Y","N")</f>
        <v>N</v>
      </c>
      <c r="GD128" s="0" t="n">
        <f aca="false">ROW()-1</f>
        <v>127</v>
      </c>
    </row>
    <row r="129" customFormat="false" ht="15" hidden="false" customHeight="false" outlineLevel="0" collapsed="false">
      <c r="A129" s="0" t="s">
        <v>3314</v>
      </c>
      <c r="B129" s="0" t="s">
        <v>3315</v>
      </c>
      <c r="C129" s="0" t="s">
        <v>3316</v>
      </c>
      <c r="D129" s="0" t="s">
        <v>3317</v>
      </c>
      <c r="E129" s="0" t="s">
        <v>3318</v>
      </c>
      <c r="F129" s="0" t="s">
        <v>3086</v>
      </c>
      <c r="G129" s="0" t="s">
        <v>189</v>
      </c>
      <c r="M129" s="0" t="s">
        <v>380</v>
      </c>
      <c r="R129" s="5"/>
      <c r="U129" s="5"/>
      <c r="V129" s="0" t="s">
        <v>380</v>
      </c>
      <c r="AE129" s="0" t="s">
        <v>1965</v>
      </c>
      <c r="AF129" s="0" t="s">
        <v>3319</v>
      </c>
      <c r="AG129" s="0" t="s">
        <v>3320</v>
      </c>
      <c r="AH129" s="0" t="s">
        <v>209</v>
      </c>
      <c r="AI129" s="0" t="s">
        <v>209</v>
      </c>
      <c r="AJ129" s="0" t="s">
        <v>189</v>
      </c>
      <c r="AK129" s="0" t="s">
        <v>209</v>
      </c>
      <c r="AL129" s="0" t="s">
        <v>189</v>
      </c>
      <c r="AM129" s="0" t="s">
        <v>209</v>
      </c>
      <c r="AN129" s="0" t="s">
        <v>380</v>
      </c>
      <c r="AO129" s="0" t="s">
        <v>209</v>
      </c>
      <c r="AP129" s="0" t="s">
        <v>3314</v>
      </c>
      <c r="AQ129" s="5" t="s">
        <v>189</v>
      </c>
      <c r="AT129" s="0" t="str">
        <f aca="false">IF($A129="","",IF(AND(CN129="pass",AQ129&lt;&gt;"Y",C129&lt;&gt;"",OR(AX129&lt;&gt;"Y",AV129="Y")),"Y","N"))</f>
        <v>Y</v>
      </c>
      <c r="AU129" s="0" t="str">
        <f aca="false">IF($A129="","",_xlfn.TEXTJOIN("; ",TRUE(),IF(CN129&lt;&gt;"pass","gated out",""),IF(AQ129="Y","on hold: "&amp;AR129,""),IF(C129="","no contact named on an opened page",""),IF(AND(AX129="Y",AV129&lt;&gt;"Y"),"Tuesday estimate band "&amp;L129&amp;": founder's call","")))</f>
        <v/>
      </c>
      <c r="AX129" s="0" t="s">
        <v>189</v>
      </c>
      <c r="BC129" s="0" t="str">
        <f aca="false">IF($A129="","",IFERROR(INDEX(Enrichment!$A$2:$GZ$2000,MATCH($A129,INDEX(Enrichment!$A$2:$GZ$2000,0,MATCH("row_id",Enrichment!$A$1:$GZ$1,0)),0),MATCH("work_email",Enrichment!$A$1:$GZ$1,0))&amp;"",""))</f>
        <v/>
      </c>
      <c r="BD129" s="0" t="str">
        <f aca="false">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none</v>
      </c>
      <c r="BF129" s="0" t="s">
        <v>380</v>
      </c>
      <c r="BJ129" s="0" t="s">
        <v>380</v>
      </c>
      <c r="BL129" s="0" t="s">
        <v>896</v>
      </c>
      <c r="BQ129" s="0" t="str">
        <f aca="false">IF($A129="","",IFERROR(INDEX(Enrichment!$A$2:$GZ$2000,MATCH($A129,INDEX(Enrichment!$A$2:$GZ$2000,0,MATCH("row_id",Enrichment!$A$1:$GZ$1,0)),0),MATCH("backup_work_email",Enrichment!$A$1:$GZ$1,0))&amp;"",""))</f>
        <v/>
      </c>
      <c r="BR129" s="0" t="str">
        <f aca="false">IF($A129="","",IF(BQ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none</v>
      </c>
      <c r="BT129" s="0" t="s">
        <v>380</v>
      </c>
      <c r="BX129" s="0" t="s">
        <v>380</v>
      </c>
      <c r="BY129" s="0" t="s">
        <v>387</v>
      </c>
      <c r="BZ129" s="0" t="s">
        <v>388</v>
      </c>
      <c r="CA129" s="0" t="s">
        <v>2707</v>
      </c>
      <c r="CB129" s="0" t="s">
        <v>196</v>
      </c>
      <c r="CM129" s="0" t="s">
        <v>189</v>
      </c>
      <c r="CN129" s="0" t="s">
        <v>200</v>
      </c>
      <c r="CO129" s="0" t="s">
        <v>201</v>
      </c>
      <c r="CP129" s="0" t="s">
        <v>1</v>
      </c>
      <c r="CQ129" s="0" t="s">
        <v>3321</v>
      </c>
      <c r="CR129" s="0" t="s">
        <v>3316</v>
      </c>
      <c r="CS129" s="0" t="s">
        <v>3320</v>
      </c>
      <c r="CT129" s="0" t="s">
        <v>209</v>
      </c>
      <c r="CV129" s="0" t="s">
        <v>209</v>
      </c>
      <c r="CW129" s="0" t="s">
        <v>209</v>
      </c>
      <c r="CX129" s="0" t="s">
        <v>2712</v>
      </c>
      <c r="DA129" s="0" t="s">
        <v>209</v>
      </c>
      <c r="DB129" s="0" t="s">
        <v>209</v>
      </c>
      <c r="DC129" s="0" t="s">
        <v>209</v>
      </c>
      <c r="DD129" s="0" t="s">
        <v>209</v>
      </c>
      <c r="DE129" s="0" t="s">
        <v>209</v>
      </c>
      <c r="DF129" s="0" t="s">
        <v>525</v>
      </c>
      <c r="DG129" s="0" t="n">
        <v>40.738577</v>
      </c>
      <c r="DH129" s="0" t="n">
        <v>-73.987151</v>
      </c>
      <c r="DI129" s="0" t="s">
        <v>164</v>
      </c>
      <c r="DJ129" s="0" t="n">
        <v>0</v>
      </c>
      <c r="DK129" s="0" t="s">
        <v>1753</v>
      </c>
      <c r="DL129" s="0" t="s">
        <v>1754</v>
      </c>
      <c r="DM129" s="0" t="s">
        <v>3322</v>
      </c>
      <c r="DN129" s="0" t="s">
        <v>263</v>
      </c>
      <c r="DO129" s="0" t="s">
        <v>214</v>
      </c>
      <c r="DP129" s="0" t="s">
        <v>3323</v>
      </c>
      <c r="DQ129" s="0" t="s">
        <v>3324</v>
      </c>
      <c r="DS129" s="0" t="s">
        <v>217</v>
      </c>
      <c r="DU129" s="0" t="s">
        <v>189</v>
      </c>
      <c r="DX129" s="0" t="s">
        <v>209</v>
      </c>
      <c r="EA129" s="0" t="s">
        <v>209</v>
      </c>
      <c r="EB129" s="0" t="s">
        <v>189</v>
      </c>
      <c r="EC129" s="0" t="s">
        <v>209</v>
      </c>
      <c r="EF129" s="0" t="s">
        <v>209</v>
      </c>
      <c r="EH129" s="0" t="s">
        <v>189</v>
      </c>
      <c r="EI129" s="0" t="s">
        <v>2716</v>
      </c>
      <c r="EJ129" s="0" t="s">
        <v>221</v>
      </c>
      <c r="EK129" s="0" t="s">
        <v>209</v>
      </c>
      <c r="EL129" s="0" t="n">
        <v>36</v>
      </c>
      <c r="EM129" s="0" t="n">
        <v>7</v>
      </c>
      <c r="EN129" s="0" t="n">
        <v>8</v>
      </c>
      <c r="EO129" s="0" t="n">
        <v>6</v>
      </c>
      <c r="EP129" s="0" t="n">
        <v>15</v>
      </c>
      <c r="EQ129" s="0" t="n">
        <f aca="false">IF($A129="","",IF(AH129="exact",10,IF(AH129="adjacent",5,0)))</f>
        <v>0</v>
      </c>
      <c r="ER129" s="0" t="n">
        <f aca="false">IF($A129="","",IF(R129="Y",15,0))</f>
        <v>0</v>
      </c>
      <c r="ES129" s="0" t="s">
        <v>222</v>
      </c>
      <c r="EV129" s="0" t="s">
        <v>3325</v>
      </c>
      <c r="EW129" s="0" t="s">
        <v>224</v>
      </c>
      <c r="EX129" s="0" t="s">
        <v>3326</v>
      </c>
      <c r="FS129" s="0" t="str">
        <f aca="false">IF($A129="","",IF(ISNUMBER(MATCH(U129,{"queued","contacted","replied","call_booked","call_done","yes_in_principle","materials_sent"},0)),"Y","N"))</f>
        <v>N</v>
      </c>
      <c r="FT129" s="0" t="str">
        <f aca="false">IF($A129="","",IF(OR(T129="Y",U129="do_not_contact",AS129&amp;""&lt;&gt;""),"Y","N"))</f>
        <v>N</v>
      </c>
      <c r="FU129" s="0" t="str">
        <f aca="false">IF($A129="","",IF(AP129&amp;""&lt;&gt;"",AP129&amp;"",$A129))</f>
        <v>AO-C-071</v>
      </c>
      <c r="FV129" s="0" t="str">
        <f aca="false">IF($A129="","",IF(COUNTIFS($FU$2:$FU$1000,FU129,$FS$2:$FS$1000,"Y")+COUNTIFS($FU$2:$FU$1000,FU129,$FT$2:$FT$1000,"Y")&gt;0,"Y","N"))</f>
        <v>N</v>
      </c>
      <c r="FW129" s="0" t="str">
        <f aca="false">IF($A129="","",IF(AND(U129="new",T129="N",FT129="N",AT129="Y",FV129="N"),"Y","N"))</f>
        <v>N</v>
      </c>
      <c r="FX129" s="0" t="str">
        <f aca="false">IF($A129="","",IF(FW129&lt;&gt;"Y","N",IF(COUNTIFS($FU$2:$FU$1000,FU129,$FW$2:$FW$1000,"Y",$J$2:$J$1000,"&gt;"&amp;J129)+COUNTIFS($FU$2:$FU$1000,FU129,$FW$2:$FW$1000,"Y",$J$2:$J$1000,J129,$GD$2:$GD$1000,"&lt;"&amp;GD129)=0,"Y","N")))</f>
        <v>N</v>
      </c>
      <c r="FY129" s="0" t="str">
        <f aca="false">IF($A129="","",IF(AND(FW129="Y",FX129="Y",Y129&amp;""&lt;&gt;""),IF(Y129&lt;=10,"Y","N"),"N"))</f>
        <v>N</v>
      </c>
      <c r="FZ129" s="0" t="str">
        <f aca="false">IF(FY129="Y",Y129,"")</f>
        <v/>
      </c>
      <c r="GA129" s="0" t="str">
        <f aca="false">IF($A129="","",IF(AND(I129="walk-in",CN129="pass",U129="new",FT129="N",FV129="N",AQ129&lt;&gt;"Y"),"Y","N"))</f>
        <v>N</v>
      </c>
      <c r="GB129" s="0" t="str">
        <f aca="false">IF(GA129&lt;&gt;"Y","",IF(COUNTIFS($GA$2:$GA$1000,"Y",$J$2:$J$1000,"&gt;"&amp;J129)+COUNTIFS($GA$2:$GA$1000,"Y",$J$2:$J$1000,J129,$GD$2:$GD$1000,"&lt;"&amp;GD129)+1&lt;=25,COUNTIFS($GA$2:$GA$1000,"Y",$J$2:$J$1000,"&gt;"&amp;J129)+COUNTIFS($GA$2:$GA$1000,"Y",$J$2:$J$1000,J129,$GD$2:$GD$1000,"&lt;"&amp;GD129)+1,""))</f>
        <v/>
      </c>
      <c r="GC129" s="0" t="str">
        <f aca="false">IF(AND(_xlfn.ISFORMULA(C129),_xlfn.ISFORMULA(J129)),"Y","N")</f>
        <v>N</v>
      </c>
      <c r="GD129" s="0" t="n">
        <f aca="false">ROW()-1</f>
        <v>128</v>
      </c>
    </row>
    <row r="130" customFormat="false" ht="15" hidden="false" customHeight="false" outlineLevel="0" collapsed="false">
      <c r="A130" s="0" t="s">
        <v>3327</v>
      </c>
      <c r="B130" s="0" t="s">
        <v>3328</v>
      </c>
      <c r="C130" s="0" t="s">
        <v>3329</v>
      </c>
      <c r="D130" s="0" t="s">
        <v>3330</v>
      </c>
      <c r="E130" s="0" t="s">
        <v>2070</v>
      </c>
      <c r="F130" s="0" t="s">
        <v>3086</v>
      </c>
      <c r="G130" s="0" t="s">
        <v>189</v>
      </c>
      <c r="M130" s="0" t="s">
        <v>380</v>
      </c>
      <c r="R130" s="5"/>
      <c r="U130" s="5"/>
      <c r="V130" s="0" t="s">
        <v>380</v>
      </c>
      <c r="AE130" s="0" t="s">
        <v>2058</v>
      </c>
      <c r="AF130" s="0" t="s">
        <v>3331</v>
      </c>
      <c r="AG130" s="0" t="s">
        <v>3332</v>
      </c>
      <c r="AH130" s="0" t="s">
        <v>209</v>
      </c>
      <c r="AI130" s="0" t="s">
        <v>3333</v>
      </c>
      <c r="AJ130" s="0" t="s">
        <v>189</v>
      </c>
      <c r="AK130" s="0" t="s">
        <v>209</v>
      </c>
      <c r="AL130" s="0" t="s">
        <v>189</v>
      </c>
      <c r="AM130" s="0" t="s">
        <v>209</v>
      </c>
      <c r="AN130" s="0" t="s">
        <v>380</v>
      </c>
      <c r="AO130" s="0" t="s">
        <v>209</v>
      </c>
      <c r="AP130" s="0" t="s">
        <v>3327</v>
      </c>
      <c r="AQ130" s="5" t="s">
        <v>189</v>
      </c>
      <c r="AT130" s="0" t="str">
        <f aca="false">IF($A130="","",IF(AND(CN130="pass",AQ130&lt;&gt;"Y",C130&lt;&gt;"",OR(AX130&lt;&gt;"Y",AV130="Y")),"Y","N"))</f>
        <v>Y</v>
      </c>
      <c r="AU130" s="0" t="str">
        <f aca="false">IF($A130="","",_xlfn.TEXTJOIN("; ",TRUE(),IF(CN130&lt;&gt;"pass","gated out",""),IF(AQ130="Y","on hold: "&amp;AR130,""),IF(C130="","no contact named on an opened page",""),IF(AND(AX130="Y",AV130&lt;&gt;"Y"),"Tuesday estimate band "&amp;L130&amp;": founder's call","")))</f>
        <v/>
      </c>
      <c r="AX130" s="0" t="s">
        <v>189</v>
      </c>
      <c r="BC130" s="0" t="str">
        <f aca="false">IF($A130="","",IFERROR(INDEX(Enrichment!$A$2:$GZ$2000,MATCH($A130,INDEX(Enrichment!$A$2:$GZ$2000,0,MATCH("row_id",Enrichment!$A$1:$GZ$1,0)),0),MATCH("work_email",Enrichment!$A$1:$GZ$1,0))&amp;"",""))</f>
        <v/>
      </c>
      <c r="BD130" s="0" t="str">
        <f aca="false">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none</v>
      </c>
      <c r="BF130" s="0" t="s">
        <v>380</v>
      </c>
      <c r="BJ130" s="0" t="s">
        <v>380</v>
      </c>
      <c r="BL130" s="0" t="s">
        <v>896</v>
      </c>
      <c r="BQ130" s="0" t="str">
        <f aca="false">IF($A130="","",IFERROR(INDEX(Enrichment!$A$2:$GZ$2000,MATCH($A130,INDEX(Enrichment!$A$2:$GZ$2000,0,MATCH("row_id",Enrichment!$A$1:$GZ$1,0)),0),MATCH("backup_work_email",Enrichment!$A$1:$GZ$1,0))&amp;"",""))</f>
        <v/>
      </c>
      <c r="BR130" s="0" t="str">
        <f aca="false">IF($A130="","",IF(BQ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none</v>
      </c>
      <c r="BT130" s="0" t="s">
        <v>380</v>
      </c>
      <c r="BX130" s="0" t="s">
        <v>380</v>
      </c>
      <c r="BY130" s="0" t="s">
        <v>387</v>
      </c>
      <c r="BZ130" s="0" t="s">
        <v>388</v>
      </c>
      <c r="CA130" s="0" t="s">
        <v>2707</v>
      </c>
      <c r="CB130" s="0" t="s">
        <v>196</v>
      </c>
      <c r="CM130" s="0" t="s">
        <v>189</v>
      </c>
      <c r="CN130" s="0" t="s">
        <v>200</v>
      </c>
      <c r="CO130" s="0" t="s">
        <v>201</v>
      </c>
      <c r="CP130" s="0" t="s">
        <v>1</v>
      </c>
      <c r="CQ130" s="0" t="s">
        <v>3334</v>
      </c>
      <c r="CR130" s="0" t="s">
        <v>3329</v>
      </c>
      <c r="CS130" s="0" t="s">
        <v>3332</v>
      </c>
      <c r="CT130" s="0" t="s">
        <v>209</v>
      </c>
      <c r="CV130" s="0" t="s">
        <v>209</v>
      </c>
      <c r="CW130" s="0" t="s">
        <v>209</v>
      </c>
      <c r="CX130" s="0" t="s">
        <v>2712</v>
      </c>
      <c r="DA130" s="0" t="s">
        <v>209</v>
      </c>
      <c r="DB130" s="0" t="s">
        <v>209</v>
      </c>
      <c r="DC130" s="0" t="s">
        <v>209</v>
      </c>
      <c r="DD130" s="0" t="s">
        <v>209</v>
      </c>
      <c r="DE130" s="0" t="s">
        <v>3333</v>
      </c>
      <c r="DF130" s="0" t="s">
        <v>525</v>
      </c>
      <c r="DG130" s="0" t="n">
        <v>40.742477</v>
      </c>
      <c r="DH130" s="0" t="n">
        <v>-73.986608</v>
      </c>
      <c r="DI130" s="0" t="s">
        <v>164</v>
      </c>
      <c r="DJ130" s="0" t="n">
        <v>0</v>
      </c>
      <c r="DK130" s="0" t="s">
        <v>1882</v>
      </c>
      <c r="DL130" s="0" t="s">
        <v>1883</v>
      </c>
      <c r="DM130" s="0" t="s">
        <v>3335</v>
      </c>
      <c r="DN130" s="0" t="s">
        <v>3336</v>
      </c>
      <c r="DO130" s="0" t="s">
        <v>363</v>
      </c>
      <c r="DP130" s="0" t="s">
        <v>3337</v>
      </c>
      <c r="DQ130" s="0" t="s">
        <v>263</v>
      </c>
      <c r="DS130" s="0" t="s">
        <v>217</v>
      </c>
      <c r="DU130" s="0" t="s">
        <v>189</v>
      </c>
      <c r="DX130" s="0" t="s">
        <v>267</v>
      </c>
      <c r="DY130" s="0" t="s">
        <v>1888</v>
      </c>
      <c r="EA130" s="0" t="s">
        <v>209</v>
      </c>
      <c r="EB130" s="0" t="s">
        <v>189</v>
      </c>
      <c r="EC130" s="0" t="s">
        <v>209</v>
      </c>
      <c r="EF130" s="0" t="s">
        <v>209</v>
      </c>
      <c r="EH130" s="0" t="s">
        <v>189</v>
      </c>
      <c r="EI130" s="0" t="s">
        <v>2716</v>
      </c>
      <c r="EJ130" s="0" t="s">
        <v>221</v>
      </c>
      <c r="EK130" s="0" t="s">
        <v>209</v>
      </c>
      <c r="EL130" s="0" t="n">
        <v>36</v>
      </c>
      <c r="EM130" s="0" t="n">
        <v>7</v>
      </c>
      <c r="EN130" s="0" t="n">
        <v>8</v>
      </c>
      <c r="EO130" s="0" t="n">
        <v>6</v>
      </c>
      <c r="EP130" s="0" t="n">
        <v>15</v>
      </c>
      <c r="EQ130" s="0" t="n">
        <f aca="false">IF($A130="","",IF(AH130="exact",10,IF(AH130="adjacent",5,0)))</f>
        <v>0</v>
      </c>
      <c r="ER130" s="0" t="n">
        <f aca="false">IF($A130="","",IF(R130="Y",15,0))</f>
        <v>0</v>
      </c>
      <c r="ES130" s="0" t="s">
        <v>222</v>
      </c>
      <c r="EV130" s="0" t="s">
        <v>3338</v>
      </c>
      <c r="EW130" s="0" t="s">
        <v>224</v>
      </c>
      <c r="EX130" s="0" t="s">
        <v>3339</v>
      </c>
      <c r="EZ130" s="0" t="s">
        <v>3340</v>
      </c>
      <c r="FS130" s="0" t="str">
        <f aca="false">IF($A130="","",IF(ISNUMBER(MATCH(U130,{"queued","contacted","replied","call_booked","call_done","yes_in_principle","materials_sent"},0)),"Y","N"))</f>
        <v>N</v>
      </c>
      <c r="FT130" s="0" t="str">
        <f aca="false">IF($A130="","",IF(OR(T130="Y",U130="do_not_contact",AS130&amp;""&lt;&gt;""),"Y","N"))</f>
        <v>N</v>
      </c>
      <c r="FU130" s="0" t="str">
        <f aca="false">IF($A130="","",IF(AP130&amp;""&lt;&gt;"",AP130&amp;"",$A130))</f>
        <v>AO-C-115</v>
      </c>
      <c r="FV130" s="0" t="str">
        <f aca="false">IF($A130="","",IF(COUNTIFS($FU$2:$FU$1000,FU130,$FS$2:$FS$1000,"Y")+COUNTIFS($FU$2:$FU$1000,FU130,$FT$2:$FT$1000,"Y")&gt;0,"Y","N"))</f>
        <v>N</v>
      </c>
      <c r="FW130" s="0" t="str">
        <f aca="false">IF($A130="","",IF(AND(U130="new",T130="N",FT130="N",AT130="Y",FV130="N"),"Y","N"))</f>
        <v>N</v>
      </c>
      <c r="FX130" s="0" t="str">
        <f aca="false">IF($A130="","",IF(FW130&lt;&gt;"Y","N",IF(COUNTIFS($FU$2:$FU$1000,FU130,$FW$2:$FW$1000,"Y",$J$2:$J$1000,"&gt;"&amp;J130)+COUNTIFS($FU$2:$FU$1000,FU130,$FW$2:$FW$1000,"Y",$J$2:$J$1000,J130,$GD$2:$GD$1000,"&lt;"&amp;GD130)=0,"Y","N")))</f>
        <v>N</v>
      </c>
      <c r="FY130" s="0" t="str">
        <f aca="false">IF($A130="","",IF(AND(FW130="Y",FX130="Y",Y130&amp;""&lt;&gt;""),IF(Y130&lt;=10,"Y","N"),"N"))</f>
        <v>N</v>
      </c>
      <c r="FZ130" s="0" t="str">
        <f aca="false">IF(FY130="Y",Y130,"")</f>
        <v/>
      </c>
      <c r="GA130" s="0" t="str">
        <f aca="false">IF($A130="","",IF(AND(I130="walk-in",CN130="pass",U130="new",FT130="N",FV130="N",AQ130&lt;&gt;"Y"),"Y","N"))</f>
        <v>N</v>
      </c>
      <c r="GB130" s="0" t="str">
        <f aca="false">IF(GA130&lt;&gt;"Y","",IF(COUNTIFS($GA$2:$GA$1000,"Y",$J$2:$J$1000,"&gt;"&amp;J130)+COUNTIFS($GA$2:$GA$1000,"Y",$J$2:$J$1000,J130,$GD$2:$GD$1000,"&lt;"&amp;GD130)+1&lt;=25,COUNTIFS($GA$2:$GA$1000,"Y",$J$2:$J$1000,"&gt;"&amp;J130)+COUNTIFS($GA$2:$GA$1000,"Y",$J$2:$J$1000,J130,$GD$2:$GD$1000,"&lt;"&amp;GD130)+1,""))</f>
        <v/>
      </c>
      <c r="GC130" s="0" t="str">
        <f aca="false">IF(AND(_xlfn.ISFORMULA(C130),_xlfn.ISFORMULA(J130)),"Y","N")</f>
        <v>N</v>
      </c>
      <c r="GD130" s="0" t="n">
        <f aca="false">ROW()-1</f>
        <v>129</v>
      </c>
    </row>
    <row r="131" customFormat="false" ht="15" hidden="false" customHeight="false" outlineLevel="0" collapsed="false">
      <c r="A131" s="0" t="s">
        <v>3341</v>
      </c>
      <c r="B131" s="0" t="s">
        <v>3342</v>
      </c>
      <c r="C131" s="0" t="s">
        <v>3343</v>
      </c>
      <c r="D131" s="0" t="s">
        <v>3344</v>
      </c>
      <c r="E131" s="0" t="s">
        <v>3345</v>
      </c>
      <c r="F131" s="0" t="s">
        <v>3086</v>
      </c>
      <c r="G131" s="0" t="s">
        <v>189</v>
      </c>
      <c r="M131" s="0" t="s">
        <v>380</v>
      </c>
      <c r="R131" s="5"/>
      <c r="U131" s="5"/>
      <c r="V131" s="0" t="s">
        <v>380</v>
      </c>
      <c r="AE131" s="0" t="s">
        <v>1871</v>
      </c>
      <c r="AF131" s="0" t="s">
        <v>3346</v>
      </c>
      <c r="AG131" s="0" t="s">
        <v>3347</v>
      </c>
      <c r="AH131" s="0" t="s">
        <v>209</v>
      </c>
      <c r="AI131" s="0" t="s">
        <v>3348</v>
      </c>
      <c r="AJ131" s="0" t="s">
        <v>189</v>
      </c>
      <c r="AK131" s="0" t="s">
        <v>209</v>
      </c>
      <c r="AL131" s="0" t="s">
        <v>189</v>
      </c>
      <c r="AM131" s="0" t="s">
        <v>209</v>
      </c>
      <c r="AN131" s="0" t="s">
        <v>380</v>
      </c>
      <c r="AO131" s="0" t="s">
        <v>209</v>
      </c>
      <c r="AP131" s="0" t="s">
        <v>3341</v>
      </c>
      <c r="AQ131" s="5" t="s">
        <v>189</v>
      </c>
      <c r="AT131" s="0" t="str">
        <f aca="false">IF($A131="","",IF(AND(CN131="pass",AQ131&lt;&gt;"Y",C131&lt;&gt;"",OR(AX131&lt;&gt;"Y",AV131="Y")),"Y","N"))</f>
        <v>Y</v>
      </c>
      <c r="AU131" s="0" t="str">
        <f aca="false">IF($A131="","",_xlfn.TEXTJOIN("; ",TRUE(),IF(CN131&lt;&gt;"pass","gated out",""),IF(AQ131="Y","on hold: "&amp;AR131,""),IF(C131="","no contact named on an opened page",""),IF(AND(AX131="Y",AV131&lt;&gt;"Y"),"Tuesday estimate band "&amp;L131&amp;": founder's call","")))</f>
        <v/>
      </c>
      <c r="AX131" s="0" t="s">
        <v>189</v>
      </c>
      <c r="BC131" s="0" t="str">
        <f aca="false">IF($A131="","",IFERROR(INDEX(Enrichment!$A$2:$GZ$2000,MATCH($A131,INDEX(Enrichment!$A$2:$GZ$2000,0,MATCH("row_id",Enrichment!$A$1:$GZ$1,0)),0),MATCH("work_email",Enrichment!$A$1:$GZ$1,0))&amp;"",""))</f>
        <v/>
      </c>
      <c r="BD131" s="0" t="str">
        <f aca="false">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none</v>
      </c>
      <c r="BF131" s="0" t="s">
        <v>380</v>
      </c>
      <c r="BJ131" s="0" t="s">
        <v>380</v>
      </c>
      <c r="BL131" s="0" t="s">
        <v>896</v>
      </c>
      <c r="BQ131" s="0" t="str">
        <f aca="false">IF($A131="","",IFERROR(INDEX(Enrichment!$A$2:$GZ$2000,MATCH($A131,INDEX(Enrichment!$A$2:$GZ$2000,0,MATCH("row_id",Enrichment!$A$1:$GZ$1,0)),0),MATCH("backup_work_email",Enrichment!$A$1:$GZ$1,0))&amp;"",""))</f>
        <v/>
      </c>
      <c r="BR131" s="0" t="str">
        <f aca="false">IF($A131="","",IF(BQ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none</v>
      </c>
      <c r="BT131" s="0" t="s">
        <v>380</v>
      </c>
      <c r="BX131" s="0" t="s">
        <v>380</v>
      </c>
      <c r="BY131" s="0" t="s">
        <v>387</v>
      </c>
      <c r="BZ131" s="0" t="s">
        <v>388</v>
      </c>
      <c r="CA131" s="0" t="s">
        <v>2707</v>
      </c>
      <c r="CB131" s="0" t="s">
        <v>196</v>
      </c>
      <c r="CM131" s="0" t="s">
        <v>189</v>
      </c>
      <c r="CN131" s="0" t="s">
        <v>200</v>
      </c>
      <c r="CO131" s="0" t="s">
        <v>201</v>
      </c>
      <c r="CP131" s="0" t="s">
        <v>1</v>
      </c>
      <c r="CQ131" s="0" t="s">
        <v>3349</v>
      </c>
      <c r="CR131" s="0" t="s">
        <v>3343</v>
      </c>
      <c r="CS131" s="0" t="s">
        <v>3347</v>
      </c>
      <c r="CT131" s="0" t="s">
        <v>209</v>
      </c>
      <c r="CV131" s="0" t="s">
        <v>209</v>
      </c>
      <c r="CW131" s="0" t="s">
        <v>209</v>
      </c>
      <c r="CX131" s="0" t="s">
        <v>2712</v>
      </c>
      <c r="DA131" s="0" t="s">
        <v>209</v>
      </c>
      <c r="DB131" s="0" t="s">
        <v>209</v>
      </c>
      <c r="DC131" s="0" t="s">
        <v>209</v>
      </c>
      <c r="DD131" s="0" t="s">
        <v>209</v>
      </c>
      <c r="DE131" s="0" t="s">
        <v>3348</v>
      </c>
      <c r="DF131" s="0" t="s">
        <v>525</v>
      </c>
      <c r="DG131" s="0" t="n">
        <v>40.741968</v>
      </c>
      <c r="DH131" s="0" t="n">
        <v>-73.985327</v>
      </c>
      <c r="DI131" s="0" t="s">
        <v>164</v>
      </c>
      <c r="DJ131" s="0" t="n">
        <v>0</v>
      </c>
      <c r="DK131" s="0" t="s">
        <v>1573</v>
      </c>
      <c r="DL131" s="0" t="s">
        <v>1574</v>
      </c>
      <c r="DM131" s="0" t="s">
        <v>3350</v>
      </c>
      <c r="DN131" s="0" t="s">
        <v>263</v>
      </c>
      <c r="DO131" s="0" t="s">
        <v>214</v>
      </c>
      <c r="DP131" s="0" t="s">
        <v>2750</v>
      </c>
      <c r="DQ131" s="0" t="s">
        <v>2751</v>
      </c>
      <c r="DS131" s="0" t="s">
        <v>217</v>
      </c>
      <c r="DU131" s="0" t="s">
        <v>189</v>
      </c>
      <c r="DX131" s="0" t="s">
        <v>209</v>
      </c>
      <c r="EA131" s="0" t="s">
        <v>209</v>
      </c>
      <c r="EB131" s="0" t="s">
        <v>189</v>
      </c>
      <c r="EC131" s="0" t="s">
        <v>209</v>
      </c>
      <c r="EF131" s="0" t="s">
        <v>209</v>
      </c>
      <c r="EH131" s="0" t="s">
        <v>189</v>
      </c>
      <c r="EI131" s="0" t="s">
        <v>2716</v>
      </c>
      <c r="EJ131" s="0" t="s">
        <v>221</v>
      </c>
      <c r="EK131" s="0" t="s">
        <v>209</v>
      </c>
      <c r="EL131" s="0" t="n">
        <v>36</v>
      </c>
      <c r="EM131" s="0" t="n">
        <v>7</v>
      </c>
      <c r="EN131" s="0" t="n">
        <v>8</v>
      </c>
      <c r="EO131" s="0" t="n">
        <v>6</v>
      </c>
      <c r="EP131" s="0" t="n">
        <v>15</v>
      </c>
      <c r="EQ131" s="0" t="n">
        <f aca="false">IF($A131="","",IF(AH131="exact",10,IF(AH131="adjacent",5,0)))</f>
        <v>0</v>
      </c>
      <c r="ER131" s="0" t="n">
        <f aca="false">IF($A131="","",IF(R131="Y",15,0))</f>
        <v>0</v>
      </c>
      <c r="ES131" s="0" t="s">
        <v>222</v>
      </c>
      <c r="EV131" s="0" t="s">
        <v>3351</v>
      </c>
      <c r="EW131" s="0" t="s">
        <v>224</v>
      </c>
      <c r="EX131" s="0" t="s">
        <v>3352</v>
      </c>
      <c r="EZ131" s="0" t="s">
        <v>3353</v>
      </c>
      <c r="FS131" s="0" t="str">
        <f aca="false">IF($A131="","",IF(ISNUMBER(MATCH(U131,{"queued","contacted","replied","call_booked","call_done","yes_in_principle","materials_sent"},0)),"Y","N"))</f>
        <v>N</v>
      </c>
      <c r="FT131" s="0" t="str">
        <f aca="false">IF($A131="","",IF(OR(T131="Y",U131="do_not_contact",AS131&amp;""&lt;&gt;""),"Y","N"))</f>
        <v>N</v>
      </c>
      <c r="FU131" s="0" t="str">
        <f aca="false">IF($A131="","",IF(AP131&amp;""&lt;&gt;"",AP131&amp;"",$A131))</f>
        <v>AO-C-122</v>
      </c>
      <c r="FV131" s="0" t="str">
        <f aca="false">IF($A131="","",IF(COUNTIFS($FU$2:$FU$1000,FU131,$FS$2:$FS$1000,"Y")+COUNTIFS($FU$2:$FU$1000,FU131,$FT$2:$FT$1000,"Y")&gt;0,"Y","N"))</f>
        <v>N</v>
      </c>
      <c r="FW131" s="0" t="str">
        <f aca="false">IF($A131="","",IF(AND(U131="new",T131="N",FT131="N",AT131="Y",FV131="N"),"Y","N"))</f>
        <v>N</v>
      </c>
      <c r="FX131" s="0" t="str">
        <f aca="false">IF($A131="","",IF(FW131&lt;&gt;"Y","N",IF(COUNTIFS($FU$2:$FU$1000,FU131,$FW$2:$FW$1000,"Y",$J$2:$J$1000,"&gt;"&amp;J131)+COUNTIFS($FU$2:$FU$1000,FU131,$FW$2:$FW$1000,"Y",$J$2:$J$1000,J131,$GD$2:$GD$1000,"&lt;"&amp;GD131)=0,"Y","N")))</f>
        <v>N</v>
      </c>
      <c r="FY131" s="0" t="str">
        <f aca="false">IF($A131="","",IF(AND(FW131="Y",FX131="Y",Y131&amp;""&lt;&gt;""),IF(Y131&lt;=10,"Y","N"),"N"))</f>
        <v>N</v>
      </c>
      <c r="FZ131" s="0" t="str">
        <f aca="false">IF(FY131="Y",Y131,"")</f>
        <v/>
      </c>
      <c r="GA131" s="0" t="str">
        <f aca="false">IF($A131="","",IF(AND(I131="walk-in",CN131="pass",U131="new",FT131="N",FV131="N",AQ131&lt;&gt;"Y"),"Y","N"))</f>
        <v>N</v>
      </c>
      <c r="GB131" s="0" t="str">
        <f aca="false">IF(GA131&lt;&gt;"Y","",IF(COUNTIFS($GA$2:$GA$1000,"Y",$J$2:$J$1000,"&gt;"&amp;J131)+COUNTIFS($GA$2:$GA$1000,"Y",$J$2:$J$1000,J131,$GD$2:$GD$1000,"&lt;"&amp;GD131)+1&lt;=25,COUNTIFS($GA$2:$GA$1000,"Y",$J$2:$J$1000,"&gt;"&amp;J131)+COUNTIFS($GA$2:$GA$1000,"Y",$J$2:$J$1000,J131,$GD$2:$GD$1000,"&lt;"&amp;GD131)+1,""))</f>
        <v/>
      </c>
      <c r="GC131" s="0" t="str">
        <f aca="false">IF(AND(_xlfn.ISFORMULA(C131),_xlfn.ISFORMULA(J131)),"Y","N")</f>
        <v>N</v>
      </c>
      <c r="GD131" s="0" t="n">
        <f aca="false">ROW()-1</f>
        <v>130</v>
      </c>
    </row>
    <row r="132" customFormat="false" ht="15" hidden="false" customHeight="false" outlineLevel="0" collapsed="false">
      <c r="A132" s="0" t="s">
        <v>3354</v>
      </c>
      <c r="B132" s="0" t="s">
        <v>3355</v>
      </c>
      <c r="C132" s="0" t="s">
        <v>3356</v>
      </c>
      <c r="D132" s="0" t="s">
        <v>3357</v>
      </c>
      <c r="E132" s="0" t="s">
        <v>3358</v>
      </c>
      <c r="F132" s="0" t="s">
        <v>3086</v>
      </c>
      <c r="G132" s="0" t="s">
        <v>189</v>
      </c>
      <c r="M132" s="0" t="s">
        <v>380</v>
      </c>
      <c r="R132" s="5"/>
      <c r="U132" s="5"/>
      <c r="V132" s="0" t="s">
        <v>380</v>
      </c>
      <c r="AE132" s="0" t="s">
        <v>3359</v>
      </c>
      <c r="AF132" s="0" t="s">
        <v>209</v>
      </c>
      <c r="AG132" s="0" t="s">
        <v>3360</v>
      </c>
      <c r="AH132" s="0" t="s">
        <v>209</v>
      </c>
      <c r="AI132" s="0" t="s">
        <v>209</v>
      </c>
      <c r="AJ132" s="0" t="s">
        <v>189</v>
      </c>
      <c r="AK132" s="0" t="s">
        <v>209</v>
      </c>
      <c r="AL132" s="0" t="s">
        <v>189</v>
      </c>
      <c r="AM132" s="0" t="s">
        <v>209</v>
      </c>
      <c r="AN132" s="0" t="s">
        <v>380</v>
      </c>
      <c r="AO132" s="0" t="s">
        <v>209</v>
      </c>
      <c r="AP132" s="0" t="s">
        <v>3354</v>
      </c>
      <c r="AQ132" s="5" t="s">
        <v>189</v>
      </c>
      <c r="AT132" s="0" t="str">
        <f aca="false">IF($A132="","",IF(AND(CN132="pass",AQ132&lt;&gt;"Y",C132&lt;&gt;"",OR(AX132&lt;&gt;"Y",AV132="Y")),"Y","N"))</f>
        <v>Y</v>
      </c>
      <c r="AU132" s="0" t="str">
        <f aca="false">IF($A132="","",_xlfn.TEXTJOIN("; ",TRUE(),IF(CN132&lt;&gt;"pass","gated out",""),IF(AQ132="Y","on hold: "&amp;AR132,""),IF(C132="","no contact named on an opened page",""),IF(AND(AX132="Y",AV132&lt;&gt;"Y"),"Tuesday estimate band "&amp;L132&amp;": founder's call","")))</f>
        <v/>
      </c>
      <c r="AX132" s="0" t="s">
        <v>189</v>
      </c>
      <c r="BC132" s="0" t="str">
        <f aca="false">IF($A132="","",IFERROR(INDEX(Enrichment!$A$2:$GZ$2000,MATCH($A132,INDEX(Enrichment!$A$2:$GZ$2000,0,MATCH("row_id",Enrichment!$A$1:$GZ$1,0)),0),MATCH("work_email",Enrichment!$A$1:$GZ$1,0))&amp;"",""))</f>
        <v/>
      </c>
      <c r="BD132" s="0" t="str">
        <f aca="false">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none</v>
      </c>
      <c r="BF132" s="0" t="s">
        <v>380</v>
      </c>
      <c r="BJ132" s="0" t="s">
        <v>380</v>
      </c>
      <c r="BL132" s="0" t="s">
        <v>896</v>
      </c>
      <c r="BQ132" s="0" t="str">
        <f aca="false">IF($A132="","",IFERROR(INDEX(Enrichment!$A$2:$GZ$2000,MATCH($A132,INDEX(Enrichment!$A$2:$GZ$2000,0,MATCH("row_id",Enrichment!$A$1:$GZ$1,0)),0),MATCH("backup_work_email",Enrichment!$A$1:$GZ$1,0))&amp;"",""))</f>
        <v/>
      </c>
      <c r="BR132" s="0" t="str">
        <f aca="false">IF($A132="","",IF(BQ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none</v>
      </c>
      <c r="BT132" s="0" t="s">
        <v>380</v>
      </c>
      <c r="BX132" s="0" t="s">
        <v>380</v>
      </c>
      <c r="BY132" s="0" t="s">
        <v>387</v>
      </c>
      <c r="BZ132" s="0" t="s">
        <v>388</v>
      </c>
      <c r="CA132" s="0" t="s">
        <v>2707</v>
      </c>
      <c r="CB132" s="0" t="s">
        <v>196</v>
      </c>
      <c r="CM132" s="0" t="s">
        <v>189</v>
      </c>
      <c r="CN132" s="0" t="s">
        <v>200</v>
      </c>
      <c r="CO132" s="0" t="s">
        <v>201</v>
      </c>
      <c r="CP132" s="0" t="s">
        <v>1</v>
      </c>
      <c r="CQ132" s="0" t="s">
        <v>3361</v>
      </c>
      <c r="CR132" s="0" t="s">
        <v>3356</v>
      </c>
      <c r="CS132" s="0" t="s">
        <v>3360</v>
      </c>
      <c r="CT132" s="0" t="s">
        <v>209</v>
      </c>
      <c r="CV132" s="0" t="s">
        <v>209</v>
      </c>
      <c r="CW132" s="0" t="s">
        <v>209</v>
      </c>
      <c r="CX132" s="0" t="s">
        <v>2712</v>
      </c>
      <c r="DA132" s="0" t="s">
        <v>209</v>
      </c>
      <c r="DB132" s="0" t="s">
        <v>259</v>
      </c>
      <c r="DC132" s="0" t="s">
        <v>164</v>
      </c>
      <c r="DD132" s="0" t="s">
        <v>209</v>
      </c>
      <c r="DE132" s="0" t="s">
        <v>209</v>
      </c>
      <c r="DF132" s="0" t="s">
        <v>397</v>
      </c>
      <c r="DG132" s="0" t="n">
        <v>40.739345</v>
      </c>
      <c r="DH132" s="0" t="n">
        <v>-73.993191</v>
      </c>
      <c r="DI132" s="0" t="s">
        <v>164</v>
      </c>
      <c r="DJ132" s="0" t="n">
        <v>0</v>
      </c>
      <c r="DK132" s="0" t="s">
        <v>3362</v>
      </c>
      <c r="DL132" s="0" t="s">
        <v>3363</v>
      </c>
      <c r="DM132" s="0" t="s">
        <v>3364</v>
      </c>
      <c r="DN132" s="0" t="s">
        <v>263</v>
      </c>
      <c r="DO132" s="0" t="s">
        <v>214</v>
      </c>
      <c r="DP132" s="0" t="s">
        <v>3365</v>
      </c>
      <c r="DQ132" s="0" t="s">
        <v>263</v>
      </c>
      <c r="DS132" s="0" t="s">
        <v>217</v>
      </c>
      <c r="DU132" s="0" t="s">
        <v>189</v>
      </c>
      <c r="DX132" s="0" t="s">
        <v>2507</v>
      </c>
      <c r="DY132" s="0" t="s">
        <v>3366</v>
      </c>
      <c r="EA132" s="0" t="s">
        <v>209</v>
      </c>
      <c r="EB132" s="0" t="s">
        <v>189</v>
      </c>
      <c r="EC132" s="0" t="s">
        <v>209</v>
      </c>
      <c r="EF132" s="0" t="s">
        <v>209</v>
      </c>
      <c r="EH132" s="0" t="s">
        <v>189</v>
      </c>
      <c r="EI132" s="0" t="s">
        <v>2716</v>
      </c>
      <c r="EJ132" s="0" t="s">
        <v>221</v>
      </c>
      <c r="EK132" s="0" t="s">
        <v>209</v>
      </c>
      <c r="EL132" s="0" t="n">
        <v>36</v>
      </c>
      <c r="EM132" s="0" t="n">
        <v>7</v>
      </c>
      <c r="EN132" s="0" t="n">
        <v>8</v>
      </c>
      <c r="EO132" s="0" t="n">
        <v>6</v>
      </c>
      <c r="EP132" s="0" t="n">
        <v>15</v>
      </c>
      <c r="EQ132" s="0" t="n">
        <f aca="false">IF($A132="","",IF(AH132="exact",10,IF(AH132="adjacent",5,0)))</f>
        <v>0</v>
      </c>
      <c r="ER132" s="0" t="n">
        <f aca="false">IF($A132="","",IF(R132="Y",15,0))</f>
        <v>0</v>
      </c>
      <c r="ES132" s="0" t="s">
        <v>222</v>
      </c>
      <c r="EV132" s="0" t="s">
        <v>3367</v>
      </c>
      <c r="EW132" s="0" t="s">
        <v>224</v>
      </c>
      <c r="EX132" s="0" t="s">
        <v>3368</v>
      </c>
      <c r="FS132" s="0" t="str">
        <f aca="false">IF($A132="","",IF(ISNUMBER(MATCH(U132,{"queued","contacted","replied","call_booked","call_done","yes_in_principle","materials_sent"},0)),"Y","N"))</f>
        <v>N</v>
      </c>
      <c r="FT132" s="0" t="str">
        <f aca="false">IF($A132="","",IF(OR(T132="Y",U132="do_not_contact",AS132&amp;""&lt;&gt;""),"Y","N"))</f>
        <v>N</v>
      </c>
      <c r="FU132" s="0" t="str">
        <f aca="false">IF($A132="","",IF(AP132&amp;""&lt;&gt;"",AP132&amp;"",$A132))</f>
        <v>AO-C-043</v>
      </c>
      <c r="FV132" s="0" t="str">
        <f aca="false">IF($A132="","",IF(COUNTIFS($FU$2:$FU$1000,FU132,$FS$2:$FS$1000,"Y")+COUNTIFS($FU$2:$FU$1000,FU132,$FT$2:$FT$1000,"Y")&gt;0,"Y","N"))</f>
        <v>N</v>
      </c>
      <c r="FW132" s="0" t="str">
        <f aca="false">IF($A132="","",IF(AND(U132="new",T132="N",FT132="N",AT132="Y",FV132="N"),"Y","N"))</f>
        <v>N</v>
      </c>
      <c r="FX132" s="0" t="str">
        <f aca="false">IF($A132="","",IF(FW132&lt;&gt;"Y","N",IF(COUNTIFS($FU$2:$FU$1000,FU132,$FW$2:$FW$1000,"Y",$J$2:$J$1000,"&gt;"&amp;J132)+COUNTIFS($FU$2:$FU$1000,FU132,$FW$2:$FW$1000,"Y",$J$2:$J$1000,J132,$GD$2:$GD$1000,"&lt;"&amp;GD132)=0,"Y","N")))</f>
        <v>N</v>
      </c>
      <c r="FY132" s="0" t="str">
        <f aca="false">IF($A132="","",IF(AND(FW132="Y",FX132="Y",Y132&amp;""&lt;&gt;""),IF(Y132&lt;=10,"Y","N"),"N"))</f>
        <v>N</v>
      </c>
      <c r="FZ132" s="0" t="str">
        <f aca="false">IF(FY132="Y",Y132,"")</f>
        <v/>
      </c>
      <c r="GA132" s="0" t="str">
        <f aca="false">IF($A132="","",IF(AND(I132="walk-in",CN132="pass",U132="new",FT132="N",FV132="N",AQ132&lt;&gt;"Y"),"Y","N"))</f>
        <v>N</v>
      </c>
      <c r="GB132" s="0" t="str">
        <f aca="false">IF(GA132&lt;&gt;"Y","",IF(COUNTIFS($GA$2:$GA$1000,"Y",$J$2:$J$1000,"&gt;"&amp;J132)+COUNTIFS($GA$2:$GA$1000,"Y",$J$2:$J$1000,J132,$GD$2:$GD$1000,"&lt;"&amp;GD132)+1&lt;=25,COUNTIFS($GA$2:$GA$1000,"Y",$J$2:$J$1000,"&gt;"&amp;J132)+COUNTIFS($GA$2:$GA$1000,"Y",$J$2:$J$1000,J132,$GD$2:$GD$1000,"&lt;"&amp;GD132)+1,""))</f>
        <v/>
      </c>
      <c r="GC132" s="0" t="str">
        <f aca="false">IF(AND(_xlfn.ISFORMULA(C132),_xlfn.ISFORMULA(J132)),"Y","N")</f>
        <v>N</v>
      </c>
      <c r="GD132" s="0" t="n">
        <f aca="false">ROW()-1</f>
        <v>131</v>
      </c>
    </row>
    <row r="133" customFormat="false" ht="15" hidden="false" customHeight="false" outlineLevel="0" collapsed="false">
      <c r="A133" s="0" t="s">
        <v>3369</v>
      </c>
      <c r="B133" s="0" t="s">
        <v>3370</v>
      </c>
      <c r="C133" s="0" t="s">
        <v>3371</v>
      </c>
      <c r="D133" s="0" t="s">
        <v>3372</v>
      </c>
      <c r="E133" s="0" t="s">
        <v>2520</v>
      </c>
      <c r="F133" s="0" t="s">
        <v>3086</v>
      </c>
      <c r="G133" s="0" t="s">
        <v>189</v>
      </c>
      <c r="M133" s="0" t="s">
        <v>380</v>
      </c>
      <c r="R133" s="5"/>
      <c r="U133" s="5"/>
      <c r="V133" s="0" t="s">
        <v>380</v>
      </c>
      <c r="AE133" s="0" t="s">
        <v>3373</v>
      </c>
      <c r="AF133" s="0" t="s">
        <v>3374</v>
      </c>
      <c r="AG133" s="0" t="s">
        <v>3375</v>
      </c>
      <c r="AH133" s="0" t="s">
        <v>209</v>
      </c>
      <c r="AI133" s="0" t="s">
        <v>209</v>
      </c>
      <c r="AJ133" s="0" t="s">
        <v>189</v>
      </c>
      <c r="AK133" s="0" t="s">
        <v>209</v>
      </c>
      <c r="AL133" s="0" t="s">
        <v>189</v>
      </c>
      <c r="AM133" s="0" t="s">
        <v>209</v>
      </c>
      <c r="AN133" s="0" t="s">
        <v>380</v>
      </c>
      <c r="AO133" s="0" t="s">
        <v>209</v>
      </c>
      <c r="AP133" s="0" t="s">
        <v>3369</v>
      </c>
      <c r="AQ133" s="5" t="s">
        <v>189</v>
      </c>
      <c r="AT133" s="0" t="str">
        <f aca="false">IF($A133="","",IF(AND(CN133="pass",AQ133&lt;&gt;"Y",C133&lt;&gt;"",OR(AX133&lt;&gt;"Y",AV133="Y")),"Y","N"))</f>
        <v>Y</v>
      </c>
      <c r="AU133" s="0" t="str">
        <f aca="false">IF($A133="","",_xlfn.TEXTJOIN("; ",TRUE(),IF(CN133&lt;&gt;"pass","gated out",""),IF(AQ133="Y","on hold: "&amp;AR133,""),IF(C133="","no contact named on an opened page",""),IF(AND(AX133="Y",AV133&lt;&gt;"Y"),"Tuesday estimate band "&amp;L133&amp;": founder's call","")))</f>
        <v/>
      </c>
      <c r="AX133" s="0" t="s">
        <v>189</v>
      </c>
      <c r="BC133" s="0" t="str">
        <f aca="false">IF($A133="","",IFERROR(INDEX(Enrichment!$A$2:$GZ$2000,MATCH($A133,INDEX(Enrichment!$A$2:$GZ$2000,0,MATCH("row_id",Enrichment!$A$1:$GZ$1,0)),0),MATCH("work_email",Enrichment!$A$1:$GZ$1,0))&amp;"",""))</f>
        <v/>
      </c>
      <c r="BD133" s="0" t="str">
        <f aca="false">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none</v>
      </c>
      <c r="BF133" s="0" t="s">
        <v>380</v>
      </c>
      <c r="BJ133" s="0" t="s">
        <v>380</v>
      </c>
      <c r="BL133" s="0" t="s">
        <v>896</v>
      </c>
      <c r="BQ133" s="0" t="str">
        <f aca="false">IF($A133="","",IFERROR(INDEX(Enrichment!$A$2:$GZ$2000,MATCH($A133,INDEX(Enrichment!$A$2:$GZ$2000,0,MATCH("row_id",Enrichment!$A$1:$GZ$1,0)),0),MATCH("backup_work_email",Enrichment!$A$1:$GZ$1,0))&amp;"",""))</f>
        <v/>
      </c>
      <c r="BR133" s="0" t="str">
        <f aca="false">IF($A133="","",IF(BQ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none</v>
      </c>
      <c r="BT133" s="0" t="s">
        <v>380</v>
      </c>
      <c r="BX133" s="0" t="s">
        <v>380</v>
      </c>
      <c r="BY133" s="0" t="s">
        <v>387</v>
      </c>
      <c r="BZ133" s="0" t="s">
        <v>388</v>
      </c>
      <c r="CA133" s="0" t="s">
        <v>2707</v>
      </c>
      <c r="CB133" s="0" t="s">
        <v>196</v>
      </c>
      <c r="CM133" s="0" t="s">
        <v>189</v>
      </c>
      <c r="CN133" s="0" t="s">
        <v>200</v>
      </c>
      <c r="CO133" s="0" t="s">
        <v>201</v>
      </c>
      <c r="CP133" s="0" t="s">
        <v>1</v>
      </c>
      <c r="CQ133" s="0" t="s">
        <v>3376</v>
      </c>
      <c r="CR133" s="0" t="s">
        <v>3371</v>
      </c>
      <c r="CS133" s="0" t="s">
        <v>3375</v>
      </c>
      <c r="CT133" s="0" t="s">
        <v>209</v>
      </c>
      <c r="CV133" s="0" t="s">
        <v>209</v>
      </c>
      <c r="CW133" s="0" t="s">
        <v>209</v>
      </c>
      <c r="CX133" s="0" t="s">
        <v>2712</v>
      </c>
      <c r="DA133" s="0" t="s">
        <v>209</v>
      </c>
      <c r="DB133" s="0" t="s">
        <v>3377</v>
      </c>
      <c r="DC133" s="0" t="s">
        <v>189</v>
      </c>
      <c r="DD133" s="0" t="s">
        <v>209</v>
      </c>
      <c r="DE133" s="0" t="s">
        <v>209</v>
      </c>
      <c r="DF133" s="0" t="s">
        <v>1190</v>
      </c>
      <c r="DG133" s="0" t="n">
        <v>40.743942</v>
      </c>
      <c r="DH133" s="0" t="n">
        <v>-73.988072</v>
      </c>
      <c r="DI133" s="0" t="s">
        <v>164</v>
      </c>
      <c r="DJ133" s="0" t="n">
        <v>0</v>
      </c>
      <c r="DK133" s="0" t="s">
        <v>3378</v>
      </c>
      <c r="DL133" s="0" t="s">
        <v>3379</v>
      </c>
      <c r="DM133" s="0" t="s">
        <v>3380</v>
      </c>
      <c r="DN133" s="0" t="s">
        <v>3381</v>
      </c>
      <c r="DO133" s="0" t="s">
        <v>363</v>
      </c>
      <c r="DP133" s="0" t="s">
        <v>3382</v>
      </c>
      <c r="DQ133" s="0" t="s">
        <v>263</v>
      </c>
      <c r="DS133" s="0" t="s">
        <v>217</v>
      </c>
      <c r="DU133" s="0" t="s">
        <v>189</v>
      </c>
      <c r="DX133" s="0" t="s">
        <v>209</v>
      </c>
      <c r="EA133" s="0" t="s">
        <v>209</v>
      </c>
      <c r="EB133" s="0" t="s">
        <v>189</v>
      </c>
      <c r="EC133" s="0" t="s">
        <v>209</v>
      </c>
      <c r="EF133" s="0" t="s">
        <v>209</v>
      </c>
      <c r="EH133" s="0" t="s">
        <v>189</v>
      </c>
      <c r="EI133" s="0" t="s">
        <v>2716</v>
      </c>
      <c r="EJ133" s="0" t="s">
        <v>221</v>
      </c>
      <c r="EK133" s="0" t="s">
        <v>209</v>
      </c>
      <c r="EL133" s="0" t="n">
        <v>36</v>
      </c>
      <c r="EM133" s="0" t="n">
        <v>7</v>
      </c>
      <c r="EN133" s="0" t="n">
        <v>8</v>
      </c>
      <c r="EO133" s="0" t="n">
        <v>6</v>
      </c>
      <c r="EP133" s="0" t="n">
        <v>15</v>
      </c>
      <c r="EQ133" s="0" t="n">
        <f aca="false">IF($A133="","",IF(AH133="exact",10,IF(AH133="adjacent",5,0)))</f>
        <v>0</v>
      </c>
      <c r="ER133" s="0" t="n">
        <f aca="false">IF($A133="","",IF(R133="Y",15,0))</f>
        <v>0</v>
      </c>
      <c r="ES133" s="0" t="s">
        <v>222</v>
      </c>
      <c r="EV133" s="0" t="s">
        <v>3383</v>
      </c>
      <c r="EW133" s="0" t="s">
        <v>224</v>
      </c>
      <c r="EX133" s="0" t="s">
        <v>3384</v>
      </c>
      <c r="FS133" s="0" t="str">
        <f aca="false">IF($A133="","",IF(ISNUMBER(MATCH(U133,{"queued","contacted","replied","call_booked","call_done","yes_in_principle","materials_sent"},0)),"Y","N"))</f>
        <v>N</v>
      </c>
      <c r="FT133" s="0" t="str">
        <f aca="false">IF($A133="","",IF(OR(T133="Y",U133="do_not_contact",AS133&amp;""&lt;&gt;""),"Y","N"))</f>
        <v>N</v>
      </c>
      <c r="FU133" s="0" t="str">
        <f aca="false">IF($A133="","",IF(AP133&amp;""&lt;&gt;"",AP133&amp;"",$A133))</f>
        <v>AO-C-145</v>
      </c>
      <c r="FV133" s="0" t="str">
        <f aca="false">IF($A133="","",IF(COUNTIFS($FU$2:$FU$1000,FU133,$FS$2:$FS$1000,"Y")+COUNTIFS($FU$2:$FU$1000,FU133,$FT$2:$FT$1000,"Y")&gt;0,"Y","N"))</f>
        <v>N</v>
      </c>
      <c r="FW133" s="0" t="str">
        <f aca="false">IF($A133="","",IF(AND(U133="new",T133="N",FT133="N",AT133="Y",FV133="N"),"Y","N"))</f>
        <v>N</v>
      </c>
      <c r="FX133" s="0" t="str">
        <f aca="false">IF($A133="","",IF(FW133&lt;&gt;"Y","N",IF(COUNTIFS($FU$2:$FU$1000,FU133,$FW$2:$FW$1000,"Y",$J$2:$J$1000,"&gt;"&amp;J133)+COUNTIFS($FU$2:$FU$1000,FU133,$FW$2:$FW$1000,"Y",$J$2:$J$1000,J133,$GD$2:$GD$1000,"&lt;"&amp;GD133)=0,"Y","N")))</f>
        <v>N</v>
      </c>
      <c r="FY133" s="0" t="str">
        <f aca="false">IF($A133="","",IF(AND(FW133="Y",FX133="Y",Y133&amp;""&lt;&gt;""),IF(Y133&lt;=10,"Y","N"),"N"))</f>
        <v>N</v>
      </c>
      <c r="FZ133" s="0" t="str">
        <f aca="false">IF(FY133="Y",Y133,"")</f>
        <v/>
      </c>
      <c r="GA133" s="0" t="str">
        <f aca="false">IF($A133="","",IF(AND(I133="walk-in",CN133="pass",U133="new",FT133="N",FV133="N",AQ133&lt;&gt;"Y"),"Y","N"))</f>
        <v>N</v>
      </c>
      <c r="GB133" s="0" t="str">
        <f aca="false">IF(GA133&lt;&gt;"Y","",IF(COUNTIFS($GA$2:$GA$1000,"Y",$J$2:$J$1000,"&gt;"&amp;J133)+COUNTIFS($GA$2:$GA$1000,"Y",$J$2:$J$1000,J133,$GD$2:$GD$1000,"&lt;"&amp;GD133)+1&lt;=25,COUNTIFS($GA$2:$GA$1000,"Y",$J$2:$J$1000,"&gt;"&amp;J133)+COUNTIFS($GA$2:$GA$1000,"Y",$J$2:$J$1000,J133,$GD$2:$GD$1000,"&lt;"&amp;GD133)+1,""))</f>
        <v/>
      </c>
      <c r="GC133" s="0" t="str">
        <f aca="false">IF(AND(_xlfn.ISFORMULA(C133),_xlfn.ISFORMULA(J133)),"Y","N")</f>
        <v>N</v>
      </c>
      <c r="GD133" s="0" t="n">
        <f aca="false">ROW()-1</f>
        <v>132</v>
      </c>
    </row>
    <row r="134" customFormat="false" ht="15" hidden="false" customHeight="false" outlineLevel="0" collapsed="false">
      <c r="A134" s="0" t="s">
        <v>3385</v>
      </c>
      <c r="B134" s="0" t="s">
        <v>3386</v>
      </c>
      <c r="C134" s="0" t="s">
        <v>3387</v>
      </c>
      <c r="D134" s="0" t="s">
        <v>3388</v>
      </c>
      <c r="E134" s="0" t="s">
        <v>3389</v>
      </c>
      <c r="F134" s="0" t="s">
        <v>3086</v>
      </c>
      <c r="G134" s="0" t="s">
        <v>189</v>
      </c>
      <c r="M134" s="0" t="s">
        <v>380</v>
      </c>
      <c r="R134" s="5"/>
      <c r="U134" s="5"/>
      <c r="V134" s="0" t="s">
        <v>380</v>
      </c>
      <c r="AE134" s="0" t="s">
        <v>181</v>
      </c>
      <c r="AF134" s="0" t="s">
        <v>768</v>
      </c>
      <c r="AG134" s="0" t="s">
        <v>3390</v>
      </c>
      <c r="AH134" s="0" t="s">
        <v>209</v>
      </c>
      <c r="AI134" s="0" t="s">
        <v>3391</v>
      </c>
      <c r="AJ134" s="0" t="s">
        <v>189</v>
      </c>
      <c r="AK134" s="0" t="s">
        <v>209</v>
      </c>
      <c r="AL134" s="0" t="s">
        <v>189</v>
      </c>
      <c r="AM134" s="0" t="s">
        <v>209</v>
      </c>
      <c r="AN134" s="0" t="s">
        <v>380</v>
      </c>
      <c r="AO134" s="0" t="s">
        <v>209</v>
      </c>
      <c r="AP134" s="0" t="s">
        <v>3385</v>
      </c>
      <c r="AQ134" s="5" t="s">
        <v>189</v>
      </c>
      <c r="AT134" s="0" t="str">
        <f aca="false">IF($A134="","",IF(AND(CN134="pass",AQ134&lt;&gt;"Y",C134&lt;&gt;"",OR(AX134&lt;&gt;"Y",AV134="Y")),"Y","N"))</f>
        <v>Y</v>
      </c>
      <c r="AU134" s="0" t="str">
        <f aca="false">IF($A134="","",_xlfn.TEXTJOIN("; ",TRUE(),IF(CN134&lt;&gt;"pass","gated out",""),IF(AQ134="Y","on hold: "&amp;AR134,""),IF(C134="","no contact named on an opened page",""),IF(AND(AX134="Y",AV134&lt;&gt;"Y"),"Tuesday estimate band "&amp;L134&amp;": founder's call","")))</f>
        <v/>
      </c>
      <c r="AX134" s="0" t="s">
        <v>189</v>
      </c>
      <c r="BC134" s="0" t="str">
        <f aca="false">IF($A134="","",IFERROR(INDEX(Enrichment!$A$2:$GZ$2000,MATCH($A134,INDEX(Enrichment!$A$2:$GZ$2000,0,MATCH("row_id",Enrichment!$A$1:$GZ$1,0)),0),MATCH("work_email",Enrichment!$A$1:$GZ$1,0))&amp;"",""))</f>
        <v/>
      </c>
      <c r="BD134" s="0" t="str">
        <f aca="false">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none</v>
      </c>
      <c r="BF134" s="0" t="s">
        <v>380</v>
      </c>
      <c r="BJ134" s="0" t="s">
        <v>380</v>
      </c>
      <c r="BL134" s="0" t="s">
        <v>896</v>
      </c>
      <c r="BQ134" s="0" t="str">
        <f aca="false">IF($A134="","",IFERROR(INDEX(Enrichment!$A$2:$GZ$2000,MATCH($A134,INDEX(Enrichment!$A$2:$GZ$2000,0,MATCH("row_id",Enrichment!$A$1:$GZ$1,0)),0),MATCH("backup_work_email",Enrichment!$A$1:$GZ$1,0))&amp;"",""))</f>
        <v/>
      </c>
      <c r="BR134" s="0" t="str">
        <f aca="false">IF($A134="","",IF(BQ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none</v>
      </c>
      <c r="BT134" s="0" t="s">
        <v>380</v>
      </c>
      <c r="BX134" s="0" t="s">
        <v>380</v>
      </c>
      <c r="BY134" s="0" t="s">
        <v>387</v>
      </c>
      <c r="BZ134" s="0" t="s">
        <v>388</v>
      </c>
      <c r="CA134" s="0" t="s">
        <v>2707</v>
      </c>
      <c r="CB134" s="0" t="s">
        <v>196</v>
      </c>
      <c r="CM134" s="0" t="s">
        <v>189</v>
      </c>
      <c r="CN134" s="0" t="s">
        <v>200</v>
      </c>
      <c r="CO134" s="0" t="s">
        <v>201</v>
      </c>
      <c r="CP134" s="0" t="s">
        <v>1</v>
      </c>
      <c r="CQ134" s="0" t="s">
        <v>3392</v>
      </c>
      <c r="CR134" s="0" t="s">
        <v>3387</v>
      </c>
      <c r="CS134" s="0" t="s">
        <v>3390</v>
      </c>
      <c r="CT134" s="0" t="s">
        <v>209</v>
      </c>
      <c r="CV134" s="0" t="s">
        <v>209</v>
      </c>
      <c r="CW134" s="0" t="s">
        <v>209</v>
      </c>
      <c r="CX134" s="0" t="s">
        <v>2712</v>
      </c>
      <c r="DA134" s="0" t="s">
        <v>209</v>
      </c>
      <c r="DB134" s="0" t="s">
        <v>209</v>
      </c>
      <c r="DC134" s="0" t="s">
        <v>209</v>
      </c>
      <c r="DD134" s="0" t="s">
        <v>209</v>
      </c>
      <c r="DE134" s="0" t="s">
        <v>3391</v>
      </c>
      <c r="DF134" s="0" t="s">
        <v>210</v>
      </c>
      <c r="DG134" s="0" t="n">
        <v>40.733674</v>
      </c>
      <c r="DH134" s="0" t="n">
        <v>-73.988766</v>
      </c>
      <c r="DI134" s="0" t="s">
        <v>164</v>
      </c>
      <c r="DJ134" s="0" t="n">
        <v>0</v>
      </c>
      <c r="DK134" s="0" t="s">
        <v>211</v>
      </c>
      <c r="DL134" s="0" t="s">
        <v>212</v>
      </c>
      <c r="DM134" s="0" t="s">
        <v>3393</v>
      </c>
      <c r="DN134" s="0" t="s">
        <v>172</v>
      </c>
      <c r="DO134" s="0" t="s">
        <v>214</v>
      </c>
      <c r="DP134" s="0" t="s">
        <v>3035</v>
      </c>
      <c r="DQ134" s="0" t="s">
        <v>3036</v>
      </c>
      <c r="DS134" s="0" t="s">
        <v>217</v>
      </c>
      <c r="DU134" s="0" t="s">
        <v>189</v>
      </c>
      <c r="DX134" s="0" t="s">
        <v>209</v>
      </c>
      <c r="EA134" s="0" t="s">
        <v>209</v>
      </c>
      <c r="EB134" s="0" t="s">
        <v>189</v>
      </c>
      <c r="EC134" s="0" t="s">
        <v>209</v>
      </c>
      <c r="EF134" s="0" t="s">
        <v>209</v>
      </c>
      <c r="EH134" s="0" t="s">
        <v>189</v>
      </c>
      <c r="EI134" s="0" t="s">
        <v>2716</v>
      </c>
      <c r="EJ134" s="0" t="s">
        <v>221</v>
      </c>
      <c r="EK134" s="0" t="s">
        <v>209</v>
      </c>
      <c r="EL134" s="0" t="n">
        <v>36</v>
      </c>
      <c r="EM134" s="0" t="n">
        <v>7</v>
      </c>
      <c r="EN134" s="0" t="n">
        <v>8</v>
      </c>
      <c r="EO134" s="0" t="n">
        <v>6</v>
      </c>
      <c r="EP134" s="0" t="n">
        <v>15</v>
      </c>
      <c r="EQ134" s="0" t="n">
        <f aca="false">IF($A134="","",IF(AH134="exact",10,IF(AH134="adjacent",5,0)))</f>
        <v>0</v>
      </c>
      <c r="ER134" s="0" t="n">
        <f aca="false">IF($A134="","",IF(R134="Y",15,0))</f>
        <v>0</v>
      </c>
      <c r="ES134" s="0" t="s">
        <v>222</v>
      </c>
      <c r="EV134" s="0" t="s">
        <v>3394</v>
      </c>
      <c r="EW134" s="0" t="s">
        <v>224</v>
      </c>
      <c r="EX134" s="0" t="s">
        <v>3395</v>
      </c>
      <c r="EZ134" s="0" t="s">
        <v>3396</v>
      </c>
      <c r="FS134" s="0" t="str">
        <f aca="false">IF($A134="","",IF(ISNUMBER(MATCH(U134,{"queued","contacted","replied","call_booked","call_done","yes_in_principle","materials_sent"},0)),"Y","N"))</f>
        <v>N</v>
      </c>
      <c r="FT134" s="0" t="str">
        <f aca="false">IF($A134="","",IF(OR(T134="Y",U134="do_not_contact",AS134&amp;""&lt;&gt;""),"Y","N"))</f>
        <v>N</v>
      </c>
      <c r="FU134" s="0" t="str">
        <f aca="false">IF($A134="","",IF(AP134&amp;""&lt;&gt;"",AP134&amp;"",$A134))</f>
        <v>AO-C-011</v>
      </c>
      <c r="FV134" s="0" t="str">
        <f aca="false">IF($A134="","",IF(COUNTIFS($FU$2:$FU$1000,FU134,$FS$2:$FS$1000,"Y")+COUNTIFS($FU$2:$FU$1000,FU134,$FT$2:$FT$1000,"Y")&gt;0,"Y","N"))</f>
        <v>N</v>
      </c>
      <c r="FW134" s="0" t="str">
        <f aca="false">IF($A134="","",IF(AND(U134="new",T134="N",FT134="N",AT134="Y",FV134="N"),"Y","N"))</f>
        <v>N</v>
      </c>
      <c r="FX134" s="0" t="str">
        <f aca="false">IF($A134="","",IF(FW134&lt;&gt;"Y","N",IF(COUNTIFS($FU$2:$FU$1000,FU134,$FW$2:$FW$1000,"Y",$J$2:$J$1000,"&gt;"&amp;J134)+COUNTIFS($FU$2:$FU$1000,FU134,$FW$2:$FW$1000,"Y",$J$2:$J$1000,J134,$GD$2:$GD$1000,"&lt;"&amp;GD134)=0,"Y","N")))</f>
        <v>N</v>
      </c>
      <c r="FY134" s="0" t="str">
        <f aca="false">IF($A134="","",IF(AND(FW134="Y",FX134="Y",Y134&amp;""&lt;&gt;""),IF(Y134&lt;=10,"Y","N"),"N"))</f>
        <v>N</v>
      </c>
      <c r="FZ134" s="0" t="str">
        <f aca="false">IF(FY134="Y",Y134,"")</f>
        <v/>
      </c>
      <c r="GA134" s="0" t="str">
        <f aca="false">IF($A134="","",IF(AND(I134="walk-in",CN134="pass",U134="new",FT134="N",FV134="N",AQ134&lt;&gt;"Y"),"Y","N"))</f>
        <v>N</v>
      </c>
      <c r="GB134" s="0" t="str">
        <f aca="false">IF(GA134&lt;&gt;"Y","",IF(COUNTIFS($GA$2:$GA$1000,"Y",$J$2:$J$1000,"&gt;"&amp;J134)+COUNTIFS($GA$2:$GA$1000,"Y",$J$2:$J$1000,J134,$GD$2:$GD$1000,"&lt;"&amp;GD134)+1&lt;=25,COUNTIFS($GA$2:$GA$1000,"Y",$J$2:$J$1000,"&gt;"&amp;J134)+COUNTIFS($GA$2:$GA$1000,"Y",$J$2:$J$1000,J134,$GD$2:$GD$1000,"&lt;"&amp;GD134)+1,""))</f>
        <v/>
      </c>
      <c r="GC134" s="0" t="str">
        <f aca="false">IF(AND(_xlfn.ISFORMULA(C134),_xlfn.ISFORMULA(J134)),"Y","N")</f>
        <v>N</v>
      </c>
      <c r="GD134" s="0" t="n">
        <f aca="false">ROW()-1</f>
        <v>133</v>
      </c>
    </row>
    <row r="135" customFormat="false" ht="15" hidden="false" customHeight="false" outlineLevel="0" collapsed="false">
      <c r="A135" s="0" t="s">
        <v>3397</v>
      </c>
      <c r="B135" s="0" t="s">
        <v>3398</v>
      </c>
      <c r="C135" s="0" t="s">
        <v>3399</v>
      </c>
      <c r="D135" s="0" t="s">
        <v>3400</v>
      </c>
      <c r="E135" s="0" t="s">
        <v>1415</v>
      </c>
      <c r="F135" s="0" t="s">
        <v>3086</v>
      </c>
      <c r="G135" s="0" t="s">
        <v>189</v>
      </c>
      <c r="M135" s="0" t="s">
        <v>380</v>
      </c>
      <c r="R135" s="5"/>
      <c r="U135" s="5"/>
      <c r="V135" s="0" t="s">
        <v>380</v>
      </c>
      <c r="AE135" s="0" t="s">
        <v>2058</v>
      </c>
      <c r="AF135" s="0" t="s">
        <v>833</v>
      </c>
      <c r="AG135" s="0" t="s">
        <v>1855</v>
      </c>
      <c r="AH135" s="0" t="s">
        <v>209</v>
      </c>
      <c r="AI135" s="0" t="s">
        <v>209</v>
      </c>
      <c r="AJ135" s="0" t="s">
        <v>189</v>
      </c>
      <c r="AK135" s="0" t="s">
        <v>209</v>
      </c>
      <c r="AL135" s="0" t="s">
        <v>189</v>
      </c>
      <c r="AM135" s="0" t="s">
        <v>209</v>
      </c>
      <c r="AN135" s="0" t="s">
        <v>380</v>
      </c>
      <c r="AO135" s="0" t="s">
        <v>209</v>
      </c>
      <c r="AP135" s="0" t="s">
        <v>3397</v>
      </c>
      <c r="AQ135" s="5" t="s">
        <v>189</v>
      </c>
      <c r="AT135" s="0" t="str">
        <f aca="false">IF($A135="","",IF(AND(CN135="pass",AQ135&lt;&gt;"Y",C135&lt;&gt;"",OR(AX135&lt;&gt;"Y",AV135="Y")),"Y","N"))</f>
        <v>Y</v>
      </c>
      <c r="AU135" s="0" t="str">
        <f aca="false">IF($A135="","",_xlfn.TEXTJOIN("; ",TRUE(),IF(CN135&lt;&gt;"pass","gated out",""),IF(AQ135="Y","on hold: "&amp;AR135,""),IF(C135="","no contact named on an opened page",""),IF(AND(AX135="Y",AV135&lt;&gt;"Y"),"Tuesday estimate band "&amp;L135&amp;": founder's call","")))</f>
        <v/>
      </c>
      <c r="AX135" s="0" t="s">
        <v>189</v>
      </c>
      <c r="BC135" s="0" t="str">
        <f aca="false">IF($A135="","",IFERROR(INDEX(Enrichment!$A$2:$GZ$2000,MATCH($A135,INDEX(Enrichment!$A$2:$GZ$2000,0,MATCH("row_id",Enrichment!$A$1:$GZ$1,0)),0),MATCH("work_email",Enrichment!$A$1:$GZ$1,0))&amp;"",""))</f>
        <v/>
      </c>
      <c r="BD135" s="0" t="str">
        <f aca="false">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none</v>
      </c>
      <c r="BF135" s="0" t="s">
        <v>380</v>
      </c>
      <c r="BJ135" s="0" t="s">
        <v>380</v>
      </c>
      <c r="BL135" s="0" t="s">
        <v>896</v>
      </c>
      <c r="BQ135" s="0" t="str">
        <f aca="false">IF($A135="","",IFERROR(INDEX(Enrichment!$A$2:$GZ$2000,MATCH($A135,INDEX(Enrichment!$A$2:$GZ$2000,0,MATCH("row_id",Enrichment!$A$1:$GZ$1,0)),0),MATCH("backup_work_email",Enrichment!$A$1:$GZ$1,0))&amp;"",""))</f>
        <v/>
      </c>
      <c r="BR135" s="0" t="str">
        <f aca="false">IF($A135="","",IF(BQ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none</v>
      </c>
      <c r="BT135" s="0" t="s">
        <v>380</v>
      </c>
      <c r="BX135" s="0" t="s">
        <v>380</v>
      </c>
      <c r="BY135" s="0" t="s">
        <v>387</v>
      </c>
      <c r="BZ135" s="0" t="s">
        <v>388</v>
      </c>
      <c r="CA135" s="0" t="s">
        <v>2707</v>
      </c>
      <c r="CB135" s="0" t="s">
        <v>196</v>
      </c>
      <c r="CM135" s="0" t="s">
        <v>189</v>
      </c>
      <c r="CN135" s="0" t="s">
        <v>200</v>
      </c>
      <c r="CO135" s="0" t="s">
        <v>201</v>
      </c>
      <c r="CP135" s="0" t="s">
        <v>1</v>
      </c>
      <c r="CQ135" s="0" t="s">
        <v>3401</v>
      </c>
      <c r="CR135" s="0" t="s">
        <v>3399</v>
      </c>
      <c r="CS135" s="0" t="s">
        <v>1855</v>
      </c>
      <c r="CT135" s="0" t="s">
        <v>209</v>
      </c>
      <c r="CV135" s="0" t="s">
        <v>209</v>
      </c>
      <c r="CW135" s="0" t="s">
        <v>209</v>
      </c>
      <c r="CX135" s="0" t="s">
        <v>2712</v>
      </c>
      <c r="DA135" s="0" t="s">
        <v>209</v>
      </c>
      <c r="DB135" s="0" t="s">
        <v>209</v>
      </c>
      <c r="DC135" s="0" t="s">
        <v>209</v>
      </c>
      <c r="DD135" s="0" t="s">
        <v>209</v>
      </c>
      <c r="DE135" s="0" t="s">
        <v>209</v>
      </c>
      <c r="DF135" s="0" t="s">
        <v>525</v>
      </c>
      <c r="DG135" s="0" t="n">
        <v>40.742477</v>
      </c>
      <c r="DH135" s="0" t="n">
        <v>-73.986608</v>
      </c>
      <c r="DI135" s="0" t="s">
        <v>164</v>
      </c>
      <c r="DJ135" s="0" t="n">
        <v>0</v>
      </c>
      <c r="DK135" s="0" t="s">
        <v>1882</v>
      </c>
      <c r="DL135" s="0" t="s">
        <v>1883</v>
      </c>
      <c r="DM135" s="0" t="s">
        <v>3402</v>
      </c>
      <c r="DN135" s="0" t="s">
        <v>263</v>
      </c>
      <c r="DO135" s="0" t="s">
        <v>214</v>
      </c>
      <c r="DP135" s="0" t="s">
        <v>3403</v>
      </c>
      <c r="DQ135" s="0" t="s">
        <v>613</v>
      </c>
      <c r="DS135" s="0" t="s">
        <v>217</v>
      </c>
      <c r="DU135" s="0" t="s">
        <v>189</v>
      </c>
      <c r="DX135" s="0" t="s">
        <v>267</v>
      </c>
      <c r="DY135" s="0" t="s">
        <v>1888</v>
      </c>
      <c r="EA135" s="0" t="s">
        <v>209</v>
      </c>
      <c r="EB135" s="0" t="s">
        <v>189</v>
      </c>
      <c r="EC135" s="0" t="s">
        <v>209</v>
      </c>
      <c r="EF135" s="0" t="s">
        <v>209</v>
      </c>
      <c r="EH135" s="0" t="s">
        <v>189</v>
      </c>
      <c r="EI135" s="0" t="s">
        <v>2716</v>
      </c>
      <c r="EJ135" s="0" t="s">
        <v>221</v>
      </c>
      <c r="EK135" s="0" t="s">
        <v>209</v>
      </c>
      <c r="EL135" s="0" t="n">
        <v>36</v>
      </c>
      <c r="EM135" s="0" t="n">
        <v>7</v>
      </c>
      <c r="EN135" s="0" t="n">
        <v>8</v>
      </c>
      <c r="EO135" s="0" t="n">
        <v>6</v>
      </c>
      <c r="EP135" s="0" t="n">
        <v>15</v>
      </c>
      <c r="EQ135" s="0" t="n">
        <f aca="false">IF($A135="","",IF(AH135="exact",10,IF(AH135="adjacent",5,0)))</f>
        <v>0</v>
      </c>
      <c r="ER135" s="0" t="n">
        <f aca="false">IF($A135="","",IF(R135="Y",15,0))</f>
        <v>0</v>
      </c>
      <c r="ES135" s="0" t="s">
        <v>222</v>
      </c>
      <c r="EV135" s="0" t="s">
        <v>3404</v>
      </c>
      <c r="EW135" s="0" t="s">
        <v>224</v>
      </c>
      <c r="EX135" s="0" t="s">
        <v>3405</v>
      </c>
      <c r="FS135" s="0" t="str">
        <f aca="false">IF($A135="","",IF(ISNUMBER(MATCH(U135,{"queued","contacted","replied","call_booked","call_done","yes_in_principle","materials_sent"},0)),"Y","N"))</f>
        <v>N</v>
      </c>
      <c r="FT135" s="0" t="str">
        <f aca="false">IF($A135="","",IF(OR(T135="Y",U135="do_not_contact",AS135&amp;""&lt;&gt;""),"Y","N"))</f>
        <v>N</v>
      </c>
      <c r="FU135" s="0" t="str">
        <f aca="false">IF($A135="","",IF(AP135&amp;""&lt;&gt;"",AP135&amp;"",$A135))</f>
        <v>AO-C-116</v>
      </c>
      <c r="FV135" s="0" t="str">
        <f aca="false">IF($A135="","",IF(COUNTIFS($FU$2:$FU$1000,FU135,$FS$2:$FS$1000,"Y")+COUNTIFS($FU$2:$FU$1000,FU135,$FT$2:$FT$1000,"Y")&gt;0,"Y","N"))</f>
        <v>N</v>
      </c>
      <c r="FW135" s="0" t="str">
        <f aca="false">IF($A135="","",IF(AND(U135="new",T135="N",FT135="N",AT135="Y",FV135="N"),"Y","N"))</f>
        <v>N</v>
      </c>
      <c r="FX135" s="0" t="str">
        <f aca="false">IF($A135="","",IF(FW135&lt;&gt;"Y","N",IF(COUNTIFS($FU$2:$FU$1000,FU135,$FW$2:$FW$1000,"Y",$J$2:$J$1000,"&gt;"&amp;J135)+COUNTIFS($FU$2:$FU$1000,FU135,$FW$2:$FW$1000,"Y",$J$2:$J$1000,J135,$GD$2:$GD$1000,"&lt;"&amp;GD135)=0,"Y","N")))</f>
        <v>N</v>
      </c>
      <c r="FY135" s="0" t="str">
        <f aca="false">IF($A135="","",IF(AND(FW135="Y",FX135="Y",Y135&amp;""&lt;&gt;""),IF(Y135&lt;=10,"Y","N"),"N"))</f>
        <v>N</v>
      </c>
      <c r="FZ135" s="0" t="str">
        <f aca="false">IF(FY135="Y",Y135,"")</f>
        <v/>
      </c>
      <c r="GA135" s="0" t="str">
        <f aca="false">IF($A135="","",IF(AND(I135="walk-in",CN135="pass",U135="new",FT135="N",FV135="N",AQ135&lt;&gt;"Y"),"Y","N"))</f>
        <v>N</v>
      </c>
      <c r="GB135" s="0" t="str">
        <f aca="false">IF(GA135&lt;&gt;"Y","",IF(COUNTIFS($GA$2:$GA$1000,"Y",$J$2:$J$1000,"&gt;"&amp;J135)+COUNTIFS($GA$2:$GA$1000,"Y",$J$2:$J$1000,J135,$GD$2:$GD$1000,"&lt;"&amp;GD135)+1&lt;=25,COUNTIFS($GA$2:$GA$1000,"Y",$J$2:$J$1000,"&gt;"&amp;J135)+COUNTIFS($GA$2:$GA$1000,"Y",$J$2:$J$1000,J135,$GD$2:$GD$1000,"&lt;"&amp;GD135)+1,""))</f>
        <v/>
      </c>
      <c r="GC135" s="0" t="str">
        <f aca="false">IF(AND(_xlfn.ISFORMULA(C135),_xlfn.ISFORMULA(J135)),"Y","N")</f>
        <v>N</v>
      </c>
      <c r="GD135" s="0" t="n">
        <f aca="false">ROW()-1</f>
        <v>134</v>
      </c>
    </row>
    <row r="136" customFormat="false" ht="15" hidden="false" customHeight="false" outlineLevel="0" collapsed="false">
      <c r="A136" s="0" t="s">
        <v>3406</v>
      </c>
      <c r="B136" s="0" t="s">
        <v>3407</v>
      </c>
      <c r="C136" s="0" t="s">
        <v>209</v>
      </c>
      <c r="E136" s="0" t="s">
        <v>2018</v>
      </c>
      <c r="F136" s="0" t="s">
        <v>3086</v>
      </c>
      <c r="G136" s="0" t="s">
        <v>189</v>
      </c>
      <c r="M136" s="0" t="s">
        <v>380</v>
      </c>
      <c r="R136" s="5"/>
      <c r="U136" s="5"/>
      <c r="V136" s="0" t="s">
        <v>380</v>
      </c>
      <c r="AE136" s="0" t="s">
        <v>3408</v>
      </c>
      <c r="AF136" s="0" t="s">
        <v>3409</v>
      </c>
      <c r="AG136" s="0" t="s">
        <v>3118</v>
      </c>
      <c r="AH136" s="0" t="s">
        <v>209</v>
      </c>
      <c r="AJ136" s="0" t="s">
        <v>189</v>
      </c>
      <c r="AK136" s="0" t="s">
        <v>209</v>
      </c>
      <c r="AL136" s="0" t="s">
        <v>189</v>
      </c>
      <c r="AM136" s="0" t="s">
        <v>209</v>
      </c>
      <c r="AN136" s="0" t="s">
        <v>380</v>
      </c>
      <c r="AO136" s="0" t="s">
        <v>209</v>
      </c>
      <c r="AP136" s="0" t="s">
        <v>3410</v>
      </c>
      <c r="AQ136" s="5" t="s">
        <v>189</v>
      </c>
      <c r="AT136" s="0" t="str">
        <f aca="false">IF($A136="","",IF(AND(CN136="pass",AQ136&lt;&gt;"Y",C136&lt;&gt;"",OR(AX136&lt;&gt;"Y",AV136="Y")),"Y","N"))</f>
        <v>Y</v>
      </c>
      <c r="AU136" s="0" t="str">
        <f aca="false">IF($A136="","",_xlfn.TEXTJOIN("; ",TRUE(),IF(CN136&lt;&gt;"pass","gated out",""),IF(AQ136="Y","on hold: "&amp;AR136,""),IF(C136="","no contact named on an opened page",""),IF(AND(AX136="Y",AV136&lt;&gt;"Y"),"Tuesday estimate band "&amp;L136&amp;": founder's call","")))</f>
        <v/>
      </c>
      <c r="AX136" s="0" t="s">
        <v>189</v>
      </c>
      <c r="BC136" s="0" t="str">
        <f aca="false">IF($A136="","",IFERROR(INDEX(Enrichment!$A$2:$GZ$2000,MATCH($A136,INDEX(Enrichment!$A$2:$GZ$2000,0,MATCH("row_id",Enrichment!$A$1:$GZ$1,0)),0),MATCH("work_email",Enrichment!$A$1:$GZ$1,0))&amp;"",""))</f>
        <v/>
      </c>
      <c r="BD136" s="0" t="str">
        <f aca="false">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none</v>
      </c>
      <c r="BF136" s="0" t="s">
        <v>380</v>
      </c>
      <c r="BJ136" s="0" t="s">
        <v>380</v>
      </c>
      <c r="BL136" s="0" t="s">
        <v>896</v>
      </c>
      <c r="BQ136" s="0" t="str">
        <f aca="false">IF($A136="","",IFERROR(INDEX(Enrichment!$A$2:$GZ$2000,MATCH($A136,INDEX(Enrichment!$A$2:$GZ$2000,0,MATCH("row_id",Enrichment!$A$1:$GZ$1,0)),0),MATCH("backup_work_email",Enrichment!$A$1:$GZ$1,0))&amp;"",""))</f>
        <v/>
      </c>
      <c r="BR136" s="0" t="str">
        <f aca="false">IF($A136="","",IF(BQ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none</v>
      </c>
      <c r="BT136" s="0" t="s">
        <v>380</v>
      </c>
      <c r="BX136" s="0" t="s">
        <v>380</v>
      </c>
      <c r="BY136" s="0" t="s">
        <v>387</v>
      </c>
      <c r="BZ136" s="0" t="s">
        <v>388</v>
      </c>
      <c r="CA136" s="0" t="s">
        <v>3120</v>
      </c>
      <c r="CB136" s="0" t="s">
        <v>196</v>
      </c>
      <c r="CM136" s="0" t="s">
        <v>189</v>
      </c>
      <c r="CN136" s="0" t="s">
        <v>200</v>
      </c>
      <c r="CO136" s="0" t="s">
        <v>201</v>
      </c>
      <c r="CP136" s="0" t="s">
        <v>3121</v>
      </c>
      <c r="CQ136" s="0" t="s">
        <v>3411</v>
      </c>
      <c r="CR136" s="0" t="s">
        <v>209</v>
      </c>
      <c r="CS136" s="0" t="s">
        <v>3118</v>
      </c>
      <c r="CT136" s="0" t="s">
        <v>209</v>
      </c>
      <c r="CV136" s="0" t="s">
        <v>209</v>
      </c>
      <c r="CW136" s="0" t="s">
        <v>209</v>
      </c>
      <c r="DA136" s="0" t="s">
        <v>209</v>
      </c>
      <c r="DB136" s="0" t="s">
        <v>3123</v>
      </c>
      <c r="DC136" s="0" t="s">
        <v>209</v>
      </c>
      <c r="DD136" s="0" t="s">
        <v>3412</v>
      </c>
      <c r="DF136" s="0" t="s">
        <v>210</v>
      </c>
      <c r="DG136" s="0" t="n">
        <v>40.739015</v>
      </c>
      <c r="DH136" s="0" t="n">
        <v>-73.989998</v>
      </c>
      <c r="DI136" s="0" t="s">
        <v>164</v>
      </c>
      <c r="DJ136" s="0" t="n">
        <v>0</v>
      </c>
      <c r="DK136" s="0" t="s">
        <v>3413</v>
      </c>
      <c r="DL136" s="0" t="s">
        <v>3414</v>
      </c>
      <c r="DM136" s="0" t="s">
        <v>3415</v>
      </c>
      <c r="DN136" s="0" t="s">
        <v>3416</v>
      </c>
      <c r="DO136" s="0" t="s">
        <v>363</v>
      </c>
      <c r="DP136" s="0" t="s">
        <v>3417</v>
      </c>
      <c r="DS136" s="0" t="s">
        <v>217</v>
      </c>
      <c r="DU136" s="0" t="s">
        <v>189</v>
      </c>
      <c r="DV136" s="0" t="s">
        <v>3411</v>
      </c>
      <c r="DW136" s="0" t="s">
        <v>3130</v>
      </c>
      <c r="DX136" s="0" t="s">
        <v>209</v>
      </c>
      <c r="EA136" s="0" t="s">
        <v>209</v>
      </c>
      <c r="EB136" s="0" t="s">
        <v>189</v>
      </c>
      <c r="EC136" s="0" t="s">
        <v>209</v>
      </c>
      <c r="EF136" s="0" t="s">
        <v>209</v>
      </c>
      <c r="EH136" s="0" t="s">
        <v>189</v>
      </c>
      <c r="EI136" s="0" t="s">
        <v>3131</v>
      </c>
      <c r="EJ136" s="0" t="s">
        <v>221</v>
      </c>
      <c r="EK136" s="0" t="s">
        <v>209</v>
      </c>
      <c r="EL136" s="0" t="n">
        <v>36</v>
      </c>
      <c r="EM136" s="0" t="n">
        <v>7</v>
      </c>
      <c r="EN136" s="0" t="n">
        <v>8</v>
      </c>
      <c r="EO136" s="0" t="n">
        <v>6</v>
      </c>
      <c r="EP136" s="0" t="n">
        <v>15</v>
      </c>
      <c r="EQ136" s="0" t="n">
        <f aca="false">IF($A136="","",IF(AH136="exact",10,IF(AH136="adjacent",5,0)))</f>
        <v>0</v>
      </c>
      <c r="ER136" s="0" t="n">
        <f aca="false">IF($A136="","",IF(R136="Y",15,0))</f>
        <v>0</v>
      </c>
      <c r="ES136" s="0" t="s">
        <v>3121</v>
      </c>
      <c r="EX136" s="0" t="s">
        <v>3418</v>
      </c>
      <c r="FA136" s="0" t="s">
        <v>3419</v>
      </c>
      <c r="FS136" s="0" t="str">
        <f aca="false">IF($A136="","",IF(ISNUMBER(MATCH(U136,{"queued","contacted","replied","call_booked","call_done","yes_in_principle","materials_sent"},0)),"Y","N"))</f>
        <v>N</v>
      </c>
      <c r="FT136" s="0" t="str">
        <f aca="false">IF($A136="","",IF(OR(T136="Y",U136="do_not_contact",AS136&amp;""&lt;&gt;""),"Y","N"))</f>
        <v>N</v>
      </c>
      <c r="FU136" s="0" t="str">
        <f aca="false">IF($A136="","",IF(AP136&amp;""&lt;&gt;"",AP136&amp;"",$A136))</f>
        <v>grp-W006-W017</v>
      </c>
      <c r="FV136" s="0" t="str">
        <f aca="false">IF($A136="","",IF(COUNTIFS($FU$2:$FU$1000,FU136,$FS$2:$FS$1000,"Y")+COUNTIFS($FU$2:$FU$1000,FU136,$FT$2:$FT$1000,"Y")&gt;0,"Y","N"))</f>
        <v>N</v>
      </c>
      <c r="FW136" s="0" t="str">
        <f aca="false">IF($A136="","",IF(AND(U136="new",T136="N",FT136="N",AT136="Y",FV136="N"),"Y","N"))</f>
        <v>N</v>
      </c>
      <c r="FX136" s="0" t="str">
        <f aca="false">IF($A136="","",IF(FW136&lt;&gt;"Y","N",IF(COUNTIFS($FU$2:$FU$1000,FU136,$FW$2:$FW$1000,"Y",$J$2:$J$1000,"&gt;"&amp;J136)+COUNTIFS($FU$2:$FU$1000,FU136,$FW$2:$FW$1000,"Y",$J$2:$J$1000,J136,$GD$2:$GD$1000,"&lt;"&amp;GD136)=0,"Y","N")))</f>
        <v>N</v>
      </c>
      <c r="FY136" s="0" t="str">
        <f aca="false">IF($A136="","",IF(AND(FW136="Y",FX136="Y",Y136&amp;""&lt;&gt;""),IF(Y136&lt;=10,"Y","N"),"N"))</f>
        <v>N</v>
      </c>
      <c r="FZ136" s="0" t="str">
        <f aca="false">IF(FY136="Y",Y136,"")</f>
        <v/>
      </c>
      <c r="GA136" s="0" t="str">
        <f aca="false">IF($A136="","",IF(AND(I136="walk-in",CN136="pass",U136="new",FT136="N",FV136="N",AQ136&lt;&gt;"Y"),"Y","N"))</f>
        <v>N</v>
      </c>
      <c r="GB136" s="0" t="str">
        <f aca="false">IF(GA136&lt;&gt;"Y","",IF(COUNTIFS($GA$2:$GA$1000,"Y",$J$2:$J$1000,"&gt;"&amp;J136)+COUNTIFS($GA$2:$GA$1000,"Y",$J$2:$J$1000,J136,$GD$2:$GD$1000,"&lt;"&amp;GD136)+1&lt;=25,COUNTIFS($GA$2:$GA$1000,"Y",$J$2:$J$1000,"&gt;"&amp;J136)+COUNTIFS($GA$2:$GA$1000,"Y",$J$2:$J$1000,J136,$GD$2:$GD$1000,"&lt;"&amp;GD136)+1,""))</f>
        <v/>
      </c>
      <c r="GC136" s="0" t="str">
        <f aca="false">IF(AND(_xlfn.ISFORMULA(C136),_xlfn.ISFORMULA(J136)),"Y","N")</f>
        <v>N</v>
      </c>
      <c r="GD136" s="0" t="n">
        <f aca="false">ROW()-1</f>
        <v>135</v>
      </c>
    </row>
    <row r="137" customFormat="false" ht="15" hidden="false" customHeight="false" outlineLevel="0" collapsed="false">
      <c r="A137" s="0" t="s">
        <v>3420</v>
      </c>
      <c r="B137" s="0" t="s">
        <v>3421</v>
      </c>
      <c r="C137" s="0" t="s">
        <v>209</v>
      </c>
      <c r="E137" s="0" t="s">
        <v>3422</v>
      </c>
      <c r="F137" s="0" t="s">
        <v>3086</v>
      </c>
      <c r="G137" s="0" t="s">
        <v>189</v>
      </c>
      <c r="M137" s="0" t="s">
        <v>380</v>
      </c>
      <c r="R137" s="5"/>
      <c r="U137" s="5"/>
      <c r="V137" s="0" t="s">
        <v>380</v>
      </c>
      <c r="AE137" s="0" t="s">
        <v>3423</v>
      </c>
      <c r="AF137" s="0" t="s">
        <v>3409</v>
      </c>
      <c r="AG137" s="0" t="s">
        <v>3118</v>
      </c>
      <c r="AH137" s="0" t="s">
        <v>209</v>
      </c>
      <c r="AJ137" s="0" t="s">
        <v>189</v>
      </c>
      <c r="AK137" s="0" t="s">
        <v>209</v>
      </c>
      <c r="AL137" s="0" t="s">
        <v>189</v>
      </c>
      <c r="AM137" s="0" t="s">
        <v>209</v>
      </c>
      <c r="AN137" s="0" t="s">
        <v>380</v>
      </c>
      <c r="AO137" s="0" t="s">
        <v>209</v>
      </c>
      <c r="AP137" s="0" t="s">
        <v>3410</v>
      </c>
      <c r="AQ137" s="5" t="s">
        <v>189</v>
      </c>
      <c r="AT137" s="0" t="str">
        <f aca="false">IF($A137="","",IF(AND(CN137="pass",AQ137&lt;&gt;"Y",C137&lt;&gt;"",OR(AX137&lt;&gt;"Y",AV137="Y")),"Y","N"))</f>
        <v>Y</v>
      </c>
      <c r="AU137" s="0" t="str">
        <f aca="false">IF($A137="","",_xlfn.TEXTJOIN("; ",TRUE(),IF(CN137&lt;&gt;"pass","gated out",""),IF(AQ137="Y","on hold: "&amp;AR137,""),IF(C137="","no contact named on an opened page",""),IF(AND(AX137="Y",AV137&lt;&gt;"Y"),"Tuesday estimate band "&amp;L137&amp;": founder's call","")))</f>
        <v/>
      </c>
      <c r="AX137" s="0" t="s">
        <v>189</v>
      </c>
      <c r="BC137" s="0" t="str">
        <f aca="false">IF($A137="","",IFERROR(INDEX(Enrichment!$A$2:$GZ$2000,MATCH($A137,INDEX(Enrichment!$A$2:$GZ$2000,0,MATCH("row_id",Enrichment!$A$1:$GZ$1,0)),0),MATCH("work_email",Enrichment!$A$1:$GZ$1,0))&amp;"",""))</f>
        <v/>
      </c>
      <c r="BD137" s="0" t="str">
        <f aca="false">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none</v>
      </c>
      <c r="BF137" s="0" t="s">
        <v>380</v>
      </c>
      <c r="BJ137" s="0" t="s">
        <v>380</v>
      </c>
      <c r="BL137" s="0" t="s">
        <v>896</v>
      </c>
      <c r="BQ137" s="0" t="str">
        <f aca="false">IF($A137="","",IFERROR(INDEX(Enrichment!$A$2:$GZ$2000,MATCH($A137,INDEX(Enrichment!$A$2:$GZ$2000,0,MATCH("row_id",Enrichment!$A$1:$GZ$1,0)),0),MATCH("backup_work_email",Enrichment!$A$1:$GZ$1,0))&amp;"",""))</f>
        <v/>
      </c>
      <c r="BR137" s="0" t="str">
        <f aca="false">IF($A137="","",IF(BQ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none</v>
      </c>
      <c r="BT137" s="0" t="s">
        <v>380</v>
      </c>
      <c r="BX137" s="0" t="s">
        <v>380</v>
      </c>
      <c r="BY137" s="0" t="s">
        <v>387</v>
      </c>
      <c r="BZ137" s="0" t="s">
        <v>388</v>
      </c>
      <c r="CA137" s="0" t="s">
        <v>3120</v>
      </c>
      <c r="CB137" s="0" t="s">
        <v>196</v>
      </c>
      <c r="CM137" s="0" t="s">
        <v>189</v>
      </c>
      <c r="CN137" s="0" t="s">
        <v>200</v>
      </c>
      <c r="CO137" s="0" t="s">
        <v>201</v>
      </c>
      <c r="CP137" s="0" t="s">
        <v>3121</v>
      </c>
      <c r="CQ137" s="0" t="s">
        <v>3424</v>
      </c>
      <c r="CR137" s="0" t="s">
        <v>209</v>
      </c>
      <c r="CS137" s="0" t="s">
        <v>3118</v>
      </c>
      <c r="CT137" s="0" t="s">
        <v>209</v>
      </c>
      <c r="CV137" s="0" t="s">
        <v>209</v>
      </c>
      <c r="CW137" s="0" t="s">
        <v>209</v>
      </c>
      <c r="DA137" s="0" t="s">
        <v>209</v>
      </c>
      <c r="DB137" s="0" t="s">
        <v>3123</v>
      </c>
      <c r="DC137" s="0" t="s">
        <v>209</v>
      </c>
      <c r="DD137" s="0" t="s">
        <v>3412</v>
      </c>
      <c r="DF137" s="0" t="s">
        <v>311</v>
      </c>
      <c r="DG137" s="0" t="n">
        <v>40.742833</v>
      </c>
      <c r="DH137" s="0" t="n">
        <v>-73.984174</v>
      </c>
      <c r="DI137" s="0" t="s">
        <v>164</v>
      </c>
      <c r="DJ137" s="0" t="n">
        <v>0</v>
      </c>
      <c r="DK137" s="0" t="s">
        <v>359</v>
      </c>
      <c r="DL137" s="0" t="s">
        <v>360</v>
      </c>
      <c r="DM137" s="0" t="s">
        <v>3417</v>
      </c>
      <c r="DN137" s="0" t="s">
        <v>3425</v>
      </c>
      <c r="DO137" s="0" t="s">
        <v>363</v>
      </c>
      <c r="DP137" s="0" t="s">
        <v>3426</v>
      </c>
      <c r="DS137" s="0" t="s">
        <v>217</v>
      </c>
      <c r="DU137" s="0" t="s">
        <v>189</v>
      </c>
      <c r="DV137" s="0" t="s">
        <v>3424</v>
      </c>
      <c r="DW137" s="0" t="s">
        <v>3130</v>
      </c>
      <c r="DX137" s="0" t="s">
        <v>209</v>
      </c>
      <c r="EA137" s="0" t="s">
        <v>209</v>
      </c>
      <c r="EB137" s="0" t="s">
        <v>189</v>
      </c>
      <c r="EC137" s="0" t="s">
        <v>209</v>
      </c>
      <c r="EF137" s="0" t="s">
        <v>209</v>
      </c>
      <c r="EH137" s="0" t="s">
        <v>189</v>
      </c>
      <c r="EI137" s="0" t="s">
        <v>3131</v>
      </c>
      <c r="EJ137" s="0" t="s">
        <v>221</v>
      </c>
      <c r="EK137" s="0" t="s">
        <v>209</v>
      </c>
      <c r="EL137" s="0" t="n">
        <v>36</v>
      </c>
      <c r="EM137" s="0" t="n">
        <v>7</v>
      </c>
      <c r="EN137" s="0" t="n">
        <v>8</v>
      </c>
      <c r="EO137" s="0" t="n">
        <v>6</v>
      </c>
      <c r="EP137" s="0" t="n">
        <v>15</v>
      </c>
      <c r="EQ137" s="0" t="n">
        <f aca="false">IF($A137="","",IF(AH137="exact",10,IF(AH137="adjacent",5,0)))</f>
        <v>0</v>
      </c>
      <c r="ER137" s="0" t="n">
        <f aca="false">IF($A137="","",IF(R137="Y",15,0))</f>
        <v>0</v>
      </c>
      <c r="ES137" s="0" t="s">
        <v>3121</v>
      </c>
      <c r="EX137" s="0" t="s">
        <v>3427</v>
      </c>
      <c r="FA137" s="0" t="s">
        <v>3428</v>
      </c>
      <c r="FS137" s="0" t="str">
        <f aca="false">IF($A137="","",IF(ISNUMBER(MATCH(U137,{"queued","contacted","replied","call_booked","call_done","yes_in_principle","materials_sent"},0)),"Y","N"))</f>
        <v>N</v>
      </c>
      <c r="FT137" s="0" t="str">
        <f aca="false">IF($A137="","",IF(OR(T137="Y",U137="do_not_contact",AS137&amp;""&lt;&gt;""),"Y","N"))</f>
        <v>N</v>
      </c>
      <c r="FU137" s="0" t="str">
        <f aca="false">IF($A137="","",IF(AP137&amp;""&lt;&gt;"",AP137&amp;"",$A137))</f>
        <v>grp-W006-W017</v>
      </c>
      <c r="FV137" s="0" t="str">
        <f aca="false">IF($A137="","",IF(COUNTIFS($FU$2:$FU$1000,FU137,$FS$2:$FS$1000,"Y")+COUNTIFS($FU$2:$FU$1000,FU137,$FT$2:$FT$1000,"Y")&gt;0,"Y","N"))</f>
        <v>N</v>
      </c>
      <c r="FW137" s="0" t="str">
        <f aca="false">IF($A137="","",IF(AND(U137="new",T137="N",FT137="N",AT137="Y",FV137="N"),"Y","N"))</f>
        <v>N</v>
      </c>
      <c r="FX137" s="0" t="str">
        <f aca="false">IF($A137="","",IF(FW137&lt;&gt;"Y","N",IF(COUNTIFS($FU$2:$FU$1000,FU137,$FW$2:$FW$1000,"Y",$J$2:$J$1000,"&gt;"&amp;J137)+COUNTIFS($FU$2:$FU$1000,FU137,$FW$2:$FW$1000,"Y",$J$2:$J$1000,J137,$GD$2:$GD$1000,"&lt;"&amp;GD137)=0,"Y","N")))</f>
        <v>N</v>
      </c>
      <c r="FY137" s="0" t="str">
        <f aca="false">IF($A137="","",IF(AND(FW137="Y",FX137="Y",Y137&amp;""&lt;&gt;""),IF(Y137&lt;=10,"Y","N"),"N"))</f>
        <v>N</v>
      </c>
      <c r="FZ137" s="0" t="str">
        <f aca="false">IF(FY137="Y",Y137,"")</f>
        <v/>
      </c>
      <c r="GA137" s="0" t="str">
        <f aca="false">IF($A137="","",IF(AND(I137="walk-in",CN137="pass",U137="new",FT137="N",FV137="N",AQ137&lt;&gt;"Y"),"Y","N"))</f>
        <v>N</v>
      </c>
      <c r="GB137" s="0" t="str">
        <f aca="false">IF(GA137&lt;&gt;"Y","",IF(COUNTIFS($GA$2:$GA$1000,"Y",$J$2:$J$1000,"&gt;"&amp;J137)+COUNTIFS($GA$2:$GA$1000,"Y",$J$2:$J$1000,J137,$GD$2:$GD$1000,"&lt;"&amp;GD137)+1&lt;=25,COUNTIFS($GA$2:$GA$1000,"Y",$J$2:$J$1000,"&gt;"&amp;J137)+COUNTIFS($GA$2:$GA$1000,"Y",$J$2:$J$1000,J137,$GD$2:$GD$1000,"&lt;"&amp;GD137)+1,""))</f>
        <v/>
      </c>
      <c r="GC137" s="0" t="str">
        <f aca="false">IF(AND(_xlfn.ISFORMULA(C137),_xlfn.ISFORMULA(J137)),"Y","N")</f>
        <v>N</v>
      </c>
      <c r="GD137" s="0" t="n">
        <f aca="false">ROW()-1</f>
        <v>136</v>
      </c>
    </row>
    <row r="138" customFormat="false" ht="15" hidden="false" customHeight="false" outlineLevel="0" collapsed="false">
      <c r="A138" s="0" t="s">
        <v>3429</v>
      </c>
      <c r="B138" s="0" t="s">
        <v>3430</v>
      </c>
      <c r="C138" s="0" t="s">
        <v>3431</v>
      </c>
      <c r="D138" s="0" t="s">
        <v>3432</v>
      </c>
      <c r="E138" s="0" t="s">
        <v>3433</v>
      </c>
      <c r="F138" s="0" t="s">
        <v>3086</v>
      </c>
      <c r="G138" s="0" t="s">
        <v>189</v>
      </c>
      <c r="M138" s="0" t="s">
        <v>380</v>
      </c>
      <c r="R138" s="5"/>
      <c r="U138" s="5"/>
      <c r="V138" s="0" t="s">
        <v>380</v>
      </c>
      <c r="AE138" s="0" t="s">
        <v>1436</v>
      </c>
      <c r="AF138" s="0" t="s">
        <v>833</v>
      </c>
      <c r="AG138" s="0" t="s">
        <v>3434</v>
      </c>
      <c r="AH138" s="0" t="s">
        <v>209</v>
      </c>
      <c r="AI138" s="0" t="s">
        <v>3435</v>
      </c>
      <c r="AJ138" s="0" t="s">
        <v>189</v>
      </c>
      <c r="AK138" s="0" t="s">
        <v>209</v>
      </c>
      <c r="AL138" s="0" t="s">
        <v>189</v>
      </c>
      <c r="AM138" s="0" t="s">
        <v>209</v>
      </c>
      <c r="AN138" s="0" t="s">
        <v>380</v>
      </c>
      <c r="AO138" s="0" t="s">
        <v>209</v>
      </c>
      <c r="AP138" s="0" t="s">
        <v>3429</v>
      </c>
      <c r="AQ138" s="5" t="s">
        <v>189</v>
      </c>
      <c r="AT138" s="0" t="str">
        <f aca="false">IF($A138="","",IF(AND(CN138="pass",AQ138&lt;&gt;"Y",C138&lt;&gt;"",OR(AX138&lt;&gt;"Y",AV138="Y")),"Y","N"))</f>
        <v>Y</v>
      </c>
      <c r="AU138" s="0" t="str">
        <f aca="false">IF($A138="","",_xlfn.TEXTJOIN("; ",TRUE(),IF(CN138&lt;&gt;"pass","gated out",""),IF(AQ138="Y","on hold: "&amp;AR138,""),IF(C138="","no contact named on an opened page",""),IF(AND(AX138="Y",AV138&lt;&gt;"Y"),"Tuesday estimate band "&amp;L138&amp;": founder's call","")))</f>
        <v/>
      </c>
      <c r="AX138" s="0" t="s">
        <v>189</v>
      </c>
      <c r="BC138" s="0" t="str">
        <f aca="false">IF($A138="","",IFERROR(INDEX(Enrichment!$A$2:$GZ$2000,MATCH($A138,INDEX(Enrichment!$A$2:$GZ$2000,0,MATCH("row_id",Enrichment!$A$1:$GZ$1,0)),0),MATCH("work_email",Enrichment!$A$1:$GZ$1,0))&amp;"",""))</f>
        <v/>
      </c>
      <c r="BD138" s="0" t="str">
        <f aca="false">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none</v>
      </c>
      <c r="BF138" s="0" t="s">
        <v>380</v>
      </c>
      <c r="BJ138" s="0" t="s">
        <v>380</v>
      </c>
      <c r="BL138" s="0" t="s">
        <v>896</v>
      </c>
      <c r="BQ138" s="0" t="str">
        <f aca="false">IF($A138="","",IFERROR(INDEX(Enrichment!$A$2:$GZ$2000,MATCH($A138,INDEX(Enrichment!$A$2:$GZ$2000,0,MATCH("row_id",Enrichment!$A$1:$GZ$1,0)),0),MATCH("backup_work_email",Enrichment!$A$1:$GZ$1,0))&amp;"",""))</f>
        <v/>
      </c>
      <c r="BR138" s="0" t="str">
        <f aca="false">IF($A138="","",IF(BQ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none</v>
      </c>
      <c r="BT138" s="0" t="s">
        <v>380</v>
      </c>
      <c r="BX138" s="0" t="s">
        <v>380</v>
      </c>
      <c r="BY138" s="0" t="s">
        <v>387</v>
      </c>
      <c r="BZ138" s="0" t="s">
        <v>388</v>
      </c>
      <c r="CA138" s="0" t="s">
        <v>2707</v>
      </c>
      <c r="CB138" s="0" t="s">
        <v>196</v>
      </c>
      <c r="CM138" s="0" t="s">
        <v>189</v>
      </c>
      <c r="CN138" s="0" t="s">
        <v>200</v>
      </c>
      <c r="CO138" s="0" t="s">
        <v>201</v>
      </c>
      <c r="CP138" s="0" t="s">
        <v>1</v>
      </c>
      <c r="CQ138" s="0" t="s">
        <v>3436</v>
      </c>
      <c r="CR138" s="0" t="s">
        <v>3431</v>
      </c>
      <c r="CS138" s="0" t="s">
        <v>3434</v>
      </c>
      <c r="CT138" s="0" t="s">
        <v>209</v>
      </c>
      <c r="CV138" s="0" t="s">
        <v>209</v>
      </c>
      <c r="CW138" s="0" t="s">
        <v>209</v>
      </c>
      <c r="CX138" s="0" t="s">
        <v>2712</v>
      </c>
      <c r="DA138" s="0" t="s">
        <v>209</v>
      </c>
      <c r="DB138" s="0" t="s">
        <v>209</v>
      </c>
      <c r="DC138" s="0" t="s">
        <v>209</v>
      </c>
      <c r="DD138" s="0" t="s">
        <v>209</v>
      </c>
      <c r="DE138" s="0" t="s">
        <v>3435</v>
      </c>
      <c r="DF138" s="0" t="s">
        <v>210</v>
      </c>
      <c r="DG138" s="0" t="n">
        <v>40.734626</v>
      </c>
      <c r="DH138" s="0" t="n">
        <v>-73.9911</v>
      </c>
      <c r="DI138" s="0" t="s">
        <v>164</v>
      </c>
      <c r="DJ138" s="0" t="n">
        <v>0</v>
      </c>
      <c r="DK138" s="0" t="s">
        <v>1542</v>
      </c>
      <c r="DL138" s="0" t="s">
        <v>1543</v>
      </c>
      <c r="DM138" s="0" t="s">
        <v>3437</v>
      </c>
      <c r="DN138" s="0" t="s">
        <v>263</v>
      </c>
      <c r="DO138" s="0" t="s">
        <v>214</v>
      </c>
      <c r="DP138" s="0" t="s">
        <v>3438</v>
      </c>
      <c r="DQ138" s="0" t="s">
        <v>3439</v>
      </c>
      <c r="DS138" s="0" t="s">
        <v>217</v>
      </c>
      <c r="DU138" s="0" t="s">
        <v>189</v>
      </c>
      <c r="DX138" s="0" t="s">
        <v>267</v>
      </c>
      <c r="DY138" s="0" t="s">
        <v>1548</v>
      </c>
      <c r="EA138" s="0" t="s">
        <v>209</v>
      </c>
      <c r="EB138" s="0" t="s">
        <v>189</v>
      </c>
      <c r="EC138" s="0" t="s">
        <v>209</v>
      </c>
      <c r="EF138" s="0" t="s">
        <v>209</v>
      </c>
      <c r="EH138" s="0" t="s">
        <v>189</v>
      </c>
      <c r="EI138" s="0" t="s">
        <v>2716</v>
      </c>
      <c r="EJ138" s="0" t="s">
        <v>221</v>
      </c>
      <c r="EK138" s="0" t="s">
        <v>209</v>
      </c>
      <c r="EL138" s="0" t="n">
        <v>36</v>
      </c>
      <c r="EM138" s="0" t="n">
        <v>7</v>
      </c>
      <c r="EN138" s="0" t="n">
        <v>8</v>
      </c>
      <c r="EO138" s="0" t="n">
        <v>6</v>
      </c>
      <c r="EP138" s="0" t="n">
        <v>15</v>
      </c>
      <c r="EQ138" s="0" t="n">
        <f aca="false">IF($A138="","",IF(AH138="exact",10,IF(AH138="adjacent",5,0)))</f>
        <v>0</v>
      </c>
      <c r="ER138" s="0" t="n">
        <f aca="false">IF($A138="","",IF(R138="Y",15,0))</f>
        <v>0</v>
      </c>
      <c r="ES138" s="0" t="s">
        <v>222</v>
      </c>
      <c r="EV138" s="0" t="s">
        <v>3440</v>
      </c>
      <c r="EW138" s="0" t="s">
        <v>224</v>
      </c>
      <c r="EX138" s="0" t="s">
        <v>3441</v>
      </c>
      <c r="EZ138" s="0" t="s">
        <v>3442</v>
      </c>
      <c r="FS138" s="0" t="str">
        <f aca="false">IF($A138="","",IF(ISNUMBER(MATCH(U138,{"queued","contacted","replied","call_booked","call_done","yes_in_principle","materials_sent"},0)),"Y","N"))</f>
        <v>N</v>
      </c>
      <c r="FT138" s="0" t="str">
        <f aca="false">IF($A138="","",IF(OR(T138="Y",U138="do_not_contact",AS138&amp;""&lt;&gt;""),"Y","N"))</f>
        <v>N</v>
      </c>
      <c r="FU138" s="0" t="str">
        <f aca="false">IF($A138="","",IF(AP138&amp;""&lt;&gt;"",AP138&amp;"",$A138))</f>
        <v>AO-C-008</v>
      </c>
      <c r="FV138" s="0" t="str">
        <f aca="false">IF($A138="","",IF(COUNTIFS($FU$2:$FU$1000,FU138,$FS$2:$FS$1000,"Y")+COUNTIFS($FU$2:$FU$1000,FU138,$FT$2:$FT$1000,"Y")&gt;0,"Y","N"))</f>
        <v>N</v>
      </c>
      <c r="FW138" s="0" t="str">
        <f aca="false">IF($A138="","",IF(AND(U138="new",T138="N",FT138="N",AT138="Y",FV138="N"),"Y","N"))</f>
        <v>N</v>
      </c>
      <c r="FX138" s="0" t="str">
        <f aca="false">IF($A138="","",IF(FW138&lt;&gt;"Y","N",IF(COUNTIFS($FU$2:$FU$1000,FU138,$FW$2:$FW$1000,"Y",$J$2:$J$1000,"&gt;"&amp;J138)+COUNTIFS($FU$2:$FU$1000,FU138,$FW$2:$FW$1000,"Y",$J$2:$J$1000,J138,$GD$2:$GD$1000,"&lt;"&amp;GD138)=0,"Y","N")))</f>
        <v>N</v>
      </c>
      <c r="FY138" s="0" t="str">
        <f aca="false">IF($A138="","",IF(AND(FW138="Y",FX138="Y",Y138&amp;""&lt;&gt;""),IF(Y138&lt;=10,"Y","N"),"N"))</f>
        <v>N</v>
      </c>
      <c r="FZ138" s="0" t="str">
        <f aca="false">IF(FY138="Y",Y138,"")</f>
        <v/>
      </c>
      <c r="GA138" s="0" t="str">
        <f aca="false">IF($A138="","",IF(AND(I138="walk-in",CN138="pass",U138="new",FT138="N",FV138="N",AQ138&lt;&gt;"Y"),"Y","N"))</f>
        <v>N</v>
      </c>
      <c r="GB138" s="0" t="str">
        <f aca="false">IF(GA138&lt;&gt;"Y","",IF(COUNTIFS($GA$2:$GA$1000,"Y",$J$2:$J$1000,"&gt;"&amp;J138)+COUNTIFS($GA$2:$GA$1000,"Y",$J$2:$J$1000,J138,$GD$2:$GD$1000,"&lt;"&amp;GD138)+1&lt;=25,COUNTIFS($GA$2:$GA$1000,"Y",$J$2:$J$1000,"&gt;"&amp;J138)+COUNTIFS($GA$2:$GA$1000,"Y",$J$2:$J$1000,J138,$GD$2:$GD$1000,"&lt;"&amp;GD138)+1,""))</f>
        <v/>
      </c>
      <c r="GC138" s="0" t="str">
        <f aca="false">IF(AND(_xlfn.ISFORMULA(C138),_xlfn.ISFORMULA(J138)),"Y","N")</f>
        <v>N</v>
      </c>
      <c r="GD138" s="0" t="n">
        <f aca="false">ROW()-1</f>
        <v>137</v>
      </c>
    </row>
    <row r="139" customFormat="false" ht="15" hidden="false" customHeight="false" outlineLevel="0" collapsed="false">
      <c r="A139" s="0" t="s">
        <v>3443</v>
      </c>
      <c r="B139" s="0" t="s">
        <v>3444</v>
      </c>
      <c r="C139" s="0" t="s">
        <v>3445</v>
      </c>
      <c r="D139" s="0" t="s">
        <v>3446</v>
      </c>
      <c r="E139" s="0" t="s">
        <v>3447</v>
      </c>
      <c r="F139" s="0" t="s">
        <v>3086</v>
      </c>
      <c r="G139" s="0" t="s">
        <v>189</v>
      </c>
      <c r="M139" s="0" t="s">
        <v>380</v>
      </c>
      <c r="R139" s="5"/>
      <c r="U139" s="5"/>
      <c r="V139" s="0" t="s">
        <v>380</v>
      </c>
      <c r="AE139" s="0" t="s">
        <v>1985</v>
      </c>
      <c r="AF139" s="0" t="s">
        <v>182</v>
      </c>
      <c r="AG139" s="0" t="s">
        <v>3448</v>
      </c>
      <c r="AH139" s="0" t="s">
        <v>209</v>
      </c>
      <c r="AI139" s="0" t="s">
        <v>3449</v>
      </c>
      <c r="AJ139" s="0" t="s">
        <v>189</v>
      </c>
      <c r="AK139" s="0" t="s">
        <v>209</v>
      </c>
      <c r="AL139" s="0" t="s">
        <v>189</v>
      </c>
      <c r="AM139" s="0" t="s">
        <v>209</v>
      </c>
      <c r="AN139" s="0" t="s">
        <v>380</v>
      </c>
      <c r="AO139" s="0" t="s">
        <v>209</v>
      </c>
      <c r="AP139" s="0" t="s">
        <v>3443</v>
      </c>
      <c r="AQ139" s="5" t="s">
        <v>189</v>
      </c>
      <c r="AT139" s="0" t="str">
        <f aca="false">IF($A139="","",IF(AND(CN139="pass",AQ139&lt;&gt;"Y",C139&lt;&gt;"",OR(AX139&lt;&gt;"Y",AV139="Y")),"Y","N"))</f>
        <v>Y</v>
      </c>
      <c r="AU139" s="0" t="str">
        <f aca="false">IF($A139="","",_xlfn.TEXTJOIN("; ",TRUE(),IF(CN139&lt;&gt;"pass","gated out",""),IF(AQ139="Y","on hold: "&amp;AR139,""),IF(C139="","no contact named on an opened page",""),IF(AND(AX139="Y",AV139&lt;&gt;"Y"),"Tuesday estimate band "&amp;L139&amp;": founder's call","")))</f>
        <v/>
      </c>
      <c r="AX139" s="0" t="s">
        <v>189</v>
      </c>
      <c r="BC139" s="0" t="str">
        <f aca="false">IF($A139="","",IFERROR(INDEX(Enrichment!$A$2:$GZ$2000,MATCH($A139,INDEX(Enrichment!$A$2:$GZ$2000,0,MATCH("row_id",Enrichment!$A$1:$GZ$1,0)),0),MATCH("work_email",Enrichment!$A$1:$GZ$1,0))&amp;"",""))</f>
        <v/>
      </c>
      <c r="BD139" s="0" t="str">
        <f aca="false">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none</v>
      </c>
      <c r="BF139" s="0" t="s">
        <v>380</v>
      </c>
      <c r="BJ139" s="0" t="s">
        <v>380</v>
      </c>
      <c r="BL139" s="0" t="s">
        <v>896</v>
      </c>
      <c r="BQ139" s="0" t="str">
        <f aca="false">IF($A139="","",IFERROR(INDEX(Enrichment!$A$2:$GZ$2000,MATCH($A139,INDEX(Enrichment!$A$2:$GZ$2000,0,MATCH("row_id",Enrichment!$A$1:$GZ$1,0)),0),MATCH("backup_work_email",Enrichment!$A$1:$GZ$1,0))&amp;"",""))</f>
        <v/>
      </c>
      <c r="BR139" s="0" t="str">
        <f aca="false">IF($A139="","",IF(BQ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none</v>
      </c>
      <c r="BT139" s="0" t="s">
        <v>380</v>
      </c>
      <c r="BX139" s="0" t="s">
        <v>380</v>
      </c>
      <c r="BY139" s="0" t="s">
        <v>387</v>
      </c>
      <c r="BZ139" s="0" t="s">
        <v>388</v>
      </c>
      <c r="CA139" s="0" t="s">
        <v>2707</v>
      </c>
      <c r="CB139" s="0" t="s">
        <v>196</v>
      </c>
      <c r="CM139" s="0" t="s">
        <v>189</v>
      </c>
      <c r="CN139" s="0" t="s">
        <v>200</v>
      </c>
      <c r="CO139" s="0" t="s">
        <v>201</v>
      </c>
      <c r="CP139" s="0" t="s">
        <v>1</v>
      </c>
      <c r="CQ139" s="0" t="s">
        <v>3450</v>
      </c>
      <c r="CR139" s="0" t="s">
        <v>3445</v>
      </c>
      <c r="CS139" s="0" t="s">
        <v>3448</v>
      </c>
      <c r="CT139" s="0" t="s">
        <v>209</v>
      </c>
      <c r="CV139" s="0" t="s">
        <v>209</v>
      </c>
      <c r="CW139" s="0" t="s">
        <v>209</v>
      </c>
      <c r="CX139" s="0" t="s">
        <v>2712</v>
      </c>
      <c r="DA139" s="0" t="s">
        <v>209</v>
      </c>
      <c r="DB139" s="0" t="s">
        <v>259</v>
      </c>
      <c r="DC139" s="0" t="s">
        <v>164</v>
      </c>
      <c r="DD139" s="0" t="s">
        <v>209</v>
      </c>
      <c r="DE139" s="0" t="s">
        <v>3449</v>
      </c>
      <c r="DF139" s="0" t="s">
        <v>525</v>
      </c>
      <c r="DG139" s="0" t="n">
        <v>40.74082</v>
      </c>
      <c r="DH139" s="0" t="n">
        <v>-73.992366</v>
      </c>
      <c r="DI139" s="0" t="s">
        <v>164</v>
      </c>
      <c r="DJ139" s="0" t="n">
        <v>0</v>
      </c>
      <c r="DK139" s="0" t="s">
        <v>1779</v>
      </c>
      <c r="DL139" s="0" t="s">
        <v>1780</v>
      </c>
      <c r="DM139" s="0" t="s">
        <v>3451</v>
      </c>
      <c r="DN139" s="0" t="s">
        <v>263</v>
      </c>
      <c r="DO139" s="0" t="s">
        <v>214</v>
      </c>
      <c r="DP139" s="0" t="s">
        <v>1781</v>
      </c>
      <c r="DQ139" s="0" t="s">
        <v>1782</v>
      </c>
      <c r="DS139" s="0" t="s">
        <v>217</v>
      </c>
      <c r="DU139" s="0" t="s">
        <v>189</v>
      </c>
      <c r="DX139" s="0" t="s">
        <v>209</v>
      </c>
      <c r="EA139" s="0" t="s">
        <v>209</v>
      </c>
      <c r="EB139" s="0" t="s">
        <v>189</v>
      </c>
      <c r="EC139" s="0" t="s">
        <v>209</v>
      </c>
      <c r="EF139" s="0" t="s">
        <v>209</v>
      </c>
      <c r="EH139" s="0" t="s">
        <v>189</v>
      </c>
      <c r="EI139" s="0" t="s">
        <v>2716</v>
      </c>
      <c r="EJ139" s="0" t="s">
        <v>221</v>
      </c>
      <c r="EK139" s="0" t="s">
        <v>209</v>
      </c>
      <c r="EL139" s="0" t="n">
        <v>36</v>
      </c>
      <c r="EM139" s="0" t="n">
        <v>7</v>
      </c>
      <c r="EN139" s="0" t="n">
        <v>8</v>
      </c>
      <c r="EO139" s="0" t="n">
        <v>6</v>
      </c>
      <c r="EP139" s="0" t="n">
        <v>15</v>
      </c>
      <c r="EQ139" s="0" t="n">
        <f aca="false">IF($A139="","",IF(AH139="exact",10,IF(AH139="adjacent",5,0)))</f>
        <v>0</v>
      </c>
      <c r="ER139" s="0" t="n">
        <f aca="false">IF($A139="","",IF(R139="Y",15,0))</f>
        <v>0</v>
      </c>
      <c r="ES139" s="0" t="s">
        <v>222</v>
      </c>
      <c r="EX139" s="0" t="s">
        <v>3452</v>
      </c>
      <c r="EZ139" s="0" t="s">
        <v>3453</v>
      </c>
      <c r="FS139" s="0" t="str">
        <f aca="false">IF($A139="","",IF(ISNUMBER(MATCH(U139,{"queued","contacted","replied","call_booked","call_done","yes_in_principle","materials_sent"},0)),"Y","N"))</f>
        <v>N</v>
      </c>
      <c r="FT139" s="0" t="str">
        <f aca="false">IF($A139="","",IF(OR(T139="Y",U139="do_not_contact",AS139&amp;""&lt;&gt;""),"Y","N"))</f>
        <v>N</v>
      </c>
      <c r="FU139" s="0" t="str">
        <f aca="false">IF($A139="","",IF(AP139&amp;""&lt;&gt;"",AP139&amp;"",$A139))</f>
        <v>AO-C-073</v>
      </c>
      <c r="FV139" s="0" t="str">
        <f aca="false">IF($A139="","",IF(COUNTIFS($FU$2:$FU$1000,FU139,$FS$2:$FS$1000,"Y")+COUNTIFS($FU$2:$FU$1000,FU139,$FT$2:$FT$1000,"Y")&gt;0,"Y","N"))</f>
        <v>N</v>
      </c>
      <c r="FW139" s="0" t="str">
        <f aca="false">IF($A139="","",IF(AND(U139="new",T139="N",FT139="N",AT139="Y",FV139="N"),"Y","N"))</f>
        <v>N</v>
      </c>
      <c r="FX139" s="0" t="str">
        <f aca="false">IF($A139="","",IF(FW139&lt;&gt;"Y","N",IF(COUNTIFS($FU$2:$FU$1000,FU139,$FW$2:$FW$1000,"Y",$J$2:$J$1000,"&gt;"&amp;J139)+COUNTIFS($FU$2:$FU$1000,FU139,$FW$2:$FW$1000,"Y",$J$2:$J$1000,J139,$GD$2:$GD$1000,"&lt;"&amp;GD139)=0,"Y","N")))</f>
        <v>N</v>
      </c>
      <c r="FY139" s="0" t="str">
        <f aca="false">IF($A139="","",IF(AND(FW139="Y",FX139="Y",Y139&amp;""&lt;&gt;""),IF(Y139&lt;=10,"Y","N"),"N"))</f>
        <v>N</v>
      </c>
      <c r="FZ139" s="0" t="str">
        <f aca="false">IF(FY139="Y",Y139,"")</f>
        <v/>
      </c>
      <c r="GA139" s="0" t="str">
        <f aca="false">IF($A139="","",IF(AND(I139="walk-in",CN139="pass",U139="new",FT139="N",FV139="N",AQ139&lt;&gt;"Y"),"Y","N"))</f>
        <v>N</v>
      </c>
      <c r="GB139" s="0" t="str">
        <f aca="false">IF(GA139&lt;&gt;"Y","",IF(COUNTIFS($GA$2:$GA$1000,"Y",$J$2:$J$1000,"&gt;"&amp;J139)+COUNTIFS($GA$2:$GA$1000,"Y",$J$2:$J$1000,J139,$GD$2:$GD$1000,"&lt;"&amp;GD139)+1&lt;=25,COUNTIFS($GA$2:$GA$1000,"Y",$J$2:$J$1000,"&gt;"&amp;J139)+COUNTIFS($GA$2:$GA$1000,"Y",$J$2:$J$1000,J139,$GD$2:$GD$1000,"&lt;"&amp;GD139)+1,""))</f>
        <v/>
      </c>
      <c r="GC139" s="0" t="str">
        <f aca="false">IF(AND(_xlfn.ISFORMULA(C139),_xlfn.ISFORMULA(J139)),"Y","N")</f>
        <v>N</v>
      </c>
      <c r="GD139" s="0" t="n">
        <f aca="false">ROW()-1</f>
        <v>138</v>
      </c>
    </row>
    <row r="140" customFormat="false" ht="15" hidden="false" customHeight="false" outlineLevel="0" collapsed="false">
      <c r="A140" s="0" t="s">
        <v>3454</v>
      </c>
      <c r="B140" s="0" t="s">
        <v>3455</v>
      </c>
      <c r="C140" s="0" t="s">
        <v>3456</v>
      </c>
      <c r="D140" s="0" t="s">
        <v>3457</v>
      </c>
      <c r="E140" s="0" t="s">
        <v>3458</v>
      </c>
      <c r="F140" s="0" t="s">
        <v>3086</v>
      </c>
      <c r="G140" s="0" t="s">
        <v>189</v>
      </c>
      <c r="M140" s="0" t="s">
        <v>380</v>
      </c>
      <c r="R140" s="5"/>
      <c r="U140" s="5"/>
      <c r="V140" s="0" t="s">
        <v>380</v>
      </c>
      <c r="AE140" s="0" t="s">
        <v>734</v>
      </c>
      <c r="AF140" s="0" t="s">
        <v>3459</v>
      </c>
      <c r="AG140" s="0" t="s">
        <v>183</v>
      </c>
      <c r="AH140" s="0" t="s">
        <v>209</v>
      </c>
      <c r="AI140" s="0" t="s">
        <v>3460</v>
      </c>
      <c r="AJ140" s="0" t="s">
        <v>189</v>
      </c>
      <c r="AK140" s="0" t="s">
        <v>209</v>
      </c>
      <c r="AL140" s="0" t="s">
        <v>189</v>
      </c>
      <c r="AM140" s="0" t="s">
        <v>209</v>
      </c>
      <c r="AN140" s="0" t="s">
        <v>380</v>
      </c>
      <c r="AO140" s="0" t="s">
        <v>209</v>
      </c>
      <c r="AP140" s="0" t="s">
        <v>3454</v>
      </c>
      <c r="AQ140" s="5" t="s">
        <v>189</v>
      </c>
      <c r="AT140" s="0" t="str">
        <f aca="false">IF($A140="","",IF(AND(CN140="pass",AQ140&lt;&gt;"Y",C140&lt;&gt;"",OR(AX140&lt;&gt;"Y",AV140="Y")),"Y","N"))</f>
        <v>Y</v>
      </c>
      <c r="AU140" s="0" t="str">
        <f aca="false">IF($A140="","",_xlfn.TEXTJOIN("; ",TRUE(),IF(CN140&lt;&gt;"pass","gated out",""),IF(AQ140="Y","on hold: "&amp;AR140,""),IF(C140="","no contact named on an opened page",""),IF(AND(AX140="Y",AV140&lt;&gt;"Y"),"Tuesday estimate band "&amp;L140&amp;": founder's call","")))</f>
        <v/>
      </c>
      <c r="AX140" s="0" t="s">
        <v>189</v>
      </c>
      <c r="BC140" s="0" t="str">
        <f aca="false">IF($A140="","",IFERROR(INDEX(Enrichment!$A$2:$GZ$2000,MATCH($A140,INDEX(Enrichment!$A$2:$GZ$2000,0,MATCH("row_id",Enrichment!$A$1:$GZ$1,0)),0),MATCH("work_email",Enrichment!$A$1:$GZ$1,0))&amp;"",""))</f>
        <v/>
      </c>
      <c r="BD140" s="0" t="str">
        <f aca="false">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none</v>
      </c>
      <c r="BF140" s="0" t="s">
        <v>380</v>
      </c>
      <c r="BJ140" s="0" t="s">
        <v>380</v>
      </c>
      <c r="BL140" s="0" t="s">
        <v>896</v>
      </c>
      <c r="BQ140" s="0" t="str">
        <f aca="false">IF($A140="","",IFERROR(INDEX(Enrichment!$A$2:$GZ$2000,MATCH($A140,INDEX(Enrichment!$A$2:$GZ$2000,0,MATCH("row_id",Enrichment!$A$1:$GZ$1,0)),0),MATCH("backup_work_email",Enrichment!$A$1:$GZ$1,0))&amp;"",""))</f>
        <v/>
      </c>
      <c r="BR140" s="0" t="str">
        <f aca="false">IF($A140="","",IF(BQ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none</v>
      </c>
      <c r="BT140" s="0" t="s">
        <v>380</v>
      </c>
      <c r="BX140" s="0" t="s">
        <v>380</v>
      </c>
      <c r="BY140" s="0" t="s">
        <v>387</v>
      </c>
      <c r="BZ140" s="0" t="s">
        <v>388</v>
      </c>
      <c r="CA140" s="0" t="s">
        <v>2707</v>
      </c>
      <c r="CB140" s="0" t="s">
        <v>196</v>
      </c>
      <c r="CM140" s="0" t="s">
        <v>189</v>
      </c>
      <c r="CN140" s="0" t="s">
        <v>200</v>
      </c>
      <c r="CO140" s="0" t="s">
        <v>201</v>
      </c>
      <c r="CP140" s="0" t="s">
        <v>1</v>
      </c>
      <c r="CQ140" s="0" t="s">
        <v>3461</v>
      </c>
      <c r="CR140" s="0" t="s">
        <v>3456</v>
      </c>
      <c r="CS140" s="0" t="s">
        <v>183</v>
      </c>
      <c r="CT140" s="0" t="s">
        <v>209</v>
      </c>
      <c r="CV140" s="0" t="s">
        <v>209</v>
      </c>
      <c r="CW140" s="0" t="s">
        <v>209</v>
      </c>
      <c r="CX140" s="0" t="s">
        <v>2712</v>
      </c>
      <c r="DA140" s="0" t="s">
        <v>209</v>
      </c>
      <c r="DB140" s="0" t="s">
        <v>3462</v>
      </c>
      <c r="DC140" s="0" t="s">
        <v>189</v>
      </c>
      <c r="DD140" s="0" t="s">
        <v>209</v>
      </c>
      <c r="DE140" s="0" t="s">
        <v>3460</v>
      </c>
      <c r="DF140" s="0" t="s">
        <v>525</v>
      </c>
      <c r="DG140" s="0" t="n">
        <v>40.743309</v>
      </c>
      <c r="DH140" s="0" t="n">
        <v>-73.987329</v>
      </c>
      <c r="DI140" s="0" t="s">
        <v>164</v>
      </c>
      <c r="DJ140" s="0" t="n">
        <v>0</v>
      </c>
      <c r="DK140" s="0" t="s">
        <v>940</v>
      </c>
      <c r="DL140" s="0" t="s">
        <v>941</v>
      </c>
      <c r="DM140" s="0" t="s">
        <v>3463</v>
      </c>
      <c r="DN140" s="0" t="s">
        <v>3464</v>
      </c>
      <c r="DO140" s="0" t="s">
        <v>363</v>
      </c>
      <c r="DP140" s="0" t="s">
        <v>3465</v>
      </c>
      <c r="DQ140" s="0" t="s">
        <v>263</v>
      </c>
      <c r="DS140" s="0" t="s">
        <v>217</v>
      </c>
      <c r="DU140" s="0" t="s">
        <v>189</v>
      </c>
      <c r="DX140" s="0" t="s">
        <v>209</v>
      </c>
      <c r="EA140" s="0" t="s">
        <v>209</v>
      </c>
      <c r="EB140" s="0" t="s">
        <v>189</v>
      </c>
      <c r="EC140" s="0" t="s">
        <v>209</v>
      </c>
      <c r="EF140" s="0" t="s">
        <v>209</v>
      </c>
      <c r="EH140" s="0" t="s">
        <v>189</v>
      </c>
      <c r="EI140" s="0" t="s">
        <v>2716</v>
      </c>
      <c r="EJ140" s="0" t="s">
        <v>221</v>
      </c>
      <c r="EK140" s="0" t="s">
        <v>209</v>
      </c>
      <c r="EL140" s="0" t="n">
        <v>36</v>
      </c>
      <c r="EM140" s="0" t="n">
        <v>7</v>
      </c>
      <c r="EN140" s="0" t="n">
        <v>8</v>
      </c>
      <c r="EO140" s="0" t="n">
        <v>6</v>
      </c>
      <c r="EP140" s="0" t="n">
        <v>15</v>
      </c>
      <c r="EQ140" s="0" t="n">
        <f aca="false">IF($A140="","",IF(AH140="exact",10,IF(AH140="adjacent",5,0)))</f>
        <v>0</v>
      </c>
      <c r="ER140" s="0" t="n">
        <f aca="false">IF($A140="","",IF(R140="Y",15,0))</f>
        <v>0</v>
      </c>
      <c r="ES140" s="0" t="s">
        <v>222</v>
      </c>
      <c r="EV140" s="0" t="s">
        <v>3466</v>
      </c>
      <c r="EW140" s="0" t="s">
        <v>224</v>
      </c>
      <c r="EX140" s="0" t="s">
        <v>3467</v>
      </c>
      <c r="EZ140" s="0" t="s">
        <v>3468</v>
      </c>
      <c r="FS140" s="0" t="str">
        <f aca="false">IF($A140="","",IF(ISNUMBER(MATCH(U140,{"queued","contacted","replied","call_booked","call_done","yes_in_principle","materials_sent"},0)),"Y","N"))</f>
        <v>N</v>
      </c>
      <c r="FT140" s="0" t="str">
        <f aca="false">IF($A140="","",IF(OR(T140="Y",U140="do_not_contact",AS140&amp;""&lt;&gt;""),"Y","N"))</f>
        <v>N</v>
      </c>
      <c r="FU140" s="0" t="str">
        <f aca="false">IF($A140="","",IF(AP140&amp;""&lt;&gt;"",AP140&amp;"",$A140))</f>
        <v>AO-C-138</v>
      </c>
      <c r="FV140" s="0" t="str">
        <f aca="false">IF($A140="","",IF(COUNTIFS($FU$2:$FU$1000,FU140,$FS$2:$FS$1000,"Y")+COUNTIFS($FU$2:$FU$1000,FU140,$FT$2:$FT$1000,"Y")&gt;0,"Y","N"))</f>
        <v>N</v>
      </c>
      <c r="FW140" s="0" t="str">
        <f aca="false">IF($A140="","",IF(AND(U140="new",T140="N",FT140="N",AT140="Y",FV140="N"),"Y","N"))</f>
        <v>N</v>
      </c>
      <c r="FX140" s="0" t="str">
        <f aca="false">IF($A140="","",IF(FW140&lt;&gt;"Y","N",IF(COUNTIFS($FU$2:$FU$1000,FU140,$FW$2:$FW$1000,"Y",$J$2:$J$1000,"&gt;"&amp;J140)+COUNTIFS($FU$2:$FU$1000,FU140,$FW$2:$FW$1000,"Y",$J$2:$J$1000,J140,$GD$2:$GD$1000,"&lt;"&amp;GD140)=0,"Y","N")))</f>
        <v>N</v>
      </c>
      <c r="FY140" s="0" t="str">
        <f aca="false">IF($A140="","",IF(AND(FW140="Y",FX140="Y",Y140&amp;""&lt;&gt;""),IF(Y140&lt;=10,"Y","N"),"N"))</f>
        <v>N</v>
      </c>
      <c r="FZ140" s="0" t="str">
        <f aca="false">IF(FY140="Y",Y140,"")</f>
        <v/>
      </c>
      <c r="GA140" s="0" t="str">
        <f aca="false">IF($A140="","",IF(AND(I140="walk-in",CN140="pass",U140="new",FT140="N",FV140="N",AQ140&lt;&gt;"Y"),"Y","N"))</f>
        <v>N</v>
      </c>
      <c r="GB140" s="0" t="str">
        <f aca="false">IF(GA140&lt;&gt;"Y","",IF(COUNTIFS($GA$2:$GA$1000,"Y",$J$2:$J$1000,"&gt;"&amp;J140)+COUNTIFS($GA$2:$GA$1000,"Y",$J$2:$J$1000,J140,$GD$2:$GD$1000,"&lt;"&amp;GD140)+1&lt;=25,COUNTIFS($GA$2:$GA$1000,"Y",$J$2:$J$1000,"&gt;"&amp;J140)+COUNTIFS($GA$2:$GA$1000,"Y",$J$2:$J$1000,J140,$GD$2:$GD$1000,"&lt;"&amp;GD140)+1,""))</f>
        <v/>
      </c>
      <c r="GC140" s="0" t="str">
        <f aca="false">IF(AND(_xlfn.ISFORMULA(C140),_xlfn.ISFORMULA(J140)),"Y","N")</f>
        <v>N</v>
      </c>
      <c r="GD140" s="0" t="n">
        <f aca="false">ROW()-1</f>
        <v>139</v>
      </c>
    </row>
    <row r="141" customFormat="false" ht="15" hidden="false" customHeight="false" outlineLevel="0" collapsed="false">
      <c r="A141" s="0" t="s">
        <v>3469</v>
      </c>
      <c r="B141" s="0" t="s">
        <v>3470</v>
      </c>
      <c r="C141" s="0" t="s">
        <v>3471</v>
      </c>
      <c r="D141" s="0" t="s">
        <v>3472</v>
      </c>
      <c r="E141" s="0" t="s">
        <v>3473</v>
      </c>
      <c r="F141" s="0" t="s">
        <v>3474</v>
      </c>
      <c r="G141" s="0" t="s">
        <v>189</v>
      </c>
      <c r="M141" s="0" t="s">
        <v>380</v>
      </c>
      <c r="R141" s="5"/>
      <c r="U141" s="5"/>
      <c r="V141" s="0" t="s">
        <v>380</v>
      </c>
      <c r="AE141" s="0" t="s">
        <v>3475</v>
      </c>
      <c r="AF141" s="0" t="s">
        <v>209</v>
      </c>
      <c r="AG141" s="0" t="s">
        <v>3476</v>
      </c>
      <c r="AH141" s="0" t="s">
        <v>3477</v>
      </c>
      <c r="AI141" s="0" t="s">
        <v>3478</v>
      </c>
      <c r="AJ141" s="0" t="s">
        <v>189</v>
      </c>
      <c r="AK141" s="0" t="s">
        <v>976</v>
      </c>
      <c r="AL141" s="0" t="s">
        <v>189</v>
      </c>
      <c r="AM141" s="0" t="n">
        <v>2555</v>
      </c>
      <c r="AN141" s="0" t="s">
        <v>187</v>
      </c>
      <c r="AO141" s="0" t="s">
        <v>188</v>
      </c>
      <c r="AP141" s="0" t="s">
        <v>3469</v>
      </c>
      <c r="AQ141" s="5" t="s">
        <v>189</v>
      </c>
      <c r="AT141" s="0" t="str">
        <f aca="false">IF($A141="","",IF(AND(CN141="pass",AQ141&lt;&gt;"Y",C141&lt;&gt;"",OR(AX141&lt;&gt;"Y",AV141="Y")),"Y","N"))</f>
        <v>N</v>
      </c>
      <c r="AU141" s="0" t="str">
        <f aca="false">IF($A141="","",_xlfn.TEXTJOIN("; ",TRUE(),IF(CN141&lt;&gt;"pass","gated out",""),IF(AQ141="Y","on hold: "&amp;AR141,""),IF(C141="","no contact named on an opened page",""),IF(AND(AX141="Y",AV141&lt;&gt;"Y"),"Tuesday estimate band "&amp;L141&amp;": founder's call","")))</f>
        <v>Tuesday estimate band : founder's call</v>
      </c>
      <c r="AX141" s="0" t="s">
        <v>164</v>
      </c>
      <c r="BC141" s="0" t="str">
        <f aca="false">IF($A141="","",IFERROR(INDEX(Enrichment!$A$2:$GZ$2000,MATCH($A141,INDEX(Enrichment!$A$2:$GZ$2000,0,MATCH("row_id",Enrichment!$A$1:$GZ$1,0)),0),MATCH("work_email",Enrichment!$A$1:$GZ$1,0))&amp;"",""))</f>
        <v/>
      </c>
      <c r="BD141" s="0" t="str">
        <f aca="false">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none</v>
      </c>
      <c r="BF141" s="0" t="s">
        <v>380</v>
      </c>
      <c r="BJ141" s="0" t="s">
        <v>380</v>
      </c>
      <c r="BK141" s="0" t="s">
        <v>3479</v>
      </c>
      <c r="BL141" s="0" t="s">
        <v>896</v>
      </c>
      <c r="BQ141" s="0" t="str">
        <f aca="false">IF($A141="","",IFERROR(INDEX(Enrichment!$A$2:$GZ$2000,MATCH($A141,INDEX(Enrichment!$A$2:$GZ$2000,0,MATCH("row_id",Enrichment!$A$1:$GZ$1,0)),0),MATCH("backup_work_email",Enrichment!$A$1:$GZ$1,0))&amp;"",""))</f>
        <v/>
      </c>
      <c r="BR141" s="0" t="str">
        <f aca="false">IF($A141="","",IF(BQ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none</v>
      </c>
      <c r="BT141" s="0" t="s">
        <v>380</v>
      </c>
      <c r="BX141" s="0" t="s">
        <v>380</v>
      </c>
      <c r="BY141" s="0" t="s">
        <v>3480</v>
      </c>
      <c r="BZ141" s="0" t="s">
        <v>388</v>
      </c>
      <c r="CA141" s="0" t="s">
        <v>3481</v>
      </c>
      <c r="CB141" s="0" t="s">
        <v>196</v>
      </c>
      <c r="CM141" s="0" t="s">
        <v>189</v>
      </c>
      <c r="CN141" s="0" t="s">
        <v>200</v>
      </c>
      <c r="CO141" s="0" t="s">
        <v>201</v>
      </c>
      <c r="CP141" s="0" t="s">
        <v>1</v>
      </c>
      <c r="CQ141" s="0" t="s">
        <v>3482</v>
      </c>
      <c r="CR141" s="0" t="s">
        <v>3471</v>
      </c>
      <c r="CS141" s="0" t="s">
        <v>3476</v>
      </c>
      <c r="CT141" s="0" t="s">
        <v>3477</v>
      </c>
      <c r="CV141" s="0" t="s">
        <v>976</v>
      </c>
      <c r="CW141" s="0" t="s">
        <v>204</v>
      </c>
      <c r="CX141" s="0" t="s">
        <v>205</v>
      </c>
      <c r="CY141" s="0" t="s">
        <v>3483</v>
      </c>
      <c r="DA141" s="0" t="s">
        <v>978</v>
      </c>
      <c r="DB141" s="0" t="s">
        <v>3484</v>
      </c>
      <c r="DC141" s="0" t="s">
        <v>189</v>
      </c>
      <c r="DD141" s="0" t="s">
        <v>209</v>
      </c>
      <c r="DE141" s="0" t="s">
        <v>3478</v>
      </c>
      <c r="DF141" s="0" t="s">
        <v>397</v>
      </c>
      <c r="DG141" s="0" t="n">
        <v>40.737788</v>
      </c>
      <c r="DH141" s="0" t="n">
        <v>-73.992555</v>
      </c>
      <c r="DI141" s="0" t="s">
        <v>164</v>
      </c>
      <c r="DJ141" s="0" t="n">
        <v>0</v>
      </c>
      <c r="DK141" s="0" t="s">
        <v>3485</v>
      </c>
      <c r="DL141" s="0" t="s">
        <v>3475</v>
      </c>
      <c r="DM141" s="0" t="s">
        <v>3486</v>
      </c>
      <c r="DN141" s="0" t="s">
        <v>2344</v>
      </c>
      <c r="DO141" s="0" t="s">
        <v>363</v>
      </c>
      <c r="DS141" s="0" t="s">
        <v>809</v>
      </c>
      <c r="DU141" s="0" t="s">
        <v>189</v>
      </c>
      <c r="DX141" s="0" t="s">
        <v>209</v>
      </c>
      <c r="EA141" s="0" t="s">
        <v>209</v>
      </c>
      <c r="EB141" s="0" t="s">
        <v>189</v>
      </c>
      <c r="EC141" s="0" t="s">
        <v>3487</v>
      </c>
      <c r="ED141" s="0" t="s">
        <v>3488</v>
      </c>
      <c r="EE141" s="0" t="s">
        <v>172</v>
      </c>
      <c r="EF141" s="0" t="n">
        <v>572</v>
      </c>
      <c r="EG141" s="0" t="s">
        <v>366</v>
      </c>
      <c r="EH141" s="0" t="s">
        <v>189</v>
      </c>
      <c r="EI141" s="0" t="s">
        <v>3489</v>
      </c>
      <c r="EJ141" s="0" t="s">
        <v>221</v>
      </c>
      <c r="EK141" s="0" t="n">
        <v>0.22</v>
      </c>
      <c r="EL141" s="0" t="n">
        <v>35.6</v>
      </c>
      <c r="EM141" s="0" t="n">
        <v>5.6</v>
      </c>
      <c r="EN141" s="0" t="n">
        <v>2</v>
      </c>
      <c r="EO141" s="0" t="n">
        <v>15</v>
      </c>
      <c r="EP141" s="0" t="n">
        <v>13</v>
      </c>
      <c r="EQ141" s="0" t="n">
        <f aca="false">IF($A141="","",IF(AH141="exact",10,IF(AH141="adjacent",5,0)))</f>
        <v>0</v>
      </c>
      <c r="ER141" s="0" t="n">
        <f aca="false">IF($A141="","",IF(R141="Y",15,0))</f>
        <v>0</v>
      </c>
      <c r="ES141" s="0" t="s">
        <v>982</v>
      </c>
      <c r="ET141" s="0" t="s">
        <v>983</v>
      </c>
      <c r="EU141" s="0" t="s">
        <v>164</v>
      </c>
      <c r="EX141" s="0" t="s">
        <v>3490</v>
      </c>
      <c r="EZ141" s="0" t="s">
        <v>3491</v>
      </c>
      <c r="FS141" s="0" t="str">
        <f aca="false">IF($A141="","",IF(ISNUMBER(MATCH(U141,{"queued","contacted","replied","call_booked","call_done","yes_in_principle","materials_sent"},0)),"Y","N"))</f>
        <v>N</v>
      </c>
      <c r="FT141" s="0" t="str">
        <f aca="false">IF($A141="","",IF(OR(T141="Y",U141="do_not_contact",AS141&amp;""&lt;&gt;""),"Y","N"))</f>
        <v>N</v>
      </c>
      <c r="FU141" s="0" t="str">
        <f aca="false">IF($A141="","",IF(AP141&amp;""&lt;&gt;"",AP141&amp;"",$A141))</f>
        <v>AO-C-187</v>
      </c>
      <c r="FV141" s="0" t="str">
        <f aca="false">IF($A141="","",IF(COUNTIFS($FU$2:$FU$1000,FU141,$FS$2:$FS$1000,"Y")+COUNTIFS($FU$2:$FU$1000,FU141,$FT$2:$FT$1000,"Y")&gt;0,"Y","N"))</f>
        <v>N</v>
      </c>
      <c r="FW141" s="0" t="str">
        <f aca="false">IF($A141="","",IF(AND(U141="new",T141="N",FT141="N",AT141="Y",FV141="N"),"Y","N"))</f>
        <v>N</v>
      </c>
      <c r="FX141" s="0" t="str">
        <f aca="false">IF($A141="","",IF(FW141&lt;&gt;"Y","N",IF(COUNTIFS($FU$2:$FU$1000,FU141,$FW$2:$FW$1000,"Y",$J$2:$J$1000,"&gt;"&amp;J141)+COUNTIFS($FU$2:$FU$1000,FU141,$FW$2:$FW$1000,"Y",$J$2:$J$1000,J141,$GD$2:$GD$1000,"&lt;"&amp;GD141)=0,"Y","N")))</f>
        <v>N</v>
      </c>
      <c r="FY141" s="0" t="str">
        <f aca="false">IF($A141="","",IF(AND(FW141="Y",FX141="Y",Y141&amp;""&lt;&gt;""),IF(Y141&lt;=10,"Y","N"),"N"))</f>
        <v>N</v>
      </c>
      <c r="FZ141" s="0" t="str">
        <f aca="false">IF(FY141="Y",Y141,"")</f>
        <v/>
      </c>
      <c r="GA141" s="0" t="str">
        <f aca="false">IF($A141="","",IF(AND(I141="walk-in",CN141="pass",U141="new",FT141="N",FV141="N",AQ141&lt;&gt;"Y"),"Y","N"))</f>
        <v>N</v>
      </c>
      <c r="GB141" s="0" t="str">
        <f aca="false">IF(GA141&lt;&gt;"Y","",IF(COUNTIFS($GA$2:$GA$1000,"Y",$J$2:$J$1000,"&gt;"&amp;J141)+COUNTIFS($GA$2:$GA$1000,"Y",$J$2:$J$1000,J141,$GD$2:$GD$1000,"&lt;"&amp;GD141)+1&lt;=25,COUNTIFS($GA$2:$GA$1000,"Y",$J$2:$J$1000,"&gt;"&amp;J141)+COUNTIFS($GA$2:$GA$1000,"Y",$J$2:$J$1000,J141,$GD$2:$GD$1000,"&lt;"&amp;GD141)+1,""))</f>
        <v/>
      </c>
      <c r="GC141" s="0" t="str">
        <f aca="false">IF(AND(_xlfn.ISFORMULA(C141),_xlfn.ISFORMULA(J141)),"Y","N")</f>
        <v>N</v>
      </c>
      <c r="GD141" s="0" t="n">
        <f aca="false">ROW()-1</f>
        <v>140</v>
      </c>
    </row>
    <row r="142" customFormat="false" ht="15" hidden="false" customHeight="false" outlineLevel="0" collapsed="false">
      <c r="A142" s="0" t="s">
        <v>3492</v>
      </c>
      <c r="B142" s="0" t="s">
        <v>3493</v>
      </c>
      <c r="C142" s="0" t="s">
        <v>3494</v>
      </c>
      <c r="D142" s="0" t="s">
        <v>3495</v>
      </c>
      <c r="E142" s="0" t="s">
        <v>3496</v>
      </c>
      <c r="F142" s="0" t="s">
        <v>3497</v>
      </c>
      <c r="G142" s="0" t="s">
        <v>189</v>
      </c>
      <c r="M142" s="0" t="s">
        <v>380</v>
      </c>
      <c r="R142" s="5"/>
      <c r="U142" s="5"/>
      <c r="V142" s="0" t="s">
        <v>380</v>
      </c>
      <c r="AE142" s="0" t="s">
        <v>1151</v>
      </c>
      <c r="AF142" s="0" t="s">
        <v>209</v>
      </c>
      <c r="AG142" s="0" t="s">
        <v>3498</v>
      </c>
      <c r="AH142" s="0" t="s">
        <v>3499</v>
      </c>
      <c r="AI142" s="0" t="s">
        <v>209</v>
      </c>
      <c r="AJ142" s="0" t="s">
        <v>189</v>
      </c>
      <c r="AK142" s="0" t="s">
        <v>355</v>
      </c>
      <c r="AL142" s="0" t="s">
        <v>189</v>
      </c>
      <c r="AM142" s="0" t="n">
        <v>1621</v>
      </c>
      <c r="AN142" s="0" t="s">
        <v>187</v>
      </c>
      <c r="AO142" s="0" t="s">
        <v>188</v>
      </c>
      <c r="AP142" s="0" t="s">
        <v>3492</v>
      </c>
      <c r="AQ142" s="5" t="s">
        <v>189</v>
      </c>
      <c r="AT142" s="0" t="str">
        <f aca="false">IF($A142="","",IF(AND(CN142="pass",AQ142&lt;&gt;"Y",C142&lt;&gt;"",OR(AX142&lt;&gt;"Y",AV142="Y")),"Y","N"))</f>
        <v>N</v>
      </c>
      <c r="AU142" s="0" t="str">
        <f aca="false">IF($A142="","",_xlfn.TEXTJOIN("; ",TRUE(),IF(CN142&lt;&gt;"pass","gated out",""),IF(AQ142="Y","on hold: "&amp;AR142,""),IF(C142="","no contact named on an opened page",""),IF(AND(AX142="Y",AV142&lt;&gt;"Y"),"Tuesday estimate band "&amp;L142&amp;": founder's call","")))</f>
        <v>Tuesday estimate band : founder's call</v>
      </c>
      <c r="AX142" s="0" t="s">
        <v>164</v>
      </c>
      <c r="BC142" s="0" t="str">
        <f aca="false">IF($A142="","",IFERROR(INDEX(Enrichment!$A$2:$GZ$2000,MATCH($A142,INDEX(Enrichment!$A$2:$GZ$2000,0,MATCH("row_id",Enrichment!$A$1:$GZ$1,0)),0),MATCH("work_email",Enrichment!$A$1:$GZ$1,0))&amp;"",""))</f>
        <v/>
      </c>
      <c r="BD142" s="0" t="str">
        <f aca="false">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none</v>
      </c>
      <c r="BF142" s="0" t="s">
        <v>380</v>
      </c>
      <c r="BJ142" s="0" t="s">
        <v>380</v>
      </c>
      <c r="BK142" s="0" t="s">
        <v>2356</v>
      </c>
      <c r="BL142" s="0" t="s">
        <v>896</v>
      </c>
      <c r="BQ142" s="0" t="str">
        <f aca="false">IF($A142="","",IFERROR(INDEX(Enrichment!$A$2:$GZ$2000,MATCH($A142,INDEX(Enrichment!$A$2:$GZ$2000,0,MATCH("row_id",Enrichment!$A$1:$GZ$1,0)),0),MATCH("backup_work_email",Enrichment!$A$1:$GZ$1,0))&amp;"",""))</f>
        <v/>
      </c>
      <c r="BR142" s="0" t="str">
        <f aca="false">IF($A142="","",IF(BQ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none</v>
      </c>
      <c r="BT142" s="0" t="s">
        <v>380</v>
      </c>
      <c r="BX142" s="0" t="s">
        <v>380</v>
      </c>
      <c r="BY142" s="0" t="s">
        <v>2357</v>
      </c>
      <c r="BZ142" s="0" t="s">
        <v>388</v>
      </c>
      <c r="CA142" s="0" t="s">
        <v>3500</v>
      </c>
      <c r="CB142" s="0" t="s">
        <v>196</v>
      </c>
      <c r="CM142" s="0" t="s">
        <v>189</v>
      </c>
      <c r="CN142" s="0" t="s">
        <v>200</v>
      </c>
      <c r="CO142" s="0" t="s">
        <v>201</v>
      </c>
      <c r="CP142" s="0" t="s">
        <v>1</v>
      </c>
      <c r="CQ142" s="0" t="s">
        <v>3501</v>
      </c>
      <c r="CR142" s="0" t="s">
        <v>3494</v>
      </c>
      <c r="CS142" s="0" t="s">
        <v>3498</v>
      </c>
      <c r="CT142" s="0" t="s">
        <v>3499</v>
      </c>
      <c r="CV142" s="0" t="s">
        <v>976</v>
      </c>
      <c r="CW142" s="0" t="s">
        <v>204</v>
      </c>
      <c r="CX142" s="0" t="s">
        <v>205</v>
      </c>
      <c r="CY142" s="0" t="s">
        <v>3502</v>
      </c>
      <c r="DA142" s="0" t="s">
        <v>978</v>
      </c>
      <c r="DB142" s="0" t="s">
        <v>3503</v>
      </c>
      <c r="DC142" s="0" t="s">
        <v>189</v>
      </c>
      <c r="DD142" s="0" t="s">
        <v>3504</v>
      </c>
      <c r="DE142" s="0" t="s">
        <v>209</v>
      </c>
      <c r="DF142" s="0" t="s">
        <v>210</v>
      </c>
      <c r="DG142" s="0" t="n">
        <v>40.737054</v>
      </c>
      <c r="DH142" s="0" t="n">
        <v>-73.992635</v>
      </c>
      <c r="DI142" s="0" t="s">
        <v>164</v>
      </c>
      <c r="DJ142" s="0" t="n">
        <v>0</v>
      </c>
      <c r="DK142" s="0" t="s">
        <v>1150</v>
      </c>
      <c r="DL142" s="0" t="s">
        <v>1151</v>
      </c>
      <c r="DM142" s="0" t="s">
        <v>1152</v>
      </c>
      <c r="DN142" s="0" t="s">
        <v>1153</v>
      </c>
      <c r="DO142" s="0" t="s">
        <v>363</v>
      </c>
      <c r="DS142" s="0" t="s">
        <v>809</v>
      </c>
      <c r="DU142" s="0" t="s">
        <v>189</v>
      </c>
      <c r="DX142" s="0" t="s">
        <v>209</v>
      </c>
      <c r="EA142" s="0" t="s">
        <v>209</v>
      </c>
      <c r="EB142" s="0" t="s">
        <v>189</v>
      </c>
      <c r="EC142" s="0" t="s">
        <v>218</v>
      </c>
      <c r="ED142" s="0" t="s">
        <v>3505</v>
      </c>
      <c r="EE142" s="0" t="s">
        <v>172</v>
      </c>
      <c r="EF142" s="0" t="n">
        <v>362</v>
      </c>
      <c r="EG142" s="0" t="s">
        <v>366</v>
      </c>
      <c r="EH142" s="0" t="s">
        <v>189</v>
      </c>
      <c r="EI142" s="0" t="s">
        <v>3506</v>
      </c>
      <c r="EJ142" s="0" t="s">
        <v>221</v>
      </c>
      <c r="EK142" s="0" t="n">
        <v>0.38</v>
      </c>
      <c r="EL142" s="0" t="n">
        <v>35.4</v>
      </c>
      <c r="EM142" s="0" t="n">
        <v>9.4</v>
      </c>
      <c r="EN142" s="0" t="n">
        <v>-2</v>
      </c>
      <c r="EO142" s="0" t="n">
        <v>15</v>
      </c>
      <c r="EP142" s="0" t="n">
        <v>13</v>
      </c>
      <c r="EQ142" s="0" t="n">
        <f aca="false">IF($A142="","",IF(AH142="exact",10,IF(AH142="adjacent",5,0)))</f>
        <v>0</v>
      </c>
      <c r="ER142" s="0" t="n">
        <f aca="false">IF($A142="","",IF(R142="Y",15,0))</f>
        <v>0</v>
      </c>
      <c r="ES142" s="0" t="s">
        <v>982</v>
      </c>
      <c r="ET142" s="0" t="s">
        <v>983</v>
      </c>
      <c r="EU142" s="0" t="s">
        <v>189</v>
      </c>
      <c r="EX142" s="0" t="s">
        <v>3507</v>
      </c>
      <c r="FS142" s="0" t="str">
        <f aca="false">IF($A142="","",IF(ISNUMBER(MATCH(U142,{"queued","contacted","replied","call_booked","call_done","yes_in_principle","materials_sent"},0)),"Y","N"))</f>
        <v>N</v>
      </c>
      <c r="FT142" s="0" t="str">
        <f aca="false">IF($A142="","",IF(OR(T142="Y",U142="do_not_contact",AS142&amp;""&lt;&gt;""),"Y","N"))</f>
        <v>N</v>
      </c>
      <c r="FU142" s="0" t="str">
        <f aca="false">IF($A142="","",IF(AP142&amp;""&lt;&gt;"",AP142&amp;"",$A142))</f>
        <v>AO-C-184</v>
      </c>
      <c r="FV142" s="0" t="str">
        <f aca="false">IF($A142="","",IF(COUNTIFS($FU$2:$FU$1000,FU142,$FS$2:$FS$1000,"Y")+COUNTIFS($FU$2:$FU$1000,FU142,$FT$2:$FT$1000,"Y")&gt;0,"Y","N"))</f>
        <v>N</v>
      </c>
      <c r="FW142" s="0" t="str">
        <f aca="false">IF($A142="","",IF(AND(U142="new",T142="N",FT142="N",AT142="Y",FV142="N"),"Y","N"))</f>
        <v>N</v>
      </c>
      <c r="FX142" s="0" t="str">
        <f aca="false">IF($A142="","",IF(FW142&lt;&gt;"Y","N",IF(COUNTIFS($FU$2:$FU$1000,FU142,$FW$2:$FW$1000,"Y",$J$2:$J$1000,"&gt;"&amp;J142)+COUNTIFS($FU$2:$FU$1000,FU142,$FW$2:$FW$1000,"Y",$J$2:$J$1000,J142,$GD$2:$GD$1000,"&lt;"&amp;GD142)=0,"Y","N")))</f>
        <v>N</v>
      </c>
      <c r="FY142" s="0" t="str">
        <f aca="false">IF($A142="","",IF(AND(FW142="Y",FX142="Y",Y142&amp;""&lt;&gt;""),IF(Y142&lt;=10,"Y","N"),"N"))</f>
        <v>N</v>
      </c>
      <c r="FZ142" s="0" t="str">
        <f aca="false">IF(FY142="Y",Y142,"")</f>
        <v/>
      </c>
      <c r="GA142" s="0" t="str">
        <f aca="false">IF($A142="","",IF(AND(I142="walk-in",CN142="pass",U142="new",FT142="N",FV142="N",AQ142&lt;&gt;"Y"),"Y","N"))</f>
        <v>N</v>
      </c>
      <c r="GB142" s="0" t="str">
        <f aca="false">IF(GA142&lt;&gt;"Y","",IF(COUNTIFS($GA$2:$GA$1000,"Y",$J$2:$J$1000,"&gt;"&amp;J142)+COUNTIFS($GA$2:$GA$1000,"Y",$J$2:$J$1000,J142,$GD$2:$GD$1000,"&lt;"&amp;GD142)+1&lt;=25,COUNTIFS($GA$2:$GA$1000,"Y",$J$2:$J$1000,"&gt;"&amp;J142)+COUNTIFS($GA$2:$GA$1000,"Y",$J$2:$J$1000,J142,$GD$2:$GD$1000,"&lt;"&amp;GD142)+1,""))</f>
        <v/>
      </c>
      <c r="GC142" s="0" t="str">
        <f aca="false">IF(AND(_xlfn.ISFORMULA(C142),_xlfn.ISFORMULA(J142)),"Y","N")</f>
        <v>N</v>
      </c>
      <c r="GD142" s="0" t="n">
        <f aca="false">ROW()-1</f>
        <v>141</v>
      </c>
    </row>
    <row r="143" customFormat="false" ht="15" hidden="false" customHeight="false" outlineLevel="0" collapsed="false">
      <c r="A143" s="0" t="s">
        <v>3508</v>
      </c>
      <c r="B143" s="0" t="s">
        <v>3509</v>
      </c>
      <c r="C143" s="0" t="s">
        <v>3510</v>
      </c>
      <c r="D143" s="0" t="s">
        <v>3511</v>
      </c>
      <c r="E143" s="0" t="s">
        <v>3512</v>
      </c>
      <c r="F143" s="0" t="s">
        <v>3513</v>
      </c>
      <c r="G143" s="0" t="s">
        <v>189</v>
      </c>
      <c r="M143" s="0" t="s">
        <v>380</v>
      </c>
      <c r="R143" s="5"/>
      <c r="U143" s="5"/>
      <c r="V143" s="0" t="s">
        <v>380</v>
      </c>
      <c r="AE143" s="0" t="s">
        <v>1071</v>
      </c>
      <c r="AF143" s="0" t="s">
        <v>3514</v>
      </c>
      <c r="AG143" s="0" t="s">
        <v>3515</v>
      </c>
      <c r="AH143" s="0" t="s">
        <v>3516</v>
      </c>
      <c r="AI143" s="0" t="s">
        <v>3517</v>
      </c>
      <c r="AJ143" s="0" t="s">
        <v>189</v>
      </c>
      <c r="AK143" s="0" t="s">
        <v>203</v>
      </c>
      <c r="AL143" s="0" t="s">
        <v>189</v>
      </c>
      <c r="AM143" s="0" t="n">
        <v>338</v>
      </c>
      <c r="AN143" s="0" t="s">
        <v>187</v>
      </c>
      <c r="AO143" s="0" t="s">
        <v>209</v>
      </c>
      <c r="AP143" s="0" t="s">
        <v>3508</v>
      </c>
      <c r="AQ143" s="5" t="s">
        <v>189</v>
      </c>
      <c r="AT143" s="0" t="str">
        <f aca="false">IF($A143="","",IF(AND(CN143="pass",AQ143&lt;&gt;"Y",C143&lt;&gt;"",OR(AX143&lt;&gt;"Y",AV143="Y")),"Y","N"))</f>
        <v>Y</v>
      </c>
      <c r="AU143" s="0" t="str">
        <f aca="false">IF($A143="","",_xlfn.TEXTJOIN("; ",TRUE(),IF(CN143&lt;&gt;"pass","gated out",""),IF(AQ143="Y","on hold: "&amp;AR143,""),IF(C143="","no contact named on an opened page",""),IF(AND(AX143="Y",AV143&lt;&gt;"Y"),"Tuesday estimate band "&amp;L143&amp;": founder's call","")))</f>
        <v/>
      </c>
      <c r="AX143" s="0" t="s">
        <v>189</v>
      </c>
      <c r="BC143" s="0" t="str">
        <f aca="false">IF($A143="","",IFERROR(INDEX(Enrichment!$A$2:$GZ$2000,MATCH($A143,INDEX(Enrichment!$A$2:$GZ$2000,0,MATCH("row_id",Enrichment!$A$1:$GZ$1,0)),0),MATCH("work_email",Enrichment!$A$1:$GZ$1,0))&amp;"",""))</f>
        <v/>
      </c>
      <c r="BD143" s="0" t="str">
        <f aca="false">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none</v>
      </c>
      <c r="BF143" s="0" t="s">
        <v>380</v>
      </c>
      <c r="BJ143" s="0" t="s">
        <v>380</v>
      </c>
      <c r="BL143" s="0" t="s">
        <v>896</v>
      </c>
      <c r="BQ143" s="0" t="str">
        <f aca="false">IF($A143="","",IFERROR(INDEX(Enrichment!$A$2:$GZ$2000,MATCH($A143,INDEX(Enrichment!$A$2:$GZ$2000,0,MATCH("row_id",Enrichment!$A$1:$GZ$1,0)),0),MATCH("backup_work_email",Enrichment!$A$1:$GZ$1,0))&amp;"",""))</f>
        <v/>
      </c>
      <c r="BR143" s="0" t="str">
        <f aca="false">IF($A143="","",IF(BQ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none</v>
      </c>
      <c r="BT143" s="0" t="s">
        <v>380</v>
      </c>
      <c r="BX143" s="0" t="s">
        <v>380</v>
      </c>
      <c r="BY143" s="0" t="s">
        <v>387</v>
      </c>
      <c r="BZ143" s="0" t="s">
        <v>388</v>
      </c>
      <c r="CA143" s="0" t="s">
        <v>3518</v>
      </c>
      <c r="CB143" s="0" t="s">
        <v>196</v>
      </c>
      <c r="CM143" s="0" t="s">
        <v>189</v>
      </c>
      <c r="CN143" s="0" t="s">
        <v>200</v>
      </c>
      <c r="CO143" s="0" t="s">
        <v>201</v>
      </c>
      <c r="CP143" s="0" t="s">
        <v>1</v>
      </c>
      <c r="CQ143" s="0" t="s">
        <v>3519</v>
      </c>
      <c r="CR143" s="0" t="s">
        <v>3510</v>
      </c>
      <c r="CS143" s="0" t="s">
        <v>3515</v>
      </c>
      <c r="CT143" s="0" t="s">
        <v>3516</v>
      </c>
      <c r="CV143" s="0" t="s">
        <v>976</v>
      </c>
      <c r="CW143" s="0" t="s">
        <v>204</v>
      </c>
      <c r="CX143" s="0" t="s">
        <v>205</v>
      </c>
      <c r="CY143" s="0" t="s">
        <v>3520</v>
      </c>
      <c r="DA143" s="0" t="s">
        <v>978</v>
      </c>
      <c r="DB143" s="0" t="s">
        <v>259</v>
      </c>
      <c r="DC143" s="0" t="s">
        <v>164</v>
      </c>
      <c r="DD143" s="0" t="s">
        <v>209</v>
      </c>
      <c r="DE143" s="0" t="s">
        <v>3517</v>
      </c>
      <c r="DF143" s="0" t="s">
        <v>525</v>
      </c>
      <c r="DG143" s="0" t="n">
        <v>40.742199</v>
      </c>
      <c r="DH143" s="0" t="n">
        <v>-73.99172</v>
      </c>
      <c r="DI143" s="0" t="s">
        <v>164</v>
      </c>
      <c r="DJ143" s="0" t="n">
        <v>0</v>
      </c>
      <c r="DK143" s="0" t="s">
        <v>1451</v>
      </c>
      <c r="DL143" s="0" t="s">
        <v>1452</v>
      </c>
      <c r="DM143" s="0" t="s">
        <v>3521</v>
      </c>
      <c r="DN143" s="0" t="s">
        <v>3522</v>
      </c>
      <c r="DO143" s="0" t="s">
        <v>363</v>
      </c>
      <c r="DP143" s="0" t="s">
        <v>2932</v>
      </c>
      <c r="DQ143" s="0" t="s">
        <v>2933</v>
      </c>
      <c r="DS143" s="0" t="s">
        <v>809</v>
      </c>
      <c r="DU143" s="0" t="s">
        <v>189</v>
      </c>
      <c r="DX143" s="0" t="s">
        <v>267</v>
      </c>
      <c r="DY143" s="0" t="s">
        <v>1453</v>
      </c>
      <c r="EA143" s="0" t="s">
        <v>209</v>
      </c>
      <c r="EB143" s="0" t="s">
        <v>189</v>
      </c>
      <c r="EC143" s="0" t="s">
        <v>209</v>
      </c>
      <c r="EF143" s="0" t="n">
        <v>239</v>
      </c>
      <c r="EG143" s="0" t="s">
        <v>366</v>
      </c>
      <c r="EH143" s="0" t="s">
        <v>164</v>
      </c>
      <c r="EI143" s="0" t="s">
        <v>3523</v>
      </c>
      <c r="EJ143" s="0" t="s">
        <v>221</v>
      </c>
      <c r="EK143" s="0" t="n">
        <v>0.56</v>
      </c>
      <c r="EL143" s="0" t="n">
        <v>35.1</v>
      </c>
      <c r="EM143" s="0" t="n">
        <v>14.1</v>
      </c>
      <c r="EN143" s="0" t="n">
        <v>2</v>
      </c>
      <c r="EO143" s="0" t="n">
        <v>6</v>
      </c>
      <c r="EP143" s="0" t="n">
        <v>13</v>
      </c>
      <c r="EQ143" s="0" t="n">
        <f aca="false">IF($A143="","",IF(AH143="exact",10,IF(AH143="adjacent",5,0)))</f>
        <v>0</v>
      </c>
      <c r="ER143" s="0" t="n">
        <f aca="false">IF($A143="","",IF(R143="Y",15,0))</f>
        <v>0</v>
      </c>
      <c r="ES143" s="0" t="s">
        <v>982</v>
      </c>
      <c r="ET143" s="0" t="s">
        <v>983</v>
      </c>
      <c r="EU143" s="0" t="s">
        <v>189</v>
      </c>
      <c r="EV143" s="0" t="s">
        <v>3524</v>
      </c>
      <c r="EW143" s="0" t="s">
        <v>224</v>
      </c>
      <c r="EX143" s="0" t="s">
        <v>3525</v>
      </c>
      <c r="EZ143" s="0" t="s">
        <v>3526</v>
      </c>
      <c r="FS143" s="0" t="str">
        <f aca="false">IF($A143="","",IF(ISNUMBER(MATCH(U143,{"queued","contacted","replied","call_booked","call_done","yes_in_principle","materials_sent"},0)),"Y","N"))</f>
        <v>N</v>
      </c>
      <c r="FT143" s="0" t="str">
        <f aca="false">IF($A143="","",IF(OR(T143="Y",U143="do_not_contact",AS143&amp;""&lt;&gt;""),"Y","N"))</f>
        <v>N</v>
      </c>
      <c r="FU143" s="0" t="str">
        <f aca="false">IF($A143="","",IF(AP143&amp;""&lt;&gt;"",AP143&amp;"",$A143))</f>
        <v>AO-C-221</v>
      </c>
      <c r="FV143" s="0" t="str">
        <f aca="false">IF($A143="","",IF(COUNTIFS($FU$2:$FU$1000,FU143,$FS$2:$FS$1000,"Y")+COUNTIFS($FU$2:$FU$1000,FU143,$FT$2:$FT$1000,"Y")&gt;0,"Y","N"))</f>
        <v>N</v>
      </c>
      <c r="FW143" s="0" t="str">
        <f aca="false">IF($A143="","",IF(AND(U143="new",T143="N",FT143="N",AT143="Y",FV143="N"),"Y","N"))</f>
        <v>N</v>
      </c>
      <c r="FX143" s="0" t="str">
        <f aca="false">IF($A143="","",IF(FW143&lt;&gt;"Y","N",IF(COUNTIFS($FU$2:$FU$1000,FU143,$FW$2:$FW$1000,"Y",$J$2:$J$1000,"&gt;"&amp;J143)+COUNTIFS($FU$2:$FU$1000,FU143,$FW$2:$FW$1000,"Y",$J$2:$J$1000,J143,$GD$2:$GD$1000,"&lt;"&amp;GD143)=0,"Y","N")))</f>
        <v>N</v>
      </c>
      <c r="FY143" s="0" t="str">
        <f aca="false">IF($A143="","",IF(AND(FW143="Y",FX143="Y",Y143&amp;""&lt;&gt;""),IF(Y143&lt;=10,"Y","N"),"N"))</f>
        <v>N</v>
      </c>
      <c r="FZ143" s="0" t="str">
        <f aca="false">IF(FY143="Y",Y143,"")</f>
        <v/>
      </c>
      <c r="GA143" s="0" t="str">
        <f aca="false">IF($A143="","",IF(AND(I143="walk-in",CN143="pass",U143="new",FT143="N",FV143="N",AQ143&lt;&gt;"Y"),"Y","N"))</f>
        <v>N</v>
      </c>
      <c r="GB143" s="0" t="str">
        <f aca="false">IF(GA143&lt;&gt;"Y","",IF(COUNTIFS($GA$2:$GA$1000,"Y",$J$2:$J$1000,"&gt;"&amp;J143)+COUNTIFS($GA$2:$GA$1000,"Y",$J$2:$J$1000,J143,$GD$2:$GD$1000,"&lt;"&amp;GD143)+1&lt;=25,COUNTIFS($GA$2:$GA$1000,"Y",$J$2:$J$1000,"&gt;"&amp;J143)+COUNTIFS($GA$2:$GA$1000,"Y",$J$2:$J$1000,J143,$GD$2:$GD$1000,"&lt;"&amp;GD143)+1,""))</f>
        <v/>
      </c>
      <c r="GC143" s="0" t="str">
        <f aca="false">IF(AND(_xlfn.ISFORMULA(C143),_xlfn.ISFORMULA(J143)),"Y","N")</f>
        <v>N</v>
      </c>
      <c r="GD143" s="0" t="n">
        <f aca="false">ROW()-1</f>
        <v>142</v>
      </c>
    </row>
    <row r="144" customFormat="false" ht="15" hidden="false" customHeight="false" outlineLevel="0" collapsed="false">
      <c r="A144" s="0" t="s">
        <v>3527</v>
      </c>
      <c r="B144" s="0" t="s">
        <v>3528</v>
      </c>
      <c r="C144" s="0" t="s">
        <v>3529</v>
      </c>
      <c r="D144" s="0" t="s">
        <v>3530</v>
      </c>
      <c r="E144" s="0" t="s">
        <v>3531</v>
      </c>
      <c r="F144" s="0" t="s">
        <v>3532</v>
      </c>
      <c r="G144" s="0" t="s">
        <v>189</v>
      </c>
      <c r="M144" s="0" t="s">
        <v>380</v>
      </c>
      <c r="R144" s="5"/>
      <c r="U144" s="5"/>
      <c r="V144" s="0" t="s">
        <v>380</v>
      </c>
      <c r="AE144" s="0" t="s">
        <v>2976</v>
      </c>
      <c r="AF144" s="0" t="s">
        <v>209</v>
      </c>
      <c r="AG144" s="0" t="s">
        <v>3533</v>
      </c>
      <c r="AH144" s="0" t="s">
        <v>1774</v>
      </c>
      <c r="AI144" s="0" t="s">
        <v>3534</v>
      </c>
      <c r="AJ144" s="0" t="s">
        <v>189</v>
      </c>
      <c r="AK144" s="0" t="s">
        <v>1794</v>
      </c>
      <c r="AL144" s="0" t="s">
        <v>189</v>
      </c>
      <c r="AM144" s="0" t="n">
        <v>44</v>
      </c>
      <c r="AN144" s="0" t="s">
        <v>187</v>
      </c>
      <c r="AO144" s="0" t="s">
        <v>512</v>
      </c>
      <c r="AP144" s="0" t="s">
        <v>3527</v>
      </c>
      <c r="AQ144" s="5" t="s">
        <v>189</v>
      </c>
      <c r="AT144" s="0" t="str">
        <f aca="false">IF($A144="","",IF(AND(CN144="pass",AQ144&lt;&gt;"Y",C144&lt;&gt;"",OR(AX144&lt;&gt;"Y",AV144="Y")),"Y","N"))</f>
        <v>N</v>
      </c>
      <c r="AU144" s="0" t="str">
        <f aca="false">IF($A144="","",_xlfn.TEXTJOIN("; ",TRUE(),IF(CN144&lt;&gt;"pass","gated out",""),IF(AQ144="Y","on hold: "&amp;AR144,""),IF(C144="","no contact named on an opened page",""),IF(AND(AX144="Y",AV144&lt;&gt;"Y"),"Tuesday estimate band "&amp;L144&amp;": founder's call","")))</f>
        <v>Tuesday estimate band : founder's call</v>
      </c>
      <c r="AX144" s="0" t="s">
        <v>164</v>
      </c>
      <c r="BC144" s="0" t="str">
        <f aca="false">IF($A144="","",IFERROR(INDEX(Enrichment!$A$2:$GZ$2000,MATCH($A144,INDEX(Enrichment!$A$2:$GZ$2000,0,MATCH("row_id",Enrichment!$A$1:$GZ$1,0)),0),MATCH("work_email",Enrichment!$A$1:$GZ$1,0))&amp;"",""))</f>
        <v/>
      </c>
      <c r="BD144" s="0" t="str">
        <f aca="false">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none</v>
      </c>
      <c r="BF144" s="0" t="s">
        <v>380</v>
      </c>
      <c r="BJ144" s="0" t="s">
        <v>380</v>
      </c>
      <c r="BK144" s="0" t="s">
        <v>2194</v>
      </c>
      <c r="BL144" s="0" t="s">
        <v>896</v>
      </c>
      <c r="BQ144" s="0" t="str">
        <f aca="false">IF($A144="","",IFERROR(INDEX(Enrichment!$A$2:$GZ$2000,MATCH($A144,INDEX(Enrichment!$A$2:$GZ$2000,0,MATCH("row_id",Enrichment!$A$1:$GZ$1,0)),0),MATCH("backup_work_email",Enrichment!$A$1:$GZ$1,0))&amp;"",""))</f>
        <v/>
      </c>
      <c r="BR144" s="0" t="str">
        <f aca="false">IF($A144="","",IF(BQ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none</v>
      </c>
      <c r="BT144" s="0" t="s">
        <v>380</v>
      </c>
      <c r="BX144" s="0" t="s">
        <v>380</v>
      </c>
      <c r="BY144" s="0" t="s">
        <v>1769</v>
      </c>
      <c r="BZ144" s="0" t="s">
        <v>388</v>
      </c>
      <c r="CA144" s="0" t="s">
        <v>3535</v>
      </c>
      <c r="CB144" s="0" t="s">
        <v>196</v>
      </c>
      <c r="CM144" s="0" t="s">
        <v>189</v>
      </c>
      <c r="CN144" s="0" t="s">
        <v>200</v>
      </c>
      <c r="CO144" s="0" t="s">
        <v>201</v>
      </c>
      <c r="CP144" s="0" t="s">
        <v>1</v>
      </c>
      <c r="CQ144" s="0" t="s">
        <v>3536</v>
      </c>
      <c r="CR144" s="0" t="s">
        <v>3529</v>
      </c>
      <c r="CS144" s="0" t="s">
        <v>3533</v>
      </c>
      <c r="CT144" s="0" t="s">
        <v>1774</v>
      </c>
      <c r="CV144" s="0" t="s">
        <v>298</v>
      </c>
      <c r="CW144" s="0" t="s">
        <v>204</v>
      </c>
      <c r="CX144" s="0" t="s">
        <v>205</v>
      </c>
      <c r="CY144" s="0" t="s">
        <v>3537</v>
      </c>
      <c r="DA144" s="0" t="s">
        <v>207</v>
      </c>
      <c r="DB144" s="0" t="s">
        <v>3538</v>
      </c>
      <c r="DC144" s="0" t="s">
        <v>189</v>
      </c>
      <c r="DD144" s="0" t="s">
        <v>209</v>
      </c>
      <c r="DE144" s="0" t="s">
        <v>3534</v>
      </c>
      <c r="DF144" s="0" t="s">
        <v>397</v>
      </c>
      <c r="DG144" s="0" t="n">
        <v>40.738186</v>
      </c>
      <c r="DH144" s="0" t="n">
        <v>-73.992429</v>
      </c>
      <c r="DI144" s="0" t="s">
        <v>164</v>
      </c>
      <c r="DJ144" s="0" t="n">
        <v>0</v>
      </c>
      <c r="DK144" s="0" t="s">
        <v>2983</v>
      </c>
      <c r="DL144" s="0" t="s">
        <v>2976</v>
      </c>
      <c r="DM144" s="0" t="s">
        <v>2984</v>
      </c>
      <c r="DN144" s="0" t="s">
        <v>2985</v>
      </c>
      <c r="DO144" s="0" t="s">
        <v>363</v>
      </c>
      <c r="DS144" s="0" t="s">
        <v>809</v>
      </c>
      <c r="DU144" s="0" t="s">
        <v>189</v>
      </c>
      <c r="DX144" s="0" t="s">
        <v>209</v>
      </c>
      <c r="EA144" s="0" t="s">
        <v>209</v>
      </c>
      <c r="EB144" s="0" t="s">
        <v>189</v>
      </c>
      <c r="EC144" s="0" t="s">
        <v>1680</v>
      </c>
      <c r="ED144" s="0" t="s">
        <v>3539</v>
      </c>
      <c r="EE144" s="0" t="s">
        <v>172</v>
      </c>
      <c r="EF144" s="0" t="n">
        <v>34</v>
      </c>
      <c r="EG144" s="0" t="s">
        <v>1322</v>
      </c>
      <c r="EH144" s="0" t="s">
        <v>164</v>
      </c>
      <c r="EI144" s="0" t="s">
        <v>3540</v>
      </c>
      <c r="EJ144" s="0" t="s">
        <v>221</v>
      </c>
      <c r="EK144" s="0" t="n">
        <v>0.18</v>
      </c>
      <c r="EL144" s="0" t="n">
        <v>34.5</v>
      </c>
      <c r="EM144" s="0" t="n">
        <v>4.5</v>
      </c>
      <c r="EN144" s="0" t="n">
        <v>15</v>
      </c>
      <c r="EO144" s="0" t="n">
        <v>7</v>
      </c>
      <c r="EP144" s="0" t="n">
        <v>8</v>
      </c>
      <c r="EQ144" s="0" t="n">
        <f aca="false">IF($A144="","",IF(AH144="exact",10,IF(AH144="adjacent",5,0)))</f>
        <v>0</v>
      </c>
      <c r="ER144" s="0" t="n">
        <f aca="false">IF($A144="","",IF(R144="Y",15,0))</f>
        <v>0</v>
      </c>
      <c r="ES144" s="0" t="s">
        <v>222</v>
      </c>
      <c r="EV144" s="0" t="s">
        <v>3541</v>
      </c>
      <c r="EW144" s="0" t="s">
        <v>224</v>
      </c>
      <c r="EX144" s="0" t="s">
        <v>3542</v>
      </c>
      <c r="EZ144" s="0" t="s">
        <v>3543</v>
      </c>
      <c r="FS144" s="0" t="str">
        <f aca="false">IF($A144="","",IF(ISNUMBER(MATCH(U144,{"queued","contacted","replied","call_booked","call_done","yes_in_principle","materials_sent"},0)),"Y","N"))</f>
        <v>N</v>
      </c>
      <c r="FT144" s="0" t="str">
        <f aca="false">IF($A144="","",IF(OR(T144="Y",U144="do_not_contact",AS144&amp;""&lt;&gt;""),"Y","N"))</f>
        <v>N</v>
      </c>
      <c r="FU144" s="0" t="str">
        <f aca="false">IF($A144="","",IF(AP144&amp;""&lt;&gt;"",AP144&amp;"",$A144))</f>
        <v>AO-C-025</v>
      </c>
      <c r="FV144" s="0" t="str">
        <f aca="false">IF($A144="","",IF(COUNTIFS($FU$2:$FU$1000,FU144,$FS$2:$FS$1000,"Y")+COUNTIFS($FU$2:$FU$1000,FU144,$FT$2:$FT$1000,"Y")&gt;0,"Y","N"))</f>
        <v>N</v>
      </c>
      <c r="FW144" s="0" t="str">
        <f aca="false">IF($A144="","",IF(AND(U144="new",T144="N",FT144="N",AT144="Y",FV144="N"),"Y","N"))</f>
        <v>N</v>
      </c>
      <c r="FX144" s="0" t="str">
        <f aca="false">IF($A144="","",IF(FW144&lt;&gt;"Y","N",IF(COUNTIFS($FU$2:$FU$1000,FU144,$FW$2:$FW$1000,"Y",$J$2:$J$1000,"&gt;"&amp;J144)+COUNTIFS($FU$2:$FU$1000,FU144,$FW$2:$FW$1000,"Y",$J$2:$J$1000,J144,$GD$2:$GD$1000,"&lt;"&amp;GD144)=0,"Y","N")))</f>
        <v>N</v>
      </c>
      <c r="FY144" s="0" t="str">
        <f aca="false">IF($A144="","",IF(AND(FW144="Y",FX144="Y",Y144&amp;""&lt;&gt;""),IF(Y144&lt;=10,"Y","N"),"N"))</f>
        <v>N</v>
      </c>
      <c r="FZ144" s="0" t="str">
        <f aca="false">IF(FY144="Y",Y144,"")</f>
        <v/>
      </c>
      <c r="GA144" s="0" t="str">
        <f aca="false">IF($A144="","",IF(AND(I144="walk-in",CN144="pass",U144="new",FT144="N",FV144="N",AQ144&lt;&gt;"Y"),"Y","N"))</f>
        <v>N</v>
      </c>
      <c r="GB144" s="0" t="str">
        <f aca="false">IF(GA144&lt;&gt;"Y","",IF(COUNTIFS($GA$2:$GA$1000,"Y",$J$2:$J$1000,"&gt;"&amp;J144)+COUNTIFS($GA$2:$GA$1000,"Y",$J$2:$J$1000,J144,$GD$2:$GD$1000,"&lt;"&amp;GD144)+1&lt;=25,COUNTIFS($GA$2:$GA$1000,"Y",$J$2:$J$1000,"&gt;"&amp;J144)+COUNTIFS($GA$2:$GA$1000,"Y",$J$2:$J$1000,J144,$GD$2:$GD$1000,"&lt;"&amp;GD144)+1,""))</f>
        <v/>
      </c>
      <c r="GC144" s="0" t="str">
        <f aca="false">IF(AND(_xlfn.ISFORMULA(C144),_xlfn.ISFORMULA(J144)),"Y","N")</f>
        <v>N</v>
      </c>
      <c r="GD144" s="0" t="n">
        <f aca="false">ROW()-1</f>
        <v>143</v>
      </c>
    </row>
    <row r="145" customFormat="false" ht="15" hidden="false" customHeight="false" outlineLevel="0" collapsed="false">
      <c r="A145" s="0" t="s">
        <v>3544</v>
      </c>
      <c r="B145" s="0" t="s">
        <v>3545</v>
      </c>
      <c r="C145" s="0" t="s">
        <v>3546</v>
      </c>
      <c r="D145" s="0" t="s">
        <v>3547</v>
      </c>
      <c r="E145" s="0" t="s">
        <v>3548</v>
      </c>
      <c r="F145" s="0" t="s">
        <v>3549</v>
      </c>
      <c r="G145" s="0" t="s">
        <v>189</v>
      </c>
      <c r="M145" s="0" t="s">
        <v>380</v>
      </c>
      <c r="R145" s="5"/>
      <c r="U145" s="5"/>
      <c r="V145" s="0" t="s">
        <v>380</v>
      </c>
      <c r="AE145" s="0" t="s">
        <v>1071</v>
      </c>
      <c r="AF145" s="0" t="s">
        <v>209</v>
      </c>
      <c r="AG145" s="0" t="s">
        <v>3550</v>
      </c>
      <c r="AH145" s="0" t="s">
        <v>1138</v>
      </c>
      <c r="AI145" s="0" t="s">
        <v>209</v>
      </c>
      <c r="AJ145" s="0" t="s">
        <v>189</v>
      </c>
      <c r="AK145" s="0" t="s">
        <v>186</v>
      </c>
      <c r="AL145" s="0" t="s">
        <v>189</v>
      </c>
      <c r="AM145" s="0" t="n">
        <v>209</v>
      </c>
      <c r="AN145" s="0" t="s">
        <v>187</v>
      </c>
      <c r="AO145" s="0" t="s">
        <v>512</v>
      </c>
      <c r="AP145" s="0" t="s">
        <v>3544</v>
      </c>
      <c r="AQ145" s="5" t="s">
        <v>164</v>
      </c>
      <c r="AR145" s="0" t="s">
        <v>2978</v>
      </c>
      <c r="AT145" s="0" t="str">
        <f aca="false">IF($A145="","",IF(AND(CN145="pass",AQ145&lt;&gt;"Y",C145&lt;&gt;"",OR(AX145&lt;&gt;"Y",AV145="Y")),"Y","N"))</f>
        <v>N</v>
      </c>
      <c r="AU145" s="0" t="str">
        <f aca="false">IF($A145="","",_xlfn.TEXTJOIN("; ",TRUE(),IF(CN145&lt;&gt;"pass","gated out",""),IF(AQ145="Y","on hold: "&amp;AR145,""),IF(C145="","no contact named on an opened page",""),IF(AND(AX145="Y",AV145&lt;&gt;"Y"),"Tuesday estimate band "&amp;L145&amp;": founder's call","")))</f>
        <v>on hold: moving out of this address: confirm where the office will be before outreach (B)</v>
      </c>
      <c r="AX145" s="0" t="s">
        <v>189</v>
      </c>
      <c r="BC145" s="0" t="str">
        <f aca="false">IF($A145="","",IFERROR(INDEX(Enrichment!$A$2:$GZ$2000,MATCH($A145,INDEX(Enrichment!$A$2:$GZ$2000,0,MATCH("row_id",Enrichment!$A$1:$GZ$1,0)),0),MATCH("work_email",Enrichment!$A$1:$GZ$1,0))&amp;"",""))</f>
        <v/>
      </c>
      <c r="BD145" s="0" t="str">
        <f aca="false">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none</v>
      </c>
      <c r="BF145" s="0" t="s">
        <v>380</v>
      </c>
      <c r="BJ145" s="0" t="s">
        <v>380</v>
      </c>
      <c r="BL145" s="0" t="s">
        <v>896</v>
      </c>
      <c r="BQ145" s="0" t="str">
        <f aca="false">IF($A145="","",IFERROR(INDEX(Enrichment!$A$2:$GZ$2000,MATCH($A145,INDEX(Enrichment!$A$2:$GZ$2000,0,MATCH("row_id",Enrichment!$A$1:$GZ$1,0)),0),MATCH("backup_work_email",Enrichment!$A$1:$GZ$1,0))&amp;"",""))</f>
        <v/>
      </c>
      <c r="BR145" s="0" t="str">
        <f aca="false">IF($A145="","",IF(BQ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none</v>
      </c>
      <c r="BT145" s="0" t="s">
        <v>380</v>
      </c>
      <c r="BX145" s="0" t="s">
        <v>380</v>
      </c>
      <c r="BY145" s="0" t="s">
        <v>387</v>
      </c>
      <c r="BZ145" s="0" t="s">
        <v>388</v>
      </c>
      <c r="CA145" s="0" t="s">
        <v>3551</v>
      </c>
      <c r="CB145" s="0" t="s">
        <v>196</v>
      </c>
      <c r="CM145" s="0" t="s">
        <v>189</v>
      </c>
      <c r="CN145" s="0" t="s">
        <v>200</v>
      </c>
      <c r="CO145" s="0" t="s">
        <v>201</v>
      </c>
      <c r="CP145" s="0" t="s">
        <v>1</v>
      </c>
      <c r="CQ145" s="0" t="s">
        <v>3552</v>
      </c>
      <c r="CR145" s="0" t="s">
        <v>3546</v>
      </c>
      <c r="CS145" s="0" t="s">
        <v>3550</v>
      </c>
      <c r="CT145" s="0" t="s">
        <v>1138</v>
      </c>
      <c r="CV145" s="0" t="s">
        <v>976</v>
      </c>
      <c r="CW145" s="0" t="s">
        <v>204</v>
      </c>
      <c r="CX145" s="0" t="s">
        <v>205</v>
      </c>
      <c r="CY145" s="0" t="s">
        <v>3553</v>
      </c>
      <c r="DA145" s="0" t="s">
        <v>978</v>
      </c>
      <c r="DB145" s="0" t="s">
        <v>208</v>
      </c>
      <c r="DC145" s="0" t="s">
        <v>189</v>
      </c>
      <c r="DD145" s="0" t="s">
        <v>209</v>
      </c>
      <c r="DE145" s="0" t="s">
        <v>209</v>
      </c>
      <c r="DF145" s="0" t="s">
        <v>525</v>
      </c>
      <c r="DG145" s="0" t="n">
        <v>40.742199</v>
      </c>
      <c r="DH145" s="0" t="n">
        <v>-73.99172</v>
      </c>
      <c r="DI145" s="0" t="s">
        <v>164</v>
      </c>
      <c r="DJ145" s="0" t="n">
        <v>0</v>
      </c>
      <c r="DK145" s="0" t="s">
        <v>1451</v>
      </c>
      <c r="DL145" s="0" t="s">
        <v>1452</v>
      </c>
      <c r="DM145" s="0" t="s">
        <v>1453</v>
      </c>
      <c r="DN145" s="0" t="s">
        <v>1454</v>
      </c>
      <c r="DO145" s="0" t="s">
        <v>363</v>
      </c>
      <c r="DP145" s="0" t="s">
        <v>3554</v>
      </c>
      <c r="DQ145" s="0" t="s">
        <v>3555</v>
      </c>
      <c r="DS145" s="0" t="s">
        <v>187</v>
      </c>
      <c r="DT145" s="0" t="s">
        <v>209</v>
      </c>
      <c r="DU145" s="0" t="s">
        <v>189</v>
      </c>
      <c r="DX145" s="0" t="s">
        <v>267</v>
      </c>
      <c r="DY145" s="0" t="s">
        <v>1453</v>
      </c>
      <c r="EA145" s="0" t="s">
        <v>209</v>
      </c>
      <c r="EB145" s="0" t="s">
        <v>189</v>
      </c>
      <c r="EC145" s="0" t="s">
        <v>1018</v>
      </c>
      <c r="ED145" s="0" t="s">
        <v>3553</v>
      </c>
      <c r="EE145" s="0" t="s">
        <v>172</v>
      </c>
      <c r="EF145" s="0" t="n">
        <v>133</v>
      </c>
      <c r="EH145" s="0" t="s">
        <v>164</v>
      </c>
      <c r="EI145" s="0" t="s">
        <v>3556</v>
      </c>
      <c r="EJ145" s="0" t="s">
        <v>221</v>
      </c>
      <c r="EK145" s="0" t="n">
        <v>1</v>
      </c>
      <c r="EL145" s="0" t="n">
        <v>34</v>
      </c>
      <c r="EM145" s="0" t="n">
        <v>25</v>
      </c>
      <c r="EN145" s="0" t="n">
        <v>2</v>
      </c>
      <c r="EO145" s="0" t="n">
        <v>7</v>
      </c>
      <c r="EP145" s="0" t="n">
        <v>0</v>
      </c>
      <c r="EQ145" s="0" t="n">
        <f aca="false">IF($A145="","",IF(AH145="exact",10,IF(AH145="adjacent",5,0)))</f>
        <v>0</v>
      </c>
      <c r="ER145" s="0" t="n">
        <f aca="false">IF($A145="","",IF(R145="Y",15,0))</f>
        <v>0</v>
      </c>
      <c r="ES145" s="0" t="s">
        <v>982</v>
      </c>
      <c r="ET145" s="0" t="s">
        <v>983</v>
      </c>
      <c r="EU145" s="0" t="s">
        <v>189</v>
      </c>
      <c r="EV145" s="0" t="s">
        <v>3557</v>
      </c>
      <c r="EW145" s="0" t="s">
        <v>224</v>
      </c>
      <c r="EX145" s="0" t="s">
        <v>3558</v>
      </c>
      <c r="FS145" s="0" t="str">
        <f aca="false">IF($A145="","",IF(ISNUMBER(MATCH(U145,{"queued","contacted","replied","call_booked","call_done","yes_in_principle","materials_sent"},0)),"Y","N"))</f>
        <v>N</v>
      </c>
      <c r="FT145" s="0" t="str">
        <f aca="false">IF($A145="","",IF(OR(T145="Y",U145="do_not_contact",AS145&amp;""&lt;&gt;""),"Y","N"))</f>
        <v>N</v>
      </c>
      <c r="FU145" s="0" t="str">
        <f aca="false">IF($A145="","",IF(AP145&amp;""&lt;&gt;"",AP145&amp;"",$A145))</f>
        <v>AO-C-222</v>
      </c>
      <c r="FV145" s="0" t="str">
        <f aca="false">IF($A145="","",IF(COUNTIFS($FU$2:$FU$1000,FU145,$FS$2:$FS$1000,"Y")+COUNTIFS($FU$2:$FU$1000,FU145,$FT$2:$FT$1000,"Y")&gt;0,"Y","N"))</f>
        <v>N</v>
      </c>
      <c r="FW145" s="0" t="str">
        <f aca="false">IF($A145="","",IF(AND(U145="new",T145="N",FT145="N",AT145="Y",FV145="N"),"Y","N"))</f>
        <v>N</v>
      </c>
      <c r="FX145" s="0" t="str">
        <f aca="false">IF($A145="","",IF(FW145&lt;&gt;"Y","N",IF(COUNTIFS($FU$2:$FU$1000,FU145,$FW$2:$FW$1000,"Y",$J$2:$J$1000,"&gt;"&amp;J145)+COUNTIFS($FU$2:$FU$1000,FU145,$FW$2:$FW$1000,"Y",$J$2:$J$1000,J145,$GD$2:$GD$1000,"&lt;"&amp;GD145)=0,"Y","N")))</f>
        <v>N</v>
      </c>
      <c r="FY145" s="0" t="str">
        <f aca="false">IF($A145="","",IF(AND(FW145="Y",FX145="Y",Y145&amp;""&lt;&gt;""),IF(Y145&lt;=10,"Y","N"),"N"))</f>
        <v>N</v>
      </c>
      <c r="FZ145" s="0" t="str">
        <f aca="false">IF(FY145="Y",Y145,"")</f>
        <v/>
      </c>
      <c r="GA145" s="0" t="str">
        <f aca="false">IF($A145="","",IF(AND(I145="walk-in",CN145="pass",U145="new",FT145="N",FV145="N",AQ145&lt;&gt;"Y"),"Y","N"))</f>
        <v>N</v>
      </c>
      <c r="GB145" s="0" t="str">
        <f aca="false">IF(GA145&lt;&gt;"Y","",IF(COUNTIFS($GA$2:$GA$1000,"Y",$J$2:$J$1000,"&gt;"&amp;J145)+COUNTIFS($GA$2:$GA$1000,"Y",$J$2:$J$1000,J145,$GD$2:$GD$1000,"&lt;"&amp;GD145)+1&lt;=25,COUNTIFS($GA$2:$GA$1000,"Y",$J$2:$J$1000,"&gt;"&amp;J145)+COUNTIFS($GA$2:$GA$1000,"Y",$J$2:$J$1000,J145,$GD$2:$GD$1000,"&lt;"&amp;GD145)+1,""))</f>
        <v/>
      </c>
      <c r="GC145" s="0" t="str">
        <f aca="false">IF(AND(_xlfn.ISFORMULA(C145),_xlfn.ISFORMULA(J145)),"Y","N")</f>
        <v>N</v>
      </c>
      <c r="GD145" s="0" t="n">
        <f aca="false">ROW()-1</f>
        <v>144</v>
      </c>
    </row>
    <row r="146" customFormat="false" ht="15" hidden="false" customHeight="false" outlineLevel="0" collapsed="false">
      <c r="A146" s="0" t="s">
        <v>3559</v>
      </c>
      <c r="B146" s="0" t="s">
        <v>3560</v>
      </c>
      <c r="C146" s="0" t="s">
        <v>209</v>
      </c>
      <c r="E146" s="0" t="s">
        <v>3561</v>
      </c>
      <c r="F146" s="0" t="s">
        <v>3549</v>
      </c>
      <c r="G146" s="0" t="s">
        <v>189</v>
      </c>
      <c r="M146" s="0" t="s">
        <v>380</v>
      </c>
      <c r="R146" s="5"/>
      <c r="U146" s="5"/>
      <c r="V146" s="0" t="s">
        <v>380</v>
      </c>
      <c r="AE146" s="0" t="s">
        <v>1436</v>
      </c>
      <c r="AF146" s="0" t="s">
        <v>3562</v>
      </c>
      <c r="AG146" s="0" t="s">
        <v>3563</v>
      </c>
      <c r="AH146" s="0" t="s">
        <v>209</v>
      </c>
      <c r="AI146" s="0" t="s">
        <v>209</v>
      </c>
      <c r="AJ146" s="0" t="s">
        <v>189</v>
      </c>
      <c r="AK146" s="0" t="s">
        <v>209</v>
      </c>
      <c r="AL146" s="0" t="s">
        <v>189</v>
      </c>
      <c r="AM146" s="0" t="s">
        <v>209</v>
      </c>
      <c r="AN146" s="0" t="s">
        <v>380</v>
      </c>
      <c r="AO146" s="0" t="s">
        <v>209</v>
      </c>
      <c r="AP146" s="0" t="s">
        <v>3559</v>
      </c>
      <c r="AQ146" s="5" t="s">
        <v>189</v>
      </c>
      <c r="AT146" s="0" t="str">
        <f aca="false">IF($A146="","",IF(AND(CN146="pass",AQ146&lt;&gt;"Y",C146&lt;&gt;"",OR(AX146&lt;&gt;"Y",AV146="Y")),"Y","N"))</f>
        <v>Y</v>
      </c>
      <c r="AU146" s="0" t="str">
        <f aca="false">IF($A146="","",_xlfn.TEXTJOIN("; ",TRUE(),IF(CN146&lt;&gt;"pass","gated out",""),IF(AQ146="Y","on hold: "&amp;AR146,""),IF(C146="","no contact named on an opened page",""),IF(AND(AX146="Y",AV146&lt;&gt;"Y"),"Tuesday estimate band "&amp;L146&amp;": founder's call","")))</f>
        <v/>
      </c>
      <c r="AX146" s="0" t="s">
        <v>189</v>
      </c>
      <c r="BC146" s="0" t="str">
        <f aca="false">IF($A146="","",IFERROR(INDEX(Enrichment!$A$2:$GZ$2000,MATCH($A146,INDEX(Enrichment!$A$2:$GZ$2000,0,MATCH("row_id",Enrichment!$A$1:$GZ$1,0)),0),MATCH("work_email",Enrichment!$A$1:$GZ$1,0))&amp;"",""))</f>
        <v/>
      </c>
      <c r="BD146" s="0" t="str">
        <f aca="false">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none</v>
      </c>
      <c r="BF146" s="0" t="s">
        <v>380</v>
      </c>
      <c r="BJ146" s="0" t="s">
        <v>380</v>
      </c>
      <c r="BL146" s="0" t="s">
        <v>896</v>
      </c>
      <c r="BQ146" s="0" t="str">
        <f aca="false">IF($A146="","",IFERROR(INDEX(Enrichment!$A$2:$GZ$2000,MATCH($A146,INDEX(Enrichment!$A$2:$GZ$2000,0,MATCH("row_id",Enrichment!$A$1:$GZ$1,0)),0),MATCH("backup_work_email",Enrichment!$A$1:$GZ$1,0))&amp;"",""))</f>
        <v/>
      </c>
      <c r="BR146" s="0" t="str">
        <f aca="false">IF($A146="","",IF(BQ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none</v>
      </c>
      <c r="BT146" s="0" t="s">
        <v>380</v>
      </c>
      <c r="BX146" s="0" t="s">
        <v>380</v>
      </c>
      <c r="BY146" s="0" t="s">
        <v>387</v>
      </c>
      <c r="BZ146" s="0" t="s">
        <v>388</v>
      </c>
      <c r="CA146" s="0" t="s">
        <v>3564</v>
      </c>
      <c r="CB146" s="0" t="s">
        <v>196</v>
      </c>
      <c r="CM146" s="0" t="s">
        <v>189</v>
      </c>
      <c r="CN146" s="0" t="s">
        <v>200</v>
      </c>
      <c r="CO146" s="0" t="s">
        <v>201</v>
      </c>
      <c r="CP146" s="0" t="s">
        <v>1</v>
      </c>
      <c r="CQ146" s="0" t="s">
        <v>3565</v>
      </c>
      <c r="CR146" s="0" t="s">
        <v>209</v>
      </c>
      <c r="CS146" s="0" t="s">
        <v>3563</v>
      </c>
      <c r="CT146" s="0" t="s">
        <v>209</v>
      </c>
      <c r="CV146" s="0" t="s">
        <v>209</v>
      </c>
      <c r="CW146" s="0" t="s">
        <v>209</v>
      </c>
      <c r="CX146" s="0" t="s">
        <v>2712</v>
      </c>
      <c r="DA146" s="0" t="s">
        <v>209</v>
      </c>
      <c r="DB146" s="0" t="s">
        <v>209</v>
      </c>
      <c r="DC146" s="0" t="s">
        <v>209</v>
      </c>
      <c r="DD146" s="0" t="s">
        <v>209</v>
      </c>
      <c r="DE146" s="0" t="s">
        <v>209</v>
      </c>
      <c r="DF146" s="0" t="s">
        <v>210</v>
      </c>
      <c r="DG146" s="0" t="n">
        <v>40.734626</v>
      </c>
      <c r="DH146" s="0" t="n">
        <v>-73.9911</v>
      </c>
      <c r="DI146" s="0" t="s">
        <v>164</v>
      </c>
      <c r="DJ146" s="0" t="n">
        <v>0</v>
      </c>
      <c r="DK146" s="0" t="s">
        <v>1542</v>
      </c>
      <c r="DL146" s="0" t="s">
        <v>1543</v>
      </c>
      <c r="DM146" s="0" t="s">
        <v>3566</v>
      </c>
      <c r="DN146" s="0" t="s">
        <v>806</v>
      </c>
      <c r="DO146" s="0" t="s">
        <v>363</v>
      </c>
      <c r="DP146" s="0" t="s">
        <v>3567</v>
      </c>
      <c r="DQ146" s="0" t="s">
        <v>3568</v>
      </c>
      <c r="DS146" s="0" t="s">
        <v>809</v>
      </c>
      <c r="DU146" s="0" t="s">
        <v>189</v>
      </c>
      <c r="DX146" s="0" t="s">
        <v>267</v>
      </c>
      <c r="DY146" s="0" t="s">
        <v>1548</v>
      </c>
      <c r="EA146" s="0" t="s">
        <v>209</v>
      </c>
      <c r="EB146" s="0" t="s">
        <v>189</v>
      </c>
      <c r="EC146" s="0" t="s">
        <v>209</v>
      </c>
      <c r="EF146" s="0" t="s">
        <v>209</v>
      </c>
      <c r="EH146" s="0" t="s">
        <v>189</v>
      </c>
      <c r="EI146" s="0" t="s">
        <v>2716</v>
      </c>
      <c r="EJ146" s="0" t="s">
        <v>221</v>
      </c>
      <c r="EK146" s="0" t="s">
        <v>209</v>
      </c>
      <c r="EL146" s="0" t="n">
        <v>34</v>
      </c>
      <c r="EM146" s="0" t="n">
        <v>7</v>
      </c>
      <c r="EN146" s="0" t="n">
        <v>8</v>
      </c>
      <c r="EO146" s="0" t="n">
        <v>6</v>
      </c>
      <c r="EP146" s="0" t="n">
        <v>13</v>
      </c>
      <c r="EQ146" s="0" t="n">
        <f aca="false">IF($A146="","",IF(AH146="exact",10,IF(AH146="adjacent",5,0)))</f>
        <v>0</v>
      </c>
      <c r="ER146" s="0" t="n">
        <f aca="false">IF($A146="","",IF(R146="Y",15,0))</f>
        <v>0</v>
      </c>
      <c r="ES146" s="0" t="s">
        <v>222</v>
      </c>
      <c r="EV146" s="0" t="s">
        <v>3569</v>
      </c>
      <c r="EW146" s="0" t="s">
        <v>224</v>
      </c>
      <c r="EX146" s="0" t="s">
        <v>3570</v>
      </c>
      <c r="FS146" s="0" t="str">
        <f aca="false">IF($A146="","",IF(ISNUMBER(MATCH(U146,{"queued","contacted","replied","call_booked","call_done","yes_in_principle","materials_sent"},0)),"Y","N"))</f>
        <v>N</v>
      </c>
      <c r="FT146" s="0" t="str">
        <f aca="false">IF($A146="","",IF(OR(T146="Y",U146="do_not_contact",AS146&amp;""&lt;&gt;""),"Y","N"))</f>
        <v>N</v>
      </c>
      <c r="FU146" s="0" t="str">
        <f aca="false">IF($A146="","",IF(AP146&amp;""&lt;&gt;"",AP146&amp;"",$A146))</f>
        <v>AO-C-002</v>
      </c>
      <c r="FV146" s="0" t="str">
        <f aca="false">IF($A146="","",IF(COUNTIFS($FU$2:$FU$1000,FU146,$FS$2:$FS$1000,"Y")+COUNTIFS($FU$2:$FU$1000,FU146,$FT$2:$FT$1000,"Y")&gt;0,"Y","N"))</f>
        <v>N</v>
      </c>
      <c r="FW146" s="0" t="str">
        <f aca="false">IF($A146="","",IF(AND(U146="new",T146="N",FT146="N",AT146="Y",FV146="N"),"Y","N"))</f>
        <v>N</v>
      </c>
      <c r="FX146" s="0" t="str">
        <f aca="false">IF($A146="","",IF(FW146&lt;&gt;"Y","N",IF(COUNTIFS($FU$2:$FU$1000,FU146,$FW$2:$FW$1000,"Y",$J$2:$J$1000,"&gt;"&amp;J146)+COUNTIFS($FU$2:$FU$1000,FU146,$FW$2:$FW$1000,"Y",$J$2:$J$1000,J146,$GD$2:$GD$1000,"&lt;"&amp;GD146)=0,"Y","N")))</f>
        <v>N</v>
      </c>
      <c r="FY146" s="0" t="str">
        <f aca="false">IF($A146="","",IF(AND(FW146="Y",FX146="Y",Y146&amp;""&lt;&gt;""),IF(Y146&lt;=10,"Y","N"),"N"))</f>
        <v>N</v>
      </c>
      <c r="FZ146" s="0" t="str">
        <f aca="false">IF(FY146="Y",Y146,"")</f>
        <v/>
      </c>
      <c r="GA146" s="0" t="str">
        <f aca="false">IF($A146="","",IF(AND(I146="walk-in",CN146="pass",U146="new",FT146="N",FV146="N",AQ146&lt;&gt;"Y"),"Y","N"))</f>
        <v>N</v>
      </c>
      <c r="GB146" s="0" t="str">
        <f aca="false">IF(GA146&lt;&gt;"Y","",IF(COUNTIFS($GA$2:$GA$1000,"Y",$J$2:$J$1000,"&gt;"&amp;J146)+COUNTIFS($GA$2:$GA$1000,"Y",$J$2:$J$1000,J146,$GD$2:$GD$1000,"&lt;"&amp;GD146)+1&lt;=25,COUNTIFS($GA$2:$GA$1000,"Y",$J$2:$J$1000,"&gt;"&amp;J146)+COUNTIFS($GA$2:$GA$1000,"Y",$J$2:$J$1000,J146,$GD$2:$GD$1000,"&lt;"&amp;GD146)+1,""))</f>
        <v/>
      </c>
      <c r="GC146" s="0" t="str">
        <f aca="false">IF(AND(_xlfn.ISFORMULA(C146),_xlfn.ISFORMULA(J146)),"Y","N")</f>
        <v>N</v>
      </c>
      <c r="GD146" s="0" t="n">
        <f aca="false">ROW()-1</f>
        <v>145</v>
      </c>
    </row>
    <row r="147" customFormat="false" ht="15" hidden="false" customHeight="false" outlineLevel="0" collapsed="false">
      <c r="A147" s="0" t="s">
        <v>3571</v>
      </c>
      <c r="B147" s="0" t="s">
        <v>3572</v>
      </c>
      <c r="C147" s="0" t="s">
        <v>3573</v>
      </c>
      <c r="D147" s="0" t="s">
        <v>3574</v>
      </c>
      <c r="E147" s="0" t="s">
        <v>2412</v>
      </c>
      <c r="F147" s="0" t="s">
        <v>3549</v>
      </c>
      <c r="G147" s="0" t="s">
        <v>189</v>
      </c>
      <c r="M147" s="0" t="s">
        <v>380</v>
      </c>
      <c r="R147" s="5"/>
      <c r="U147" s="5"/>
      <c r="V147" s="0" t="s">
        <v>380</v>
      </c>
      <c r="AE147" s="0" t="s">
        <v>1036</v>
      </c>
      <c r="AF147" s="0" t="s">
        <v>209</v>
      </c>
      <c r="AG147" s="0" t="s">
        <v>3575</v>
      </c>
      <c r="AH147" s="0" t="s">
        <v>209</v>
      </c>
      <c r="AI147" s="0" t="s">
        <v>3576</v>
      </c>
      <c r="AJ147" s="0" t="s">
        <v>189</v>
      </c>
      <c r="AK147" s="0" t="s">
        <v>209</v>
      </c>
      <c r="AL147" s="0" t="s">
        <v>189</v>
      </c>
      <c r="AM147" s="0" t="s">
        <v>209</v>
      </c>
      <c r="AN147" s="0" t="s">
        <v>380</v>
      </c>
      <c r="AO147" s="0" t="s">
        <v>209</v>
      </c>
      <c r="AP147" s="0" t="s">
        <v>3571</v>
      </c>
      <c r="AQ147" s="5" t="s">
        <v>189</v>
      </c>
      <c r="AT147" s="0" t="str">
        <f aca="false">IF($A147="","",IF(AND(CN147="pass",AQ147&lt;&gt;"Y",C147&lt;&gt;"",OR(AX147&lt;&gt;"Y",AV147="Y")),"Y","N"))</f>
        <v>Y</v>
      </c>
      <c r="AU147" s="0" t="str">
        <f aca="false">IF($A147="","",_xlfn.TEXTJOIN("; ",TRUE(),IF(CN147&lt;&gt;"pass","gated out",""),IF(AQ147="Y","on hold: "&amp;AR147,""),IF(C147="","no contact named on an opened page",""),IF(AND(AX147="Y",AV147&lt;&gt;"Y"),"Tuesday estimate band "&amp;L147&amp;": founder's call","")))</f>
        <v/>
      </c>
      <c r="AX147" s="0" t="s">
        <v>189</v>
      </c>
      <c r="BC147" s="0" t="str">
        <f aca="false">IF($A147="","",IFERROR(INDEX(Enrichment!$A$2:$GZ$2000,MATCH($A147,INDEX(Enrichment!$A$2:$GZ$2000,0,MATCH("row_id",Enrichment!$A$1:$GZ$1,0)),0),MATCH("work_email",Enrichment!$A$1:$GZ$1,0))&amp;"",""))</f>
        <v/>
      </c>
      <c r="BD147" s="0" t="str">
        <f aca="false">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none</v>
      </c>
      <c r="BF147" s="0" t="s">
        <v>380</v>
      </c>
      <c r="BJ147" s="0" t="s">
        <v>380</v>
      </c>
      <c r="BL147" s="0" t="s">
        <v>896</v>
      </c>
      <c r="BQ147" s="0" t="str">
        <f aca="false">IF($A147="","",IFERROR(INDEX(Enrichment!$A$2:$GZ$2000,MATCH($A147,INDEX(Enrichment!$A$2:$GZ$2000,0,MATCH("row_id",Enrichment!$A$1:$GZ$1,0)),0),MATCH("backup_work_email",Enrichment!$A$1:$GZ$1,0))&amp;"",""))</f>
        <v/>
      </c>
      <c r="BR147" s="0" t="str">
        <f aca="false">IF($A147="","",IF(BQ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none</v>
      </c>
      <c r="BT147" s="0" t="s">
        <v>380</v>
      </c>
      <c r="BX147" s="0" t="s">
        <v>380</v>
      </c>
      <c r="BY147" s="0" t="s">
        <v>387</v>
      </c>
      <c r="BZ147" s="0" t="s">
        <v>388</v>
      </c>
      <c r="CA147" s="0" t="s">
        <v>3564</v>
      </c>
      <c r="CB147" s="0" t="s">
        <v>196</v>
      </c>
      <c r="CM147" s="0" t="s">
        <v>189</v>
      </c>
      <c r="CN147" s="0" t="s">
        <v>200</v>
      </c>
      <c r="CO147" s="0" t="s">
        <v>201</v>
      </c>
      <c r="CP147" s="0" t="s">
        <v>1</v>
      </c>
      <c r="CQ147" s="0" t="s">
        <v>3577</v>
      </c>
      <c r="CR147" s="0" t="s">
        <v>3573</v>
      </c>
      <c r="CS147" s="0" t="s">
        <v>3575</v>
      </c>
      <c r="CT147" s="0" t="s">
        <v>209</v>
      </c>
      <c r="CV147" s="0" t="s">
        <v>209</v>
      </c>
      <c r="CW147" s="0" t="s">
        <v>209</v>
      </c>
      <c r="CX147" s="0" t="s">
        <v>2712</v>
      </c>
      <c r="DA147" s="0" t="s">
        <v>209</v>
      </c>
      <c r="DB147" s="0" t="s">
        <v>209</v>
      </c>
      <c r="DC147" s="0" t="s">
        <v>209</v>
      </c>
      <c r="DD147" s="0" t="s">
        <v>209</v>
      </c>
      <c r="DE147" s="0" t="s">
        <v>3576</v>
      </c>
      <c r="DF147" s="0" t="s">
        <v>1190</v>
      </c>
      <c r="DG147" s="0" t="n">
        <v>40.744899</v>
      </c>
      <c r="DH147" s="0" t="n">
        <v>-73.989082</v>
      </c>
      <c r="DI147" s="0" t="s">
        <v>164</v>
      </c>
      <c r="DJ147" s="0" t="n">
        <v>0</v>
      </c>
      <c r="DK147" s="0" t="s">
        <v>1418</v>
      </c>
      <c r="DL147" s="0" t="s">
        <v>1419</v>
      </c>
      <c r="DM147" s="0" t="s">
        <v>1420</v>
      </c>
      <c r="DN147" s="0" t="s">
        <v>1421</v>
      </c>
      <c r="DO147" s="0" t="s">
        <v>363</v>
      </c>
      <c r="DS147" s="0" t="s">
        <v>809</v>
      </c>
      <c r="DU147" s="0" t="s">
        <v>189</v>
      </c>
      <c r="DX147" s="0" t="s">
        <v>209</v>
      </c>
      <c r="EA147" s="0" t="s">
        <v>209</v>
      </c>
      <c r="EB147" s="0" t="s">
        <v>189</v>
      </c>
      <c r="EC147" s="0" t="s">
        <v>209</v>
      </c>
      <c r="EF147" s="0" t="s">
        <v>209</v>
      </c>
      <c r="EH147" s="0" t="s">
        <v>189</v>
      </c>
      <c r="EI147" s="0" t="s">
        <v>2716</v>
      </c>
      <c r="EJ147" s="0" t="s">
        <v>221</v>
      </c>
      <c r="EK147" s="0" t="s">
        <v>209</v>
      </c>
      <c r="EL147" s="0" t="n">
        <v>34</v>
      </c>
      <c r="EM147" s="0" t="n">
        <v>7</v>
      </c>
      <c r="EN147" s="0" t="n">
        <v>8</v>
      </c>
      <c r="EO147" s="0" t="n">
        <v>6</v>
      </c>
      <c r="EP147" s="0" t="n">
        <v>13</v>
      </c>
      <c r="EQ147" s="0" t="n">
        <f aca="false">IF($A147="","",IF(AH147="exact",10,IF(AH147="adjacent",5,0)))</f>
        <v>0</v>
      </c>
      <c r="ER147" s="0" t="n">
        <f aca="false">IF($A147="","",IF(R147="Y",15,0))</f>
        <v>0</v>
      </c>
      <c r="ES147" s="0" t="s">
        <v>222</v>
      </c>
      <c r="EV147" s="0" t="s">
        <v>3578</v>
      </c>
      <c r="EW147" s="0" t="s">
        <v>224</v>
      </c>
      <c r="EX147" s="0" t="s">
        <v>3579</v>
      </c>
      <c r="EZ147" s="0" t="s">
        <v>3580</v>
      </c>
      <c r="FS147" s="0" t="str">
        <f aca="false">IF($A147="","",IF(ISNUMBER(MATCH(U147,{"queued","contacted","replied","call_booked","call_done","yes_in_principle","materials_sent"},0)),"Y","N"))</f>
        <v>N</v>
      </c>
      <c r="FT147" s="0" t="str">
        <f aca="false">IF($A147="","",IF(OR(T147="Y",U147="do_not_contact",AS147&amp;""&lt;&gt;""),"Y","N"))</f>
        <v>N</v>
      </c>
      <c r="FU147" s="0" t="str">
        <f aca="false">IF($A147="","",IF(AP147&amp;""&lt;&gt;"",AP147&amp;"",$A147))</f>
        <v>AO-C-154</v>
      </c>
      <c r="FV147" s="0" t="str">
        <f aca="false">IF($A147="","",IF(COUNTIFS($FU$2:$FU$1000,FU147,$FS$2:$FS$1000,"Y")+COUNTIFS($FU$2:$FU$1000,FU147,$FT$2:$FT$1000,"Y")&gt;0,"Y","N"))</f>
        <v>N</v>
      </c>
      <c r="FW147" s="0" t="str">
        <f aca="false">IF($A147="","",IF(AND(U147="new",T147="N",FT147="N",AT147="Y",FV147="N"),"Y","N"))</f>
        <v>N</v>
      </c>
      <c r="FX147" s="0" t="str">
        <f aca="false">IF($A147="","",IF(FW147&lt;&gt;"Y","N",IF(COUNTIFS($FU$2:$FU$1000,FU147,$FW$2:$FW$1000,"Y",$J$2:$J$1000,"&gt;"&amp;J147)+COUNTIFS($FU$2:$FU$1000,FU147,$FW$2:$FW$1000,"Y",$J$2:$J$1000,J147,$GD$2:$GD$1000,"&lt;"&amp;GD147)=0,"Y","N")))</f>
        <v>N</v>
      </c>
      <c r="FY147" s="0" t="str">
        <f aca="false">IF($A147="","",IF(AND(FW147="Y",FX147="Y",Y147&amp;""&lt;&gt;""),IF(Y147&lt;=10,"Y","N"),"N"))</f>
        <v>N</v>
      </c>
      <c r="FZ147" s="0" t="str">
        <f aca="false">IF(FY147="Y",Y147,"")</f>
        <v/>
      </c>
      <c r="GA147" s="0" t="str">
        <f aca="false">IF($A147="","",IF(AND(I147="walk-in",CN147="pass",U147="new",FT147="N",FV147="N",AQ147&lt;&gt;"Y"),"Y","N"))</f>
        <v>N</v>
      </c>
      <c r="GB147" s="0" t="str">
        <f aca="false">IF(GA147&lt;&gt;"Y","",IF(COUNTIFS($GA$2:$GA$1000,"Y",$J$2:$J$1000,"&gt;"&amp;J147)+COUNTIFS($GA$2:$GA$1000,"Y",$J$2:$J$1000,J147,$GD$2:$GD$1000,"&lt;"&amp;GD147)+1&lt;=25,COUNTIFS($GA$2:$GA$1000,"Y",$J$2:$J$1000,"&gt;"&amp;J147)+COUNTIFS($GA$2:$GA$1000,"Y",$J$2:$J$1000,J147,$GD$2:$GD$1000,"&lt;"&amp;GD147)+1,""))</f>
        <v/>
      </c>
      <c r="GC147" s="0" t="str">
        <f aca="false">IF(AND(_xlfn.ISFORMULA(C147),_xlfn.ISFORMULA(J147)),"Y","N")</f>
        <v>N</v>
      </c>
      <c r="GD147" s="0" t="n">
        <f aca="false">ROW()-1</f>
        <v>146</v>
      </c>
    </row>
    <row r="148" customFormat="false" ht="15" hidden="false" customHeight="false" outlineLevel="0" collapsed="false">
      <c r="A148" s="0" t="s">
        <v>3581</v>
      </c>
      <c r="B148" s="0" t="s">
        <v>3582</v>
      </c>
      <c r="C148" s="0" t="s">
        <v>3583</v>
      </c>
      <c r="D148" s="0" t="s">
        <v>3584</v>
      </c>
      <c r="E148" s="0" t="s">
        <v>3585</v>
      </c>
      <c r="F148" s="0" t="s">
        <v>3549</v>
      </c>
      <c r="G148" s="0" t="s">
        <v>189</v>
      </c>
      <c r="M148" s="0" t="s">
        <v>380</v>
      </c>
      <c r="R148" s="5"/>
      <c r="U148" s="5"/>
      <c r="V148" s="0" t="s">
        <v>380</v>
      </c>
      <c r="AE148" s="0" t="s">
        <v>3586</v>
      </c>
      <c r="AF148" s="0" t="s">
        <v>209</v>
      </c>
      <c r="AG148" s="0" t="s">
        <v>3118</v>
      </c>
      <c r="AH148" s="0" t="s">
        <v>209</v>
      </c>
      <c r="AJ148" s="0" t="s">
        <v>189</v>
      </c>
      <c r="AK148" s="0" t="s">
        <v>209</v>
      </c>
      <c r="AL148" s="0" t="s">
        <v>189</v>
      </c>
      <c r="AM148" s="0" t="s">
        <v>209</v>
      </c>
      <c r="AN148" s="0" t="s">
        <v>380</v>
      </c>
      <c r="AO148" s="0" t="s">
        <v>209</v>
      </c>
      <c r="AP148" s="0" t="s">
        <v>3581</v>
      </c>
      <c r="AQ148" s="5" t="s">
        <v>189</v>
      </c>
      <c r="AT148" s="0" t="str">
        <f aca="false">IF($A148="","",IF(AND(CN148="pass",AQ148&lt;&gt;"Y",C148&lt;&gt;"",OR(AX148&lt;&gt;"Y",AV148="Y")),"Y","N"))</f>
        <v>Y</v>
      </c>
      <c r="AU148" s="0" t="str">
        <f aca="false">IF($A148="","",_xlfn.TEXTJOIN("; ",TRUE(),IF(CN148&lt;&gt;"pass","gated out",""),IF(AQ148="Y","on hold: "&amp;AR148,""),IF(C148="","no contact named on an opened page",""),IF(AND(AX148="Y",AV148&lt;&gt;"Y"),"Tuesday estimate band "&amp;L148&amp;": founder's call","")))</f>
        <v/>
      </c>
      <c r="AX148" s="0" t="s">
        <v>189</v>
      </c>
      <c r="BC148" s="0" t="str">
        <f aca="false">IF($A148="","",IFERROR(INDEX(Enrichment!$A$2:$GZ$2000,MATCH($A148,INDEX(Enrichment!$A$2:$GZ$2000,0,MATCH("row_id",Enrichment!$A$1:$GZ$1,0)),0),MATCH("work_email",Enrichment!$A$1:$GZ$1,0))&amp;"",""))</f>
        <v/>
      </c>
      <c r="BD148" s="0" t="str">
        <f aca="false">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none</v>
      </c>
      <c r="BF148" s="0" t="s">
        <v>380</v>
      </c>
      <c r="BJ148" s="0" t="s">
        <v>380</v>
      </c>
      <c r="BL148" s="0" t="s">
        <v>896</v>
      </c>
      <c r="BQ148" s="0" t="str">
        <f aca="false">IF($A148="","",IFERROR(INDEX(Enrichment!$A$2:$GZ$2000,MATCH($A148,INDEX(Enrichment!$A$2:$GZ$2000,0,MATCH("row_id",Enrichment!$A$1:$GZ$1,0)),0),MATCH("backup_work_email",Enrichment!$A$1:$GZ$1,0))&amp;"",""))</f>
        <v/>
      </c>
      <c r="BR148" s="0" t="str">
        <f aca="false">IF($A148="","",IF(BQ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none</v>
      </c>
      <c r="BT148" s="0" t="s">
        <v>380</v>
      </c>
      <c r="BX148" s="0" t="s">
        <v>380</v>
      </c>
      <c r="BY148" s="0" t="s">
        <v>387</v>
      </c>
      <c r="BZ148" s="0" t="s">
        <v>388</v>
      </c>
      <c r="CA148" s="0" t="s">
        <v>3587</v>
      </c>
      <c r="CB148" s="0" t="s">
        <v>196</v>
      </c>
      <c r="CM148" s="0" t="s">
        <v>189</v>
      </c>
      <c r="CN148" s="0" t="s">
        <v>200</v>
      </c>
      <c r="CO148" s="0" t="s">
        <v>201</v>
      </c>
      <c r="CP148" s="0" t="s">
        <v>3121</v>
      </c>
      <c r="CQ148" s="0" t="s">
        <v>3588</v>
      </c>
      <c r="CR148" s="0" t="s">
        <v>3583</v>
      </c>
      <c r="CS148" s="0" t="s">
        <v>3118</v>
      </c>
      <c r="CT148" s="0" t="s">
        <v>209</v>
      </c>
      <c r="CV148" s="0" t="s">
        <v>209</v>
      </c>
      <c r="CW148" s="0" t="s">
        <v>209</v>
      </c>
      <c r="DA148" s="0" t="s">
        <v>209</v>
      </c>
      <c r="DB148" s="0" t="s">
        <v>3123</v>
      </c>
      <c r="DC148" s="0" t="s">
        <v>209</v>
      </c>
      <c r="DD148" s="0" t="s">
        <v>3589</v>
      </c>
      <c r="DF148" s="0" t="s">
        <v>210</v>
      </c>
      <c r="DG148" s="0" t="n">
        <v>40.733674</v>
      </c>
      <c r="DH148" s="0" t="n">
        <v>-73.988766</v>
      </c>
      <c r="DI148" s="0" t="s">
        <v>164</v>
      </c>
      <c r="DJ148" s="0" t="n">
        <v>0</v>
      </c>
      <c r="DK148" s="0" t="s">
        <v>211</v>
      </c>
      <c r="DL148" s="0" t="s">
        <v>212</v>
      </c>
      <c r="DM148" s="0" t="s">
        <v>3590</v>
      </c>
      <c r="DN148" s="0" t="s">
        <v>263</v>
      </c>
      <c r="DO148" s="0" t="s">
        <v>3128</v>
      </c>
      <c r="DS148" s="0" t="s">
        <v>809</v>
      </c>
      <c r="DU148" s="0" t="s">
        <v>189</v>
      </c>
      <c r="DV148" s="0" t="s">
        <v>3588</v>
      </c>
      <c r="DW148" s="0" t="s">
        <v>3130</v>
      </c>
      <c r="DX148" s="0" t="s">
        <v>209</v>
      </c>
      <c r="EA148" s="0" t="s">
        <v>209</v>
      </c>
      <c r="EB148" s="0" t="s">
        <v>189</v>
      </c>
      <c r="EC148" s="0" t="s">
        <v>209</v>
      </c>
      <c r="EF148" s="0" t="s">
        <v>209</v>
      </c>
      <c r="EH148" s="0" t="s">
        <v>189</v>
      </c>
      <c r="EI148" s="0" t="s">
        <v>3131</v>
      </c>
      <c r="EJ148" s="0" t="s">
        <v>221</v>
      </c>
      <c r="EK148" s="0" t="s">
        <v>209</v>
      </c>
      <c r="EL148" s="0" t="n">
        <v>34</v>
      </c>
      <c r="EM148" s="0" t="n">
        <v>7</v>
      </c>
      <c r="EN148" s="0" t="n">
        <v>8</v>
      </c>
      <c r="EO148" s="0" t="n">
        <v>6</v>
      </c>
      <c r="EP148" s="0" t="n">
        <v>13</v>
      </c>
      <c r="EQ148" s="0" t="n">
        <f aca="false">IF($A148="","",IF(AH148="exact",10,IF(AH148="adjacent",5,0)))</f>
        <v>0</v>
      </c>
      <c r="ER148" s="0" t="n">
        <f aca="false">IF($A148="","",IF(R148="Y",15,0))</f>
        <v>0</v>
      </c>
      <c r="ES148" s="0" t="s">
        <v>3121</v>
      </c>
      <c r="EX148" s="0" t="s">
        <v>3591</v>
      </c>
      <c r="FS148" s="0" t="str">
        <f aca="false">IF($A148="","",IF(ISNUMBER(MATCH(U148,{"queued","contacted","replied","call_booked","call_done","yes_in_principle","materials_sent"},0)),"Y","N"))</f>
        <v>N</v>
      </c>
      <c r="FT148" s="0" t="str">
        <f aca="false">IF($A148="","",IF(OR(T148="Y",U148="do_not_contact",AS148&amp;""&lt;&gt;""),"Y","N"))</f>
        <v>N</v>
      </c>
      <c r="FU148" s="0" t="str">
        <f aca="false">IF($A148="","",IF(AP148&amp;""&lt;&gt;"",AP148&amp;"",$A148))</f>
        <v>AO-W-001</v>
      </c>
      <c r="FV148" s="0" t="str">
        <f aca="false">IF($A148="","",IF(COUNTIFS($FU$2:$FU$1000,FU148,$FS$2:$FS$1000,"Y")+COUNTIFS($FU$2:$FU$1000,FU148,$FT$2:$FT$1000,"Y")&gt;0,"Y","N"))</f>
        <v>N</v>
      </c>
      <c r="FW148" s="0" t="str">
        <f aca="false">IF($A148="","",IF(AND(U148="new",T148="N",FT148="N",AT148="Y",FV148="N"),"Y","N"))</f>
        <v>N</v>
      </c>
      <c r="FX148" s="0" t="str">
        <f aca="false">IF($A148="","",IF(FW148&lt;&gt;"Y","N",IF(COUNTIFS($FU$2:$FU$1000,FU148,$FW$2:$FW$1000,"Y",$J$2:$J$1000,"&gt;"&amp;J148)+COUNTIFS($FU$2:$FU$1000,FU148,$FW$2:$FW$1000,"Y",$J$2:$J$1000,J148,$GD$2:$GD$1000,"&lt;"&amp;GD148)=0,"Y","N")))</f>
        <v>N</v>
      </c>
      <c r="FY148" s="0" t="str">
        <f aca="false">IF($A148="","",IF(AND(FW148="Y",FX148="Y",Y148&amp;""&lt;&gt;""),IF(Y148&lt;=10,"Y","N"),"N"))</f>
        <v>N</v>
      </c>
      <c r="FZ148" s="0" t="str">
        <f aca="false">IF(FY148="Y",Y148,"")</f>
        <v/>
      </c>
      <c r="GA148" s="0" t="str">
        <f aca="false">IF($A148="","",IF(AND(I148="walk-in",CN148="pass",U148="new",FT148="N",FV148="N",AQ148&lt;&gt;"Y"),"Y","N"))</f>
        <v>N</v>
      </c>
      <c r="GB148" s="0" t="str">
        <f aca="false">IF(GA148&lt;&gt;"Y","",IF(COUNTIFS($GA$2:$GA$1000,"Y",$J$2:$J$1000,"&gt;"&amp;J148)+COUNTIFS($GA$2:$GA$1000,"Y",$J$2:$J$1000,J148,$GD$2:$GD$1000,"&lt;"&amp;GD148)+1&lt;=25,COUNTIFS($GA$2:$GA$1000,"Y",$J$2:$J$1000,"&gt;"&amp;J148)+COUNTIFS($GA$2:$GA$1000,"Y",$J$2:$J$1000,J148,$GD$2:$GD$1000,"&lt;"&amp;GD148)+1,""))</f>
        <v/>
      </c>
      <c r="GC148" s="0" t="str">
        <f aca="false">IF(AND(_xlfn.ISFORMULA(C148),_xlfn.ISFORMULA(J148)),"Y","N")</f>
        <v>N</v>
      </c>
      <c r="GD148" s="0" t="n">
        <f aca="false">ROW()-1</f>
        <v>147</v>
      </c>
    </row>
    <row r="149" customFormat="false" ht="15" hidden="false" customHeight="false" outlineLevel="0" collapsed="false">
      <c r="A149" s="0" t="s">
        <v>3592</v>
      </c>
      <c r="B149" s="0" t="s">
        <v>3593</v>
      </c>
      <c r="C149" s="0" t="s">
        <v>3594</v>
      </c>
      <c r="D149" s="0" t="s">
        <v>3595</v>
      </c>
      <c r="E149" s="0" t="s">
        <v>3596</v>
      </c>
      <c r="F149" s="0" t="s">
        <v>3549</v>
      </c>
      <c r="G149" s="0" t="s">
        <v>189</v>
      </c>
      <c r="M149" s="0" t="s">
        <v>380</v>
      </c>
      <c r="R149" s="5"/>
      <c r="U149" s="5"/>
      <c r="V149" s="0" t="s">
        <v>380</v>
      </c>
      <c r="AE149" s="0" t="s">
        <v>2354</v>
      </c>
      <c r="AF149" s="0" t="s">
        <v>209</v>
      </c>
      <c r="AG149" s="0" t="s">
        <v>3597</v>
      </c>
      <c r="AH149" s="0" t="s">
        <v>209</v>
      </c>
      <c r="AI149" s="0" t="s">
        <v>3598</v>
      </c>
      <c r="AJ149" s="0" t="s">
        <v>189</v>
      </c>
      <c r="AK149" s="0" t="s">
        <v>209</v>
      </c>
      <c r="AL149" s="0" t="s">
        <v>189</v>
      </c>
      <c r="AM149" s="0" t="s">
        <v>209</v>
      </c>
      <c r="AN149" s="0" t="s">
        <v>380</v>
      </c>
      <c r="AO149" s="0" t="s">
        <v>209</v>
      </c>
      <c r="AP149" s="0" t="s">
        <v>3592</v>
      </c>
      <c r="AQ149" s="5" t="s">
        <v>189</v>
      </c>
      <c r="AT149" s="0" t="str">
        <f aca="false">IF($A149="","",IF(AND(CN149="pass",AQ149&lt;&gt;"Y",C149&lt;&gt;"",OR(AX149&lt;&gt;"Y",AV149="Y")),"Y","N"))</f>
        <v>Y</v>
      </c>
      <c r="AU149" s="0" t="str">
        <f aca="false">IF($A149="","",_xlfn.TEXTJOIN("; ",TRUE(),IF(CN149&lt;&gt;"pass","gated out",""),IF(AQ149="Y","on hold: "&amp;AR149,""),IF(C149="","no contact named on an opened page",""),IF(AND(AX149="Y",AV149&lt;&gt;"Y"),"Tuesday estimate band "&amp;L149&amp;": founder's call","")))</f>
        <v/>
      </c>
      <c r="AX149" s="0" t="s">
        <v>189</v>
      </c>
      <c r="BC149" s="0" t="str">
        <f aca="false">IF($A149="","",IFERROR(INDEX(Enrichment!$A$2:$GZ$2000,MATCH($A149,INDEX(Enrichment!$A$2:$GZ$2000,0,MATCH("row_id",Enrichment!$A$1:$GZ$1,0)),0),MATCH("work_email",Enrichment!$A$1:$GZ$1,0))&amp;"",""))</f>
        <v/>
      </c>
      <c r="BD149" s="0" t="str">
        <f aca="false">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none</v>
      </c>
      <c r="BF149" s="0" t="s">
        <v>380</v>
      </c>
      <c r="BJ149" s="0" t="s">
        <v>380</v>
      </c>
      <c r="BL149" s="0" t="s">
        <v>896</v>
      </c>
      <c r="BQ149" s="0" t="str">
        <f aca="false">IF($A149="","",IFERROR(INDEX(Enrichment!$A$2:$GZ$2000,MATCH($A149,INDEX(Enrichment!$A$2:$GZ$2000,0,MATCH("row_id",Enrichment!$A$1:$GZ$1,0)),0),MATCH("backup_work_email",Enrichment!$A$1:$GZ$1,0))&amp;"",""))</f>
        <v/>
      </c>
      <c r="BR149" s="0" t="str">
        <f aca="false">IF($A149="","",IF(BQ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none</v>
      </c>
      <c r="BT149" s="0" t="s">
        <v>380</v>
      </c>
      <c r="BX149" s="0" t="s">
        <v>380</v>
      </c>
      <c r="BY149" s="0" t="s">
        <v>387</v>
      </c>
      <c r="BZ149" s="0" t="s">
        <v>388</v>
      </c>
      <c r="CA149" s="0" t="s">
        <v>3564</v>
      </c>
      <c r="CB149" s="0" t="s">
        <v>196</v>
      </c>
      <c r="CM149" s="0" t="s">
        <v>189</v>
      </c>
      <c r="CN149" s="0" t="s">
        <v>200</v>
      </c>
      <c r="CO149" s="0" t="s">
        <v>201</v>
      </c>
      <c r="CP149" s="0" t="s">
        <v>1</v>
      </c>
      <c r="CQ149" s="0" t="s">
        <v>3599</v>
      </c>
      <c r="CR149" s="0" t="s">
        <v>3594</v>
      </c>
      <c r="CS149" s="0" t="s">
        <v>3597</v>
      </c>
      <c r="CT149" s="0" t="s">
        <v>209</v>
      </c>
      <c r="CV149" s="0" t="s">
        <v>209</v>
      </c>
      <c r="CW149" s="0" t="s">
        <v>209</v>
      </c>
      <c r="CX149" s="0" t="s">
        <v>2712</v>
      </c>
      <c r="DA149" s="0" t="s">
        <v>209</v>
      </c>
      <c r="DB149" s="0" t="s">
        <v>209</v>
      </c>
      <c r="DC149" s="0" t="s">
        <v>209</v>
      </c>
      <c r="DD149" s="0" t="s">
        <v>209</v>
      </c>
      <c r="DE149" s="0" t="s">
        <v>3598</v>
      </c>
      <c r="DF149" s="0" t="s">
        <v>525</v>
      </c>
      <c r="DG149" s="0" t="n">
        <v>40.741548</v>
      </c>
      <c r="DH149" s="0" t="n">
        <v>-73.993007</v>
      </c>
      <c r="DI149" s="0" t="s">
        <v>164</v>
      </c>
      <c r="DJ149" s="0" t="n">
        <v>0</v>
      </c>
      <c r="DK149" s="0" t="s">
        <v>2226</v>
      </c>
      <c r="DL149" s="0" t="s">
        <v>2227</v>
      </c>
      <c r="DM149" s="0" t="s">
        <v>3600</v>
      </c>
      <c r="DN149" s="0" t="s">
        <v>3601</v>
      </c>
      <c r="DO149" s="0" t="s">
        <v>363</v>
      </c>
      <c r="DP149" s="0" t="s">
        <v>2228</v>
      </c>
      <c r="DQ149" s="0" t="s">
        <v>2229</v>
      </c>
      <c r="DS149" s="0" t="s">
        <v>809</v>
      </c>
      <c r="DU149" s="0" t="s">
        <v>189</v>
      </c>
      <c r="DX149" s="0" t="s">
        <v>209</v>
      </c>
      <c r="EA149" s="0" t="s">
        <v>209</v>
      </c>
      <c r="EB149" s="0" t="s">
        <v>189</v>
      </c>
      <c r="EC149" s="0" t="s">
        <v>209</v>
      </c>
      <c r="EF149" s="0" t="s">
        <v>209</v>
      </c>
      <c r="EH149" s="0" t="s">
        <v>189</v>
      </c>
      <c r="EI149" s="0" t="s">
        <v>2716</v>
      </c>
      <c r="EJ149" s="0" t="s">
        <v>221</v>
      </c>
      <c r="EK149" s="0" t="s">
        <v>209</v>
      </c>
      <c r="EL149" s="0" t="n">
        <v>34</v>
      </c>
      <c r="EM149" s="0" t="n">
        <v>7</v>
      </c>
      <c r="EN149" s="0" t="n">
        <v>8</v>
      </c>
      <c r="EO149" s="0" t="n">
        <v>6</v>
      </c>
      <c r="EP149" s="0" t="n">
        <v>13</v>
      </c>
      <c r="EQ149" s="0" t="n">
        <f aca="false">IF($A149="","",IF(AH149="exact",10,IF(AH149="adjacent",5,0)))</f>
        <v>0</v>
      </c>
      <c r="ER149" s="0" t="n">
        <f aca="false">IF($A149="","",IF(R149="Y",15,0))</f>
        <v>0</v>
      </c>
      <c r="ES149" s="0" t="s">
        <v>222</v>
      </c>
      <c r="EV149" s="0" t="s">
        <v>3602</v>
      </c>
      <c r="EW149" s="0" t="s">
        <v>224</v>
      </c>
      <c r="EX149" s="0" t="s">
        <v>3603</v>
      </c>
      <c r="EZ149" s="0" t="s">
        <v>3604</v>
      </c>
      <c r="FS149" s="0" t="str">
        <f aca="false">IF($A149="","",IF(ISNUMBER(MATCH(U149,{"queued","contacted","replied","call_booked","call_done","yes_in_principle","materials_sent"},0)),"Y","N"))</f>
        <v>N</v>
      </c>
      <c r="FT149" s="0" t="str">
        <f aca="false">IF($A149="","",IF(OR(T149="Y",U149="do_not_contact",AS149&amp;""&lt;&gt;""),"Y","N"))</f>
        <v>N</v>
      </c>
      <c r="FU149" s="0" t="str">
        <f aca="false">IF($A149="","",IF(AP149&amp;""&lt;&gt;"",AP149&amp;"",$A149))</f>
        <v>AO-C-077</v>
      </c>
      <c r="FV149" s="0" t="str">
        <f aca="false">IF($A149="","",IF(COUNTIFS($FU$2:$FU$1000,FU149,$FS$2:$FS$1000,"Y")+COUNTIFS($FU$2:$FU$1000,FU149,$FT$2:$FT$1000,"Y")&gt;0,"Y","N"))</f>
        <v>N</v>
      </c>
      <c r="FW149" s="0" t="str">
        <f aca="false">IF($A149="","",IF(AND(U149="new",T149="N",FT149="N",AT149="Y",FV149="N"),"Y","N"))</f>
        <v>N</v>
      </c>
      <c r="FX149" s="0" t="str">
        <f aca="false">IF($A149="","",IF(FW149&lt;&gt;"Y","N",IF(COUNTIFS($FU$2:$FU$1000,FU149,$FW$2:$FW$1000,"Y",$J$2:$J$1000,"&gt;"&amp;J149)+COUNTIFS($FU$2:$FU$1000,FU149,$FW$2:$FW$1000,"Y",$J$2:$J$1000,J149,$GD$2:$GD$1000,"&lt;"&amp;GD149)=0,"Y","N")))</f>
        <v>N</v>
      </c>
      <c r="FY149" s="0" t="str">
        <f aca="false">IF($A149="","",IF(AND(FW149="Y",FX149="Y",Y149&amp;""&lt;&gt;""),IF(Y149&lt;=10,"Y","N"),"N"))</f>
        <v>N</v>
      </c>
      <c r="FZ149" s="0" t="str">
        <f aca="false">IF(FY149="Y",Y149,"")</f>
        <v/>
      </c>
      <c r="GA149" s="0" t="str">
        <f aca="false">IF($A149="","",IF(AND(I149="walk-in",CN149="pass",U149="new",FT149="N",FV149="N",AQ149&lt;&gt;"Y"),"Y","N"))</f>
        <v>N</v>
      </c>
      <c r="GB149" s="0" t="str">
        <f aca="false">IF(GA149&lt;&gt;"Y","",IF(COUNTIFS($GA$2:$GA$1000,"Y",$J$2:$J$1000,"&gt;"&amp;J149)+COUNTIFS($GA$2:$GA$1000,"Y",$J$2:$J$1000,J149,$GD$2:$GD$1000,"&lt;"&amp;GD149)+1&lt;=25,COUNTIFS($GA$2:$GA$1000,"Y",$J$2:$J$1000,"&gt;"&amp;J149)+COUNTIFS($GA$2:$GA$1000,"Y",$J$2:$J$1000,J149,$GD$2:$GD$1000,"&lt;"&amp;GD149)+1,""))</f>
        <v/>
      </c>
      <c r="GC149" s="0" t="str">
        <f aca="false">IF(AND(_xlfn.ISFORMULA(C149),_xlfn.ISFORMULA(J149)),"Y","N")</f>
        <v>N</v>
      </c>
      <c r="GD149" s="0" t="n">
        <f aca="false">ROW()-1</f>
        <v>148</v>
      </c>
    </row>
    <row r="150" customFormat="false" ht="15" hidden="false" customHeight="false" outlineLevel="0" collapsed="false">
      <c r="A150" s="0" t="s">
        <v>3605</v>
      </c>
      <c r="B150" s="0" t="s">
        <v>3606</v>
      </c>
      <c r="C150" s="0" t="s">
        <v>209</v>
      </c>
      <c r="E150" s="0" t="s">
        <v>3607</v>
      </c>
      <c r="F150" s="0" t="s">
        <v>3549</v>
      </c>
      <c r="G150" s="0" t="s">
        <v>189</v>
      </c>
      <c r="M150" s="0" t="s">
        <v>380</v>
      </c>
      <c r="R150" s="5"/>
      <c r="U150" s="5"/>
      <c r="V150" s="0" t="s">
        <v>380</v>
      </c>
      <c r="AE150" s="0" t="s">
        <v>2976</v>
      </c>
      <c r="AF150" s="0" t="s">
        <v>209</v>
      </c>
      <c r="AG150" s="0" t="s">
        <v>3608</v>
      </c>
      <c r="AH150" s="0" t="s">
        <v>209</v>
      </c>
      <c r="AI150" s="0" t="s">
        <v>209</v>
      </c>
      <c r="AJ150" s="0" t="s">
        <v>189</v>
      </c>
      <c r="AK150" s="0" t="s">
        <v>209</v>
      </c>
      <c r="AL150" s="0" t="s">
        <v>189</v>
      </c>
      <c r="AM150" s="0" t="s">
        <v>209</v>
      </c>
      <c r="AN150" s="0" t="s">
        <v>380</v>
      </c>
      <c r="AO150" s="0" t="s">
        <v>209</v>
      </c>
      <c r="AP150" s="0" t="s">
        <v>3605</v>
      </c>
      <c r="AQ150" s="5" t="s">
        <v>189</v>
      </c>
      <c r="AT150" s="0" t="str">
        <f aca="false">IF($A150="","",IF(AND(CN150="pass",AQ150&lt;&gt;"Y",C150&lt;&gt;"",OR(AX150&lt;&gt;"Y",AV150="Y")),"Y","N"))</f>
        <v>Y</v>
      </c>
      <c r="AU150" s="0" t="str">
        <f aca="false">IF($A150="","",_xlfn.TEXTJOIN("; ",TRUE(),IF(CN150&lt;&gt;"pass","gated out",""),IF(AQ150="Y","on hold: "&amp;AR150,""),IF(C150="","no contact named on an opened page",""),IF(AND(AX150="Y",AV150&lt;&gt;"Y"),"Tuesday estimate band "&amp;L150&amp;": founder's call","")))</f>
        <v/>
      </c>
      <c r="AX150" s="0" t="s">
        <v>189</v>
      </c>
      <c r="BC150" s="0" t="str">
        <f aca="false">IF($A150="","",IFERROR(INDEX(Enrichment!$A$2:$GZ$2000,MATCH($A150,INDEX(Enrichment!$A$2:$GZ$2000,0,MATCH("row_id",Enrichment!$A$1:$GZ$1,0)),0),MATCH("work_email",Enrichment!$A$1:$GZ$1,0))&amp;"",""))</f>
        <v/>
      </c>
      <c r="BD150" s="0" t="str">
        <f aca="false">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none</v>
      </c>
      <c r="BF150" s="0" t="s">
        <v>380</v>
      </c>
      <c r="BJ150" s="0" t="s">
        <v>380</v>
      </c>
      <c r="BL150" s="0" t="s">
        <v>896</v>
      </c>
      <c r="BQ150" s="0" t="str">
        <f aca="false">IF($A150="","",IFERROR(INDEX(Enrichment!$A$2:$GZ$2000,MATCH($A150,INDEX(Enrichment!$A$2:$GZ$2000,0,MATCH("row_id",Enrichment!$A$1:$GZ$1,0)),0),MATCH("backup_work_email",Enrichment!$A$1:$GZ$1,0))&amp;"",""))</f>
        <v/>
      </c>
      <c r="BR150" s="0" t="str">
        <f aca="false">IF($A150="","",IF(BQ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none</v>
      </c>
      <c r="BT150" s="0" t="s">
        <v>380</v>
      </c>
      <c r="BX150" s="0" t="s">
        <v>380</v>
      </c>
      <c r="BY150" s="0" t="s">
        <v>387</v>
      </c>
      <c r="BZ150" s="0" t="s">
        <v>388</v>
      </c>
      <c r="CA150" s="0" t="s">
        <v>3564</v>
      </c>
      <c r="CB150" s="0" t="s">
        <v>196</v>
      </c>
      <c r="CM150" s="0" t="s">
        <v>189</v>
      </c>
      <c r="CN150" s="0" t="s">
        <v>200</v>
      </c>
      <c r="CO150" s="0" t="s">
        <v>201</v>
      </c>
      <c r="CP150" s="0" t="s">
        <v>1</v>
      </c>
      <c r="CQ150" s="0" t="s">
        <v>3609</v>
      </c>
      <c r="CR150" s="0" t="s">
        <v>209</v>
      </c>
      <c r="CS150" s="0" t="s">
        <v>3608</v>
      </c>
      <c r="CT150" s="0" t="s">
        <v>209</v>
      </c>
      <c r="CV150" s="0" t="s">
        <v>209</v>
      </c>
      <c r="CW150" s="0" t="s">
        <v>209</v>
      </c>
      <c r="CX150" s="0" t="s">
        <v>2712</v>
      </c>
      <c r="DA150" s="0" t="s">
        <v>209</v>
      </c>
      <c r="DB150" s="0" t="s">
        <v>209</v>
      </c>
      <c r="DC150" s="0" t="s">
        <v>209</v>
      </c>
      <c r="DD150" s="0" t="s">
        <v>209</v>
      </c>
      <c r="DE150" s="0" t="s">
        <v>209</v>
      </c>
      <c r="DF150" s="0" t="s">
        <v>397</v>
      </c>
      <c r="DG150" s="0" t="n">
        <v>40.738186</v>
      </c>
      <c r="DH150" s="0" t="n">
        <v>-73.992429</v>
      </c>
      <c r="DI150" s="0" t="s">
        <v>164</v>
      </c>
      <c r="DJ150" s="0" t="n">
        <v>0</v>
      </c>
      <c r="DK150" s="0" t="s">
        <v>2983</v>
      </c>
      <c r="DL150" s="0" t="s">
        <v>2976</v>
      </c>
      <c r="DM150" s="0" t="s">
        <v>2984</v>
      </c>
      <c r="DN150" s="0" t="s">
        <v>2985</v>
      </c>
      <c r="DO150" s="0" t="s">
        <v>363</v>
      </c>
      <c r="DS150" s="0" t="s">
        <v>809</v>
      </c>
      <c r="DU150" s="0" t="s">
        <v>189</v>
      </c>
      <c r="DX150" s="0" t="s">
        <v>209</v>
      </c>
      <c r="EA150" s="0" t="s">
        <v>209</v>
      </c>
      <c r="EB150" s="0" t="s">
        <v>189</v>
      </c>
      <c r="EC150" s="0" t="s">
        <v>209</v>
      </c>
      <c r="EF150" s="0" t="s">
        <v>209</v>
      </c>
      <c r="EH150" s="0" t="s">
        <v>189</v>
      </c>
      <c r="EI150" s="0" t="s">
        <v>2716</v>
      </c>
      <c r="EJ150" s="0" t="s">
        <v>221</v>
      </c>
      <c r="EK150" s="0" t="s">
        <v>209</v>
      </c>
      <c r="EL150" s="0" t="n">
        <v>34</v>
      </c>
      <c r="EM150" s="0" t="n">
        <v>7</v>
      </c>
      <c r="EN150" s="0" t="n">
        <v>8</v>
      </c>
      <c r="EO150" s="0" t="n">
        <v>6</v>
      </c>
      <c r="EP150" s="0" t="n">
        <v>13</v>
      </c>
      <c r="EQ150" s="0" t="n">
        <f aca="false">IF($A150="","",IF(AH150="exact",10,IF(AH150="adjacent",5,0)))</f>
        <v>0</v>
      </c>
      <c r="ER150" s="0" t="n">
        <f aca="false">IF($A150="","",IF(R150="Y",15,0))</f>
        <v>0</v>
      </c>
      <c r="ES150" s="0" t="s">
        <v>222</v>
      </c>
      <c r="EX150" s="0" t="s">
        <v>3610</v>
      </c>
      <c r="FS150" s="0" t="str">
        <f aca="false">IF($A150="","",IF(ISNUMBER(MATCH(U150,{"queued","contacted","replied","call_booked","call_done","yes_in_principle","materials_sent"},0)),"Y","N"))</f>
        <v>N</v>
      </c>
      <c r="FT150" s="0" t="str">
        <f aca="false">IF($A150="","",IF(OR(T150="Y",U150="do_not_contact",AS150&amp;""&lt;&gt;""),"Y","N"))</f>
        <v>N</v>
      </c>
      <c r="FU150" s="0" t="str">
        <f aca="false">IF($A150="","",IF(AP150&amp;""&lt;&gt;"",AP150&amp;"",$A150))</f>
        <v>AO-C-022</v>
      </c>
      <c r="FV150" s="0" t="str">
        <f aca="false">IF($A150="","",IF(COUNTIFS($FU$2:$FU$1000,FU150,$FS$2:$FS$1000,"Y")+COUNTIFS($FU$2:$FU$1000,FU150,$FT$2:$FT$1000,"Y")&gt;0,"Y","N"))</f>
        <v>N</v>
      </c>
      <c r="FW150" s="0" t="str">
        <f aca="false">IF($A150="","",IF(AND(U150="new",T150="N",FT150="N",AT150="Y",FV150="N"),"Y","N"))</f>
        <v>N</v>
      </c>
      <c r="FX150" s="0" t="str">
        <f aca="false">IF($A150="","",IF(FW150&lt;&gt;"Y","N",IF(COUNTIFS($FU$2:$FU$1000,FU150,$FW$2:$FW$1000,"Y",$J$2:$J$1000,"&gt;"&amp;J150)+COUNTIFS($FU$2:$FU$1000,FU150,$FW$2:$FW$1000,"Y",$J$2:$J$1000,J150,$GD$2:$GD$1000,"&lt;"&amp;GD150)=0,"Y","N")))</f>
        <v>N</v>
      </c>
      <c r="FY150" s="0" t="str">
        <f aca="false">IF($A150="","",IF(AND(FW150="Y",FX150="Y",Y150&amp;""&lt;&gt;""),IF(Y150&lt;=10,"Y","N"),"N"))</f>
        <v>N</v>
      </c>
      <c r="FZ150" s="0" t="str">
        <f aca="false">IF(FY150="Y",Y150,"")</f>
        <v/>
      </c>
      <c r="GA150" s="0" t="str">
        <f aca="false">IF($A150="","",IF(AND(I150="walk-in",CN150="pass",U150="new",FT150="N",FV150="N",AQ150&lt;&gt;"Y"),"Y","N"))</f>
        <v>N</v>
      </c>
      <c r="GB150" s="0" t="str">
        <f aca="false">IF(GA150&lt;&gt;"Y","",IF(COUNTIFS($GA$2:$GA$1000,"Y",$J$2:$J$1000,"&gt;"&amp;J150)+COUNTIFS($GA$2:$GA$1000,"Y",$J$2:$J$1000,J150,$GD$2:$GD$1000,"&lt;"&amp;GD150)+1&lt;=25,COUNTIFS($GA$2:$GA$1000,"Y",$J$2:$J$1000,"&gt;"&amp;J150)+COUNTIFS($GA$2:$GA$1000,"Y",$J$2:$J$1000,J150,$GD$2:$GD$1000,"&lt;"&amp;GD150)+1,""))</f>
        <v/>
      </c>
      <c r="GC150" s="0" t="str">
        <f aca="false">IF(AND(_xlfn.ISFORMULA(C150),_xlfn.ISFORMULA(J150)),"Y","N")</f>
        <v>N</v>
      </c>
      <c r="GD150" s="0" t="n">
        <f aca="false">ROW()-1</f>
        <v>149</v>
      </c>
    </row>
    <row r="151" customFormat="false" ht="15" hidden="false" customHeight="false" outlineLevel="0" collapsed="false">
      <c r="A151" s="0" t="s">
        <v>3611</v>
      </c>
      <c r="B151" s="0" t="s">
        <v>3612</v>
      </c>
      <c r="C151" s="0" t="s">
        <v>209</v>
      </c>
      <c r="E151" s="0" t="s">
        <v>427</v>
      </c>
      <c r="F151" s="0" t="s">
        <v>3549</v>
      </c>
      <c r="G151" s="0" t="s">
        <v>189</v>
      </c>
      <c r="M151" s="0" t="s">
        <v>380</v>
      </c>
      <c r="R151" s="5"/>
      <c r="U151" s="5"/>
      <c r="V151" s="0" t="s">
        <v>380</v>
      </c>
      <c r="AE151" s="0" t="s">
        <v>3373</v>
      </c>
      <c r="AF151" s="0" t="s">
        <v>209</v>
      </c>
      <c r="AG151" s="0" t="s">
        <v>3613</v>
      </c>
      <c r="AH151" s="0" t="s">
        <v>209</v>
      </c>
      <c r="AI151" s="0" t="s">
        <v>209</v>
      </c>
      <c r="AJ151" s="0" t="s">
        <v>189</v>
      </c>
      <c r="AK151" s="0" t="s">
        <v>209</v>
      </c>
      <c r="AL151" s="0" t="s">
        <v>189</v>
      </c>
      <c r="AM151" s="0" t="s">
        <v>209</v>
      </c>
      <c r="AN151" s="0" t="s">
        <v>380</v>
      </c>
      <c r="AO151" s="0" t="s">
        <v>209</v>
      </c>
      <c r="AP151" s="0" t="s">
        <v>3611</v>
      </c>
      <c r="AQ151" s="5" t="s">
        <v>189</v>
      </c>
      <c r="AT151" s="0" t="str">
        <f aca="false">IF($A151="","",IF(AND(CN151="pass",AQ151&lt;&gt;"Y",C151&lt;&gt;"",OR(AX151&lt;&gt;"Y",AV151="Y")),"Y","N"))</f>
        <v>Y</v>
      </c>
      <c r="AU151" s="0" t="str">
        <f aca="false">IF($A151="","",_xlfn.TEXTJOIN("; ",TRUE(),IF(CN151&lt;&gt;"pass","gated out",""),IF(AQ151="Y","on hold: "&amp;AR151,""),IF(C151="","no contact named on an opened page",""),IF(AND(AX151="Y",AV151&lt;&gt;"Y"),"Tuesday estimate band "&amp;L151&amp;": founder's call","")))</f>
        <v/>
      </c>
      <c r="AX151" s="0" t="s">
        <v>189</v>
      </c>
      <c r="BC151" s="0" t="str">
        <f aca="false">IF($A151="","",IFERROR(INDEX(Enrichment!$A$2:$GZ$2000,MATCH($A151,INDEX(Enrichment!$A$2:$GZ$2000,0,MATCH("row_id",Enrichment!$A$1:$GZ$1,0)),0),MATCH("work_email",Enrichment!$A$1:$GZ$1,0))&amp;"",""))</f>
        <v/>
      </c>
      <c r="BD151" s="0" t="str">
        <f aca="false">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none</v>
      </c>
      <c r="BF151" s="0" t="s">
        <v>380</v>
      </c>
      <c r="BJ151" s="0" t="s">
        <v>380</v>
      </c>
      <c r="BL151" s="0" t="s">
        <v>896</v>
      </c>
      <c r="BQ151" s="0" t="str">
        <f aca="false">IF($A151="","",IFERROR(INDEX(Enrichment!$A$2:$GZ$2000,MATCH($A151,INDEX(Enrichment!$A$2:$GZ$2000,0,MATCH("row_id",Enrichment!$A$1:$GZ$1,0)),0),MATCH("backup_work_email",Enrichment!$A$1:$GZ$1,0))&amp;"",""))</f>
        <v/>
      </c>
      <c r="BR151" s="0" t="str">
        <f aca="false">IF($A151="","",IF(BQ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none</v>
      </c>
      <c r="BT151" s="0" t="s">
        <v>380</v>
      </c>
      <c r="BX151" s="0" t="s">
        <v>380</v>
      </c>
      <c r="BY151" s="0" t="s">
        <v>387</v>
      </c>
      <c r="BZ151" s="0" t="s">
        <v>388</v>
      </c>
      <c r="CA151" s="0" t="s">
        <v>3564</v>
      </c>
      <c r="CB151" s="0" t="s">
        <v>196</v>
      </c>
      <c r="CM151" s="0" t="s">
        <v>189</v>
      </c>
      <c r="CN151" s="0" t="s">
        <v>200</v>
      </c>
      <c r="CO151" s="0" t="s">
        <v>201</v>
      </c>
      <c r="CP151" s="0" t="s">
        <v>1</v>
      </c>
      <c r="CQ151" s="0" t="s">
        <v>3614</v>
      </c>
      <c r="CR151" s="0" t="s">
        <v>209</v>
      </c>
      <c r="CS151" s="0" t="s">
        <v>3613</v>
      </c>
      <c r="CT151" s="0" t="s">
        <v>209</v>
      </c>
      <c r="CV151" s="0" t="s">
        <v>209</v>
      </c>
      <c r="CW151" s="0" t="s">
        <v>209</v>
      </c>
      <c r="CX151" s="0" t="s">
        <v>2712</v>
      </c>
      <c r="DA151" s="0" t="s">
        <v>209</v>
      </c>
      <c r="DB151" s="0" t="s">
        <v>209</v>
      </c>
      <c r="DC151" s="0" t="s">
        <v>209</v>
      </c>
      <c r="DD151" s="0" t="s">
        <v>209</v>
      </c>
      <c r="DE151" s="0" t="s">
        <v>209</v>
      </c>
      <c r="DF151" s="0" t="s">
        <v>1190</v>
      </c>
      <c r="DG151" s="0" t="n">
        <v>40.743942</v>
      </c>
      <c r="DH151" s="0" t="n">
        <v>-73.988072</v>
      </c>
      <c r="DI151" s="0" t="s">
        <v>164</v>
      </c>
      <c r="DJ151" s="0" t="n">
        <v>0</v>
      </c>
      <c r="DK151" s="0" t="s">
        <v>3378</v>
      </c>
      <c r="DL151" s="0" t="s">
        <v>3379</v>
      </c>
      <c r="DM151" s="0" t="s">
        <v>3615</v>
      </c>
      <c r="DN151" s="0" t="s">
        <v>2095</v>
      </c>
      <c r="DO151" s="0" t="s">
        <v>363</v>
      </c>
      <c r="DS151" s="0" t="s">
        <v>809</v>
      </c>
      <c r="DU151" s="0" t="s">
        <v>189</v>
      </c>
      <c r="DX151" s="0" t="s">
        <v>209</v>
      </c>
      <c r="EA151" s="0" t="s">
        <v>209</v>
      </c>
      <c r="EB151" s="0" t="s">
        <v>189</v>
      </c>
      <c r="EC151" s="0" t="s">
        <v>209</v>
      </c>
      <c r="EF151" s="0" t="s">
        <v>209</v>
      </c>
      <c r="EH151" s="0" t="s">
        <v>189</v>
      </c>
      <c r="EI151" s="0" t="s">
        <v>2716</v>
      </c>
      <c r="EJ151" s="0" t="s">
        <v>221</v>
      </c>
      <c r="EK151" s="0" t="s">
        <v>209</v>
      </c>
      <c r="EL151" s="0" t="n">
        <v>34</v>
      </c>
      <c r="EM151" s="0" t="n">
        <v>7</v>
      </c>
      <c r="EN151" s="0" t="n">
        <v>8</v>
      </c>
      <c r="EO151" s="0" t="n">
        <v>6</v>
      </c>
      <c r="EP151" s="0" t="n">
        <v>13</v>
      </c>
      <c r="EQ151" s="0" t="n">
        <f aca="false">IF($A151="","",IF(AH151="exact",10,IF(AH151="adjacent",5,0)))</f>
        <v>0</v>
      </c>
      <c r="ER151" s="0" t="n">
        <f aca="false">IF($A151="","",IF(R151="Y",15,0))</f>
        <v>0</v>
      </c>
      <c r="ES151" s="0" t="s">
        <v>222</v>
      </c>
      <c r="EV151" s="0" t="s">
        <v>2469</v>
      </c>
      <c r="EW151" s="0" t="s">
        <v>224</v>
      </c>
      <c r="EX151" s="0" t="s">
        <v>3616</v>
      </c>
      <c r="FS151" s="0" t="str">
        <f aca="false">IF($A151="","",IF(ISNUMBER(MATCH(U151,{"queued","contacted","replied","call_booked","call_done","yes_in_principle","materials_sent"},0)),"Y","N"))</f>
        <v>N</v>
      </c>
      <c r="FT151" s="0" t="str">
        <f aca="false">IF($A151="","",IF(OR(T151="Y",U151="do_not_contact",AS151&amp;""&lt;&gt;""),"Y","N"))</f>
        <v>N</v>
      </c>
      <c r="FU151" s="0" t="str">
        <f aca="false">IF($A151="","",IF(AP151&amp;""&lt;&gt;"",AP151&amp;"",$A151))</f>
        <v>AO-C-144</v>
      </c>
      <c r="FV151" s="0" t="str">
        <f aca="false">IF($A151="","",IF(COUNTIFS($FU$2:$FU$1000,FU151,$FS$2:$FS$1000,"Y")+COUNTIFS($FU$2:$FU$1000,FU151,$FT$2:$FT$1000,"Y")&gt;0,"Y","N"))</f>
        <v>N</v>
      </c>
      <c r="FW151" s="0" t="str">
        <f aca="false">IF($A151="","",IF(AND(U151="new",T151="N",FT151="N",AT151="Y",FV151="N"),"Y","N"))</f>
        <v>N</v>
      </c>
      <c r="FX151" s="0" t="str">
        <f aca="false">IF($A151="","",IF(FW151&lt;&gt;"Y","N",IF(COUNTIFS($FU$2:$FU$1000,FU151,$FW$2:$FW$1000,"Y",$J$2:$J$1000,"&gt;"&amp;J151)+COUNTIFS($FU$2:$FU$1000,FU151,$FW$2:$FW$1000,"Y",$J$2:$J$1000,J151,$GD$2:$GD$1000,"&lt;"&amp;GD151)=0,"Y","N")))</f>
        <v>N</v>
      </c>
      <c r="FY151" s="0" t="str">
        <f aca="false">IF($A151="","",IF(AND(FW151="Y",FX151="Y",Y151&amp;""&lt;&gt;""),IF(Y151&lt;=10,"Y","N"),"N"))</f>
        <v>N</v>
      </c>
      <c r="FZ151" s="0" t="str">
        <f aca="false">IF(FY151="Y",Y151,"")</f>
        <v/>
      </c>
      <c r="GA151" s="0" t="str">
        <f aca="false">IF($A151="","",IF(AND(I151="walk-in",CN151="pass",U151="new",FT151="N",FV151="N",AQ151&lt;&gt;"Y"),"Y","N"))</f>
        <v>N</v>
      </c>
      <c r="GB151" s="0" t="str">
        <f aca="false">IF(GA151&lt;&gt;"Y","",IF(COUNTIFS($GA$2:$GA$1000,"Y",$J$2:$J$1000,"&gt;"&amp;J151)+COUNTIFS($GA$2:$GA$1000,"Y",$J$2:$J$1000,J151,$GD$2:$GD$1000,"&lt;"&amp;GD151)+1&lt;=25,COUNTIFS($GA$2:$GA$1000,"Y",$J$2:$J$1000,"&gt;"&amp;J151)+COUNTIFS($GA$2:$GA$1000,"Y",$J$2:$J$1000,J151,$GD$2:$GD$1000,"&lt;"&amp;GD151)+1,""))</f>
        <v/>
      </c>
      <c r="GC151" s="0" t="str">
        <f aca="false">IF(AND(_xlfn.ISFORMULA(C151),_xlfn.ISFORMULA(J151)),"Y","N")</f>
        <v>N</v>
      </c>
      <c r="GD151" s="0" t="n">
        <f aca="false">ROW()-1</f>
        <v>150</v>
      </c>
    </row>
    <row r="152" customFormat="false" ht="15" hidden="false" customHeight="false" outlineLevel="0" collapsed="false">
      <c r="A152" s="0" t="s">
        <v>3617</v>
      </c>
      <c r="B152" s="0" t="s">
        <v>3618</v>
      </c>
      <c r="C152" s="0" t="s">
        <v>3619</v>
      </c>
      <c r="D152" s="0" t="s">
        <v>3620</v>
      </c>
      <c r="E152" s="0" t="s">
        <v>3621</v>
      </c>
      <c r="F152" s="0" t="s">
        <v>3549</v>
      </c>
      <c r="G152" s="0" t="s">
        <v>189</v>
      </c>
      <c r="M152" s="0" t="s">
        <v>380</v>
      </c>
      <c r="R152" s="5"/>
      <c r="U152" s="5"/>
      <c r="V152" s="0" t="s">
        <v>380</v>
      </c>
      <c r="AE152" s="0" t="s">
        <v>2634</v>
      </c>
      <c r="AF152" s="0" t="s">
        <v>374</v>
      </c>
      <c r="AG152" s="0" t="s">
        <v>3622</v>
      </c>
      <c r="AH152" s="0" t="s">
        <v>209</v>
      </c>
      <c r="AI152" s="0" t="s">
        <v>3623</v>
      </c>
      <c r="AJ152" s="0" t="s">
        <v>189</v>
      </c>
      <c r="AK152" s="0" t="s">
        <v>209</v>
      </c>
      <c r="AL152" s="0" t="s">
        <v>189</v>
      </c>
      <c r="AM152" s="0" t="s">
        <v>209</v>
      </c>
      <c r="AN152" s="0" t="s">
        <v>380</v>
      </c>
      <c r="AO152" s="0" t="s">
        <v>209</v>
      </c>
      <c r="AP152" s="0" t="s">
        <v>3617</v>
      </c>
      <c r="AQ152" s="5" t="s">
        <v>189</v>
      </c>
      <c r="AT152" s="0" t="str">
        <f aca="false">IF($A152="","",IF(AND(CN152="pass",AQ152&lt;&gt;"Y",C152&lt;&gt;"",OR(AX152&lt;&gt;"Y",AV152="Y")),"Y","N"))</f>
        <v>Y</v>
      </c>
      <c r="AU152" s="0" t="str">
        <f aca="false">IF($A152="","",_xlfn.TEXTJOIN("; ",TRUE(),IF(CN152&lt;&gt;"pass","gated out",""),IF(AQ152="Y","on hold: "&amp;AR152,""),IF(C152="","no contact named on an opened page",""),IF(AND(AX152="Y",AV152&lt;&gt;"Y"),"Tuesday estimate band "&amp;L152&amp;": founder's call","")))</f>
        <v/>
      </c>
      <c r="AX152" s="0" t="s">
        <v>189</v>
      </c>
      <c r="BC152" s="0" t="str">
        <f aca="false">IF($A152="","",IFERROR(INDEX(Enrichment!$A$2:$GZ$2000,MATCH($A152,INDEX(Enrichment!$A$2:$GZ$2000,0,MATCH("row_id",Enrichment!$A$1:$GZ$1,0)),0),MATCH("work_email",Enrichment!$A$1:$GZ$1,0))&amp;"",""))</f>
        <v/>
      </c>
      <c r="BD152" s="0" t="str">
        <f aca="false">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none</v>
      </c>
      <c r="BF152" s="0" t="s">
        <v>380</v>
      </c>
      <c r="BJ152" s="0" t="s">
        <v>380</v>
      </c>
      <c r="BL152" s="0" t="s">
        <v>896</v>
      </c>
      <c r="BQ152" s="0" t="str">
        <f aca="false">IF($A152="","",IFERROR(INDEX(Enrichment!$A$2:$GZ$2000,MATCH($A152,INDEX(Enrichment!$A$2:$GZ$2000,0,MATCH("row_id",Enrichment!$A$1:$GZ$1,0)),0),MATCH("backup_work_email",Enrichment!$A$1:$GZ$1,0))&amp;"",""))</f>
        <v/>
      </c>
      <c r="BR152" s="0" t="str">
        <f aca="false">IF($A152="","",IF(BQ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none</v>
      </c>
      <c r="BT152" s="0" t="s">
        <v>380</v>
      </c>
      <c r="BX152" s="0" t="s">
        <v>380</v>
      </c>
      <c r="BY152" s="0" t="s">
        <v>387</v>
      </c>
      <c r="BZ152" s="0" t="s">
        <v>388</v>
      </c>
      <c r="CA152" s="0" t="s">
        <v>3564</v>
      </c>
      <c r="CB152" s="0" t="s">
        <v>196</v>
      </c>
      <c r="CM152" s="0" t="s">
        <v>189</v>
      </c>
      <c r="CN152" s="0" t="s">
        <v>200</v>
      </c>
      <c r="CO152" s="0" t="s">
        <v>201</v>
      </c>
      <c r="CP152" s="0" t="s">
        <v>1</v>
      </c>
      <c r="CQ152" s="0" t="s">
        <v>3624</v>
      </c>
      <c r="CR152" s="0" t="s">
        <v>3619</v>
      </c>
      <c r="CS152" s="0" t="s">
        <v>3622</v>
      </c>
      <c r="CT152" s="0" t="s">
        <v>209</v>
      </c>
      <c r="CV152" s="0" t="s">
        <v>209</v>
      </c>
      <c r="CW152" s="0" t="s">
        <v>209</v>
      </c>
      <c r="CX152" s="0" t="s">
        <v>2712</v>
      </c>
      <c r="DA152" s="0" t="s">
        <v>209</v>
      </c>
      <c r="DB152" s="0" t="s">
        <v>209</v>
      </c>
      <c r="DC152" s="0" t="s">
        <v>209</v>
      </c>
      <c r="DD152" s="0" t="s">
        <v>209</v>
      </c>
      <c r="DE152" s="0" t="s">
        <v>3623</v>
      </c>
      <c r="DF152" s="0" t="s">
        <v>525</v>
      </c>
      <c r="DG152" s="0" t="n">
        <v>40.74118</v>
      </c>
      <c r="DH152" s="0" t="n">
        <v>-73.99129</v>
      </c>
      <c r="DI152" s="0" t="s">
        <v>164</v>
      </c>
      <c r="DJ152" s="0" t="n">
        <v>0</v>
      </c>
      <c r="DK152" s="0" t="s">
        <v>2583</v>
      </c>
      <c r="DL152" s="0" t="s">
        <v>2584</v>
      </c>
      <c r="DM152" s="0" t="s">
        <v>3625</v>
      </c>
      <c r="DN152" s="0" t="s">
        <v>263</v>
      </c>
      <c r="DO152" s="0" t="s">
        <v>214</v>
      </c>
      <c r="DP152" s="0" t="s">
        <v>3626</v>
      </c>
      <c r="DQ152" s="0" t="s">
        <v>3627</v>
      </c>
      <c r="DS152" s="0" t="s">
        <v>809</v>
      </c>
      <c r="DU152" s="0" t="s">
        <v>189</v>
      </c>
      <c r="DX152" s="0" t="s">
        <v>209</v>
      </c>
      <c r="EA152" s="0" t="s">
        <v>209</v>
      </c>
      <c r="EB152" s="0" t="s">
        <v>189</v>
      </c>
      <c r="EC152" s="0" t="s">
        <v>209</v>
      </c>
      <c r="EF152" s="0" t="s">
        <v>209</v>
      </c>
      <c r="EH152" s="0" t="s">
        <v>189</v>
      </c>
      <c r="EI152" s="0" t="s">
        <v>2716</v>
      </c>
      <c r="EJ152" s="0" t="s">
        <v>221</v>
      </c>
      <c r="EK152" s="0" t="s">
        <v>209</v>
      </c>
      <c r="EL152" s="0" t="n">
        <v>34</v>
      </c>
      <c r="EM152" s="0" t="n">
        <v>7</v>
      </c>
      <c r="EN152" s="0" t="n">
        <v>8</v>
      </c>
      <c r="EO152" s="0" t="n">
        <v>6</v>
      </c>
      <c r="EP152" s="0" t="n">
        <v>13</v>
      </c>
      <c r="EQ152" s="0" t="n">
        <f aca="false">IF($A152="","",IF(AH152="exact",10,IF(AH152="adjacent",5,0)))</f>
        <v>0</v>
      </c>
      <c r="ER152" s="0" t="n">
        <f aca="false">IF($A152="","",IF(R152="Y",15,0))</f>
        <v>0</v>
      </c>
      <c r="ES152" s="0" t="s">
        <v>222</v>
      </c>
      <c r="EV152" s="0" t="s">
        <v>2918</v>
      </c>
      <c r="EW152" s="0" t="s">
        <v>224</v>
      </c>
      <c r="EX152" s="0" t="s">
        <v>3628</v>
      </c>
      <c r="EZ152" s="0" t="s">
        <v>3629</v>
      </c>
      <c r="FS152" s="0" t="str">
        <f aca="false">IF($A152="","",IF(ISNUMBER(MATCH(U152,{"queued","contacted","replied","call_booked","call_done","yes_in_principle","materials_sent"},0)),"Y","N"))</f>
        <v>N</v>
      </c>
      <c r="FT152" s="0" t="str">
        <f aca="false">IF($A152="","",IF(OR(T152="Y",U152="do_not_contact",AS152&amp;""&lt;&gt;""),"Y","N"))</f>
        <v>N</v>
      </c>
      <c r="FU152" s="0" t="str">
        <f aca="false">IF($A152="","",IF(AP152&amp;""&lt;&gt;"",AP152&amp;"",$A152))</f>
        <v>AO-C-088</v>
      </c>
      <c r="FV152" s="0" t="str">
        <f aca="false">IF($A152="","",IF(COUNTIFS($FU$2:$FU$1000,FU152,$FS$2:$FS$1000,"Y")+COUNTIFS($FU$2:$FU$1000,FU152,$FT$2:$FT$1000,"Y")&gt;0,"Y","N"))</f>
        <v>N</v>
      </c>
      <c r="FW152" s="0" t="str">
        <f aca="false">IF($A152="","",IF(AND(U152="new",T152="N",FT152="N",AT152="Y",FV152="N"),"Y","N"))</f>
        <v>N</v>
      </c>
      <c r="FX152" s="0" t="str">
        <f aca="false">IF($A152="","",IF(FW152&lt;&gt;"Y","N",IF(COUNTIFS($FU$2:$FU$1000,FU152,$FW$2:$FW$1000,"Y",$J$2:$J$1000,"&gt;"&amp;J152)+COUNTIFS($FU$2:$FU$1000,FU152,$FW$2:$FW$1000,"Y",$J$2:$J$1000,J152,$GD$2:$GD$1000,"&lt;"&amp;GD152)=0,"Y","N")))</f>
        <v>N</v>
      </c>
      <c r="FY152" s="0" t="str">
        <f aca="false">IF($A152="","",IF(AND(FW152="Y",FX152="Y",Y152&amp;""&lt;&gt;""),IF(Y152&lt;=10,"Y","N"),"N"))</f>
        <v>N</v>
      </c>
      <c r="FZ152" s="0" t="str">
        <f aca="false">IF(FY152="Y",Y152,"")</f>
        <v/>
      </c>
      <c r="GA152" s="0" t="str">
        <f aca="false">IF($A152="","",IF(AND(I152="walk-in",CN152="pass",U152="new",FT152="N",FV152="N",AQ152&lt;&gt;"Y"),"Y","N"))</f>
        <v>N</v>
      </c>
      <c r="GB152" s="0" t="str">
        <f aca="false">IF(GA152&lt;&gt;"Y","",IF(COUNTIFS($GA$2:$GA$1000,"Y",$J$2:$J$1000,"&gt;"&amp;J152)+COUNTIFS($GA$2:$GA$1000,"Y",$J$2:$J$1000,J152,$GD$2:$GD$1000,"&lt;"&amp;GD152)+1&lt;=25,COUNTIFS($GA$2:$GA$1000,"Y",$J$2:$J$1000,"&gt;"&amp;J152)+COUNTIFS($GA$2:$GA$1000,"Y",$J$2:$J$1000,J152,$GD$2:$GD$1000,"&lt;"&amp;GD152)+1,""))</f>
        <v/>
      </c>
      <c r="GC152" s="0" t="str">
        <f aca="false">IF(AND(_xlfn.ISFORMULA(C152),_xlfn.ISFORMULA(J152)),"Y","N")</f>
        <v>N</v>
      </c>
      <c r="GD152" s="0" t="n">
        <f aca="false">ROW()-1</f>
        <v>151</v>
      </c>
    </row>
    <row r="153" customFormat="false" ht="15" hidden="false" customHeight="false" outlineLevel="0" collapsed="false">
      <c r="A153" s="0" t="s">
        <v>3630</v>
      </c>
      <c r="B153" s="0" t="s">
        <v>3631</v>
      </c>
      <c r="C153" s="0" t="s">
        <v>3632</v>
      </c>
      <c r="D153" s="0" t="s">
        <v>3633</v>
      </c>
      <c r="E153" s="0" t="s">
        <v>3634</v>
      </c>
      <c r="F153" s="0" t="s">
        <v>3549</v>
      </c>
      <c r="G153" s="0" t="s">
        <v>189</v>
      </c>
      <c r="M153" s="0" t="s">
        <v>380</v>
      </c>
      <c r="R153" s="5"/>
      <c r="U153" s="5"/>
      <c r="V153" s="0" t="s">
        <v>380</v>
      </c>
      <c r="AE153" s="0" t="s">
        <v>734</v>
      </c>
      <c r="AF153" s="0" t="s">
        <v>209</v>
      </c>
      <c r="AG153" s="0" t="s">
        <v>3271</v>
      </c>
      <c r="AH153" s="0" t="s">
        <v>209</v>
      </c>
      <c r="AI153" s="0" t="s">
        <v>209</v>
      </c>
      <c r="AJ153" s="0" t="s">
        <v>189</v>
      </c>
      <c r="AK153" s="0" t="s">
        <v>209</v>
      </c>
      <c r="AL153" s="0" t="s">
        <v>189</v>
      </c>
      <c r="AM153" s="0" t="s">
        <v>209</v>
      </c>
      <c r="AN153" s="0" t="s">
        <v>380</v>
      </c>
      <c r="AO153" s="0" t="s">
        <v>209</v>
      </c>
      <c r="AP153" s="0" t="s">
        <v>3630</v>
      </c>
      <c r="AQ153" s="5" t="s">
        <v>189</v>
      </c>
      <c r="AT153" s="0" t="str">
        <f aca="false">IF($A153="","",IF(AND(CN153="pass",AQ153&lt;&gt;"Y",C153&lt;&gt;"",OR(AX153&lt;&gt;"Y",AV153="Y")),"Y","N"))</f>
        <v>Y</v>
      </c>
      <c r="AU153" s="0" t="str">
        <f aca="false">IF($A153="","",_xlfn.TEXTJOIN("; ",TRUE(),IF(CN153&lt;&gt;"pass","gated out",""),IF(AQ153="Y","on hold: "&amp;AR153,""),IF(C153="","no contact named on an opened page",""),IF(AND(AX153="Y",AV153&lt;&gt;"Y"),"Tuesday estimate band "&amp;L153&amp;": founder's call","")))</f>
        <v/>
      </c>
      <c r="AX153" s="0" t="s">
        <v>189</v>
      </c>
      <c r="BC153" s="0" t="str">
        <f aca="false">IF($A153="","",IFERROR(INDEX(Enrichment!$A$2:$GZ$2000,MATCH($A153,INDEX(Enrichment!$A$2:$GZ$2000,0,MATCH("row_id",Enrichment!$A$1:$GZ$1,0)),0),MATCH("work_email",Enrichment!$A$1:$GZ$1,0))&amp;"",""))</f>
        <v/>
      </c>
      <c r="BD153" s="0" t="str">
        <f aca="false">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none</v>
      </c>
      <c r="BF153" s="0" t="s">
        <v>380</v>
      </c>
      <c r="BJ153" s="0" t="s">
        <v>380</v>
      </c>
      <c r="BL153" s="0" t="s">
        <v>896</v>
      </c>
      <c r="BQ153" s="0" t="str">
        <f aca="false">IF($A153="","",IFERROR(INDEX(Enrichment!$A$2:$GZ$2000,MATCH($A153,INDEX(Enrichment!$A$2:$GZ$2000,0,MATCH("row_id",Enrichment!$A$1:$GZ$1,0)),0),MATCH("backup_work_email",Enrichment!$A$1:$GZ$1,0))&amp;"",""))</f>
        <v/>
      </c>
      <c r="BR153" s="0" t="str">
        <f aca="false">IF($A153="","",IF(BQ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none</v>
      </c>
      <c r="BT153" s="0" t="s">
        <v>380</v>
      </c>
      <c r="BX153" s="0" t="s">
        <v>380</v>
      </c>
      <c r="BY153" s="0" t="s">
        <v>387</v>
      </c>
      <c r="BZ153" s="0" t="s">
        <v>388</v>
      </c>
      <c r="CA153" s="0" t="s">
        <v>3564</v>
      </c>
      <c r="CB153" s="0" t="s">
        <v>196</v>
      </c>
      <c r="CM153" s="0" t="s">
        <v>189</v>
      </c>
      <c r="CN153" s="0" t="s">
        <v>200</v>
      </c>
      <c r="CO153" s="0" t="s">
        <v>201</v>
      </c>
      <c r="CP153" s="0" t="s">
        <v>1</v>
      </c>
      <c r="CQ153" s="0" t="s">
        <v>3635</v>
      </c>
      <c r="CR153" s="0" t="s">
        <v>3632</v>
      </c>
      <c r="CS153" s="0" t="s">
        <v>3271</v>
      </c>
      <c r="CT153" s="0" t="s">
        <v>209</v>
      </c>
      <c r="CV153" s="0" t="s">
        <v>209</v>
      </c>
      <c r="CW153" s="0" t="s">
        <v>209</v>
      </c>
      <c r="CX153" s="0" t="s">
        <v>2712</v>
      </c>
      <c r="DA153" s="0" t="s">
        <v>209</v>
      </c>
      <c r="DB153" s="0" t="s">
        <v>209</v>
      </c>
      <c r="DC153" s="0" t="s">
        <v>209</v>
      </c>
      <c r="DD153" s="0" t="s">
        <v>209</v>
      </c>
      <c r="DE153" s="0" t="s">
        <v>209</v>
      </c>
      <c r="DF153" s="0" t="s">
        <v>525</v>
      </c>
      <c r="DG153" s="0" t="n">
        <v>40.743309</v>
      </c>
      <c r="DH153" s="0" t="n">
        <v>-73.987329</v>
      </c>
      <c r="DI153" s="0" t="s">
        <v>164</v>
      </c>
      <c r="DJ153" s="0" t="n">
        <v>0</v>
      </c>
      <c r="DK153" s="0" t="s">
        <v>940</v>
      </c>
      <c r="DL153" s="0" t="s">
        <v>941</v>
      </c>
      <c r="DM153" s="0" t="s">
        <v>2143</v>
      </c>
      <c r="DN153" s="0" t="s">
        <v>2144</v>
      </c>
      <c r="DO153" s="0" t="s">
        <v>363</v>
      </c>
      <c r="DP153" s="0" t="s">
        <v>3636</v>
      </c>
      <c r="DQ153" s="0" t="s">
        <v>3637</v>
      </c>
      <c r="DS153" s="0" t="s">
        <v>809</v>
      </c>
      <c r="DU153" s="0" t="s">
        <v>189</v>
      </c>
      <c r="DX153" s="0" t="s">
        <v>209</v>
      </c>
      <c r="EA153" s="0" t="s">
        <v>209</v>
      </c>
      <c r="EB153" s="0" t="s">
        <v>189</v>
      </c>
      <c r="EC153" s="0" t="s">
        <v>209</v>
      </c>
      <c r="EF153" s="0" t="s">
        <v>209</v>
      </c>
      <c r="EH153" s="0" t="s">
        <v>189</v>
      </c>
      <c r="EI153" s="0" t="s">
        <v>2716</v>
      </c>
      <c r="EJ153" s="0" t="s">
        <v>221</v>
      </c>
      <c r="EK153" s="0" t="s">
        <v>209</v>
      </c>
      <c r="EL153" s="0" t="n">
        <v>34</v>
      </c>
      <c r="EM153" s="0" t="n">
        <v>7</v>
      </c>
      <c r="EN153" s="0" t="n">
        <v>8</v>
      </c>
      <c r="EO153" s="0" t="n">
        <v>6</v>
      </c>
      <c r="EP153" s="0" t="n">
        <v>13</v>
      </c>
      <c r="EQ153" s="0" t="n">
        <f aca="false">IF($A153="","",IF(AH153="exact",10,IF(AH153="adjacent",5,0)))</f>
        <v>0</v>
      </c>
      <c r="ER153" s="0" t="n">
        <f aca="false">IF($A153="","",IF(R153="Y",15,0))</f>
        <v>0</v>
      </c>
      <c r="ES153" s="0" t="s">
        <v>222</v>
      </c>
      <c r="EV153" s="0" t="s">
        <v>3638</v>
      </c>
      <c r="EW153" s="0" t="s">
        <v>224</v>
      </c>
      <c r="EX153" s="0" t="s">
        <v>3639</v>
      </c>
      <c r="FS153" s="0" t="str">
        <f aca="false">IF($A153="","",IF(ISNUMBER(MATCH(U153,{"queued","contacted","replied","call_booked","call_done","yes_in_principle","materials_sent"},0)),"Y","N"))</f>
        <v>N</v>
      </c>
      <c r="FT153" s="0" t="str">
        <f aca="false">IF($A153="","",IF(OR(T153="Y",U153="do_not_contact",AS153&amp;""&lt;&gt;""),"Y","N"))</f>
        <v>N</v>
      </c>
      <c r="FU153" s="0" t="str">
        <f aca="false">IF($A153="","",IF(AP153&amp;""&lt;&gt;"",AP153&amp;"",$A153))</f>
        <v>AO-C-131</v>
      </c>
      <c r="FV153" s="0" t="str">
        <f aca="false">IF($A153="","",IF(COUNTIFS($FU$2:$FU$1000,FU153,$FS$2:$FS$1000,"Y")+COUNTIFS($FU$2:$FU$1000,FU153,$FT$2:$FT$1000,"Y")&gt;0,"Y","N"))</f>
        <v>N</v>
      </c>
      <c r="FW153" s="0" t="str">
        <f aca="false">IF($A153="","",IF(AND(U153="new",T153="N",FT153="N",AT153="Y",FV153="N"),"Y","N"))</f>
        <v>N</v>
      </c>
      <c r="FX153" s="0" t="str">
        <f aca="false">IF($A153="","",IF(FW153&lt;&gt;"Y","N",IF(COUNTIFS($FU$2:$FU$1000,FU153,$FW$2:$FW$1000,"Y",$J$2:$J$1000,"&gt;"&amp;J153)+COUNTIFS($FU$2:$FU$1000,FU153,$FW$2:$FW$1000,"Y",$J$2:$J$1000,J153,$GD$2:$GD$1000,"&lt;"&amp;GD153)=0,"Y","N")))</f>
        <v>N</v>
      </c>
      <c r="FY153" s="0" t="str">
        <f aca="false">IF($A153="","",IF(AND(FW153="Y",FX153="Y",Y153&amp;""&lt;&gt;""),IF(Y153&lt;=10,"Y","N"),"N"))</f>
        <v>N</v>
      </c>
      <c r="FZ153" s="0" t="str">
        <f aca="false">IF(FY153="Y",Y153,"")</f>
        <v/>
      </c>
      <c r="GA153" s="0" t="str">
        <f aca="false">IF($A153="","",IF(AND(I153="walk-in",CN153="pass",U153="new",FT153="N",FV153="N",AQ153&lt;&gt;"Y"),"Y","N"))</f>
        <v>N</v>
      </c>
      <c r="GB153" s="0" t="str">
        <f aca="false">IF(GA153&lt;&gt;"Y","",IF(COUNTIFS($GA$2:$GA$1000,"Y",$J$2:$J$1000,"&gt;"&amp;J153)+COUNTIFS($GA$2:$GA$1000,"Y",$J$2:$J$1000,J153,$GD$2:$GD$1000,"&lt;"&amp;GD153)+1&lt;=25,COUNTIFS($GA$2:$GA$1000,"Y",$J$2:$J$1000,"&gt;"&amp;J153)+COUNTIFS($GA$2:$GA$1000,"Y",$J$2:$J$1000,J153,$GD$2:$GD$1000,"&lt;"&amp;GD153)+1,""))</f>
        <v/>
      </c>
      <c r="GC153" s="0" t="str">
        <f aca="false">IF(AND(_xlfn.ISFORMULA(C153),_xlfn.ISFORMULA(J153)),"Y","N")</f>
        <v>N</v>
      </c>
      <c r="GD153" s="0" t="n">
        <f aca="false">ROW()-1</f>
        <v>152</v>
      </c>
    </row>
    <row r="154" customFormat="false" ht="15" hidden="false" customHeight="false" outlineLevel="0" collapsed="false">
      <c r="A154" s="0" t="s">
        <v>3640</v>
      </c>
      <c r="B154" s="0" t="s">
        <v>3641</v>
      </c>
      <c r="C154" s="0" t="s">
        <v>3642</v>
      </c>
      <c r="D154" s="0" t="s">
        <v>3643</v>
      </c>
      <c r="E154" s="0" t="s">
        <v>1146</v>
      </c>
      <c r="F154" s="0" t="s">
        <v>3549</v>
      </c>
      <c r="G154" s="0" t="s">
        <v>189</v>
      </c>
      <c r="M154" s="0" t="s">
        <v>380</v>
      </c>
      <c r="R154" s="5"/>
      <c r="U154" s="5"/>
      <c r="V154" s="0" t="s">
        <v>380</v>
      </c>
      <c r="AE154" s="0" t="s">
        <v>1871</v>
      </c>
      <c r="AF154" s="0" t="s">
        <v>209</v>
      </c>
      <c r="AG154" s="0" t="s">
        <v>3644</v>
      </c>
      <c r="AH154" s="0" t="s">
        <v>209</v>
      </c>
      <c r="AI154" s="0" t="s">
        <v>3645</v>
      </c>
      <c r="AJ154" s="0" t="s">
        <v>189</v>
      </c>
      <c r="AK154" s="0" t="s">
        <v>209</v>
      </c>
      <c r="AL154" s="0" t="s">
        <v>189</v>
      </c>
      <c r="AM154" s="0" t="s">
        <v>209</v>
      </c>
      <c r="AN154" s="0" t="s">
        <v>380</v>
      </c>
      <c r="AO154" s="0" t="s">
        <v>209</v>
      </c>
      <c r="AP154" s="0" t="s">
        <v>3640</v>
      </c>
      <c r="AQ154" s="5" t="s">
        <v>189</v>
      </c>
      <c r="AT154" s="0" t="str">
        <f aca="false">IF($A154="","",IF(AND(CN154="pass",AQ154&lt;&gt;"Y",C154&lt;&gt;"",OR(AX154&lt;&gt;"Y",AV154="Y")),"Y","N"))</f>
        <v>Y</v>
      </c>
      <c r="AU154" s="0" t="str">
        <f aca="false">IF($A154="","",_xlfn.TEXTJOIN("; ",TRUE(),IF(CN154&lt;&gt;"pass","gated out",""),IF(AQ154="Y","on hold: "&amp;AR154,""),IF(C154="","no contact named on an opened page",""),IF(AND(AX154="Y",AV154&lt;&gt;"Y"),"Tuesday estimate band "&amp;L154&amp;": founder's call","")))</f>
        <v/>
      </c>
      <c r="AX154" s="0" t="s">
        <v>189</v>
      </c>
      <c r="BC154" s="0" t="str">
        <f aca="false">IF($A154="","",IFERROR(INDEX(Enrichment!$A$2:$GZ$2000,MATCH($A154,INDEX(Enrichment!$A$2:$GZ$2000,0,MATCH("row_id",Enrichment!$A$1:$GZ$1,0)),0),MATCH("work_email",Enrichment!$A$1:$GZ$1,0))&amp;"",""))</f>
        <v/>
      </c>
      <c r="BD154" s="0" t="str">
        <f aca="false">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none</v>
      </c>
      <c r="BF154" s="0" t="s">
        <v>380</v>
      </c>
      <c r="BJ154" s="0" t="s">
        <v>380</v>
      </c>
      <c r="BL154" s="0" t="s">
        <v>896</v>
      </c>
      <c r="BQ154" s="0" t="str">
        <f aca="false">IF($A154="","",IFERROR(INDEX(Enrichment!$A$2:$GZ$2000,MATCH($A154,INDEX(Enrichment!$A$2:$GZ$2000,0,MATCH("row_id",Enrichment!$A$1:$GZ$1,0)),0),MATCH("backup_work_email",Enrichment!$A$1:$GZ$1,0))&amp;"",""))</f>
        <v/>
      </c>
      <c r="BR154" s="0" t="str">
        <f aca="false">IF($A154="","",IF(BQ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none</v>
      </c>
      <c r="BT154" s="0" t="s">
        <v>380</v>
      </c>
      <c r="BX154" s="0" t="s">
        <v>380</v>
      </c>
      <c r="BY154" s="0" t="s">
        <v>387</v>
      </c>
      <c r="BZ154" s="0" t="s">
        <v>388</v>
      </c>
      <c r="CA154" s="0" t="s">
        <v>3564</v>
      </c>
      <c r="CB154" s="0" t="s">
        <v>196</v>
      </c>
      <c r="CM154" s="0" t="s">
        <v>189</v>
      </c>
      <c r="CN154" s="0" t="s">
        <v>200</v>
      </c>
      <c r="CO154" s="0" t="s">
        <v>201</v>
      </c>
      <c r="CP154" s="0" t="s">
        <v>1</v>
      </c>
      <c r="CQ154" s="0" t="s">
        <v>3646</v>
      </c>
      <c r="CR154" s="0" t="s">
        <v>3642</v>
      </c>
      <c r="CS154" s="0" t="s">
        <v>3644</v>
      </c>
      <c r="CT154" s="0" t="s">
        <v>209</v>
      </c>
      <c r="CV154" s="0" t="s">
        <v>209</v>
      </c>
      <c r="CW154" s="0" t="s">
        <v>209</v>
      </c>
      <c r="CX154" s="0" t="s">
        <v>2712</v>
      </c>
      <c r="DA154" s="0" t="s">
        <v>209</v>
      </c>
      <c r="DB154" s="0" t="s">
        <v>208</v>
      </c>
      <c r="DC154" s="0" t="s">
        <v>189</v>
      </c>
      <c r="DD154" s="0" t="s">
        <v>209</v>
      </c>
      <c r="DE154" s="0" t="s">
        <v>3645</v>
      </c>
      <c r="DF154" s="0" t="s">
        <v>525</v>
      </c>
      <c r="DG154" s="0" t="n">
        <v>40.741968</v>
      </c>
      <c r="DH154" s="0" t="n">
        <v>-73.985327</v>
      </c>
      <c r="DI154" s="0" t="s">
        <v>164</v>
      </c>
      <c r="DJ154" s="0" t="n">
        <v>0</v>
      </c>
      <c r="DK154" s="0" t="s">
        <v>1573</v>
      </c>
      <c r="DL154" s="0" t="s">
        <v>1574</v>
      </c>
      <c r="DM154" s="0" t="s">
        <v>1575</v>
      </c>
      <c r="DN154" s="0" t="s">
        <v>1576</v>
      </c>
      <c r="DO154" s="0" t="s">
        <v>363</v>
      </c>
      <c r="DS154" s="0" t="s">
        <v>809</v>
      </c>
      <c r="DU154" s="0" t="s">
        <v>189</v>
      </c>
      <c r="DX154" s="0" t="s">
        <v>209</v>
      </c>
      <c r="EA154" s="0" t="s">
        <v>209</v>
      </c>
      <c r="EB154" s="0" t="s">
        <v>189</v>
      </c>
      <c r="EC154" s="0" t="s">
        <v>209</v>
      </c>
      <c r="EF154" s="0" t="s">
        <v>209</v>
      </c>
      <c r="EH154" s="0" t="s">
        <v>189</v>
      </c>
      <c r="EI154" s="0" t="s">
        <v>2716</v>
      </c>
      <c r="EJ154" s="0" t="s">
        <v>221</v>
      </c>
      <c r="EK154" s="0" t="s">
        <v>209</v>
      </c>
      <c r="EL154" s="0" t="n">
        <v>34</v>
      </c>
      <c r="EM154" s="0" t="n">
        <v>7</v>
      </c>
      <c r="EN154" s="0" t="n">
        <v>8</v>
      </c>
      <c r="EO154" s="0" t="n">
        <v>6</v>
      </c>
      <c r="EP154" s="0" t="n">
        <v>13</v>
      </c>
      <c r="EQ154" s="0" t="n">
        <f aca="false">IF($A154="","",IF(AH154="exact",10,IF(AH154="adjacent",5,0)))</f>
        <v>0</v>
      </c>
      <c r="ER154" s="0" t="n">
        <f aca="false">IF($A154="","",IF(R154="Y",15,0))</f>
        <v>0</v>
      </c>
      <c r="ES154" s="0" t="s">
        <v>222</v>
      </c>
      <c r="EX154" s="0" t="s">
        <v>3647</v>
      </c>
      <c r="EZ154" s="0" t="s">
        <v>3648</v>
      </c>
      <c r="FS154" s="0" t="str">
        <f aca="false">IF($A154="","",IF(ISNUMBER(MATCH(U154,{"queued","contacted","replied","call_booked","call_done","yes_in_principle","materials_sent"},0)),"Y","N"))</f>
        <v>N</v>
      </c>
      <c r="FT154" s="0" t="str">
        <f aca="false">IF($A154="","",IF(OR(T154="Y",U154="do_not_contact",AS154&amp;""&lt;&gt;""),"Y","N"))</f>
        <v>N</v>
      </c>
      <c r="FU154" s="0" t="str">
        <f aca="false">IF($A154="","",IF(AP154&amp;""&lt;&gt;"",AP154&amp;"",$A154))</f>
        <v>AO-C-121</v>
      </c>
      <c r="FV154" s="0" t="str">
        <f aca="false">IF($A154="","",IF(COUNTIFS($FU$2:$FU$1000,FU154,$FS$2:$FS$1000,"Y")+COUNTIFS($FU$2:$FU$1000,FU154,$FT$2:$FT$1000,"Y")&gt;0,"Y","N"))</f>
        <v>N</v>
      </c>
      <c r="FW154" s="0" t="str">
        <f aca="false">IF($A154="","",IF(AND(U154="new",T154="N",FT154="N",AT154="Y",FV154="N"),"Y","N"))</f>
        <v>N</v>
      </c>
      <c r="FX154" s="0" t="str">
        <f aca="false">IF($A154="","",IF(FW154&lt;&gt;"Y","N",IF(COUNTIFS($FU$2:$FU$1000,FU154,$FW$2:$FW$1000,"Y",$J$2:$J$1000,"&gt;"&amp;J154)+COUNTIFS($FU$2:$FU$1000,FU154,$FW$2:$FW$1000,"Y",$J$2:$J$1000,J154,$GD$2:$GD$1000,"&lt;"&amp;GD154)=0,"Y","N")))</f>
        <v>N</v>
      </c>
      <c r="FY154" s="0" t="str">
        <f aca="false">IF($A154="","",IF(AND(FW154="Y",FX154="Y",Y154&amp;""&lt;&gt;""),IF(Y154&lt;=10,"Y","N"),"N"))</f>
        <v>N</v>
      </c>
      <c r="FZ154" s="0" t="str">
        <f aca="false">IF(FY154="Y",Y154,"")</f>
        <v/>
      </c>
      <c r="GA154" s="0" t="str">
        <f aca="false">IF($A154="","",IF(AND(I154="walk-in",CN154="pass",U154="new",FT154="N",FV154="N",AQ154&lt;&gt;"Y"),"Y","N"))</f>
        <v>N</v>
      </c>
      <c r="GB154" s="0" t="str">
        <f aca="false">IF(GA154&lt;&gt;"Y","",IF(COUNTIFS($GA$2:$GA$1000,"Y",$J$2:$J$1000,"&gt;"&amp;J154)+COUNTIFS($GA$2:$GA$1000,"Y",$J$2:$J$1000,J154,$GD$2:$GD$1000,"&lt;"&amp;GD154)+1&lt;=25,COUNTIFS($GA$2:$GA$1000,"Y",$J$2:$J$1000,"&gt;"&amp;J154)+COUNTIFS($GA$2:$GA$1000,"Y",$J$2:$J$1000,J154,$GD$2:$GD$1000,"&lt;"&amp;GD154)+1,""))</f>
        <v/>
      </c>
      <c r="GC154" s="0" t="str">
        <f aca="false">IF(AND(_xlfn.ISFORMULA(C154),_xlfn.ISFORMULA(J154)),"Y","N")</f>
        <v>N</v>
      </c>
      <c r="GD154" s="0" t="n">
        <f aca="false">ROW()-1</f>
        <v>153</v>
      </c>
    </row>
    <row r="155" customFormat="false" ht="15" hidden="false" customHeight="false" outlineLevel="0" collapsed="false">
      <c r="A155" s="0" t="s">
        <v>3649</v>
      </c>
      <c r="B155" s="0" t="s">
        <v>3650</v>
      </c>
      <c r="C155" s="0" t="s">
        <v>3651</v>
      </c>
      <c r="D155" s="0" t="s">
        <v>3652</v>
      </c>
      <c r="E155" s="0" t="s">
        <v>3653</v>
      </c>
      <c r="F155" s="0" t="s">
        <v>3549</v>
      </c>
      <c r="G155" s="0" t="s">
        <v>189</v>
      </c>
      <c r="M155" s="0" t="s">
        <v>380</v>
      </c>
      <c r="R155" s="5"/>
      <c r="U155" s="5"/>
      <c r="V155" s="0" t="s">
        <v>380</v>
      </c>
      <c r="AE155" s="0" t="s">
        <v>1965</v>
      </c>
      <c r="AF155" s="0" t="s">
        <v>508</v>
      </c>
      <c r="AG155" s="0" t="s">
        <v>3654</v>
      </c>
      <c r="AH155" s="0" t="s">
        <v>209</v>
      </c>
      <c r="AI155" s="0" t="s">
        <v>3655</v>
      </c>
      <c r="AJ155" s="0" t="s">
        <v>189</v>
      </c>
      <c r="AK155" s="0" t="s">
        <v>209</v>
      </c>
      <c r="AL155" s="0" t="s">
        <v>189</v>
      </c>
      <c r="AM155" s="0" t="s">
        <v>209</v>
      </c>
      <c r="AN155" s="0" t="s">
        <v>380</v>
      </c>
      <c r="AO155" s="0" t="s">
        <v>209</v>
      </c>
      <c r="AP155" s="0" t="s">
        <v>3649</v>
      </c>
      <c r="AQ155" s="5" t="s">
        <v>189</v>
      </c>
      <c r="AT155" s="0" t="str">
        <f aca="false">IF($A155="","",IF(AND(CN155="pass",AQ155&lt;&gt;"Y",C155&lt;&gt;"",OR(AX155&lt;&gt;"Y",AV155="Y")),"Y","N"))</f>
        <v>Y</v>
      </c>
      <c r="AU155" s="0" t="str">
        <f aca="false">IF($A155="","",_xlfn.TEXTJOIN("; ",TRUE(),IF(CN155&lt;&gt;"pass","gated out",""),IF(AQ155="Y","on hold: "&amp;AR155,""),IF(C155="","no contact named on an opened page",""),IF(AND(AX155="Y",AV155&lt;&gt;"Y"),"Tuesday estimate band "&amp;L155&amp;": founder's call","")))</f>
        <v/>
      </c>
      <c r="AX155" s="0" t="s">
        <v>189</v>
      </c>
      <c r="BC155" s="0" t="str">
        <f aca="false">IF($A155="","",IFERROR(INDEX(Enrichment!$A$2:$GZ$2000,MATCH($A155,INDEX(Enrichment!$A$2:$GZ$2000,0,MATCH("row_id",Enrichment!$A$1:$GZ$1,0)),0),MATCH("work_email",Enrichment!$A$1:$GZ$1,0))&amp;"",""))</f>
        <v/>
      </c>
      <c r="BD155" s="0" t="str">
        <f aca="false">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none</v>
      </c>
      <c r="BF155" s="0" t="s">
        <v>380</v>
      </c>
      <c r="BJ155" s="0" t="s">
        <v>380</v>
      </c>
      <c r="BL155" s="0" t="s">
        <v>896</v>
      </c>
      <c r="BQ155" s="0" t="str">
        <f aca="false">IF($A155="","",IFERROR(INDEX(Enrichment!$A$2:$GZ$2000,MATCH($A155,INDEX(Enrichment!$A$2:$GZ$2000,0,MATCH("row_id",Enrichment!$A$1:$GZ$1,0)),0),MATCH("backup_work_email",Enrichment!$A$1:$GZ$1,0))&amp;"",""))</f>
        <v/>
      </c>
      <c r="BR155" s="0" t="str">
        <f aca="false">IF($A155="","",IF(BQ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none</v>
      </c>
      <c r="BT155" s="0" t="s">
        <v>380</v>
      </c>
      <c r="BX155" s="0" t="s">
        <v>380</v>
      </c>
      <c r="BY155" s="0" t="s">
        <v>387</v>
      </c>
      <c r="BZ155" s="0" t="s">
        <v>388</v>
      </c>
      <c r="CA155" s="0" t="s">
        <v>3564</v>
      </c>
      <c r="CB155" s="0" t="s">
        <v>196</v>
      </c>
      <c r="CM155" s="0" t="s">
        <v>189</v>
      </c>
      <c r="CN155" s="0" t="s">
        <v>200</v>
      </c>
      <c r="CO155" s="0" t="s">
        <v>201</v>
      </c>
      <c r="CP155" s="0" t="s">
        <v>1</v>
      </c>
      <c r="CQ155" s="0" t="s">
        <v>3656</v>
      </c>
      <c r="CR155" s="0" t="s">
        <v>3651</v>
      </c>
      <c r="CS155" s="0" t="s">
        <v>3654</v>
      </c>
      <c r="CT155" s="0" t="s">
        <v>209</v>
      </c>
      <c r="CV155" s="0" t="s">
        <v>209</v>
      </c>
      <c r="CW155" s="0" t="s">
        <v>209</v>
      </c>
      <c r="CX155" s="0" t="s">
        <v>2712</v>
      </c>
      <c r="DA155" s="0" t="s">
        <v>209</v>
      </c>
      <c r="DB155" s="0" t="s">
        <v>209</v>
      </c>
      <c r="DC155" s="0" t="s">
        <v>209</v>
      </c>
      <c r="DD155" s="0" t="s">
        <v>209</v>
      </c>
      <c r="DE155" s="0" t="s">
        <v>3655</v>
      </c>
      <c r="DF155" s="0" t="s">
        <v>525</v>
      </c>
      <c r="DG155" s="0" t="n">
        <v>40.738577</v>
      </c>
      <c r="DH155" s="0" t="n">
        <v>-73.987151</v>
      </c>
      <c r="DI155" s="0" t="s">
        <v>164</v>
      </c>
      <c r="DJ155" s="0" t="n">
        <v>0</v>
      </c>
      <c r="DK155" s="0" t="s">
        <v>1753</v>
      </c>
      <c r="DL155" s="0" t="s">
        <v>1754</v>
      </c>
      <c r="DM155" s="0" t="s">
        <v>3657</v>
      </c>
      <c r="DN155" s="0" t="s">
        <v>3658</v>
      </c>
      <c r="DO155" s="0" t="s">
        <v>363</v>
      </c>
      <c r="DS155" s="0" t="s">
        <v>809</v>
      </c>
      <c r="DU155" s="0" t="s">
        <v>189</v>
      </c>
      <c r="DX155" s="0" t="s">
        <v>209</v>
      </c>
      <c r="EA155" s="0" t="s">
        <v>209</v>
      </c>
      <c r="EB155" s="0" t="s">
        <v>189</v>
      </c>
      <c r="EC155" s="0" t="s">
        <v>209</v>
      </c>
      <c r="EF155" s="0" t="s">
        <v>209</v>
      </c>
      <c r="EH155" s="0" t="s">
        <v>189</v>
      </c>
      <c r="EI155" s="0" t="s">
        <v>2716</v>
      </c>
      <c r="EJ155" s="0" t="s">
        <v>221</v>
      </c>
      <c r="EK155" s="0" t="s">
        <v>209</v>
      </c>
      <c r="EL155" s="0" t="n">
        <v>34</v>
      </c>
      <c r="EM155" s="0" t="n">
        <v>7</v>
      </c>
      <c r="EN155" s="0" t="n">
        <v>8</v>
      </c>
      <c r="EO155" s="0" t="n">
        <v>6</v>
      </c>
      <c r="EP155" s="0" t="n">
        <v>13</v>
      </c>
      <c r="EQ155" s="0" t="n">
        <f aca="false">IF($A155="","",IF(AH155="exact",10,IF(AH155="adjacent",5,0)))</f>
        <v>0</v>
      </c>
      <c r="ER155" s="0" t="n">
        <f aca="false">IF($A155="","",IF(R155="Y",15,0))</f>
        <v>0</v>
      </c>
      <c r="ES155" s="0" t="s">
        <v>222</v>
      </c>
      <c r="EV155" s="0" t="s">
        <v>2918</v>
      </c>
      <c r="EW155" s="0" t="s">
        <v>224</v>
      </c>
      <c r="EX155" s="0" t="s">
        <v>3659</v>
      </c>
      <c r="EZ155" s="0" t="s">
        <v>3660</v>
      </c>
      <c r="FS155" s="0" t="str">
        <f aca="false">IF($A155="","",IF(ISNUMBER(MATCH(U155,{"queued","contacted","replied","call_booked","call_done","yes_in_principle","materials_sent"},0)),"Y","N"))</f>
        <v>N</v>
      </c>
      <c r="FT155" s="0" t="str">
        <f aca="false">IF($A155="","",IF(OR(T155="Y",U155="do_not_contact",AS155&amp;""&lt;&gt;""),"Y","N"))</f>
        <v>N</v>
      </c>
      <c r="FU155" s="0" t="str">
        <f aca="false">IF($A155="","",IF(AP155&amp;""&lt;&gt;"",AP155&amp;"",$A155))</f>
        <v>AO-C-067</v>
      </c>
      <c r="FV155" s="0" t="str">
        <f aca="false">IF($A155="","",IF(COUNTIFS($FU$2:$FU$1000,FU155,$FS$2:$FS$1000,"Y")+COUNTIFS($FU$2:$FU$1000,FU155,$FT$2:$FT$1000,"Y")&gt;0,"Y","N"))</f>
        <v>N</v>
      </c>
      <c r="FW155" s="0" t="str">
        <f aca="false">IF($A155="","",IF(AND(U155="new",T155="N",FT155="N",AT155="Y",FV155="N"),"Y","N"))</f>
        <v>N</v>
      </c>
      <c r="FX155" s="0" t="str">
        <f aca="false">IF($A155="","",IF(FW155&lt;&gt;"Y","N",IF(COUNTIFS($FU$2:$FU$1000,FU155,$FW$2:$FW$1000,"Y",$J$2:$J$1000,"&gt;"&amp;J155)+COUNTIFS($FU$2:$FU$1000,FU155,$FW$2:$FW$1000,"Y",$J$2:$J$1000,J155,$GD$2:$GD$1000,"&lt;"&amp;GD155)=0,"Y","N")))</f>
        <v>N</v>
      </c>
      <c r="FY155" s="0" t="str">
        <f aca="false">IF($A155="","",IF(AND(FW155="Y",FX155="Y",Y155&amp;""&lt;&gt;""),IF(Y155&lt;=10,"Y","N"),"N"))</f>
        <v>N</v>
      </c>
      <c r="FZ155" s="0" t="str">
        <f aca="false">IF(FY155="Y",Y155,"")</f>
        <v/>
      </c>
      <c r="GA155" s="0" t="str">
        <f aca="false">IF($A155="","",IF(AND(I155="walk-in",CN155="pass",U155="new",FT155="N",FV155="N",AQ155&lt;&gt;"Y"),"Y","N"))</f>
        <v>N</v>
      </c>
      <c r="GB155" s="0" t="str">
        <f aca="false">IF(GA155&lt;&gt;"Y","",IF(COUNTIFS($GA$2:$GA$1000,"Y",$J$2:$J$1000,"&gt;"&amp;J155)+COUNTIFS($GA$2:$GA$1000,"Y",$J$2:$J$1000,J155,$GD$2:$GD$1000,"&lt;"&amp;GD155)+1&lt;=25,COUNTIFS($GA$2:$GA$1000,"Y",$J$2:$J$1000,"&gt;"&amp;J155)+COUNTIFS($GA$2:$GA$1000,"Y",$J$2:$J$1000,J155,$GD$2:$GD$1000,"&lt;"&amp;GD155)+1,""))</f>
        <v/>
      </c>
      <c r="GC155" s="0" t="str">
        <f aca="false">IF(AND(_xlfn.ISFORMULA(C155),_xlfn.ISFORMULA(J155)),"Y","N")</f>
        <v>N</v>
      </c>
      <c r="GD155" s="0" t="n">
        <f aca="false">ROW()-1</f>
        <v>154</v>
      </c>
    </row>
    <row r="156" customFormat="false" ht="15" hidden="false" customHeight="false" outlineLevel="0" collapsed="false">
      <c r="A156" s="0" t="s">
        <v>3661</v>
      </c>
      <c r="B156" s="0" t="s">
        <v>3662</v>
      </c>
      <c r="C156" s="0" t="s">
        <v>3176</v>
      </c>
      <c r="D156" s="0" t="s">
        <v>3177</v>
      </c>
      <c r="E156" s="0" t="s">
        <v>3663</v>
      </c>
      <c r="F156" s="0" t="s">
        <v>3549</v>
      </c>
      <c r="G156" s="0" t="s">
        <v>189</v>
      </c>
      <c r="M156" s="0" t="s">
        <v>380</v>
      </c>
      <c r="R156" s="5"/>
      <c r="U156" s="5"/>
      <c r="V156" s="0" t="s">
        <v>380</v>
      </c>
      <c r="AE156" s="0" t="s">
        <v>3664</v>
      </c>
      <c r="AF156" s="0" t="s">
        <v>3665</v>
      </c>
      <c r="AG156" s="0" t="s">
        <v>3118</v>
      </c>
      <c r="AH156" s="0" t="s">
        <v>209</v>
      </c>
      <c r="AJ156" s="0" t="s">
        <v>189</v>
      </c>
      <c r="AK156" s="0" t="s">
        <v>209</v>
      </c>
      <c r="AL156" s="0" t="s">
        <v>189</v>
      </c>
      <c r="AM156" s="0" t="s">
        <v>209</v>
      </c>
      <c r="AN156" s="0" t="s">
        <v>380</v>
      </c>
      <c r="AO156" s="0" t="s">
        <v>209</v>
      </c>
      <c r="AP156" s="0" t="s">
        <v>3181</v>
      </c>
      <c r="AQ156" s="5" t="s">
        <v>189</v>
      </c>
      <c r="AT156" s="0" t="str">
        <f aca="false">IF($A156="","",IF(AND(CN156="pass",AQ156&lt;&gt;"Y",C156&lt;&gt;"",OR(AX156&lt;&gt;"Y",AV156="Y")),"Y","N"))</f>
        <v>Y</v>
      </c>
      <c r="AU156" s="0" t="str">
        <f aca="false">IF($A156="","",_xlfn.TEXTJOIN("; ",TRUE(),IF(CN156&lt;&gt;"pass","gated out",""),IF(AQ156="Y","on hold: "&amp;AR156,""),IF(C156="","no contact named on an opened page",""),IF(AND(AX156="Y",AV156&lt;&gt;"Y"),"Tuesday estimate band "&amp;L156&amp;": founder's call","")))</f>
        <v/>
      </c>
      <c r="AX156" s="0" t="s">
        <v>189</v>
      </c>
      <c r="BC156" s="0" t="str">
        <f aca="false">IF($A156="","",IFERROR(INDEX(Enrichment!$A$2:$GZ$2000,MATCH($A156,INDEX(Enrichment!$A$2:$GZ$2000,0,MATCH("row_id",Enrichment!$A$1:$GZ$1,0)),0),MATCH("work_email",Enrichment!$A$1:$GZ$1,0))&amp;"",""))</f>
        <v/>
      </c>
      <c r="BD156" s="0" t="str">
        <f aca="false">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none</v>
      </c>
      <c r="BF156" s="0" t="s">
        <v>380</v>
      </c>
      <c r="BJ156" s="0" t="s">
        <v>380</v>
      </c>
      <c r="BL156" s="0" t="s">
        <v>896</v>
      </c>
      <c r="BQ156" s="0" t="str">
        <f aca="false">IF($A156="","",IFERROR(INDEX(Enrichment!$A$2:$GZ$2000,MATCH($A156,INDEX(Enrichment!$A$2:$GZ$2000,0,MATCH("row_id",Enrichment!$A$1:$GZ$1,0)),0),MATCH("backup_work_email",Enrichment!$A$1:$GZ$1,0))&amp;"",""))</f>
        <v/>
      </c>
      <c r="BR156" s="0" t="str">
        <f aca="false">IF($A156="","",IF(BQ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none</v>
      </c>
      <c r="BT156" s="0" t="s">
        <v>380</v>
      </c>
      <c r="BX156" s="0" t="s">
        <v>380</v>
      </c>
      <c r="BY156" s="0" t="s">
        <v>387</v>
      </c>
      <c r="BZ156" s="0" t="s">
        <v>388</v>
      </c>
      <c r="CA156" s="0" t="s">
        <v>3587</v>
      </c>
      <c r="CB156" s="0" t="s">
        <v>196</v>
      </c>
      <c r="CM156" s="0" t="s">
        <v>189</v>
      </c>
      <c r="CN156" s="0" t="s">
        <v>200</v>
      </c>
      <c r="CO156" s="0" t="s">
        <v>201</v>
      </c>
      <c r="CP156" s="0" t="s">
        <v>3121</v>
      </c>
      <c r="CQ156" s="0" t="s">
        <v>3666</v>
      </c>
      <c r="CR156" s="0" t="s">
        <v>3176</v>
      </c>
      <c r="CS156" s="0" t="s">
        <v>3118</v>
      </c>
      <c r="CT156" s="0" t="s">
        <v>209</v>
      </c>
      <c r="CV156" s="0" t="s">
        <v>209</v>
      </c>
      <c r="CW156" s="0" t="s">
        <v>209</v>
      </c>
      <c r="DA156" s="0" t="s">
        <v>209</v>
      </c>
      <c r="DB156" s="0" t="s">
        <v>3123</v>
      </c>
      <c r="DC156" s="0" t="s">
        <v>209</v>
      </c>
      <c r="DD156" s="0" t="s">
        <v>3183</v>
      </c>
      <c r="DF156" s="0" t="s">
        <v>210</v>
      </c>
      <c r="DG156" s="0" t="n">
        <v>40.73716</v>
      </c>
      <c r="DH156" s="0" t="n">
        <v>-73.990073</v>
      </c>
      <c r="DI156" s="0" t="s">
        <v>164</v>
      </c>
      <c r="DJ156" s="0" t="n">
        <v>0</v>
      </c>
      <c r="DK156" s="0" t="s">
        <v>1352</v>
      </c>
      <c r="DL156" s="0" t="s">
        <v>1001</v>
      </c>
      <c r="DM156" s="0" t="s">
        <v>3184</v>
      </c>
      <c r="DN156" s="0" t="s">
        <v>263</v>
      </c>
      <c r="DO156" s="0" t="s">
        <v>3128</v>
      </c>
      <c r="DP156" s="0" t="s">
        <v>3667</v>
      </c>
      <c r="DS156" s="0" t="s">
        <v>809</v>
      </c>
      <c r="DU156" s="0" t="s">
        <v>189</v>
      </c>
      <c r="DV156" s="0" t="s">
        <v>3666</v>
      </c>
      <c r="DW156" s="0" t="s">
        <v>3130</v>
      </c>
      <c r="DX156" s="0" t="s">
        <v>209</v>
      </c>
      <c r="EA156" s="0" t="s">
        <v>209</v>
      </c>
      <c r="EB156" s="0" t="s">
        <v>189</v>
      </c>
      <c r="EC156" s="0" t="s">
        <v>209</v>
      </c>
      <c r="EF156" s="0" t="s">
        <v>209</v>
      </c>
      <c r="EH156" s="0" t="s">
        <v>189</v>
      </c>
      <c r="EI156" s="0" t="s">
        <v>3131</v>
      </c>
      <c r="EJ156" s="0" t="s">
        <v>221</v>
      </c>
      <c r="EK156" s="0" t="s">
        <v>209</v>
      </c>
      <c r="EL156" s="0" t="n">
        <v>34</v>
      </c>
      <c r="EM156" s="0" t="n">
        <v>7</v>
      </c>
      <c r="EN156" s="0" t="n">
        <v>8</v>
      </c>
      <c r="EO156" s="0" t="n">
        <v>6</v>
      </c>
      <c r="EP156" s="0" t="n">
        <v>13</v>
      </c>
      <c r="EQ156" s="0" t="n">
        <f aca="false">IF($A156="","",IF(AH156="exact",10,IF(AH156="adjacent",5,0)))</f>
        <v>0</v>
      </c>
      <c r="ER156" s="0" t="n">
        <f aca="false">IF($A156="","",IF(R156="Y",15,0))</f>
        <v>0</v>
      </c>
      <c r="ES156" s="0" t="s">
        <v>3121</v>
      </c>
      <c r="EX156" s="0" t="s">
        <v>3668</v>
      </c>
      <c r="FA156" s="0" t="s">
        <v>3669</v>
      </c>
      <c r="FS156" s="0" t="str">
        <f aca="false">IF($A156="","",IF(ISNUMBER(MATCH(U156,{"queued","contacted","replied","call_booked","call_done","yes_in_principle","materials_sent"},0)),"Y","N"))</f>
        <v>N</v>
      </c>
      <c r="FT156" s="0" t="str">
        <f aca="false">IF($A156="","",IF(OR(T156="Y",U156="do_not_contact",AS156&amp;""&lt;&gt;""),"Y","N"))</f>
        <v>N</v>
      </c>
      <c r="FU156" s="0" t="str">
        <f aca="false">IF($A156="","",IF(AP156&amp;""&lt;&gt;"",AP156&amp;"",$A156))</f>
        <v>grp-W003-W005-W007-W008-W014-W016-W027</v>
      </c>
      <c r="FV156" s="0" t="str">
        <f aca="false">IF($A156="","",IF(COUNTIFS($FU$2:$FU$1000,FU156,$FS$2:$FS$1000,"Y")+COUNTIFS($FU$2:$FU$1000,FU156,$FT$2:$FT$1000,"Y")&gt;0,"Y","N"))</f>
        <v>N</v>
      </c>
      <c r="FW156" s="0" t="str">
        <f aca="false">IF($A156="","",IF(AND(U156="new",T156="N",FT156="N",AT156="Y",FV156="N"),"Y","N"))</f>
        <v>N</v>
      </c>
      <c r="FX156" s="0" t="str">
        <f aca="false">IF($A156="","",IF(FW156&lt;&gt;"Y","N",IF(COUNTIFS($FU$2:$FU$1000,FU156,$FW$2:$FW$1000,"Y",$J$2:$J$1000,"&gt;"&amp;J156)+COUNTIFS($FU$2:$FU$1000,FU156,$FW$2:$FW$1000,"Y",$J$2:$J$1000,J156,$GD$2:$GD$1000,"&lt;"&amp;GD156)=0,"Y","N")))</f>
        <v>N</v>
      </c>
      <c r="FY156" s="0" t="str">
        <f aca="false">IF($A156="","",IF(AND(FW156="Y",FX156="Y",Y156&amp;""&lt;&gt;""),IF(Y156&lt;=10,"Y","N"),"N"))</f>
        <v>N</v>
      </c>
      <c r="FZ156" s="0" t="str">
        <f aca="false">IF(FY156="Y",Y156,"")</f>
        <v/>
      </c>
      <c r="GA156" s="0" t="str">
        <f aca="false">IF($A156="","",IF(AND(I156="walk-in",CN156="pass",U156="new",FT156="N",FV156="N",AQ156&lt;&gt;"Y"),"Y","N"))</f>
        <v>N</v>
      </c>
      <c r="GB156" s="0" t="str">
        <f aca="false">IF(GA156&lt;&gt;"Y","",IF(COUNTIFS($GA$2:$GA$1000,"Y",$J$2:$J$1000,"&gt;"&amp;J156)+COUNTIFS($GA$2:$GA$1000,"Y",$J$2:$J$1000,J156,$GD$2:$GD$1000,"&lt;"&amp;GD156)+1&lt;=25,COUNTIFS($GA$2:$GA$1000,"Y",$J$2:$J$1000,"&gt;"&amp;J156)+COUNTIFS($GA$2:$GA$1000,"Y",$J$2:$J$1000,J156,$GD$2:$GD$1000,"&lt;"&amp;GD156)+1,""))</f>
        <v/>
      </c>
      <c r="GC156" s="0" t="str">
        <f aca="false">IF(AND(_xlfn.ISFORMULA(C156),_xlfn.ISFORMULA(J156)),"Y","N")</f>
        <v>N</v>
      </c>
      <c r="GD156" s="0" t="n">
        <f aca="false">ROW()-1</f>
        <v>155</v>
      </c>
    </row>
    <row r="157" customFormat="false" ht="15" hidden="false" customHeight="false" outlineLevel="0" collapsed="false">
      <c r="A157" s="0" t="s">
        <v>3670</v>
      </c>
      <c r="B157" s="0" t="s">
        <v>3671</v>
      </c>
      <c r="C157" s="0" t="s">
        <v>209</v>
      </c>
      <c r="E157" s="0" t="s">
        <v>3672</v>
      </c>
      <c r="F157" s="0" t="s">
        <v>3549</v>
      </c>
      <c r="G157" s="0" t="s">
        <v>189</v>
      </c>
      <c r="M157" s="0" t="s">
        <v>380</v>
      </c>
      <c r="R157" s="5"/>
      <c r="U157" s="5"/>
      <c r="V157" s="0" t="s">
        <v>380</v>
      </c>
      <c r="AE157" s="0" t="s">
        <v>3673</v>
      </c>
      <c r="AF157" s="0" t="s">
        <v>456</v>
      </c>
      <c r="AG157" s="0" t="s">
        <v>3674</v>
      </c>
      <c r="AH157" s="0" t="s">
        <v>209</v>
      </c>
      <c r="AI157" s="0" t="s">
        <v>209</v>
      </c>
      <c r="AJ157" s="0" t="s">
        <v>189</v>
      </c>
      <c r="AK157" s="0" t="s">
        <v>209</v>
      </c>
      <c r="AL157" s="0" t="s">
        <v>189</v>
      </c>
      <c r="AM157" s="0" t="s">
        <v>209</v>
      </c>
      <c r="AN157" s="0" t="s">
        <v>380</v>
      </c>
      <c r="AO157" s="0" t="s">
        <v>209</v>
      </c>
      <c r="AP157" s="0" t="s">
        <v>3670</v>
      </c>
      <c r="AQ157" s="5" t="s">
        <v>189</v>
      </c>
      <c r="AT157" s="0" t="str">
        <f aca="false">IF($A157="","",IF(AND(CN157="pass",AQ157&lt;&gt;"Y",C157&lt;&gt;"",OR(AX157&lt;&gt;"Y",AV157="Y")),"Y","N"))</f>
        <v>Y</v>
      </c>
      <c r="AU157" s="0" t="str">
        <f aca="false">IF($A157="","",_xlfn.TEXTJOIN("; ",TRUE(),IF(CN157&lt;&gt;"pass","gated out",""),IF(AQ157="Y","on hold: "&amp;AR157,""),IF(C157="","no contact named on an opened page",""),IF(AND(AX157="Y",AV157&lt;&gt;"Y"),"Tuesday estimate band "&amp;L157&amp;": founder's call","")))</f>
        <v/>
      </c>
      <c r="AX157" s="0" t="s">
        <v>189</v>
      </c>
      <c r="BC157" s="0" t="str">
        <f aca="false">IF($A157="","",IFERROR(INDEX(Enrichment!$A$2:$GZ$2000,MATCH($A157,INDEX(Enrichment!$A$2:$GZ$2000,0,MATCH("row_id",Enrichment!$A$1:$GZ$1,0)),0),MATCH("work_email",Enrichment!$A$1:$GZ$1,0))&amp;"",""))</f>
        <v/>
      </c>
      <c r="BD157" s="0" t="str">
        <f aca="false">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none</v>
      </c>
      <c r="BF157" s="0" t="s">
        <v>380</v>
      </c>
      <c r="BJ157" s="0" t="s">
        <v>380</v>
      </c>
      <c r="BL157" s="0" t="s">
        <v>896</v>
      </c>
      <c r="BQ157" s="0" t="str">
        <f aca="false">IF($A157="","",IFERROR(INDEX(Enrichment!$A$2:$GZ$2000,MATCH($A157,INDEX(Enrichment!$A$2:$GZ$2000,0,MATCH("row_id",Enrichment!$A$1:$GZ$1,0)),0),MATCH("backup_work_email",Enrichment!$A$1:$GZ$1,0))&amp;"",""))</f>
        <v/>
      </c>
      <c r="BR157" s="0" t="str">
        <f aca="false">IF($A157="","",IF(BQ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none</v>
      </c>
      <c r="BT157" s="0" t="s">
        <v>380</v>
      </c>
      <c r="BX157" s="0" t="s">
        <v>380</v>
      </c>
      <c r="BY157" s="0" t="s">
        <v>387</v>
      </c>
      <c r="BZ157" s="0" t="s">
        <v>388</v>
      </c>
      <c r="CA157" s="0" t="s">
        <v>3564</v>
      </c>
      <c r="CB157" s="0" t="s">
        <v>196</v>
      </c>
      <c r="CM157" s="0" t="s">
        <v>189</v>
      </c>
      <c r="CN157" s="0" t="s">
        <v>200</v>
      </c>
      <c r="CO157" s="0" t="s">
        <v>201</v>
      </c>
      <c r="CP157" s="0" t="s">
        <v>1</v>
      </c>
      <c r="CQ157" s="0" t="s">
        <v>3675</v>
      </c>
      <c r="CR157" s="0" t="s">
        <v>209</v>
      </c>
      <c r="CS157" s="0" t="s">
        <v>3674</v>
      </c>
      <c r="CT157" s="0" t="s">
        <v>209</v>
      </c>
      <c r="CV157" s="0" t="s">
        <v>209</v>
      </c>
      <c r="CW157" s="0" t="s">
        <v>209</v>
      </c>
      <c r="CX157" s="0" t="s">
        <v>2712</v>
      </c>
      <c r="DA157" s="0" t="s">
        <v>209</v>
      </c>
      <c r="DB157" s="0" t="s">
        <v>209</v>
      </c>
      <c r="DC157" s="0" t="s">
        <v>209</v>
      </c>
      <c r="DD157" s="0" t="s">
        <v>209</v>
      </c>
      <c r="DE157" s="0" t="s">
        <v>209</v>
      </c>
      <c r="DF157" s="0" t="s">
        <v>311</v>
      </c>
      <c r="DG157" s="0" t="n">
        <v>40.74441</v>
      </c>
      <c r="DH157" s="0" t="n">
        <v>-73.987275</v>
      </c>
      <c r="DI157" s="0" t="s">
        <v>164</v>
      </c>
      <c r="DJ157" s="0" t="n">
        <v>0</v>
      </c>
      <c r="DK157" s="0" t="s">
        <v>3676</v>
      </c>
      <c r="DL157" s="0" t="s">
        <v>3677</v>
      </c>
      <c r="DM157" s="0" t="s">
        <v>3678</v>
      </c>
      <c r="DN157" s="0" t="s">
        <v>3679</v>
      </c>
      <c r="DO157" s="0" t="s">
        <v>363</v>
      </c>
      <c r="DS157" s="0" t="s">
        <v>809</v>
      </c>
      <c r="DU157" s="0" t="s">
        <v>189</v>
      </c>
      <c r="DX157" s="0" t="s">
        <v>267</v>
      </c>
      <c r="DY157" s="0" t="s">
        <v>3680</v>
      </c>
      <c r="EA157" s="0" t="s">
        <v>209</v>
      </c>
      <c r="EB157" s="0" t="s">
        <v>189</v>
      </c>
      <c r="EC157" s="0" t="s">
        <v>209</v>
      </c>
      <c r="EF157" s="0" t="s">
        <v>209</v>
      </c>
      <c r="EH157" s="0" t="s">
        <v>189</v>
      </c>
      <c r="EI157" s="0" t="s">
        <v>2716</v>
      </c>
      <c r="EJ157" s="0" t="s">
        <v>221</v>
      </c>
      <c r="EK157" s="0" t="s">
        <v>209</v>
      </c>
      <c r="EL157" s="0" t="n">
        <v>34</v>
      </c>
      <c r="EM157" s="0" t="n">
        <v>7</v>
      </c>
      <c r="EN157" s="0" t="n">
        <v>8</v>
      </c>
      <c r="EO157" s="0" t="n">
        <v>6</v>
      </c>
      <c r="EP157" s="0" t="n">
        <v>13</v>
      </c>
      <c r="EQ157" s="0" t="n">
        <f aca="false">IF($A157="","",IF(AH157="exact",10,IF(AH157="adjacent",5,0)))</f>
        <v>0</v>
      </c>
      <c r="ER157" s="0" t="n">
        <f aca="false">IF($A157="","",IF(R157="Y",15,0))</f>
        <v>0</v>
      </c>
      <c r="ES157" s="0" t="s">
        <v>222</v>
      </c>
      <c r="EV157" s="0" t="s">
        <v>2486</v>
      </c>
      <c r="EW157" s="0" t="s">
        <v>224</v>
      </c>
      <c r="EX157" s="0" t="s">
        <v>3681</v>
      </c>
      <c r="FS157" s="0" t="str">
        <f aca="false">IF($A157="","",IF(ISNUMBER(MATCH(U157,{"queued","contacted","replied","call_booked","call_done","yes_in_principle","materials_sent"},0)),"Y","N"))</f>
        <v>N</v>
      </c>
      <c r="FT157" s="0" t="str">
        <f aca="false">IF($A157="","",IF(OR(T157="Y",U157="do_not_contact",AS157&amp;""&lt;&gt;""),"Y","N"))</f>
        <v>N</v>
      </c>
      <c r="FU157" s="0" t="str">
        <f aca="false">IF($A157="","",IF(AP157&amp;""&lt;&gt;"",AP157&amp;"",$A157))</f>
        <v>AO-C-161</v>
      </c>
      <c r="FV157" s="0" t="str">
        <f aca="false">IF($A157="","",IF(COUNTIFS($FU$2:$FU$1000,FU157,$FS$2:$FS$1000,"Y")+COUNTIFS($FU$2:$FU$1000,FU157,$FT$2:$FT$1000,"Y")&gt;0,"Y","N"))</f>
        <v>N</v>
      </c>
      <c r="FW157" s="0" t="str">
        <f aca="false">IF($A157="","",IF(AND(U157="new",T157="N",FT157="N",AT157="Y",FV157="N"),"Y","N"))</f>
        <v>N</v>
      </c>
      <c r="FX157" s="0" t="str">
        <f aca="false">IF($A157="","",IF(FW157&lt;&gt;"Y","N",IF(COUNTIFS($FU$2:$FU$1000,FU157,$FW$2:$FW$1000,"Y",$J$2:$J$1000,"&gt;"&amp;J157)+COUNTIFS($FU$2:$FU$1000,FU157,$FW$2:$FW$1000,"Y",$J$2:$J$1000,J157,$GD$2:$GD$1000,"&lt;"&amp;GD157)=0,"Y","N")))</f>
        <v>N</v>
      </c>
      <c r="FY157" s="0" t="str">
        <f aca="false">IF($A157="","",IF(AND(FW157="Y",FX157="Y",Y157&amp;""&lt;&gt;""),IF(Y157&lt;=10,"Y","N"),"N"))</f>
        <v>N</v>
      </c>
      <c r="FZ157" s="0" t="str">
        <f aca="false">IF(FY157="Y",Y157,"")</f>
        <v/>
      </c>
      <c r="GA157" s="0" t="str">
        <f aca="false">IF($A157="","",IF(AND(I157="walk-in",CN157="pass",U157="new",FT157="N",FV157="N",AQ157&lt;&gt;"Y"),"Y","N"))</f>
        <v>N</v>
      </c>
      <c r="GB157" s="0" t="str">
        <f aca="false">IF(GA157&lt;&gt;"Y","",IF(COUNTIFS($GA$2:$GA$1000,"Y",$J$2:$J$1000,"&gt;"&amp;J157)+COUNTIFS($GA$2:$GA$1000,"Y",$J$2:$J$1000,J157,$GD$2:$GD$1000,"&lt;"&amp;GD157)+1&lt;=25,COUNTIFS($GA$2:$GA$1000,"Y",$J$2:$J$1000,"&gt;"&amp;J157)+COUNTIFS($GA$2:$GA$1000,"Y",$J$2:$J$1000,J157,$GD$2:$GD$1000,"&lt;"&amp;GD157)+1,""))</f>
        <v/>
      </c>
      <c r="GC157" s="0" t="str">
        <f aca="false">IF(AND(_xlfn.ISFORMULA(C157),_xlfn.ISFORMULA(J157)),"Y","N")</f>
        <v>N</v>
      </c>
      <c r="GD157" s="0" t="n">
        <f aca="false">ROW()-1</f>
        <v>156</v>
      </c>
    </row>
    <row r="158" customFormat="false" ht="15" hidden="false" customHeight="false" outlineLevel="0" collapsed="false">
      <c r="A158" s="0" t="s">
        <v>3682</v>
      </c>
      <c r="B158" s="0" t="s">
        <v>3683</v>
      </c>
      <c r="C158" s="0" t="s">
        <v>3684</v>
      </c>
      <c r="D158" s="0" t="s">
        <v>3685</v>
      </c>
      <c r="E158" s="0" t="s">
        <v>606</v>
      </c>
      <c r="F158" s="0" t="s">
        <v>3549</v>
      </c>
      <c r="G158" s="0" t="s">
        <v>189</v>
      </c>
      <c r="M158" s="0" t="s">
        <v>380</v>
      </c>
      <c r="R158" s="5"/>
      <c r="U158" s="5"/>
      <c r="V158" s="0" t="s">
        <v>380</v>
      </c>
      <c r="AE158" s="0" t="s">
        <v>925</v>
      </c>
      <c r="AF158" s="0" t="s">
        <v>209</v>
      </c>
      <c r="AG158" s="0" t="s">
        <v>3686</v>
      </c>
      <c r="AH158" s="0" t="s">
        <v>209</v>
      </c>
      <c r="AI158" s="0" t="s">
        <v>209</v>
      </c>
      <c r="AJ158" s="0" t="s">
        <v>189</v>
      </c>
      <c r="AK158" s="0" t="s">
        <v>209</v>
      </c>
      <c r="AL158" s="0" t="s">
        <v>189</v>
      </c>
      <c r="AM158" s="0" t="s">
        <v>209</v>
      </c>
      <c r="AN158" s="0" t="s">
        <v>380</v>
      </c>
      <c r="AO158" s="0" t="s">
        <v>209</v>
      </c>
      <c r="AP158" s="0" t="s">
        <v>3682</v>
      </c>
      <c r="AQ158" s="5" t="s">
        <v>189</v>
      </c>
      <c r="AT158" s="0" t="str">
        <f aca="false">IF($A158="","",IF(AND(CN158="pass",AQ158&lt;&gt;"Y",C158&lt;&gt;"",OR(AX158&lt;&gt;"Y",AV158="Y")),"Y","N"))</f>
        <v>Y</v>
      </c>
      <c r="AU158" s="0" t="str">
        <f aca="false">IF($A158="","",_xlfn.TEXTJOIN("; ",TRUE(),IF(CN158&lt;&gt;"pass","gated out",""),IF(AQ158="Y","on hold: "&amp;AR158,""),IF(C158="","no contact named on an opened page",""),IF(AND(AX158="Y",AV158&lt;&gt;"Y"),"Tuesday estimate band "&amp;L158&amp;": founder's call","")))</f>
        <v/>
      </c>
      <c r="AX158" s="0" t="s">
        <v>189</v>
      </c>
      <c r="BC158" s="0" t="str">
        <f aca="false">IF($A158="","",IFERROR(INDEX(Enrichment!$A$2:$GZ$2000,MATCH($A158,INDEX(Enrichment!$A$2:$GZ$2000,0,MATCH("row_id",Enrichment!$A$1:$GZ$1,0)),0),MATCH("work_email",Enrichment!$A$1:$GZ$1,0))&amp;"",""))</f>
        <v/>
      </c>
      <c r="BD158" s="0" t="str">
        <f aca="false">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none</v>
      </c>
      <c r="BF158" s="0" t="s">
        <v>380</v>
      </c>
      <c r="BJ158" s="0" t="s">
        <v>380</v>
      </c>
      <c r="BL158" s="0" t="s">
        <v>896</v>
      </c>
      <c r="BQ158" s="0" t="str">
        <f aca="false">IF($A158="","",IFERROR(INDEX(Enrichment!$A$2:$GZ$2000,MATCH($A158,INDEX(Enrichment!$A$2:$GZ$2000,0,MATCH("row_id",Enrichment!$A$1:$GZ$1,0)),0),MATCH("backup_work_email",Enrichment!$A$1:$GZ$1,0))&amp;"",""))</f>
        <v/>
      </c>
      <c r="BR158" s="0" t="str">
        <f aca="false">IF($A158="","",IF(BQ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none</v>
      </c>
      <c r="BT158" s="0" t="s">
        <v>380</v>
      </c>
      <c r="BX158" s="0" t="s">
        <v>380</v>
      </c>
      <c r="BY158" s="0" t="s">
        <v>387</v>
      </c>
      <c r="BZ158" s="0" t="s">
        <v>388</v>
      </c>
      <c r="CA158" s="0" t="s">
        <v>3564</v>
      </c>
      <c r="CB158" s="0" t="s">
        <v>196</v>
      </c>
      <c r="CM158" s="0" t="s">
        <v>189</v>
      </c>
      <c r="CN158" s="0" t="s">
        <v>200</v>
      </c>
      <c r="CO158" s="0" t="s">
        <v>201</v>
      </c>
      <c r="CP158" s="0" t="s">
        <v>1</v>
      </c>
      <c r="CQ158" s="0" t="s">
        <v>3687</v>
      </c>
      <c r="CR158" s="0" t="s">
        <v>3684</v>
      </c>
      <c r="CS158" s="0" t="s">
        <v>3686</v>
      </c>
      <c r="CT158" s="0" t="s">
        <v>209</v>
      </c>
      <c r="CV158" s="0" t="s">
        <v>209</v>
      </c>
      <c r="CW158" s="0" t="s">
        <v>209</v>
      </c>
      <c r="CX158" s="0" t="s">
        <v>2712</v>
      </c>
      <c r="DA158" s="0" t="s">
        <v>209</v>
      </c>
      <c r="DB158" s="0" t="s">
        <v>209</v>
      </c>
      <c r="DC158" s="0" t="s">
        <v>209</v>
      </c>
      <c r="DD158" s="0" t="s">
        <v>209</v>
      </c>
      <c r="DE158" s="0" t="s">
        <v>209</v>
      </c>
      <c r="DF158" s="0" t="s">
        <v>525</v>
      </c>
      <c r="DG158" s="0" t="n">
        <v>40.742654</v>
      </c>
      <c r="DH158" s="0" t="n">
        <v>-73.991559</v>
      </c>
      <c r="DI158" s="0" t="s">
        <v>164</v>
      </c>
      <c r="DJ158" s="0" t="n">
        <v>0</v>
      </c>
      <c r="DK158" s="0" t="s">
        <v>1114</v>
      </c>
      <c r="DL158" s="0" t="s">
        <v>1115</v>
      </c>
      <c r="DM158" s="0" t="s">
        <v>1678</v>
      </c>
      <c r="DN158" s="0" t="s">
        <v>1679</v>
      </c>
      <c r="DO158" s="0" t="s">
        <v>363</v>
      </c>
      <c r="DS158" s="0" t="s">
        <v>809</v>
      </c>
      <c r="DU158" s="0" t="s">
        <v>189</v>
      </c>
      <c r="DX158" s="0" t="s">
        <v>267</v>
      </c>
      <c r="DY158" s="0" t="s">
        <v>1117</v>
      </c>
      <c r="EA158" s="0" t="s">
        <v>209</v>
      </c>
      <c r="EB158" s="0" t="s">
        <v>189</v>
      </c>
      <c r="EC158" s="0" t="s">
        <v>209</v>
      </c>
      <c r="EF158" s="0" t="s">
        <v>209</v>
      </c>
      <c r="EH158" s="0" t="s">
        <v>189</v>
      </c>
      <c r="EI158" s="0" t="s">
        <v>2716</v>
      </c>
      <c r="EJ158" s="0" t="s">
        <v>221</v>
      </c>
      <c r="EK158" s="0" t="s">
        <v>209</v>
      </c>
      <c r="EL158" s="0" t="n">
        <v>34</v>
      </c>
      <c r="EM158" s="0" t="n">
        <v>7</v>
      </c>
      <c r="EN158" s="0" t="n">
        <v>8</v>
      </c>
      <c r="EO158" s="0" t="n">
        <v>6</v>
      </c>
      <c r="EP158" s="0" t="n">
        <v>13</v>
      </c>
      <c r="EQ158" s="0" t="n">
        <f aca="false">IF($A158="","",IF(AH158="exact",10,IF(AH158="adjacent",5,0)))</f>
        <v>0</v>
      </c>
      <c r="ER158" s="0" t="n">
        <f aca="false">IF($A158="","",IF(R158="Y",15,0))</f>
        <v>0</v>
      </c>
      <c r="ES158" s="0" t="s">
        <v>222</v>
      </c>
      <c r="EX158" s="0" t="s">
        <v>3688</v>
      </c>
      <c r="FS158" s="0" t="str">
        <f aca="false">IF($A158="","",IF(ISNUMBER(MATCH(U158,{"queued","contacted","replied","call_booked","call_done","yes_in_principle","materials_sent"},0)),"Y","N"))</f>
        <v>N</v>
      </c>
      <c r="FT158" s="0" t="str">
        <f aca="false">IF($A158="","",IF(OR(T158="Y",U158="do_not_contact",AS158&amp;""&lt;&gt;""),"Y","N"))</f>
        <v>N</v>
      </c>
      <c r="FU158" s="0" t="str">
        <f aca="false">IF($A158="","",IF(AP158&amp;""&lt;&gt;"",AP158&amp;"",$A158))</f>
        <v>AO-C-100</v>
      </c>
      <c r="FV158" s="0" t="str">
        <f aca="false">IF($A158="","",IF(COUNTIFS($FU$2:$FU$1000,FU158,$FS$2:$FS$1000,"Y")+COUNTIFS($FU$2:$FU$1000,FU158,$FT$2:$FT$1000,"Y")&gt;0,"Y","N"))</f>
        <v>N</v>
      </c>
      <c r="FW158" s="0" t="str">
        <f aca="false">IF($A158="","",IF(AND(U158="new",T158="N",FT158="N",AT158="Y",FV158="N"),"Y","N"))</f>
        <v>N</v>
      </c>
      <c r="FX158" s="0" t="str">
        <f aca="false">IF($A158="","",IF(FW158&lt;&gt;"Y","N",IF(COUNTIFS($FU$2:$FU$1000,FU158,$FW$2:$FW$1000,"Y",$J$2:$J$1000,"&gt;"&amp;J158)+COUNTIFS($FU$2:$FU$1000,FU158,$FW$2:$FW$1000,"Y",$J$2:$J$1000,J158,$GD$2:$GD$1000,"&lt;"&amp;GD158)=0,"Y","N")))</f>
        <v>N</v>
      </c>
      <c r="FY158" s="0" t="str">
        <f aca="false">IF($A158="","",IF(AND(FW158="Y",FX158="Y",Y158&amp;""&lt;&gt;""),IF(Y158&lt;=10,"Y","N"),"N"))</f>
        <v>N</v>
      </c>
      <c r="FZ158" s="0" t="str">
        <f aca="false">IF(FY158="Y",Y158,"")</f>
        <v/>
      </c>
      <c r="GA158" s="0" t="str">
        <f aca="false">IF($A158="","",IF(AND(I158="walk-in",CN158="pass",U158="new",FT158="N",FV158="N",AQ158&lt;&gt;"Y"),"Y","N"))</f>
        <v>N</v>
      </c>
      <c r="GB158" s="0" t="str">
        <f aca="false">IF(GA158&lt;&gt;"Y","",IF(COUNTIFS($GA$2:$GA$1000,"Y",$J$2:$J$1000,"&gt;"&amp;J158)+COUNTIFS($GA$2:$GA$1000,"Y",$J$2:$J$1000,J158,$GD$2:$GD$1000,"&lt;"&amp;GD158)+1&lt;=25,COUNTIFS($GA$2:$GA$1000,"Y",$J$2:$J$1000,"&gt;"&amp;J158)+COUNTIFS($GA$2:$GA$1000,"Y",$J$2:$J$1000,J158,$GD$2:$GD$1000,"&lt;"&amp;GD158)+1,""))</f>
        <v/>
      </c>
      <c r="GC158" s="0" t="str">
        <f aca="false">IF(AND(_xlfn.ISFORMULA(C158),_xlfn.ISFORMULA(J158)),"Y","N")</f>
        <v>N</v>
      </c>
      <c r="GD158" s="0" t="n">
        <f aca="false">ROW()-1</f>
        <v>157</v>
      </c>
    </row>
    <row r="159" customFormat="false" ht="15" hidden="false" customHeight="false" outlineLevel="0" collapsed="false">
      <c r="A159" s="0" t="s">
        <v>3689</v>
      </c>
      <c r="B159" s="0" t="s">
        <v>3690</v>
      </c>
      <c r="C159" s="0" t="s">
        <v>3691</v>
      </c>
      <c r="D159" s="0" t="s">
        <v>3692</v>
      </c>
      <c r="E159" s="0" t="s">
        <v>3693</v>
      </c>
      <c r="F159" s="0" t="s">
        <v>3549</v>
      </c>
      <c r="G159" s="0" t="s">
        <v>189</v>
      </c>
      <c r="M159" s="0" t="s">
        <v>380</v>
      </c>
      <c r="R159" s="5"/>
      <c r="U159" s="5"/>
      <c r="V159" s="0" t="s">
        <v>380</v>
      </c>
      <c r="AE159" s="0" t="s">
        <v>1616</v>
      </c>
      <c r="AF159" s="0" t="s">
        <v>494</v>
      </c>
      <c r="AG159" s="0" t="s">
        <v>3694</v>
      </c>
      <c r="AH159" s="0" t="s">
        <v>209</v>
      </c>
      <c r="AI159" s="0" t="s">
        <v>3695</v>
      </c>
      <c r="AJ159" s="0" t="s">
        <v>189</v>
      </c>
      <c r="AK159" s="0" t="s">
        <v>209</v>
      </c>
      <c r="AL159" s="0" t="s">
        <v>189</v>
      </c>
      <c r="AM159" s="0" t="s">
        <v>209</v>
      </c>
      <c r="AN159" s="0" t="s">
        <v>380</v>
      </c>
      <c r="AO159" s="0" t="s">
        <v>209</v>
      </c>
      <c r="AP159" s="0" t="s">
        <v>3689</v>
      </c>
      <c r="AQ159" s="5" t="s">
        <v>189</v>
      </c>
      <c r="AT159" s="0" t="str">
        <f aca="false">IF($A159="","",IF(AND(CN159="pass",AQ159&lt;&gt;"Y",C159&lt;&gt;"",OR(AX159&lt;&gt;"Y",AV159="Y")),"Y","N"))</f>
        <v>Y</v>
      </c>
      <c r="AU159" s="0" t="str">
        <f aca="false">IF($A159="","",_xlfn.TEXTJOIN("; ",TRUE(),IF(CN159&lt;&gt;"pass","gated out",""),IF(AQ159="Y","on hold: "&amp;AR159,""),IF(C159="","no contact named on an opened page",""),IF(AND(AX159="Y",AV159&lt;&gt;"Y"),"Tuesday estimate band "&amp;L159&amp;": founder's call","")))</f>
        <v/>
      </c>
      <c r="AX159" s="0" t="s">
        <v>189</v>
      </c>
      <c r="BC159" s="0" t="str">
        <f aca="false">IF($A159="","",IFERROR(INDEX(Enrichment!$A$2:$GZ$2000,MATCH($A159,INDEX(Enrichment!$A$2:$GZ$2000,0,MATCH("row_id",Enrichment!$A$1:$GZ$1,0)),0),MATCH("work_email",Enrichment!$A$1:$GZ$1,0))&amp;"",""))</f>
        <v/>
      </c>
      <c r="BD159" s="0" t="str">
        <f aca="false">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none</v>
      </c>
      <c r="BF159" s="0" t="s">
        <v>380</v>
      </c>
      <c r="BJ159" s="0" t="s">
        <v>380</v>
      </c>
      <c r="BL159" s="0" t="s">
        <v>896</v>
      </c>
      <c r="BQ159" s="0" t="str">
        <f aca="false">IF($A159="","",IFERROR(INDEX(Enrichment!$A$2:$GZ$2000,MATCH($A159,INDEX(Enrichment!$A$2:$GZ$2000,0,MATCH("row_id",Enrichment!$A$1:$GZ$1,0)),0),MATCH("backup_work_email",Enrichment!$A$1:$GZ$1,0))&amp;"",""))</f>
        <v/>
      </c>
      <c r="BR159" s="0" t="str">
        <f aca="false">IF($A159="","",IF(BQ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none</v>
      </c>
      <c r="BT159" s="0" t="s">
        <v>380</v>
      </c>
      <c r="BX159" s="0" t="s">
        <v>380</v>
      </c>
      <c r="BY159" s="0" t="s">
        <v>387</v>
      </c>
      <c r="BZ159" s="0" t="s">
        <v>388</v>
      </c>
      <c r="CA159" s="0" t="s">
        <v>3564</v>
      </c>
      <c r="CB159" s="0" t="s">
        <v>196</v>
      </c>
      <c r="CM159" s="0" t="s">
        <v>189</v>
      </c>
      <c r="CN159" s="0" t="s">
        <v>200</v>
      </c>
      <c r="CO159" s="0" t="s">
        <v>201</v>
      </c>
      <c r="CP159" s="0" t="s">
        <v>1</v>
      </c>
      <c r="CQ159" s="0" t="s">
        <v>3696</v>
      </c>
      <c r="CR159" s="0" t="s">
        <v>3691</v>
      </c>
      <c r="CS159" s="0" t="s">
        <v>3694</v>
      </c>
      <c r="CT159" s="0" t="s">
        <v>209</v>
      </c>
      <c r="CV159" s="0" t="s">
        <v>209</v>
      </c>
      <c r="CW159" s="0" t="s">
        <v>209</v>
      </c>
      <c r="CX159" s="0" t="s">
        <v>2712</v>
      </c>
      <c r="DA159" s="0" t="s">
        <v>209</v>
      </c>
      <c r="DB159" s="0" t="s">
        <v>209</v>
      </c>
      <c r="DC159" s="0" t="s">
        <v>209</v>
      </c>
      <c r="DD159" s="0" t="s">
        <v>209</v>
      </c>
      <c r="DE159" s="0" t="s">
        <v>3695</v>
      </c>
      <c r="DF159" s="0" t="s">
        <v>210</v>
      </c>
      <c r="DG159" s="0" t="n">
        <v>40.73865</v>
      </c>
      <c r="DH159" s="0" t="n">
        <v>-73.991471</v>
      </c>
      <c r="DI159" s="0" t="s">
        <v>164</v>
      </c>
      <c r="DJ159" s="0" t="n">
        <v>0</v>
      </c>
      <c r="DK159" s="0" t="s">
        <v>756</v>
      </c>
      <c r="DL159" s="0" t="s">
        <v>757</v>
      </c>
      <c r="DM159" s="0" t="s">
        <v>3697</v>
      </c>
      <c r="DN159" s="0" t="s">
        <v>3698</v>
      </c>
      <c r="DO159" s="0" t="s">
        <v>363</v>
      </c>
      <c r="DS159" s="0" t="s">
        <v>809</v>
      </c>
      <c r="DU159" s="0" t="s">
        <v>189</v>
      </c>
      <c r="DX159" s="0" t="s">
        <v>209</v>
      </c>
      <c r="EA159" s="0" t="s">
        <v>209</v>
      </c>
      <c r="EB159" s="0" t="s">
        <v>189</v>
      </c>
      <c r="EC159" s="0" t="s">
        <v>209</v>
      </c>
      <c r="EF159" s="0" t="s">
        <v>209</v>
      </c>
      <c r="EH159" s="0" t="s">
        <v>189</v>
      </c>
      <c r="EI159" s="0" t="s">
        <v>2716</v>
      </c>
      <c r="EJ159" s="0" t="s">
        <v>221</v>
      </c>
      <c r="EK159" s="0" t="s">
        <v>209</v>
      </c>
      <c r="EL159" s="0" t="n">
        <v>34</v>
      </c>
      <c r="EM159" s="0" t="n">
        <v>7</v>
      </c>
      <c r="EN159" s="0" t="n">
        <v>8</v>
      </c>
      <c r="EO159" s="0" t="n">
        <v>6</v>
      </c>
      <c r="EP159" s="0" t="n">
        <v>13</v>
      </c>
      <c r="EQ159" s="0" t="n">
        <f aca="false">IF($A159="","",IF(AH159="exact",10,IF(AH159="adjacent",5,0)))</f>
        <v>0</v>
      </c>
      <c r="ER159" s="0" t="n">
        <f aca="false">IF($A159="","",IF(R159="Y",15,0))</f>
        <v>0</v>
      </c>
      <c r="ES159" s="0" t="s">
        <v>222</v>
      </c>
      <c r="EV159" s="0" t="s">
        <v>2546</v>
      </c>
      <c r="EW159" s="0" t="s">
        <v>224</v>
      </c>
      <c r="EX159" s="0" t="s">
        <v>3699</v>
      </c>
      <c r="EZ159" s="0" t="s">
        <v>3700</v>
      </c>
      <c r="FS159" s="0" t="str">
        <f aca="false">IF($A159="","",IF(ISNUMBER(MATCH(U159,{"queued","contacted","replied","call_booked","call_done","yes_in_principle","materials_sent"},0)),"Y","N"))</f>
        <v>N</v>
      </c>
      <c r="FT159" s="0" t="str">
        <f aca="false">IF($A159="","",IF(OR(T159="Y",U159="do_not_contact",AS159&amp;""&lt;&gt;""),"Y","N"))</f>
        <v>N</v>
      </c>
      <c r="FU159" s="0" t="str">
        <f aca="false">IF($A159="","",IF(AP159&amp;""&lt;&gt;"",AP159&amp;"",$A159))</f>
        <v>AO-C-045</v>
      </c>
      <c r="FV159" s="0" t="str">
        <f aca="false">IF($A159="","",IF(COUNTIFS($FU$2:$FU$1000,FU159,$FS$2:$FS$1000,"Y")+COUNTIFS($FU$2:$FU$1000,FU159,$FT$2:$FT$1000,"Y")&gt;0,"Y","N"))</f>
        <v>N</v>
      </c>
      <c r="FW159" s="0" t="str">
        <f aca="false">IF($A159="","",IF(AND(U159="new",T159="N",FT159="N",AT159="Y",FV159="N"),"Y","N"))</f>
        <v>N</v>
      </c>
      <c r="FX159" s="0" t="str">
        <f aca="false">IF($A159="","",IF(FW159&lt;&gt;"Y","N",IF(COUNTIFS($FU$2:$FU$1000,FU159,$FW$2:$FW$1000,"Y",$J$2:$J$1000,"&gt;"&amp;J159)+COUNTIFS($FU$2:$FU$1000,FU159,$FW$2:$FW$1000,"Y",$J$2:$J$1000,J159,$GD$2:$GD$1000,"&lt;"&amp;GD159)=0,"Y","N")))</f>
        <v>N</v>
      </c>
      <c r="FY159" s="0" t="str">
        <f aca="false">IF($A159="","",IF(AND(FW159="Y",FX159="Y",Y159&amp;""&lt;&gt;""),IF(Y159&lt;=10,"Y","N"),"N"))</f>
        <v>N</v>
      </c>
      <c r="FZ159" s="0" t="str">
        <f aca="false">IF(FY159="Y",Y159,"")</f>
        <v/>
      </c>
      <c r="GA159" s="0" t="str">
        <f aca="false">IF($A159="","",IF(AND(I159="walk-in",CN159="pass",U159="new",FT159="N",FV159="N",AQ159&lt;&gt;"Y"),"Y","N"))</f>
        <v>N</v>
      </c>
      <c r="GB159" s="0" t="str">
        <f aca="false">IF(GA159&lt;&gt;"Y","",IF(COUNTIFS($GA$2:$GA$1000,"Y",$J$2:$J$1000,"&gt;"&amp;J159)+COUNTIFS($GA$2:$GA$1000,"Y",$J$2:$J$1000,J159,$GD$2:$GD$1000,"&lt;"&amp;GD159)+1&lt;=25,COUNTIFS($GA$2:$GA$1000,"Y",$J$2:$J$1000,"&gt;"&amp;J159)+COUNTIFS($GA$2:$GA$1000,"Y",$J$2:$J$1000,J159,$GD$2:$GD$1000,"&lt;"&amp;GD159)+1,""))</f>
        <v/>
      </c>
      <c r="GC159" s="0" t="str">
        <f aca="false">IF(AND(_xlfn.ISFORMULA(C159),_xlfn.ISFORMULA(J159)),"Y","N")</f>
        <v>N</v>
      </c>
      <c r="GD159" s="0" t="n">
        <f aca="false">ROW()-1</f>
        <v>158</v>
      </c>
    </row>
    <row r="160" customFormat="false" ht="15" hidden="false" customHeight="false" outlineLevel="0" collapsed="false">
      <c r="A160" s="0" t="s">
        <v>3701</v>
      </c>
      <c r="B160" s="0" t="s">
        <v>3702</v>
      </c>
      <c r="C160" s="0" t="s">
        <v>3703</v>
      </c>
      <c r="D160" s="0" t="s">
        <v>3704</v>
      </c>
      <c r="E160" s="0" t="s">
        <v>3705</v>
      </c>
      <c r="F160" s="0" t="s">
        <v>3549</v>
      </c>
      <c r="G160" s="0" t="s">
        <v>189</v>
      </c>
      <c r="M160" s="0" t="s">
        <v>380</v>
      </c>
      <c r="R160" s="5"/>
      <c r="U160" s="5"/>
      <c r="V160" s="0" t="s">
        <v>380</v>
      </c>
      <c r="AE160" s="0" t="s">
        <v>3706</v>
      </c>
      <c r="AF160" s="0" t="s">
        <v>3180</v>
      </c>
      <c r="AG160" s="0" t="s">
        <v>3118</v>
      </c>
      <c r="AH160" s="0" t="s">
        <v>209</v>
      </c>
      <c r="AJ160" s="0" t="s">
        <v>189</v>
      </c>
      <c r="AK160" s="0" t="s">
        <v>209</v>
      </c>
      <c r="AL160" s="0" t="s">
        <v>189</v>
      </c>
      <c r="AM160" s="0" t="s">
        <v>209</v>
      </c>
      <c r="AN160" s="0" t="s">
        <v>380</v>
      </c>
      <c r="AO160" s="0" t="s">
        <v>209</v>
      </c>
      <c r="AP160" s="0" t="s">
        <v>3701</v>
      </c>
      <c r="AQ160" s="5" t="s">
        <v>189</v>
      </c>
      <c r="AT160" s="0" t="str">
        <f aca="false">IF($A160="","",IF(AND(CN160="pass",AQ160&lt;&gt;"Y",C160&lt;&gt;"",OR(AX160&lt;&gt;"Y",AV160="Y")),"Y","N"))</f>
        <v>Y</v>
      </c>
      <c r="AU160" s="0" t="str">
        <f aca="false">IF($A160="","",_xlfn.TEXTJOIN("; ",TRUE(),IF(CN160&lt;&gt;"pass","gated out",""),IF(AQ160="Y","on hold: "&amp;AR160,""),IF(C160="","no contact named on an opened page",""),IF(AND(AX160="Y",AV160&lt;&gt;"Y"),"Tuesday estimate band "&amp;L160&amp;": founder's call","")))</f>
        <v/>
      </c>
      <c r="AX160" s="0" t="s">
        <v>189</v>
      </c>
      <c r="BC160" s="0" t="str">
        <f aca="false">IF($A160="","",IFERROR(INDEX(Enrichment!$A$2:$GZ$2000,MATCH($A160,INDEX(Enrichment!$A$2:$GZ$2000,0,MATCH("row_id",Enrichment!$A$1:$GZ$1,0)),0),MATCH("work_email",Enrichment!$A$1:$GZ$1,0))&amp;"",""))</f>
        <v/>
      </c>
      <c r="BD160" s="0" t="str">
        <f aca="false">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none</v>
      </c>
      <c r="BF160" s="0" t="s">
        <v>380</v>
      </c>
      <c r="BJ160" s="0" t="s">
        <v>380</v>
      </c>
      <c r="BL160" s="0" t="s">
        <v>896</v>
      </c>
      <c r="BQ160" s="0" t="str">
        <f aca="false">IF($A160="","",IFERROR(INDEX(Enrichment!$A$2:$GZ$2000,MATCH($A160,INDEX(Enrichment!$A$2:$GZ$2000,0,MATCH("row_id",Enrichment!$A$1:$GZ$1,0)),0),MATCH("backup_work_email",Enrichment!$A$1:$GZ$1,0))&amp;"",""))</f>
        <v/>
      </c>
      <c r="BR160" s="0" t="str">
        <f aca="false">IF($A160="","",IF(BQ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none</v>
      </c>
      <c r="BT160" s="0" t="s">
        <v>380</v>
      </c>
      <c r="BX160" s="0" t="s">
        <v>380</v>
      </c>
      <c r="BY160" s="0" t="s">
        <v>387</v>
      </c>
      <c r="BZ160" s="0" t="s">
        <v>388</v>
      </c>
      <c r="CA160" s="0" t="s">
        <v>3587</v>
      </c>
      <c r="CB160" s="0" t="s">
        <v>196</v>
      </c>
      <c r="CM160" s="0" t="s">
        <v>189</v>
      </c>
      <c r="CN160" s="0" t="s">
        <v>200</v>
      </c>
      <c r="CO160" s="0" t="s">
        <v>201</v>
      </c>
      <c r="CP160" s="0" t="s">
        <v>3121</v>
      </c>
      <c r="CQ160" s="0" t="s">
        <v>3707</v>
      </c>
      <c r="CR160" s="0" t="s">
        <v>3703</v>
      </c>
      <c r="CS160" s="0" t="s">
        <v>3118</v>
      </c>
      <c r="CT160" s="0" t="s">
        <v>209</v>
      </c>
      <c r="CV160" s="0" t="s">
        <v>209</v>
      </c>
      <c r="CW160" s="0" t="s">
        <v>209</v>
      </c>
      <c r="DA160" s="0" t="s">
        <v>209</v>
      </c>
      <c r="DB160" s="0" t="s">
        <v>3123</v>
      </c>
      <c r="DC160" s="0" t="s">
        <v>209</v>
      </c>
      <c r="DD160" s="0" t="s">
        <v>3702</v>
      </c>
      <c r="DF160" s="0" t="s">
        <v>1190</v>
      </c>
      <c r="DG160" s="0" t="n">
        <v>40.746321</v>
      </c>
      <c r="DH160" s="0" t="n">
        <v>-73.988259</v>
      </c>
      <c r="DI160" s="0" t="s">
        <v>164</v>
      </c>
      <c r="DJ160" s="0" t="n">
        <v>0</v>
      </c>
      <c r="DL160" s="0" t="s">
        <v>209</v>
      </c>
      <c r="DM160" s="0" t="s">
        <v>3708</v>
      </c>
      <c r="DN160" s="0" t="s">
        <v>263</v>
      </c>
      <c r="DO160" s="0" t="s">
        <v>3128</v>
      </c>
      <c r="DP160" s="0" t="s">
        <v>3709</v>
      </c>
      <c r="DS160" s="0" t="s">
        <v>809</v>
      </c>
      <c r="DU160" s="0" t="s">
        <v>189</v>
      </c>
      <c r="DV160" s="0" t="s">
        <v>3707</v>
      </c>
      <c r="DW160" s="0" t="s">
        <v>3130</v>
      </c>
      <c r="DX160" s="0" t="s">
        <v>209</v>
      </c>
      <c r="EA160" s="0" t="s">
        <v>209</v>
      </c>
      <c r="EB160" s="0" t="s">
        <v>189</v>
      </c>
      <c r="EC160" s="0" t="s">
        <v>209</v>
      </c>
      <c r="EF160" s="0" t="s">
        <v>209</v>
      </c>
      <c r="EH160" s="0" t="s">
        <v>189</v>
      </c>
      <c r="EI160" s="0" t="s">
        <v>3131</v>
      </c>
      <c r="EJ160" s="0" t="s">
        <v>221</v>
      </c>
      <c r="EK160" s="0" t="s">
        <v>209</v>
      </c>
      <c r="EL160" s="0" t="n">
        <v>34</v>
      </c>
      <c r="EM160" s="0" t="n">
        <v>7</v>
      </c>
      <c r="EN160" s="0" t="n">
        <v>8</v>
      </c>
      <c r="EO160" s="0" t="n">
        <v>6</v>
      </c>
      <c r="EP160" s="0" t="n">
        <v>13</v>
      </c>
      <c r="EQ160" s="0" t="n">
        <f aca="false">IF($A160="","",IF(AH160="exact",10,IF(AH160="adjacent",5,0)))</f>
        <v>0</v>
      </c>
      <c r="ER160" s="0" t="n">
        <f aca="false">IF($A160="","",IF(R160="Y",15,0))</f>
        <v>0</v>
      </c>
      <c r="ES160" s="0" t="s">
        <v>3121</v>
      </c>
      <c r="EX160" s="0" t="s">
        <v>3710</v>
      </c>
      <c r="FS160" s="0" t="str">
        <f aca="false">IF($A160="","",IF(ISNUMBER(MATCH(U160,{"queued","contacted","replied","call_booked","call_done","yes_in_principle","materials_sent"},0)),"Y","N"))</f>
        <v>N</v>
      </c>
      <c r="FT160" s="0" t="str">
        <f aca="false">IF($A160="","",IF(OR(T160="Y",U160="do_not_contact",AS160&amp;""&lt;&gt;""),"Y","N"))</f>
        <v>N</v>
      </c>
      <c r="FU160" s="0" t="str">
        <f aca="false">IF($A160="","",IF(AP160&amp;""&lt;&gt;"",AP160&amp;"",$A160))</f>
        <v>AO-W-021</v>
      </c>
      <c r="FV160" s="0" t="str">
        <f aca="false">IF($A160="","",IF(COUNTIFS($FU$2:$FU$1000,FU160,$FS$2:$FS$1000,"Y")+COUNTIFS($FU$2:$FU$1000,FU160,$FT$2:$FT$1000,"Y")&gt;0,"Y","N"))</f>
        <v>N</v>
      </c>
      <c r="FW160" s="0" t="str">
        <f aca="false">IF($A160="","",IF(AND(U160="new",T160="N",FT160="N",AT160="Y",FV160="N"),"Y","N"))</f>
        <v>N</v>
      </c>
      <c r="FX160" s="0" t="str">
        <f aca="false">IF($A160="","",IF(FW160&lt;&gt;"Y","N",IF(COUNTIFS($FU$2:$FU$1000,FU160,$FW$2:$FW$1000,"Y",$J$2:$J$1000,"&gt;"&amp;J160)+COUNTIFS($FU$2:$FU$1000,FU160,$FW$2:$FW$1000,"Y",$J$2:$J$1000,J160,$GD$2:$GD$1000,"&lt;"&amp;GD160)=0,"Y","N")))</f>
        <v>N</v>
      </c>
      <c r="FY160" s="0" t="str">
        <f aca="false">IF($A160="","",IF(AND(FW160="Y",FX160="Y",Y160&amp;""&lt;&gt;""),IF(Y160&lt;=10,"Y","N"),"N"))</f>
        <v>N</v>
      </c>
      <c r="FZ160" s="0" t="str">
        <f aca="false">IF(FY160="Y",Y160,"")</f>
        <v/>
      </c>
      <c r="GA160" s="0" t="str">
        <f aca="false">IF($A160="","",IF(AND(I160="walk-in",CN160="pass",U160="new",FT160="N",FV160="N",AQ160&lt;&gt;"Y"),"Y","N"))</f>
        <v>N</v>
      </c>
      <c r="GB160" s="0" t="str">
        <f aca="false">IF(GA160&lt;&gt;"Y","",IF(COUNTIFS($GA$2:$GA$1000,"Y",$J$2:$J$1000,"&gt;"&amp;J160)+COUNTIFS($GA$2:$GA$1000,"Y",$J$2:$J$1000,J160,$GD$2:$GD$1000,"&lt;"&amp;GD160)+1&lt;=25,COUNTIFS($GA$2:$GA$1000,"Y",$J$2:$J$1000,"&gt;"&amp;J160)+COUNTIFS($GA$2:$GA$1000,"Y",$J$2:$J$1000,J160,$GD$2:$GD$1000,"&lt;"&amp;GD160)+1,""))</f>
        <v/>
      </c>
      <c r="GC160" s="0" t="str">
        <f aca="false">IF(AND(_xlfn.ISFORMULA(C160),_xlfn.ISFORMULA(J160)),"Y","N")</f>
        <v>N</v>
      </c>
      <c r="GD160" s="0" t="n">
        <f aca="false">ROW()-1</f>
        <v>159</v>
      </c>
    </row>
    <row r="161" customFormat="false" ht="15" hidden="false" customHeight="false" outlineLevel="0" collapsed="false">
      <c r="A161" s="0" t="s">
        <v>3711</v>
      </c>
      <c r="B161" s="0" t="s">
        <v>3712</v>
      </c>
      <c r="C161" s="0" t="s">
        <v>3713</v>
      </c>
      <c r="D161" s="0" t="s">
        <v>3714</v>
      </c>
      <c r="E161" s="0" t="s">
        <v>2112</v>
      </c>
      <c r="F161" s="0" t="s">
        <v>3549</v>
      </c>
      <c r="G161" s="0" t="s">
        <v>189</v>
      </c>
      <c r="M161" s="0" t="s">
        <v>380</v>
      </c>
      <c r="R161" s="5"/>
      <c r="U161" s="5"/>
      <c r="V161" s="0" t="s">
        <v>380</v>
      </c>
      <c r="AE161" s="0" t="s">
        <v>2553</v>
      </c>
      <c r="AF161" s="0" t="s">
        <v>246</v>
      </c>
      <c r="AG161" s="0" t="s">
        <v>3715</v>
      </c>
      <c r="AH161" s="0" t="s">
        <v>209</v>
      </c>
      <c r="AI161" s="0" t="s">
        <v>3716</v>
      </c>
      <c r="AJ161" s="0" t="s">
        <v>189</v>
      </c>
      <c r="AK161" s="0" t="s">
        <v>209</v>
      </c>
      <c r="AL161" s="0" t="s">
        <v>189</v>
      </c>
      <c r="AM161" s="0" t="s">
        <v>209</v>
      </c>
      <c r="AN161" s="0" t="s">
        <v>380</v>
      </c>
      <c r="AO161" s="0" t="s">
        <v>209</v>
      </c>
      <c r="AP161" s="0" t="s">
        <v>3711</v>
      </c>
      <c r="AQ161" s="5" t="s">
        <v>189</v>
      </c>
      <c r="AT161" s="0" t="str">
        <f aca="false">IF($A161="","",IF(AND(CN161="pass",AQ161&lt;&gt;"Y",C161&lt;&gt;"",OR(AX161&lt;&gt;"Y",AV161="Y")),"Y","N"))</f>
        <v>Y</v>
      </c>
      <c r="AU161" s="0" t="str">
        <f aca="false">IF($A161="","",_xlfn.TEXTJOIN("; ",TRUE(),IF(CN161&lt;&gt;"pass","gated out",""),IF(AQ161="Y","on hold: "&amp;AR161,""),IF(C161="","no contact named on an opened page",""),IF(AND(AX161="Y",AV161&lt;&gt;"Y"),"Tuesday estimate band "&amp;L161&amp;": founder's call","")))</f>
        <v/>
      </c>
      <c r="AX161" s="0" t="s">
        <v>189</v>
      </c>
      <c r="BC161" s="0" t="str">
        <f aca="false">IF($A161="","",IFERROR(INDEX(Enrichment!$A$2:$GZ$2000,MATCH($A161,INDEX(Enrichment!$A$2:$GZ$2000,0,MATCH("row_id",Enrichment!$A$1:$GZ$1,0)),0),MATCH("work_email",Enrichment!$A$1:$GZ$1,0))&amp;"",""))</f>
        <v/>
      </c>
      <c r="BD161" s="0" t="str">
        <f aca="false">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none</v>
      </c>
      <c r="BF161" s="0" t="s">
        <v>380</v>
      </c>
      <c r="BJ161" s="0" t="s">
        <v>380</v>
      </c>
      <c r="BL161" s="0" t="s">
        <v>896</v>
      </c>
      <c r="BQ161" s="0" t="str">
        <f aca="false">IF($A161="","",IFERROR(INDEX(Enrichment!$A$2:$GZ$2000,MATCH($A161,INDEX(Enrichment!$A$2:$GZ$2000,0,MATCH("row_id",Enrichment!$A$1:$GZ$1,0)),0),MATCH("backup_work_email",Enrichment!$A$1:$GZ$1,0))&amp;"",""))</f>
        <v/>
      </c>
      <c r="BR161" s="0" t="str">
        <f aca="false">IF($A161="","",IF(BQ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none</v>
      </c>
      <c r="BT161" s="0" t="s">
        <v>380</v>
      </c>
      <c r="BX161" s="0" t="s">
        <v>380</v>
      </c>
      <c r="BY161" s="0" t="s">
        <v>387</v>
      </c>
      <c r="BZ161" s="0" t="s">
        <v>388</v>
      </c>
      <c r="CA161" s="0" t="s">
        <v>3564</v>
      </c>
      <c r="CB161" s="0" t="s">
        <v>196</v>
      </c>
      <c r="CM161" s="0" t="s">
        <v>189</v>
      </c>
      <c r="CN161" s="0" t="s">
        <v>200</v>
      </c>
      <c r="CO161" s="0" t="s">
        <v>201</v>
      </c>
      <c r="CP161" s="0" t="s">
        <v>1</v>
      </c>
      <c r="CQ161" s="0" t="s">
        <v>3717</v>
      </c>
      <c r="CR161" s="0" t="s">
        <v>3713</v>
      </c>
      <c r="CS161" s="0" t="s">
        <v>3715</v>
      </c>
      <c r="CT161" s="0" t="s">
        <v>209</v>
      </c>
      <c r="CV161" s="0" t="s">
        <v>209</v>
      </c>
      <c r="CW161" s="0" t="s">
        <v>209</v>
      </c>
      <c r="CX161" s="0" t="s">
        <v>2712</v>
      </c>
      <c r="DA161" s="0" t="s">
        <v>209</v>
      </c>
      <c r="DB161" s="0" t="s">
        <v>209</v>
      </c>
      <c r="DC161" s="0" t="s">
        <v>209</v>
      </c>
      <c r="DD161" s="0" t="s">
        <v>209</v>
      </c>
      <c r="DE161" s="0" t="s">
        <v>3716</v>
      </c>
      <c r="DF161" s="0" t="s">
        <v>525</v>
      </c>
      <c r="DG161" s="0" t="n">
        <v>40.741761</v>
      </c>
      <c r="DH161" s="0" t="n">
        <v>-73.987033</v>
      </c>
      <c r="DI161" s="0" t="s">
        <v>164</v>
      </c>
      <c r="DJ161" s="0" t="n">
        <v>0</v>
      </c>
      <c r="DK161" s="0" t="s">
        <v>2502</v>
      </c>
      <c r="DL161" s="0" t="s">
        <v>2503</v>
      </c>
      <c r="DM161" s="0" t="s">
        <v>3718</v>
      </c>
      <c r="DN161" s="0" t="s">
        <v>172</v>
      </c>
      <c r="DO161" s="0" t="s">
        <v>214</v>
      </c>
      <c r="DS161" s="0" t="s">
        <v>809</v>
      </c>
      <c r="DU161" s="0" t="s">
        <v>189</v>
      </c>
      <c r="DX161" s="0" t="s">
        <v>2507</v>
      </c>
      <c r="DY161" s="0" t="s">
        <v>2508</v>
      </c>
      <c r="EA161" s="0" t="s">
        <v>209</v>
      </c>
      <c r="EB161" s="0" t="s">
        <v>189</v>
      </c>
      <c r="EC161" s="0" t="s">
        <v>209</v>
      </c>
      <c r="EF161" s="0" t="s">
        <v>209</v>
      </c>
      <c r="EH161" s="0" t="s">
        <v>189</v>
      </c>
      <c r="EI161" s="0" t="s">
        <v>2716</v>
      </c>
      <c r="EJ161" s="0" t="s">
        <v>221</v>
      </c>
      <c r="EK161" s="0" t="s">
        <v>209</v>
      </c>
      <c r="EL161" s="0" t="n">
        <v>34</v>
      </c>
      <c r="EM161" s="0" t="n">
        <v>7</v>
      </c>
      <c r="EN161" s="0" t="n">
        <v>8</v>
      </c>
      <c r="EO161" s="0" t="n">
        <v>6</v>
      </c>
      <c r="EP161" s="0" t="n">
        <v>13</v>
      </c>
      <c r="EQ161" s="0" t="n">
        <f aca="false">IF($A161="","",IF(AH161="exact",10,IF(AH161="adjacent",5,0)))</f>
        <v>0</v>
      </c>
      <c r="ER161" s="0" t="n">
        <f aca="false">IF($A161="","",IF(R161="Y",15,0))</f>
        <v>0</v>
      </c>
      <c r="ES161" s="0" t="s">
        <v>222</v>
      </c>
      <c r="EX161" s="0" t="s">
        <v>3719</v>
      </c>
      <c r="EZ161" s="0" t="s">
        <v>3720</v>
      </c>
      <c r="FS161" s="0" t="str">
        <f aca="false">IF($A161="","",IF(ISNUMBER(MATCH(U161,{"queued","contacted","replied","call_booked","call_done","yes_in_principle","materials_sent"},0)),"Y","N"))</f>
        <v>N</v>
      </c>
      <c r="FT161" s="0" t="str">
        <f aca="false">IF($A161="","",IF(OR(T161="Y",U161="do_not_contact",AS161&amp;""&lt;&gt;""),"Y","N"))</f>
        <v>N</v>
      </c>
      <c r="FU161" s="0" t="str">
        <f aca="false">IF($A161="","",IF(AP161&amp;""&lt;&gt;"",AP161&amp;"",$A161))</f>
        <v>AO-C-104</v>
      </c>
      <c r="FV161" s="0" t="str">
        <f aca="false">IF($A161="","",IF(COUNTIFS($FU$2:$FU$1000,FU161,$FS$2:$FS$1000,"Y")+COUNTIFS($FU$2:$FU$1000,FU161,$FT$2:$FT$1000,"Y")&gt;0,"Y","N"))</f>
        <v>N</v>
      </c>
      <c r="FW161" s="0" t="str">
        <f aca="false">IF($A161="","",IF(AND(U161="new",T161="N",FT161="N",AT161="Y",FV161="N"),"Y","N"))</f>
        <v>N</v>
      </c>
      <c r="FX161" s="0" t="str">
        <f aca="false">IF($A161="","",IF(FW161&lt;&gt;"Y","N",IF(COUNTIFS($FU$2:$FU$1000,FU161,$FW$2:$FW$1000,"Y",$J$2:$J$1000,"&gt;"&amp;J161)+COUNTIFS($FU$2:$FU$1000,FU161,$FW$2:$FW$1000,"Y",$J$2:$J$1000,J161,$GD$2:$GD$1000,"&lt;"&amp;GD161)=0,"Y","N")))</f>
        <v>N</v>
      </c>
      <c r="FY161" s="0" t="str">
        <f aca="false">IF($A161="","",IF(AND(FW161="Y",FX161="Y",Y161&amp;""&lt;&gt;""),IF(Y161&lt;=10,"Y","N"),"N"))</f>
        <v>N</v>
      </c>
      <c r="FZ161" s="0" t="str">
        <f aca="false">IF(FY161="Y",Y161,"")</f>
        <v/>
      </c>
      <c r="GA161" s="0" t="str">
        <f aca="false">IF($A161="","",IF(AND(I161="walk-in",CN161="pass",U161="new",FT161="N",FV161="N",AQ161&lt;&gt;"Y"),"Y","N"))</f>
        <v>N</v>
      </c>
      <c r="GB161" s="0" t="str">
        <f aca="false">IF(GA161&lt;&gt;"Y","",IF(COUNTIFS($GA$2:$GA$1000,"Y",$J$2:$J$1000,"&gt;"&amp;J161)+COUNTIFS($GA$2:$GA$1000,"Y",$J$2:$J$1000,J161,$GD$2:$GD$1000,"&lt;"&amp;GD161)+1&lt;=25,COUNTIFS($GA$2:$GA$1000,"Y",$J$2:$J$1000,"&gt;"&amp;J161)+COUNTIFS($GA$2:$GA$1000,"Y",$J$2:$J$1000,J161,$GD$2:$GD$1000,"&lt;"&amp;GD161)+1,""))</f>
        <v/>
      </c>
      <c r="GC161" s="0" t="str">
        <f aca="false">IF(AND(_xlfn.ISFORMULA(C161),_xlfn.ISFORMULA(J161)),"Y","N")</f>
        <v>N</v>
      </c>
      <c r="GD161" s="0" t="n">
        <f aca="false">ROW()-1</f>
        <v>160</v>
      </c>
    </row>
    <row r="162" customFormat="false" ht="15" hidden="false" customHeight="false" outlineLevel="0" collapsed="false">
      <c r="A162" s="0" t="s">
        <v>3721</v>
      </c>
      <c r="B162" s="0" t="s">
        <v>3722</v>
      </c>
      <c r="C162" s="0" t="s">
        <v>3723</v>
      </c>
      <c r="D162" s="0" t="s">
        <v>3724</v>
      </c>
      <c r="E162" s="0" t="s">
        <v>3725</v>
      </c>
      <c r="F162" s="0" t="s">
        <v>3549</v>
      </c>
      <c r="G162" s="0" t="s">
        <v>189</v>
      </c>
      <c r="M162" s="0" t="s">
        <v>380</v>
      </c>
      <c r="R162" s="5"/>
      <c r="U162" s="5"/>
      <c r="V162" s="0" t="s">
        <v>380</v>
      </c>
      <c r="AE162" s="0" t="s">
        <v>2214</v>
      </c>
      <c r="AF162" s="0" t="s">
        <v>209</v>
      </c>
      <c r="AG162" s="0" t="s">
        <v>3726</v>
      </c>
      <c r="AH162" s="0" t="s">
        <v>209</v>
      </c>
      <c r="AI162" s="0" t="s">
        <v>209</v>
      </c>
      <c r="AJ162" s="0" t="s">
        <v>189</v>
      </c>
      <c r="AK162" s="0" t="s">
        <v>209</v>
      </c>
      <c r="AL162" s="0" t="s">
        <v>189</v>
      </c>
      <c r="AM162" s="0" t="s">
        <v>209</v>
      </c>
      <c r="AN162" s="0" t="s">
        <v>380</v>
      </c>
      <c r="AO162" s="0" t="s">
        <v>209</v>
      </c>
      <c r="AP162" s="0" t="s">
        <v>3721</v>
      </c>
      <c r="AQ162" s="5" t="s">
        <v>189</v>
      </c>
      <c r="AT162" s="0" t="str">
        <f aca="false">IF($A162="","",IF(AND(CN162="pass",AQ162&lt;&gt;"Y",C162&lt;&gt;"",OR(AX162&lt;&gt;"Y",AV162="Y")),"Y","N"))</f>
        <v>Y</v>
      </c>
      <c r="AU162" s="0" t="str">
        <f aca="false">IF($A162="","",_xlfn.TEXTJOIN("; ",TRUE(),IF(CN162&lt;&gt;"pass","gated out",""),IF(AQ162="Y","on hold: "&amp;AR162,""),IF(C162="","no contact named on an opened page",""),IF(AND(AX162="Y",AV162&lt;&gt;"Y"),"Tuesday estimate band "&amp;L162&amp;": founder's call","")))</f>
        <v/>
      </c>
      <c r="AX162" s="0" t="s">
        <v>189</v>
      </c>
      <c r="BC162" s="0" t="str">
        <f aca="false">IF($A162="","",IFERROR(INDEX(Enrichment!$A$2:$GZ$2000,MATCH($A162,INDEX(Enrichment!$A$2:$GZ$2000,0,MATCH("row_id",Enrichment!$A$1:$GZ$1,0)),0),MATCH("work_email",Enrichment!$A$1:$GZ$1,0))&amp;"",""))</f>
        <v/>
      </c>
      <c r="BD162" s="0" t="str">
        <f aca="false">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none</v>
      </c>
      <c r="BF162" s="0" t="s">
        <v>380</v>
      </c>
      <c r="BJ162" s="0" t="s">
        <v>380</v>
      </c>
      <c r="BL162" s="0" t="s">
        <v>896</v>
      </c>
      <c r="BQ162" s="0" t="str">
        <f aca="false">IF($A162="","",IFERROR(INDEX(Enrichment!$A$2:$GZ$2000,MATCH($A162,INDEX(Enrichment!$A$2:$GZ$2000,0,MATCH("row_id",Enrichment!$A$1:$GZ$1,0)),0),MATCH("backup_work_email",Enrichment!$A$1:$GZ$1,0))&amp;"",""))</f>
        <v/>
      </c>
      <c r="BR162" s="0" t="str">
        <f aca="false">IF($A162="","",IF(BQ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none</v>
      </c>
      <c r="BT162" s="0" t="s">
        <v>380</v>
      </c>
      <c r="BX162" s="0" t="s">
        <v>380</v>
      </c>
      <c r="BY162" s="0" t="s">
        <v>387</v>
      </c>
      <c r="BZ162" s="0" t="s">
        <v>388</v>
      </c>
      <c r="CA162" s="0" t="s">
        <v>3564</v>
      </c>
      <c r="CB162" s="0" t="s">
        <v>196</v>
      </c>
      <c r="CM162" s="0" t="s">
        <v>189</v>
      </c>
      <c r="CN162" s="0" t="s">
        <v>200</v>
      </c>
      <c r="CO162" s="0" t="s">
        <v>201</v>
      </c>
      <c r="CP162" s="0" t="s">
        <v>1</v>
      </c>
      <c r="CQ162" s="0" t="s">
        <v>3727</v>
      </c>
      <c r="CR162" s="0" t="s">
        <v>3723</v>
      </c>
      <c r="CS162" s="0" t="s">
        <v>3726</v>
      </c>
      <c r="CT162" s="0" t="s">
        <v>209</v>
      </c>
      <c r="CV162" s="0" t="s">
        <v>209</v>
      </c>
      <c r="CW162" s="0" t="s">
        <v>209</v>
      </c>
      <c r="CX162" s="0" t="s">
        <v>2712</v>
      </c>
      <c r="DA162" s="0" t="s">
        <v>209</v>
      </c>
      <c r="DB162" s="0" t="s">
        <v>209</v>
      </c>
      <c r="DC162" s="0" t="s">
        <v>209</v>
      </c>
      <c r="DD162" s="0" t="s">
        <v>209</v>
      </c>
      <c r="DE162" s="0" t="s">
        <v>209</v>
      </c>
      <c r="DF162" s="0" t="s">
        <v>525</v>
      </c>
      <c r="DG162" s="0" t="n">
        <v>40.743751</v>
      </c>
      <c r="DH162" s="0" t="n">
        <v>-73.991374</v>
      </c>
      <c r="DI162" s="0" t="s">
        <v>164</v>
      </c>
      <c r="DJ162" s="0" t="n">
        <v>0</v>
      </c>
      <c r="DK162" s="0" t="s">
        <v>2074</v>
      </c>
      <c r="DL162" s="0" t="s">
        <v>2075</v>
      </c>
      <c r="DM162" s="0" t="s">
        <v>3728</v>
      </c>
      <c r="DN162" s="0" t="s">
        <v>3729</v>
      </c>
      <c r="DO162" s="0" t="s">
        <v>363</v>
      </c>
      <c r="DS162" s="0" t="s">
        <v>809</v>
      </c>
      <c r="DU162" s="0" t="s">
        <v>189</v>
      </c>
      <c r="DX162" s="0" t="s">
        <v>209</v>
      </c>
      <c r="EA162" s="0" t="s">
        <v>209</v>
      </c>
      <c r="EB162" s="0" t="s">
        <v>189</v>
      </c>
      <c r="EC162" s="0" t="s">
        <v>209</v>
      </c>
      <c r="EF162" s="0" t="s">
        <v>209</v>
      </c>
      <c r="EH162" s="0" t="s">
        <v>189</v>
      </c>
      <c r="EI162" s="0" t="s">
        <v>2716</v>
      </c>
      <c r="EJ162" s="0" t="s">
        <v>221</v>
      </c>
      <c r="EK162" s="0" t="s">
        <v>209</v>
      </c>
      <c r="EL162" s="0" t="n">
        <v>34</v>
      </c>
      <c r="EM162" s="0" t="n">
        <v>7</v>
      </c>
      <c r="EN162" s="0" t="n">
        <v>8</v>
      </c>
      <c r="EO162" s="0" t="n">
        <v>6</v>
      </c>
      <c r="EP162" s="0" t="n">
        <v>13</v>
      </c>
      <c r="EQ162" s="0" t="n">
        <f aca="false">IF($A162="","",IF(AH162="exact",10,IF(AH162="adjacent",5,0)))</f>
        <v>0</v>
      </c>
      <c r="ER162" s="0" t="n">
        <f aca="false">IF($A162="","",IF(R162="Y",15,0))</f>
        <v>0</v>
      </c>
      <c r="ES162" s="0" t="s">
        <v>222</v>
      </c>
      <c r="EV162" s="0" t="s">
        <v>3730</v>
      </c>
      <c r="EW162" s="0" t="s">
        <v>224</v>
      </c>
      <c r="EX162" s="0" t="s">
        <v>3731</v>
      </c>
      <c r="FS162" s="0" t="str">
        <f aca="false">IF($A162="","",IF(ISNUMBER(MATCH(U162,{"queued","contacted","replied","call_booked","call_done","yes_in_principle","materials_sent"},0)),"Y","N"))</f>
        <v>N</v>
      </c>
      <c r="FT162" s="0" t="str">
        <f aca="false">IF($A162="","",IF(OR(T162="Y",U162="do_not_contact",AS162&amp;""&lt;&gt;""),"Y","N"))</f>
        <v>N</v>
      </c>
      <c r="FU162" s="0" t="str">
        <f aca="false">IF($A162="","",IF(AP162&amp;""&lt;&gt;"",AP162&amp;"",$A162))</f>
        <v>AO-C-107</v>
      </c>
      <c r="FV162" s="0" t="str">
        <f aca="false">IF($A162="","",IF(COUNTIFS($FU$2:$FU$1000,FU162,$FS$2:$FS$1000,"Y")+COUNTIFS($FU$2:$FU$1000,FU162,$FT$2:$FT$1000,"Y")&gt;0,"Y","N"))</f>
        <v>N</v>
      </c>
      <c r="FW162" s="0" t="str">
        <f aca="false">IF($A162="","",IF(AND(U162="new",T162="N",FT162="N",AT162="Y",FV162="N"),"Y","N"))</f>
        <v>N</v>
      </c>
      <c r="FX162" s="0" t="str">
        <f aca="false">IF($A162="","",IF(FW162&lt;&gt;"Y","N",IF(COUNTIFS($FU$2:$FU$1000,FU162,$FW$2:$FW$1000,"Y",$J$2:$J$1000,"&gt;"&amp;J162)+COUNTIFS($FU$2:$FU$1000,FU162,$FW$2:$FW$1000,"Y",$J$2:$J$1000,J162,$GD$2:$GD$1000,"&lt;"&amp;GD162)=0,"Y","N")))</f>
        <v>N</v>
      </c>
      <c r="FY162" s="0" t="str">
        <f aca="false">IF($A162="","",IF(AND(FW162="Y",FX162="Y",Y162&amp;""&lt;&gt;""),IF(Y162&lt;=10,"Y","N"),"N"))</f>
        <v>N</v>
      </c>
      <c r="FZ162" s="0" t="str">
        <f aca="false">IF(FY162="Y",Y162,"")</f>
        <v/>
      </c>
      <c r="GA162" s="0" t="str">
        <f aca="false">IF($A162="","",IF(AND(I162="walk-in",CN162="pass",U162="new",FT162="N",FV162="N",AQ162&lt;&gt;"Y"),"Y","N"))</f>
        <v>N</v>
      </c>
      <c r="GB162" s="0" t="str">
        <f aca="false">IF(GA162&lt;&gt;"Y","",IF(COUNTIFS($GA$2:$GA$1000,"Y",$J$2:$J$1000,"&gt;"&amp;J162)+COUNTIFS($GA$2:$GA$1000,"Y",$J$2:$J$1000,J162,$GD$2:$GD$1000,"&lt;"&amp;GD162)+1&lt;=25,COUNTIFS($GA$2:$GA$1000,"Y",$J$2:$J$1000,"&gt;"&amp;J162)+COUNTIFS($GA$2:$GA$1000,"Y",$J$2:$J$1000,J162,$GD$2:$GD$1000,"&lt;"&amp;GD162)+1,""))</f>
        <v/>
      </c>
      <c r="GC162" s="0" t="str">
        <f aca="false">IF(AND(_xlfn.ISFORMULA(C162),_xlfn.ISFORMULA(J162)),"Y","N")</f>
        <v>N</v>
      </c>
      <c r="GD162" s="0" t="n">
        <f aca="false">ROW()-1</f>
        <v>161</v>
      </c>
    </row>
    <row r="163" customFormat="false" ht="15" hidden="false" customHeight="false" outlineLevel="0" collapsed="false">
      <c r="A163" s="0" t="s">
        <v>3732</v>
      </c>
      <c r="B163" s="0" t="s">
        <v>3733</v>
      </c>
      <c r="C163" s="0" t="s">
        <v>209</v>
      </c>
      <c r="E163" s="0" t="s">
        <v>3070</v>
      </c>
      <c r="F163" s="0" t="s">
        <v>3549</v>
      </c>
      <c r="G163" s="0" t="s">
        <v>189</v>
      </c>
      <c r="M163" s="0" t="s">
        <v>380</v>
      </c>
      <c r="R163" s="5"/>
      <c r="U163" s="5"/>
      <c r="V163" s="0" t="s">
        <v>380</v>
      </c>
      <c r="AE163" s="0" t="s">
        <v>734</v>
      </c>
      <c r="AF163" s="0" t="s">
        <v>209</v>
      </c>
      <c r="AG163" s="0" t="s">
        <v>3734</v>
      </c>
      <c r="AH163" s="0" t="s">
        <v>209</v>
      </c>
      <c r="AI163" s="0" t="s">
        <v>209</v>
      </c>
      <c r="AJ163" s="0" t="s">
        <v>189</v>
      </c>
      <c r="AK163" s="0" t="s">
        <v>209</v>
      </c>
      <c r="AL163" s="0" t="s">
        <v>189</v>
      </c>
      <c r="AM163" s="0" t="s">
        <v>209</v>
      </c>
      <c r="AN163" s="0" t="s">
        <v>380</v>
      </c>
      <c r="AO163" s="0" t="s">
        <v>209</v>
      </c>
      <c r="AP163" s="0" t="s">
        <v>3732</v>
      </c>
      <c r="AQ163" s="5" t="s">
        <v>189</v>
      </c>
      <c r="AT163" s="0" t="str">
        <f aca="false">IF($A163="","",IF(AND(CN163="pass",AQ163&lt;&gt;"Y",C163&lt;&gt;"",OR(AX163&lt;&gt;"Y",AV163="Y")),"Y","N"))</f>
        <v>Y</v>
      </c>
      <c r="AU163" s="0" t="str">
        <f aca="false">IF($A163="","",_xlfn.TEXTJOIN("; ",TRUE(),IF(CN163&lt;&gt;"pass","gated out",""),IF(AQ163="Y","on hold: "&amp;AR163,""),IF(C163="","no contact named on an opened page",""),IF(AND(AX163="Y",AV163&lt;&gt;"Y"),"Tuesday estimate band "&amp;L163&amp;": founder's call","")))</f>
        <v/>
      </c>
      <c r="AX163" s="0" t="s">
        <v>189</v>
      </c>
      <c r="BC163" s="0" t="str">
        <f aca="false">IF($A163="","",IFERROR(INDEX(Enrichment!$A$2:$GZ$2000,MATCH($A163,INDEX(Enrichment!$A$2:$GZ$2000,0,MATCH("row_id",Enrichment!$A$1:$GZ$1,0)),0),MATCH("work_email",Enrichment!$A$1:$GZ$1,0))&amp;"",""))</f>
        <v/>
      </c>
      <c r="BD163" s="0" t="str">
        <f aca="false">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none</v>
      </c>
      <c r="BF163" s="0" t="s">
        <v>380</v>
      </c>
      <c r="BJ163" s="0" t="s">
        <v>380</v>
      </c>
      <c r="BL163" s="0" t="s">
        <v>896</v>
      </c>
      <c r="BQ163" s="0" t="str">
        <f aca="false">IF($A163="","",IFERROR(INDEX(Enrichment!$A$2:$GZ$2000,MATCH($A163,INDEX(Enrichment!$A$2:$GZ$2000,0,MATCH("row_id",Enrichment!$A$1:$GZ$1,0)),0),MATCH("backup_work_email",Enrichment!$A$1:$GZ$1,0))&amp;"",""))</f>
        <v/>
      </c>
      <c r="BR163" s="0" t="str">
        <f aca="false">IF($A163="","",IF(BQ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none</v>
      </c>
      <c r="BT163" s="0" t="s">
        <v>380</v>
      </c>
      <c r="BX163" s="0" t="s">
        <v>380</v>
      </c>
      <c r="BY163" s="0" t="s">
        <v>387</v>
      </c>
      <c r="BZ163" s="0" t="s">
        <v>388</v>
      </c>
      <c r="CA163" s="0" t="s">
        <v>3564</v>
      </c>
      <c r="CB163" s="0" t="s">
        <v>196</v>
      </c>
      <c r="CM163" s="0" t="s">
        <v>189</v>
      </c>
      <c r="CN163" s="0" t="s">
        <v>200</v>
      </c>
      <c r="CO163" s="0" t="s">
        <v>201</v>
      </c>
      <c r="CP163" s="0" t="s">
        <v>1</v>
      </c>
      <c r="CQ163" s="0" t="s">
        <v>3735</v>
      </c>
      <c r="CR163" s="0" t="s">
        <v>209</v>
      </c>
      <c r="CS163" s="0" t="s">
        <v>3734</v>
      </c>
      <c r="CT163" s="0" t="s">
        <v>209</v>
      </c>
      <c r="CV163" s="0" t="s">
        <v>209</v>
      </c>
      <c r="CW163" s="0" t="s">
        <v>209</v>
      </c>
      <c r="CX163" s="0" t="s">
        <v>2712</v>
      </c>
      <c r="DA163" s="0" t="s">
        <v>209</v>
      </c>
      <c r="DB163" s="0" t="s">
        <v>209</v>
      </c>
      <c r="DC163" s="0" t="s">
        <v>209</v>
      </c>
      <c r="DD163" s="0" t="s">
        <v>209</v>
      </c>
      <c r="DE163" s="0" t="s">
        <v>209</v>
      </c>
      <c r="DF163" s="0" t="s">
        <v>525</v>
      </c>
      <c r="DG163" s="0" t="n">
        <v>40.743309</v>
      </c>
      <c r="DH163" s="0" t="n">
        <v>-73.987329</v>
      </c>
      <c r="DI163" s="0" t="s">
        <v>164</v>
      </c>
      <c r="DJ163" s="0" t="n">
        <v>0</v>
      </c>
      <c r="DK163" s="0" t="s">
        <v>940</v>
      </c>
      <c r="DL163" s="0" t="s">
        <v>941</v>
      </c>
      <c r="DM163" s="0" t="s">
        <v>942</v>
      </c>
      <c r="DN163" s="0" t="s">
        <v>943</v>
      </c>
      <c r="DO163" s="0" t="s">
        <v>363</v>
      </c>
      <c r="DS163" s="0" t="s">
        <v>809</v>
      </c>
      <c r="DU163" s="0" t="s">
        <v>189</v>
      </c>
      <c r="DX163" s="0" t="s">
        <v>209</v>
      </c>
      <c r="EA163" s="0" t="s">
        <v>209</v>
      </c>
      <c r="EB163" s="0" t="s">
        <v>189</v>
      </c>
      <c r="EC163" s="0" t="s">
        <v>209</v>
      </c>
      <c r="EF163" s="0" t="s">
        <v>209</v>
      </c>
      <c r="EH163" s="0" t="s">
        <v>189</v>
      </c>
      <c r="EI163" s="0" t="s">
        <v>2716</v>
      </c>
      <c r="EJ163" s="0" t="s">
        <v>221</v>
      </c>
      <c r="EK163" s="0" t="s">
        <v>209</v>
      </c>
      <c r="EL163" s="0" t="n">
        <v>34</v>
      </c>
      <c r="EM163" s="0" t="n">
        <v>7</v>
      </c>
      <c r="EN163" s="0" t="n">
        <v>8</v>
      </c>
      <c r="EO163" s="0" t="n">
        <v>6</v>
      </c>
      <c r="EP163" s="0" t="n">
        <v>13</v>
      </c>
      <c r="EQ163" s="0" t="n">
        <f aca="false">IF($A163="","",IF(AH163="exact",10,IF(AH163="adjacent",5,0)))</f>
        <v>0</v>
      </c>
      <c r="ER163" s="0" t="n">
        <f aca="false">IF($A163="","",IF(R163="Y",15,0))</f>
        <v>0</v>
      </c>
      <c r="ES163" s="0" t="s">
        <v>222</v>
      </c>
      <c r="EX163" s="0" t="s">
        <v>3736</v>
      </c>
      <c r="FS163" s="0" t="str">
        <f aca="false">IF($A163="","",IF(ISNUMBER(MATCH(U163,{"queued","contacted","replied","call_booked","call_done","yes_in_principle","materials_sent"},0)),"Y","N"))</f>
        <v>N</v>
      </c>
      <c r="FT163" s="0" t="str">
        <f aca="false">IF($A163="","",IF(OR(T163="Y",U163="do_not_contact",AS163&amp;""&lt;&gt;""),"Y","N"))</f>
        <v>N</v>
      </c>
      <c r="FU163" s="0" t="str">
        <f aca="false">IF($A163="","",IF(AP163&amp;""&lt;&gt;"",AP163&amp;"",$A163))</f>
        <v>AO-C-132</v>
      </c>
      <c r="FV163" s="0" t="str">
        <f aca="false">IF($A163="","",IF(COUNTIFS($FU$2:$FU$1000,FU163,$FS$2:$FS$1000,"Y")+COUNTIFS($FU$2:$FU$1000,FU163,$FT$2:$FT$1000,"Y")&gt;0,"Y","N"))</f>
        <v>N</v>
      </c>
      <c r="FW163" s="0" t="str">
        <f aca="false">IF($A163="","",IF(AND(U163="new",T163="N",FT163="N",AT163="Y",FV163="N"),"Y","N"))</f>
        <v>N</v>
      </c>
      <c r="FX163" s="0" t="str">
        <f aca="false">IF($A163="","",IF(FW163&lt;&gt;"Y","N",IF(COUNTIFS($FU$2:$FU$1000,FU163,$FW$2:$FW$1000,"Y",$J$2:$J$1000,"&gt;"&amp;J163)+COUNTIFS($FU$2:$FU$1000,FU163,$FW$2:$FW$1000,"Y",$J$2:$J$1000,J163,$GD$2:$GD$1000,"&lt;"&amp;GD163)=0,"Y","N")))</f>
        <v>N</v>
      </c>
      <c r="FY163" s="0" t="str">
        <f aca="false">IF($A163="","",IF(AND(FW163="Y",FX163="Y",Y163&amp;""&lt;&gt;""),IF(Y163&lt;=10,"Y","N"),"N"))</f>
        <v>N</v>
      </c>
      <c r="FZ163" s="0" t="str">
        <f aca="false">IF(FY163="Y",Y163,"")</f>
        <v/>
      </c>
      <c r="GA163" s="0" t="str">
        <f aca="false">IF($A163="","",IF(AND(I163="walk-in",CN163="pass",U163="new",FT163="N",FV163="N",AQ163&lt;&gt;"Y"),"Y","N"))</f>
        <v>N</v>
      </c>
      <c r="GB163" s="0" t="str">
        <f aca="false">IF(GA163&lt;&gt;"Y","",IF(COUNTIFS($GA$2:$GA$1000,"Y",$J$2:$J$1000,"&gt;"&amp;J163)+COUNTIFS($GA$2:$GA$1000,"Y",$J$2:$J$1000,J163,$GD$2:$GD$1000,"&lt;"&amp;GD163)+1&lt;=25,COUNTIFS($GA$2:$GA$1000,"Y",$J$2:$J$1000,"&gt;"&amp;J163)+COUNTIFS($GA$2:$GA$1000,"Y",$J$2:$J$1000,J163,$GD$2:$GD$1000,"&lt;"&amp;GD163)+1,""))</f>
        <v/>
      </c>
      <c r="GC163" s="0" t="str">
        <f aca="false">IF(AND(_xlfn.ISFORMULA(C163),_xlfn.ISFORMULA(J163)),"Y","N")</f>
        <v>N</v>
      </c>
      <c r="GD163" s="0" t="n">
        <f aca="false">ROW()-1</f>
        <v>162</v>
      </c>
    </row>
    <row r="164" customFormat="false" ht="15" hidden="false" customHeight="false" outlineLevel="0" collapsed="false">
      <c r="A164" s="0" t="s">
        <v>3737</v>
      </c>
      <c r="B164" s="0" t="s">
        <v>3738</v>
      </c>
      <c r="C164" s="0" t="s">
        <v>3739</v>
      </c>
      <c r="D164" s="0" t="s">
        <v>3740</v>
      </c>
      <c r="E164" s="0" t="s">
        <v>3741</v>
      </c>
      <c r="F164" s="0" t="s">
        <v>3549</v>
      </c>
      <c r="G164" s="0" t="s">
        <v>189</v>
      </c>
      <c r="M164" s="0" t="s">
        <v>380</v>
      </c>
      <c r="R164" s="5"/>
      <c r="U164" s="5"/>
      <c r="V164" s="0" t="s">
        <v>380</v>
      </c>
      <c r="AE164" s="0" t="s">
        <v>3742</v>
      </c>
      <c r="AF164" s="0" t="s">
        <v>3743</v>
      </c>
      <c r="AG164" s="0" t="s">
        <v>3118</v>
      </c>
      <c r="AH164" s="0" t="s">
        <v>209</v>
      </c>
      <c r="AJ164" s="0" t="s">
        <v>189</v>
      </c>
      <c r="AK164" s="0" t="s">
        <v>209</v>
      </c>
      <c r="AL164" s="0" t="s">
        <v>189</v>
      </c>
      <c r="AM164" s="0" t="s">
        <v>209</v>
      </c>
      <c r="AN164" s="0" t="s">
        <v>380</v>
      </c>
      <c r="AO164" s="0" t="s">
        <v>209</v>
      </c>
      <c r="AP164" s="0" t="s">
        <v>3737</v>
      </c>
      <c r="AQ164" s="5" t="s">
        <v>189</v>
      </c>
      <c r="AT164" s="0" t="str">
        <f aca="false">IF($A164="","",IF(AND(CN164="pass",AQ164&lt;&gt;"Y",C164&lt;&gt;"",OR(AX164&lt;&gt;"Y",AV164="Y")),"Y","N"))</f>
        <v>Y</v>
      </c>
      <c r="AU164" s="0" t="str">
        <f aca="false">IF($A164="","",_xlfn.TEXTJOIN("; ",TRUE(),IF(CN164&lt;&gt;"pass","gated out",""),IF(AQ164="Y","on hold: "&amp;AR164,""),IF(C164="","no contact named on an opened page",""),IF(AND(AX164="Y",AV164&lt;&gt;"Y"),"Tuesday estimate band "&amp;L164&amp;": founder's call","")))</f>
        <v/>
      </c>
      <c r="AX164" s="0" t="s">
        <v>189</v>
      </c>
      <c r="BC164" s="0" t="str">
        <f aca="false">IF($A164="","",IFERROR(INDEX(Enrichment!$A$2:$GZ$2000,MATCH($A164,INDEX(Enrichment!$A$2:$GZ$2000,0,MATCH("row_id",Enrichment!$A$1:$GZ$1,0)),0),MATCH("work_email",Enrichment!$A$1:$GZ$1,0))&amp;"",""))</f>
        <v/>
      </c>
      <c r="BD164" s="0" t="str">
        <f aca="false">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none</v>
      </c>
      <c r="BF164" s="0" t="s">
        <v>380</v>
      </c>
      <c r="BJ164" s="0" t="s">
        <v>380</v>
      </c>
      <c r="BL164" s="0" t="s">
        <v>896</v>
      </c>
      <c r="BQ164" s="0" t="str">
        <f aca="false">IF($A164="","",IFERROR(INDEX(Enrichment!$A$2:$GZ$2000,MATCH($A164,INDEX(Enrichment!$A$2:$GZ$2000,0,MATCH("row_id",Enrichment!$A$1:$GZ$1,0)),0),MATCH("backup_work_email",Enrichment!$A$1:$GZ$1,0))&amp;"",""))</f>
        <v/>
      </c>
      <c r="BR164" s="0" t="str">
        <f aca="false">IF($A164="","",IF(BQ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none</v>
      </c>
      <c r="BT164" s="0" t="s">
        <v>380</v>
      </c>
      <c r="BX164" s="0" t="s">
        <v>380</v>
      </c>
      <c r="BY164" s="0" t="s">
        <v>387</v>
      </c>
      <c r="BZ164" s="0" t="s">
        <v>388</v>
      </c>
      <c r="CA164" s="0" t="s">
        <v>3587</v>
      </c>
      <c r="CB164" s="0" t="s">
        <v>196</v>
      </c>
      <c r="CM164" s="0" t="s">
        <v>189</v>
      </c>
      <c r="CN164" s="0" t="s">
        <v>200</v>
      </c>
      <c r="CO164" s="0" t="s">
        <v>201</v>
      </c>
      <c r="CP164" s="0" t="s">
        <v>3121</v>
      </c>
      <c r="CQ164" s="0" t="s">
        <v>3744</v>
      </c>
      <c r="CR164" s="0" t="s">
        <v>3739</v>
      </c>
      <c r="CS164" s="0" t="s">
        <v>3118</v>
      </c>
      <c r="CT164" s="0" t="s">
        <v>209</v>
      </c>
      <c r="CV164" s="0" t="s">
        <v>209</v>
      </c>
      <c r="CW164" s="0" t="s">
        <v>209</v>
      </c>
      <c r="DA164" s="0" t="s">
        <v>209</v>
      </c>
      <c r="DB164" s="0" t="s">
        <v>3123</v>
      </c>
      <c r="DC164" s="0" t="s">
        <v>209</v>
      </c>
      <c r="DD164" s="0" t="s">
        <v>3745</v>
      </c>
      <c r="DF164" s="0" t="s">
        <v>1190</v>
      </c>
      <c r="DG164" s="0" t="n">
        <v>40.746574</v>
      </c>
      <c r="DH164" s="0" t="n">
        <v>-73.98833</v>
      </c>
      <c r="DI164" s="0" t="s">
        <v>164</v>
      </c>
      <c r="DJ164" s="0" t="n">
        <v>0</v>
      </c>
      <c r="DL164" s="0" t="s">
        <v>209</v>
      </c>
      <c r="DM164" s="0" t="s">
        <v>3746</v>
      </c>
      <c r="DN164" s="0" t="s">
        <v>263</v>
      </c>
      <c r="DO164" s="0" t="s">
        <v>3128</v>
      </c>
      <c r="DP164" s="0" t="s">
        <v>3747</v>
      </c>
      <c r="DS164" s="0" t="s">
        <v>809</v>
      </c>
      <c r="DU164" s="0" t="s">
        <v>189</v>
      </c>
      <c r="DV164" s="0" t="s">
        <v>3744</v>
      </c>
      <c r="DW164" s="0" t="s">
        <v>3130</v>
      </c>
      <c r="DX164" s="0" t="s">
        <v>209</v>
      </c>
      <c r="EA164" s="0" t="s">
        <v>209</v>
      </c>
      <c r="EB164" s="0" t="s">
        <v>189</v>
      </c>
      <c r="EC164" s="0" t="s">
        <v>209</v>
      </c>
      <c r="EF164" s="0" t="s">
        <v>209</v>
      </c>
      <c r="EH164" s="0" t="s">
        <v>189</v>
      </c>
      <c r="EI164" s="0" t="s">
        <v>3131</v>
      </c>
      <c r="EJ164" s="0" t="s">
        <v>221</v>
      </c>
      <c r="EK164" s="0" t="s">
        <v>209</v>
      </c>
      <c r="EL164" s="0" t="n">
        <v>34</v>
      </c>
      <c r="EM164" s="0" t="n">
        <v>7</v>
      </c>
      <c r="EN164" s="0" t="n">
        <v>8</v>
      </c>
      <c r="EO164" s="0" t="n">
        <v>6</v>
      </c>
      <c r="EP164" s="0" t="n">
        <v>13</v>
      </c>
      <c r="EQ164" s="0" t="n">
        <f aca="false">IF($A164="","",IF(AH164="exact",10,IF(AH164="adjacent",5,0)))</f>
        <v>0</v>
      </c>
      <c r="ER164" s="0" t="n">
        <f aca="false">IF($A164="","",IF(R164="Y",15,0))</f>
        <v>0</v>
      </c>
      <c r="ES164" s="0" t="s">
        <v>3121</v>
      </c>
      <c r="EX164" s="0" t="s">
        <v>3748</v>
      </c>
      <c r="FS164" s="0" t="str">
        <f aca="false">IF($A164="","",IF(ISNUMBER(MATCH(U164,{"queued","contacted","replied","call_booked","call_done","yes_in_principle","materials_sent"},0)),"Y","N"))</f>
        <v>N</v>
      </c>
      <c r="FT164" s="0" t="str">
        <f aca="false">IF($A164="","",IF(OR(T164="Y",U164="do_not_contact",AS164&amp;""&lt;&gt;""),"Y","N"))</f>
        <v>N</v>
      </c>
      <c r="FU164" s="0" t="str">
        <f aca="false">IF($A164="","",IF(AP164&amp;""&lt;&gt;"",AP164&amp;"",$A164))</f>
        <v>AO-W-023</v>
      </c>
      <c r="FV164" s="0" t="str">
        <f aca="false">IF($A164="","",IF(COUNTIFS($FU$2:$FU$1000,FU164,$FS$2:$FS$1000,"Y")+COUNTIFS($FU$2:$FU$1000,FU164,$FT$2:$FT$1000,"Y")&gt;0,"Y","N"))</f>
        <v>N</v>
      </c>
      <c r="FW164" s="0" t="str">
        <f aca="false">IF($A164="","",IF(AND(U164="new",T164="N",FT164="N",AT164="Y",FV164="N"),"Y","N"))</f>
        <v>N</v>
      </c>
      <c r="FX164" s="0" t="str">
        <f aca="false">IF($A164="","",IF(FW164&lt;&gt;"Y","N",IF(COUNTIFS($FU$2:$FU$1000,FU164,$FW$2:$FW$1000,"Y",$J$2:$J$1000,"&gt;"&amp;J164)+COUNTIFS($FU$2:$FU$1000,FU164,$FW$2:$FW$1000,"Y",$J$2:$J$1000,J164,$GD$2:$GD$1000,"&lt;"&amp;GD164)=0,"Y","N")))</f>
        <v>N</v>
      </c>
      <c r="FY164" s="0" t="str">
        <f aca="false">IF($A164="","",IF(AND(FW164="Y",FX164="Y",Y164&amp;""&lt;&gt;""),IF(Y164&lt;=10,"Y","N"),"N"))</f>
        <v>N</v>
      </c>
      <c r="FZ164" s="0" t="str">
        <f aca="false">IF(FY164="Y",Y164,"")</f>
        <v/>
      </c>
      <c r="GA164" s="0" t="str">
        <f aca="false">IF($A164="","",IF(AND(I164="walk-in",CN164="pass",U164="new",FT164="N",FV164="N",AQ164&lt;&gt;"Y"),"Y","N"))</f>
        <v>N</v>
      </c>
      <c r="GB164" s="0" t="str">
        <f aca="false">IF(GA164&lt;&gt;"Y","",IF(COUNTIFS($GA$2:$GA$1000,"Y",$J$2:$J$1000,"&gt;"&amp;J164)+COUNTIFS($GA$2:$GA$1000,"Y",$J$2:$J$1000,J164,$GD$2:$GD$1000,"&lt;"&amp;GD164)+1&lt;=25,COUNTIFS($GA$2:$GA$1000,"Y",$J$2:$J$1000,"&gt;"&amp;J164)+COUNTIFS($GA$2:$GA$1000,"Y",$J$2:$J$1000,J164,$GD$2:$GD$1000,"&lt;"&amp;GD164)+1,""))</f>
        <v/>
      </c>
      <c r="GC164" s="0" t="str">
        <f aca="false">IF(AND(_xlfn.ISFORMULA(C164),_xlfn.ISFORMULA(J164)),"Y","N")</f>
        <v>N</v>
      </c>
      <c r="GD164" s="0" t="n">
        <f aca="false">ROW()-1</f>
        <v>163</v>
      </c>
    </row>
    <row r="165" customFormat="false" ht="15" hidden="false" customHeight="false" outlineLevel="0" collapsed="false">
      <c r="A165" s="0" t="s">
        <v>3749</v>
      </c>
      <c r="B165" s="0" t="s">
        <v>3750</v>
      </c>
      <c r="C165" s="0" t="s">
        <v>3751</v>
      </c>
      <c r="D165" s="0" t="s">
        <v>3752</v>
      </c>
      <c r="E165" s="0" t="s">
        <v>3753</v>
      </c>
      <c r="F165" s="0" t="s">
        <v>3549</v>
      </c>
      <c r="G165" s="0" t="s">
        <v>189</v>
      </c>
      <c r="M165" s="0" t="s">
        <v>380</v>
      </c>
      <c r="R165" s="5"/>
      <c r="U165" s="5"/>
      <c r="V165" s="0" t="s">
        <v>380</v>
      </c>
      <c r="AE165" s="0" t="s">
        <v>3754</v>
      </c>
      <c r="AF165" s="0" t="s">
        <v>3755</v>
      </c>
      <c r="AG165" s="0" t="s">
        <v>3118</v>
      </c>
      <c r="AH165" s="0" t="s">
        <v>209</v>
      </c>
      <c r="AJ165" s="0" t="s">
        <v>189</v>
      </c>
      <c r="AK165" s="0" t="s">
        <v>209</v>
      </c>
      <c r="AL165" s="0" t="s">
        <v>189</v>
      </c>
      <c r="AM165" s="0" t="s">
        <v>209</v>
      </c>
      <c r="AN165" s="0" t="s">
        <v>380</v>
      </c>
      <c r="AO165" s="0" t="s">
        <v>209</v>
      </c>
      <c r="AP165" s="0" t="s">
        <v>3749</v>
      </c>
      <c r="AQ165" s="5" t="s">
        <v>189</v>
      </c>
      <c r="AT165" s="0" t="str">
        <f aca="false">IF($A165="","",IF(AND(CN165="pass",AQ165&lt;&gt;"Y",C165&lt;&gt;"",OR(AX165&lt;&gt;"Y",AV165="Y")),"Y","N"))</f>
        <v>Y</v>
      </c>
      <c r="AU165" s="0" t="str">
        <f aca="false">IF($A165="","",_xlfn.TEXTJOIN("; ",TRUE(),IF(CN165&lt;&gt;"pass","gated out",""),IF(AQ165="Y","on hold: "&amp;AR165,""),IF(C165="","no contact named on an opened page",""),IF(AND(AX165="Y",AV165&lt;&gt;"Y"),"Tuesday estimate band "&amp;L165&amp;": founder's call","")))</f>
        <v/>
      </c>
      <c r="AX165" s="0" t="s">
        <v>189</v>
      </c>
      <c r="BC165" s="0" t="str">
        <f aca="false">IF($A165="","",IFERROR(INDEX(Enrichment!$A$2:$GZ$2000,MATCH($A165,INDEX(Enrichment!$A$2:$GZ$2000,0,MATCH("row_id",Enrichment!$A$1:$GZ$1,0)),0),MATCH("work_email",Enrichment!$A$1:$GZ$1,0))&amp;"",""))</f>
        <v/>
      </c>
      <c r="BD165" s="0" t="str">
        <f aca="false">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none</v>
      </c>
      <c r="BF165" s="0" t="s">
        <v>380</v>
      </c>
      <c r="BJ165" s="0" t="s">
        <v>380</v>
      </c>
      <c r="BL165" s="0" t="s">
        <v>896</v>
      </c>
      <c r="BQ165" s="0" t="str">
        <f aca="false">IF($A165="","",IFERROR(INDEX(Enrichment!$A$2:$GZ$2000,MATCH($A165,INDEX(Enrichment!$A$2:$GZ$2000,0,MATCH("row_id",Enrichment!$A$1:$GZ$1,0)),0),MATCH("backup_work_email",Enrichment!$A$1:$GZ$1,0))&amp;"",""))</f>
        <v/>
      </c>
      <c r="BR165" s="0" t="str">
        <f aca="false">IF($A165="","",IF(BQ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none</v>
      </c>
      <c r="BT165" s="0" t="s">
        <v>380</v>
      </c>
      <c r="BX165" s="0" t="s">
        <v>380</v>
      </c>
      <c r="BY165" s="0" t="s">
        <v>387</v>
      </c>
      <c r="BZ165" s="0" t="s">
        <v>388</v>
      </c>
      <c r="CA165" s="0" t="s">
        <v>3587</v>
      </c>
      <c r="CB165" s="0" t="s">
        <v>196</v>
      </c>
      <c r="CM165" s="0" t="s">
        <v>189</v>
      </c>
      <c r="CN165" s="0" t="s">
        <v>200</v>
      </c>
      <c r="CO165" s="0" t="s">
        <v>201</v>
      </c>
      <c r="CP165" s="0" t="s">
        <v>3121</v>
      </c>
      <c r="CQ165" s="0" t="s">
        <v>3756</v>
      </c>
      <c r="CR165" s="0" t="s">
        <v>3751</v>
      </c>
      <c r="CS165" s="0" t="s">
        <v>3118</v>
      </c>
      <c r="CT165" s="0" t="s">
        <v>209</v>
      </c>
      <c r="CV165" s="0" t="s">
        <v>209</v>
      </c>
      <c r="CW165" s="0" t="s">
        <v>209</v>
      </c>
      <c r="DA165" s="0" t="s">
        <v>209</v>
      </c>
      <c r="DB165" s="0" t="s">
        <v>3123</v>
      </c>
      <c r="DC165" s="0" t="s">
        <v>209</v>
      </c>
      <c r="DD165" s="0" t="s">
        <v>3757</v>
      </c>
      <c r="DF165" s="0" t="s">
        <v>1190</v>
      </c>
      <c r="DG165" s="0" t="n">
        <v>40.745792</v>
      </c>
      <c r="DH165" s="0" t="n">
        <v>-73.986723</v>
      </c>
      <c r="DI165" s="0" t="s">
        <v>164</v>
      </c>
      <c r="DJ165" s="0" t="n">
        <v>0</v>
      </c>
      <c r="DL165" s="0" t="s">
        <v>209</v>
      </c>
      <c r="DM165" s="0" t="s">
        <v>3758</v>
      </c>
      <c r="DN165" s="0" t="s">
        <v>263</v>
      </c>
      <c r="DO165" s="0" t="s">
        <v>3128</v>
      </c>
      <c r="DP165" s="0" t="s">
        <v>3759</v>
      </c>
      <c r="DS165" s="0" t="s">
        <v>809</v>
      </c>
      <c r="DU165" s="0" t="s">
        <v>189</v>
      </c>
      <c r="DV165" s="0" t="s">
        <v>3756</v>
      </c>
      <c r="DW165" s="0" t="s">
        <v>3130</v>
      </c>
      <c r="DX165" s="0" t="s">
        <v>209</v>
      </c>
      <c r="EA165" s="0" t="s">
        <v>209</v>
      </c>
      <c r="EB165" s="0" t="s">
        <v>189</v>
      </c>
      <c r="EC165" s="0" t="s">
        <v>209</v>
      </c>
      <c r="EF165" s="0" t="s">
        <v>209</v>
      </c>
      <c r="EH165" s="0" t="s">
        <v>189</v>
      </c>
      <c r="EI165" s="0" t="s">
        <v>3131</v>
      </c>
      <c r="EJ165" s="0" t="s">
        <v>221</v>
      </c>
      <c r="EK165" s="0" t="s">
        <v>209</v>
      </c>
      <c r="EL165" s="0" t="n">
        <v>34</v>
      </c>
      <c r="EM165" s="0" t="n">
        <v>7</v>
      </c>
      <c r="EN165" s="0" t="n">
        <v>8</v>
      </c>
      <c r="EO165" s="0" t="n">
        <v>6</v>
      </c>
      <c r="EP165" s="0" t="n">
        <v>13</v>
      </c>
      <c r="EQ165" s="0" t="n">
        <f aca="false">IF($A165="","",IF(AH165="exact",10,IF(AH165="adjacent",5,0)))</f>
        <v>0</v>
      </c>
      <c r="ER165" s="0" t="n">
        <f aca="false">IF($A165="","",IF(R165="Y",15,0))</f>
        <v>0</v>
      </c>
      <c r="ES165" s="0" t="s">
        <v>3121</v>
      </c>
      <c r="EX165" s="0" t="s">
        <v>3760</v>
      </c>
      <c r="FS165" s="0" t="str">
        <f aca="false">IF($A165="","",IF(ISNUMBER(MATCH(U165,{"queued","contacted","replied","call_booked","call_done","yes_in_principle","materials_sent"},0)),"Y","N"))</f>
        <v>N</v>
      </c>
      <c r="FT165" s="0" t="str">
        <f aca="false">IF($A165="","",IF(OR(T165="Y",U165="do_not_contact",AS165&amp;""&lt;&gt;""),"Y","N"))</f>
        <v>N</v>
      </c>
      <c r="FU165" s="0" t="str">
        <f aca="false">IF($A165="","",IF(AP165&amp;""&lt;&gt;"",AP165&amp;"",$A165))</f>
        <v>AO-W-022</v>
      </c>
      <c r="FV165" s="0" t="str">
        <f aca="false">IF($A165="","",IF(COUNTIFS($FU$2:$FU$1000,FU165,$FS$2:$FS$1000,"Y")+COUNTIFS($FU$2:$FU$1000,FU165,$FT$2:$FT$1000,"Y")&gt;0,"Y","N"))</f>
        <v>N</v>
      </c>
      <c r="FW165" s="0" t="str">
        <f aca="false">IF($A165="","",IF(AND(U165="new",T165="N",FT165="N",AT165="Y",FV165="N"),"Y","N"))</f>
        <v>N</v>
      </c>
      <c r="FX165" s="0" t="str">
        <f aca="false">IF($A165="","",IF(FW165&lt;&gt;"Y","N",IF(COUNTIFS($FU$2:$FU$1000,FU165,$FW$2:$FW$1000,"Y",$J$2:$J$1000,"&gt;"&amp;J165)+COUNTIFS($FU$2:$FU$1000,FU165,$FW$2:$FW$1000,"Y",$J$2:$J$1000,J165,$GD$2:$GD$1000,"&lt;"&amp;GD165)=0,"Y","N")))</f>
        <v>N</v>
      </c>
      <c r="FY165" s="0" t="str">
        <f aca="false">IF($A165="","",IF(AND(FW165="Y",FX165="Y",Y165&amp;""&lt;&gt;""),IF(Y165&lt;=10,"Y","N"),"N"))</f>
        <v>N</v>
      </c>
      <c r="FZ165" s="0" t="str">
        <f aca="false">IF(FY165="Y",Y165,"")</f>
        <v/>
      </c>
      <c r="GA165" s="0" t="str">
        <f aca="false">IF($A165="","",IF(AND(I165="walk-in",CN165="pass",U165="new",FT165="N",FV165="N",AQ165&lt;&gt;"Y"),"Y","N"))</f>
        <v>N</v>
      </c>
      <c r="GB165" s="0" t="str">
        <f aca="false">IF(GA165&lt;&gt;"Y","",IF(COUNTIFS($GA$2:$GA$1000,"Y",$J$2:$J$1000,"&gt;"&amp;J165)+COUNTIFS($GA$2:$GA$1000,"Y",$J$2:$J$1000,J165,$GD$2:$GD$1000,"&lt;"&amp;GD165)+1&lt;=25,COUNTIFS($GA$2:$GA$1000,"Y",$J$2:$J$1000,"&gt;"&amp;J165)+COUNTIFS($GA$2:$GA$1000,"Y",$J$2:$J$1000,J165,$GD$2:$GD$1000,"&lt;"&amp;GD165)+1,""))</f>
        <v/>
      </c>
      <c r="GC165" s="0" t="str">
        <f aca="false">IF(AND(_xlfn.ISFORMULA(C165),_xlfn.ISFORMULA(J165)),"Y","N")</f>
        <v>N</v>
      </c>
      <c r="GD165" s="0" t="n">
        <f aca="false">ROW()-1</f>
        <v>164</v>
      </c>
    </row>
    <row r="166" customFormat="false" ht="15" hidden="false" customHeight="false" outlineLevel="0" collapsed="false">
      <c r="A166" s="0" t="s">
        <v>3761</v>
      </c>
      <c r="B166" s="0" t="s">
        <v>3762</v>
      </c>
      <c r="C166" s="0" t="s">
        <v>3763</v>
      </c>
      <c r="D166" s="0" t="s">
        <v>3764</v>
      </c>
      <c r="E166" s="0" t="s">
        <v>706</v>
      </c>
      <c r="F166" s="0" t="s">
        <v>3549</v>
      </c>
      <c r="G166" s="0" t="s">
        <v>189</v>
      </c>
      <c r="M166" s="0" t="s">
        <v>380</v>
      </c>
      <c r="R166" s="5"/>
      <c r="U166" s="5"/>
      <c r="V166" s="0" t="s">
        <v>380</v>
      </c>
      <c r="AE166" s="0" t="s">
        <v>3765</v>
      </c>
      <c r="AF166" s="0" t="s">
        <v>3766</v>
      </c>
      <c r="AG166" s="0" t="s">
        <v>3118</v>
      </c>
      <c r="AH166" s="0" t="s">
        <v>209</v>
      </c>
      <c r="AJ166" s="0" t="s">
        <v>189</v>
      </c>
      <c r="AK166" s="0" t="s">
        <v>209</v>
      </c>
      <c r="AL166" s="0" t="s">
        <v>189</v>
      </c>
      <c r="AM166" s="0" t="s">
        <v>209</v>
      </c>
      <c r="AN166" s="0" t="s">
        <v>380</v>
      </c>
      <c r="AO166" s="0" t="s">
        <v>209</v>
      </c>
      <c r="AP166" s="0" t="s">
        <v>3761</v>
      </c>
      <c r="AQ166" s="5" t="s">
        <v>189</v>
      </c>
      <c r="AT166" s="0" t="str">
        <f aca="false">IF($A166="","",IF(AND(CN166="pass",AQ166&lt;&gt;"Y",C166&lt;&gt;"",OR(AX166&lt;&gt;"Y",AV166="Y")),"Y","N"))</f>
        <v>Y</v>
      </c>
      <c r="AU166" s="0" t="str">
        <f aca="false">IF($A166="","",_xlfn.TEXTJOIN("; ",TRUE(),IF(CN166&lt;&gt;"pass","gated out",""),IF(AQ166="Y","on hold: "&amp;AR166,""),IF(C166="","no contact named on an opened page",""),IF(AND(AX166="Y",AV166&lt;&gt;"Y"),"Tuesday estimate band "&amp;L166&amp;": founder's call","")))</f>
        <v/>
      </c>
      <c r="AX166" s="0" t="s">
        <v>189</v>
      </c>
      <c r="BC166" s="0" t="str">
        <f aca="false">IF($A166="","",IFERROR(INDEX(Enrichment!$A$2:$GZ$2000,MATCH($A166,INDEX(Enrichment!$A$2:$GZ$2000,0,MATCH("row_id",Enrichment!$A$1:$GZ$1,0)),0),MATCH("work_email",Enrichment!$A$1:$GZ$1,0))&amp;"",""))</f>
        <v/>
      </c>
      <c r="BD166" s="0" t="str">
        <f aca="false">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none</v>
      </c>
      <c r="BF166" s="0" t="s">
        <v>380</v>
      </c>
      <c r="BJ166" s="0" t="s">
        <v>380</v>
      </c>
      <c r="BL166" s="0" t="s">
        <v>896</v>
      </c>
      <c r="BQ166" s="0" t="str">
        <f aca="false">IF($A166="","",IFERROR(INDEX(Enrichment!$A$2:$GZ$2000,MATCH($A166,INDEX(Enrichment!$A$2:$GZ$2000,0,MATCH("row_id",Enrichment!$A$1:$GZ$1,0)),0),MATCH("backup_work_email",Enrichment!$A$1:$GZ$1,0))&amp;"",""))</f>
        <v/>
      </c>
      <c r="BR166" s="0" t="str">
        <f aca="false">IF($A166="","",IF(BQ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none</v>
      </c>
      <c r="BT166" s="0" t="s">
        <v>380</v>
      </c>
      <c r="BX166" s="0" t="s">
        <v>380</v>
      </c>
      <c r="BY166" s="0" t="s">
        <v>387</v>
      </c>
      <c r="BZ166" s="0" t="s">
        <v>388</v>
      </c>
      <c r="CA166" s="0" t="s">
        <v>3587</v>
      </c>
      <c r="CB166" s="0" t="s">
        <v>196</v>
      </c>
      <c r="CM166" s="0" t="s">
        <v>189</v>
      </c>
      <c r="CN166" s="0" t="s">
        <v>200</v>
      </c>
      <c r="CO166" s="0" t="s">
        <v>201</v>
      </c>
      <c r="CP166" s="0" t="s">
        <v>3121</v>
      </c>
      <c r="CQ166" s="0" t="s">
        <v>3767</v>
      </c>
      <c r="CR166" s="0" t="s">
        <v>3763</v>
      </c>
      <c r="CS166" s="0" t="s">
        <v>3118</v>
      </c>
      <c r="CT166" s="0" t="s">
        <v>209</v>
      </c>
      <c r="CV166" s="0" t="s">
        <v>209</v>
      </c>
      <c r="CW166" s="0" t="s">
        <v>209</v>
      </c>
      <c r="DA166" s="0" t="s">
        <v>209</v>
      </c>
      <c r="DB166" s="0" t="s">
        <v>3123</v>
      </c>
      <c r="DC166" s="0" t="s">
        <v>209</v>
      </c>
      <c r="DD166" s="0" t="s">
        <v>3768</v>
      </c>
      <c r="DF166" s="0" t="s">
        <v>525</v>
      </c>
      <c r="DG166" s="0" t="n">
        <v>40.74293</v>
      </c>
      <c r="DH166" s="0" t="n">
        <v>-73.989315</v>
      </c>
      <c r="DI166" s="0" t="s">
        <v>164</v>
      </c>
      <c r="DJ166" s="0" t="n">
        <v>0</v>
      </c>
      <c r="DK166" s="0" t="s">
        <v>1082</v>
      </c>
      <c r="DL166" s="0" t="s">
        <v>1083</v>
      </c>
      <c r="DM166" s="0" t="s">
        <v>3769</v>
      </c>
      <c r="DN166" s="0" t="s">
        <v>263</v>
      </c>
      <c r="DO166" s="0" t="s">
        <v>3128</v>
      </c>
      <c r="DP166" s="0" t="s">
        <v>3770</v>
      </c>
      <c r="DS166" s="0" t="s">
        <v>809</v>
      </c>
      <c r="DU166" s="0" t="s">
        <v>189</v>
      </c>
      <c r="DV166" s="0" t="s">
        <v>3767</v>
      </c>
      <c r="DW166" s="0" t="s">
        <v>3130</v>
      </c>
      <c r="DX166" s="0" t="s">
        <v>267</v>
      </c>
      <c r="DY166" s="0" t="s">
        <v>1086</v>
      </c>
      <c r="EA166" s="0" t="s">
        <v>209</v>
      </c>
      <c r="EB166" s="0" t="s">
        <v>189</v>
      </c>
      <c r="EC166" s="0" t="s">
        <v>209</v>
      </c>
      <c r="EF166" s="0" t="s">
        <v>209</v>
      </c>
      <c r="EH166" s="0" t="s">
        <v>189</v>
      </c>
      <c r="EI166" s="0" t="s">
        <v>3131</v>
      </c>
      <c r="EJ166" s="0" t="s">
        <v>221</v>
      </c>
      <c r="EK166" s="0" t="s">
        <v>209</v>
      </c>
      <c r="EL166" s="0" t="n">
        <v>34</v>
      </c>
      <c r="EM166" s="0" t="n">
        <v>7</v>
      </c>
      <c r="EN166" s="0" t="n">
        <v>8</v>
      </c>
      <c r="EO166" s="0" t="n">
        <v>6</v>
      </c>
      <c r="EP166" s="0" t="n">
        <v>13</v>
      </c>
      <c r="EQ166" s="0" t="n">
        <f aca="false">IF($A166="","",IF(AH166="exact",10,IF(AH166="adjacent",5,0)))</f>
        <v>0</v>
      </c>
      <c r="ER166" s="0" t="n">
        <f aca="false">IF($A166="","",IF(R166="Y",15,0))</f>
        <v>0</v>
      </c>
      <c r="ES166" s="0" t="s">
        <v>3121</v>
      </c>
      <c r="EX166" s="0" t="s">
        <v>3771</v>
      </c>
      <c r="FS166" s="0" t="str">
        <f aca="false">IF($A166="","",IF(ISNUMBER(MATCH(U166,{"queued","contacted","replied","call_booked","call_done","yes_in_principle","materials_sent"},0)),"Y","N"))</f>
        <v>N</v>
      </c>
      <c r="FT166" s="0" t="str">
        <f aca="false">IF($A166="","",IF(OR(T166="Y",U166="do_not_contact",AS166&amp;""&lt;&gt;""),"Y","N"))</f>
        <v>N</v>
      </c>
      <c r="FU166" s="0" t="str">
        <f aca="false">IF($A166="","",IF(AP166&amp;""&lt;&gt;"",AP166&amp;"",$A166))</f>
        <v>AO-W-011</v>
      </c>
      <c r="FV166" s="0" t="str">
        <f aca="false">IF($A166="","",IF(COUNTIFS($FU$2:$FU$1000,FU166,$FS$2:$FS$1000,"Y")+COUNTIFS($FU$2:$FU$1000,FU166,$FT$2:$FT$1000,"Y")&gt;0,"Y","N"))</f>
        <v>N</v>
      </c>
      <c r="FW166" s="0" t="str">
        <f aca="false">IF($A166="","",IF(AND(U166="new",T166="N",FT166="N",AT166="Y",FV166="N"),"Y","N"))</f>
        <v>N</v>
      </c>
      <c r="FX166" s="0" t="str">
        <f aca="false">IF($A166="","",IF(FW166&lt;&gt;"Y","N",IF(COUNTIFS($FU$2:$FU$1000,FU166,$FW$2:$FW$1000,"Y",$J$2:$J$1000,"&gt;"&amp;J166)+COUNTIFS($FU$2:$FU$1000,FU166,$FW$2:$FW$1000,"Y",$J$2:$J$1000,J166,$GD$2:$GD$1000,"&lt;"&amp;GD166)=0,"Y","N")))</f>
        <v>N</v>
      </c>
      <c r="FY166" s="0" t="str">
        <f aca="false">IF($A166="","",IF(AND(FW166="Y",FX166="Y",Y166&amp;""&lt;&gt;""),IF(Y166&lt;=10,"Y","N"),"N"))</f>
        <v>N</v>
      </c>
      <c r="FZ166" s="0" t="str">
        <f aca="false">IF(FY166="Y",Y166,"")</f>
        <v/>
      </c>
      <c r="GA166" s="0" t="str">
        <f aca="false">IF($A166="","",IF(AND(I166="walk-in",CN166="pass",U166="new",FT166="N",FV166="N",AQ166&lt;&gt;"Y"),"Y","N"))</f>
        <v>N</v>
      </c>
      <c r="GB166" s="0" t="str">
        <f aca="false">IF(GA166&lt;&gt;"Y","",IF(COUNTIFS($GA$2:$GA$1000,"Y",$J$2:$J$1000,"&gt;"&amp;J166)+COUNTIFS($GA$2:$GA$1000,"Y",$J$2:$J$1000,J166,$GD$2:$GD$1000,"&lt;"&amp;GD166)+1&lt;=25,COUNTIFS($GA$2:$GA$1000,"Y",$J$2:$J$1000,"&gt;"&amp;J166)+COUNTIFS($GA$2:$GA$1000,"Y",$J$2:$J$1000,J166,$GD$2:$GD$1000,"&lt;"&amp;GD166)+1,""))</f>
        <v/>
      </c>
      <c r="GC166" s="0" t="str">
        <f aca="false">IF(AND(_xlfn.ISFORMULA(C166),_xlfn.ISFORMULA(J166)),"Y","N")</f>
        <v>N</v>
      </c>
      <c r="GD166" s="0" t="n">
        <f aca="false">ROW()-1</f>
        <v>165</v>
      </c>
    </row>
    <row r="167" customFormat="false" ht="15" hidden="false" customHeight="false" outlineLevel="0" collapsed="false">
      <c r="A167" s="0" t="s">
        <v>3772</v>
      </c>
      <c r="B167" s="0" t="s">
        <v>3773</v>
      </c>
      <c r="C167" s="0" t="s">
        <v>209</v>
      </c>
      <c r="E167" s="0" t="s">
        <v>481</v>
      </c>
      <c r="F167" s="0" t="s">
        <v>3549</v>
      </c>
      <c r="G167" s="0" t="s">
        <v>189</v>
      </c>
      <c r="M167" s="0" t="s">
        <v>380</v>
      </c>
      <c r="R167" s="5"/>
      <c r="U167" s="5"/>
      <c r="V167" s="0" t="s">
        <v>380</v>
      </c>
      <c r="AE167" s="0" t="s">
        <v>245</v>
      </c>
      <c r="AF167" s="0" t="s">
        <v>209</v>
      </c>
      <c r="AG167" s="0" t="s">
        <v>3774</v>
      </c>
      <c r="AH167" s="0" t="s">
        <v>209</v>
      </c>
      <c r="AI167" s="0" t="s">
        <v>209</v>
      </c>
      <c r="AJ167" s="0" t="s">
        <v>189</v>
      </c>
      <c r="AK167" s="0" t="s">
        <v>209</v>
      </c>
      <c r="AL167" s="0" t="s">
        <v>189</v>
      </c>
      <c r="AM167" s="0" t="s">
        <v>209</v>
      </c>
      <c r="AN167" s="0" t="s">
        <v>380</v>
      </c>
      <c r="AO167" s="0" t="s">
        <v>209</v>
      </c>
      <c r="AP167" s="0" t="s">
        <v>3772</v>
      </c>
      <c r="AQ167" s="5" t="s">
        <v>189</v>
      </c>
      <c r="AT167" s="0" t="str">
        <f aca="false">IF($A167="","",IF(AND(CN167="pass",AQ167&lt;&gt;"Y",C167&lt;&gt;"",OR(AX167&lt;&gt;"Y",AV167="Y")),"Y","N"))</f>
        <v>Y</v>
      </c>
      <c r="AU167" s="0" t="str">
        <f aca="false">IF($A167="","",_xlfn.TEXTJOIN("; ",TRUE(),IF(CN167&lt;&gt;"pass","gated out",""),IF(AQ167="Y","on hold: "&amp;AR167,""),IF(C167="","no contact named on an opened page",""),IF(AND(AX167="Y",AV167&lt;&gt;"Y"),"Tuesday estimate band "&amp;L167&amp;": founder's call","")))</f>
        <v/>
      </c>
      <c r="AX167" s="0" t="s">
        <v>189</v>
      </c>
      <c r="BC167" s="0" t="str">
        <f aca="false">IF($A167="","",IFERROR(INDEX(Enrichment!$A$2:$GZ$2000,MATCH($A167,INDEX(Enrichment!$A$2:$GZ$2000,0,MATCH("row_id",Enrichment!$A$1:$GZ$1,0)),0),MATCH("work_email",Enrichment!$A$1:$GZ$1,0))&amp;"",""))</f>
        <v/>
      </c>
      <c r="BD167" s="0" t="str">
        <f aca="false">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none</v>
      </c>
      <c r="BF167" s="0" t="s">
        <v>380</v>
      </c>
      <c r="BJ167" s="0" t="s">
        <v>380</v>
      </c>
      <c r="BL167" s="0" t="s">
        <v>896</v>
      </c>
      <c r="BQ167" s="0" t="str">
        <f aca="false">IF($A167="","",IFERROR(INDEX(Enrichment!$A$2:$GZ$2000,MATCH($A167,INDEX(Enrichment!$A$2:$GZ$2000,0,MATCH("row_id",Enrichment!$A$1:$GZ$1,0)),0),MATCH("backup_work_email",Enrichment!$A$1:$GZ$1,0))&amp;"",""))</f>
        <v/>
      </c>
      <c r="BR167" s="0" t="str">
        <f aca="false">IF($A167="","",IF(BQ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none</v>
      </c>
      <c r="BT167" s="0" t="s">
        <v>380</v>
      </c>
      <c r="BX167" s="0" t="s">
        <v>380</v>
      </c>
      <c r="BY167" s="0" t="s">
        <v>387</v>
      </c>
      <c r="BZ167" s="0" t="s">
        <v>388</v>
      </c>
      <c r="CA167" s="0" t="s">
        <v>3564</v>
      </c>
      <c r="CB167" s="0" t="s">
        <v>196</v>
      </c>
      <c r="CM167" s="0" t="s">
        <v>189</v>
      </c>
      <c r="CN167" s="0" t="s">
        <v>200</v>
      </c>
      <c r="CO167" s="0" t="s">
        <v>201</v>
      </c>
      <c r="CP167" s="0" t="s">
        <v>1</v>
      </c>
      <c r="CQ167" s="0" t="s">
        <v>3775</v>
      </c>
      <c r="CR167" s="0" t="s">
        <v>209</v>
      </c>
      <c r="CS167" s="0" t="s">
        <v>3774</v>
      </c>
      <c r="CT167" s="0" t="s">
        <v>209</v>
      </c>
      <c r="CV167" s="0" t="s">
        <v>209</v>
      </c>
      <c r="CW167" s="0" t="s">
        <v>209</v>
      </c>
      <c r="CX167" s="0" t="s">
        <v>2712</v>
      </c>
      <c r="DA167" s="0" t="s">
        <v>209</v>
      </c>
      <c r="DB167" s="0" t="s">
        <v>209</v>
      </c>
      <c r="DC167" s="0" t="s">
        <v>209</v>
      </c>
      <c r="DD167" s="0" t="s">
        <v>209</v>
      </c>
      <c r="DE167" s="0" t="s">
        <v>209</v>
      </c>
      <c r="DF167" s="0" t="s">
        <v>210</v>
      </c>
      <c r="DG167" s="0" t="n">
        <v>40.73686</v>
      </c>
      <c r="DH167" s="0" t="n">
        <v>-73.988546</v>
      </c>
      <c r="DI167" s="0" t="s">
        <v>164</v>
      </c>
      <c r="DJ167" s="0" t="n">
        <v>0</v>
      </c>
      <c r="DK167" s="0" t="s">
        <v>260</v>
      </c>
      <c r="DL167" s="0" t="s">
        <v>261</v>
      </c>
      <c r="DM167" s="0" t="s">
        <v>264</v>
      </c>
      <c r="DN167" s="0" t="s">
        <v>265</v>
      </c>
      <c r="DO167" s="0" t="s">
        <v>443</v>
      </c>
      <c r="DR167" s="0" t="s">
        <v>266</v>
      </c>
      <c r="DS167" s="0" t="s">
        <v>809</v>
      </c>
      <c r="DU167" s="0" t="s">
        <v>189</v>
      </c>
      <c r="DX167" s="0" t="s">
        <v>267</v>
      </c>
      <c r="DY167" s="0" t="s">
        <v>268</v>
      </c>
      <c r="EA167" s="0" t="s">
        <v>209</v>
      </c>
      <c r="EB167" s="0" t="s">
        <v>189</v>
      </c>
      <c r="EC167" s="0" t="s">
        <v>209</v>
      </c>
      <c r="EF167" s="0" t="s">
        <v>209</v>
      </c>
      <c r="EH167" s="0" t="s">
        <v>189</v>
      </c>
      <c r="EI167" s="0" t="s">
        <v>2716</v>
      </c>
      <c r="EJ167" s="0" t="s">
        <v>221</v>
      </c>
      <c r="EK167" s="0" t="s">
        <v>209</v>
      </c>
      <c r="EL167" s="0" t="n">
        <v>34</v>
      </c>
      <c r="EM167" s="0" t="n">
        <v>7</v>
      </c>
      <c r="EN167" s="0" t="n">
        <v>8</v>
      </c>
      <c r="EO167" s="0" t="n">
        <v>6</v>
      </c>
      <c r="EP167" s="0" t="n">
        <v>13</v>
      </c>
      <c r="EQ167" s="0" t="n">
        <f aca="false">IF($A167="","",IF(AH167="exact",10,IF(AH167="adjacent",5,0)))</f>
        <v>0</v>
      </c>
      <c r="ER167" s="0" t="n">
        <f aca="false">IF($A167="","",IF(R167="Y",15,0))</f>
        <v>0</v>
      </c>
      <c r="ES167" s="0" t="s">
        <v>222</v>
      </c>
      <c r="EV167" s="0" t="s">
        <v>3776</v>
      </c>
      <c r="EW167" s="0" t="s">
        <v>224</v>
      </c>
      <c r="EX167" s="0" t="s">
        <v>3777</v>
      </c>
      <c r="FS167" s="0" t="str">
        <f aca="false">IF($A167="","",IF(ISNUMBER(MATCH(U167,{"queued","contacted","replied","call_booked","call_done","yes_in_principle","materials_sent"},0)),"Y","N"))</f>
        <v>N</v>
      </c>
      <c r="FT167" s="0" t="str">
        <f aca="false">IF($A167="","",IF(OR(T167="Y",U167="do_not_contact",AS167&amp;""&lt;&gt;""),"Y","N"))</f>
        <v>N</v>
      </c>
      <c r="FU167" s="0" t="str">
        <f aca="false">IF($A167="","",IF(AP167&amp;""&lt;&gt;"",AP167&amp;"",$A167))</f>
        <v>AO-C-039</v>
      </c>
      <c r="FV167" s="0" t="str">
        <f aca="false">IF($A167="","",IF(COUNTIFS($FU$2:$FU$1000,FU167,$FS$2:$FS$1000,"Y")+COUNTIFS($FU$2:$FU$1000,FU167,$FT$2:$FT$1000,"Y")&gt;0,"Y","N"))</f>
        <v>N</v>
      </c>
      <c r="FW167" s="0" t="str">
        <f aca="false">IF($A167="","",IF(AND(U167="new",T167="N",FT167="N",AT167="Y",FV167="N"),"Y","N"))</f>
        <v>N</v>
      </c>
      <c r="FX167" s="0" t="str">
        <f aca="false">IF($A167="","",IF(FW167&lt;&gt;"Y","N",IF(COUNTIFS($FU$2:$FU$1000,FU167,$FW$2:$FW$1000,"Y",$J$2:$J$1000,"&gt;"&amp;J167)+COUNTIFS($FU$2:$FU$1000,FU167,$FW$2:$FW$1000,"Y",$J$2:$J$1000,J167,$GD$2:$GD$1000,"&lt;"&amp;GD167)=0,"Y","N")))</f>
        <v>N</v>
      </c>
      <c r="FY167" s="0" t="str">
        <f aca="false">IF($A167="","",IF(AND(FW167="Y",FX167="Y",Y167&amp;""&lt;&gt;""),IF(Y167&lt;=10,"Y","N"),"N"))</f>
        <v>N</v>
      </c>
      <c r="FZ167" s="0" t="str">
        <f aca="false">IF(FY167="Y",Y167,"")</f>
        <v/>
      </c>
      <c r="GA167" s="0" t="str">
        <f aca="false">IF($A167="","",IF(AND(I167="walk-in",CN167="pass",U167="new",FT167="N",FV167="N",AQ167&lt;&gt;"Y"),"Y","N"))</f>
        <v>N</v>
      </c>
      <c r="GB167" s="0" t="str">
        <f aca="false">IF(GA167&lt;&gt;"Y","",IF(COUNTIFS($GA$2:$GA$1000,"Y",$J$2:$J$1000,"&gt;"&amp;J167)+COUNTIFS($GA$2:$GA$1000,"Y",$J$2:$J$1000,J167,$GD$2:$GD$1000,"&lt;"&amp;GD167)+1&lt;=25,COUNTIFS($GA$2:$GA$1000,"Y",$J$2:$J$1000,"&gt;"&amp;J167)+COUNTIFS($GA$2:$GA$1000,"Y",$J$2:$J$1000,J167,$GD$2:$GD$1000,"&lt;"&amp;GD167)+1,""))</f>
        <v/>
      </c>
      <c r="GC167" s="0" t="str">
        <f aca="false">IF(AND(_xlfn.ISFORMULA(C167),_xlfn.ISFORMULA(J167)),"Y","N")</f>
        <v>N</v>
      </c>
      <c r="GD167" s="0" t="n">
        <f aca="false">ROW()-1</f>
        <v>166</v>
      </c>
    </row>
    <row r="168" customFormat="false" ht="15" hidden="false" customHeight="false" outlineLevel="0" collapsed="false">
      <c r="A168" s="0" t="s">
        <v>3778</v>
      </c>
      <c r="B168" s="0" t="s">
        <v>3779</v>
      </c>
      <c r="C168" s="0" t="s">
        <v>3780</v>
      </c>
      <c r="D168" s="0" t="s">
        <v>3781</v>
      </c>
      <c r="E168" s="0" t="s">
        <v>3782</v>
      </c>
      <c r="F168" s="0" t="s">
        <v>3549</v>
      </c>
      <c r="G168" s="0" t="s">
        <v>189</v>
      </c>
      <c r="M168" s="0" t="s">
        <v>380</v>
      </c>
      <c r="R168" s="5"/>
      <c r="U168" s="5"/>
      <c r="V168" s="0" t="s">
        <v>380</v>
      </c>
      <c r="AE168" s="0" t="s">
        <v>3783</v>
      </c>
      <c r="AF168" s="0" t="s">
        <v>3784</v>
      </c>
      <c r="AG168" s="0" t="s">
        <v>3785</v>
      </c>
      <c r="AH168" s="0" t="s">
        <v>209</v>
      </c>
      <c r="AI168" s="0" t="s">
        <v>3786</v>
      </c>
      <c r="AJ168" s="0" t="s">
        <v>189</v>
      </c>
      <c r="AK168" s="0" t="s">
        <v>209</v>
      </c>
      <c r="AL168" s="0" t="s">
        <v>189</v>
      </c>
      <c r="AM168" s="0" t="s">
        <v>209</v>
      </c>
      <c r="AN168" s="0" t="s">
        <v>380</v>
      </c>
      <c r="AO168" s="0" t="s">
        <v>209</v>
      </c>
      <c r="AP168" s="0" t="s">
        <v>3778</v>
      </c>
      <c r="AQ168" s="5" t="s">
        <v>189</v>
      </c>
      <c r="AT168" s="0" t="str">
        <f aca="false">IF($A168="","",IF(AND(CN168="pass",AQ168&lt;&gt;"Y",C168&lt;&gt;"",OR(AX168&lt;&gt;"Y",AV168="Y")),"Y","N"))</f>
        <v>Y</v>
      </c>
      <c r="AU168" s="0" t="str">
        <f aca="false">IF($A168="","",_xlfn.TEXTJOIN("; ",TRUE(),IF(CN168&lt;&gt;"pass","gated out",""),IF(AQ168="Y","on hold: "&amp;AR168,""),IF(C168="","no contact named on an opened page",""),IF(AND(AX168="Y",AV168&lt;&gt;"Y"),"Tuesday estimate band "&amp;L168&amp;": founder's call","")))</f>
        <v/>
      </c>
      <c r="AX168" s="0" t="s">
        <v>189</v>
      </c>
      <c r="BC168" s="0" t="str">
        <f aca="false">IF($A168="","",IFERROR(INDEX(Enrichment!$A$2:$GZ$2000,MATCH($A168,INDEX(Enrichment!$A$2:$GZ$2000,0,MATCH("row_id",Enrichment!$A$1:$GZ$1,0)),0),MATCH("work_email",Enrichment!$A$1:$GZ$1,0))&amp;"",""))</f>
        <v/>
      </c>
      <c r="BD168" s="0" t="str">
        <f aca="false">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none</v>
      </c>
      <c r="BF168" s="0" t="s">
        <v>380</v>
      </c>
      <c r="BJ168" s="0" t="s">
        <v>380</v>
      </c>
      <c r="BL168" s="0" t="s">
        <v>896</v>
      </c>
      <c r="BQ168" s="0" t="str">
        <f aca="false">IF($A168="","",IFERROR(INDEX(Enrichment!$A$2:$GZ$2000,MATCH($A168,INDEX(Enrichment!$A$2:$GZ$2000,0,MATCH("row_id",Enrichment!$A$1:$GZ$1,0)),0),MATCH("backup_work_email",Enrichment!$A$1:$GZ$1,0))&amp;"",""))</f>
        <v/>
      </c>
      <c r="BR168" s="0" t="str">
        <f aca="false">IF($A168="","",IF(BQ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none</v>
      </c>
      <c r="BT168" s="0" t="s">
        <v>380</v>
      </c>
      <c r="BX168" s="0" t="s">
        <v>380</v>
      </c>
      <c r="BY168" s="0" t="s">
        <v>387</v>
      </c>
      <c r="BZ168" s="0" t="s">
        <v>388</v>
      </c>
      <c r="CA168" s="0" t="s">
        <v>3564</v>
      </c>
      <c r="CB168" s="0" t="s">
        <v>196</v>
      </c>
      <c r="CM168" s="0" t="s">
        <v>189</v>
      </c>
      <c r="CN168" s="0" t="s">
        <v>200</v>
      </c>
      <c r="CO168" s="0" t="s">
        <v>201</v>
      </c>
      <c r="CP168" s="0" t="s">
        <v>1</v>
      </c>
      <c r="CQ168" s="0" t="s">
        <v>3787</v>
      </c>
      <c r="CR168" s="0" t="s">
        <v>3780</v>
      </c>
      <c r="CS168" s="0" t="s">
        <v>3785</v>
      </c>
      <c r="CT168" s="0" t="s">
        <v>209</v>
      </c>
      <c r="CV168" s="0" t="s">
        <v>209</v>
      </c>
      <c r="CW168" s="0" t="s">
        <v>209</v>
      </c>
      <c r="CX168" s="0" t="s">
        <v>2712</v>
      </c>
      <c r="DA168" s="0" t="s">
        <v>209</v>
      </c>
      <c r="DB168" s="0" t="s">
        <v>208</v>
      </c>
      <c r="DC168" s="0" t="s">
        <v>189</v>
      </c>
      <c r="DD168" s="0" t="s">
        <v>209</v>
      </c>
      <c r="DE168" s="0" t="s">
        <v>3786</v>
      </c>
      <c r="DF168" s="0" t="s">
        <v>525</v>
      </c>
      <c r="DG168" s="0" t="n">
        <v>40.74129</v>
      </c>
      <c r="DH168" s="0" t="n">
        <v>-73.991589</v>
      </c>
      <c r="DI168" s="0" t="s">
        <v>164</v>
      </c>
      <c r="DJ168" s="0" t="n">
        <v>0</v>
      </c>
      <c r="DK168" s="0" t="s">
        <v>3788</v>
      </c>
      <c r="DL168" s="0" t="s">
        <v>3789</v>
      </c>
      <c r="DM168" s="0" t="s">
        <v>3790</v>
      </c>
      <c r="DN168" s="0" t="s">
        <v>263</v>
      </c>
      <c r="DO168" s="0" t="s">
        <v>214</v>
      </c>
      <c r="DP168" s="0" t="s">
        <v>3791</v>
      </c>
      <c r="DQ168" s="0" t="s">
        <v>3792</v>
      </c>
      <c r="DS168" s="0" t="s">
        <v>809</v>
      </c>
      <c r="DU168" s="0" t="s">
        <v>189</v>
      </c>
      <c r="DX168" s="0" t="s">
        <v>267</v>
      </c>
      <c r="DY168" s="0" t="s">
        <v>3791</v>
      </c>
      <c r="EA168" s="0" t="s">
        <v>209</v>
      </c>
      <c r="EB168" s="0" t="s">
        <v>189</v>
      </c>
      <c r="EC168" s="0" t="s">
        <v>209</v>
      </c>
      <c r="EF168" s="0" t="s">
        <v>209</v>
      </c>
      <c r="EH168" s="0" t="s">
        <v>189</v>
      </c>
      <c r="EI168" s="0" t="s">
        <v>2716</v>
      </c>
      <c r="EJ168" s="0" t="s">
        <v>221</v>
      </c>
      <c r="EK168" s="0" t="s">
        <v>209</v>
      </c>
      <c r="EL168" s="0" t="n">
        <v>34</v>
      </c>
      <c r="EM168" s="0" t="n">
        <v>7</v>
      </c>
      <c r="EN168" s="0" t="n">
        <v>8</v>
      </c>
      <c r="EO168" s="0" t="n">
        <v>6</v>
      </c>
      <c r="EP168" s="0" t="n">
        <v>13</v>
      </c>
      <c r="EQ168" s="0" t="n">
        <f aca="false">IF($A168="","",IF(AH168="exact",10,IF(AH168="adjacent",5,0)))</f>
        <v>0</v>
      </c>
      <c r="ER168" s="0" t="n">
        <f aca="false">IF($A168="","",IF(R168="Y",15,0))</f>
        <v>0</v>
      </c>
      <c r="ES168" s="0" t="s">
        <v>222</v>
      </c>
      <c r="EV168" s="0" t="s">
        <v>3793</v>
      </c>
      <c r="EW168" s="0" t="s">
        <v>224</v>
      </c>
      <c r="EX168" s="0" t="s">
        <v>3794</v>
      </c>
      <c r="EZ168" s="0" t="s">
        <v>3795</v>
      </c>
      <c r="FS168" s="0" t="str">
        <f aca="false">IF($A168="","",IF(ISNUMBER(MATCH(U168,{"queued","contacted","replied","call_booked","call_done","yes_in_principle","materials_sent"},0)),"Y","N"))</f>
        <v>N</v>
      </c>
      <c r="FT168" s="0" t="str">
        <f aca="false">IF($A168="","",IF(OR(T168="Y",U168="do_not_contact",AS168&amp;""&lt;&gt;""),"Y","N"))</f>
        <v>N</v>
      </c>
      <c r="FU168" s="0" t="str">
        <f aca="false">IF($A168="","",IF(AP168&amp;""&lt;&gt;"",AP168&amp;"",$A168))</f>
        <v>AO-C-087</v>
      </c>
      <c r="FV168" s="0" t="str">
        <f aca="false">IF($A168="","",IF(COUNTIFS($FU$2:$FU$1000,FU168,$FS$2:$FS$1000,"Y")+COUNTIFS($FU$2:$FU$1000,FU168,$FT$2:$FT$1000,"Y")&gt;0,"Y","N"))</f>
        <v>N</v>
      </c>
      <c r="FW168" s="0" t="str">
        <f aca="false">IF($A168="","",IF(AND(U168="new",T168="N",FT168="N",AT168="Y",FV168="N"),"Y","N"))</f>
        <v>N</v>
      </c>
      <c r="FX168" s="0" t="str">
        <f aca="false">IF($A168="","",IF(FW168&lt;&gt;"Y","N",IF(COUNTIFS($FU$2:$FU$1000,FU168,$FW$2:$FW$1000,"Y",$J$2:$J$1000,"&gt;"&amp;J168)+COUNTIFS($FU$2:$FU$1000,FU168,$FW$2:$FW$1000,"Y",$J$2:$J$1000,J168,$GD$2:$GD$1000,"&lt;"&amp;GD168)=0,"Y","N")))</f>
        <v>N</v>
      </c>
      <c r="FY168" s="0" t="str">
        <f aca="false">IF($A168="","",IF(AND(FW168="Y",FX168="Y",Y168&amp;""&lt;&gt;""),IF(Y168&lt;=10,"Y","N"),"N"))</f>
        <v>N</v>
      </c>
      <c r="FZ168" s="0" t="str">
        <f aca="false">IF(FY168="Y",Y168,"")</f>
        <v/>
      </c>
      <c r="GA168" s="0" t="str">
        <f aca="false">IF($A168="","",IF(AND(I168="walk-in",CN168="pass",U168="new",FT168="N",FV168="N",AQ168&lt;&gt;"Y"),"Y","N"))</f>
        <v>N</v>
      </c>
      <c r="GB168" s="0" t="str">
        <f aca="false">IF(GA168&lt;&gt;"Y","",IF(COUNTIFS($GA$2:$GA$1000,"Y",$J$2:$J$1000,"&gt;"&amp;J168)+COUNTIFS($GA$2:$GA$1000,"Y",$J$2:$J$1000,J168,$GD$2:$GD$1000,"&lt;"&amp;GD168)+1&lt;=25,COUNTIFS($GA$2:$GA$1000,"Y",$J$2:$J$1000,"&gt;"&amp;J168)+COUNTIFS($GA$2:$GA$1000,"Y",$J$2:$J$1000,J168,$GD$2:$GD$1000,"&lt;"&amp;GD168)+1,""))</f>
        <v/>
      </c>
      <c r="GC168" s="0" t="str">
        <f aca="false">IF(AND(_xlfn.ISFORMULA(C168),_xlfn.ISFORMULA(J168)),"Y","N")</f>
        <v>N</v>
      </c>
      <c r="GD168" s="0" t="n">
        <f aca="false">ROW()-1</f>
        <v>167</v>
      </c>
    </row>
    <row r="169" customFormat="false" ht="15" hidden="false" customHeight="false" outlineLevel="0" collapsed="false">
      <c r="A169" s="0" t="s">
        <v>3796</v>
      </c>
      <c r="B169" s="0" t="s">
        <v>3797</v>
      </c>
      <c r="C169" s="0" t="s">
        <v>3798</v>
      </c>
      <c r="D169" s="0" t="s">
        <v>3799</v>
      </c>
      <c r="E169" s="0" t="s">
        <v>3800</v>
      </c>
      <c r="F169" s="0" t="s">
        <v>3549</v>
      </c>
      <c r="G169" s="0" t="s">
        <v>189</v>
      </c>
      <c r="M169" s="0" t="s">
        <v>380</v>
      </c>
      <c r="R169" s="5"/>
      <c r="U169" s="5"/>
      <c r="V169" s="0" t="s">
        <v>380</v>
      </c>
      <c r="AE169" s="0" t="s">
        <v>3801</v>
      </c>
      <c r="AF169" s="0" t="s">
        <v>3802</v>
      </c>
      <c r="AG169" s="0" t="s">
        <v>3118</v>
      </c>
      <c r="AH169" s="0" t="s">
        <v>209</v>
      </c>
      <c r="AJ169" s="0" t="s">
        <v>189</v>
      </c>
      <c r="AK169" s="0" t="s">
        <v>209</v>
      </c>
      <c r="AL169" s="0" t="s">
        <v>189</v>
      </c>
      <c r="AM169" s="0" t="s">
        <v>209</v>
      </c>
      <c r="AN169" s="0" t="s">
        <v>380</v>
      </c>
      <c r="AO169" s="0" t="s">
        <v>209</v>
      </c>
      <c r="AP169" s="0" t="s">
        <v>3796</v>
      </c>
      <c r="AQ169" s="5" t="s">
        <v>189</v>
      </c>
      <c r="AT169" s="0" t="str">
        <f aca="false">IF($A169="","",IF(AND(CN169="pass",AQ169&lt;&gt;"Y",C169&lt;&gt;"",OR(AX169&lt;&gt;"Y",AV169="Y")),"Y","N"))</f>
        <v>Y</v>
      </c>
      <c r="AU169" s="0" t="str">
        <f aca="false">IF($A169="","",_xlfn.TEXTJOIN("; ",TRUE(),IF(CN169&lt;&gt;"pass","gated out",""),IF(AQ169="Y","on hold: "&amp;AR169,""),IF(C169="","no contact named on an opened page",""),IF(AND(AX169="Y",AV169&lt;&gt;"Y"),"Tuesday estimate band "&amp;L169&amp;": founder's call","")))</f>
        <v/>
      </c>
      <c r="AX169" s="0" t="s">
        <v>189</v>
      </c>
      <c r="BC169" s="0" t="str">
        <f aca="false">IF($A169="","",IFERROR(INDEX(Enrichment!$A$2:$GZ$2000,MATCH($A169,INDEX(Enrichment!$A$2:$GZ$2000,0,MATCH("row_id",Enrichment!$A$1:$GZ$1,0)),0),MATCH("work_email",Enrichment!$A$1:$GZ$1,0))&amp;"",""))</f>
        <v/>
      </c>
      <c r="BD169" s="0" t="str">
        <f aca="false">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none</v>
      </c>
      <c r="BF169" s="0" t="s">
        <v>380</v>
      </c>
      <c r="BJ169" s="0" t="s">
        <v>380</v>
      </c>
      <c r="BL169" s="0" t="s">
        <v>896</v>
      </c>
      <c r="BQ169" s="0" t="str">
        <f aca="false">IF($A169="","",IFERROR(INDEX(Enrichment!$A$2:$GZ$2000,MATCH($A169,INDEX(Enrichment!$A$2:$GZ$2000,0,MATCH("row_id",Enrichment!$A$1:$GZ$1,0)),0),MATCH("backup_work_email",Enrichment!$A$1:$GZ$1,0))&amp;"",""))</f>
        <v/>
      </c>
      <c r="BR169" s="0" t="str">
        <f aca="false">IF($A169="","",IF(BQ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none</v>
      </c>
      <c r="BT169" s="0" t="s">
        <v>380</v>
      </c>
      <c r="BX169" s="0" t="s">
        <v>380</v>
      </c>
      <c r="BY169" s="0" t="s">
        <v>387</v>
      </c>
      <c r="BZ169" s="0" t="s">
        <v>388</v>
      </c>
      <c r="CA169" s="0" t="s">
        <v>3587</v>
      </c>
      <c r="CB169" s="0" t="s">
        <v>196</v>
      </c>
      <c r="CM169" s="0" t="s">
        <v>189</v>
      </c>
      <c r="CN169" s="0" t="s">
        <v>200</v>
      </c>
      <c r="CO169" s="0" t="s">
        <v>201</v>
      </c>
      <c r="CP169" s="0" t="s">
        <v>3121</v>
      </c>
      <c r="CQ169" s="0" t="s">
        <v>3803</v>
      </c>
      <c r="CR169" s="0" t="s">
        <v>3798</v>
      </c>
      <c r="CS169" s="0" t="s">
        <v>3118</v>
      </c>
      <c r="CT169" s="0" t="s">
        <v>209</v>
      </c>
      <c r="CV169" s="0" t="s">
        <v>209</v>
      </c>
      <c r="CW169" s="0" t="s">
        <v>209</v>
      </c>
      <c r="DA169" s="0" t="s">
        <v>209</v>
      </c>
      <c r="DB169" s="0" t="s">
        <v>3123</v>
      </c>
      <c r="DC169" s="0" t="s">
        <v>209</v>
      </c>
      <c r="DD169" s="0" t="s">
        <v>3804</v>
      </c>
      <c r="DF169" s="0" t="s">
        <v>1190</v>
      </c>
      <c r="DG169" s="0" t="n">
        <v>40.744243</v>
      </c>
      <c r="DH169" s="0" t="n">
        <v>-73.987853</v>
      </c>
      <c r="DI169" s="0" t="s">
        <v>164</v>
      </c>
      <c r="DJ169" s="0" t="n">
        <v>0</v>
      </c>
      <c r="DL169" s="0" t="s">
        <v>209</v>
      </c>
      <c r="DM169" s="0" t="s">
        <v>3805</v>
      </c>
      <c r="DN169" s="0" t="s">
        <v>263</v>
      </c>
      <c r="DO169" s="0" t="s">
        <v>3128</v>
      </c>
      <c r="DP169" s="0" t="s">
        <v>3806</v>
      </c>
      <c r="DS169" s="0" t="s">
        <v>809</v>
      </c>
      <c r="DU169" s="0" t="s">
        <v>189</v>
      </c>
      <c r="DV169" s="0" t="s">
        <v>3803</v>
      </c>
      <c r="DW169" s="0" t="s">
        <v>3130</v>
      </c>
      <c r="DX169" s="0" t="s">
        <v>209</v>
      </c>
      <c r="EA169" s="0" t="s">
        <v>209</v>
      </c>
      <c r="EB169" s="0" t="s">
        <v>189</v>
      </c>
      <c r="EC169" s="0" t="s">
        <v>209</v>
      </c>
      <c r="EF169" s="0" t="s">
        <v>209</v>
      </c>
      <c r="EH169" s="0" t="s">
        <v>189</v>
      </c>
      <c r="EI169" s="0" t="s">
        <v>3131</v>
      </c>
      <c r="EJ169" s="0" t="s">
        <v>221</v>
      </c>
      <c r="EK169" s="0" t="s">
        <v>209</v>
      </c>
      <c r="EL169" s="0" t="n">
        <v>34</v>
      </c>
      <c r="EM169" s="0" t="n">
        <v>7</v>
      </c>
      <c r="EN169" s="0" t="n">
        <v>8</v>
      </c>
      <c r="EO169" s="0" t="n">
        <v>6</v>
      </c>
      <c r="EP169" s="0" t="n">
        <v>13</v>
      </c>
      <c r="EQ169" s="0" t="n">
        <f aca="false">IF($A169="","",IF(AH169="exact",10,IF(AH169="adjacent",5,0)))</f>
        <v>0</v>
      </c>
      <c r="ER169" s="0" t="n">
        <f aca="false">IF($A169="","",IF(R169="Y",15,0))</f>
        <v>0</v>
      </c>
      <c r="ES169" s="0" t="s">
        <v>3121</v>
      </c>
      <c r="EX169" s="0" t="s">
        <v>3807</v>
      </c>
      <c r="FS169" s="0" t="str">
        <f aca="false">IF($A169="","",IF(ISNUMBER(MATCH(U169,{"queued","contacted","replied","call_booked","call_done","yes_in_principle","materials_sent"},0)),"Y","N"))</f>
        <v>N</v>
      </c>
      <c r="FT169" s="0" t="str">
        <f aca="false">IF($A169="","",IF(OR(T169="Y",U169="do_not_contact",AS169&amp;""&lt;&gt;""),"Y","N"))</f>
        <v>N</v>
      </c>
      <c r="FU169" s="0" t="str">
        <f aca="false">IF($A169="","",IF(AP169&amp;""&lt;&gt;"",AP169&amp;"",$A169))</f>
        <v>AO-W-015</v>
      </c>
      <c r="FV169" s="0" t="str">
        <f aca="false">IF($A169="","",IF(COUNTIFS($FU$2:$FU$1000,FU169,$FS$2:$FS$1000,"Y")+COUNTIFS($FU$2:$FU$1000,FU169,$FT$2:$FT$1000,"Y")&gt;0,"Y","N"))</f>
        <v>N</v>
      </c>
      <c r="FW169" s="0" t="str">
        <f aca="false">IF($A169="","",IF(AND(U169="new",T169="N",FT169="N",AT169="Y",FV169="N"),"Y","N"))</f>
        <v>N</v>
      </c>
      <c r="FX169" s="0" t="str">
        <f aca="false">IF($A169="","",IF(FW169&lt;&gt;"Y","N",IF(COUNTIFS($FU$2:$FU$1000,FU169,$FW$2:$FW$1000,"Y",$J$2:$J$1000,"&gt;"&amp;J169)+COUNTIFS($FU$2:$FU$1000,FU169,$FW$2:$FW$1000,"Y",$J$2:$J$1000,J169,$GD$2:$GD$1000,"&lt;"&amp;GD169)=0,"Y","N")))</f>
        <v>N</v>
      </c>
      <c r="FY169" s="0" t="str">
        <f aca="false">IF($A169="","",IF(AND(FW169="Y",FX169="Y",Y169&amp;""&lt;&gt;""),IF(Y169&lt;=10,"Y","N"),"N"))</f>
        <v>N</v>
      </c>
      <c r="FZ169" s="0" t="str">
        <f aca="false">IF(FY169="Y",Y169,"")</f>
        <v/>
      </c>
      <c r="GA169" s="0" t="str">
        <f aca="false">IF($A169="","",IF(AND(I169="walk-in",CN169="pass",U169="new",FT169="N",FV169="N",AQ169&lt;&gt;"Y"),"Y","N"))</f>
        <v>N</v>
      </c>
      <c r="GB169" s="0" t="str">
        <f aca="false">IF(GA169&lt;&gt;"Y","",IF(COUNTIFS($GA$2:$GA$1000,"Y",$J$2:$J$1000,"&gt;"&amp;J169)+COUNTIFS($GA$2:$GA$1000,"Y",$J$2:$J$1000,J169,$GD$2:$GD$1000,"&lt;"&amp;GD169)+1&lt;=25,COUNTIFS($GA$2:$GA$1000,"Y",$J$2:$J$1000,"&gt;"&amp;J169)+COUNTIFS($GA$2:$GA$1000,"Y",$J$2:$J$1000,J169,$GD$2:$GD$1000,"&lt;"&amp;GD169)+1,""))</f>
        <v/>
      </c>
      <c r="GC169" s="0" t="str">
        <f aca="false">IF(AND(_xlfn.ISFORMULA(C169),_xlfn.ISFORMULA(J169)),"Y","N")</f>
        <v>N</v>
      </c>
      <c r="GD169" s="0" t="n">
        <f aca="false">ROW()-1</f>
        <v>168</v>
      </c>
    </row>
    <row r="170" customFormat="false" ht="15" hidden="false" customHeight="false" outlineLevel="0" collapsed="false">
      <c r="A170" s="0" t="s">
        <v>3808</v>
      </c>
      <c r="B170" s="0" t="s">
        <v>3809</v>
      </c>
      <c r="C170" s="0" t="s">
        <v>3810</v>
      </c>
      <c r="D170" s="0" t="s">
        <v>3811</v>
      </c>
      <c r="E170" s="0" t="s">
        <v>3812</v>
      </c>
      <c r="F170" s="0" t="s">
        <v>3549</v>
      </c>
      <c r="G170" s="0" t="s">
        <v>189</v>
      </c>
      <c r="M170" s="0" t="s">
        <v>380</v>
      </c>
      <c r="R170" s="5"/>
      <c r="U170" s="5"/>
      <c r="V170" s="0" t="s">
        <v>380</v>
      </c>
      <c r="AE170" s="0" t="s">
        <v>3813</v>
      </c>
      <c r="AF170" s="0" t="s">
        <v>209</v>
      </c>
      <c r="AG170" s="0" t="s">
        <v>3814</v>
      </c>
      <c r="AH170" s="0" t="s">
        <v>209</v>
      </c>
      <c r="AI170" s="0" t="s">
        <v>209</v>
      </c>
      <c r="AJ170" s="0" t="s">
        <v>189</v>
      </c>
      <c r="AK170" s="0" t="s">
        <v>209</v>
      </c>
      <c r="AL170" s="0" t="s">
        <v>189</v>
      </c>
      <c r="AM170" s="0" t="s">
        <v>209</v>
      </c>
      <c r="AN170" s="0" t="s">
        <v>380</v>
      </c>
      <c r="AO170" s="0" t="s">
        <v>209</v>
      </c>
      <c r="AP170" s="0" t="s">
        <v>3808</v>
      </c>
      <c r="AQ170" s="5" t="s">
        <v>189</v>
      </c>
      <c r="AT170" s="0" t="str">
        <f aca="false">IF($A170="","",IF(AND(CN170="pass",AQ170&lt;&gt;"Y",C170&lt;&gt;"",OR(AX170&lt;&gt;"Y",AV170="Y")),"Y","N"))</f>
        <v>Y</v>
      </c>
      <c r="AU170" s="0" t="str">
        <f aca="false">IF($A170="","",_xlfn.TEXTJOIN("; ",TRUE(),IF(CN170&lt;&gt;"pass","gated out",""),IF(AQ170="Y","on hold: "&amp;AR170,""),IF(C170="","no contact named on an opened page",""),IF(AND(AX170="Y",AV170&lt;&gt;"Y"),"Tuesday estimate band "&amp;L170&amp;": founder's call","")))</f>
        <v/>
      </c>
      <c r="AX170" s="0" t="s">
        <v>189</v>
      </c>
      <c r="BC170" s="0" t="str">
        <f aca="false">IF($A170="","",IFERROR(INDEX(Enrichment!$A$2:$GZ$2000,MATCH($A170,INDEX(Enrichment!$A$2:$GZ$2000,0,MATCH("row_id",Enrichment!$A$1:$GZ$1,0)),0),MATCH("work_email",Enrichment!$A$1:$GZ$1,0))&amp;"",""))</f>
        <v/>
      </c>
      <c r="BD170" s="0" t="str">
        <f aca="false">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none</v>
      </c>
      <c r="BF170" s="0" t="s">
        <v>380</v>
      </c>
      <c r="BJ170" s="0" t="s">
        <v>380</v>
      </c>
      <c r="BL170" s="0" t="s">
        <v>896</v>
      </c>
      <c r="BQ170" s="0" t="str">
        <f aca="false">IF($A170="","",IFERROR(INDEX(Enrichment!$A$2:$GZ$2000,MATCH($A170,INDEX(Enrichment!$A$2:$GZ$2000,0,MATCH("row_id",Enrichment!$A$1:$GZ$1,0)),0),MATCH("backup_work_email",Enrichment!$A$1:$GZ$1,0))&amp;"",""))</f>
        <v/>
      </c>
      <c r="BR170" s="0" t="str">
        <f aca="false">IF($A170="","",IF(BQ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none</v>
      </c>
      <c r="BT170" s="0" t="s">
        <v>380</v>
      </c>
      <c r="BX170" s="0" t="s">
        <v>380</v>
      </c>
      <c r="BY170" s="0" t="s">
        <v>387</v>
      </c>
      <c r="BZ170" s="0" t="s">
        <v>388</v>
      </c>
      <c r="CA170" s="0" t="s">
        <v>3564</v>
      </c>
      <c r="CB170" s="0" t="s">
        <v>196</v>
      </c>
      <c r="CM170" s="0" t="s">
        <v>189</v>
      </c>
      <c r="CN170" s="0" t="s">
        <v>200</v>
      </c>
      <c r="CO170" s="0" t="s">
        <v>201</v>
      </c>
      <c r="CP170" s="0" t="s">
        <v>1</v>
      </c>
      <c r="CQ170" s="0" t="s">
        <v>3815</v>
      </c>
      <c r="CR170" s="0" t="s">
        <v>3810</v>
      </c>
      <c r="CS170" s="0" t="s">
        <v>3814</v>
      </c>
      <c r="CT170" s="0" t="s">
        <v>209</v>
      </c>
      <c r="CV170" s="0" t="s">
        <v>209</v>
      </c>
      <c r="CW170" s="0" t="s">
        <v>209</v>
      </c>
      <c r="CX170" s="0" t="s">
        <v>2712</v>
      </c>
      <c r="DA170" s="0" t="s">
        <v>209</v>
      </c>
      <c r="DB170" s="0" t="s">
        <v>209</v>
      </c>
      <c r="DC170" s="0" t="s">
        <v>209</v>
      </c>
      <c r="DD170" s="0" t="s">
        <v>209</v>
      </c>
      <c r="DE170" s="0" t="s">
        <v>209</v>
      </c>
      <c r="DF170" s="0" t="s">
        <v>525</v>
      </c>
      <c r="DG170" s="0" t="n">
        <v>40.740438</v>
      </c>
      <c r="DH170" s="0" t="n">
        <v>-73.990034</v>
      </c>
      <c r="DI170" s="0" t="s">
        <v>164</v>
      </c>
      <c r="DJ170" s="0" t="n">
        <v>0</v>
      </c>
      <c r="DK170" s="0" t="s">
        <v>3816</v>
      </c>
      <c r="DL170" s="0" t="s">
        <v>3817</v>
      </c>
      <c r="DM170" s="0" t="s">
        <v>3818</v>
      </c>
      <c r="DN170" s="0" t="s">
        <v>3819</v>
      </c>
      <c r="DO170" s="0" t="s">
        <v>363</v>
      </c>
      <c r="DS170" s="0" t="s">
        <v>809</v>
      </c>
      <c r="DU170" s="0" t="s">
        <v>189</v>
      </c>
      <c r="DX170" s="0" t="s">
        <v>209</v>
      </c>
      <c r="EA170" s="0" t="s">
        <v>209</v>
      </c>
      <c r="EB170" s="0" t="s">
        <v>189</v>
      </c>
      <c r="EC170" s="0" t="s">
        <v>209</v>
      </c>
      <c r="EF170" s="0" t="s">
        <v>209</v>
      </c>
      <c r="EH170" s="0" t="s">
        <v>189</v>
      </c>
      <c r="EI170" s="0" t="s">
        <v>2716</v>
      </c>
      <c r="EJ170" s="0" t="s">
        <v>221</v>
      </c>
      <c r="EK170" s="0" t="s">
        <v>209</v>
      </c>
      <c r="EL170" s="0" t="n">
        <v>34</v>
      </c>
      <c r="EM170" s="0" t="n">
        <v>7</v>
      </c>
      <c r="EN170" s="0" t="n">
        <v>8</v>
      </c>
      <c r="EO170" s="0" t="n">
        <v>6</v>
      </c>
      <c r="EP170" s="0" t="n">
        <v>13</v>
      </c>
      <c r="EQ170" s="0" t="n">
        <f aca="false">IF($A170="","",IF(AH170="exact",10,IF(AH170="adjacent",5,0)))</f>
        <v>0</v>
      </c>
      <c r="ER170" s="0" t="n">
        <f aca="false">IF($A170="","",IF(R170="Y",15,0))</f>
        <v>0</v>
      </c>
      <c r="ES170" s="0" t="s">
        <v>222</v>
      </c>
      <c r="EX170" s="0" t="s">
        <v>3820</v>
      </c>
      <c r="FS170" s="0" t="str">
        <f aca="false">IF($A170="","",IF(ISNUMBER(MATCH(U170,{"queued","contacted","replied","call_booked","call_done","yes_in_principle","materials_sent"},0)),"Y","N"))</f>
        <v>N</v>
      </c>
      <c r="FT170" s="0" t="str">
        <f aca="false">IF($A170="","",IF(OR(T170="Y",U170="do_not_contact",AS170&amp;""&lt;&gt;""),"Y","N"))</f>
        <v>N</v>
      </c>
      <c r="FU170" s="0" t="str">
        <f aca="false">IF($A170="","",IF(AP170&amp;""&lt;&gt;"",AP170&amp;"",$A170))</f>
        <v>AO-C-080</v>
      </c>
      <c r="FV170" s="0" t="str">
        <f aca="false">IF($A170="","",IF(COUNTIFS($FU$2:$FU$1000,FU170,$FS$2:$FS$1000,"Y")+COUNTIFS($FU$2:$FU$1000,FU170,$FT$2:$FT$1000,"Y")&gt;0,"Y","N"))</f>
        <v>N</v>
      </c>
      <c r="FW170" s="0" t="str">
        <f aca="false">IF($A170="","",IF(AND(U170="new",T170="N",FT170="N",AT170="Y",FV170="N"),"Y","N"))</f>
        <v>N</v>
      </c>
      <c r="FX170" s="0" t="str">
        <f aca="false">IF($A170="","",IF(FW170&lt;&gt;"Y","N",IF(COUNTIFS($FU$2:$FU$1000,FU170,$FW$2:$FW$1000,"Y",$J$2:$J$1000,"&gt;"&amp;J170)+COUNTIFS($FU$2:$FU$1000,FU170,$FW$2:$FW$1000,"Y",$J$2:$J$1000,J170,$GD$2:$GD$1000,"&lt;"&amp;GD170)=0,"Y","N")))</f>
        <v>N</v>
      </c>
      <c r="FY170" s="0" t="str">
        <f aca="false">IF($A170="","",IF(AND(FW170="Y",FX170="Y",Y170&amp;""&lt;&gt;""),IF(Y170&lt;=10,"Y","N"),"N"))</f>
        <v>N</v>
      </c>
      <c r="FZ170" s="0" t="str">
        <f aca="false">IF(FY170="Y",Y170,"")</f>
        <v/>
      </c>
      <c r="GA170" s="0" t="str">
        <f aca="false">IF($A170="","",IF(AND(I170="walk-in",CN170="pass",U170="new",FT170="N",FV170="N",AQ170&lt;&gt;"Y"),"Y","N"))</f>
        <v>N</v>
      </c>
      <c r="GB170" s="0" t="str">
        <f aca="false">IF(GA170&lt;&gt;"Y","",IF(COUNTIFS($GA$2:$GA$1000,"Y",$J$2:$J$1000,"&gt;"&amp;J170)+COUNTIFS($GA$2:$GA$1000,"Y",$J$2:$J$1000,J170,$GD$2:$GD$1000,"&lt;"&amp;GD170)+1&lt;=25,COUNTIFS($GA$2:$GA$1000,"Y",$J$2:$J$1000,"&gt;"&amp;J170)+COUNTIFS($GA$2:$GA$1000,"Y",$J$2:$J$1000,J170,$GD$2:$GD$1000,"&lt;"&amp;GD170)+1,""))</f>
        <v/>
      </c>
      <c r="GC170" s="0" t="str">
        <f aca="false">IF(AND(_xlfn.ISFORMULA(C170),_xlfn.ISFORMULA(J170)),"Y","N")</f>
        <v>N</v>
      </c>
      <c r="GD170" s="0" t="n">
        <f aca="false">ROW()-1</f>
        <v>169</v>
      </c>
    </row>
    <row r="171" customFormat="false" ht="15" hidden="false" customHeight="false" outlineLevel="0" collapsed="false">
      <c r="A171" s="0" t="s">
        <v>3821</v>
      </c>
      <c r="B171" s="0" t="s">
        <v>3822</v>
      </c>
      <c r="C171" s="0" t="s">
        <v>209</v>
      </c>
      <c r="E171" s="0" t="s">
        <v>470</v>
      </c>
      <c r="F171" s="0" t="s">
        <v>3549</v>
      </c>
      <c r="G171" s="0" t="s">
        <v>189</v>
      </c>
      <c r="M171" s="0" t="s">
        <v>380</v>
      </c>
      <c r="R171" s="5"/>
      <c r="U171" s="5"/>
      <c r="V171" s="0" t="s">
        <v>380</v>
      </c>
      <c r="AE171" s="0" t="s">
        <v>2976</v>
      </c>
      <c r="AF171" s="0" t="s">
        <v>209</v>
      </c>
      <c r="AG171" s="0" t="s">
        <v>3823</v>
      </c>
      <c r="AH171" s="0" t="s">
        <v>209</v>
      </c>
      <c r="AI171" s="0" t="s">
        <v>209</v>
      </c>
      <c r="AJ171" s="0" t="s">
        <v>189</v>
      </c>
      <c r="AK171" s="0" t="s">
        <v>209</v>
      </c>
      <c r="AL171" s="0" t="s">
        <v>189</v>
      </c>
      <c r="AM171" s="0" t="s">
        <v>209</v>
      </c>
      <c r="AN171" s="0" t="s">
        <v>380</v>
      </c>
      <c r="AO171" s="0" t="s">
        <v>209</v>
      </c>
      <c r="AP171" s="0" t="s">
        <v>3821</v>
      </c>
      <c r="AQ171" s="5" t="s">
        <v>189</v>
      </c>
      <c r="AT171" s="0" t="str">
        <f aca="false">IF($A171="","",IF(AND(CN171="pass",AQ171&lt;&gt;"Y",C171&lt;&gt;"",OR(AX171&lt;&gt;"Y",AV171="Y")),"Y","N"))</f>
        <v>Y</v>
      </c>
      <c r="AU171" s="0" t="str">
        <f aca="false">IF($A171="","",_xlfn.TEXTJOIN("; ",TRUE(),IF(CN171&lt;&gt;"pass","gated out",""),IF(AQ171="Y","on hold: "&amp;AR171,""),IF(C171="","no contact named on an opened page",""),IF(AND(AX171="Y",AV171&lt;&gt;"Y"),"Tuesday estimate band "&amp;L171&amp;": founder's call","")))</f>
        <v/>
      </c>
      <c r="AX171" s="0" t="s">
        <v>189</v>
      </c>
      <c r="BC171" s="0" t="str">
        <f aca="false">IF($A171="","",IFERROR(INDEX(Enrichment!$A$2:$GZ$2000,MATCH($A171,INDEX(Enrichment!$A$2:$GZ$2000,0,MATCH("row_id",Enrichment!$A$1:$GZ$1,0)),0),MATCH("work_email",Enrichment!$A$1:$GZ$1,0))&amp;"",""))</f>
        <v/>
      </c>
      <c r="BD171" s="0" t="str">
        <f aca="false">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none</v>
      </c>
      <c r="BF171" s="0" t="s">
        <v>380</v>
      </c>
      <c r="BJ171" s="0" t="s">
        <v>380</v>
      </c>
      <c r="BL171" s="0" t="s">
        <v>896</v>
      </c>
      <c r="BQ171" s="0" t="str">
        <f aca="false">IF($A171="","",IFERROR(INDEX(Enrichment!$A$2:$GZ$2000,MATCH($A171,INDEX(Enrichment!$A$2:$GZ$2000,0,MATCH("row_id",Enrichment!$A$1:$GZ$1,0)),0),MATCH("backup_work_email",Enrichment!$A$1:$GZ$1,0))&amp;"",""))</f>
        <v/>
      </c>
      <c r="BR171" s="0" t="str">
        <f aca="false">IF($A171="","",IF(BQ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none</v>
      </c>
      <c r="BT171" s="0" t="s">
        <v>380</v>
      </c>
      <c r="BX171" s="0" t="s">
        <v>380</v>
      </c>
      <c r="BY171" s="0" t="s">
        <v>387</v>
      </c>
      <c r="BZ171" s="0" t="s">
        <v>388</v>
      </c>
      <c r="CA171" s="0" t="s">
        <v>3564</v>
      </c>
      <c r="CB171" s="0" t="s">
        <v>196</v>
      </c>
      <c r="CM171" s="0" t="s">
        <v>189</v>
      </c>
      <c r="CN171" s="0" t="s">
        <v>200</v>
      </c>
      <c r="CO171" s="0" t="s">
        <v>201</v>
      </c>
      <c r="CP171" s="0" t="s">
        <v>1</v>
      </c>
      <c r="CQ171" s="0" t="s">
        <v>3824</v>
      </c>
      <c r="CR171" s="0" t="s">
        <v>209</v>
      </c>
      <c r="CS171" s="0" t="s">
        <v>3823</v>
      </c>
      <c r="CT171" s="0" t="s">
        <v>209</v>
      </c>
      <c r="CV171" s="0" t="s">
        <v>209</v>
      </c>
      <c r="CW171" s="0" t="s">
        <v>209</v>
      </c>
      <c r="CX171" s="0" t="s">
        <v>2712</v>
      </c>
      <c r="DA171" s="0" t="s">
        <v>209</v>
      </c>
      <c r="DB171" s="0" t="s">
        <v>209</v>
      </c>
      <c r="DC171" s="0" t="s">
        <v>209</v>
      </c>
      <c r="DD171" s="0" t="s">
        <v>209</v>
      </c>
      <c r="DE171" s="0" t="s">
        <v>209</v>
      </c>
      <c r="DF171" s="0" t="s">
        <v>397</v>
      </c>
      <c r="DG171" s="0" t="n">
        <v>40.738186</v>
      </c>
      <c r="DH171" s="0" t="n">
        <v>-73.992429</v>
      </c>
      <c r="DI171" s="0" t="s">
        <v>164</v>
      </c>
      <c r="DJ171" s="0" t="n">
        <v>0</v>
      </c>
      <c r="DK171" s="0" t="s">
        <v>2983</v>
      </c>
      <c r="DL171" s="0" t="s">
        <v>2976</v>
      </c>
      <c r="DM171" s="0" t="s">
        <v>2984</v>
      </c>
      <c r="DN171" s="0" t="s">
        <v>2985</v>
      </c>
      <c r="DO171" s="0" t="s">
        <v>363</v>
      </c>
      <c r="DS171" s="0" t="s">
        <v>809</v>
      </c>
      <c r="DU171" s="0" t="s">
        <v>189</v>
      </c>
      <c r="DX171" s="0" t="s">
        <v>209</v>
      </c>
      <c r="EA171" s="0" t="s">
        <v>209</v>
      </c>
      <c r="EB171" s="0" t="s">
        <v>189</v>
      </c>
      <c r="EC171" s="0" t="s">
        <v>209</v>
      </c>
      <c r="EF171" s="0" t="s">
        <v>209</v>
      </c>
      <c r="EH171" s="0" t="s">
        <v>189</v>
      </c>
      <c r="EI171" s="0" t="s">
        <v>2716</v>
      </c>
      <c r="EJ171" s="0" t="s">
        <v>221</v>
      </c>
      <c r="EK171" s="0" t="s">
        <v>209</v>
      </c>
      <c r="EL171" s="0" t="n">
        <v>34</v>
      </c>
      <c r="EM171" s="0" t="n">
        <v>7</v>
      </c>
      <c r="EN171" s="0" t="n">
        <v>8</v>
      </c>
      <c r="EO171" s="0" t="n">
        <v>6</v>
      </c>
      <c r="EP171" s="0" t="n">
        <v>13</v>
      </c>
      <c r="EQ171" s="0" t="n">
        <f aca="false">IF($A171="","",IF(AH171="exact",10,IF(AH171="adjacent",5,0)))</f>
        <v>0</v>
      </c>
      <c r="ER171" s="0" t="n">
        <f aca="false">IF($A171="","",IF(R171="Y",15,0))</f>
        <v>0</v>
      </c>
      <c r="ES171" s="0" t="s">
        <v>222</v>
      </c>
      <c r="EX171" s="0" t="s">
        <v>3825</v>
      </c>
      <c r="FS171" s="0" t="str">
        <f aca="false">IF($A171="","",IF(ISNUMBER(MATCH(U171,{"queued","contacted","replied","call_booked","call_done","yes_in_principle","materials_sent"},0)),"Y","N"))</f>
        <v>N</v>
      </c>
      <c r="FT171" s="0" t="str">
        <f aca="false">IF($A171="","",IF(OR(T171="Y",U171="do_not_contact",AS171&amp;""&lt;&gt;""),"Y","N"))</f>
        <v>N</v>
      </c>
      <c r="FU171" s="0" t="str">
        <f aca="false">IF($A171="","",IF(AP171&amp;""&lt;&gt;"",AP171&amp;"",$A171))</f>
        <v>AO-C-026</v>
      </c>
      <c r="FV171" s="0" t="str">
        <f aca="false">IF($A171="","",IF(COUNTIFS($FU$2:$FU$1000,FU171,$FS$2:$FS$1000,"Y")+COUNTIFS($FU$2:$FU$1000,FU171,$FT$2:$FT$1000,"Y")&gt;0,"Y","N"))</f>
        <v>N</v>
      </c>
      <c r="FW171" s="0" t="str">
        <f aca="false">IF($A171="","",IF(AND(U171="new",T171="N",FT171="N",AT171="Y",FV171="N"),"Y","N"))</f>
        <v>N</v>
      </c>
      <c r="FX171" s="0" t="str">
        <f aca="false">IF($A171="","",IF(FW171&lt;&gt;"Y","N",IF(COUNTIFS($FU$2:$FU$1000,FU171,$FW$2:$FW$1000,"Y",$J$2:$J$1000,"&gt;"&amp;J171)+COUNTIFS($FU$2:$FU$1000,FU171,$FW$2:$FW$1000,"Y",$J$2:$J$1000,J171,$GD$2:$GD$1000,"&lt;"&amp;GD171)=0,"Y","N")))</f>
        <v>N</v>
      </c>
      <c r="FY171" s="0" t="str">
        <f aca="false">IF($A171="","",IF(AND(FW171="Y",FX171="Y",Y171&amp;""&lt;&gt;""),IF(Y171&lt;=10,"Y","N"),"N"))</f>
        <v>N</v>
      </c>
      <c r="FZ171" s="0" t="str">
        <f aca="false">IF(FY171="Y",Y171,"")</f>
        <v/>
      </c>
      <c r="GA171" s="0" t="str">
        <f aca="false">IF($A171="","",IF(AND(I171="walk-in",CN171="pass",U171="new",FT171="N",FV171="N",AQ171&lt;&gt;"Y"),"Y","N"))</f>
        <v>N</v>
      </c>
      <c r="GB171" s="0" t="str">
        <f aca="false">IF(GA171&lt;&gt;"Y","",IF(COUNTIFS($GA$2:$GA$1000,"Y",$J$2:$J$1000,"&gt;"&amp;J171)+COUNTIFS($GA$2:$GA$1000,"Y",$J$2:$J$1000,J171,$GD$2:$GD$1000,"&lt;"&amp;GD171)+1&lt;=25,COUNTIFS($GA$2:$GA$1000,"Y",$J$2:$J$1000,"&gt;"&amp;J171)+COUNTIFS($GA$2:$GA$1000,"Y",$J$2:$J$1000,J171,$GD$2:$GD$1000,"&lt;"&amp;GD171)+1,""))</f>
        <v/>
      </c>
      <c r="GC171" s="0" t="str">
        <f aca="false">IF(AND(_xlfn.ISFORMULA(C171),_xlfn.ISFORMULA(J171)),"Y","N")</f>
        <v>N</v>
      </c>
      <c r="GD171" s="0" t="n">
        <f aca="false">ROW()-1</f>
        <v>170</v>
      </c>
    </row>
    <row r="172" customFormat="false" ht="15" hidden="false" customHeight="false" outlineLevel="0" collapsed="false">
      <c r="A172" s="0" t="s">
        <v>3826</v>
      </c>
      <c r="B172" s="0" t="s">
        <v>3827</v>
      </c>
      <c r="C172" s="0" t="s">
        <v>3828</v>
      </c>
      <c r="D172" s="0" t="s">
        <v>3829</v>
      </c>
      <c r="E172" s="0" t="s">
        <v>3830</v>
      </c>
      <c r="F172" s="0" t="s">
        <v>3549</v>
      </c>
      <c r="G172" s="0" t="s">
        <v>189</v>
      </c>
      <c r="M172" s="0" t="s">
        <v>380</v>
      </c>
      <c r="R172" s="5"/>
      <c r="U172" s="5"/>
      <c r="V172" s="0" t="s">
        <v>380</v>
      </c>
      <c r="AE172" s="0" t="s">
        <v>3831</v>
      </c>
      <c r="AF172" s="0" t="s">
        <v>209</v>
      </c>
      <c r="AG172" s="0" t="s">
        <v>3118</v>
      </c>
      <c r="AH172" s="0" t="s">
        <v>209</v>
      </c>
      <c r="AJ172" s="0" t="s">
        <v>189</v>
      </c>
      <c r="AK172" s="0" t="s">
        <v>209</v>
      </c>
      <c r="AL172" s="0" t="s">
        <v>189</v>
      </c>
      <c r="AM172" s="0" t="s">
        <v>209</v>
      </c>
      <c r="AN172" s="0" t="s">
        <v>380</v>
      </c>
      <c r="AO172" s="0" t="s">
        <v>209</v>
      </c>
      <c r="AP172" s="0" t="s">
        <v>3832</v>
      </c>
      <c r="AQ172" s="5" t="s">
        <v>189</v>
      </c>
      <c r="AT172" s="0" t="str">
        <f aca="false">IF($A172="","",IF(AND(CN172="pass",AQ172&lt;&gt;"Y",C172&lt;&gt;"",OR(AX172&lt;&gt;"Y",AV172="Y")),"Y","N"))</f>
        <v>Y</v>
      </c>
      <c r="AU172" s="0" t="str">
        <f aca="false">IF($A172="","",_xlfn.TEXTJOIN("; ",TRUE(),IF(CN172&lt;&gt;"pass","gated out",""),IF(AQ172="Y","on hold: "&amp;AR172,""),IF(C172="","no contact named on an opened page",""),IF(AND(AX172="Y",AV172&lt;&gt;"Y"),"Tuesday estimate band "&amp;L172&amp;": founder's call","")))</f>
        <v/>
      </c>
      <c r="AX172" s="0" t="s">
        <v>189</v>
      </c>
      <c r="BC172" s="0" t="str">
        <f aca="false">IF($A172="","",IFERROR(INDEX(Enrichment!$A$2:$GZ$2000,MATCH($A172,INDEX(Enrichment!$A$2:$GZ$2000,0,MATCH("row_id",Enrichment!$A$1:$GZ$1,0)),0),MATCH("work_email",Enrichment!$A$1:$GZ$1,0))&amp;"",""))</f>
        <v/>
      </c>
      <c r="BD172" s="0" t="str">
        <f aca="false">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none</v>
      </c>
      <c r="BF172" s="0" t="s">
        <v>380</v>
      </c>
      <c r="BJ172" s="0" t="s">
        <v>380</v>
      </c>
      <c r="BL172" s="0" t="s">
        <v>896</v>
      </c>
      <c r="BQ172" s="0" t="str">
        <f aca="false">IF($A172="","",IFERROR(INDEX(Enrichment!$A$2:$GZ$2000,MATCH($A172,INDEX(Enrichment!$A$2:$GZ$2000,0,MATCH("row_id",Enrichment!$A$1:$GZ$1,0)),0),MATCH("backup_work_email",Enrichment!$A$1:$GZ$1,0))&amp;"",""))</f>
        <v/>
      </c>
      <c r="BR172" s="0" t="str">
        <f aca="false">IF($A172="","",IF(BQ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none</v>
      </c>
      <c r="BT172" s="0" t="s">
        <v>380</v>
      </c>
      <c r="BX172" s="0" t="s">
        <v>380</v>
      </c>
      <c r="BY172" s="0" t="s">
        <v>387</v>
      </c>
      <c r="BZ172" s="0" t="s">
        <v>388</v>
      </c>
      <c r="CA172" s="0" t="s">
        <v>3587</v>
      </c>
      <c r="CB172" s="0" t="s">
        <v>196</v>
      </c>
      <c r="CM172" s="0" t="s">
        <v>189</v>
      </c>
      <c r="CN172" s="0" t="s">
        <v>200</v>
      </c>
      <c r="CO172" s="0" t="s">
        <v>201</v>
      </c>
      <c r="CP172" s="0" t="s">
        <v>3121</v>
      </c>
      <c r="CQ172" s="0" t="s">
        <v>3833</v>
      </c>
      <c r="CR172" s="0" t="s">
        <v>3828</v>
      </c>
      <c r="CS172" s="0" t="s">
        <v>3118</v>
      </c>
      <c r="CT172" s="0" t="s">
        <v>209</v>
      </c>
      <c r="CV172" s="0" t="s">
        <v>209</v>
      </c>
      <c r="CW172" s="0" t="s">
        <v>209</v>
      </c>
      <c r="DA172" s="0" t="s">
        <v>209</v>
      </c>
      <c r="DB172" s="0" t="s">
        <v>3123</v>
      </c>
      <c r="DC172" s="0" t="s">
        <v>209</v>
      </c>
      <c r="DD172" s="0" t="s">
        <v>3834</v>
      </c>
      <c r="DF172" s="0" t="s">
        <v>397</v>
      </c>
      <c r="DG172" s="0" t="n">
        <v>40.738939</v>
      </c>
      <c r="DH172" s="0" t="n">
        <v>-73.993331</v>
      </c>
      <c r="DI172" s="0" t="s">
        <v>164</v>
      </c>
      <c r="DJ172" s="0" t="n">
        <v>0</v>
      </c>
      <c r="DK172" s="0" t="s">
        <v>3835</v>
      </c>
      <c r="DL172" s="0" t="s">
        <v>3836</v>
      </c>
      <c r="DM172" s="0" t="s">
        <v>3837</v>
      </c>
      <c r="DN172" s="0" t="s">
        <v>263</v>
      </c>
      <c r="DO172" s="0" t="s">
        <v>3128</v>
      </c>
      <c r="DS172" s="0" t="s">
        <v>809</v>
      </c>
      <c r="DU172" s="0" t="s">
        <v>189</v>
      </c>
      <c r="DV172" s="0" t="s">
        <v>3833</v>
      </c>
      <c r="DW172" s="0" t="s">
        <v>3130</v>
      </c>
      <c r="DX172" s="0" t="s">
        <v>209</v>
      </c>
      <c r="EA172" s="0" t="s">
        <v>209</v>
      </c>
      <c r="EB172" s="0" t="s">
        <v>189</v>
      </c>
      <c r="EC172" s="0" t="s">
        <v>209</v>
      </c>
      <c r="EF172" s="0" t="s">
        <v>209</v>
      </c>
      <c r="EH172" s="0" t="s">
        <v>189</v>
      </c>
      <c r="EI172" s="0" t="s">
        <v>3131</v>
      </c>
      <c r="EJ172" s="0" t="s">
        <v>221</v>
      </c>
      <c r="EK172" s="0" t="s">
        <v>209</v>
      </c>
      <c r="EL172" s="0" t="n">
        <v>34</v>
      </c>
      <c r="EM172" s="0" t="n">
        <v>7</v>
      </c>
      <c r="EN172" s="0" t="n">
        <v>8</v>
      </c>
      <c r="EO172" s="0" t="n">
        <v>6</v>
      </c>
      <c r="EP172" s="0" t="n">
        <v>13</v>
      </c>
      <c r="EQ172" s="0" t="n">
        <f aca="false">IF($A172="","",IF(AH172="exact",10,IF(AH172="adjacent",5,0)))</f>
        <v>0</v>
      </c>
      <c r="ER172" s="0" t="n">
        <f aca="false">IF($A172="","",IF(R172="Y",15,0))</f>
        <v>0</v>
      </c>
      <c r="ES172" s="0" t="s">
        <v>3121</v>
      </c>
      <c r="EX172" s="0" t="s">
        <v>3838</v>
      </c>
      <c r="FA172" s="0" t="s">
        <v>3839</v>
      </c>
      <c r="FS172" s="0" t="str">
        <f aca="false">IF($A172="","",IF(ISNUMBER(MATCH(U172,{"queued","contacted","replied","call_booked","call_done","yes_in_principle","materials_sent"},0)),"Y","N"))</f>
        <v>N</v>
      </c>
      <c r="FT172" s="0" t="str">
        <f aca="false">IF($A172="","",IF(OR(T172="Y",U172="do_not_contact",AS172&amp;""&lt;&gt;""),"Y","N"))</f>
        <v>N</v>
      </c>
      <c r="FU172" s="0" t="str">
        <f aca="false">IF($A172="","",IF(AP172&amp;""&lt;&gt;"",AP172&amp;"",$A172))</f>
        <v>grp-W004-W018-W020-W024-W026-W029</v>
      </c>
      <c r="FV172" s="0" t="str">
        <f aca="false">IF($A172="","",IF(COUNTIFS($FU$2:$FU$1000,FU172,$FS$2:$FS$1000,"Y")+COUNTIFS($FU$2:$FU$1000,FU172,$FT$2:$FT$1000,"Y")&gt;0,"Y","N"))</f>
        <v>N</v>
      </c>
      <c r="FW172" s="0" t="str">
        <f aca="false">IF($A172="","",IF(AND(U172="new",T172="N",FT172="N",AT172="Y",FV172="N"),"Y","N"))</f>
        <v>N</v>
      </c>
      <c r="FX172" s="0" t="str">
        <f aca="false">IF($A172="","",IF(FW172&lt;&gt;"Y","N",IF(COUNTIFS($FU$2:$FU$1000,FU172,$FW$2:$FW$1000,"Y",$J$2:$J$1000,"&gt;"&amp;J172)+COUNTIFS($FU$2:$FU$1000,FU172,$FW$2:$FW$1000,"Y",$J$2:$J$1000,J172,$GD$2:$GD$1000,"&lt;"&amp;GD172)=0,"Y","N")))</f>
        <v>N</v>
      </c>
      <c r="FY172" s="0" t="str">
        <f aca="false">IF($A172="","",IF(AND(FW172="Y",FX172="Y",Y172&amp;""&lt;&gt;""),IF(Y172&lt;=10,"Y","N"),"N"))</f>
        <v>N</v>
      </c>
      <c r="FZ172" s="0" t="str">
        <f aca="false">IF(FY172="Y",Y172,"")</f>
        <v/>
      </c>
      <c r="GA172" s="0" t="str">
        <f aca="false">IF($A172="","",IF(AND(I172="walk-in",CN172="pass",U172="new",FT172="N",FV172="N",AQ172&lt;&gt;"Y"),"Y","N"))</f>
        <v>N</v>
      </c>
      <c r="GB172" s="0" t="str">
        <f aca="false">IF(GA172&lt;&gt;"Y","",IF(COUNTIFS($GA$2:$GA$1000,"Y",$J$2:$J$1000,"&gt;"&amp;J172)+COUNTIFS($GA$2:$GA$1000,"Y",$J$2:$J$1000,J172,$GD$2:$GD$1000,"&lt;"&amp;GD172)+1&lt;=25,COUNTIFS($GA$2:$GA$1000,"Y",$J$2:$J$1000,"&gt;"&amp;J172)+COUNTIFS($GA$2:$GA$1000,"Y",$J$2:$J$1000,J172,$GD$2:$GD$1000,"&lt;"&amp;GD172)+1,""))</f>
        <v/>
      </c>
      <c r="GC172" s="0" t="str">
        <f aca="false">IF(AND(_xlfn.ISFORMULA(C172),_xlfn.ISFORMULA(J172)),"Y","N")</f>
        <v>N</v>
      </c>
      <c r="GD172" s="0" t="n">
        <f aca="false">ROW()-1</f>
        <v>171</v>
      </c>
    </row>
    <row r="173" customFormat="false" ht="15" hidden="false" customHeight="false" outlineLevel="0" collapsed="false">
      <c r="A173" s="0" t="s">
        <v>3840</v>
      </c>
      <c r="B173" s="0" t="s">
        <v>3841</v>
      </c>
      <c r="C173" s="0" t="s">
        <v>3828</v>
      </c>
      <c r="D173" s="0" t="s">
        <v>3829</v>
      </c>
      <c r="E173" s="0" t="s">
        <v>3842</v>
      </c>
      <c r="F173" s="0" t="s">
        <v>3549</v>
      </c>
      <c r="G173" s="0" t="s">
        <v>189</v>
      </c>
      <c r="M173" s="0" t="s">
        <v>380</v>
      </c>
      <c r="R173" s="5"/>
      <c r="U173" s="5"/>
      <c r="V173" s="0" t="s">
        <v>380</v>
      </c>
      <c r="AE173" s="0" t="s">
        <v>3843</v>
      </c>
      <c r="AF173" s="0" t="s">
        <v>209</v>
      </c>
      <c r="AG173" s="0" t="s">
        <v>3118</v>
      </c>
      <c r="AH173" s="0" t="s">
        <v>209</v>
      </c>
      <c r="AJ173" s="0" t="s">
        <v>189</v>
      </c>
      <c r="AK173" s="0" t="s">
        <v>209</v>
      </c>
      <c r="AL173" s="0" t="s">
        <v>189</v>
      </c>
      <c r="AM173" s="0" t="s">
        <v>209</v>
      </c>
      <c r="AN173" s="0" t="s">
        <v>380</v>
      </c>
      <c r="AO173" s="0" t="s">
        <v>209</v>
      </c>
      <c r="AP173" s="0" t="s">
        <v>3832</v>
      </c>
      <c r="AQ173" s="5" t="s">
        <v>189</v>
      </c>
      <c r="AT173" s="0" t="str">
        <f aca="false">IF($A173="","",IF(AND(CN173="pass",AQ173&lt;&gt;"Y",C173&lt;&gt;"",OR(AX173&lt;&gt;"Y",AV173="Y")),"Y","N"))</f>
        <v>Y</v>
      </c>
      <c r="AU173" s="0" t="str">
        <f aca="false">IF($A173="","",_xlfn.TEXTJOIN("; ",TRUE(),IF(CN173&lt;&gt;"pass","gated out",""),IF(AQ173="Y","on hold: "&amp;AR173,""),IF(C173="","no contact named on an opened page",""),IF(AND(AX173="Y",AV173&lt;&gt;"Y"),"Tuesday estimate band "&amp;L173&amp;": founder's call","")))</f>
        <v/>
      </c>
      <c r="AX173" s="0" t="s">
        <v>189</v>
      </c>
      <c r="BC173" s="0" t="str">
        <f aca="false">IF($A173="","",IFERROR(INDEX(Enrichment!$A$2:$GZ$2000,MATCH($A173,INDEX(Enrichment!$A$2:$GZ$2000,0,MATCH("row_id",Enrichment!$A$1:$GZ$1,0)),0),MATCH("work_email",Enrichment!$A$1:$GZ$1,0))&amp;"",""))</f>
        <v/>
      </c>
      <c r="BD173" s="0" t="str">
        <f aca="false">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none</v>
      </c>
      <c r="BF173" s="0" t="s">
        <v>380</v>
      </c>
      <c r="BJ173" s="0" t="s">
        <v>380</v>
      </c>
      <c r="BL173" s="0" t="s">
        <v>896</v>
      </c>
      <c r="BQ173" s="0" t="str">
        <f aca="false">IF($A173="","",IFERROR(INDEX(Enrichment!$A$2:$GZ$2000,MATCH($A173,INDEX(Enrichment!$A$2:$GZ$2000,0,MATCH("row_id",Enrichment!$A$1:$GZ$1,0)),0),MATCH("backup_work_email",Enrichment!$A$1:$GZ$1,0))&amp;"",""))</f>
        <v/>
      </c>
      <c r="BR173" s="0" t="str">
        <f aca="false">IF($A173="","",IF(BQ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none</v>
      </c>
      <c r="BT173" s="0" t="s">
        <v>380</v>
      </c>
      <c r="BX173" s="0" t="s">
        <v>380</v>
      </c>
      <c r="BY173" s="0" t="s">
        <v>387</v>
      </c>
      <c r="BZ173" s="0" t="s">
        <v>388</v>
      </c>
      <c r="CA173" s="0" t="s">
        <v>3587</v>
      </c>
      <c r="CB173" s="0" t="s">
        <v>196</v>
      </c>
      <c r="CM173" s="0" t="s">
        <v>189</v>
      </c>
      <c r="CN173" s="0" t="s">
        <v>200</v>
      </c>
      <c r="CO173" s="0" t="s">
        <v>201</v>
      </c>
      <c r="CP173" s="0" t="s">
        <v>3121</v>
      </c>
      <c r="CQ173" s="0" t="s">
        <v>3844</v>
      </c>
      <c r="CR173" s="0" t="s">
        <v>3828</v>
      </c>
      <c r="CS173" s="0" t="s">
        <v>3118</v>
      </c>
      <c r="CT173" s="0" t="s">
        <v>209</v>
      </c>
      <c r="CV173" s="0" t="s">
        <v>209</v>
      </c>
      <c r="CW173" s="0" t="s">
        <v>209</v>
      </c>
      <c r="DA173" s="0" t="s">
        <v>209</v>
      </c>
      <c r="DB173" s="0" t="s">
        <v>3123</v>
      </c>
      <c r="DC173" s="0" t="s">
        <v>209</v>
      </c>
      <c r="DD173" s="0" t="s">
        <v>3834</v>
      </c>
      <c r="DF173" s="0" t="s">
        <v>311</v>
      </c>
      <c r="DG173" s="0" t="n">
        <v>40.744997</v>
      </c>
      <c r="DH173" s="0" t="n">
        <v>-73.983237</v>
      </c>
      <c r="DI173" s="0" t="s">
        <v>164</v>
      </c>
      <c r="DJ173" s="0" t="n">
        <v>0</v>
      </c>
      <c r="DK173" s="0" t="s">
        <v>3845</v>
      </c>
      <c r="DL173" s="0" t="s">
        <v>3846</v>
      </c>
      <c r="DM173" s="0" t="s">
        <v>3847</v>
      </c>
      <c r="DN173" s="0" t="s">
        <v>263</v>
      </c>
      <c r="DO173" s="0" t="s">
        <v>3128</v>
      </c>
      <c r="DS173" s="0" t="s">
        <v>809</v>
      </c>
      <c r="DU173" s="0" t="s">
        <v>189</v>
      </c>
      <c r="DV173" s="0" t="s">
        <v>3844</v>
      </c>
      <c r="DW173" s="0" t="s">
        <v>3130</v>
      </c>
      <c r="DX173" s="0" t="s">
        <v>209</v>
      </c>
      <c r="EA173" s="0" t="s">
        <v>209</v>
      </c>
      <c r="EB173" s="0" t="s">
        <v>189</v>
      </c>
      <c r="EC173" s="0" t="s">
        <v>209</v>
      </c>
      <c r="EF173" s="0" t="s">
        <v>209</v>
      </c>
      <c r="EH173" s="0" t="s">
        <v>189</v>
      </c>
      <c r="EI173" s="0" t="s">
        <v>3131</v>
      </c>
      <c r="EJ173" s="0" t="s">
        <v>221</v>
      </c>
      <c r="EK173" s="0" t="s">
        <v>209</v>
      </c>
      <c r="EL173" s="0" t="n">
        <v>34</v>
      </c>
      <c r="EM173" s="0" t="n">
        <v>7</v>
      </c>
      <c r="EN173" s="0" t="n">
        <v>8</v>
      </c>
      <c r="EO173" s="0" t="n">
        <v>6</v>
      </c>
      <c r="EP173" s="0" t="n">
        <v>13</v>
      </c>
      <c r="EQ173" s="0" t="n">
        <f aca="false">IF($A173="","",IF(AH173="exact",10,IF(AH173="adjacent",5,0)))</f>
        <v>0</v>
      </c>
      <c r="ER173" s="0" t="n">
        <f aca="false">IF($A173="","",IF(R173="Y",15,0))</f>
        <v>0</v>
      </c>
      <c r="ES173" s="0" t="s">
        <v>3121</v>
      </c>
      <c r="EX173" s="0" t="s">
        <v>3848</v>
      </c>
      <c r="FA173" s="0" t="s">
        <v>3849</v>
      </c>
      <c r="FS173" s="0" t="str">
        <f aca="false">IF($A173="","",IF(ISNUMBER(MATCH(U173,{"queued","contacted","replied","call_booked","call_done","yes_in_principle","materials_sent"},0)),"Y","N"))</f>
        <v>N</v>
      </c>
      <c r="FT173" s="0" t="str">
        <f aca="false">IF($A173="","",IF(OR(T173="Y",U173="do_not_contact",AS173&amp;""&lt;&gt;""),"Y","N"))</f>
        <v>N</v>
      </c>
      <c r="FU173" s="0" t="str">
        <f aca="false">IF($A173="","",IF(AP173&amp;""&lt;&gt;"",AP173&amp;"",$A173))</f>
        <v>grp-W004-W018-W020-W024-W026-W029</v>
      </c>
      <c r="FV173" s="0" t="str">
        <f aca="false">IF($A173="","",IF(COUNTIFS($FU$2:$FU$1000,FU173,$FS$2:$FS$1000,"Y")+COUNTIFS($FU$2:$FU$1000,FU173,$FT$2:$FT$1000,"Y")&gt;0,"Y","N"))</f>
        <v>N</v>
      </c>
      <c r="FW173" s="0" t="str">
        <f aca="false">IF($A173="","",IF(AND(U173="new",T173="N",FT173="N",AT173="Y",FV173="N"),"Y","N"))</f>
        <v>N</v>
      </c>
      <c r="FX173" s="0" t="str">
        <f aca="false">IF($A173="","",IF(FW173&lt;&gt;"Y","N",IF(COUNTIFS($FU$2:$FU$1000,FU173,$FW$2:$FW$1000,"Y",$J$2:$J$1000,"&gt;"&amp;J173)+COUNTIFS($FU$2:$FU$1000,FU173,$FW$2:$FW$1000,"Y",$J$2:$J$1000,J173,$GD$2:$GD$1000,"&lt;"&amp;GD173)=0,"Y","N")))</f>
        <v>N</v>
      </c>
      <c r="FY173" s="0" t="str">
        <f aca="false">IF($A173="","",IF(AND(FW173="Y",FX173="Y",Y173&amp;""&lt;&gt;""),IF(Y173&lt;=10,"Y","N"),"N"))</f>
        <v>N</v>
      </c>
      <c r="FZ173" s="0" t="str">
        <f aca="false">IF(FY173="Y",Y173,"")</f>
        <v/>
      </c>
      <c r="GA173" s="0" t="str">
        <f aca="false">IF($A173="","",IF(AND(I173="walk-in",CN173="pass",U173="new",FT173="N",FV173="N",AQ173&lt;&gt;"Y"),"Y","N"))</f>
        <v>N</v>
      </c>
      <c r="GB173" s="0" t="str">
        <f aca="false">IF(GA173&lt;&gt;"Y","",IF(COUNTIFS($GA$2:$GA$1000,"Y",$J$2:$J$1000,"&gt;"&amp;J173)+COUNTIFS($GA$2:$GA$1000,"Y",$J$2:$J$1000,J173,$GD$2:$GD$1000,"&lt;"&amp;GD173)+1&lt;=25,COUNTIFS($GA$2:$GA$1000,"Y",$J$2:$J$1000,"&gt;"&amp;J173)+COUNTIFS($GA$2:$GA$1000,"Y",$J$2:$J$1000,J173,$GD$2:$GD$1000,"&lt;"&amp;GD173)+1,""))</f>
        <v/>
      </c>
      <c r="GC173" s="0" t="str">
        <f aca="false">IF(AND(_xlfn.ISFORMULA(C173),_xlfn.ISFORMULA(J173)),"Y","N")</f>
        <v>N</v>
      </c>
      <c r="GD173" s="0" t="n">
        <f aca="false">ROW()-1</f>
        <v>172</v>
      </c>
    </row>
    <row r="174" customFormat="false" ht="15" hidden="false" customHeight="false" outlineLevel="0" collapsed="false">
      <c r="A174" s="0" t="s">
        <v>3850</v>
      </c>
      <c r="B174" s="0" t="s">
        <v>3851</v>
      </c>
      <c r="C174" s="0" t="s">
        <v>3852</v>
      </c>
      <c r="D174" s="0" t="s">
        <v>3853</v>
      </c>
      <c r="E174" s="0" t="s">
        <v>3854</v>
      </c>
      <c r="F174" s="0" t="s">
        <v>3549</v>
      </c>
      <c r="G174" s="0" t="s">
        <v>189</v>
      </c>
      <c r="M174" s="0" t="s">
        <v>380</v>
      </c>
      <c r="R174" s="5"/>
      <c r="U174" s="5"/>
      <c r="V174" s="0" t="s">
        <v>380</v>
      </c>
      <c r="AE174" s="0" t="s">
        <v>3855</v>
      </c>
      <c r="AF174" s="0" t="s">
        <v>1295</v>
      </c>
      <c r="AG174" s="0" t="s">
        <v>3856</v>
      </c>
      <c r="AH174" s="0" t="s">
        <v>209</v>
      </c>
      <c r="AI174" s="0" t="s">
        <v>209</v>
      </c>
      <c r="AJ174" s="0" t="s">
        <v>189</v>
      </c>
      <c r="AK174" s="0" t="s">
        <v>209</v>
      </c>
      <c r="AL174" s="0" t="s">
        <v>189</v>
      </c>
      <c r="AM174" s="0" t="s">
        <v>209</v>
      </c>
      <c r="AN174" s="0" t="s">
        <v>380</v>
      </c>
      <c r="AO174" s="0" t="s">
        <v>209</v>
      </c>
      <c r="AP174" s="0" t="s">
        <v>3850</v>
      </c>
      <c r="AQ174" s="5" t="s">
        <v>189</v>
      </c>
      <c r="AT174" s="0" t="str">
        <f aca="false">IF($A174="","",IF(AND(CN174="pass",AQ174&lt;&gt;"Y",C174&lt;&gt;"",OR(AX174&lt;&gt;"Y",AV174="Y")),"Y","N"))</f>
        <v>Y</v>
      </c>
      <c r="AU174" s="0" t="str">
        <f aca="false">IF($A174="","",_xlfn.TEXTJOIN("; ",TRUE(),IF(CN174&lt;&gt;"pass","gated out",""),IF(AQ174="Y","on hold: "&amp;AR174,""),IF(C174="","no contact named on an opened page",""),IF(AND(AX174="Y",AV174&lt;&gt;"Y"),"Tuesday estimate band "&amp;L174&amp;": founder's call","")))</f>
        <v/>
      </c>
      <c r="AX174" s="0" t="s">
        <v>189</v>
      </c>
      <c r="BC174" s="0" t="str">
        <f aca="false">IF($A174="","",IFERROR(INDEX(Enrichment!$A$2:$GZ$2000,MATCH($A174,INDEX(Enrichment!$A$2:$GZ$2000,0,MATCH("row_id",Enrichment!$A$1:$GZ$1,0)),0),MATCH("work_email",Enrichment!$A$1:$GZ$1,0))&amp;"",""))</f>
        <v/>
      </c>
      <c r="BD174" s="0" t="str">
        <f aca="false">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none</v>
      </c>
      <c r="BF174" s="0" t="s">
        <v>380</v>
      </c>
      <c r="BJ174" s="0" t="s">
        <v>380</v>
      </c>
      <c r="BL174" s="0" t="s">
        <v>896</v>
      </c>
      <c r="BQ174" s="0" t="str">
        <f aca="false">IF($A174="","",IFERROR(INDEX(Enrichment!$A$2:$GZ$2000,MATCH($A174,INDEX(Enrichment!$A$2:$GZ$2000,0,MATCH("row_id",Enrichment!$A$1:$GZ$1,0)),0),MATCH("backup_work_email",Enrichment!$A$1:$GZ$1,0))&amp;"",""))</f>
        <v/>
      </c>
      <c r="BR174" s="0" t="str">
        <f aca="false">IF($A174="","",IF(BQ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none</v>
      </c>
      <c r="BT174" s="0" t="s">
        <v>380</v>
      </c>
      <c r="BX174" s="0" t="s">
        <v>380</v>
      </c>
      <c r="BY174" s="0" t="s">
        <v>387</v>
      </c>
      <c r="BZ174" s="0" t="s">
        <v>388</v>
      </c>
      <c r="CA174" s="0" t="s">
        <v>3564</v>
      </c>
      <c r="CB174" s="0" t="s">
        <v>196</v>
      </c>
      <c r="CM174" s="0" t="s">
        <v>189</v>
      </c>
      <c r="CN174" s="0" t="s">
        <v>200</v>
      </c>
      <c r="CO174" s="0" t="s">
        <v>201</v>
      </c>
      <c r="CP174" s="0" t="s">
        <v>1</v>
      </c>
      <c r="CQ174" s="0" t="s">
        <v>3857</v>
      </c>
      <c r="CR174" s="0" t="s">
        <v>3852</v>
      </c>
      <c r="CS174" s="0" t="s">
        <v>3856</v>
      </c>
      <c r="CT174" s="0" t="s">
        <v>209</v>
      </c>
      <c r="CV174" s="0" t="s">
        <v>209</v>
      </c>
      <c r="CW174" s="0" t="s">
        <v>209</v>
      </c>
      <c r="CX174" s="0" t="s">
        <v>2712</v>
      </c>
      <c r="DA174" s="0" t="s">
        <v>209</v>
      </c>
      <c r="DB174" s="0" t="s">
        <v>209</v>
      </c>
      <c r="DC174" s="0" t="s">
        <v>209</v>
      </c>
      <c r="DD174" s="0" t="s">
        <v>209</v>
      </c>
      <c r="DE174" s="0" t="s">
        <v>209</v>
      </c>
      <c r="DF174" s="0" t="s">
        <v>525</v>
      </c>
      <c r="DG174" s="0" t="n">
        <v>40.739363</v>
      </c>
      <c r="DH174" s="0" t="n">
        <v>-73.989534</v>
      </c>
      <c r="DI174" s="0" t="s">
        <v>164</v>
      </c>
      <c r="DJ174" s="0" t="n">
        <v>0</v>
      </c>
      <c r="DK174" s="0" t="s">
        <v>3203</v>
      </c>
      <c r="DL174" s="0" t="s">
        <v>3204</v>
      </c>
      <c r="DM174" s="0" t="s">
        <v>3858</v>
      </c>
      <c r="DN174" s="0" t="s">
        <v>3859</v>
      </c>
      <c r="DO174" s="0" t="s">
        <v>363</v>
      </c>
      <c r="DP174" s="0" t="s">
        <v>3860</v>
      </c>
      <c r="DQ174" s="0" t="s">
        <v>3861</v>
      </c>
      <c r="DS174" s="0" t="s">
        <v>809</v>
      </c>
      <c r="DU174" s="0" t="s">
        <v>189</v>
      </c>
      <c r="DX174" s="0" t="s">
        <v>267</v>
      </c>
      <c r="DY174" s="0" t="s">
        <v>3206</v>
      </c>
      <c r="EA174" s="0" t="s">
        <v>209</v>
      </c>
      <c r="EB174" s="0" t="s">
        <v>189</v>
      </c>
      <c r="EC174" s="0" t="s">
        <v>209</v>
      </c>
      <c r="EF174" s="0" t="s">
        <v>209</v>
      </c>
      <c r="EH174" s="0" t="s">
        <v>189</v>
      </c>
      <c r="EI174" s="0" t="s">
        <v>2716</v>
      </c>
      <c r="EJ174" s="0" t="s">
        <v>221</v>
      </c>
      <c r="EK174" s="0" t="s">
        <v>209</v>
      </c>
      <c r="EL174" s="0" t="n">
        <v>34</v>
      </c>
      <c r="EM174" s="0" t="n">
        <v>7</v>
      </c>
      <c r="EN174" s="0" t="n">
        <v>8</v>
      </c>
      <c r="EO174" s="0" t="n">
        <v>6</v>
      </c>
      <c r="EP174" s="0" t="n">
        <v>13</v>
      </c>
      <c r="EQ174" s="0" t="n">
        <f aca="false">IF($A174="","",IF(AH174="exact",10,IF(AH174="adjacent",5,0)))</f>
        <v>0</v>
      </c>
      <c r="ER174" s="0" t="n">
        <f aca="false">IF($A174="","",IF(R174="Y",15,0))</f>
        <v>0</v>
      </c>
      <c r="ES174" s="0" t="s">
        <v>222</v>
      </c>
      <c r="EV174" s="0" t="s">
        <v>3862</v>
      </c>
      <c r="EW174" s="0" t="s">
        <v>224</v>
      </c>
      <c r="EX174" s="0" t="s">
        <v>3863</v>
      </c>
      <c r="FS174" s="0" t="str">
        <f aca="false">IF($A174="","",IF(ISNUMBER(MATCH(U174,{"queued","contacted","replied","call_booked","call_done","yes_in_principle","materials_sent"},0)),"Y","N"))</f>
        <v>N</v>
      </c>
      <c r="FT174" s="0" t="str">
        <f aca="false">IF($A174="","",IF(OR(T174="Y",U174="do_not_contact",AS174&amp;""&lt;&gt;""),"Y","N"))</f>
        <v>N</v>
      </c>
      <c r="FU174" s="0" t="str">
        <f aca="false">IF($A174="","",IF(AP174&amp;""&lt;&gt;"",AP174&amp;"",$A174))</f>
        <v>AO-C-064</v>
      </c>
      <c r="FV174" s="0" t="str">
        <f aca="false">IF($A174="","",IF(COUNTIFS($FU$2:$FU$1000,FU174,$FS$2:$FS$1000,"Y")+COUNTIFS($FU$2:$FU$1000,FU174,$FT$2:$FT$1000,"Y")&gt;0,"Y","N"))</f>
        <v>N</v>
      </c>
      <c r="FW174" s="0" t="str">
        <f aca="false">IF($A174="","",IF(AND(U174="new",T174="N",FT174="N",AT174="Y",FV174="N"),"Y","N"))</f>
        <v>N</v>
      </c>
      <c r="FX174" s="0" t="str">
        <f aca="false">IF($A174="","",IF(FW174&lt;&gt;"Y","N",IF(COUNTIFS($FU$2:$FU$1000,FU174,$FW$2:$FW$1000,"Y",$J$2:$J$1000,"&gt;"&amp;J174)+COUNTIFS($FU$2:$FU$1000,FU174,$FW$2:$FW$1000,"Y",$J$2:$J$1000,J174,$GD$2:$GD$1000,"&lt;"&amp;GD174)=0,"Y","N")))</f>
        <v>N</v>
      </c>
      <c r="FY174" s="0" t="str">
        <f aca="false">IF($A174="","",IF(AND(FW174="Y",FX174="Y",Y174&amp;""&lt;&gt;""),IF(Y174&lt;=10,"Y","N"),"N"))</f>
        <v>N</v>
      </c>
      <c r="FZ174" s="0" t="str">
        <f aca="false">IF(FY174="Y",Y174,"")</f>
        <v/>
      </c>
      <c r="GA174" s="0" t="str">
        <f aca="false">IF($A174="","",IF(AND(I174="walk-in",CN174="pass",U174="new",FT174="N",FV174="N",AQ174&lt;&gt;"Y"),"Y","N"))</f>
        <v>N</v>
      </c>
      <c r="GB174" s="0" t="str">
        <f aca="false">IF(GA174&lt;&gt;"Y","",IF(COUNTIFS($GA$2:$GA$1000,"Y",$J$2:$J$1000,"&gt;"&amp;J174)+COUNTIFS($GA$2:$GA$1000,"Y",$J$2:$J$1000,J174,$GD$2:$GD$1000,"&lt;"&amp;GD174)+1&lt;=25,COUNTIFS($GA$2:$GA$1000,"Y",$J$2:$J$1000,"&gt;"&amp;J174)+COUNTIFS($GA$2:$GA$1000,"Y",$J$2:$J$1000,J174,$GD$2:$GD$1000,"&lt;"&amp;GD174)+1,""))</f>
        <v/>
      </c>
      <c r="GC174" s="0" t="str">
        <f aca="false">IF(AND(_xlfn.ISFORMULA(C174),_xlfn.ISFORMULA(J174)),"Y","N")</f>
        <v>N</v>
      </c>
      <c r="GD174" s="0" t="n">
        <f aca="false">ROW()-1</f>
        <v>173</v>
      </c>
    </row>
    <row r="175" customFormat="false" ht="15" hidden="false" customHeight="false" outlineLevel="0" collapsed="false">
      <c r="A175" s="0" t="s">
        <v>3864</v>
      </c>
      <c r="B175" s="0" t="s">
        <v>3865</v>
      </c>
      <c r="C175" s="0" t="s">
        <v>3866</v>
      </c>
      <c r="D175" s="0" t="s">
        <v>3867</v>
      </c>
      <c r="E175" s="0" t="s">
        <v>3868</v>
      </c>
      <c r="F175" s="0" t="s">
        <v>3869</v>
      </c>
      <c r="G175" s="0" t="s">
        <v>189</v>
      </c>
      <c r="M175" s="0" t="s">
        <v>380</v>
      </c>
      <c r="R175" s="5"/>
      <c r="U175" s="5"/>
      <c r="V175" s="0" t="s">
        <v>380</v>
      </c>
      <c r="AE175" s="0" t="s">
        <v>1071</v>
      </c>
      <c r="AF175" s="0" t="s">
        <v>3870</v>
      </c>
      <c r="AG175" s="0" t="s">
        <v>3871</v>
      </c>
      <c r="AH175" s="0" t="s">
        <v>3872</v>
      </c>
      <c r="AI175" s="0" t="s">
        <v>3873</v>
      </c>
      <c r="AJ175" s="0" t="s">
        <v>189</v>
      </c>
      <c r="AK175" s="0" t="s">
        <v>203</v>
      </c>
      <c r="AL175" s="0" t="s">
        <v>189</v>
      </c>
      <c r="AM175" s="0" t="n">
        <v>306</v>
      </c>
      <c r="AN175" s="0" t="s">
        <v>187</v>
      </c>
      <c r="AO175" s="0" t="s">
        <v>209</v>
      </c>
      <c r="AP175" s="0" t="s">
        <v>3864</v>
      </c>
      <c r="AQ175" s="5" t="s">
        <v>189</v>
      </c>
      <c r="AT175" s="0" t="str">
        <f aca="false">IF($A175="","",IF(AND(CN175="pass",AQ175&lt;&gt;"Y",C175&lt;&gt;"",OR(AX175&lt;&gt;"Y",AV175="Y")),"Y","N"))</f>
        <v>Y</v>
      </c>
      <c r="AU175" s="0" t="str">
        <f aca="false">IF($A175="","",_xlfn.TEXTJOIN("; ",TRUE(),IF(CN175&lt;&gt;"pass","gated out",""),IF(AQ175="Y","on hold: "&amp;AR175,""),IF(C175="","no contact named on an opened page",""),IF(AND(AX175="Y",AV175&lt;&gt;"Y"),"Tuesday estimate band "&amp;L175&amp;": founder's call","")))</f>
        <v/>
      </c>
      <c r="AX175" s="0" t="s">
        <v>189</v>
      </c>
      <c r="BC175" s="0" t="str">
        <f aca="false">IF($A175="","",IFERROR(INDEX(Enrichment!$A$2:$GZ$2000,MATCH($A175,INDEX(Enrichment!$A$2:$GZ$2000,0,MATCH("row_id",Enrichment!$A$1:$GZ$1,0)),0),MATCH("work_email",Enrichment!$A$1:$GZ$1,0))&amp;"",""))</f>
        <v/>
      </c>
      <c r="BD175" s="0" t="str">
        <f aca="false">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none</v>
      </c>
      <c r="BF175" s="0" t="s">
        <v>380</v>
      </c>
      <c r="BJ175" s="0" t="s">
        <v>380</v>
      </c>
      <c r="BL175" s="0" t="s">
        <v>896</v>
      </c>
      <c r="BQ175" s="0" t="str">
        <f aca="false">IF($A175="","",IFERROR(INDEX(Enrichment!$A$2:$GZ$2000,MATCH($A175,INDEX(Enrichment!$A$2:$GZ$2000,0,MATCH("row_id",Enrichment!$A$1:$GZ$1,0)),0),MATCH("backup_work_email",Enrichment!$A$1:$GZ$1,0))&amp;"",""))</f>
        <v/>
      </c>
      <c r="BR175" s="0" t="str">
        <f aca="false">IF($A175="","",IF(BQ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none</v>
      </c>
      <c r="BT175" s="0" t="s">
        <v>380</v>
      </c>
      <c r="BX175" s="0" t="s">
        <v>380</v>
      </c>
      <c r="BY175" s="0" t="s">
        <v>387</v>
      </c>
      <c r="BZ175" s="0" t="s">
        <v>388</v>
      </c>
      <c r="CA175" s="0" t="s">
        <v>3874</v>
      </c>
      <c r="CB175" s="0" t="s">
        <v>196</v>
      </c>
      <c r="CM175" s="0" t="s">
        <v>189</v>
      </c>
      <c r="CN175" s="0" t="s">
        <v>200</v>
      </c>
      <c r="CO175" s="0" t="s">
        <v>201</v>
      </c>
      <c r="CP175" s="0" t="s">
        <v>1</v>
      </c>
      <c r="CQ175" s="0" t="s">
        <v>3875</v>
      </c>
      <c r="CR175" s="0" t="s">
        <v>3866</v>
      </c>
      <c r="CS175" s="0" t="s">
        <v>3871</v>
      </c>
      <c r="CT175" s="0" t="s">
        <v>3872</v>
      </c>
      <c r="CV175" s="0" t="s">
        <v>976</v>
      </c>
      <c r="CW175" s="0" t="s">
        <v>204</v>
      </c>
      <c r="CX175" s="0" t="s">
        <v>205</v>
      </c>
      <c r="CY175" s="0" t="s">
        <v>3876</v>
      </c>
      <c r="DA175" s="0" t="s">
        <v>978</v>
      </c>
      <c r="DB175" s="0" t="s">
        <v>209</v>
      </c>
      <c r="DC175" s="0" t="s">
        <v>209</v>
      </c>
      <c r="DD175" s="0" t="s">
        <v>209</v>
      </c>
      <c r="DE175" s="0" t="s">
        <v>3873</v>
      </c>
      <c r="DF175" s="0" t="s">
        <v>525</v>
      </c>
      <c r="DG175" s="0" t="n">
        <v>40.742199</v>
      </c>
      <c r="DH175" s="0" t="n">
        <v>-73.99172</v>
      </c>
      <c r="DI175" s="0" t="s">
        <v>164</v>
      </c>
      <c r="DJ175" s="0" t="n">
        <v>0</v>
      </c>
      <c r="DK175" s="0" t="s">
        <v>1451</v>
      </c>
      <c r="DL175" s="0" t="s">
        <v>1452</v>
      </c>
      <c r="DM175" s="0" t="s">
        <v>2932</v>
      </c>
      <c r="DN175" s="0" t="s">
        <v>2933</v>
      </c>
      <c r="DO175" s="0" t="s">
        <v>363</v>
      </c>
      <c r="DP175" s="0" t="s">
        <v>1453</v>
      </c>
      <c r="DQ175" s="0" t="s">
        <v>1454</v>
      </c>
      <c r="DS175" s="0" t="s">
        <v>809</v>
      </c>
      <c r="DU175" s="0" t="s">
        <v>189</v>
      </c>
      <c r="DX175" s="0" t="s">
        <v>267</v>
      </c>
      <c r="DY175" s="0" t="s">
        <v>1453</v>
      </c>
      <c r="EA175" s="0" t="s">
        <v>209</v>
      </c>
      <c r="EB175" s="0" t="s">
        <v>189</v>
      </c>
      <c r="EC175" s="0" t="s">
        <v>209</v>
      </c>
      <c r="EF175" s="0" t="n">
        <v>216</v>
      </c>
      <c r="EG175" s="0" t="s">
        <v>366</v>
      </c>
      <c r="EH175" s="0" t="s">
        <v>164</v>
      </c>
      <c r="EI175" s="0" t="s">
        <v>3877</v>
      </c>
      <c r="EJ175" s="0" t="s">
        <v>221</v>
      </c>
      <c r="EK175" s="0" t="n">
        <v>0.71</v>
      </c>
      <c r="EL175" s="0" t="n">
        <v>33.7</v>
      </c>
      <c r="EM175" s="0" t="n">
        <v>17.7</v>
      </c>
      <c r="EN175" s="0" t="n">
        <v>2</v>
      </c>
      <c r="EO175" s="0" t="n">
        <v>6</v>
      </c>
      <c r="EP175" s="0" t="n">
        <v>8</v>
      </c>
      <c r="EQ175" s="0" t="n">
        <f aca="false">IF($A175="","",IF(AH175="exact",10,IF(AH175="adjacent",5,0)))</f>
        <v>0</v>
      </c>
      <c r="ER175" s="0" t="n">
        <f aca="false">IF($A175="","",IF(R175="Y",15,0))</f>
        <v>0</v>
      </c>
      <c r="ES175" s="0" t="s">
        <v>982</v>
      </c>
      <c r="ET175" s="0" t="s">
        <v>983</v>
      </c>
      <c r="EU175" s="0" t="s">
        <v>164</v>
      </c>
      <c r="EV175" s="0" t="s">
        <v>3878</v>
      </c>
      <c r="EW175" s="0" t="s">
        <v>224</v>
      </c>
      <c r="EX175" s="0" t="s">
        <v>3879</v>
      </c>
      <c r="EZ175" s="0" t="s">
        <v>3880</v>
      </c>
      <c r="FS175" s="0" t="str">
        <f aca="false">IF($A175="","",IF(ISNUMBER(MATCH(U175,{"queued","contacted","replied","call_booked","call_done","yes_in_principle","materials_sent"},0)),"Y","N"))</f>
        <v>N</v>
      </c>
      <c r="FT175" s="0" t="str">
        <f aca="false">IF($A175="","",IF(OR(T175="Y",U175="do_not_contact",AS175&amp;""&lt;&gt;""),"Y","N"))</f>
        <v>N</v>
      </c>
      <c r="FU175" s="0" t="str">
        <f aca="false">IF($A175="","",IF(AP175&amp;""&lt;&gt;"",AP175&amp;"",$A175))</f>
        <v>AO-C-223</v>
      </c>
      <c r="FV175" s="0" t="str">
        <f aca="false">IF($A175="","",IF(COUNTIFS($FU$2:$FU$1000,FU175,$FS$2:$FS$1000,"Y")+COUNTIFS($FU$2:$FU$1000,FU175,$FT$2:$FT$1000,"Y")&gt;0,"Y","N"))</f>
        <v>N</v>
      </c>
      <c r="FW175" s="0" t="str">
        <f aca="false">IF($A175="","",IF(AND(U175="new",T175="N",FT175="N",AT175="Y",FV175="N"),"Y","N"))</f>
        <v>N</v>
      </c>
      <c r="FX175" s="0" t="str">
        <f aca="false">IF($A175="","",IF(FW175&lt;&gt;"Y","N",IF(COUNTIFS($FU$2:$FU$1000,FU175,$FW$2:$FW$1000,"Y",$J$2:$J$1000,"&gt;"&amp;J175)+COUNTIFS($FU$2:$FU$1000,FU175,$FW$2:$FW$1000,"Y",$J$2:$J$1000,J175,$GD$2:$GD$1000,"&lt;"&amp;GD175)=0,"Y","N")))</f>
        <v>N</v>
      </c>
      <c r="FY175" s="0" t="str">
        <f aca="false">IF($A175="","",IF(AND(FW175="Y",FX175="Y",Y175&amp;""&lt;&gt;""),IF(Y175&lt;=10,"Y","N"),"N"))</f>
        <v>N</v>
      </c>
      <c r="FZ175" s="0" t="str">
        <f aca="false">IF(FY175="Y",Y175,"")</f>
        <v/>
      </c>
      <c r="GA175" s="0" t="str">
        <f aca="false">IF($A175="","",IF(AND(I175="walk-in",CN175="pass",U175="new",FT175="N",FV175="N",AQ175&lt;&gt;"Y"),"Y","N"))</f>
        <v>N</v>
      </c>
      <c r="GB175" s="0" t="str">
        <f aca="false">IF(GA175&lt;&gt;"Y","",IF(COUNTIFS($GA$2:$GA$1000,"Y",$J$2:$J$1000,"&gt;"&amp;J175)+COUNTIFS($GA$2:$GA$1000,"Y",$J$2:$J$1000,J175,$GD$2:$GD$1000,"&lt;"&amp;GD175)+1&lt;=25,COUNTIFS($GA$2:$GA$1000,"Y",$J$2:$J$1000,"&gt;"&amp;J175)+COUNTIFS($GA$2:$GA$1000,"Y",$J$2:$J$1000,J175,$GD$2:$GD$1000,"&lt;"&amp;GD175)+1,""))</f>
        <v/>
      </c>
      <c r="GC175" s="0" t="str">
        <f aca="false">IF(AND(_xlfn.ISFORMULA(C175),_xlfn.ISFORMULA(J175)),"Y","N")</f>
        <v>N</v>
      </c>
      <c r="GD175" s="0" t="n">
        <f aca="false">ROW()-1</f>
        <v>174</v>
      </c>
    </row>
    <row r="176" customFormat="false" ht="15" hidden="false" customHeight="false" outlineLevel="0" collapsed="false">
      <c r="A176" s="0" t="s">
        <v>3881</v>
      </c>
      <c r="B176" s="0" t="s">
        <v>3882</v>
      </c>
      <c r="C176" s="0" t="s">
        <v>3883</v>
      </c>
      <c r="D176" s="0" t="s">
        <v>3884</v>
      </c>
      <c r="E176" s="0" t="s">
        <v>2280</v>
      </c>
      <c r="F176" s="0" t="s">
        <v>3885</v>
      </c>
      <c r="G176" s="0" t="s">
        <v>189</v>
      </c>
      <c r="M176" s="0" t="s">
        <v>380</v>
      </c>
      <c r="R176" s="5"/>
      <c r="U176" s="5"/>
      <c r="V176" s="0" t="s">
        <v>380</v>
      </c>
      <c r="AE176" s="0" t="s">
        <v>734</v>
      </c>
      <c r="AF176" s="0" t="s">
        <v>209</v>
      </c>
      <c r="AG176" s="0" t="s">
        <v>1569</v>
      </c>
      <c r="AH176" s="0" t="s">
        <v>3886</v>
      </c>
      <c r="AI176" s="0" t="s">
        <v>3887</v>
      </c>
      <c r="AJ176" s="0" t="s">
        <v>189</v>
      </c>
      <c r="AK176" s="0" t="s">
        <v>355</v>
      </c>
      <c r="AL176" s="0" t="s">
        <v>189</v>
      </c>
      <c r="AM176" s="0" t="n">
        <v>1140</v>
      </c>
      <c r="AN176" s="0" t="s">
        <v>187</v>
      </c>
      <c r="AO176" s="0" t="s">
        <v>209</v>
      </c>
      <c r="AP176" s="0" t="s">
        <v>3881</v>
      </c>
      <c r="AQ176" s="5" t="s">
        <v>189</v>
      </c>
      <c r="AT176" s="0" t="str">
        <f aca="false">IF($A176="","",IF(AND(CN176="pass",AQ176&lt;&gt;"Y",C176&lt;&gt;"",OR(AX176&lt;&gt;"Y",AV176="Y")),"Y","N"))</f>
        <v>N</v>
      </c>
      <c r="AU176" s="0" t="str">
        <f aca="false">IF($A176="","",_xlfn.TEXTJOIN("; ",TRUE(),IF(CN176&lt;&gt;"pass","gated out",""),IF(AQ176="Y","on hold: "&amp;AR176,""),IF(C176="","no contact named on an opened page",""),IF(AND(AX176="Y",AV176&lt;&gt;"Y"),"Tuesday estimate band "&amp;L176&amp;": founder's call","")))</f>
        <v>Tuesday estimate band : founder's call</v>
      </c>
      <c r="AX176" s="0" t="s">
        <v>164</v>
      </c>
      <c r="BC176" s="0" t="str">
        <f aca="false">IF($A176="","",IFERROR(INDEX(Enrichment!$A$2:$GZ$2000,MATCH($A176,INDEX(Enrichment!$A$2:$GZ$2000,0,MATCH("row_id",Enrichment!$A$1:$GZ$1,0)),0),MATCH("work_email",Enrichment!$A$1:$GZ$1,0))&amp;"",""))</f>
        <v/>
      </c>
      <c r="BD176" s="0" t="str">
        <f aca="false">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none</v>
      </c>
      <c r="BF176" s="0" t="s">
        <v>380</v>
      </c>
      <c r="BJ176" s="0" t="s">
        <v>380</v>
      </c>
      <c r="BK176" s="0" t="s">
        <v>2356</v>
      </c>
      <c r="BL176" s="0" t="s">
        <v>896</v>
      </c>
      <c r="BQ176" s="0" t="str">
        <f aca="false">IF($A176="","",IFERROR(INDEX(Enrichment!$A$2:$GZ$2000,MATCH($A176,INDEX(Enrichment!$A$2:$GZ$2000,0,MATCH("row_id",Enrichment!$A$1:$GZ$1,0)),0),MATCH("backup_work_email",Enrichment!$A$1:$GZ$1,0))&amp;"",""))</f>
        <v/>
      </c>
      <c r="BR176" s="0" t="str">
        <f aca="false">IF($A176="","",IF(BQ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none</v>
      </c>
      <c r="BT176" s="0" t="s">
        <v>380</v>
      </c>
      <c r="BX176" s="0" t="s">
        <v>380</v>
      </c>
      <c r="BY176" s="0" t="s">
        <v>2357</v>
      </c>
      <c r="BZ176" s="0" t="s">
        <v>388</v>
      </c>
      <c r="CA176" s="0" t="s">
        <v>3888</v>
      </c>
      <c r="CB176" s="0" t="s">
        <v>196</v>
      </c>
      <c r="CM176" s="0" t="s">
        <v>189</v>
      </c>
      <c r="CN176" s="0" t="s">
        <v>200</v>
      </c>
      <c r="CO176" s="0" t="s">
        <v>201</v>
      </c>
      <c r="CP176" s="0" t="s">
        <v>1</v>
      </c>
      <c r="CQ176" s="0" t="s">
        <v>3889</v>
      </c>
      <c r="CR176" s="0" t="s">
        <v>3883</v>
      </c>
      <c r="CS176" s="0" t="s">
        <v>1569</v>
      </c>
      <c r="CT176" s="0" t="s">
        <v>3886</v>
      </c>
      <c r="CV176" s="0" t="s">
        <v>976</v>
      </c>
      <c r="CW176" s="0" t="s">
        <v>204</v>
      </c>
      <c r="CX176" s="0" t="s">
        <v>205</v>
      </c>
      <c r="CY176" s="0" t="s">
        <v>3890</v>
      </c>
      <c r="DA176" s="0" t="s">
        <v>978</v>
      </c>
      <c r="DB176" s="0" t="s">
        <v>209</v>
      </c>
      <c r="DC176" s="0" t="s">
        <v>209</v>
      </c>
      <c r="DD176" s="0" t="s">
        <v>209</v>
      </c>
      <c r="DE176" s="0" t="s">
        <v>3887</v>
      </c>
      <c r="DF176" s="0" t="s">
        <v>525</v>
      </c>
      <c r="DG176" s="0" t="n">
        <v>40.743309</v>
      </c>
      <c r="DH176" s="0" t="n">
        <v>-73.987329</v>
      </c>
      <c r="DI176" s="0" t="s">
        <v>164</v>
      </c>
      <c r="DJ176" s="0" t="n">
        <v>0</v>
      </c>
      <c r="DK176" s="0" t="s">
        <v>940</v>
      </c>
      <c r="DL176" s="0" t="s">
        <v>941</v>
      </c>
      <c r="DM176" s="0" t="s">
        <v>2143</v>
      </c>
      <c r="DN176" s="0" t="s">
        <v>2144</v>
      </c>
      <c r="DO176" s="0" t="s">
        <v>363</v>
      </c>
      <c r="DP176" s="0" t="s">
        <v>3636</v>
      </c>
      <c r="DQ176" s="0" t="s">
        <v>3637</v>
      </c>
      <c r="DS176" s="0" t="s">
        <v>809</v>
      </c>
      <c r="DU176" s="0" t="s">
        <v>189</v>
      </c>
      <c r="DX176" s="0" t="s">
        <v>209</v>
      </c>
      <c r="EA176" s="0" t="s">
        <v>209</v>
      </c>
      <c r="EB176" s="0" t="s">
        <v>189</v>
      </c>
      <c r="EC176" s="0" t="s">
        <v>209</v>
      </c>
      <c r="EF176" s="0" t="n">
        <v>255</v>
      </c>
      <c r="EG176" s="0" t="s">
        <v>366</v>
      </c>
      <c r="EH176" s="0" t="s">
        <v>189</v>
      </c>
      <c r="EI176" s="0" t="s">
        <v>3891</v>
      </c>
      <c r="EJ176" s="0" t="s">
        <v>221</v>
      </c>
      <c r="EK176" s="0" t="n">
        <v>0.49</v>
      </c>
      <c r="EL176" s="0" t="n">
        <v>33.3</v>
      </c>
      <c r="EM176" s="0" t="n">
        <v>12.3</v>
      </c>
      <c r="EN176" s="0" t="n">
        <v>2</v>
      </c>
      <c r="EO176" s="0" t="n">
        <v>6</v>
      </c>
      <c r="EP176" s="0" t="n">
        <v>13</v>
      </c>
      <c r="EQ176" s="0" t="n">
        <f aca="false">IF($A176="","",IF(AH176="exact",10,IF(AH176="adjacent",5,0)))</f>
        <v>0</v>
      </c>
      <c r="ER176" s="0" t="n">
        <f aca="false">IF($A176="","",IF(R176="Y",15,0))</f>
        <v>0</v>
      </c>
      <c r="ES176" s="0" t="s">
        <v>982</v>
      </c>
      <c r="ET176" s="0" t="s">
        <v>983</v>
      </c>
      <c r="EU176" s="0" t="s">
        <v>189</v>
      </c>
      <c r="EX176" s="0" t="s">
        <v>3892</v>
      </c>
      <c r="EZ176" s="0" t="s">
        <v>3893</v>
      </c>
      <c r="FS176" s="0" t="str">
        <f aca="false">IF($A176="","",IF(ISNUMBER(MATCH(U176,{"queued","contacted","replied","call_booked","call_done","yes_in_principle","materials_sent"},0)),"Y","N"))</f>
        <v>N</v>
      </c>
      <c r="FT176" s="0" t="str">
        <f aca="false">IF($A176="","",IF(OR(T176="Y",U176="do_not_contact",AS176&amp;""&lt;&gt;""),"Y","N"))</f>
        <v>N</v>
      </c>
      <c r="FU176" s="0" t="str">
        <f aca="false">IF($A176="","",IF(AP176&amp;""&lt;&gt;"",AP176&amp;"",$A176))</f>
        <v>AO-C-258</v>
      </c>
      <c r="FV176" s="0" t="str">
        <f aca="false">IF($A176="","",IF(COUNTIFS($FU$2:$FU$1000,FU176,$FS$2:$FS$1000,"Y")+COUNTIFS($FU$2:$FU$1000,FU176,$FT$2:$FT$1000,"Y")&gt;0,"Y","N"))</f>
        <v>N</v>
      </c>
      <c r="FW176" s="0" t="str">
        <f aca="false">IF($A176="","",IF(AND(U176="new",T176="N",FT176="N",AT176="Y",FV176="N"),"Y","N"))</f>
        <v>N</v>
      </c>
      <c r="FX176" s="0" t="str">
        <f aca="false">IF($A176="","",IF(FW176&lt;&gt;"Y","N",IF(COUNTIFS($FU$2:$FU$1000,FU176,$FW$2:$FW$1000,"Y",$J$2:$J$1000,"&gt;"&amp;J176)+COUNTIFS($FU$2:$FU$1000,FU176,$FW$2:$FW$1000,"Y",$J$2:$J$1000,J176,$GD$2:$GD$1000,"&lt;"&amp;GD176)=0,"Y","N")))</f>
        <v>N</v>
      </c>
      <c r="FY176" s="0" t="str">
        <f aca="false">IF($A176="","",IF(AND(FW176="Y",FX176="Y",Y176&amp;""&lt;&gt;""),IF(Y176&lt;=10,"Y","N"),"N"))</f>
        <v>N</v>
      </c>
      <c r="FZ176" s="0" t="str">
        <f aca="false">IF(FY176="Y",Y176,"")</f>
        <v/>
      </c>
      <c r="GA176" s="0" t="str">
        <f aca="false">IF($A176="","",IF(AND(I176="walk-in",CN176="pass",U176="new",FT176="N",FV176="N",AQ176&lt;&gt;"Y"),"Y","N"))</f>
        <v>N</v>
      </c>
      <c r="GB176" s="0" t="str">
        <f aca="false">IF(GA176&lt;&gt;"Y","",IF(COUNTIFS($GA$2:$GA$1000,"Y",$J$2:$J$1000,"&gt;"&amp;J176)+COUNTIFS($GA$2:$GA$1000,"Y",$J$2:$J$1000,J176,$GD$2:$GD$1000,"&lt;"&amp;GD176)+1&lt;=25,COUNTIFS($GA$2:$GA$1000,"Y",$J$2:$J$1000,"&gt;"&amp;J176)+COUNTIFS($GA$2:$GA$1000,"Y",$J$2:$J$1000,J176,$GD$2:$GD$1000,"&lt;"&amp;GD176)+1,""))</f>
        <v/>
      </c>
      <c r="GC176" s="0" t="str">
        <f aca="false">IF(AND(_xlfn.ISFORMULA(C176),_xlfn.ISFORMULA(J176)),"Y","N")</f>
        <v>N</v>
      </c>
      <c r="GD176" s="0" t="n">
        <f aca="false">ROW()-1</f>
        <v>175</v>
      </c>
    </row>
    <row r="177" customFormat="false" ht="15" hidden="false" customHeight="false" outlineLevel="0" collapsed="false">
      <c r="A177" s="0" t="s">
        <v>3894</v>
      </c>
      <c r="B177" s="0" t="s">
        <v>3895</v>
      </c>
      <c r="C177" s="0" t="str">
        <f aca="false">IF($A177="","",IF(AW177="Y",BM177&amp;"",AY177&amp;""))</f>
        <v/>
      </c>
      <c r="D177" s="0" t="str">
        <f aca="false">IF($A177="","",IF(AW177="Y",BN177&amp;"",AZ177&amp;""))</f>
        <v/>
      </c>
      <c r="E177" s="0" t="str">
        <f aca="false">IF($A177="","",IF(AW177="Y",BO177&amp;"",BA177&amp;""))</f>
        <v/>
      </c>
      <c r="F177" s="0" t="str">
        <f aca="false">IF($A177="","",IF(AW177="Y",BP177&amp;"",BB177&amp;""))</f>
        <v/>
      </c>
      <c r="G177" s="0" t="str">
        <f aca="false">IF($A177="","",IF(AW177="Y",BQ177&amp;"",BC177&amp;""))</f>
        <v/>
      </c>
      <c r="H177" s="0" t="str">
        <f aca="false">IF($A177="","",IF(AW177="Y",BR177&amp;"",BD177&amp;""))</f>
        <v>none</v>
      </c>
      <c r="I177" s="0" t="str">
        <f aca="false">IF($A177="","",IF(R177="Y","warm-intro",IF(H177="verified","email",IF(C177&lt;&gt;"","linkedin",CB177&amp;""))))</f>
        <v>linkedin</v>
      </c>
      <c r="J177" s="0" t="n">
        <f aca="false">IF($A177="","",IF(CN177="pass",ROUND(N(EM177)+N(EN177)+N(EO177)+N(EP177)+N(EQ177)+N(ER177),1),0))</f>
        <v>32.5</v>
      </c>
      <c r="K177" s="0" t="str">
        <f aca="false">IF($A177="","",IF(CN177&lt;&gt;"pass",CA177&amp;"",CA177&amp;"; "&amp;IF(AW177="Y",BZ177&amp;"",BL177&amp;"")&amp;IF(R177="Y","; known to the founder (+15)","")&amp;"."))</f>
        <v>Tuesday estimate 158 to 317 (low confidence), 1,001 to 4,999 staff company-wide, no attendance signal, occupancy-unconfirmed at a medium-confidence address; contacts not researched yet.</v>
      </c>
      <c r="L177" s="0" t="s">
        <v>203</v>
      </c>
      <c r="R177" s="5" t="s">
        <v>189</v>
      </c>
      <c r="S177" s="0" t="s">
        <v>209</v>
      </c>
      <c r="T177" s="0" t="s">
        <v>189</v>
      </c>
      <c r="U177" s="5" t="s">
        <v>3896</v>
      </c>
      <c r="V177" s="0" t="s">
        <v>2504</v>
      </c>
      <c r="W177" s="0" t="s">
        <v>263</v>
      </c>
      <c r="X177" s="0" t="s">
        <v>3897</v>
      </c>
      <c r="Y177" s="0" t="str">
        <f aca="false">IF(FX177&lt;&gt;"Y","",COUNTIFS($FX$2:$FX$1000,"Y",$J$2:$J$1000,"&gt;"&amp;J177)+COUNTIFS($FX$2:$FX$1000,"Y",$J$2:$J$1000,J177,$GD$2:$GD$1000,"&lt;"&amp;GD177)+1)</f>
        <v/>
      </c>
      <c r="Z177" s="0" t="n">
        <v>176</v>
      </c>
      <c r="AA177" s="0" t="s">
        <v>189</v>
      </c>
      <c r="AB177" s="0" t="str">
        <f aca="false">IF($A177="","",IF(AW177="Y",BY177&amp;"",BK177&amp;""))</f>
        <v/>
      </c>
      <c r="AC177" s="0" t="str">
        <f aca="false">IF($A177="","",IF(AW177="Y",BS177&amp;"",BE177&amp;""))</f>
        <v/>
      </c>
      <c r="AD177" s="0" t="str">
        <f aca="false">IF($A177="","",IF(AW177="Y",BT177&amp;"",BF177&amp;""))</f>
        <v>none</v>
      </c>
      <c r="AE177" s="0" t="str">
        <f aca="false">IF($A177="","",IF(AW177="Y",BU177&amp;"",BG177&amp;""))</f>
        <v/>
      </c>
      <c r="AF177" s="0" t="str">
        <f aca="false">IF($A177="","",IF(AW177="Y",BV177&amp;"",BH177&amp;""))</f>
        <v/>
      </c>
      <c r="AG177" s="0" t="str">
        <f aca="false">IF($A177="","",IF(AW177="Y",BW177&amp;"",BI177&amp;""))</f>
        <v/>
      </c>
      <c r="AH177" s="0" t="str">
        <f aca="false">IF($A177="","",IF(AW177="Y",BX177&amp;"",BJ177&amp;""))</f>
        <v>none</v>
      </c>
      <c r="AI177" s="0" t="s">
        <v>2553</v>
      </c>
      <c r="AJ177" s="0" t="s">
        <v>209</v>
      </c>
      <c r="AK177" s="0" t="s">
        <v>3898</v>
      </c>
      <c r="AL177" s="0" t="n">
        <v>158</v>
      </c>
      <c r="AM177" s="0" t="n">
        <v>317</v>
      </c>
      <c r="AN177" s="0" t="s">
        <v>187</v>
      </c>
      <c r="AO177" s="0" t="s">
        <v>209</v>
      </c>
      <c r="AP177" s="0" t="s">
        <v>3894</v>
      </c>
      <c r="AQ177" s="5" t="s">
        <v>189</v>
      </c>
      <c r="AT177" s="0" t="str">
        <f aca="false">IF($A177="","",IF(AND(CN177="pass",AQ177&lt;&gt;"Y",C177&lt;&gt;"",OR(AX177&lt;&gt;"Y",AV177="Y")),"Y","N"))</f>
        <v>N</v>
      </c>
      <c r="AU177" s="0" t="str">
        <f aca="false">IF($A177="","",_xlfn.TEXTJOIN("; ",TRUE(),IF(CN177&lt;&gt;"pass","gated out",""),IF(AQ177="Y","on hold: "&amp;AR177,""),IF(C177="","no contact named on an opened page",""),IF(AND(AX177="Y",AV177&lt;&gt;"Y"),"Tuesday estimate band "&amp;L177&amp;": founder's call","")))</f>
        <v>no contact named on an opened page</v>
      </c>
      <c r="AX177" s="0" t="s">
        <v>189</v>
      </c>
      <c r="BC177" s="0" t="str">
        <f aca="false">IF($A177="","",IFERROR(INDEX(Enrichment!$A$2:$GZ$2000,MATCH($A177,INDEX(Enrichment!$A$2:$GZ$2000,0,MATCH("row_id",Enrichment!$A$1:$GZ$1,0)),0),MATCH("work_email",Enrichment!$A$1:$GZ$1,0))&amp;"",""))</f>
        <v/>
      </c>
      <c r="BD177" s="0" t="str">
        <f aca="false">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none</v>
      </c>
      <c r="BF177" s="0" t="s">
        <v>380</v>
      </c>
      <c r="BJ177" s="0" t="s">
        <v>380</v>
      </c>
      <c r="BL177" s="0" t="s">
        <v>896</v>
      </c>
      <c r="BQ177" s="0" t="str">
        <f aca="false">IF($A177="","",IFERROR(INDEX(Enrichment!$A$2:$GZ$2000,MATCH($A177,INDEX(Enrichment!$A$2:$GZ$2000,0,MATCH("row_id",Enrichment!$A$1:$GZ$1,0)),0),MATCH("backup_work_email",Enrichment!$A$1:$GZ$1,0))&amp;"",""))</f>
        <v/>
      </c>
      <c r="BR177" s="0" t="str">
        <f aca="false">IF($A177="","",IF(BQ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none</v>
      </c>
      <c r="BT177" s="0" t="s">
        <v>380</v>
      </c>
      <c r="BX177" s="0" t="s">
        <v>380</v>
      </c>
      <c r="BY177" s="0" t="s">
        <v>387</v>
      </c>
      <c r="BZ177" s="0" t="s">
        <v>388</v>
      </c>
      <c r="CA177" s="0" t="s">
        <v>3899</v>
      </c>
      <c r="CB177" s="0" t="s">
        <v>196</v>
      </c>
      <c r="CM177" s="0" t="s">
        <v>189</v>
      </c>
      <c r="CN177" s="0" t="s">
        <v>200</v>
      </c>
      <c r="CO177" s="0" t="s">
        <v>201</v>
      </c>
      <c r="CP177" s="0" t="s">
        <v>1</v>
      </c>
      <c r="CQ177" s="0" t="s">
        <v>3900</v>
      </c>
      <c r="CR177" s="0" t="s">
        <v>3901</v>
      </c>
      <c r="CS177" s="0" t="s">
        <v>3902</v>
      </c>
      <c r="CT177" s="0" t="s">
        <v>3903</v>
      </c>
      <c r="CV177" s="0" t="s">
        <v>976</v>
      </c>
      <c r="CW177" s="0" t="s">
        <v>204</v>
      </c>
      <c r="CX177" s="0" t="s">
        <v>205</v>
      </c>
      <c r="CY177" s="0" t="s">
        <v>3904</v>
      </c>
      <c r="DA177" s="0" t="s">
        <v>978</v>
      </c>
      <c r="DB177" s="0" t="s">
        <v>209</v>
      </c>
      <c r="DC177" s="0" t="s">
        <v>209</v>
      </c>
      <c r="DD177" s="0" t="s">
        <v>209</v>
      </c>
      <c r="DE177" s="0" t="s">
        <v>3905</v>
      </c>
      <c r="DF177" s="0" t="s">
        <v>525</v>
      </c>
      <c r="DG177" s="0" t="n">
        <v>40.741761</v>
      </c>
      <c r="DH177" s="0" t="n">
        <v>-73.987033</v>
      </c>
      <c r="DI177" s="0" t="s">
        <v>164</v>
      </c>
      <c r="DJ177" s="0" t="n">
        <v>0</v>
      </c>
      <c r="DK177" s="0" t="s">
        <v>2502</v>
      </c>
      <c r="DL177" s="0" t="s">
        <v>2503</v>
      </c>
      <c r="DM177" s="0" t="s">
        <v>2504</v>
      </c>
      <c r="DN177" s="0" t="s">
        <v>676</v>
      </c>
      <c r="DO177" s="0" t="s">
        <v>363</v>
      </c>
      <c r="DP177" s="0" t="s">
        <v>3906</v>
      </c>
      <c r="DQ177" s="0" t="s">
        <v>3907</v>
      </c>
      <c r="DS177" s="0" t="s">
        <v>809</v>
      </c>
      <c r="DU177" s="0" t="s">
        <v>189</v>
      </c>
      <c r="DX177" s="0" t="s">
        <v>2507</v>
      </c>
      <c r="DY177" s="0" t="s">
        <v>2508</v>
      </c>
      <c r="EA177" s="0" t="s">
        <v>209</v>
      </c>
      <c r="EB177" s="0" t="s">
        <v>189</v>
      </c>
      <c r="EC177" s="0" t="s">
        <v>209</v>
      </c>
      <c r="EF177" s="0" t="n">
        <v>224</v>
      </c>
      <c r="EG177" s="0" t="s">
        <v>366</v>
      </c>
      <c r="EH177" s="0" t="s">
        <v>164</v>
      </c>
      <c r="EI177" s="0" t="s">
        <v>3908</v>
      </c>
      <c r="EJ177" s="0" t="s">
        <v>221</v>
      </c>
      <c r="EK177" s="0" t="n">
        <v>0.66</v>
      </c>
      <c r="EL177" s="0" t="n">
        <v>32.5</v>
      </c>
      <c r="EM177" s="0" t="n">
        <v>16.5</v>
      </c>
      <c r="EN177" s="0" t="n">
        <v>2</v>
      </c>
      <c r="EO177" s="0" t="n">
        <v>6</v>
      </c>
      <c r="EP177" s="0" t="n">
        <v>8</v>
      </c>
      <c r="EQ177" s="0" t="n">
        <f aca="false">IF($A177="","",IF(AH177="exact",10,IF(AH177="adjacent",5,0)))</f>
        <v>0</v>
      </c>
      <c r="ER177" s="0" t="n">
        <f aca="false">IF($A177="","",IF(R177="Y",15,0))</f>
        <v>0</v>
      </c>
      <c r="ES177" s="0" t="s">
        <v>982</v>
      </c>
      <c r="ET177" s="0" t="s">
        <v>983</v>
      </c>
      <c r="EU177" s="0" t="s">
        <v>189</v>
      </c>
      <c r="EV177" s="0" t="s">
        <v>3909</v>
      </c>
      <c r="EW177" s="0" t="s">
        <v>224</v>
      </c>
      <c r="EX177" s="0" t="s">
        <v>3910</v>
      </c>
      <c r="EZ177" s="0" t="s">
        <v>3911</v>
      </c>
      <c r="FS177" s="0" t="str">
        <f aca="false">IF($A177="","",IF(ISNUMBER(MATCH(U177,{"queued","contacted","replied","call_booked","call_done","yes_in_principle","materials_sent"},0)),"Y","N"))</f>
        <v>N</v>
      </c>
      <c r="FT177" s="0" t="str">
        <f aca="false">IF($A177="","",IF(OR(T177="Y",U177="do_not_contact",AS177&amp;""&lt;&gt;""),"Y","N"))</f>
        <v>N</v>
      </c>
      <c r="FU177" s="0" t="str">
        <f aca="false">IF($A177="","",IF(AP177&amp;""&lt;&gt;"",AP177&amp;"",$A177))</f>
        <v>AO-C-246</v>
      </c>
      <c r="FV177" s="0" t="str">
        <f aca="false">IF($A177="","",IF(COUNTIFS($FU$2:$FU$1000,FU177,$FS$2:$FS$1000,"Y")+COUNTIFS($FU$2:$FU$1000,FU177,$FT$2:$FT$1000,"Y")&gt;0,"Y","N"))</f>
        <v>N</v>
      </c>
      <c r="FW177" s="0" t="str">
        <f aca="false">IF($A177="","",IF(AND(U177="new",T177="N",FT177="N",AT177="Y",FV177="N"),"Y","N"))</f>
        <v>N</v>
      </c>
      <c r="FX177" s="0" t="str">
        <f aca="false">IF($A177="","",IF(FW177&lt;&gt;"Y","N",IF(COUNTIFS($FU$2:$FU$1000,FU177,$FW$2:$FW$1000,"Y",$J$2:$J$1000,"&gt;"&amp;J177)+COUNTIFS($FU$2:$FU$1000,FU177,$FW$2:$FW$1000,"Y",$J$2:$J$1000,J177,$GD$2:$GD$1000,"&lt;"&amp;GD177)=0,"Y","N")))</f>
        <v>N</v>
      </c>
      <c r="FY177" s="0" t="str">
        <f aca="false">IF($A177="","",IF(AND(FW177="Y",FX177="Y",Y177&amp;""&lt;&gt;""),IF(Y177&lt;=10,"Y","N"),"N"))</f>
        <v>N</v>
      </c>
      <c r="FZ177" s="0" t="str">
        <f aca="false">IF(FY177="Y",Y177,"")</f>
        <v/>
      </c>
      <c r="GA177" s="0" t="str">
        <f aca="false">IF($A177="","",IF(AND(I177="walk-in",CN177="pass",U177="new",FT177="N",FV177="N",AQ177&lt;&gt;"Y"),"Y","N"))</f>
        <v>N</v>
      </c>
      <c r="GB177" s="0" t="str">
        <f aca="false">IF(GA177&lt;&gt;"Y","",IF(COUNTIFS($GA$2:$GA$1000,"Y",$J$2:$J$1000,"&gt;"&amp;J177)+COUNTIFS($GA$2:$GA$1000,"Y",$J$2:$J$1000,J177,$GD$2:$GD$1000,"&lt;"&amp;GD177)+1&lt;=25,COUNTIFS($GA$2:$GA$1000,"Y",$J$2:$J$1000,"&gt;"&amp;J177)+COUNTIFS($GA$2:$GA$1000,"Y",$J$2:$J$1000,J177,$GD$2:$GD$1000,"&lt;"&amp;GD177)+1,""))</f>
        <v/>
      </c>
      <c r="GC177" s="0" t="str">
        <f aca="false">IF(AND(_xlfn.ISFORMULA(C177),_xlfn.ISFORMULA(J177)),"Y","N")</f>
        <v>Y</v>
      </c>
      <c r="GD177" s="0" t="n">
        <f aca="false">ROW()-1</f>
        <v>176</v>
      </c>
    </row>
    <row r="178" customFormat="false" ht="15" hidden="false" customHeight="false" outlineLevel="0" collapsed="false">
      <c r="A178" s="0" t="s">
        <v>3912</v>
      </c>
      <c r="B178" s="0" t="s">
        <v>3913</v>
      </c>
      <c r="C178" s="0" t="str">
        <f aca="false">IF($A178="","",IF(AW178="Y",BM178&amp;"",AY178&amp;""))</f>
        <v/>
      </c>
      <c r="D178" s="0" t="str">
        <f aca="false">IF($A178="","",IF(AW178="Y",BN178&amp;"",AZ178&amp;""))</f>
        <v/>
      </c>
      <c r="E178" s="0" t="str">
        <f aca="false">IF($A178="","",IF(AW178="Y",BO178&amp;"",BA178&amp;""))</f>
        <v/>
      </c>
      <c r="F178" s="0" t="str">
        <f aca="false">IF($A178="","",IF(AW178="Y",BP178&amp;"",BB178&amp;""))</f>
        <v/>
      </c>
      <c r="G178" s="0" t="str">
        <f aca="false">IF($A178="","",IF(AW178="Y",BQ178&amp;"",BC178&amp;""))</f>
        <v/>
      </c>
      <c r="H178" s="0" t="str">
        <f aca="false">IF($A178="","",IF(AW178="Y",BR178&amp;"",BD178&amp;""))</f>
        <v>none</v>
      </c>
      <c r="I178" s="0" t="str">
        <f aca="false">IF($A178="","",IF(R178="Y","warm-intro",IF(H178="verified","email",IF(C178&lt;&gt;"","linkedin",CB178&amp;""))))</f>
        <v>linkedin</v>
      </c>
      <c r="J178" s="0" t="n">
        <f aca="false">IF($A178="","",IF(CN178="pass",ROUND(N(EM178)+N(EN178)+N(EO178)+N(EP178)+N(EQ178)+N(ER178),1),0))</f>
        <v>32</v>
      </c>
      <c r="K178" s="0" t="str">
        <f aca="false">IF($A178="","",IF(CN178&lt;&gt;"pass",CA178&amp;"",CA178&amp;"; "&amp;IF(AW178="Y",BZ178&amp;"",BL178&amp;"")&amp;IF(R178="Y","; known to the founder (+15)","")&amp;"."))</f>
        <v>Tuesday estimate 77 to 155 (low confidence), 5,000+ staff company-wide with a named parent (Lockton Companies), no attendance signal, occupancy-unconfirmed at a low-confidence address; contacts not researched yet.</v>
      </c>
      <c r="L178" s="0" t="s">
        <v>186</v>
      </c>
      <c r="R178" s="5" t="s">
        <v>189</v>
      </c>
      <c r="S178" s="0" t="s">
        <v>209</v>
      </c>
      <c r="T178" s="0" t="s">
        <v>189</v>
      </c>
      <c r="U178" s="5" t="s">
        <v>3896</v>
      </c>
      <c r="V178" s="0" t="s">
        <v>3914</v>
      </c>
      <c r="W178" s="0" t="s">
        <v>263</v>
      </c>
      <c r="X178" s="0" t="s">
        <v>3897</v>
      </c>
      <c r="Y178" s="0" t="str">
        <f aca="false">IF(FX178&lt;&gt;"Y","",COUNTIFS($FX$2:$FX$1000,"Y",$J$2:$J$1000,"&gt;"&amp;J178)+COUNTIFS($FX$2:$FX$1000,"Y",$J$2:$J$1000,J178,$GD$2:$GD$1000,"&lt;"&amp;GD178)+1)</f>
        <v/>
      </c>
      <c r="Z178" s="0" t="n">
        <v>177</v>
      </c>
      <c r="AA178" s="0" t="s">
        <v>189</v>
      </c>
      <c r="AB178" s="0" t="str">
        <f aca="false">IF($A178="","",IF(AW178="Y",BY178&amp;"",BK178&amp;""))</f>
        <v/>
      </c>
      <c r="AC178" s="0" t="str">
        <f aca="false">IF($A178="","",IF(AW178="Y",BS178&amp;"",BE178&amp;""))</f>
        <v/>
      </c>
      <c r="AD178" s="0" t="str">
        <f aca="false">IF($A178="","",IF(AW178="Y",BT178&amp;"",BF178&amp;""))</f>
        <v>none</v>
      </c>
      <c r="AE178" s="0" t="str">
        <f aca="false">IF($A178="","",IF(AW178="Y",BU178&amp;"",BG178&amp;""))</f>
        <v/>
      </c>
      <c r="AF178" s="0" t="str">
        <f aca="false">IF($A178="","",IF(AW178="Y",BV178&amp;"",BH178&amp;""))</f>
        <v/>
      </c>
      <c r="AG178" s="0" t="str">
        <f aca="false">IF($A178="","",IF(AW178="Y",BW178&amp;"",BI178&amp;""))</f>
        <v/>
      </c>
      <c r="AH178" s="0" t="str">
        <f aca="false">IF($A178="","",IF(AW178="Y",BX178&amp;"",BJ178&amp;""))</f>
        <v>none</v>
      </c>
      <c r="AI178" s="0" t="s">
        <v>2105</v>
      </c>
      <c r="AJ178" s="0" t="s">
        <v>508</v>
      </c>
      <c r="AK178" s="0" t="s">
        <v>3898</v>
      </c>
      <c r="AL178" s="0" t="n">
        <v>77</v>
      </c>
      <c r="AM178" s="0" t="n">
        <v>155</v>
      </c>
      <c r="AN178" s="0" t="s">
        <v>187</v>
      </c>
      <c r="AO178" s="0" t="s">
        <v>209</v>
      </c>
      <c r="AP178" s="0" t="s">
        <v>3912</v>
      </c>
      <c r="AQ178" s="5" t="s">
        <v>189</v>
      </c>
      <c r="AT178" s="0" t="str">
        <f aca="false">IF($A178="","",IF(AND(CN178="pass",AQ178&lt;&gt;"Y",C178&lt;&gt;"",OR(AX178&lt;&gt;"Y",AV178="Y")),"Y","N"))</f>
        <v>N</v>
      </c>
      <c r="AU178" s="0" t="str">
        <f aca="false">IF($A178="","",_xlfn.TEXTJOIN("; ",TRUE(),IF(CN178&lt;&gt;"pass","gated out",""),IF(AQ178="Y","on hold: "&amp;AR178,""),IF(C178="","no contact named on an opened page",""),IF(AND(AX178="Y",AV178&lt;&gt;"Y"),"Tuesday estimate band "&amp;L178&amp;": founder's call","")))</f>
        <v>no contact named on an opened page</v>
      </c>
      <c r="AX178" s="0" t="s">
        <v>189</v>
      </c>
      <c r="BC178" s="0" t="str">
        <f aca="false">IF($A178="","",IFERROR(INDEX(Enrichment!$A$2:$GZ$2000,MATCH($A178,INDEX(Enrichment!$A$2:$GZ$2000,0,MATCH("row_id",Enrichment!$A$1:$GZ$1,0)),0),MATCH("work_email",Enrichment!$A$1:$GZ$1,0))&amp;"",""))</f>
        <v/>
      </c>
      <c r="BD178" s="0" t="str">
        <f aca="false">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none</v>
      </c>
      <c r="BF178" s="0" t="s">
        <v>380</v>
      </c>
      <c r="BJ178" s="0" t="s">
        <v>380</v>
      </c>
      <c r="BL178" s="0" t="s">
        <v>896</v>
      </c>
      <c r="BQ178" s="0" t="str">
        <f aca="false">IF($A178="","",IFERROR(INDEX(Enrichment!$A$2:$GZ$2000,MATCH($A178,INDEX(Enrichment!$A$2:$GZ$2000,0,MATCH("row_id",Enrichment!$A$1:$GZ$1,0)),0),MATCH("backup_work_email",Enrichment!$A$1:$GZ$1,0))&amp;"",""))</f>
        <v/>
      </c>
      <c r="BR178" s="0" t="str">
        <f aca="false">IF($A178="","",IF(BQ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none</v>
      </c>
      <c r="BT178" s="0" t="s">
        <v>380</v>
      </c>
      <c r="BX178" s="0" t="s">
        <v>380</v>
      </c>
      <c r="BY178" s="0" t="s">
        <v>387</v>
      </c>
      <c r="BZ178" s="0" t="s">
        <v>388</v>
      </c>
      <c r="CA178" s="0" t="s">
        <v>3915</v>
      </c>
      <c r="CB178" s="0" t="s">
        <v>196</v>
      </c>
      <c r="CM178" s="0" t="s">
        <v>189</v>
      </c>
      <c r="CN178" s="0" t="s">
        <v>200</v>
      </c>
      <c r="CO178" s="0" t="s">
        <v>201</v>
      </c>
      <c r="CP178" s="0" t="s">
        <v>1</v>
      </c>
      <c r="CQ178" s="0" t="s">
        <v>3916</v>
      </c>
      <c r="CR178" s="0" t="s">
        <v>3917</v>
      </c>
      <c r="CS178" s="0" t="s">
        <v>3918</v>
      </c>
      <c r="CT178" s="0" t="s">
        <v>3919</v>
      </c>
      <c r="CV178" s="0" t="s">
        <v>976</v>
      </c>
      <c r="CW178" s="0" t="s">
        <v>204</v>
      </c>
      <c r="CX178" s="0" t="s">
        <v>205</v>
      </c>
      <c r="CY178" s="0" t="s">
        <v>3920</v>
      </c>
      <c r="DA178" s="0" t="s">
        <v>2301</v>
      </c>
      <c r="DB178" s="0" t="s">
        <v>209</v>
      </c>
      <c r="DC178" s="0" t="s">
        <v>209</v>
      </c>
      <c r="DD178" s="0" t="s">
        <v>3921</v>
      </c>
      <c r="DE178" s="0" t="s">
        <v>3922</v>
      </c>
      <c r="DF178" s="0" t="s">
        <v>311</v>
      </c>
      <c r="DG178" s="0" t="n">
        <v>40.745027</v>
      </c>
      <c r="DH178" s="0" t="n">
        <v>-73.986825</v>
      </c>
      <c r="DI178" s="0" t="s">
        <v>164</v>
      </c>
      <c r="DJ178" s="0" t="n">
        <v>0</v>
      </c>
      <c r="DK178" s="0" t="s">
        <v>1937</v>
      </c>
      <c r="DL178" s="0" t="s">
        <v>1938</v>
      </c>
      <c r="DM178" s="0" t="s">
        <v>3914</v>
      </c>
      <c r="DN178" s="0" t="s">
        <v>3923</v>
      </c>
      <c r="DO178" s="0" t="s">
        <v>363</v>
      </c>
      <c r="DP178" s="0" t="s">
        <v>3924</v>
      </c>
      <c r="DQ178" s="0" t="s">
        <v>3925</v>
      </c>
      <c r="DS178" s="0" t="s">
        <v>187</v>
      </c>
      <c r="DU178" s="0" t="s">
        <v>189</v>
      </c>
      <c r="DX178" s="0" t="s">
        <v>267</v>
      </c>
      <c r="DY178" s="0" t="s">
        <v>1941</v>
      </c>
      <c r="EA178" s="0" t="s">
        <v>209</v>
      </c>
      <c r="EB178" s="0" t="s">
        <v>189</v>
      </c>
      <c r="EC178" s="0" t="s">
        <v>209</v>
      </c>
      <c r="EF178" s="0" t="n">
        <v>109</v>
      </c>
      <c r="EH178" s="0" t="s">
        <v>164</v>
      </c>
      <c r="EI178" s="0" t="s">
        <v>3926</v>
      </c>
      <c r="EJ178" s="0" t="s">
        <v>221</v>
      </c>
      <c r="EK178" s="0" t="n">
        <v>1</v>
      </c>
      <c r="EL178" s="0" t="n">
        <v>32</v>
      </c>
      <c r="EM178" s="0" t="n">
        <v>25</v>
      </c>
      <c r="EN178" s="0" t="n">
        <v>-4</v>
      </c>
      <c r="EO178" s="0" t="n">
        <v>6</v>
      </c>
      <c r="EP178" s="0" t="n">
        <v>5</v>
      </c>
      <c r="EQ178" s="0" t="n">
        <f aca="false">IF($A178="","",IF(AH178="exact",10,IF(AH178="adjacent",5,0)))</f>
        <v>0</v>
      </c>
      <c r="ER178" s="0" t="n">
        <f aca="false">IF($A178="","",IF(R178="Y",15,0))</f>
        <v>0</v>
      </c>
      <c r="ES178" s="0" t="s">
        <v>982</v>
      </c>
      <c r="ET178" s="0" t="s">
        <v>2310</v>
      </c>
      <c r="EU178" s="0" t="s">
        <v>189</v>
      </c>
      <c r="EV178" s="0" t="s">
        <v>3927</v>
      </c>
      <c r="EW178" s="0" t="s">
        <v>224</v>
      </c>
      <c r="EX178" s="0" t="s">
        <v>3928</v>
      </c>
      <c r="EZ178" s="0" t="s">
        <v>3929</v>
      </c>
      <c r="FS178" s="0" t="str">
        <f aca="false">IF($A178="","",IF(ISNUMBER(MATCH(U178,{"queued","contacted","replied","call_booked","call_done","yes_in_principle","materials_sent"},0)),"Y","N"))</f>
        <v>N</v>
      </c>
      <c r="FT178" s="0" t="str">
        <f aca="false">IF($A178="","",IF(OR(T178="Y",U178="do_not_contact",AS178&amp;""&lt;&gt;""),"Y","N"))</f>
        <v>N</v>
      </c>
      <c r="FU178" s="0" t="str">
        <f aca="false">IF($A178="","",IF(AP178&amp;""&lt;&gt;"",AP178&amp;"",$A178))</f>
        <v>AO-C-266</v>
      </c>
      <c r="FV178" s="0" t="str">
        <f aca="false">IF($A178="","",IF(COUNTIFS($FU$2:$FU$1000,FU178,$FS$2:$FS$1000,"Y")+COUNTIFS($FU$2:$FU$1000,FU178,$FT$2:$FT$1000,"Y")&gt;0,"Y","N"))</f>
        <v>N</v>
      </c>
      <c r="FW178" s="0" t="str">
        <f aca="false">IF($A178="","",IF(AND(U178="new",T178="N",FT178="N",AT178="Y",FV178="N"),"Y","N"))</f>
        <v>N</v>
      </c>
      <c r="FX178" s="0" t="str">
        <f aca="false">IF($A178="","",IF(FW178&lt;&gt;"Y","N",IF(COUNTIFS($FU$2:$FU$1000,FU178,$FW$2:$FW$1000,"Y",$J$2:$J$1000,"&gt;"&amp;J178)+COUNTIFS($FU$2:$FU$1000,FU178,$FW$2:$FW$1000,"Y",$J$2:$J$1000,J178,$GD$2:$GD$1000,"&lt;"&amp;GD178)=0,"Y","N")))</f>
        <v>N</v>
      </c>
      <c r="FY178" s="0" t="str">
        <f aca="false">IF($A178="","",IF(AND(FW178="Y",FX178="Y",Y178&amp;""&lt;&gt;""),IF(Y178&lt;=10,"Y","N"),"N"))</f>
        <v>N</v>
      </c>
      <c r="FZ178" s="0" t="str">
        <f aca="false">IF(FY178="Y",Y178,"")</f>
        <v/>
      </c>
      <c r="GA178" s="0" t="str">
        <f aca="false">IF($A178="","",IF(AND(I178="walk-in",CN178="pass",U178="new",FT178="N",FV178="N",AQ178&lt;&gt;"Y"),"Y","N"))</f>
        <v>N</v>
      </c>
      <c r="GB178" s="0" t="str">
        <f aca="false">IF(GA178&lt;&gt;"Y","",IF(COUNTIFS($GA$2:$GA$1000,"Y",$J$2:$J$1000,"&gt;"&amp;J178)+COUNTIFS($GA$2:$GA$1000,"Y",$J$2:$J$1000,J178,$GD$2:$GD$1000,"&lt;"&amp;GD178)+1&lt;=25,COUNTIFS($GA$2:$GA$1000,"Y",$J$2:$J$1000,"&gt;"&amp;J178)+COUNTIFS($GA$2:$GA$1000,"Y",$J$2:$J$1000,J178,$GD$2:$GD$1000,"&lt;"&amp;GD178)+1,""))</f>
        <v/>
      </c>
      <c r="GC178" s="0" t="str">
        <f aca="false">IF(AND(_xlfn.ISFORMULA(C178),_xlfn.ISFORMULA(J178)),"Y","N")</f>
        <v>Y</v>
      </c>
      <c r="GD178" s="0" t="n">
        <f aca="false">ROW()-1</f>
        <v>177</v>
      </c>
    </row>
    <row r="179" customFormat="false" ht="15" hidden="false" customHeight="false" outlineLevel="0" collapsed="false">
      <c r="A179" s="0" t="s">
        <v>3930</v>
      </c>
      <c r="B179" s="0" t="s">
        <v>3931</v>
      </c>
      <c r="C179" s="0" t="str">
        <f aca="false">IF($A179="","",IF(AW179="Y",BM179&amp;"",AY179&amp;""))</f>
        <v/>
      </c>
      <c r="D179" s="0" t="str">
        <f aca="false">IF($A179="","",IF(AW179="Y",BN179&amp;"",AZ179&amp;""))</f>
        <v/>
      </c>
      <c r="E179" s="0" t="str">
        <f aca="false">IF($A179="","",IF(AW179="Y",BO179&amp;"",BA179&amp;""))</f>
        <v/>
      </c>
      <c r="F179" s="0" t="str">
        <f aca="false">IF($A179="","",IF(AW179="Y",BP179&amp;"",BB179&amp;""))</f>
        <v/>
      </c>
      <c r="G179" s="0" t="str">
        <f aca="false">IF($A179="","",IF(AW179="Y",BQ179&amp;"",BC179&amp;""))</f>
        <v/>
      </c>
      <c r="H179" s="0" t="str">
        <f aca="false">IF($A179="","",IF(AW179="Y",BR179&amp;"",BD179&amp;""))</f>
        <v>none</v>
      </c>
      <c r="I179" s="0" t="str">
        <f aca="false">IF($A179="","",IF(R179="Y","warm-intro",IF(H179="verified","email",IF(C179&lt;&gt;"","linkedin",CB179&amp;""))))</f>
        <v>linkedin</v>
      </c>
      <c r="J179" s="0" t="n">
        <f aca="false">IF($A179="","",IF(CN179="pass",ROUND(N(EM179)+N(EN179)+N(EO179)+N(EP179)+N(EQ179)+N(ER179),1),0))</f>
        <v>32</v>
      </c>
      <c r="K179" s="0" t="str">
        <f aca="false">IF($A179="","",IF(CN179&lt;&gt;"pass",CA179&amp;"",CA179&amp;"; "&amp;IF(AW179="Y",BZ179&amp;"",BL179&amp;"")&amp;IF(R179="Y","; known to the founder (+15)","")&amp;"."))</f>
        <v>Tuesday headcount unknown (no sourced count), company size unknown with a named parent (Procter &amp; Gamble), no attendance signal, occupied at a high-confidence address; contacts not researched yet.</v>
      </c>
      <c r="L179" s="0" t="s">
        <v>209</v>
      </c>
      <c r="R179" s="5" t="s">
        <v>189</v>
      </c>
      <c r="S179" s="0" t="s">
        <v>209</v>
      </c>
      <c r="T179" s="0" t="s">
        <v>189</v>
      </c>
      <c r="U179" s="5" t="s">
        <v>3896</v>
      </c>
      <c r="V179" s="0" t="s">
        <v>3932</v>
      </c>
      <c r="W179" s="0" t="s">
        <v>263</v>
      </c>
      <c r="X179" s="0" t="s">
        <v>3897</v>
      </c>
      <c r="Y179" s="0" t="str">
        <f aca="false">IF(FX179&lt;&gt;"Y","",COUNTIFS($FX$2:$FX$1000,"Y",$J$2:$J$1000,"&gt;"&amp;J179)+COUNTIFS($FX$2:$FX$1000,"Y",$J$2:$J$1000,J179,$GD$2:$GD$1000,"&lt;"&amp;GD179)+1)</f>
        <v/>
      </c>
      <c r="Z179" s="0" t="n">
        <v>178</v>
      </c>
      <c r="AA179" s="0" t="s">
        <v>189</v>
      </c>
      <c r="AB179" s="0" t="str">
        <f aca="false">IF($A179="","",IF(AW179="Y",BY179&amp;"",BK179&amp;""))</f>
        <v/>
      </c>
      <c r="AC179" s="0" t="str">
        <f aca="false">IF($A179="","",IF(AW179="Y",BS179&amp;"",BE179&amp;""))</f>
        <v/>
      </c>
      <c r="AD179" s="0" t="str">
        <f aca="false">IF($A179="","",IF(AW179="Y",BT179&amp;"",BF179&amp;""))</f>
        <v>none</v>
      </c>
      <c r="AE179" s="0" t="str">
        <f aca="false">IF($A179="","",IF(AW179="Y",BU179&amp;"",BG179&amp;""))</f>
        <v/>
      </c>
      <c r="AF179" s="0" t="str">
        <f aca="false">IF($A179="","",IF(AW179="Y",BV179&amp;"",BH179&amp;""))</f>
        <v/>
      </c>
      <c r="AG179" s="0" t="str">
        <f aca="false">IF($A179="","",IF(AW179="Y",BW179&amp;"",BI179&amp;""))</f>
        <v/>
      </c>
      <c r="AH179" s="0" t="str">
        <f aca="false">IF($A179="","",IF(AW179="Y",BX179&amp;"",BJ179&amp;""))</f>
        <v>none</v>
      </c>
      <c r="AI179" s="0" t="s">
        <v>2431</v>
      </c>
      <c r="AJ179" s="0" t="s">
        <v>325</v>
      </c>
      <c r="AK179" s="0" t="s">
        <v>3933</v>
      </c>
      <c r="AL179" s="0" t="s">
        <v>209</v>
      </c>
      <c r="AM179" s="0" t="s">
        <v>209</v>
      </c>
      <c r="AN179" s="0" t="s">
        <v>380</v>
      </c>
      <c r="AO179" s="0" t="s">
        <v>209</v>
      </c>
      <c r="AP179" s="0" t="s">
        <v>3930</v>
      </c>
      <c r="AQ179" s="5" t="s">
        <v>189</v>
      </c>
      <c r="AT179" s="0" t="str">
        <f aca="false">IF($A179="","",IF(AND(CN179="pass",AQ179&lt;&gt;"Y",C179&lt;&gt;"",OR(AX179&lt;&gt;"Y",AV179="Y")),"Y","N"))</f>
        <v>N</v>
      </c>
      <c r="AU179" s="0" t="str">
        <f aca="false">IF($A179="","",_xlfn.TEXTJOIN("; ",TRUE(),IF(CN179&lt;&gt;"pass","gated out",""),IF(AQ179="Y","on hold: "&amp;AR179,""),IF(C179="","no contact named on an opened page",""),IF(AND(AX179="Y",AV179&lt;&gt;"Y"),"Tuesday estimate band "&amp;L179&amp;": founder's call","")))</f>
        <v>no contact named on an opened page</v>
      </c>
      <c r="AX179" s="0" t="s">
        <v>189</v>
      </c>
      <c r="BC179" s="0" t="str">
        <f aca="false">IF($A179="","",IFERROR(INDEX(Enrichment!$A$2:$GZ$2000,MATCH($A179,INDEX(Enrichment!$A$2:$GZ$2000,0,MATCH("row_id",Enrichment!$A$1:$GZ$1,0)),0),MATCH("work_email",Enrichment!$A$1:$GZ$1,0))&amp;"",""))</f>
        <v/>
      </c>
      <c r="BD179" s="0" t="str">
        <f aca="false">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none</v>
      </c>
      <c r="BF179" s="0" t="s">
        <v>380</v>
      </c>
      <c r="BJ179" s="0" t="s">
        <v>380</v>
      </c>
      <c r="BL179" s="0" t="s">
        <v>896</v>
      </c>
      <c r="BQ179" s="0" t="str">
        <f aca="false">IF($A179="","",IFERROR(INDEX(Enrichment!$A$2:$GZ$2000,MATCH($A179,INDEX(Enrichment!$A$2:$GZ$2000,0,MATCH("row_id",Enrichment!$A$1:$GZ$1,0)),0),MATCH("backup_work_email",Enrichment!$A$1:$GZ$1,0))&amp;"",""))</f>
        <v/>
      </c>
      <c r="BR179" s="0" t="str">
        <f aca="false">IF($A179="","",IF(BQ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none</v>
      </c>
      <c r="BT179" s="0" t="s">
        <v>380</v>
      </c>
      <c r="BX179" s="0" t="s">
        <v>380</v>
      </c>
      <c r="BY179" s="0" t="s">
        <v>387</v>
      </c>
      <c r="BZ179" s="0" t="s">
        <v>388</v>
      </c>
      <c r="CA179" s="0" t="s">
        <v>3934</v>
      </c>
      <c r="CB179" s="0" t="s">
        <v>196</v>
      </c>
      <c r="CM179" s="0" t="s">
        <v>189</v>
      </c>
      <c r="CN179" s="0" t="s">
        <v>200</v>
      </c>
      <c r="CO179" s="0" t="s">
        <v>201</v>
      </c>
      <c r="CP179" s="0" t="s">
        <v>1</v>
      </c>
      <c r="CQ179" s="0" t="s">
        <v>3935</v>
      </c>
      <c r="CR179" s="0" t="s">
        <v>3936</v>
      </c>
      <c r="CS179" s="0" t="s">
        <v>3937</v>
      </c>
      <c r="CT179" s="0" t="s">
        <v>209</v>
      </c>
      <c r="CV179" s="0" t="s">
        <v>209</v>
      </c>
      <c r="CW179" s="0" t="s">
        <v>209</v>
      </c>
      <c r="CX179" s="0" t="s">
        <v>2712</v>
      </c>
      <c r="DA179" s="0" t="s">
        <v>209</v>
      </c>
      <c r="DB179" s="0" t="s">
        <v>209</v>
      </c>
      <c r="DC179" s="0" t="s">
        <v>209</v>
      </c>
      <c r="DD179" s="0" t="s">
        <v>3938</v>
      </c>
      <c r="DE179" s="0" t="s">
        <v>3939</v>
      </c>
      <c r="DF179" s="0" t="s">
        <v>397</v>
      </c>
      <c r="DG179" s="0" t="n">
        <v>40.738793</v>
      </c>
      <c r="DH179" s="0" t="n">
        <v>-73.991823</v>
      </c>
      <c r="DI179" s="0" t="s">
        <v>164</v>
      </c>
      <c r="DJ179" s="0" t="n">
        <v>0</v>
      </c>
      <c r="DK179" s="0" t="s">
        <v>2303</v>
      </c>
      <c r="DL179" s="0" t="s">
        <v>2304</v>
      </c>
      <c r="DM179" s="0" t="s">
        <v>3932</v>
      </c>
      <c r="DN179" s="0" t="s">
        <v>263</v>
      </c>
      <c r="DO179" s="0" t="s">
        <v>214</v>
      </c>
      <c r="DP179" s="0" t="s">
        <v>2305</v>
      </c>
      <c r="DQ179" s="0" t="s">
        <v>2306</v>
      </c>
      <c r="DS179" s="0" t="s">
        <v>217</v>
      </c>
      <c r="DU179" s="0" t="s">
        <v>189</v>
      </c>
      <c r="DX179" s="0" t="s">
        <v>209</v>
      </c>
      <c r="EA179" s="0" t="s">
        <v>209</v>
      </c>
      <c r="EB179" s="0" t="s">
        <v>189</v>
      </c>
      <c r="EC179" s="0" t="s">
        <v>209</v>
      </c>
      <c r="EF179" s="0" t="s">
        <v>209</v>
      </c>
      <c r="EH179" s="0" t="s">
        <v>189</v>
      </c>
      <c r="EI179" s="0" t="s">
        <v>2716</v>
      </c>
      <c r="EJ179" s="0" t="s">
        <v>221</v>
      </c>
      <c r="EK179" s="0" t="s">
        <v>209</v>
      </c>
      <c r="EL179" s="0" t="n">
        <v>32</v>
      </c>
      <c r="EM179" s="0" t="n">
        <v>7</v>
      </c>
      <c r="EN179" s="0" t="n">
        <v>4</v>
      </c>
      <c r="EO179" s="0" t="n">
        <v>6</v>
      </c>
      <c r="EP179" s="0" t="n">
        <v>15</v>
      </c>
      <c r="EQ179" s="0" t="n">
        <f aca="false">IF($A179="","",IF(AH179="exact",10,IF(AH179="adjacent",5,0)))</f>
        <v>0</v>
      </c>
      <c r="ER179" s="0" t="n">
        <f aca="false">IF($A179="","",IF(R179="Y",15,0))</f>
        <v>0</v>
      </c>
      <c r="ES179" s="0" t="s">
        <v>222</v>
      </c>
      <c r="EX179" s="0" t="s">
        <v>3940</v>
      </c>
      <c r="EZ179" s="0" t="s">
        <v>3941</v>
      </c>
      <c r="FS179" s="0" t="str">
        <f aca="false">IF($A179="","",IF(ISNUMBER(MATCH(U179,{"queued","contacted","replied","call_booked","call_done","yes_in_principle","materials_sent"},0)),"Y","N"))</f>
        <v>N</v>
      </c>
      <c r="FT179" s="0" t="str">
        <f aca="false">IF($A179="","",IF(OR(T179="Y",U179="do_not_contact",AS179&amp;""&lt;&gt;""),"Y","N"))</f>
        <v>N</v>
      </c>
      <c r="FU179" s="0" t="str">
        <f aca="false">IF($A179="","",IF(AP179&amp;""&lt;&gt;"",AP179&amp;"",$A179))</f>
        <v>AO-C-040</v>
      </c>
      <c r="FV179" s="0" t="str">
        <f aca="false">IF($A179="","",IF(COUNTIFS($FU$2:$FU$1000,FU179,$FS$2:$FS$1000,"Y")+COUNTIFS($FU$2:$FU$1000,FU179,$FT$2:$FT$1000,"Y")&gt;0,"Y","N"))</f>
        <v>N</v>
      </c>
      <c r="FW179" s="0" t="str">
        <f aca="false">IF($A179="","",IF(AND(U179="new",T179="N",FT179="N",AT179="Y",FV179="N"),"Y","N"))</f>
        <v>N</v>
      </c>
      <c r="FX179" s="0" t="str">
        <f aca="false">IF($A179="","",IF(FW179&lt;&gt;"Y","N",IF(COUNTIFS($FU$2:$FU$1000,FU179,$FW$2:$FW$1000,"Y",$J$2:$J$1000,"&gt;"&amp;J179)+COUNTIFS($FU$2:$FU$1000,FU179,$FW$2:$FW$1000,"Y",$J$2:$J$1000,J179,$GD$2:$GD$1000,"&lt;"&amp;GD179)=0,"Y","N")))</f>
        <v>N</v>
      </c>
      <c r="FY179" s="0" t="str">
        <f aca="false">IF($A179="","",IF(AND(FW179="Y",FX179="Y",Y179&amp;""&lt;&gt;""),IF(Y179&lt;=10,"Y","N"),"N"))</f>
        <v>N</v>
      </c>
      <c r="FZ179" s="0" t="str">
        <f aca="false">IF(FY179="Y",Y179,"")</f>
        <v/>
      </c>
      <c r="GA179" s="0" t="str">
        <f aca="false">IF($A179="","",IF(AND(I179="walk-in",CN179="pass",U179="new",FT179="N",FV179="N",AQ179&lt;&gt;"Y"),"Y","N"))</f>
        <v>N</v>
      </c>
      <c r="GB179" s="0" t="str">
        <f aca="false">IF(GA179&lt;&gt;"Y","",IF(COUNTIFS($GA$2:$GA$1000,"Y",$J$2:$J$1000,"&gt;"&amp;J179)+COUNTIFS($GA$2:$GA$1000,"Y",$J$2:$J$1000,J179,$GD$2:$GD$1000,"&lt;"&amp;GD179)+1&lt;=25,COUNTIFS($GA$2:$GA$1000,"Y",$J$2:$J$1000,"&gt;"&amp;J179)+COUNTIFS($GA$2:$GA$1000,"Y",$J$2:$J$1000,J179,$GD$2:$GD$1000,"&lt;"&amp;GD179)+1,""))</f>
        <v/>
      </c>
      <c r="GC179" s="0" t="str">
        <f aca="false">IF(AND(_xlfn.ISFORMULA(C179),_xlfn.ISFORMULA(J179)),"Y","N")</f>
        <v>Y</v>
      </c>
      <c r="GD179" s="0" t="n">
        <f aca="false">ROW()-1</f>
        <v>178</v>
      </c>
    </row>
    <row r="180" customFormat="false" ht="15" hidden="false" customHeight="false" outlineLevel="0" collapsed="false">
      <c r="A180" s="0" t="s">
        <v>3942</v>
      </c>
      <c r="B180" s="0" t="s">
        <v>3943</v>
      </c>
      <c r="C180" s="0" t="str">
        <f aca="false">IF($A180="","",IF(AW180="Y",BM180&amp;"",AY180&amp;""))</f>
        <v/>
      </c>
      <c r="D180" s="0" t="str">
        <f aca="false">IF($A180="","",IF(AW180="Y",BN180&amp;"",AZ180&amp;""))</f>
        <v/>
      </c>
      <c r="E180" s="0" t="str">
        <f aca="false">IF($A180="","",IF(AW180="Y",BO180&amp;"",BA180&amp;""))</f>
        <v/>
      </c>
      <c r="F180" s="0" t="str">
        <f aca="false">IF($A180="","",IF(AW180="Y",BP180&amp;"",BB180&amp;""))</f>
        <v/>
      </c>
      <c r="G180" s="0" t="str">
        <f aca="false">IF($A180="","",IF(AW180="Y",BQ180&amp;"",BC180&amp;""))</f>
        <v/>
      </c>
      <c r="H180" s="0" t="str">
        <f aca="false">IF($A180="","",IF(AW180="Y",BR180&amp;"",BD180&amp;""))</f>
        <v>none</v>
      </c>
      <c r="I180" s="0" t="str">
        <f aca="false">IF($A180="","",IF(R180="Y","warm-intro",IF(H180="verified","email",IF(C180&lt;&gt;"","linkedin",CB180&amp;""))))</f>
        <v>linkedin</v>
      </c>
      <c r="J180" s="0" t="n">
        <f aca="false">IF($A180="","",IF(CN180="pass",ROUND(N(EM180)+N(EN180)+N(EO180)+N(EP180)+N(EQ180)+N(ER180),1),0))</f>
        <v>31</v>
      </c>
      <c r="K180" s="0" t="str">
        <f aca="false">IF($A180="","",IF(CN180&lt;&gt;"pass",CA180&amp;"",CA180&amp;"; "&amp;IF(AW180="Y",BZ180&amp;"",BL180&amp;"")&amp;IF(R180="Y","; known to the founder (+15)","")&amp;"."))</f>
        <v>Tuesday headcount unknown (no sourced count), company size unknown, no attendance signal, occupancy-unconfirmed at a high-confidence address; contacts not researched yet.</v>
      </c>
      <c r="L180" s="0" t="s">
        <v>209</v>
      </c>
      <c r="O180" s="0" t="s">
        <v>3944</v>
      </c>
      <c r="P180" s="0" t="s">
        <v>3945</v>
      </c>
      <c r="Q180" s="0" t="s">
        <v>3946</v>
      </c>
      <c r="R180" s="5" t="s">
        <v>189</v>
      </c>
      <c r="S180" s="0" t="s">
        <v>209</v>
      </c>
      <c r="T180" s="0" t="s">
        <v>189</v>
      </c>
      <c r="U180" s="5" t="s">
        <v>3896</v>
      </c>
      <c r="V180" s="0" t="s">
        <v>3945</v>
      </c>
      <c r="W180" s="0" t="s">
        <v>263</v>
      </c>
      <c r="X180" s="0" t="s">
        <v>3897</v>
      </c>
      <c r="Y180" s="0" t="str">
        <f aca="false">IF(FX180&lt;&gt;"Y","",COUNTIFS($FX$2:$FX$1000,"Y",$J$2:$J$1000,"&gt;"&amp;J180)+COUNTIFS($FX$2:$FX$1000,"Y",$J$2:$J$1000,J180,$GD$2:$GD$1000,"&lt;"&amp;GD180)+1)</f>
        <v/>
      </c>
      <c r="Z180" s="0" t="n">
        <v>179</v>
      </c>
      <c r="AA180" s="0" t="s">
        <v>189</v>
      </c>
      <c r="AB180" s="0" t="str">
        <f aca="false">IF($A180="","",IF(AW180="Y",BY180&amp;"",BK180&amp;""))</f>
        <v/>
      </c>
      <c r="AC180" s="0" t="str">
        <f aca="false">IF($A180="","",IF(AW180="Y",BS180&amp;"",BE180&amp;""))</f>
        <v/>
      </c>
      <c r="AD180" s="0" t="str">
        <f aca="false">IF($A180="","",IF(AW180="Y",BT180&amp;"",BF180&amp;""))</f>
        <v>none</v>
      </c>
      <c r="AE180" s="0" t="str">
        <f aca="false">IF($A180="","",IF(AW180="Y",BU180&amp;"",BG180&amp;""))</f>
        <v/>
      </c>
      <c r="AF180" s="0" t="str">
        <f aca="false">IF($A180="","",IF(AW180="Y",BV180&amp;"",BH180&amp;""))</f>
        <v/>
      </c>
      <c r="AG180" s="0" t="str">
        <f aca="false">IF($A180="","",IF(AW180="Y",BW180&amp;"",BI180&amp;""))</f>
        <v/>
      </c>
      <c r="AH180" s="0" t="str">
        <f aca="false">IF($A180="","",IF(AW180="Y",BX180&amp;"",BJ180&amp;""))</f>
        <v>none</v>
      </c>
      <c r="AI180" s="0" t="s">
        <v>1436</v>
      </c>
      <c r="AJ180" s="0" t="s">
        <v>3947</v>
      </c>
      <c r="AK180" s="0" t="s">
        <v>3898</v>
      </c>
      <c r="AL180" s="0" t="s">
        <v>209</v>
      </c>
      <c r="AM180" s="0" t="s">
        <v>209</v>
      </c>
      <c r="AN180" s="0" t="s">
        <v>380</v>
      </c>
      <c r="AO180" s="0" t="s">
        <v>209</v>
      </c>
      <c r="AP180" s="0" t="s">
        <v>3942</v>
      </c>
      <c r="AQ180" s="5" t="s">
        <v>189</v>
      </c>
      <c r="AT180" s="0" t="str">
        <f aca="false">IF($A180="","",IF(AND(CN180="pass",AQ180&lt;&gt;"Y",C180&lt;&gt;"",OR(AX180&lt;&gt;"Y",AV180="Y")),"Y","N"))</f>
        <v>N</v>
      </c>
      <c r="AU180" s="0" t="str">
        <f aca="false">IF($A180="","",_xlfn.TEXTJOIN("; ",TRUE(),IF(CN180&lt;&gt;"pass","gated out",""),IF(AQ180="Y","on hold: "&amp;AR180,""),IF(C180="","no contact named on an opened page",""),IF(AND(AX180="Y",AV180&lt;&gt;"Y"),"Tuesday estimate band "&amp;L180&amp;": founder's call","")))</f>
        <v>no contact named on an opened page</v>
      </c>
      <c r="AX180" s="0" t="s">
        <v>189</v>
      </c>
      <c r="BC180" s="0" t="str">
        <f aca="false">IF($A180="","",IFERROR(INDEX(Enrichment!$A$2:$GZ$2000,MATCH($A180,INDEX(Enrichment!$A$2:$GZ$2000,0,MATCH("row_id",Enrichment!$A$1:$GZ$1,0)),0),MATCH("work_email",Enrichment!$A$1:$GZ$1,0))&amp;"",""))</f>
        <v/>
      </c>
      <c r="BD180" s="0" t="str">
        <f aca="false">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none</v>
      </c>
      <c r="BF180" s="0" t="s">
        <v>380</v>
      </c>
      <c r="BJ180" s="0" t="s">
        <v>380</v>
      </c>
      <c r="BL180" s="0" t="s">
        <v>896</v>
      </c>
      <c r="BQ180" s="0" t="str">
        <f aca="false">IF($A180="","",IFERROR(INDEX(Enrichment!$A$2:$GZ$2000,MATCH($A180,INDEX(Enrichment!$A$2:$GZ$2000,0,MATCH("row_id",Enrichment!$A$1:$GZ$1,0)),0),MATCH("backup_work_email",Enrichment!$A$1:$GZ$1,0))&amp;"",""))</f>
        <v/>
      </c>
      <c r="BR180" s="0" t="str">
        <f aca="false">IF($A180="","",IF(BQ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none</v>
      </c>
      <c r="BT180" s="0" t="s">
        <v>380</v>
      </c>
      <c r="BX180" s="0" t="s">
        <v>380</v>
      </c>
      <c r="BY180" s="0" t="s">
        <v>387</v>
      </c>
      <c r="BZ180" s="0" t="s">
        <v>388</v>
      </c>
      <c r="CA180" s="0" t="s">
        <v>3948</v>
      </c>
      <c r="CB180" s="0" t="s">
        <v>196</v>
      </c>
      <c r="CM180" s="0" t="s">
        <v>189</v>
      </c>
      <c r="CN180" s="0" t="s">
        <v>200</v>
      </c>
      <c r="CO180" s="0" t="s">
        <v>201</v>
      </c>
      <c r="CP180" s="0" t="s">
        <v>1</v>
      </c>
      <c r="CQ180" s="0" t="s">
        <v>3949</v>
      </c>
      <c r="CR180" s="0" t="s">
        <v>3950</v>
      </c>
      <c r="CS180" s="0" t="s">
        <v>3951</v>
      </c>
      <c r="CT180" s="0" t="s">
        <v>209</v>
      </c>
      <c r="CV180" s="0" t="s">
        <v>209</v>
      </c>
      <c r="CW180" s="0" t="s">
        <v>209</v>
      </c>
      <c r="CX180" s="0" t="s">
        <v>2712</v>
      </c>
      <c r="DA180" s="0" t="s">
        <v>209</v>
      </c>
      <c r="DB180" s="0" t="s">
        <v>208</v>
      </c>
      <c r="DC180" s="0" t="s">
        <v>189</v>
      </c>
      <c r="DD180" s="0" t="s">
        <v>209</v>
      </c>
      <c r="DE180" s="0" t="s">
        <v>209</v>
      </c>
      <c r="DF180" s="0" t="s">
        <v>210</v>
      </c>
      <c r="DG180" s="0" t="n">
        <v>40.734626</v>
      </c>
      <c r="DH180" s="0" t="n">
        <v>-73.9911</v>
      </c>
      <c r="DI180" s="0" t="s">
        <v>164</v>
      </c>
      <c r="DJ180" s="0" t="n">
        <v>0</v>
      </c>
      <c r="DK180" s="0" t="s">
        <v>1542</v>
      </c>
      <c r="DL180" s="0" t="s">
        <v>1543</v>
      </c>
      <c r="DM180" s="0" t="s">
        <v>3945</v>
      </c>
      <c r="DN180" s="0" t="s">
        <v>3946</v>
      </c>
      <c r="DO180" s="0" t="s">
        <v>363</v>
      </c>
      <c r="DP180" s="0" t="s">
        <v>3566</v>
      </c>
      <c r="DQ180" s="0" t="s">
        <v>806</v>
      </c>
      <c r="DS180" s="0" t="s">
        <v>217</v>
      </c>
      <c r="DU180" s="0" t="s">
        <v>189</v>
      </c>
      <c r="DX180" s="0" t="s">
        <v>267</v>
      </c>
      <c r="DY180" s="0" t="s">
        <v>1548</v>
      </c>
      <c r="EA180" s="0" t="s">
        <v>209</v>
      </c>
      <c r="EB180" s="0" t="s">
        <v>189</v>
      </c>
      <c r="EC180" s="0" t="s">
        <v>209</v>
      </c>
      <c r="EF180" s="0" t="s">
        <v>209</v>
      </c>
      <c r="EH180" s="0" t="s">
        <v>189</v>
      </c>
      <c r="EI180" s="0" t="s">
        <v>2716</v>
      </c>
      <c r="EJ180" s="0" t="s">
        <v>221</v>
      </c>
      <c r="EK180" s="0" t="s">
        <v>209</v>
      </c>
      <c r="EL180" s="0" t="n">
        <v>31</v>
      </c>
      <c r="EM180" s="0" t="n">
        <v>7</v>
      </c>
      <c r="EN180" s="0" t="n">
        <v>8</v>
      </c>
      <c r="EO180" s="0" t="n">
        <v>6</v>
      </c>
      <c r="EP180" s="0" t="n">
        <v>10</v>
      </c>
      <c r="EQ180" s="0" t="n">
        <f aca="false">IF($A180="","",IF(AH180="exact",10,IF(AH180="adjacent",5,0)))</f>
        <v>0</v>
      </c>
      <c r="ER180" s="0" t="n">
        <f aca="false">IF($A180="","",IF(R180="Y",15,0))</f>
        <v>0</v>
      </c>
      <c r="ES180" s="0" t="s">
        <v>222</v>
      </c>
      <c r="EV180" s="0" t="s">
        <v>3952</v>
      </c>
      <c r="EW180" s="0" t="s">
        <v>224</v>
      </c>
      <c r="EX180" s="0" t="s">
        <v>3953</v>
      </c>
      <c r="FS180" s="0" t="str">
        <f aca="false">IF($A180="","",IF(ISNUMBER(MATCH(U180,{"queued","contacted","replied","call_booked","call_done","yes_in_principle","materials_sent"},0)),"Y","N"))</f>
        <v>N</v>
      </c>
      <c r="FT180" s="0" t="str">
        <f aca="false">IF($A180="","",IF(OR(T180="Y",U180="do_not_contact",AS180&amp;""&lt;&gt;""),"Y","N"))</f>
        <v>N</v>
      </c>
      <c r="FU180" s="0" t="str">
        <f aca="false">IF($A180="","",IF(AP180&amp;""&lt;&gt;"",AP180&amp;"",$A180))</f>
        <v>AO-C-006</v>
      </c>
      <c r="FV180" s="0" t="str">
        <f aca="false">IF($A180="","",IF(COUNTIFS($FU$2:$FU$1000,FU180,$FS$2:$FS$1000,"Y")+COUNTIFS($FU$2:$FU$1000,FU180,$FT$2:$FT$1000,"Y")&gt;0,"Y","N"))</f>
        <v>N</v>
      </c>
      <c r="FW180" s="0" t="str">
        <f aca="false">IF($A180="","",IF(AND(U180="new",T180="N",FT180="N",AT180="Y",FV180="N"),"Y","N"))</f>
        <v>N</v>
      </c>
      <c r="FX180" s="0" t="str">
        <f aca="false">IF($A180="","",IF(FW180&lt;&gt;"Y","N",IF(COUNTIFS($FU$2:$FU$1000,FU180,$FW$2:$FW$1000,"Y",$J$2:$J$1000,"&gt;"&amp;J180)+COUNTIFS($FU$2:$FU$1000,FU180,$FW$2:$FW$1000,"Y",$J$2:$J$1000,J180,$GD$2:$GD$1000,"&lt;"&amp;GD180)=0,"Y","N")))</f>
        <v>N</v>
      </c>
      <c r="FY180" s="0" t="str">
        <f aca="false">IF($A180="","",IF(AND(FW180="Y",FX180="Y",Y180&amp;""&lt;&gt;""),IF(Y180&lt;=10,"Y","N"),"N"))</f>
        <v>N</v>
      </c>
      <c r="FZ180" s="0" t="str">
        <f aca="false">IF(FY180="Y",Y180,"")</f>
        <v/>
      </c>
      <c r="GA180" s="0" t="str">
        <f aca="false">IF($A180="","",IF(AND(I180="walk-in",CN180="pass",U180="new",FT180="N",FV180="N",AQ180&lt;&gt;"Y"),"Y","N"))</f>
        <v>N</v>
      </c>
      <c r="GB180" s="0" t="str">
        <f aca="false">IF(GA180&lt;&gt;"Y","",IF(COUNTIFS($GA$2:$GA$1000,"Y",$J$2:$J$1000,"&gt;"&amp;J180)+COUNTIFS($GA$2:$GA$1000,"Y",$J$2:$J$1000,J180,$GD$2:$GD$1000,"&lt;"&amp;GD180)+1&lt;=25,COUNTIFS($GA$2:$GA$1000,"Y",$J$2:$J$1000,"&gt;"&amp;J180)+COUNTIFS($GA$2:$GA$1000,"Y",$J$2:$J$1000,J180,$GD$2:$GD$1000,"&lt;"&amp;GD180)+1,""))</f>
        <v/>
      </c>
      <c r="GC180" s="0" t="str">
        <f aca="false">IF(AND(_xlfn.ISFORMULA(C180),_xlfn.ISFORMULA(J180)),"Y","N")</f>
        <v>Y</v>
      </c>
      <c r="GD180" s="0" t="n">
        <f aca="false">ROW()-1</f>
        <v>179</v>
      </c>
    </row>
    <row r="181" customFormat="false" ht="15" hidden="false" customHeight="false" outlineLevel="0" collapsed="false">
      <c r="A181" s="0" t="s">
        <v>3954</v>
      </c>
      <c r="B181" s="0" t="s">
        <v>3955</v>
      </c>
      <c r="C181" s="0" t="str">
        <f aca="false">IF($A181="","",IF(AW181="Y",BM181&amp;"",AY181&amp;""))</f>
        <v/>
      </c>
      <c r="D181" s="0" t="str">
        <f aca="false">IF($A181="","",IF(AW181="Y",BN181&amp;"",AZ181&amp;""))</f>
        <v/>
      </c>
      <c r="E181" s="0" t="str">
        <f aca="false">IF($A181="","",IF(AW181="Y",BO181&amp;"",BA181&amp;""))</f>
        <v/>
      </c>
      <c r="F181" s="0" t="str">
        <f aca="false">IF($A181="","",IF(AW181="Y",BP181&amp;"",BB181&amp;""))</f>
        <v/>
      </c>
      <c r="G181" s="0" t="str">
        <f aca="false">IF($A181="","",IF(AW181="Y",BQ181&amp;"",BC181&amp;""))</f>
        <v/>
      </c>
      <c r="H181" s="0" t="str">
        <f aca="false">IF($A181="","",IF(AW181="Y",BR181&amp;"",BD181&amp;""))</f>
        <v>none</v>
      </c>
      <c r="I181" s="0" t="str">
        <f aca="false">IF($A181="","",IF(R181="Y","warm-intro",IF(H181="verified","email",IF(C181&lt;&gt;"","linkedin",CB181&amp;""))))</f>
        <v>linkedin</v>
      </c>
      <c r="J181" s="0" t="n">
        <f aca="false">IF($A181="","",IF(CN181="pass",ROUND(N(EM181)+N(EN181)+N(EO181)+N(EP181)+N(EQ181)+N(ER181),1),0))</f>
        <v>30.8</v>
      </c>
      <c r="K181" s="0" t="str">
        <f aca="false">IF($A181="","",IF(CN181&lt;&gt;"pass",CA181&amp;"",CA181&amp;"; "&amp;IF(AW181="Y",BZ181&amp;"",BL181&amp;"")&amp;IF(R181="Y","; known to the founder (+15)","")&amp;"."))</f>
        <v>Tuesday estimate 180 to 360 (low confidence), 5,000+ staff company-wide, no attendance signal, occupied at a medium-confidence address; contacts not researched yet.</v>
      </c>
      <c r="L181" s="0" t="s">
        <v>355</v>
      </c>
      <c r="R181" s="5" t="s">
        <v>189</v>
      </c>
      <c r="S181" s="0" t="s">
        <v>209</v>
      </c>
      <c r="T181" s="0" t="s">
        <v>189</v>
      </c>
      <c r="U181" s="5" t="s">
        <v>3896</v>
      </c>
      <c r="V181" s="0" t="s">
        <v>3956</v>
      </c>
      <c r="W181" s="0" t="s">
        <v>263</v>
      </c>
      <c r="X181" s="0" t="s">
        <v>3897</v>
      </c>
      <c r="Y181" s="0" t="str">
        <f aca="false">IF(FX181&lt;&gt;"Y","",COUNTIFS($FX$2:$FX$1000,"Y",$J$2:$J$1000,"&gt;"&amp;J181)+COUNTIFS($FX$2:$FX$1000,"Y",$J$2:$J$1000,J181,$GD$2:$GD$1000,"&lt;"&amp;GD181)+1)</f>
        <v/>
      </c>
      <c r="Z181" s="0" t="n">
        <v>180</v>
      </c>
      <c r="AA181" s="0" t="s">
        <v>189</v>
      </c>
      <c r="AB181" s="0" t="str">
        <f aca="false">IF($A181="","",IF(AW181="Y",BY181&amp;"",BK181&amp;""))</f>
        <v>Tuesday estimate band 251-500: founder's call (set founder_ok_to_queue = Y to queue)</v>
      </c>
      <c r="AC181" s="0" t="str">
        <f aca="false">IF($A181="","",IF(AW181="Y",BS181&amp;"",BE181&amp;""))</f>
        <v/>
      </c>
      <c r="AD181" s="0" t="str">
        <f aca="false">IF($A181="","",IF(AW181="Y",BT181&amp;"",BF181&amp;""))</f>
        <v>none</v>
      </c>
      <c r="AE181" s="0" t="str">
        <f aca="false">IF($A181="","",IF(AW181="Y",BU181&amp;"",BG181&amp;""))</f>
        <v/>
      </c>
      <c r="AF181" s="0" t="str">
        <f aca="false">IF($A181="","",IF(AW181="Y",BV181&amp;"",BH181&amp;""))</f>
        <v/>
      </c>
      <c r="AG181" s="0" t="str">
        <f aca="false">IF($A181="","",IF(AW181="Y",BW181&amp;"",BI181&amp;""))</f>
        <v/>
      </c>
      <c r="AH181" s="0" t="str">
        <f aca="false">IF($A181="","",IF(AW181="Y",BX181&amp;"",BJ181&amp;""))</f>
        <v>none</v>
      </c>
      <c r="AI181" s="0" t="s">
        <v>3957</v>
      </c>
      <c r="AJ181" s="0" t="s">
        <v>209</v>
      </c>
      <c r="AK181" s="0" t="s">
        <v>3933</v>
      </c>
      <c r="AL181" s="0" t="n">
        <v>180</v>
      </c>
      <c r="AM181" s="0" t="n">
        <v>360</v>
      </c>
      <c r="AN181" s="0" t="s">
        <v>187</v>
      </c>
      <c r="AO181" s="0" t="s">
        <v>209</v>
      </c>
      <c r="AP181" s="0" t="s">
        <v>3954</v>
      </c>
      <c r="AQ181" s="5" t="s">
        <v>189</v>
      </c>
      <c r="AT181" s="0" t="str">
        <f aca="false">IF($A181="","",IF(AND(CN181="pass",AQ181&lt;&gt;"Y",C181&lt;&gt;"",OR(AX181&lt;&gt;"Y",AV181="Y")),"Y","N"))</f>
        <v>N</v>
      </c>
      <c r="AU181" s="0" t="str">
        <f aca="false">IF($A181="","",_xlfn.TEXTJOIN("; ",TRUE(),IF(CN181&lt;&gt;"pass","gated out",""),IF(AQ181="Y","on hold: "&amp;AR181,""),IF(C181="","no contact named on an opened page",""),IF(AND(AX181="Y",AV181&lt;&gt;"Y"),"Tuesday estimate band "&amp;L181&amp;": founder's call","")))</f>
        <v>no contact named on an opened page; Tuesday estimate band 251-500: founder's call</v>
      </c>
      <c r="AX181" s="0" t="s">
        <v>164</v>
      </c>
      <c r="BC181" s="0" t="str">
        <f aca="false">IF($A181="","",IFERROR(INDEX(Enrichment!$A$2:$GZ$2000,MATCH($A181,INDEX(Enrichment!$A$2:$GZ$2000,0,MATCH("row_id",Enrichment!$A$1:$GZ$1,0)),0),MATCH("work_email",Enrichment!$A$1:$GZ$1,0))&amp;"",""))</f>
        <v/>
      </c>
      <c r="BD181" s="0" t="str">
        <f aca="false">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none</v>
      </c>
      <c r="BF181" s="0" t="s">
        <v>380</v>
      </c>
      <c r="BJ181" s="0" t="s">
        <v>380</v>
      </c>
      <c r="BK181" s="0" t="s">
        <v>2356</v>
      </c>
      <c r="BL181" s="0" t="s">
        <v>896</v>
      </c>
      <c r="BQ181" s="0" t="str">
        <f aca="false">IF($A181="","",IFERROR(INDEX(Enrichment!$A$2:$GZ$2000,MATCH($A181,INDEX(Enrichment!$A$2:$GZ$2000,0,MATCH("row_id",Enrichment!$A$1:$GZ$1,0)),0),MATCH("backup_work_email",Enrichment!$A$1:$GZ$1,0))&amp;"",""))</f>
        <v/>
      </c>
      <c r="BR181" s="0" t="str">
        <f aca="false">IF($A181="","",IF(BQ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none</v>
      </c>
      <c r="BT181" s="0" t="s">
        <v>380</v>
      </c>
      <c r="BX181" s="0" t="s">
        <v>380</v>
      </c>
      <c r="BY181" s="0" t="s">
        <v>2357</v>
      </c>
      <c r="BZ181" s="0" t="s">
        <v>388</v>
      </c>
      <c r="CA181" s="0" t="s">
        <v>3958</v>
      </c>
      <c r="CB181" s="0" t="s">
        <v>196</v>
      </c>
      <c r="CM181" s="0" t="s">
        <v>189</v>
      </c>
      <c r="CN181" s="0" t="s">
        <v>200</v>
      </c>
      <c r="CO181" s="0" t="s">
        <v>201</v>
      </c>
      <c r="CP181" s="0" t="s">
        <v>1</v>
      </c>
      <c r="CQ181" s="0" t="s">
        <v>3959</v>
      </c>
      <c r="CR181" s="0" t="s">
        <v>3960</v>
      </c>
      <c r="CS181" s="0" t="s">
        <v>3961</v>
      </c>
      <c r="CT181" s="0" t="s">
        <v>3962</v>
      </c>
      <c r="CV181" s="0" t="s">
        <v>976</v>
      </c>
      <c r="CW181" s="0" t="s">
        <v>204</v>
      </c>
      <c r="CX181" s="0" t="s">
        <v>205</v>
      </c>
      <c r="CY181" s="0" t="s">
        <v>3963</v>
      </c>
      <c r="DA181" s="0" t="s">
        <v>2301</v>
      </c>
      <c r="DB181" s="0" t="s">
        <v>209</v>
      </c>
      <c r="DC181" s="0" t="s">
        <v>209</v>
      </c>
      <c r="DD181" s="0" t="s">
        <v>209</v>
      </c>
      <c r="DE181" s="0" t="s">
        <v>3964</v>
      </c>
      <c r="DF181" s="0" t="s">
        <v>397</v>
      </c>
      <c r="DG181" s="0" t="n">
        <v>40.7409</v>
      </c>
      <c r="DH181" s="0" t="n">
        <v>-73.994512</v>
      </c>
      <c r="DI181" s="0" t="s">
        <v>164</v>
      </c>
      <c r="DJ181" s="0" t="n">
        <v>0</v>
      </c>
      <c r="DK181" s="0" t="s">
        <v>3965</v>
      </c>
      <c r="DL181" s="0" t="s">
        <v>3966</v>
      </c>
      <c r="DM181" s="0" t="s">
        <v>3956</v>
      </c>
      <c r="DN181" s="0" t="s">
        <v>3076</v>
      </c>
      <c r="DO181" s="0" t="s">
        <v>363</v>
      </c>
      <c r="DP181" s="0" t="s">
        <v>3967</v>
      </c>
      <c r="DQ181" s="0" t="s">
        <v>3968</v>
      </c>
      <c r="DS181" s="0" t="s">
        <v>809</v>
      </c>
      <c r="DU181" s="0" t="s">
        <v>189</v>
      </c>
      <c r="DX181" s="0" t="s">
        <v>209</v>
      </c>
      <c r="EA181" s="0" t="s">
        <v>209</v>
      </c>
      <c r="EB181" s="0" t="s">
        <v>189</v>
      </c>
      <c r="EC181" s="0" t="s">
        <v>209</v>
      </c>
      <c r="EF181" s="0" t="n">
        <v>255</v>
      </c>
      <c r="EG181" s="0" t="s">
        <v>366</v>
      </c>
      <c r="EH181" s="0" t="s">
        <v>164</v>
      </c>
      <c r="EI181" s="0" t="s">
        <v>3969</v>
      </c>
      <c r="EJ181" s="0" t="s">
        <v>221</v>
      </c>
      <c r="EK181" s="0" t="n">
        <v>0.47</v>
      </c>
      <c r="EL181" s="0" t="n">
        <v>30.8</v>
      </c>
      <c r="EM181" s="0" t="n">
        <v>11.8</v>
      </c>
      <c r="EN181" s="0" t="n">
        <v>0</v>
      </c>
      <c r="EO181" s="0" t="n">
        <v>6</v>
      </c>
      <c r="EP181" s="0" t="n">
        <v>13</v>
      </c>
      <c r="EQ181" s="0" t="n">
        <f aca="false">IF($A181="","",IF(AH181="exact",10,IF(AH181="adjacent",5,0)))</f>
        <v>0</v>
      </c>
      <c r="ER181" s="0" t="n">
        <f aca="false">IF($A181="","",IF(R181="Y",15,0))</f>
        <v>0</v>
      </c>
      <c r="ES181" s="0" t="s">
        <v>982</v>
      </c>
      <c r="ET181" s="0" t="s">
        <v>2310</v>
      </c>
      <c r="EU181" s="0" t="s">
        <v>189</v>
      </c>
      <c r="EV181" s="0" t="s">
        <v>3970</v>
      </c>
      <c r="EW181" s="0" t="s">
        <v>224</v>
      </c>
      <c r="EX181" s="0" t="s">
        <v>3971</v>
      </c>
      <c r="EZ181" s="0" t="s">
        <v>3972</v>
      </c>
      <c r="FS181" s="0" t="str">
        <f aca="false">IF($A181="","",IF(ISNUMBER(MATCH(U181,{"queued","contacted","replied","call_booked","call_done","yes_in_principle","materials_sent"},0)),"Y","N"))</f>
        <v>N</v>
      </c>
      <c r="FT181" s="0" t="str">
        <f aca="false">IF($A181="","",IF(OR(T181="Y",U181="do_not_contact",AS181&amp;""&lt;&gt;""),"Y","N"))</f>
        <v>N</v>
      </c>
      <c r="FU181" s="0" t="str">
        <f aca="false">IF($A181="","",IF(AP181&amp;""&lt;&gt;"",AP181&amp;"",$A181))</f>
        <v>AO-C-210</v>
      </c>
      <c r="FV181" s="0" t="str">
        <f aca="false">IF($A181="","",IF(COUNTIFS($FU$2:$FU$1000,FU181,$FS$2:$FS$1000,"Y")+COUNTIFS($FU$2:$FU$1000,FU181,$FT$2:$FT$1000,"Y")&gt;0,"Y","N"))</f>
        <v>N</v>
      </c>
      <c r="FW181" s="0" t="str">
        <f aca="false">IF($A181="","",IF(AND(U181="new",T181="N",FT181="N",AT181="Y",FV181="N"),"Y","N"))</f>
        <v>N</v>
      </c>
      <c r="FX181" s="0" t="str">
        <f aca="false">IF($A181="","",IF(FW181&lt;&gt;"Y","N",IF(COUNTIFS($FU$2:$FU$1000,FU181,$FW$2:$FW$1000,"Y",$J$2:$J$1000,"&gt;"&amp;J181)+COUNTIFS($FU$2:$FU$1000,FU181,$FW$2:$FW$1000,"Y",$J$2:$J$1000,J181,$GD$2:$GD$1000,"&lt;"&amp;GD181)=0,"Y","N")))</f>
        <v>N</v>
      </c>
      <c r="FY181" s="0" t="str">
        <f aca="false">IF($A181="","",IF(AND(FW181="Y",FX181="Y",Y181&amp;""&lt;&gt;""),IF(Y181&lt;=10,"Y","N"),"N"))</f>
        <v>N</v>
      </c>
      <c r="FZ181" s="0" t="str">
        <f aca="false">IF(FY181="Y",Y181,"")</f>
        <v/>
      </c>
      <c r="GA181" s="0" t="str">
        <f aca="false">IF($A181="","",IF(AND(I181="walk-in",CN181="pass",U181="new",FT181="N",FV181="N",AQ181&lt;&gt;"Y"),"Y","N"))</f>
        <v>N</v>
      </c>
      <c r="GB181" s="0" t="str">
        <f aca="false">IF(GA181&lt;&gt;"Y","",IF(COUNTIFS($GA$2:$GA$1000,"Y",$J$2:$J$1000,"&gt;"&amp;J181)+COUNTIFS($GA$2:$GA$1000,"Y",$J$2:$J$1000,J181,$GD$2:$GD$1000,"&lt;"&amp;GD181)+1&lt;=25,COUNTIFS($GA$2:$GA$1000,"Y",$J$2:$J$1000,"&gt;"&amp;J181)+COUNTIFS($GA$2:$GA$1000,"Y",$J$2:$J$1000,J181,$GD$2:$GD$1000,"&lt;"&amp;GD181)+1,""))</f>
        <v/>
      </c>
      <c r="GC181" s="0" t="str">
        <f aca="false">IF(AND(_xlfn.ISFORMULA(C181),_xlfn.ISFORMULA(J181)),"Y","N")</f>
        <v>Y</v>
      </c>
      <c r="GD181" s="0" t="n">
        <f aca="false">ROW()-1</f>
        <v>180</v>
      </c>
    </row>
    <row r="182" customFormat="false" ht="15" hidden="false" customHeight="false" outlineLevel="0" collapsed="false">
      <c r="A182" s="0" t="s">
        <v>3973</v>
      </c>
      <c r="B182" s="0" t="s">
        <v>3974</v>
      </c>
      <c r="C182" s="0" t="str">
        <f aca="false">IF($A182="","",IF(AW182="Y",BM182&amp;"",AY182&amp;""))</f>
        <v/>
      </c>
      <c r="D182" s="0" t="str">
        <f aca="false">IF($A182="","",IF(AW182="Y",BN182&amp;"",AZ182&amp;""))</f>
        <v/>
      </c>
      <c r="E182" s="0" t="str">
        <f aca="false">IF($A182="","",IF(AW182="Y",BO182&amp;"",BA182&amp;""))</f>
        <v/>
      </c>
      <c r="F182" s="0" t="str">
        <f aca="false">IF($A182="","",IF(AW182="Y",BP182&amp;"",BB182&amp;""))</f>
        <v/>
      </c>
      <c r="G182" s="0" t="str">
        <f aca="false">IF($A182="","",IF(AW182="Y",BQ182&amp;"",BC182&amp;""))</f>
        <v/>
      </c>
      <c r="H182" s="0" t="str">
        <f aca="false">IF($A182="","",IF(AW182="Y",BR182&amp;"",BD182&amp;""))</f>
        <v>none</v>
      </c>
      <c r="I182" s="0" t="str">
        <f aca="false">IF($A182="","",IF(R182="Y","warm-intro",IF(H182="verified","email",IF(C182&lt;&gt;"","linkedin",CB182&amp;""))))</f>
        <v>linkedin</v>
      </c>
      <c r="J182" s="0" t="n">
        <f aca="false">IF($A182="","",IF(CN182="pass",ROUND(N(EM182)+N(EN182)+N(EO182)+N(EP182)+N(EQ182)+N(ER182),1),0))</f>
        <v>30</v>
      </c>
      <c r="K182" s="0" t="str">
        <f aca="false">IF($A182="","",IF(CN182&lt;&gt;"pass",CA182&amp;"",CA182&amp;"; "&amp;IF(AW182="Y",BZ182&amp;"",BL182&amp;"")&amp;IF(R182="Y","; known to the founder (+15)","")&amp;"."))</f>
        <v>Tuesday headcount unknown (no sourced count), company size unknown with a named parent (LVMH), no attendance signal, occupied at a medium-confidence address; contacts not researched yet.</v>
      </c>
      <c r="L182" s="0" t="s">
        <v>209</v>
      </c>
      <c r="R182" s="5" t="s">
        <v>189</v>
      </c>
      <c r="S182" s="0" t="s">
        <v>209</v>
      </c>
      <c r="T182" s="0" t="s">
        <v>189</v>
      </c>
      <c r="U182" s="5" t="s">
        <v>3896</v>
      </c>
      <c r="V182" s="0" t="s">
        <v>2305</v>
      </c>
      <c r="W182" s="0" t="s">
        <v>263</v>
      </c>
      <c r="X182" s="0" t="s">
        <v>3897</v>
      </c>
      <c r="Y182" s="0" t="str">
        <f aca="false">IF(FX182&lt;&gt;"Y","",COUNTIFS($FX$2:$FX$1000,"Y",$J$2:$J$1000,"&gt;"&amp;J182)+COUNTIFS($FX$2:$FX$1000,"Y",$J$2:$J$1000,J182,$GD$2:$GD$1000,"&lt;"&amp;GD182)+1)</f>
        <v/>
      </c>
      <c r="Z182" s="0" t="n">
        <v>181</v>
      </c>
      <c r="AA182" s="0" t="s">
        <v>189</v>
      </c>
      <c r="AB182" s="0" t="str">
        <f aca="false">IF($A182="","",IF(AW182="Y",BY182&amp;"",BK182&amp;""))</f>
        <v/>
      </c>
      <c r="AC182" s="0" t="str">
        <f aca="false">IF($A182="","",IF(AW182="Y",BS182&amp;"",BE182&amp;""))</f>
        <v/>
      </c>
      <c r="AD182" s="0" t="str">
        <f aca="false">IF($A182="","",IF(AW182="Y",BT182&amp;"",BF182&amp;""))</f>
        <v>none</v>
      </c>
      <c r="AE182" s="0" t="str">
        <f aca="false">IF($A182="","",IF(AW182="Y",BU182&amp;"",BG182&amp;""))</f>
        <v/>
      </c>
      <c r="AF182" s="0" t="str">
        <f aca="false">IF($A182="","",IF(AW182="Y",BV182&amp;"",BH182&amp;""))</f>
        <v/>
      </c>
      <c r="AG182" s="0" t="str">
        <f aca="false">IF($A182="","",IF(AW182="Y",BW182&amp;"",BI182&amp;""))</f>
        <v/>
      </c>
      <c r="AH182" s="0" t="str">
        <f aca="false">IF($A182="","",IF(AW182="Y",BX182&amp;"",BJ182&amp;""))</f>
        <v>none</v>
      </c>
      <c r="AI182" s="0" t="s">
        <v>2431</v>
      </c>
      <c r="AJ182" s="0" t="s">
        <v>209</v>
      </c>
      <c r="AK182" s="0" t="s">
        <v>3933</v>
      </c>
      <c r="AL182" s="0" t="s">
        <v>209</v>
      </c>
      <c r="AM182" s="0" t="s">
        <v>209</v>
      </c>
      <c r="AN182" s="0" t="s">
        <v>380</v>
      </c>
      <c r="AO182" s="0" t="s">
        <v>209</v>
      </c>
      <c r="AP182" s="0" t="s">
        <v>3973</v>
      </c>
      <c r="AQ182" s="5" t="s">
        <v>189</v>
      </c>
      <c r="AT182" s="0" t="str">
        <f aca="false">IF($A182="","",IF(AND(CN182="pass",AQ182&lt;&gt;"Y",C182&lt;&gt;"",OR(AX182&lt;&gt;"Y",AV182="Y")),"Y","N"))</f>
        <v>N</v>
      </c>
      <c r="AU182" s="0" t="str">
        <f aca="false">IF($A182="","",_xlfn.TEXTJOIN("; ",TRUE(),IF(CN182&lt;&gt;"pass","gated out",""),IF(AQ182="Y","on hold: "&amp;AR182,""),IF(C182="","no contact named on an opened page",""),IF(AND(AX182="Y",AV182&lt;&gt;"Y"),"Tuesday estimate band "&amp;L182&amp;": founder's call","")))</f>
        <v>no contact named on an opened page</v>
      </c>
      <c r="AX182" s="0" t="s">
        <v>189</v>
      </c>
      <c r="BC182" s="0" t="str">
        <f aca="false">IF($A182="","",IFERROR(INDEX(Enrichment!$A$2:$GZ$2000,MATCH($A182,INDEX(Enrichment!$A$2:$GZ$2000,0,MATCH("row_id",Enrichment!$A$1:$GZ$1,0)),0),MATCH("work_email",Enrichment!$A$1:$GZ$1,0))&amp;"",""))</f>
        <v/>
      </c>
      <c r="BD182" s="0" t="str">
        <f aca="false">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none</v>
      </c>
      <c r="BF182" s="0" t="s">
        <v>380</v>
      </c>
      <c r="BJ182" s="0" t="s">
        <v>380</v>
      </c>
      <c r="BL182" s="0" t="s">
        <v>896</v>
      </c>
      <c r="BQ182" s="0" t="str">
        <f aca="false">IF($A182="","",IFERROR(INDEX(Enrichment!$A$2:$GZ$2000,MATCH($A182,INDEX(Enrichment!$A$2:$GZ$2000,0,MATCH("row_id",Enrichment!$A$1:$GZ$1,0)),0),MATCH("backup_work_email",Enrichment!$A$1:$GZ$1,0))&amp;"",""))</f>
        <v/>
      </c>
      <c r="BR182" s="0" t="str">
        <f aca="false">IF($A182="","",IF(BQ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none</v>
      </c>
      <c r="BT182" s="0" t="s">
        <v>380</v>
      </c>
      <c r="BX182" s="0" t="s">
        <v>380</v>
      </c>
      <c r="BY182" s="0" t="s">
        <v>387</v>
      </c>
      <c r="BZ182" s="0" t="s">
        <v>388</v>
      </c>
      <c r="CA182" s="0" t="s">
        <v>3975</v>
      </c>
      <c r="CB182" s="0" t="s">
        <v>196</v>
      </c>
      <c r="CM182" s="0" t="s">
        <v>189</v>
      </c>
      <c r="CN182" s="0" t="s">
        <v>200</v>
      </c>
      <c r="CO182" s="0" t="s">
        <v>201</v>
      </c>
      <c r="CP182" s="0" t="s">
        <v>1</v>
      </c>
      <c r="CQ182" s="0" t="s">
        <v>3976</v>
      </c>
      <c r="CR182" s="0" t="s">
        <v>3977</v>
      </c>
      <c r="CS182" s="0" t="s">
        <v>3978</v>
      </c>
      <c r="CT182" s="0" t="s">
        <v>209</v>
      </c>
      <c r="CV182" s="0" t="s">
        <v>209</v>
      </c>
      <c r="CW182" s="0" t="s">
        <v>209</v>
      </c>
      <c r="CX182" s="0" t="s">
        <v>2712</v>
      </c>
      <c r="DA182" s="0" t="s">
        <v>209</v>
      </c>
      <c r="DB182" s="0" t="s">
        <v>209</v>
      </c>
      <c r="DC182" s="0" t="s">
        <v>209</v>
      </c>
      <c r="DD182" s="0" t="s">
        <v>3979</v>
      </c>
      <c r="DE182" s="0" t="s">
        <v>209</v>
      </c>
      <c r="DF182" s="0" t="s">
        <v>397</v>
      </c>
      <c r="DG182" s="0" t="n">
        <v>40.738793</v>
      </c>
      <c r="DH182" s="0" t="n">
        <v>-73.991823</v>
      </c>
      <c r="DI182" s="0" t="s">
        <v>164</v>
      </c>
      <c r="DJ182" s="0" t="n">
        <v>0</v>
      </c>
      <c r="DK182" s="0" t="s">
        <v>2303</v>
      </c>
      <c r="DL182" s="0" t="s">
        <v>2304</v>
      </c>
      <c r="DM182" s="0" t="s">
        <v>2305</v>
      </c>
      <c r="DN182" s="0" t="s">
        <v>2306</v>
      </c>
      <c r="DO182" s="0" t="s">
        <v>363</v>
      </c>
      <c r="DS182" s="0" t="s">
        <v>809</v>
      </c>
      <c r="DU182" s="0" t="s">
        <v>189</v>
      </c>
      <c r="DX182" s="0" t="s">
        <v>209</v>
      </c>
      <c r="EA182" s="0" t="s">
        <v>209</v>
      </c>
      <c r="EB182" s="0" t="s">
        <v>189</v>
      </c>
      <c r="EC182" s="0" t="s">
        <v>209</v>
      </c>
      <c r="EF182" s="0" t="s">
        <v>209</v>
      </c>
      <c r="EH182" s="0" t="s">
        <v>189</v>
      </c>
      <c r="EI182" s="0" t="s">
        <v>2716</v>
      </c>
      <c r="EJ182" s="0" t="s">
        <v>221</v>
      </c>
      <c r="EK182" s="0" t="s">
        <v>209</v>
      </c>
      <c r="EL182" s="0" t="n">
        <v>30</v>
      </c>
      <c r="EM182" s="0" t="n">
        <v>7</v>
      </c>
      <c r="EN182" s="0" t="n">
        <v>4</v>
      </c>
      <c r="EO182" s="0" t="n">
        <v>6</v>
      </c>
      <c r="EP182" s="0" t="n">
        <v>13</v>
      </c>
      <c r="EQ182" s="0" t="n">
        <f aca="false">IF($A182="","",IF(AH182="exact",10,IF(AH182="adjacent",5,0)))</f>
        <v>0</v>
      </c>
      <c r="ER182" s="0" t="n">
        <f aca="false">IF($A182="","",IF(R182="Y",15,0))</f>
        <v>0</v>
      </c>
      <c r="ES182" s="0" t="s">
        <v>222</v>
      </c>
      <c r="EV182" s="0" t="s">
        <v>3980</v>
      </c>
      <c r="EW182" s="0" t="s">
        <v>224</v>
      </c>
      <c r="EX182" s="0" t="s">
        <v>3981</v>
      </c>
      <c r="FS182" s="0" t="str">
        <f aca="false">IF($A182="","",IF(ISNUMBER(MATCH(U182,{"queued","contacted","replied","call_booked","call_done","yes_in_principle","materials_sent"},0)),"Y","N"))</f>
        <v>N</v>
      </c>
      <c r="FT182" s="0" t="str">
        <f aca="false">IF($A182="","",IF(OR(T182="Y",U182="do_not_contact",AS182&amp;""&lt;&gt;""),"Y","N"))</f>
        <v>N</v>
      </c>
      <c r="FU182" s="0" t="str">
        <f aca="false">IF($A182="","",IF(AP182&amp;""&lt;&gt;"",AP182&amp;"",$A182))</f>
        <v>AO-C-041</v>
      </c>
      <c r="FV182" s="0" t="str">
        <f aca="false">IF($A182="","",IF(COUNTIFS($FU$2:$FU$1000,FU182,$FS$2:$FS$1000,"Y")+COUNTIFS($FU$2:$FU$1000,FU182,$FT$2:$FT$1000,"Y")&gt;0,"Y","N"))</f>
        <v>N</v>
      </c>
      <c r="FW182" s="0" t="str">
        <f aca="false">IF($A182="","",IF(AND(U182="new",T182="N",FT182="N",AT182="Y",FV182="N"),"Y","N"))</f>
        <v>N</v>
      </c>
      <c r="FX182" s="0" t="str">
        <f aca="false">IF($A182="","",IF(FW182&lt;&gt;"Y","N",IF(COUNTIFS($FU$2:$FU$1000,FU182,$FW$2:$FW$1000,"Y",$J$2:$J$1000,"&gt;"&amp;J182)+COUNTIFS($FU$2:$FU$1000,FU182,$FW$2:$FW$1000,"Y",$J$2:$J$1000,J182,$GD$2:$GD$1000,"&lt;"&amp;GD182)=0,"Y","N")))</f>
        <v>N</v>
      </c>
      <c r="FY182" s="0" t="str">
        <f aca="false">IF($A182="","",IF(AND(FW182="Y",FX182="Y",Y182&amp;""&lt;&gt;""),IF(Y182&lt;=10,"Y","N"),"N"))</f>
        <v>N</v>
      </c>
      <c r="FZ182" s="0" t="str">
        <f aca="false">IF(FY182="Y",Y182,"")</f>
        <v/>
      </c>
      <c r="GA182" s="0" t="str">
        <f aca="false">IF($A182="","",IF(AND(I182="walk-in",CN182="pass",U182="new",FT182="N",FV182="N",AQ182&lt;&gt;"Y"),"Y","N"))</f>
        <v>N</v>
      </c>
      <c r="GB182" s="0" t="str">
        <f aca="false">IF(GA182&lt;&gt;"Y","",IF(COUNTIFS($GA$2:$GA$1000,"Y",$J$2:$J$1000,"&gt;"&amp;J182)+COUNTIFS($GA$2:$GA$1000,"Y",$J$2:$J$1000,J182,$GD$2:$GD$1000,"&lt;"&amp;GD182)+1&lt;=25,COUNTIFS($GA$2:$GA$1000,"Y",$J$2:$J$1000,"&gt;"&amp;J182)+COUNTIFS($GA$2:$GA$1000,"Y",$J$2:$J$1000,J182,$GD$2:$GD$1000,"&lt;"&amp;GD182)+1,""))</f>
        <v/>
      </c>
      <c r="GC182" s="0" t="str">
        <f aca="false">IF(AND(_xlfn.ISFORMULA(C182),_xlfn.ISFORMULA(J182)),"Y","N")</f>
        <v>Y</v>
      </c>
      <c r="GD182" s="0" t="n">
        <f aca="false">ROW()-1</f>
        <v>181</v>
      </c>
    </row>
    <row r="183" customFormat="false" ht="15" hidden="false" customHeight="false" outlineLevel="0" collapsed="false">
      <c r="A183" s="0" t="s">
        <v>3982</v>
      </c>
      <c r="B183" s="0" t="s">
        <v>3983</v>
      </c>
      <c r="C183" s="0" t="str">
        <f aca="false">IF($A183="","",IF(AW183="Y",BM183&amp;"",AY183&amp;""))</f>
        <v/>
      </c>
      <c r="D183" s="0" t="str">
        <f aca="false">IF($A183="","",IF(AW183="Y",BN183&amp;"",AZ183&amp;""))</f>
        <v/>
      </c>
      <c r="E183" s="0" t="str">
        <f aca="false">IF($A183="","",IF(AW183="Y",BO183&amp;"",BA183&amp;""))</f>
        <v/>
      </c>
      <c r="F183" s="0" t="str">
        <f aca="false">IF($A183="","",IF(AW183="Y",BP183&amp;"",BB183&amp;""))</f>
        <v/>
      </c>
      <c r="G183" s="0" t="str">
        <f aca="false">IF($A183="","",IF(AW183="Y",BQ183&amp;"",BC183&amp;""))</f>
        <v/>
      </c>
      <c r="H183" s="0" t="str">
        <f aca="false">IF($A183="","",IF(AW183="Y",BR183&amp;"",BD183&amp;""))</f>
        <v>none</v>
      </c>
      <c r="I183" s="0" t="str">
        <f aca="false">IF($A183="","",IF(R183="Y","warm-intro",IF(H183="verified","email",IF(C183&lt;&gt;"","linkedin",CB183&amp;""))))</f>
        <v>linkedin</v>
      </c>
      <c r="J183" s="0" t="n">
        <f aca="false">IF($A183="","",IF(CN183="pass",ROUND(N(EM183)+N(EN183)+N(EO183)+N(EP183)+N(EQ183)+N(ER183),1),0))</f>
        <v>30</v>
      </c>
      <c r="K183" s="0" t="str">
        <f aca="false">IF($A183="","",IF(CN183&lt;&gt;"pass",CA183&amp;"",CA183&amp;"; "&amp;IF(AW183="Y",BZ183&amp;"",BL183&amp;"")&amp;IF(R183="Y","; known to the founder (+15)","")&amp;"."))</f>
        <v>Tuesday headcount unknown (no sourced count), company size unknown with a named parent (Nuveen), no attendance signal, occupied at a medium-confidence address; contacts not researched yet.</v>
      </c>
      <c r="L183" s="0" t="s">
        <v>209</v>
      </c>
      <c r="R183" s="5" t="s">
        <v>189</v>
      </c>
      <c r="S183" s="0" t="s">
        <v>209</v>
      </c>
      <c r="T183" s="0" t="s">
        <v>189</v>
      </c>
      <c r="U183" s="5" t="s">
        <v>3896</v>
      </c>
      <c r="V183" s="0" t="s">
        <v>3984</v>
      </c>
      <c r="W183" s="0" t="s">
        <v>263</v>
      </c>
      <c r="X183" s="0" t="s">
        <v>3897</v>
      </c>
      <c r="Y183" s="0" t="str">
        <f aca="false">IF(FX183&lt;&gt;"Y","",COUNTIFS($FX$2:$FX$1000,"Y",$J$2:$J$1000,"&gt;"&amp;J183)+COUNTIFS($FX$2:$FX$1000,"Y",$J$2:$J$1000,J183,$GD$2:$GD$1000,"&lt;"&amp;GD183)+1)</f>
        <v/>
      </c>
      <c r="Z183" s="0" t="n">
        <v>182</v>
      </c>
      <c r="AA183" s="0" t="s">
        <v>189</v>
      </c>
      <c r="AB183" s="0" t="str">
        <f aca="false">IF($A183="","",IF(AW183="Y",BY183&amp;"",BK183&amp;""))</f>
        <v/>
      </c>
      <c r="AC183" s="0" t="str">
        <f aca="false">IF($A183="","",IF(AW183="Y",BS183&amp;"",BE183&amp;""))</f>
        <v/>
      </c>
      <c r="AD183" s="0" t="str">
        <f aca="false">IF($A183="","",IF(AW183="Y",BT183&amp;"",BF183&amp;""))</f>
        <v>none</v>
      </c>
      <c r="AE183" s="0" t="str">
        <f aca="false">IF($A183="","",IF(AW183="Y",BU183&amp;"",BG183&amp;""))</f>
        <v/>
      </c>
      <c r="AF183" s="0" t="str">
        <f aca="false">IF($A183="","",IF(AW183="Y",BV183&amp;"",BH183&amp;""))</f>
        <v/>
      </c>
      <c r="AG183" s="0" t="str">
        <f aca="false">IF($A183="","",IF(AW183="Y",BW183&amp;"",BI183&amp;""))</f>
        <v/>
      </c>
      <c r="AH183" s="0" t="str">
        <f aca="false">IF($A183="","",IF(AW183="Y",BX183&amp;"",BJ183&amp;""))</f>
        <v>none</v>
      </c>
      <c r="AI183" s="0" t="s">
        <v>3985</v>
      </c>
      <c r="AJ183" s="0" t="s">
        <v>623</v>
      </c>
      <c r="AK183" s="0" t="s">
        <v>3933</v>
      </c>
      <c r="AL183" s="0" t="s">
        <v>209</v>
      </c>
      <c r="AM183" s="0" t="s">
        <v>209</v>
      </c>
      <c r="AN183" s="0" t="s">
        <v>380</v>
      </c>
      <c r="AO183" s="0" t="s">
        <v>209</v>
      </c>
      <c r="AP183" s="0" t="s">
        <v>3982</v>
      </c>
      <c r="AQ183" s="5" t="s">
        <v>189</v>
      </c>
      <c r="AT183" s="0" t="str">
        <f aca="false">IF($A183="","",IF(AND(CN183="pass",AQ183&lt;&gt;"Y",C183&lt;&gt;"",OR(AX183&lt;&gt;"Y",AV183="Y")),"Y","N"))</f>
        <v>N</v>
      </c>
      <c r="AU183" s="0" t="str">
        <f aca="false">IF($A183="","",_xlfn.TEXTJOIN("; ",TRUE(),IF(CN183&lt;&gt;"pass","gated out",""),IF(AQ183="Y","on hold: "&amp;AR183,""),IF(C183="","no contact named on an opened page",""),IF(AND(AX183="Y",AV183&lt;&gt;"Y"),"Tuesday estimate band "&amp;L183&amp;": founder's call","")))</f>
        <v>no contact named on an opened page</v>
      </c>
      <c r="AX183" s="0" t="s">
        <v>189</v>
      </c>
      <c r="BC183" s="0" t="str">
        <f aca="false">IF($A183="","",IFERROR(INDEX(Enrichment!$A$2:$GZ$2000,MATCH($A183,INDEX(Enrichment!$A$2:$GZ$2000,0,MATCH("row_id",Enrichment!$A$1:$GZ$1,0)),0),MATCH("work_email",Enrichment!$A$1:$GZ$1,0))&amp;"",""))</f>
        <v/>
      </c>
      <c r="BD183" s="0" t="str">
        <f aca="false">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none</v>
      </c>
      <c r="BF183" s="0" t="s">
        <v>380</v>
      </c>
      <c r="BJ183" s="0" t="s">
        <v>380</v>
      </c>
      <c r="BL183" s="0" t="s">
        <v>896</v>
      </c>
      <c r="BQ183" s="0" t="str">
        <f aca="false">IF($A183="","",IFERROR(INDEX(Enrichment!$A$2:$GZ$2000,MATCH($A183,INDEX(Enrichment!$A$2:$GZ$2000,0,MATCH("row_id",Enrichment!$A$1:$GZ$1,0)),0),MATCH("backup_work_email",Enrichment!$A$1:$GZ$1,0))&amp;"",""))</f>
        <v/>
      </c>
      <c r="BR183" s="0" t="str">
        <f aca="false">IF($A183="","",IF(BQ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none</v>
      </c>
      <c r="BT183" s="0" t="s">
        <v>380</v>
      </c>
      <c r="BX183" s="0" t="s">
        <v>380</v>
      </c>
      <c r="BY183" s="0" t="s">
        <v>387</v>
      </c>
      <c r="BZ183" s="0" t="s">
        <v>388</v>
      </c>
      <c r="CA183" s="0" t="s">
        <v>3986</v>
      </c>
      <c r="CB183" s="0" t="s">
        <v>196</v>
      </c>
      <c r="CM183" s="0" t="s">
        <v>189</v>
      </c>
      <c r="CN183" s="0" t="s">
        <v>200</v>
      </c>
      <c r="CO183" s="0" t="s">
        <v>201</v>
      </c>
      <c r="CP183" s="0" t="s">
        <v>1</v>
      </c>
      <c r="CQ183" s="0" t="s">
        <v>3987</v>
      </c>
      <c r="CR183" s="0" t="s">
        <v>3988</v>
      </c>
      <c r="CS183" s="0" t="s">
        <v>3989</v>
      </c>
      <c r="CT183" s="0" t="s">
        <v>209</v>
      </c>
      <c r="CV183" s="0" t="s">
        <v>209</v>
      </c>
      <c r="CW183" s="0" t="s">
        <v>209</v>
      </c>
      <c r="CX183" s="0" t="s">
        <v>2712</v>
      </c>
      <c r="DA183" s="0" t="s">
        <v>209</v>
      </c>
      <c r="DB183" s="0" t="s">
        <v>209</v>
      </c>
      <c r="DC183" s="0" t="s">
        <v>209</v>
      </c>
      <c r="DD183" s="0" t="s">
        <v>3990</v>
      </c>
      <c r="DE183" s="0" t="s">
        <v>209</v>
      </c>
      <c r="DF183" s="0" t="s">
        <v>210</v>
      </c>
      <c r="DG183" s="0" t="n">
        <v>40.736065</v>
      </c>
      <c r="DH183" s="0" t="n">
        <v>-73.991246</v>
      </c>
      <c r="DI183" s="0" t="s">
        <v>164</v>
      </c>
      <c r="DJ183" s="0" t="n">
        <v>0</v>
      </c>
      <c r="DK183" s="0" t="s">
        <v>3991</v>
      </c>
      <c r="DL183" s="0" t="s">
        <v>3985</v>
      </c>
      <c r="DM183" s="0" t="s">
        <v>3984</v>
      </c>
      <c r="DN183" s="0" t="s">
        <v>263</v>
      </c>
      <c r="DO183" s="0" t="s">
        <v>214</v>
      </c>
      <c r="DP183" s="0" t="s">
        <v>3992</v>
      </c>
      <c r="DQ183" s="0" t="s">
        <v>3993</v>
      </c>
      <c r="DS183" s="0" t="s">
        <v>809</v>
      </c>
      <c r="DU183" s="0" t="s">
        <v>189</v>
      </c>
      <c r="DX183" s="0" t="s">
        <v>209</v>
      </c>
      <c r="EA183" s="0" t="s">
        <v>209</v>
      </c>
      <c r="EB183" s="0" t="s">
        <v>189</v>
      </c>
      <c r="EC183" s="0" t="s">
        <v>209</v>
      </c>
      <c r="EF183" s="0" t="s">
        <v>209</v>
      </c>
      <c r="EH183" s="0" t="s">
        <v>189</v>
      </c>
      <c r="EI183" s="0" t="s">
        <v>2716</v>
      </c>
      <c r="EJ183" s="0" t="s">
        <v>221</v>
      </c>
      <c r="EK183" s="0" t="s">
        <v>209</v>
      </c>
      <c r="EL183" s="0" t="n">
        <v>30</v>
      </c>
      <c r="EM183" s="0" t="n">
        <v>7</v>
      </c>
      <c r="EN183" s="0" t="n">
        <v>4</v>
      </c>
      <c r="EO183" s="0" t="n">
        <v>6</v>
      </c>
      <c r="EP183" s="0" t="n">
        <v>13</v>
      </c>
      <c r="EQ183" s="0" t="n">
        <f aca="false">IF($A183="","",IF(AH183="exact",10,IF(AH183="adjacent",5,0)))</f>
        <v>0</v>
      </c>
      <c r="ER183" s="0" t="n">
        <f aca="false">IF($A183="","",IF(R183="Y",15,0))</f>
        <v>0</v>
      </c>
      <c r="ES183" s="0" t="s">
        <v>222</v>
      </c>
      <c r="EX183" s="0" t="s">
        <v>3994</v>
      </c>
      <c r="FS183" s="0" t="str">
        <f aca="false">IF($A183="","",IF(ISNUMBER(MATCH(U183,{"queued","contacted","replied","call_booked","call_done","yes_in_principle","materials_sent"},0)),"Y","N"))</f>
        <v>N</v>
      </c>
      <c r="FT183" s="0" t="str">
        <f aca="false">IF($A183="","",IF(OR(T183="Y",U183="do_not_contact",AS183&amp;""&lt;&gt;""),"Y","N"))</f>
        <v>N</v>
      </c>
      <c r="FU183" s="0" t="str">
        <f aca="false">IF($A183="","",IF(AP183&amp;""&lt;&gt;"",AP183&amp;"",$A183))</f>
        <v>AO-C-015</v>
      </c>
      <c r="FV183" s="0" t="str">
        <f aca="false">IF($A183="","",IF(COUNTIFS($FU$2:$FU$1000,FU183,$FS$2:$FS$1000,"Y")+COUNTIFS($FU$2:$FU$1000,FU183,$FT$2:$FT$1000,"Y")&gt;0,"Y","N"))</f>
        <v>N</v>
      </c>
      <c r="FW183" s="0" t="str">
        <f aca="false">IF($A183="","",IF(AND(U183="new",T183="N",FT183="N",AT183="Y",FV183="N"),"Y","N"))</f>
        <v>N</v>
      </c>
      <c r="FX183" s="0" t="str">
        <f aca="false">IF($A183="","",IF(FW183&lt;&gt;"Y","N",IF(COUNTIFS($FU$2:$FU$1000,FU183,$FW$2:$FW$1000,"Y",$J$2:$J$1000,"&gt;"&amp;J183)+COUNTIFS($FU$2:$FU$1000,FU183,$FW$2:$FW$1000,"Y",$J$2:$J$1000,J183,$GD$2:$GD$1000,"&lt;"&amp;GD183)=0,"Y","N")))</f>
        <v>N</v>
      </c>
      <c r="FY183" s="0" t="str">
        <f aca="false">IF($A183="","",IF(AND(FW183="Y",FX183="Y",Y183&amp;""&lt;&gt;""),IF(Y183&lt;=10,"Y","N"),"N"))</f>
        <v>N</v>
      </c>
      <c r="FZ183" s="0" t="str">
        <f aca="false">IF(FY183="Y",Y183,"")</f>
        <v/>
      </c>
      <c r="GA183" s="0" t="str">
        <f aca="false">IF($A183="","",IF(AND(I183="walk-in",CN183="pass",U183="new",FT183="N",FV183="N",AQ183&lt;&gt;"Y"),"Y","N"))</f>
        <v>N</v>
      </c>
      <c r="GB183" s="0" t="str">
        <f aca="false">IF(GA183&lt;&gt;"Y","",IF(COUNTIFS($GA$2:$GA$1000,"Y",$J$2:$J$1000,"&gt;"&amp;J183)+COUNTIFS($GA$2:$GA$1000,"Y",$J$2:$J$1000,J183,$GD$2:$GD$1000,"&lt;"&amp;GD183)+1&lt;=25,COUNTIFS($GA$2:$GA$1000,"Y",$J$2:$J$1000,"&gt;"&amp;J183)+COUNTIFS($GA$2:$GA$1000,"Y",$J$2:$J$1000,J183,$GD$2:$GD$1000,"&lt;"&amp;GD183)+1,""))</f>
        <v/>
      </c>
      <c r="GC183" s="0" t="str">
        <f aca="false">IF(AND(_xlfn.ISFORMULA(C183),_xlfn.ISFORMULA(J183)),"Y","N")</f>
        <v>Y</v>
      </c>
      <c r="GD183" s="0" t="n">
        <f aca="false">ROW()-1</f>
        <v>182</v>
      </c>
    </row>
    <row r="184" customFormat="false" ht="15" hidden="false" customHeight="false" outlineLevel="0" collapsed="false">
      <c r="A184" s="0" t="s">
        <v>3995</v>
      </c>
      <c r="B184" s="0" t="s">
        <v>3996</v>
      </c>
      <c r="C184" s="0" t="str">
        <f aca="false">IF($A184="","",IF(AW184="Y",BM184&amp;"",AY184&amp;""))</f>
        <v/>
      </c>
      <c r="D184" s="0" t="str">
        <f aca="false">IF($A184="","",IF(AW184="Y",BN184&amp;"",AZ184&amp;""))</f>
        <v/>
      </c>
      <c r="E184" s="0" t="str">
        <f aca="false">IF($A184="","",IF(AW184="Y",BO184&amp;"",BA184&amp;""))</f>
        <v/>
      </c>
      <c r="F184" s="0" t="str">
        <f aca="false">IF($A184="","",IF(AW184="Y",BP184&amp;"",BB184&amp;""))</f>
        <v/>
      </c>
      <c r="G184" s="0" t="str">
        <f aca="false">IF($A184="","",IF(AW184="Y",BQ184&amp;"",BC184&amp;""))</f>
        <v/>
      </c>
      <c r="H184" s="0" t="str">
        <f aca="false">IF($A184="","",IF(AW184="Y",BR184&amp;"",BD184&amp;""))</f>
        <v>none</v>
      </c>
      <c r="I184" s="0" t="str">
        <f aca="false">IF($A184="","",IF(R184="Y","warm-intro",IF(H184="verified","email",IF(C184&lt;&gt;"","linkedin",CB184&amp;""))))</f>
        <v>linkedin</v>
      </c>
      <c r="J184" s="0" t="n">
        <f aca="false">IF($A184="","",IF(CN184="pass",ROUND(N(EM184)+N(EN184)+N(EO184)+N(EP184)+N(EQ184)+N(ER184),1),0))</f>
        <v>30</v>
      </c>
      <c r="K184" s="0" t="str">
        <f aca="false">IF($A184="","",IF(CN184&lt;&gt;"pass",CA184&amp;"",CA184&amp;"; "&amp;IF(AW184="Y",BZ184&amp;"",BL184&amp;"")&amp;IF(R184="Y","; known to the founder (+15)","")&amp;"."))</f>
        <v>Tuesday headcount unknown (no sourced count), company size unknown with a named parent (Kodansha), no attendance signal, occupied at a medium-confidence address; contacts not researched yet.</v>
      </c>
      <c r="L184" s="0" t="s">
        <v>209</v>
      </c>
      <c r="R184" s="5" t="s">
        <v>189</v>
      </c>
      <c r="S184" s="0" t="s">
        <v>209</v>
      </c>
      <c r="T184" s="0" t="s">
        <v>189</v>
      </c>
      <c r="U184" s="5" t="s">
        <v>3896</v>
      </c>
      <c r="V184" s="0" t="s">
        <v>3997</v>
      </c>
      <c r="W184" s="0" t="s">
        <v>263</v>
      </c>
      <c r="X184" s="0" t="s">
        <v>3897</v>
      </c>
      <c r="Y184" s="0" t="str">
        <f aca="false">IF(FX184&lt;&gt;"Y","",COUNTIFS($FX$2:$FX$1000,"Y",$J$2:$J$1000,"&gt;"&amp;J184)+COUNTIFS($FX$2:$FX$1000,"Y",$J$2:$J$1000,J184,$GD$2:$GD$1000,"&lt;"&amp;GD184)+1)</f>
        <v/>
      </c>
      <c r="Z184" s="0" t="n">
        <v>183</v>
      </c>
      <c r="AA184" s="0" t="s">
        <v>189</v>
      </c>
      <c r="AB184" s="0" t="str">
        <f aca="false">IF($A184="","",IF(AW184="Y",BY184&amp;"",BK184&amp;""))</f>
        <v/>
      </c>
      <c r="AC184" s="0" t="str">
        <f aca="false">IF($A184="","",IF(AW184="Y",BS184&amp;"",BE184&amp;""))</f>
        <v/>
      </c>
      <c r="AD184" s="0" t="str">
        <f aca="false">IF($A184="","",IF(AW184="Y",BT184&amp;"",BF184&amp;""))</f>
        <v>none</v>
      </c>
      <c r="AE184" s="0" t="str">
        <f aca="false">IF($A184="","",IF(AW184="Y",BU184&amp;"",BG184&amp;""))</f>
        <v/>
      </c>
      <c r="AF184" s="0" t="str">
        <f aca="false">IF($A184="","",IF(AW184="Y",BV184&amp;"",BH184&amp;""))</f>
        <v/>
      </c>
      <c r="AG184" s="0" t="str">
        <f aca="false">IF($A184="","",IF(AW184="Y",BW184&amp;"",BI184&amp;""))</f>
        <v/>
      </c>
      <c r="AH184" s="0" t="str">
        <f aca="false">IF($A184="","",IF(AW184="Y",BX184&amp;"",BJ184&amp;""))</f>
        <v>none</v>
      </c>
      <c r="AI184" s="0" t="s">
        <v>3998</v>
      </c>
      <c r="AJ184" s="0" t="s">
        <v>3999</v>
      </c>
      <c r="AK184" s="0" t="s">
        <v>3933</v>
      </c>
      <c r="AL184" s="0" t="s">
        <v>209</v>
      </c>
      <c r="AM184" s="0" t="s">
        <v>209</v>
      </c>
      <c r="AN184" s="0" t="s">
        <v>380</v>
      </c>
      <c r="AO184" s="0" t="s">
        <v>209</v>
      </c>
      <c r="AP184" s="0" t="s">
        <v>3995</v>
      </c>
      <c r="AQ184" s="5" t="s">
        <v>189</v>
      </c>
      <c r="AT184" s="0" t="str">
        <f aca="false">IF($A184="","",IF(AND(CN184="pass",AQ184&lt;&gt;"Y",C184&lt;&gt;"",OR(AX184&lt;&gt;"Y",AV184="Y")),"Y","N"))</f>
        <v>N</v>
      </c>
      <c r="AU184" s="0" t="str">
        <f aca="false">IF($A184="","",_xlfn.TEXTJOIN("; ",TRUE(),IF(CN184&lt;&gt;"pass","gated out",""),IF(AQ184="Y","on hold: "&amp;AR184,""),IF(C184="","no contact named on an opened page",""),IF(AND(AX184="Y",AV184&lt;&gt;"Y"),"Tuesday estimate band "&amp;L184&amp;": founder's call","")))</f>
        <v>no contact named on an opened page</v>
      </c>
      <c r="AX184" s="0" t="s">
        <v>189</v>
      </c>
      <c r="BC184" s="0" t="str">
        <f aca="false">IF($A184="","",IFERROR(INDEX(Enrichment!$A$2:$GZ$2000,MATCH($A184,INDEX(Enrichment!$A$2:$GZ$2000,0,MATCH("row_id",Enrichment!$A$1:$GZ$1,0)),0),MATCH("work_email",Enrichment!$A$1:$GZ$1,0))&amp;"",""))</f>
        <v/>
      </c>
      <c r="BD184" s="0" t="str">
        <f aca="false">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none</v>
      </c>
      <c r="BF184" s="0" t="s">
        <v>380</v>
      </c>
      <c r="BJ184" s="0" t="s">
        <v>380</v>
      </c>
      <c r="BL184" s="0" t="s">
        <v>896</v>
      </c>
      <c r="BQ184" s="0" t="str">
        <f aca="false">IF($A184="","",IFERROR(INDEX(Enrichment!$A$2:$GZ$2000,MATCH($A184,INDEX(Enrichment!$A$2:$GZ$2000,0,MATCH("row_id",Enrichment!$A$1:$GZ$1,0)),0),MATCH("backup_work_email",Enrichment!$A$1:$GZ$1,0))&amp;"",""))</f>
        <v/>
      </c>
      <c r="BR184" s="0" t="str">
        <f aca="false">IF($A184="","",IF(BQ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none</v>
      </c>
      <c r="BT184" s="0" t="s">
        <v>380</v>
      </c>
      <c r="BX184" s="0" t="s">
        <v>380</v>
      </c>
      <c r="BY184" s="0" t="s">
        <v>387</v>
      </c>
      <c r="BZ184" s="0" t="s">
        <v>388</v>
      </c>
      <c r="CA184" s="0" t="s">
        <v>4000</v>
      </c>
      <c r="CB184" s="0" t="s">
        <v>196</v>
      </c>
      <c r="CM184" s="0" t="s">
        <v>189</v>
      </c>
      <c r="CN184" s="0" t="s">
        <v>200</v>
      </c>
      <c r="CO184" s="0" t="s">
        <v>201</v>
      </c>
      <c r="CP184" s="0" t="s">
        <v>1</v>
      </c>
      <c r="CQ184" s="0" t="s">
        <v>4001</v>
      </c>
      <c r="CR184" s="0" t="s">
        <v>4002</v>
      </c>
      <c r="CS184" s="0" t="s">
        <v>4003</v>
      </c>
      <c r="CT184" s="0" t="s">
        <v>209</v>
      </c>
      <c r="CV184" s="0" t="s">
        <v>209</v>
      </c>
      <c r="CW184" s="0" t="s">
        <v>209</v>
      </c>
      <c r="CX184" s="0" t="s">
        <v>2712</v>
      </c>
      <c r="DA184" s="0" t="s">
        <v>209</v>
      </c>
      <c r="DB184" s="0" t="s">
        <v>209</v>
      </c>
      <c r="DC184" s="0" t="s">
        <v>209</v>
      </c>
      <c r="DD184" s="0" t="s">
        <v>4004</v>
      </c>
      <c r="DE184" s="0" t="s">
        <v>209</v>
      </c>
      <c r="DF184" s="0" t="s">
        <v>525</v>
      </c>
      <c r="DG184" s="0" t="n">
        <v>40.740287</v>
      </c>
      <c r="DH184" s="0" t="n">
        <v>-73.98805</v>
      </c>
      <c r="DI184" s="0" t="s">
        <v>164</v>
      </c>
      <c r="DJ184" s="0" t="n">
        <v>0</v>
      </c>
      <c r="DK184" s="0" t="s">
        <v>4005</v>
      </c>
      <c r="DL184" s="0" t="s">
        <v>4006</v>
      </c>
      <c r="DM184" s="0" t="s">
        <v>3997</v>
      </c>
      <c r="DN184" s="0" t="s">
        <v>263</v>
      </c>
      <c r="DO184" s="0" t="s">
        <v>214</v>
      </c>
      <c r="DP184" s="0" t="s">
        <v>4007</v>
      </c>
      <c r="DQ184" s="0" t="s">
        <v>4008</v>
      </c>
      <c r="DS184" s="0" t="s">
        <v>809</v>
      </c>
      <c r="DU184" s="0" t="s">
        <v>189</v>
      </c>
      <c r="DX184" s="0" t="s">
        <v>209</v>
      </c>
      <c r="EA184" s="0" t="s">
        <v>209</v>
      </c>
      <c r="EB184" s="0" t="s">
        <v>189</v>
      </c>
      <c r="EC184" s="0" t="s">
        <v>209</v>
      </c>
      <c r="EF184" s="0" t="s">
        <v>209</v>
      </c>
      <c r="EH184" s="0" t="s">
        <v>189</v>
      </c>
      <c r="EI184" s="0" t="s">
        <v>2716</v>
      </c>
      <c r="EJ184" s="0" t="s">
        <v>221</v>
      </c>
      <c r="EK184" s="0" t="s">
        <v>209</v>
      </c>
      <c r="EL184" s="0" t="n">
        <v>30</v>
      </c>
      <c r="EM184" s="0" t="n">
        <v>7</v>
      </c>
      <c r="EN184" s="0" t="n">
        <v>4</v>
      </c>
      <c r="EO184" s="0" t="n">
        <v>6</v>
      </c>
      <c r="EP184" s="0" t="n">
        <v>13</v>
      </c>
      <c r="EQ184" s="0" t="n">
        <f aca="false">IF($A184="","",IF(AH184="exact",10,IF(AH184="adjacent",5,0)))</f>
        <v>0</v>
      </c>
      <c r="ER184" s="0" t="n">
        <f aca="false">IF($A184="","",IF(R184="Y",15,0))</f>
        <v>0</v>
      </c>
      <c r="ES184" s="0" t="s">
        <v>222</v>
      </c>
      <c r="EV184" s="0" t="s">
        <v>4009</v>
      </c>
      <c r="EW184" s="0" t="s">
        <v>224</v>
      </c>
      <c r="EX184" s="0" t="s">
        <v>4010</v>
      </c>
      <c r="FS184" s="0" t="str">
        <f aca="false">IF($A184="","",IF(ISNUMBER(MATCH(U184,{"queued","contacted","replied","call_booked","call_done","yes_in_principle","materials_sent"},0)),"Y","N"))</f>
        <v>N</v>
      </c>
      <c r="FT184" s="0" t="str">
        <f aca="false">IF($A184="","",IF(OR(T184="Y",U184="do_not_contact",AS184&amp;""&lt;&gt;""),"Y","N"))</f>
        <v>N</v>
      </c>
      <c r="FU184" s="0" t="str">
        <f aca="false">IF($A184="","",IF(AP184&amp;""&lt;&gt;"",AP184&amp;"",$A184))</f>
        <v>AO-C-093</v>
      </c>
      <c r="FV184" s="0" t="str">
        <f aca="false">IF($A184="","",IF(COUNTIFS($FU$2:$FU$1000,FU184,$FS$2:$FS$1000,"Y")+COUNTIFS($FU$2:$FU$1000,FU184,$FT$2:$FT$1000,"Y")&gt;0,"Y","N"))</f>
        <v>N</v>
      </c>
      <c r="FW184" s="0" t="str">
        <f aca="false">IF($A184="","",IF(AND(U184="new",T184="N",FT184="N",AT184="Y",FV184="N"),"Y","N"))</f>
        <v>N</v>
      </c>
      <c r="FX184" s="0" t="str">
        <f aca="false">IF($A184="","",IF(FW184&lt;&gt;"Y","N",IF(COUNTIFS($FU$2:$FU$1000,FU184,$FW$2:$FW$1000,"Y",$J$2:$J$1000,"&gt;"&amp;J184)+COUNTIFS($FU$2:$FU$1000,FU184,$FW$2:$FW$1000,"Y",$J$2:$J$1000,J184,$GD$2:$GD$1000,"&lt;"&amp;GD184)=0,"Y","N")))</f>
        <v>N</v>
      </c>
      <c r="FY184" s="0" t="str">
        <f aca="false">IF($A184="","",IF(AND(FW184="Y",FX184="Y",Y184&amp;""&lt;&gt;""),IF(Y184&lt;=10,"Y","N"),"N"))</f>
        <v>N</v>
      </c>
      <c r="FZ184" s="0" t="str">
        <f aca="false">IF(FY184="Y",Y184,"")</f>
        <v/>
      </c>
      <c r="GA184" s="0" t="str">
        <f aca="false">IF($A184="","",IF(AND(I184="walk-in",CN184="pass",U184="new",FT184="N",FV184="N",AQ184&lt;&gt;"Y"),"Y","N"))</f>
        <v>N</v>
      </c>
      <c r="GB184" s="0" t="str">
        <f aca="false">IF(GA184&lt;&gt;"Y","",IF(COUNTIFS($GA$2:$GA$1000,"Y",$J$2:$J$1000,"&gt;"&amp;J184)+COUNTIFS($GA$2:$GA$1000,"Y",$J$2:$J$1000,J184,$GD$2:$GD$1000,"&lt;"&amp;GD184)+1&lt;=25,COUNTIFS($GA$2:$GA$1000,"Y",$J$2:$J$1000,"&gt;"&amp;J184)+COUNTIFS($GA$2:$GA$1000,"Y",$J$2:$J$1000,J184,$GD$2:$GD$1000,"&lt;"&amp;GD184)+1,""))</f>
        <v/>
      </c>
      <c r="GC184" s="0" t="str">
        <f aca="false">IF(AND(_xlfn.ISFORMULA(C184),_xlfn.ISFORMULA(J184)),"Y","N")</f>
        <v>Y</v>
      </c>
      <c r="GD184" s="0" t="n">
        <f aca="false">ROW()-1</f>
        <v>183</v>
      </c>
    </row>
    <row r="185" customFormat="false" ht="15" hidden="false" customHeight="false" outlineLevel="0" collapsed="false">
      <c r="A185" s="0" t="s">
        <v>4011</v>
      </c>
      <c r="B185" s="0" t="s">
        <v>4012</v>
      </c>
      <c r="C185" s="0" t="str">
        <f aca="false">IF($A185="","",IF(AW185="Y",BM185&amp;"",AY185&amp;""))</f>
        <v/>
      </c>
      <c r="D185" s="0" t="str">
        <f aca="false">IF($A185="","",IF(AW185="Y",BN185&amp;"",AZ185&amp;""))</f>
        <v/>
      </c>
      <c r="E185" s="0" t="str">
        <f aca="false">IF($A185="","",IF(AW185="Y",BO185&amp;"",BA185&amp;""))</f>
        <v/>
      </c>
      <c r="F185" s="0" t="str">
        <f aca="false">IF($A185="","",IF(AW185="Y",BP185&amp;"",BB185&amp;""))</f>
        <v/>
      </c>
      <c r="G185" s="0" t="str">
        <f aca="false">IF($A185="","",IF(AW185="Y",BQ185&amp;"",BC185&amp;""))</f>
        <v/>
      </c>
      <c r="H185" s="0" t="str">
        <f aca="false">IF($A185="","",IF(AW185="Y",BR185&amp;"",BD185&amp;""))</f>
        <v>none</v>
      </c>
      <c r="I185" s="0" t="str">
        <f aca="false">IF($A185="","",IF(R185="Y","warm-intro",IF(H185="verified","email",IF(C185&lt;&gt;"","linkedin",CB185&amp;""))))</f>
        <v>linkedin</v>
      </c>
      <c r="J185" s="0" t="n">
        <f aca="false">IF($A185="","",IF(CN185="pass",ROUND(N(EM185)+N(EN185)+N(EO185)+N(EP185)+N(EQ185)+N(ER185),1),0))</f>
        <v>30</v>
      </c>
      <c r="K185" s="0" t="str">
        <f aca="false">IF($A185="","",IF(CN185&lt;&gt;"pass",CA185&amp;"",CA185&amp;"; "&amp;IF(AW185="Y",BZ185&amp;"",BL185&amp;"")&amp;IF(R185="Y","; known to the founder (+15)","")&amp;"."))</f>
        <v>Tuesday headcount unknown (no sourced count), company size unknown with a named parent (Boat Rocker Media), no attendance signal, occupied at a medium-confidence address; contacts not researched yet.</v>
      </c>
      <c r="L185" s="0" t="s">
        <v>209</v>
      </c>
      <c r="R185" s="5" t="s">
        <v>189</v>
      </c>
      <c r="S185" s="0" t="s">
        <v>209</v>
      </c>
      <c r="T185" s="0" t="s">
        <v>189</v>
      </c>
      <c r="U185" s="5" t="s">
        <v>3896</v>
      </c>
      <c r="V185" s="0" t="s">
        <v>264</v>
      </c>
      <c r="W185" s="0" t="s">
        <v>263</v>
      </c>
      <c r="X185" s="0" t="s">
        <v>3897</v>
      </c>
      <c r="Y185" s="0" t="str">
        <f aca="false">IF(FX185&lt;&gt;"Y","",COUNTIFS($FX$2:$FX$1000,"Y",$J$2:$J$1000,"&gt;"&amp;J185)+COUNTIFS($FX$2:$FX$1000,"Y",$J$2:$J$1000,J185,$GD$2:$GD$1000,"&lt;"&amp;GD185)+1)</f>
        <v/>
      </c>
      <c r="Z185" s="0" t="n">
        <v>184</v>
      </c>
      <c r="AA185" s="0" t="s">
        <v>189</v>
      </c>
      <c r="AB185" s="0" t="str">
        <f aca="false">IF($A185="","",IF(AW185="Y",BY185&amp;"",BK185&amp;""))</f>
        <v/>
      </c>
      <c r="AC185" s="0" t="str">
        <f aca="false">IF($A185="","",IF(AW185="Y",BS185&amp;"",BE185&amp;""))</f>
        <v/>
      </c>
      <c r="AD185" s="0" t="str">
        <f aca="false">IF($A185="","",IF(AW185="Y",BT185&amp;"",BF185&amp;""))</f>
        <v>none</v>
      </c>
      <c r="AE185" s="0" t="str">
        <f aca="false">IF($A185="","",IF(AW185="Y",BU185&amp;"",BG185&amp;""))</f>
        <v/>
      </c>
      <c r="AF185" s="0" t="str">
        <f aca="false">IF($A185="","",IF(AW185="Y",BV185&amp;"",BH185&amp;""))</f>
        <v/>
      </c>
      <c r="AG185" s="0" t="str">
        <f aca="false">IF($A185="","",IF(AW185="Y",BW185&amp;"",BI185&amp;""))</f>
        <v/>
      </c>
      <c r="AH185" s="0" t="str">
        <f aca="false">IF($A185="","",IF(AW185="Y",BX185&amp;"",BJ185&amp;""))</f>
        <v>none</v>
      </c>
      <c r="AI185" s="0" t="s">
        <v>245</v>
      </c>
      <c r="AJ185" s="0" t="s">
        <v>494</v>
      </c>
      <c r="AK185" s="0" t="s">
        <v>3933</v>
      </c>
      <c r="AL185" s="0" t="s">
        <v>209</v>
      </c>
      <c r="AM185" s="0" t="s">
        <v>209</v>
      </c>
      <c r="AN185" s="0" t="s">
        <v>380</v>
      </c>
      <c r="AO185" s="0" t="s">
        <v>209</v>
      </c>
      <c r="AP185" s="0" t="s">
        <v>4011</v>
      </c>
      <c r="AQ185" s="5" t="s">
        <v>189</v>
      </c>
      <c r="AT185" s="0" t="str">
        <f aca="false">IF($A185="","",IF(AND(CN185="pass",AQ185&lt;&gt;"Y",C185&lt;&gt;"",OR(AX185&lt;&gt;"Y",AV185="Y")),"Y","N"))</f>
        <v>N</v>
      </c>
      <c r="AU185" s="0" t="str">
        <f aca="false">IF($A185="","",_xlfn.TEXTJOIN("; ",TRUE(),IF(CN185&lt;&gt;"pass","gated out",""),IF(AQ185="Y","on hold: "&amp;AR185,""),IF(C185="","no contact named on an opened page",""),IF(AND(AX185="Y",AV185&lt;&gt;"Y"),"Tuesday estimate band "&amp;L185&amp;": founder's call","")))</f>
        <v>no contact named on an opened page</v>
      </c>
      <c r="AX185" s="0" t="s">
        <v>189</v>
      </c>
      <c r="BC185" s="0" t="str">
        <f aca="false">IF($A185="","",IFERROR(INDEX(Enrichment!$A$2:$GZ$2000,MATCH($A185,INDEX(Enrichment!$A$2:$GZ$2000,0,MATCH("row_id",Enrichment!$A$1:$GZ$1,0)),0),MATCH("work_email",Enrichment!$A$1:$GZ$1,0))&amp;"",""))</f>
        <v/>
      </c>
      <c r="BD185" s="0" t="str">
        <f aca="false">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none</v>
      </c>
      <c r="BF185" s="0" t="s">
        <v>380</v>
      </c>
      <c r="BJ185" s="0" t="s">
        <v>380</v>
      </c>
      <c r="BL185" s="0" t="s">
        <v>896</v>
      </c>
      <c r="BQ185" s="0" t="str">
        <f aca="false">IF($A185="","",IFERROR(INDEX(Enrichment!$A$2:$GZ$2000,MATCH($A185,INDEX(Enrichment!$A$2:$GZ$2000,0,MATCH("row_id",Enrichment!$A$1:$GZ$1,0)),0),MATCH("backup_work_email",Enrichment!$A$1:$GZ$1,0))&amp;"",""))</f>
        <v/>
      </c>
      <c r="BR185" s="0" t="str">
        <f aca="false">IF($A185="","",IF(BQ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none</v>
      </c>
      <c r="BT185" s="0" t="s">
        <v>380</v>
      </c>
      <c r="BX185" s="0" t="s">
        <v>380</v>
      </c>
      <c r="BY185" s="0" t="s">
        <v>387</v>
      </c>
      <c r="BZ185" s="0" t="s">
        <v>388</v>
      </c>
      <c r="CA185" s="0" t="s">
        <v>4013</v>
      </c>
      <c r="CB185" s="0" t="s">
        <v>196</v>
      </c>
      <c r="CM185" s="0" t="s">
        <v>189</v>
      </c>
      <c r="CN185" s="0" t="s">
        <v>200</v>
      </c>
      <c r="CO185" s="0" t="s">
        <v>201</v>
      </c>
      <c r="CP185" s="0" t="s">
        <v>1</v>
      </c>
      <c r="CQ185" s="0" t="s">
        <v>4014</v>
      </c>
      <c r="CR185" s="0" t="s">
        <v>209</v>
      </c>
      <c r="CS185" s="0" t="s">
        <v>4015</v>
      </c>
      <c r="CT185" s="0" t="s">
        <v>209</v>
      </c>
      <c r="CV185" s="0" t="s">
        <v>209</v>
      </c>
      <c r="CW185" s="0" t="s">
        <v>209</v>
      </c>
      <c r="CX185" s="0" t="s">
        <v>2712</v>
      </c>
      <c r="DA185" s="0" t="s">
        <v>209</v>
      </c>
      <c r="DB185" s="0" t="s">
        <v>209</v>
      </c>
      <c r="DC185" s="0" t="s">
        <v>209</v>
      </c>
      <c r="DD185" s="0" t="s">
        <v>4016</v>
      </c>
      <c r="DE185" s="0" t="s">
        <v>209</v>
      </c>
      <c r="DF185" s="0" t="s">
        <v>210</v>
      </c>
      <c r="DG185" s="0" t="n">
        <v>40.73686</v>
      </c>
      <c r="DH185" s="0" t="n">
        <v>-73.988546</v>
      </c>
      <c r="DI185" s="0" t="s">
        <v>164</v>
      </c>
      <c r="DJ185" s="0" t="n">
        <v>0</v>
      </c>
      <c r="DK185" s="0" t="s">
        <v>260</v>
      </c>
      <c r="DL185" s="0" t="s">
        <v>261</v>
      </c>
      <c r="DM185" s="0" t="s">
        <v>264</v>
      </c>
      <c r="DN185" s="0" t="s">
        <v>265</v>
      </c>
      <c r="DO185" s="0" t="s">
        <v>443</v>
      </c>
      <c r="DR185" s="0" t="s">
        <v>266</v>
      </c>
      <c r="DS185" s="0" t="s">
        <v>809</v>
      </c>
      <c r="DU185" s="0" t="s">
        <v>189</v>
      </c>
      <c r="DX185" s="0" t="s">
        <v>267</v>
      </c>
      <c r="DY185" s="0" t="s">
        <v>268</v>
      </c>
      <c r="EA185" s="0" t="s">
        <v>209</v>
      </c>
      <c r="EB185" s="0" t="s">
        <v>189</v>
      </c>
      <c r="EC185" s="0" t="s">
        <v>209</v>
      </c>
      <c r="EF185" s="0" t="s">
        <v>209</v>
      </c>
      <c r="EH185" s="0" t="s">
        <v>189</v>
      </c>
      <c r="EI185" s="0" t="s">
        <v>2716</v>
      </c>
      <c r="EJ185" s="0" t="s">
        <v>221</v>
      </c>
      <c r="EK185" s="0" t="s">
        <v>209</v>
      </c>
      <c r="EL185" s="0" t="n">
        <v>30</v>
      </c>
      <c r="EM185" s="0" t="n">
        <v>7</v>
      </c>
      <c r="EN185" s="0" t="n">
        <v>4</v>
      </c>
      <c r="EO185" s="0" t="n">
        <v>6</v>
      </c>
      <c r="EP185" s="0" t="n">
        <v>13</v>
      </c>
      <c r="EQ185" s="0" t="n">
        <f aca="false">IF($A185="","",IF(AH185="exact",10,IF(AH185="adjacent",5,0)))</f>
        <v>0</v>
      </c>
      <c r="ER185" s="0" t="n">
        <f aca="false">IF($A185="","",IF(R185="Y",15,0))</f>
        <v>0</v>
      </c>
      <c r="ES185" s="0" t="s">
        <v>222</v>
      </c>
      <c r="EV185" s="0" t="s">
        <v>1610</v>
      </c>
      <c r="EW185" s="0" t="s">
        <v>224</v>
      </c>
      <c r="EX185" s="0" t="s">
        <v>4017</v>
      </c>
      <c r="FS185" s="0" t="str">
        <f aca="false">IF($A185="","",IF(ISNUMBER(MATCH(U185,{"queued","contacted","replied","call_booked","call_done","yes_in_principle","materials_sent"},0)),"Y","N"))</f>
        <v>N</v>
      </c>
      <c r="FT185" s="0" t="str">
        <f aca="false">IF($A185="","",IF(OR(T185="Y",U185="do_not_contact",AS185&amp;""&lt;&gt;""),"Y","N"))</f>
        <v>N</v>
      </c>
      <c r="FU185" s="0" t="str">
        <f aca="false">IF($A185="","",IF(AP185&amp;""&lt;&gt;"",AP185&amp;"",$A185))</f>
        <v>AO-C-036</v>
      </c>
      <c r="FV185" s="0" t="str">
        <f aca="false">IF($A185="","",IF(COUNTIFS($FU$2:$FU$1000,FU185,$FS$2:$FS$1000,"Y")+COUNTIFS($FU$2:$FU$1000,FU185,$FT$2:$FT$1000,"Y")&gt;0,"Y","N"))</f>
        <v>N</v>
      </c>
      <c r="FW185" s="0" t="str">
        <f aca="false">IF($A185="","",IF(AND(U185="new",T185="N",FT185="N",AT185="Y",FV185="N"),"Y","N"))</f>
        <v>N</v>
      </c>
      <c r="FX185" s="0" t="str">
        <f aca="false">IF($A185="","",IF(FW185&lt;&gt;"Y","N",IF(COUNTIFS($FU$2:$FU$1000,FU185,$FW$2:$FW$1000,"Y",$J$2:$J$1000,"&gt;"&amp;J185)+COUNTIFS($FU$2:$FU$1000,FU185,$FW$2:$FW$1000,"Y",$J$2:$J$1000,J185,$GD$2:$GD$1000,"&lt;"&amp;GD185)=0,"Y","N")))</f>
        <v>N</v>
      </c>
      <c r="FY185" s="0" t="str">
        <f aca="false">IF($A185="","",IF(AND(FW185="Y",FX185="Y",Y185&amp;""&lt;&gt;""),IF(Y185&lt;=10,"Y","N"),"N"))</f>
        <v>N</v>
      </c>
      <c r="FZ185" s="0" t="str">
        <f aca="false">IF(FY185="Y",Y185,"")</f>
        <v/>
      </c>
      <c r="GA185" s="0" t="str">
        <f aca="false">IF($A185="","",IF(AND(I185="walk-in",CN185="pass",U185="new",FT185="N",FV185="N",AQ185&lt;&gt;"Y"),"Y","N"))</f>
        <v>N</v>
      </c>
      <c r="GB185" s="0" t="str">
        <f aca="false">IF(GA185&lt;&gt;"Y","",IF(COUNTIFS($GA$2:$GA$1000,"Y",$J$2:$J$1000,"&gt;"&amp;J185)+COUNTIFS($GA$2:$GA$1000,"Y",$J$2:$J$1000,J185,$GD$2:$GD$1000,"&lt;"&amp;GD185)+1&lt;=25,COUNTIFS($GA$2:$GA$1000,"Y",$J$2:$J$1000,"&gt;"&amp;J185)+COUNTIFS($GA$2:$GA$1000,"Y",$J$2:$J$1000,J185,$GD$2:$GD$1000,"&lt;"&amp;GD185)+1,""))</f>
        <v/>
      </c>
      <c r="GC185" s="0" t="str">
        <f aca="false">IF(AND(_xlfn.ISFORMULA(C185),_xlfn.ISFORMULA(J185)),"Y","N")</f>
        <v>Y</v>
      </c>
      <c r="GD185" s="0" t="n">
        <f aca="false">ROW()-1</f>
        <v>184</v>
      </c>
    </row>
    <row r="186" customFormat="false" ht="15" hidden="false" customHeight="false" outlineLevel="0" collapsed="false">
      <c r="A186" s="0" t="s">
        <v>4018</v>
      </c>
      <c r="B186" s="0" t="s">
        <v>4019</v>
      </c>
      <c r="C186" s="0" t="str">
        <f aca="false">IF($A186="","",IF(AW186="Y",BM186&amp;"",AY186&amp;""))</f>
        <v/>
      </c>
      <c r="D186" s="0" t="str">
        <f aca="false">IF($A186="","",IF(AW186="Y",BN186&amp;"",AZ186&amp;""))</f>
        <v/>
      </c>
      <c r="E186" s="0" t="str">
        <f aca="false">IF($A186="","",IF(AW186="Y",BO186&amp;"",BA186&amp;""))</f>
        <v/>
      </c>
      <c r="F186" s="0" t="str">
        <f aca="false">IF($A186="","",IF(AW186="Y",BP186&amp;"",BB186&amp;""))</f>
        <v/>
      </c>
      <c r="G186" s="0" t="str">
        <f aca="false">IF($A186="","",IF(AW186="Y",BQ186&amp;"",BC186&amp;""))</f>
        <v/>
      </c>
      <c r="H186" s="0" t="str">
        <f aca="false">IF($A186="","",IF(AW186="Y",BR186&amp;"",BD186&amp;""))</f>
        <v>none</v>
      </c>
      <c r="I186" s="0" t="str">
        <f aca="false">IF($A186="","",IF(R186="Y","warm-intro",IF(H186="verified","email",IF(C186&lt;&gt;"","linkedin",CB186&amp;""))))</f>
        <v>linkedin</v>
      </c>
      <c r="J186" s="0" t="n">
        <f aca="false">IF($A186="","",IF(CN186="pass",ROUND(N(EM186)+N(EN186)+N(EO186)+N(EP186)+N(EQ186)+N(ER186),1),0))</f>
        <v>29.6</v>
      </c>
      <c r="K186" s="0" t="str">
        <f aca="false">IF($A186="","",IF(CN186&lt;&gt;"pass",CA186&amp;"",CA186&amp;"; "&amp;IF(AW186="Y",BZ186&amp;"",BL186&amp;"")&amp;IF(R186="Y","; known to the founder (+15)","")&amp;"."))</f>
        <v>Tuesday estimate 114 to 2280 (low confidence), 1,001 to 4,999 staff company-wide, no attendance signal, occupied at a high-confidence address; contacts not researched yet.</v>
      </c>
      <c r="L186" s="0" t="s">
        <v>976</v>
      </c>
      <c r="R186" s="5" t="s">
        <v>189</v>
      </c>
      <c r="S186" s="0" t="s">
        <v>209</v>
      </c>
      <c r="T186" s="0" t="s">
        <v>189</v>
      </c>
      <c r="U186" s="5" t="s">
        <v>3896</v>
      </c>
      <c r="V186" s="0" t="s">
        <v>4020</v>
      </c>
      <c r="W186" s="0" t="s">
        <v>263</v>
      </c>
      <c r="X186" s="0" t="s">
        <v>3897</v>
      </c>
      <c r="Y186" s="0" t="str">
        <f aca="false">IF(FX186&lt;&gt;"Y","",COUNTIFS($FX$2:$FX$1000,"Y",$J$2:$J$1000,"&gt;"&amp;J186)+COUNTIFS($FX$2:$FX$1000,"Y",$J$2:$J$1000,J186,$GD$2:$GD$1000,"&lt;"&amp;GD186)+1)</f>
        <v/>
      </c>
      <c r="Z186" s="0" t="n">
        <v>185</v>
      </c>
      <c r="AA186" s="0" t="s">
        <v>189</v>
      </c>
      <c r="AB186" s="0" t="str">
        <f aca="false">IF($A186="","",IF(AW186="Y",BY186&amp;"",BK186&amp;""))</f>
        <v>Tuesday estimate band over-500: founder's call (set founder_ok_to_queue = Y to queue)</v>
      </c>
      <c r="AC186" s="0" t="str">
        <f aca="false">IF($A186="","",IF(AW186="Y",BS186&amp;"",BE186&amp;""))</f>
        <v/>
      </c>
      <c r="AD186" s="0" t="str">
        <f aca="false">IF($A186="","",IF(AW186="Y",BT186&amp;"",BF186&amp;""))</f>
        <v>none</v>
      </c>
      <c r="AE186" s="0" t="str">
        <f aca="false">IF($A186="","",IF(AW186="Y",BU186&amp;"",BG186&amp;""))</f>
        <v/>
      </c>
      <c r="AF186" s="0" t="str">
        <f aca="false">IF($A186="","",IF(AW186="Y",BV186&amp;"",BH186&amp;""))</f>
        <v/>
      </c>
      <c r="AG186" s="0" t="str">
        <f aca="false">IF($A186="","",IF(AW186="Y",BW186&amp;"",BI186&amp;""))</f>
        <v/>
      </c>
      <c r="AH186" s="0" t="str">
        <f aca="false">IF($A186="","",IF(AW186="Y",BX186&amp;"",BJ186&amp;""))</f>
        <v>none</v>
      </c>
      <c r="AI186" s="0" t="s">
        <v>4021</v>
      </c>
      <c r="AJ186" s="0" t="s">
        <v>209</v>
      </c>
      <c r="AK186" s="0" t="s">
        <v>3933</v>
      </c>
      <c r="AL186" s="0" t="n">
        <v>114</v>
      </c>
      <c r="AM186" s="0" t="n">
        <v>2280</v>
      </c>
      <c r="AN186" s="0" t="s">
        <v>187</v>
      </c>
      <c r="AO186" s="0" t="s">
        <v>209</v>
      </c>
      <c r="AP186" s="0" t="s">
        <v>4018</v>
      </c>
      <c r="AQ186" s="5" t="s">
        <v>189</v>
      </c>
      <c r="AT186" s="0" t="str">
        <f aca="false">IF($A186="","",IF(AND(CN186="pass",AQ186&lt;&gt;"Y",C186&lt;&gt;"",OR(AX186&lt;&gt;"Y",AV186="Y")),"Y","N"))</f>
        <v>N</v>
      </c>
      <c r="AU186" s="0" t="str">
        <f aca="false">IF($A186="","",_xlfn.TEXTJOIN("; ",TRUE(),IF(CN186&lt;&gt;"pass","gated out",""),IF(AQ186="Y","on hold: "&amp;AR186,""),IF(C186="","no contact named on an opened page",""),IF(AND(AX186="Y",AV186&lt;&gt;"Y"),"Tuesday estimate band "&amp;L186&amp;": founder's call","")))</f>
        <v>no contact named on an opened page; Tuesday estimate band over-500: founder's call</v>
      </c>
      <c r="AX186" s="0" t="s">
        <v>164</v>
      </c>
      <c r="BC186" s="0" t="str">
        <f aca="false">IF($A186="","",IFERROR(INDEX(Enrichment!$A$2:$GZ$2000,MATCH($A186,INDEX(Enrichment!$A$2:$GZ$2000,0,MATCH("row_id",Enrichment!$A$1:$GZ$1,0)),0),MATCH("work_email",Enrichment!$A$1:$GZ$1,0))&amp;"",""))</f>
        <v/>
      </c>
      <c r="BD186" s="0" t="str">
        <f aca="false">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none</v>
      </c>
      <c r="BF186" s="0" t="s">
        <v>380</v>
      </c>
      <c r="BJ186" s="0" t="s">
        <v>380</v>
      </c>
      <c r="BK186" s="0" t="s">
        <v>3479</v>
      </c>
      <c r="BL186" s="0" t="s">
        <v>896</v>
      </c>
      <c r="BQ186" s="0" t="str">
        <f aca="false">IF($A186="","",IFERROR(INDEX(Enrichment!$A$2:$GZ$2000,MATCH($A186,INDEX(Enrichment!$A$2:$GZ$2000,0,MATCH("row_id",Enrichment!$A$1:$GZ$1,0)),0),MATCH("backup_work_email",Enrichment!$A$1:$GZ$1,0))&amp;"",""))</f>
        <v/>
      </c>
      <c r="BR186" s="0" t="str">
        <f aca="false">IF($A186="","",IF(BQ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none</v>
      </c>
      <c r="BT186" s="0" t="s">
        <v>380</v>
      </c>
      <c r="BX186" s="0" t="s">
        <v>380</v>
      </c>
      <c r="BY186" s="0" t="s">
        <v>3480</v>
      </c>
      <c r="BZ186" s="0" t="s">
        <v>388</v>
      </c>
      <c r="CA186" s="0" t="s">
        <v>4022</v>
      </c>
      <c r="CB186" s="0" t="s">
        <v>196</v>
      </c>
      <c r="CM186" s="0" t="s">
        <v>189</v>
      </c>
      <c r="CN186" s="0" t="s">
        <v>200</v>
      </c>
      <c r="CO186" s="0" t="s">
        <v>201</v>
      </c>
      <c r="CP186" s="0" t="s">
        <v>1</v>
      </c>
      <c r="CQ186" s="0" t="s">
        <v>4023</v>
      </c>
      <c r="CR186" s="0" t="s">
        <v>4024</v>
      </c>
      <c r="CS186" s="0" t="s">
        <v>4025</v>
      </c>
      <c r="CT186" s="0" t="s">
        <v>1878</v>
      </c>
      <c r="CV186" s="0" t="s">
        <v>976</v>
      </c>
      <c r="CW186" s="0" t="s">
        <v>204</v>
      </c>
      <c r="CX186" s="0" t="s">
        <v>205</v>
      </c>
      <c r="CY186" s="0" t="s">
        <v>4026</v>
      </c>
      <c r="DA186" s="0" t="s">
        <v>978</v>
      </c>
      <c r="DB186" s="0" t="s">
        <v>209</v>
      </c>
      <c r="DC186" s="0" t="s">
        <v>209</v>
      </c>
      <c r="DD186" s="0" t="s">
        <v>209</v>
      </c>
      <c r="DE186" s="0" t="s">
        <v>4027</v>
      </c>
      <c r="DF186" s="0" t="s">
        <v>525</v>
      </c>
      <c r="DG186" s="0" t="n">
        <v>40.741986</v>
      </c>
      <c r="DH186" s="0" t="n">
        <v>-73.989477</v>
      </c>
      <c r="DI186" s="0" t="s">
        <v>164</v>
      </c>
      <c r="DJ186" s="0" t="n">
        <v>0</v>
      </c>
      <c r="DL186" s="0" t="s">
        <v>209</v>
      </c>
      <c r="DM186" s="0" t="s">
        <v>4020</v>
      </c>
      <c r="DN186" s="0" t="s">
        <v>172</v>
      </c>
      <c r="DO186" s="0" t="s">
        <v>214</v>
      </c>
      <c r="DP186" s="0" t="s">
        <v>4028</v>
      </c>
      <c r="DQ186" s="0" t="s">
        <v>172</v>
      </c>
      <c r="DS186" s="0" t="s">
        <v>217</v>
      </c>
      <c r="DU186" s="0" t="s">
        <v>189</v>
      </c>
      <c r="DX186" s="0" t="s">
        <v>209</v>
      </c>
      <c r="EA186" s="0" t="s">
        <v>209</v>
      </c>
      <c r="EB186" s="0" t="s">
        <v>189</v>
      </c>
      <c r="EC186" s="0" t="s">
        <v>209</v>
      </c>
      <c r="EF186" s="0" t="n">
        <v>510</v>
      </c>
      <c r="EG186" s="0" t="s">
        <v>366</v>
      </c>
      <c r="EH186" s="0" t="s">
        <v>189</v>
      </c>
      <c r="EI186" s="0" t="s">
        <v>4029</v>
      </c>
      <c r="EJ186" s="0" t="s">
        <v>221</v>
      </c>
      <c r="EK186" s="0" t="n">
        <v>0.26</v>
      </c>
      <c r="EL186" s="0" t="n">
        <v>29.6</v>
      </c>
      <c r="EM186" s="0" t="n">
        <v>6.6</v>
      </c>
      <c r="EN186" s="0" t="n">
        <v>2</v>
      </c>
      <c r="EO186" s="0" t="n">
        <v>6</v>
      </c>
      <c r="EP186" s="0" t="n">
        <v>15</v>
      </c>
      <c r="EQ186" s="0" t="n">
        <f aca="false">IF($A186="","",IF(AH186="exact",10,IF(AH186="adjacent",5,0)))</f>
        <v>0</v>
      </c>
      <c r="ER186" s="0" t="n">
        <f aca="false">IF($A186="","",IF(R186="Y",15,0))</f>
        <v>0</v>
      </c>
      <c r="ES186" s="0" t="s">
        <v>982</v>
      </c>
      <c r="ET186" s="0" t="s">
        <v>983</v>
      </c>
      <c r="EU186" s="0" t="s">
        <v>189</v>
      </c>
      <c r="EX186" s="0" t="s">
        <v>4030</v>
      </c>
      <c r="EZ186" s="0" t="s">
        <v>4031</v>
      </c>
      <c r="FS186" s="0" t="str">
        <f aca="false">IF($A186="","",IF(ISNUMBER(MATCH(U186,{"queued","contacted","replied","call_booked","call_done","yes_in_principle","materials_sent"},0)),"Y","N"))</f>
        <v>N</v>
      </c>
      <c r="FT186" s="0" t="str">
        <f aca="false">IF($A186="","",IF(OR(T186="Y",U186="do_not_contact",AS186&amp;""&lt;&gt;""),"Y","N"))</f>
        <v>N</v>
      </c>
      <c r="FU186" s="0" t="str">
        <f aca="false">IF($A186="","",IF(AP186&amp;""&lt;&gt;"",AP186&amp;"",$A186))</f>
        <v>AO-C-232</v>
      </c>
      <c r="FV186" s="0" t="str">
        <f aca="false">IF($A186="","",IF(COUNTIFS($FU$2:$FU$1000,FU186,$FS$2:$FS$1000,"Y")+COUNTIFS($FU$2:$FU$1000,FU186,$FT$2:$FT$1000,"Y")&gt;0,"Y","N"))</f>
        <v>N</v>
      </c>
      <c r="FW186" s="0" t="str">
        <f aca="false">IF($A186="","",IF(AND(U186="new",T186="N",FT186="N",AT186="Y",FV186="N"),"Y","N"))</f>
        <v>N</v>
      </c>
      <c r="FX186" s="0" t="str">
        <f aca="false">IF($A186="","",IF(FW186&lt;&gt;"Y","N",IF(COUNTIFS($FU$2:$FU$1000,FU186,$FW$2:$FW$1000,"Y",$J$2:$J$1000,"&gt;"&amp;J186)+COUNTIFS($FU$2:$FU$1000,FU186,$FW$2:$FW$1000,"Y",$J$2:$J$1000,J186,$GD$2:$GD$1000,"&lt;"&amp;GD186)=0,"Y","N")))</f>
        <v>N</v>
      </c>
      <c r="FY186" s="0" t="str">
        <f aca="false">IF($A186="","",IF(AND(FW186="Y",FX186="Y",Y186&amp;""&lt;&gt;""),IF(Y186&lt;=10,"Y","N"),"N"))</f>
        <v>N</v>
      </c>
      <c r="FZ186" s="0" t="str">
        <f aca="false">IF(FY186="Y",Y186,"")</f>
        <v/>
      </c>
      <c r="GA186" s="0" t="str">
        <f aca="false">IF($A186="","",IF(AND(I186="walk-in",CN186="pass",U186="new",FT186="N",FV186="N",AQ186&lt;&gt;"Y"),"Y","N"))</f>
        <v>N</v>
      </c>
      <c r="GB186" s="0" t="str">
        <f aca="false">IF(GA186&lt;&gt;"Y","",IF(COUNTIFS($GA$2:$GA$1000,"Y",$J$2:$J$1000,"&gt;"&amp;J186)+COUNTIFS($GA$2:$GA$1000,"Y",$J$2:$J$1000,J186,$GD$2:$GD$1000,"&lt;"&amp;GD186)+1&lt;=25,COUNTIFS($GA$2:$GA$1000,"Y",$J$2:$J$1000,"&gt;"&amp;J186)+COUNTIFS($GA$2:$GA$1000,"Y",$J$2:$J$1000,J186,$GD$2:$GD$1000,"&lt;"&amp;GD186)+1,""))</f>
        <v/>
      </c>
      <c r="GC186" s="0" t="str">
        <f aca="false">IF(AND(_xlfn.ISFORMULA(C186),_xlfn.ISFORMULA(J186)),"Y","N")</f>
        <v>Y</v>
      </c>
      <c r="GD186" s="0" t="n">
        <f aca="false">ROW()-1</f>
        <v>185</v>
      </c>
    </row>
    <row r="187" customFormat="false" ht="15" hidden="false" customHeight="false" outlineLevel="0" collapsed="false">
      <c r="A187" s="0" t="s">
        <v>4032</v>
      </c>
      <c r="B187" s="0" t="s">
        <v>4033</v>
      </c>
      <c r="C187" s="0" t="str">
        <f aca="false">IF($A187="","",IF(AW187="Y",BM187&amp;"",AY187&amp;""))</f>
        <v/>
      </c>
      <c r="D187" s="0" t="str">
        <f aca="false">IF($A187="","",IF(AW187="Y",BN187&amp;"",AZ187&amp;""))</f>
        <v/>
      </c>
      <c r="E187" s="0" t="str">
        <f aca="false">IF($A187="","",IF(AW187="Y",BO187&amp;"",BA187&amp;""))</f>
        <v/>
      </c>
      <c r="F187" s="0" t="str">
        <f aca="false">IF($A187="","",IF(AW187="Y",BP187&amp;"",BB187&amp;""))</f>
        <v/>
      </c>
      <c r="G187" s="0" t="str">
        <f aca="false">IF($A187="","",IF(AW187="Y",BQ187&amp;"",BC187&amp;""))</f>
        <v/>
      </c>
      <c r="H187" s="0" t="str">
        <f aca="false">IF($A187="","",IF(AW187="Y",BR187&amp;"",BD187&amp;""))</f>
        <v>none</v>
      </c>
      <c r="I187" s="0" t="str">
        <f aca="false">IF($A187="","",IF(R187="Y","warm-intro",IF(H187="verified","email",IF(C187&lt;&gt;"","linkedin",CB187&amp;""))))</f>
        <v>linkedin</v>
      </c>
      <c r="J187" s="0" t="n">
        <f aca="false">IF($A187="","",IF(CN187="pass",ROUND(N(EM187)+N(EN187)+N(EO187)+N(EP187)+N(EQ187)+N(ER187),1),0))</f>
        <v>29</v>
      </c>
      <c r="K187" s="0" t="str">
        <f aca="false">IF($A187="","",IF(CN187&lt;&gt;"pass",CA187&amp;"",CA187&amp;"; "&amp;IF(AW187="Y",BZ187&amp;"",BL187&amp;"")&amp;IF(R187="Y","; known to the founder (+15)","")&amp;"."))</f>
        <v>Tuesday headcount unknown (no sourced count), company size unknown, no attendance signal, occupancy-unconfirmed at a medium-confidence address; contacts not researched yet.</v>
      </c>
      <c r="L187" s="0" t="s">
        <v>209</v>
      </c>
      <c r="R187" s="5" t="s">
        <v>189</v>
      </c>
      <c r="S187" s="0" t="s">
        <v>209</v>
      </c>
      <c r="T187" s="0" t="s">
        <v>189</v>
      </c>
      <c r="U187" s="5" t="s">
        <v>3896</v>
      </c>
      <c r="V187" s="0" t="s">
        <v>4034</v>
      </c>
      <c r="W187" s="0" t="s">
        <v>263</v>
      </c>
      <c r="X187" s="0" t="s">
        <v>3897</v>
      </c>
      <c r="Y187" s="0" t="str">
        <f aca="false">IF(FX187&lt;&gt;"Y","",COUNTIFS($FX$2:$FX$1000,"Y",$J$2:$J$1000,"&gt;"&amp;J187)+COUNTIFS($FX$2:$FX$1000,"Y",$J$2:$J$1000,J187,$GD$2:$GD$1000,"&lt;"&amp;GD187)+1)</f>
        <v/>
      </c>
      <c r="Z187" s="0" t="n">
        <v>186</v>
      </c>
      <c r="AA187" s="0" t="s">
        <v>189</v>
      </c>
      <c r="AB187" s="0" t="str">
        <f aca="false">IF($A187="","",IF(AW187="Y",BY187&amp;"",BK187&amp;""))</f>
        <v/>
      </c>
      <c r="AC187" s="0" t="str">
        <f aca="false">IF($A187="","",IF(AW187="Y",BS187&amp;"",BE187&amp;""))</f>
        <v/>
      </c>
      <c r="AD187" s="0" t="str">
        <f aca="false">IF($A187="","",IF(AW187="Y",BT187&amp;"",BF187&amp;""))</f>
        <v>none</v>
      </c>
      <c r="AE187" s="0" t="str">
        <f aca="false">IF($A187="","",IF(AW187="Y",BU187&amp;"",BG187&amp;""))</f>
        <v/>
      </c>
      <c r="AF187" s="0" t="str">
        <f aca="false">IF($A187="","",IF(AW187="Y",BV187&amp;"",BH187&amp;""))</f>
        <v/>
      </c>
      <c r="AG187" s="0" t="str">
        <f aca="false">IF($A187="","",IF(AW187="Y",BW187&amp;"",BI187&amp;""))</f>
        <v/>
      </c>
      <c r="AH187" s="0" t="str">
        <f aca="false">IF($A187="","",IF(AW187="Y",BX187&amp;"",BJ187&amp;""))</f>
        <v>none</v>
      </c>
      <c r="AI187" s="0" t="s">
        <v>4035</v>
      </c>
      <c r="AJ187" s="0" t="s">
        <v>209</v>
      </c>
      <c r="AK187" s="0" t="s">
        <v>3898</v>
      </c>
      <c r="AL187" s="0" t="s">
        <v>209</v>
      </c>
      <c r="AM187" s="0" t="s">
        <v>209</v>
      </c>
      <c r="AN187" s="0" t="s">
        <v>380</v>
      </c>
      <c r="AO187" s="0" t="s">
        <v>209</v>
      </c>
      <c r="AP187" s="0" t="s">
        <v>4032</v>
      </c>
      <c r="AQ187" s="5" t="s">
        <v>189</v>
      </c>
      <c r="AT187" s="0" t="str">
        <f aca="false">IF($A187="","",IF(AND(CN187="pass",AQ187&lt;&gt;"Y",C187&lt;&gt;"",OR(AX187&lt;&gt;"Y",AV187="Y")),"Y","N"))</f>
        <v>N</v>
      </c>
      <c r="AU187" s="0" t="str">
        <f aca="false">IF($A187="","",_xlfn.TEXTJOIN("; ",TRUE(),IF(CN187&lt;&gt;"pass","gated out",""),IF(AQ187="Y","on hold: "&amp;AR187,""),IF(C187="","no contact named on an opened page",""),IF(AND(AX187="Y",AV187&lt;&gt;"Y"),"Tuesday estimate band "&amp;L187&amp;": founder's call","")))</f>
        <v>no contact named on an opened page</v>
      </c>
      <c r="AX187" s="0" t="s">
        <v>189</v>
      </c>
      <c r="BC187" s="0" t="str">
        <f aca="false">IF($A187="","",IFERROR(INDEX(Enrichment!$A$2:$GZ$2000,MATCH($A187,INDEX(Enrichment!$A$2:$GZ$2000,0,MATCH("row_id",Enrichment!$A$1:$GZ$1,0)),0),MATCH("work_email",Enrichment!$A$1:$GZ$1,0))&amp;"",""))</f>
        <v/>
      </c>
      <c r="BD187" s="0" t="str">
        <f aca="false">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none</v>
      </c>
      <c r="BF187" s="0" t="s">
        <v>380</v>
      </c>
      <c r="BJ187" s="0" t="s">
        <v>380</v>
      </c>
      <c r="BL187" s="0" t="s">
        <v>896</v>
      </c>
      <c r="BQ187" s="0" t="str">
        <f aca="false">IF($A187="","",IFERROR(INDEX(Enrichment!$A$2:$GZ$2000,MATCH($A187,INDEX(Enrichment!$A$2:$GZ$2000,0,MATCH("row_id",Enrichment!$A$1:$GZ$1,0)),0),MATCH("backup_work_email",Enrichment!$A$1:$GZ$1,0))&amp;"",""))</f>
        <v/>
      </c>
      <c r="BR187" s="0" t="str">
        <f aca="false">IF($A187="","",IF(BQ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none</v>
      </c>
      <c r="BT187" s="0" t="s">
        <v>380</v>
      </c>
      <c r="BX187" s="0" t="s">
        <v>380</v>
      </c>
      <c r="BY187" s="0" t="s">
        <v>387</v>
      </c>
      <c r="BZ187" s="0" t="s">
        <v>388</v>
      </c>
      <c r="CA187" s="0" t="s">
        <v>4036</v>
      </c>
      <c r="CB187" s="0" t="s">
        <v>196</v>
      </c>
      <c r="CM187" s="0" t="s">
        <v>189</v>
      </c>
      <c r="CN187" s="0" t="s">
        <v>200</v>
      </c>
      <c r="CO187" s="0" t="s">
        <v>201</v>
      </c>
      <c r="CP187" s="0" t="s">
        <v>1</v>
      </c>
      <c r="CQ187" s="0" t="s">
        <v>4037</v>
      </c>
      <c r="CR187" s="0" t="s">
        <v>4038</v>
      </c>
      <c r="CS187" s="0" t="s">
        <v>4039</v>
      </c>
      <c r="CT187" s="0" t="s">
        <v>209</v>
      </c>
      <c r="CV187" s="0" t="s">
        <v>209</v>
      </c>
      <c r="CW187" s="0" t="s">
        <v>209</v>
      </c>
      <c r="CX187" s="0" t="s">
        <v>2712</v>
      </c>
      <c r="DA187" s="0" t="s">
        <v>209</v>
      </c>
      <c r="DB187" s="0" t="s">
        <v>209</v>
      </c>
      <c r="DC187" s="0" t="s">
        <v>209</v>
      </c>
      <c r="DD187" s="0" t="s">
        <v>209</v>
      </c>
      <c r="DE187" s="0" t="s">
        <v>209</v>
      </c>
      <c r="DF187" s="0" t="s">
        <v>311</v>
      </c>
      <c r="DG187" s="0" t="n">
        <v>40.744774</v>
      </c>
      <c r="DH187" s="0" t="n">
        <v>-73.984932</v>
      </c>
      <c r="DI187" s="0" t="s">
        <v>164</v>
      </c>
      <c r="DJ187" s="0" t="n">
        <v>0</v>
      </c>
      <c r="DK187" s="0" t="s">
        <v>4040</v>
      </c>
      <c r="DL187" s="0" t="s">
        <v>4041</v>
      </c>
      <c r="DM187" s="0" t="s">
        <v>4034</v>
      </c>
      <c r="DN187" s="0" t="s">
        <v>4042</v>
      </c>
      <c r="DO187" s="0" t="s">
        <v>363</v>
      </c>
      <c r="DS187" s="0" t="s">
        <v>809</v>
      </c>
      <c r="DU187" s="0" t="s">
        <v>189</v>
      </c>
      <c r="DX187" s="0" t="s">
        <v>209</v>
      </c>
      <c r="EA187" s="0" t="s">
        <v>209</v>
      </c>
      <c r="EB187" s="0" t="s">
        <v>189</v>
      </c>
      <c r="EC187" s="0" t="s">
        <v>209</v>
      </c>
      <c r="EF187" s="0" t="s">
        <v>209</v>
      </c>
      <c r="EH187" s="0" t="s">
        <v>189</v>
      </c>
      <c r="EI187" s="0" t="s">
        <v>2716</v>
      </c>
      <c r="EJ187" s="0" t="s">
        <v>221</v>
      </c>
      <c r="EK187" s="0" t="s">
        <v>209</v>
      </c>
      <c r="EL187" s="0" t="n">
        <v>29</v>
      </c>
      <c r="EM187" s="0" t="n">
        <v>7</v>
      </c>
      <c r="EN187" s="0" t="n">
        <v>8</v>
      </c>
      <c r="EO187" s="0" t="n">
        <v>6</v>
      </c>
      <c r="EP187" s="0" t="n">
        <v>8</v>
      </c>
      <c r="EQ187" s="0" t="n">
        <f aca="false">IF($A187="","",IF(AH187="exact",10,IF(AH187="adjacent",5,0)))</f>
        <v>0</v>
      </c>
      <c r="ER187" s="0" t="n">
        <f aca="false">IF($A187="","",IF(R187="Y",15,0))</f>
        <v>0</v>
      </c>
      <c r="ES187" s="0" t="s">
        <v>222</v>
      </c>
      <c r="EV187" s="0" t="s">
        <v>4043</v>
      </c>
      <c r="EW187" s="0" t="s">
        <v>224</v>
      </c>
      <c r="EX187" s="0" t="s">
        <v>4044</v>
      </c>
      <c r="FS187" s="0" t="str">
        <f aca="false">IF($A187="","",IF(ISNUMBER(MATCH(U187,{"queued","contacted","replied","call_booked","call_done","yes_in_principle","materials_sent"},0)),"Y","N"))</f>
        <v>N</v>
      </c>
      <c r="FT187" s="0" t="str">
        <f aca="false">IF($A187="","",IF(OR(T187="Y",U187="do_not_contact",AS187&amp;""&lt;&gt;""),"Y","N"))</f>
        <v>N</v>
      </c>
      <c r="FU187" s="0" t="str">
        <f aca="false">IF($A187="","",IF(AP187&amp;""&lt;&gt;"",AP187&amp;"",$A187))</f>
        <v>AO-C-166</v>
      </c>
      <c r="FV187" s="0" t="str">
        <f aca="false">IF($A187="","",IF(COUNTIFS($FU$2:$FU$1000,FU187,$FS$2:$FS$1000,"Y")+COUNTIFS($FU$2:$FU$1000,FU187,$FT$2:$FT$1000,"Y")&gt;0,"Y","N"))</f>
        <v>N</v>
      </c>
      <c r="FW187" s="0" t="str">
        <f aca="false">IF($A187="","",IF(AND(U187="new",T187="N",FT187="N",AT187="Y",FV187="N"),"Y","N"))</f>
        <v>N</v>
      </c>
      <c r="FX187" s="0" t="str">
        <f aca="false">IF($A187="","",IF(FW187&lt;&gt;"Y","N",IF(COUNTIFS($FU$2:$FU$1000,FU187,$FW$2:$FW$1000,"Y",$J$2:$J$1000,"&gt;"&amp;J187)+COUNTIFS($FU$2:$FU$1000,FU187,$FW$2:$FW$1000,"Y",$J$2:$J$1000,J187,$GD$2:$GD$1000,"&lt;"&amp;GD187)=0,"Y","N")))</f>
        <v>N</v>
      </c>
      <c r="FY187" s="0" t="str">
        <f aca="false">IF($A187="","",IF(AND(FW187="Y",FX187="Y",Y187&amp;""&lt;&gt;""),IF(Y187&lt;=10,"Y","N"),"N"))</f>
        <v>N</v>
      </c>
      <c r="FZ187" s="0" t="str">
        <f aca="false">IF(FY187="Y",Y187,"")</f>
        <v/>
      </c>
      <c r="GA187" s="0" t="str">
        <f aca="false">IF($A187="","",IF(AND(I187="walk-in",CN187="pass",U187="new",FT187="N",FV187="N",AQ187&lt;&gt;"Y"),"Y","N"))</f>
        <v>N</v>
      </c>
      <c r="GB187" s="0" t="str">
        <f aca="false">IF(GA187&lt;&gt;"Y","",IF(COUNTIFS($GA$2:$GA$1000,"Y",$J$2:$J$1000,"&gt;"&amp;J187)+COUNTIFS($GA$2:$GA$1000,"Y",$J$2:$J$1000,J187,$GD$2:$GD$1000,"&lt;"&amp;GD187)+1&lt;=25,COUNTIFS($GA$2:$GA$1000,"Y",$J$2:$J$1000,"&gt;"&amp;J187)+COUNTIFS($GA$2:$GA$1000,"Y",$J$2:$J$1000,J187,$GD$2:$GD$1000,"&lt;"&amp;GD187)+1,""))</f>
        <v/>
      </c>
      <c r="GC187" s="0" t="str">
        <f aca="false">IF(AND(_xlfn.ISFORMULA(C187),_xlfn.ISFORMULA(J187)),"Y","N")</f>
        <v>Y</v>
      </c>
      <c r="GD187" s="0" t="n">
        <f aca="false">ROW()-1</f>
        <v>186</v>
      </c>
    </row>
    <row r="188" customFormat="false" ht="15" hidden="false" customHeight="false" outlineLevel="0" collapsed="false">
      <c r="A188" s="0" t="s">
        <v>4045</v>
      </c>
      <c r="B188" s="0" t="s">
        <v>4046</v>
      </c>
      <c r="C188" s="0" t="str">
        <f aca="false">IF($A188="","",IF(AW188="Y",BM188&amp;"",AY188&amp;""))</f>
        <v/>
      </c>
      <c r="D188" s="0" t="str">
        <f aca="false">IF($A188="","",IF(AW188="Y",BN188&amp;"",AZ188&amp;""))</f>
        <v/>
      </c>
      <c r="E188" s="0" t="str">
        <f aca="false">IF($A188="","",IF(AW188="Y",BO188&amp;"",BA188&amp;""))</f>
        <v/>
      </c>
      <c r="F188" s="0" t="str">
        <f aca="false">IF($A188="","",IF(AW188="Y",BP188&amp;"",BB188&amp;""))</f>
        <v/>
      </c>
      <c r="G188" s="0" t="str">
        <f aca="false">IF($A188="","",IF(AW188="Y",BQ188&amp;"",BC188&amp;""))</f>
        <v/>
      </c>
      <c r="H188" s="0" t="str">
        <f aca="false">IF($A188="","",IF(AW188="Y",BR188&amp;"",BD188&amp;""))</f>
        <v>none</v>
      </c>
      <c r="I188" s="0" t="str">
        <f aca="false">IF($A188="","",IF(R188="Y","warm-intro",IF(H188="verified","email",IF(C188&lt;&gt;"","linkedin",CB188&amp;""))))</f>
        <v>linkedin</v>
      </c>
      <c r="J188" s="0" t="n">
        <f aca="false">IF($A188="","",IF(CN188="pass",ROUND(N(EM188)+N(EN188)+N(EO188)+N(EP188)+N(EQ188)+N(ER188),1),0))</f>
        <v>29</v>
      </c>
      <c r="K188" s="0" t="str">
        <f aca="false">IF($A188="","",IF(CN188&lt;&gt;"pass",CA188&amp;"",CA188&amp;"; "&amp;IF(AW188="Y",BZ188&amp;"",BL188&amp;"")&amp;IF(R188="Y","; known to the founder (+15)","")&amp;"."))</f>
        <v>Tuesday headcount unknown (no sourced count), company size unknown, no attendance signal, occupancy-unconfirmed at a medium-confidence address; contacts not researched yet.</v>
      </c>
      <c r="L188" s="0" t="s">
        <v>209</v>
      </c>
      <c r="O188" s="0" t="s">
        <v>4047</v>
      </c>
      <c r="P188" s="0" t="s">
        <v>4048</v>
      </c>
      <c r="Q188" s="0" t="s">
        <v>676</v>
      </c>
      <c r="R188" s="5" t="s">
        <v>189</v>
      </c>
      <c r="S188" s="0" t="s">
        <v>209</v>
      </c>
      <c r="T188" s="0" t="s">
        <v>189</v>
      </c>
      <c r="U188" s="5" t="s">
        <v>3896</v>
      </c>
      <c r="V188" s="0" t="s">
        <v>4048</v>
      </c>
      <c r="W188" s="0" t="s">
        <v>263</v>
      </c>
      <c r="X188" s="0" t="s">
        <v>3897</v>
      </c>
      <c r="Y188" s="0" t="str">
        <f aca="false">IF(FX188&lt;&gt;"Y","",COUNTIFS($FX$2:$FX$1000,"Y",$J$2:$J$1000,"&gt;"&amp;J188)+COUNTIFS($FX$2:$FX$1000,"Y",$J$2:$J$1000,J188,$GD$2:$GD$1000,"&lt;"&amp;GD188)+1)</f>
        <v/>
      </c>
      <c r="Z188" s="0" t="n">
        <v>187</v>
      </c>
      <c r="AA188" s="0" t="s">
        <v>189</v>
      </c>
      <c r="AB188" s="0" t="str">
        <f aca="false">IF($A188="","",IF(AW188="Y",BY188&amp;"",BK188&amp;""))</f>
        <v/>
      </c>
      <c r="AC188" s="0" t="str">
        <f aca="false">IF($A188="","",IF(AW188="Y",BS188&amp;"",BE188&amp;""))</f>
        <v/>
      </c>
      <c r="AD188" s="0" t="str">
        <f aca="false">IF($A188="","",IF(AW188="Y",BT188&amp;"",BF188&amp;""))</f>
        <v>none</v>
      </c>
      <c r="AE188" s="0" t="str">
        <f aca="false">IF($A188="","",IF(AW188="Y",BU188&amp;"",BG188&amp;""))</f>
        <v/>
      </c>
      <c r="AF188" s="0" t="str">
        <f aca="false">IF($A188="","",IF(AW188="Y",BV188&amp;"",BH188&amp;""))</f>
        <v/>
      </c>
      <c r="AG188" s="0" t="str">
        <f aca="false">IF($A188="","",IF(AW188="Y",BW188&amp;"",BI188&amp;""))</f>
        <v/>
      </c>
      <c r="AH188" s="0" t="str">
        <f aca="false">IF($A188="","",IF(AW188="Y",BX188&amp;"",BJ188&amp;""))</f>
        <v>none</v>
      </c>
      <c r="AI188" s="0" t="s">
        <v>2058</v>
      </c>
      <c r="AJ188" s="0" t="s">
        <v>1025</v>
      </c>
      <c r="AK188" s="0" t="s">
        <v>3898</v>
      </c>
      <c r="AL188" s="0" t="s">
        <v>209</v>
      </c>
      <c r="AM188" s="0" t="s">
        <v>209</v>
      </c>
      <c r="AN188" s="0" t="s">
        <v>380</v>
      </c>
      <c r="AO188" s="0" t="s">
        <v>209</v>
      </c>
      <c r="AP188" s="0" t="s">
        <v>4045</v>
      </c>
      <c r="AQ188" s="5" t="s">
        <v>189</v>
      </c>
      <c r="AT188" s="0" t="str">
        <f aca="false">IF($A188="","",IF(AND(CN188="pass",AQ188&lt;&gt;"Y",C188&lt;&gt;"",OR(AX188&lt;&gt;"Y",AV188="Y")),"Y","N"))</f>
        <v>N</v>
      </c>
      <c r="AU188" s="0" t="str">
        <f aca="false">IF($A188="","",_xlfn.TEXTJOIN("; ",TRUE(),IF(CN188&lt;&gt;"pass","gated out",""),IF(AQ188="Y","on hold: "&amp;AR188,""),IF(C188="","no contact named on an opened page",""),IF(AND(AX188="Y",AV188&lt;&gt;"Y"),"Tuesday estimate band "&amp;L188&amp;": founder's call","")))</f>
        <v>no contact named on an opened page</v>
      </c>
      <c r="AX188" s="0" t="s">
        <v>189</v>
      </c>
      <c r="BC188" s="0" t="str">
        <f aca="false">IF($A188="","",IFERROR(INDEX(Enrichment!$A$2:$GZ$2000,MATCH($A188,INDEX(Enrichment!$A$2:$GZ$2000,0,MATCH("row_id",Enrichment!$A$1:$GZ$1,0)),0),MATCH("work_email",Enrichment!$A$1:$GZ$1,0))&amp;"",""))</f>
        <v/>
      </c>
      <c r="BD188" s="0" t="str">
        <f aca="false">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none</v>
      </c>
      <c r="BF188" s="0" t="s">
        <v>380</v>
      </c>
      <c r="BJ188" s="0" t="s">
        <v>380</v>
      </c>
      <c r="BL188" s="0" t="s">
        <v>896</v>
      </c>
      <c r="BQ188" s="0" t="str">
        <f aca="false">IF($A188="","",IFERROR(INDEX(Enrichment!$A$2:$GZ$2000,MATCH($A188,INDEX(Enrichment!$A$2:$GZ$2000,0,MATCH("row_id",Enrichment!$A$1:$GZ$1,0)),0),MATCH("backup_work_email",Enrichment!$A$1:$GZ$1,0))&amp;"",""))</f>
        <v/>
      </c>
      <c r="BR188" s="0" t="str">
        <f aca="false">IF($A188="","",IF(BQ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none</v>
      </c>
      <c r="BT188" s="0" t="s">
        <v>380</v>
      </c>
      <c r="BX188" s="0" t="s">
        <v>380</v>
      </c>
      <c r="BY188" s="0" t="s">
        <v>387</v>
      </c>
      <c r="BZ188" s="0" t="s">
        <v>388</v>
      </c>
      <c r="CA188" s="0" t="s">
        <v>4036</v>
      </c>
      <c r="CB188" s="0" t="s">
        <v>196</v>
      </c>
      <c r="CM188" s="0" t="s">
        <v>189</v>
      </c>
      <c r="CN188" s="0" t="s">
        <v>200</v>
      </c>
      <c r="CO188" s="0" t="s">
        <v>201</v>
      </c>
      <c r="CP188" s="0" t="s">
        <v>1</v>
      </c>
      <c r="CQ188" s="0" t="s">
        <v>4049</v>
      </c>
      <c r="CR188" s="0" t="s">
        <v>4050</v>
      </c>
      <c r="CS188" s="0" t="s">
        <v>4051</v>
      </c>
      <c r="CT188" s="0" t="s">
        <v>209</v>
      </c>
      <c r="CV188" s="0" t="s">
        <v>209</v>
      </c>
      <c r="CW188" s="0" t="s">
        <v>209</v>
      </c>
      <c r="CX188" s="0" t="s">
        <v>2712</v>
      </c>
      <c r="DA188" s="0" t="s">
        <v>209</v>
      </c>
      <c r="DB188" s="0" t="s">
        <v>209</v>
      </c>
      <c r="DC188" s="0" t="s">
        <v>209</v>
      </c>
      <c r="DD188" s="0" t="s">
        <v>209</v>
      </c>
      <c r="DE188" s="0" t="s">
        <v>4052</v>
      </c>
      <c r="DF188" s="0" t="s">
        <v>525</v>
      </c>
      <c r="DG188" s="0" t="n">
        <v>40.742477</v>
      </c>
      <c r="DH188" s="0" t="n">
        <v>-73.986608</v>
      </c>
      <c r="DI188" s="0" t="s">
        <v>164</v>
      </c>
      <c r="DJ188" s="0" t="n">
        <v>0</v>
      </c>
      <c r="DK188" s="0" t="s">
        <v>1882</v>
      </c>
      <c r="DL188" s="0" t="s">
        <v>1883</v>
      </c>
      <c r="DM188" s="0" t="s">
        <v>4048</v>
      </c>
      <c r="DN188" s="0" t="s">
        <v>676</v>
      </c>
      <c r="DO188" s="0" t="s">
        <v>363</v>
      </c>
      <c r="DS188" s="0" t="s">
        <v>809</v>
      </c>
      <c r="DU188" s="0" t="s">
        <v>189</v>
      </c>
      <c r="DX188" s="0" t="s">
        <v>267</v>
      </c>
      <c r="DY188" s="0" t="s">
        <v>1888</v>
      </c>
      <c r="EA188" s="0" t="s">
        <v>209</v>
      </c>
      <c r="EB188" s="0" t="s">
        <v>189</v>
      </c>
      <c r="EC188" s="0" t="s">
        <v>209</v>
      </c>
      <c r="EF188" s="0" t="s">
        <v>209</v>
      </c>
      <c r="EH188" s="0" t="s">
        <v>189</v>
      </c>
      <c r="EI188" s="0" t="s">
        <v>2716</v>
      </c>
      <c r="EJ188" s="0" t="s">
        <v>221</v>
      </c>
      <c r="EK188" s="0" t="s">
        <v>209</v>
      </c>
      <c r="EL188" s="0" t="n">
        <v>29</v>
      </c>
      <c r="EM188" s="0" t="n">
        <v>7</v>
      </c>
      <c r="EN188" s="0" t="n">
        <v>8</v>
      </c>
      <c r="EO188" s="0" t="n">
        <v>6</v>
      </c>
      <c r="EP188" s="0" t="n">
        <v>8</v>
      </c>
      <c r="EQ188" s="0" t="n">
        <f aca="false">IF($A188="","",IF(AH188="exact",10,IF(AH188="adjacent",5,0)))</f>
        <v>0</v>
      </c>
      <c r="ER188" s="0" t="n">
        <f aca="false">IF($A188="","",IF(R188="Y",15,0))</f>
        <v>0</v>
      </c>
      <c r="ES188" s="0" t="s">
        <v>222</v>
      </c>
      <c r="EV188" s="0" t="s">
        <v>4053</v>
      </c>
      <c r="EW188" s="0" t="s">
        <v>224</v>
      </c>
      <c r="EX188" s="0" t="s">
        <v>4054</v>
      </c>
      <c r="EZ188" s="0" t="s">
        <v>4055</v>
      </c>
      <c r="FS188" s="0" t="str">
        <f aca="false">IF($A188="","",IF(ISNUMBER(MATCH(U188,{"queued","contacted","replied","call_booked","call_done","yes_in_principle","materials_sent"},0)),"Y","N"))</f>
        <v>N</v>
      </c>
      <c r="FT188" s="0" t="str">
        <f aca="false">IF($A188="","",IF(OR(T188="Y",U188="do_not_contact",AS188&amp;""&lt;&gt;""),"Y","N"))</f>
        <v>N</v>
      </c>
      <c r="FU188" s="0" t="str">
        <f aca="false">IF($A188="","",IF(AP188&amp;""&lt;&gt;"",AP188&amp;"",$A188))</f>
        <v>AO-C-112</v>
      </c>
      <c r="FV188" s="0" t="str">
        <f aca="false">IF($A188="","",IF(COUNTIFS($FU$2:$FU$1000,FU188,$FS$2:$FS$1000,"Y")+COUNTIFS($FU$2:$FU$1000,FU188,$FT$2:$FT$1000,"Y")&gt;0,"Y","N"))</f>
        <v>N</v>
      </c>
      <c r="FW188" s="0" t="str">
        <f aca="false">IF($A188="","",IF(AND(U188="new",T188="N",FT188="N",AT188="Y",FV188="N"),"Y","N"))</f>
        <v>N</v>
      </c>
      <c r="FX188" s="0" t="str">
        <f aca="false">IF($A188="","",IF(FW188&lt;&gt;"Y","N",IF(COUNTIFS($FU$2:$FU$1000,FU188,$FW$2:$FW$1000,"Y",$J$2:$J$1000,"&gt;"&amp;J188)+COUNTIFS($FU$2:$FU$1000,FU188,$FW$2:$FW$1000,"Y",$J$2:$J$1000,J188,$GD$2:$GD$1000,"&lt;"&amp;GD188)=0,"Y","N")))</f>
        <v>N</v>
      </c>
      <c r="FY188" s="0" t="str">
        <f aca="false">IF($A188="","",IF(AND(FW188="Y",FX188="Y",Y188&amp;""&lt;&gt;""),IF(Y188&lt;=10,"Y","N"),"N"))</f>
        <v>N</v>
      </c>
      <c r="FZ188" s="0" t="str">
        <f aca="false">IF(FY188="Y",Y188,"")</f>
        <v/>
      </c>
      <c r="GA188" s="0" t="str">
        <f aca="false">IF($A188="","",IF(AND(I188="walk-in",CN188="pass",U188="new",FT188="N",FV188="N",AQ188&lt;&gt;"Y"),"Y","N"))</f>
        <v>N</v>
      </c>
      <c r="GB188" s="0" t="str">
        <f aca="false">IF(GA188&lt;&gt;"Y","",IF(COUNTIFS($GA$2:$GA$1000,"Y",$J$2:$J$1000,"&gt;"&amp;J188)+COUNTIFS($GA$2:$GA$1000,"Y",$J$2:$J$1000,J188,$GD$2:$GD$1000,"&lt;"&amp;GD188)+1&lt;=25,COUNTIFS($GA$2:$GA$1000,"Y",$J$2:$J$1000,"&gt;"&amp;J188)+COUNTIFS($GA$2:$GA$1000,"Y",$J$2:$J$1000,J188,$GD$2:$GD$1000,"&lt;"&amp;GD188)+1,""))</f>
        <v/>
      </c>
      <c r="GC188" s="0" t="str">
        <f aca="false">IF(AND(_xlfn.ISFORMULA(C188),_xlfn.ISFORMULA(J188)),"Y","N")</f>
        <v>Y</v>
      </c>
      <c r="GD188" s="0" t="n">
        <f aca="false">ROW()-1</f>
        <v>187</v>
      </c>
    </row>
    <row r="189" customFormat="false" ht="15" hidden="false" customHeight="false" outlineLevel="0" collapsed="false">
      <c r="A189" s="0" t="s">
        <v>4056</v>
      </c>
      <c r="B189" s="0" t="s">
        <v>4057</v>
      </c>
      <c r="C189" s="0" t="str">
        <f aca="false">IF($A189="","",IF(AW189="Y",BM189&amp;"",AY189&amp;""))</f>
        <v/>
      </c>
      <c r="D189" s="0" t="str">
        <f aca="false">IF($A189="","",IF(AW189="Y",BN189&amp;"",AZ189&amp;""))</f>
        <v/>
      </c>
      <c r="E189" s="0" t="str">
        <f aca="false">IF($A189="","",IF(AW189="Y",BO189&amp;"",BA189&amp;""))</f>
        <v/>
      </c>
      <c r="F189" s="0" t="str">
        <f aca="false">IF($A189="","",IF(AW189="Y",BP189&amp;"",BB189&amp;""))</f>
        <v/>
      </c>
      <c r="G189" s="0" t="str">
        <f aca="false">IF($A189="","",IF(AW189="Y",BQ189&amp;"",BC189&amp;""))</f>
        <v/>
      </c>
      <c r="H189" s="0" t="str">
        <f aca="false">IF($A189="","",IF(AW189="Y",BR189&amp;"",BD189&amp;""))</f>
        <v>none</v>
      </c>
      <c r="I189" s="0" t="str">
        <f aca="false">IF($A189="","",IF(R189="Y","warm-intro",IF(H189="verified","email",IF(C189&lt;&gt;"","linkedin",CB189&amp;""))))</f>
        <v>linkedin</v>
      </c>
      <c r="J189" s="0" t="n">
        <f aca="false">IF($A189="","",IF(CN189="pass",ROUND(N(EM189)+N(EN189)+N(EO189)+N(EP189)+N(EQ189)+N(ER189),1),0))</f>
        <v>29</v>
      </c>
      <c r="K189" s="0" t="str">
        <f aca="false">IF($A189="","",IF(CN189&lt;&gt;"pass",CA189&amp;"",CA189&amp;"; "&amp;IF(AW189="Y",BZ189&amp;"",BL189&amp;"")&amp;IF(R189="Y","; known to the founder (+15)","")&amp;"."))</f>
        <v>Tuesday headcount unknown (no sourced count), company size unknown, no attendance signal, occupancy-unconfirmed at a medium-confidence address; contacts not researched yet.</v>
      </c>
      <c r="L189" s="0" t="s">
        <v>209</v>
      </c>
      <c r="O189" s="0" t="s">
        <v>4058</v>
      </c>
      <c r="P189" s="0" t="s">
        <v>4059</v>
      </c>
      <c r="Q189" s="0" t="s">
        <v>4060</v>
      </c>
      <c r="R189" s="5" t="s">
        <v>189</v>
      </c>
      <c r="S189" s="0" t="s">
        <v>209</v>
      </c>
      <c r="T189" s="0" t="s">
        <v>189</v>
      </c>
      <c r="U189" s="5" t="s">
        <v>3896</v>
      </c>
      <c r="V189" s="0" t="s">
        <v>4059</v>
      </c>
      <c r="W189" s="0" t="s">
        <v>263</v>
      </c>
      <c r="X189" s="0" t="s">
        <v>3897</v>
      </c>
      <c r="Y189" s="0" t="str">
        <f aca="false">IF(FX189&lt;&gt;"Y","",COUNTIFS($FX$2:$FX$1000,"Y",$J$2:$J$1000,"&gt;"&amp;J189)+COUNTIFS($FX$2:$FX$1000,"Y",$J$2:$J$1000,J189,$GD$2:$GD$1000,"&lt;"&amp;GD189)+1)</f>
        <v/>
      </c>
      <c r="Z189" s="0" t="n">
        <v>188</v>
      </c>
      <c r="AA189" s="0" t="s">
        <v>189</v>
      </c>
      <c r="AB189" s="0" t="str">
        <f aca="false">IF($A189="","",IF(AW189="Y",BY189&amp;"",BK189&amp;""))</f>
        <v/>
      </c>
      <c r="AC189" s="0" t="str">
        <f aca="false">IF($A189="","",IF(AW189="Y",BS189&amp;"",BE189&amp;""))</f>
        <v/>
      </c>
      <c r="AD189" s="0" t="str">
        <f aca="false">IF($A189="","",IF(AW189="Y",BT189&amp;"",BF189&amp;""))</f>
        <v>none</v>
      </c>
      <c r="AE189" s="0" t="str">
        <f aca="false">IF($A189="","",IF(AW189="Y",BU189&amp;"",BG189&amp;""))</f>
        <v/>
      </c>
      <c r="AF189" s="0" t="str">
        <f aca="false">IF($A189="","",IF(AW189="Y",BV189&amp;"",BH189&amp;""))</f>
        <v/>
      </c>
      <c r="AG189" s="0" t="str">
        <f aca="false">IF($A189="","",IF(AW189="Y",BW189&amp;"",BI189&amp;""))</f>
        <v/>
      </c>
      <c r="AH189" s="0" t="str">
        <f aca="false">IF($A189="","",IF(AW189="Y",BX189&amp;"",BJ189&amp;""))</f>
        <v>none</v>
      </c>
      <c r="AI189" s="0" t="s">
        <v>4035</v>
      </c>
      <c r="AJ189" s="0" t="s">
        <v>279</v>
      </c>
      <c r="AK189" s="0" t="s">
        <v>3898</v>
      </c>
      <c r="AL189" s="0" t="s">
        <v>209</v>
      </c>
      <c r="AM189" s="0" t="s">
        <v>209</v>
      </c>
      <c r="AN189" s="0" t="s">
        <v>380</v>
      </c>
      <c r="AO189" s="0" t="s">
        <v>209</v>
      </c>
      <c r="AP189" s="0" t="s">
        <v>4056</v>
      </c>
      <c r="AQ189" s="5" t="s">
        <v>189</v>
      </c>
      <c r="AT189" s="0" t="str">
        <f aca="false">IF($A189="","",IF(AND(CN189="pass",AQ189&lt;&gt;"Y",C189&lt;&gt;"",OR(AX189&lt;&gt;"Y",AV189="Y")),"Y","N"))</f>
        <v>N</v>
      </c>
      <c r="AU189" s="0" t="str">
        <f aca="false">IF($A189="","",_xlfn.TEXTJOIN("; ",TRUE(),IF(CN189&lt;&gt;"pass","gated out",""),IF(AQ189="Y","on hold: "&amp;AR189,""),IF(C189="","no contact named on an opened page",""),IF(AND(AX189="Y",AV189&lt;&gt;"Y"),"Tuesday estimate band "&amp;L189&amp;": founder's call","")))</f>
        <v>no contact named on an opened page</v>
      </c>
      <c r="AX189" s="0" t="s">
        <v>189</v>
      </c>
      <c r="BC189" s="0" t="str">
        <f aca="false">IF($A189="","",IFERROR(INDEX(Enrichment!$A$2:$GZ$2000,MATCH($A189,INDEX(Enrichment!$A$2:$GZ$2000,0,MATCH("row_id",Enrichment!$A$1:$GZ$1,0)),0),MATCH("work_email",Enrichment!$A$1:$GZ$1,0))&amp;"",""))</f>
        <v/>
      </c>
      <c r="BD189" s="0" t="str">
        <f aca="false">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none</v>
      </c>
      <c r="BF189" s="0" t="s">
        <v>380</v>
      </c>
      <c r="BJ189" s="0" t="s">
        <v>380</v>
      </c>
      <c r="BL189" s="0" t="s">
        <v>896</v>
      </c>
      <c r="BQ189" s="0" t="str">
        <f aca="false">IF($A189="","",IFERROR(INDEX(Enrichment!$A$2:$GZ$2000,MATCH($A189,INDEX(Enrichment!$A$2:$GZ$2000,0,MATCH("row_id",Enrichment!$A$1:$GZ$1,0)),0),MATCH("backup_work_email",Enrichment!$A$1:$GZ$1,0))&amp;"",""))</f>
        <v/>
      </c>
      <c r="BR189" s="0" t="str">
        <f aca="false">IF($A189="","",IF(BQ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none</v>
      </c>
      <c r="BT189" s="0" t="s">
        <v>380</v>
      </c>
      <c r="BX189" s="0" t="s">
        <v>380</v>
      </c>
      <c r="BY189" s="0" t="s">
        <v>387</v>
      </c>
      <c r="BZ189" s="0" t="s">
        <v>388</v>
      </c>
      <c r="CA189" s="0" t="s">
        <v>4036</v>
      </c>
      <c r="CB189" s="0" t="s">
        <v>196</v>
      </c>
      <c r="CM189" s="0" t="s">
        <v>189</v>
      </c>
      <c r="CN189" s="0" t="s">
        <v>200</v>
      </c>
      <c r="CO189" s="0" t="s">
        <v>201</v>
      </c>
      <c r="CP189" s="0" t="s">
        <v>1</v>
      </c>
      <c r="CQ189" s="0" t="s">
        <v>4061</v>
      </c>
      <c r="CR189" s="0" t="s">
        <v>209</v>
      </c>
      <c r="CS189" s="0" t="s">
        <v>4062</v>
      </c>
      <c r="CT189" s="0" t="s">
        <v>209</v>
      </c>
      <c r="CV189" s="0" t="s">
        <v>209</v>
      </c>
      <c r="CW189" s="0" t="s">
        <v>209</v>
      </c>
      <c r="CX189" s="0" t="s">
        <v>2712</v>
      </c>
      <c r="DA189" s="0" t="s">
        <v>209</v>
      </c>
      <c r="DB189" s="0" t="s">
        <v>209</v>
      </c>
      <c r="DC189" s="0" t="s">
        <v>209</v>
      </c>
      <c r="DD189" s="0" t="s">
        <v>209</v>
      </c>
      <c r="DE189" s="0" t="s">
        <v>209</v>
      </c>
      <c r="DF189" s="0" t="s">
        <v>311</v>
      </c>
      <c r="DG189" s="0" t="n">
        <v>40.744774</v>
      </c>
      <c r="DH189" s="0" t="n">
        <v>-73.984932</v>
      </c>
      <c r="DI189" s="0" t="s">
        <v>164</v>
      </c>
      <c r="DJ189" s="0" t="n">
        <v>0</v>
      </c>
      <c r="DK189" s="0" t="s">
        <v>4040</v>
      </c>
      <c r="DL189" s="0" t="s">
        <v>4041</v>
      </c>
      <c r="DM189" s="0" t="s">
        <v>4059</v>
      </c>
      <c r="DN189" s="0" t="s">
        <v>4060</v>
      </c>
      <c r="DO189" s="0" t="s">
        <v>363</v>
      </c>
      <c r="DS189" s="0" t="s">
        <v>809</v>
      </c>
      <c r="DU189" s="0" t="s">
        <v>189</v>
      </c>
      <c r="DX189" s="0" t="s">
        <v>209</v>
      </c>
      <c r="EA189" s="0" t="s">
        <v>209</v>
      </c>
      <c r="EB189" s="0" t="s">
        <v>189</v>
      </c>
      <c r="EC189" s="0" t="s">
        <v>209</v>
      </c>
      <c r="EF189" s="0" t="s">
        <v>209</v>
      </c>
      <c r="EH189" s="0" t="s">
        <v>189</v>
      </c>
      <c r="EI189" s="0" t="s">
        <v>2716</v>
      </c>
      <c r="EJ189" s="0" t="s">
        <v>221</v>
      </c>
      <c r="EK189" s="0" t="s">
        <v>209</v>
      </c>
      <c r="EL189" s="0" t="n">
        <v>29</v>
      </c>
      <c r="EM189" s="0" t="n">
        <v>7</v>
      </c>
      <c r="EN189" s="0" t="n">
        <v>8</v>
      </c>
      <c r="EO189" s="0" t="n">
        <v>6</v>
      </c>
      <c r="EP189" s="0" t="n">
        <v>8</v>
      </c>
      <c r="EQ189" s="0" t="n">
        <f aca="false">IF($A189="","",IF(AH189="exact",10,IF(AH189="adjacent",5,0)))</f>
        <v>0</v>
      </c>
      <c r="ER189" s="0" t="n">
        <f aca="false">IF($A189="","",IF(R189="Y",15,0))</f>
        <v>0</v>
      </c>
      <c r="ES189" s="0" t="s">
        <v>222</v>
      </c>
      <c r="EV189" s="0" t="s">
        <v>4043</v>
      </c>
      <c r="EW189" s="0" t="s">
        <v>224</v>
      </c>
      <c r="EX189" s="0" t="s">
        <v>4063</v>
      </c>
      <c r="FS189" s="0" t="str">
        <f aca="false">IF($A189="","",IF(ISNUMBER(MATCH(U189,{"queued","contacted","replied","call_booked","call_done","yes_in_principle","materials_sent"},0)),"Y","N"))</f>
        <v>N</v>
      </c>
      <c r="FT189" s="0" t="str">
        <f aca="false">IF($A189="","",IF(OR(T189="Y",U189="do_not_contact",AS189&amp;""&lt;&gt;""),"Y","N"))</f>
        <v>N</v>
      </c>
      <c r="FU189" s="0" t="str">
        <f aca="false">IF($A189="","",IF(AP189&amp;""&lt;&gt;"",AP189&amp;"",$A189))</f>
        <v>AO-C-167</v>
      </c>
      <c r="FV189" s="0" t="str">
        <f aca="false">IF($A189="","",IF(COUNTIFS($FU$2:$FU$1000,FU189,$FS$2:$FS$1000,"Y")+COUNTIFS($FU$2:$FU$1000,FU189,$FT$2:$FT$1000,"Y")&gt;0,"Y","N"))</f>
        <v>N</v>
      </c>
      <c r="FW189" s="0" t="str">
        <f aca="false">IF($A189="","",IF(AND(U189="new",T189="N",FT189="N",AT189="Y",FV189="N"),"Y","N"))</f>
        <v>N</v>
      </c>
      <c r="FX189" s="0" t="str">
        <f aca="false">IF($A189="","",IF(FW189&lt;&gt;"Y","N",IF(COUNTIFS($FU$2:$FU$1000,FU189,$FW$2:$FW$1000,"Y",$J$2:$J$1000,"&gt;"&amp;J189)+COUNTIFS($FU$2:$FU$1000,FU189,$FW$2:$FW$1000,"Y",$J$2:$J$1000,J189,$GD$2:$GD$1000,"&lt;"&amp;GD189)=0,"Y","N")))</f>
        <v>N</v>
      </c>
      <c r="FY189" s="0" t="str">
        <f aca="false">IF($A189="","",IF(AND(FW189="Y",FX189="Y",Y189&amp;""&lt;&gt;""),IF(Y189&lt;=10,"Y","N"),"N"))</f>
        <v>N</v>
      </c>
      <c r="FZ189" s="0" t="str">
        <f aca="false">IF(FY189="Y",Y189,"")</f>
        <v/>
      </c>
      <c r="GA189" s="0" t="str">
        <f aca="false">IF($A189="","",IF(AND(I189="walk-in",CN189="pass",U189="new",FT189="N",FV189="N",AQ189&lt;&gt;"Y"),"Y","N"))</f>
        <v>N</v>
      </c>
      <c r="GB189" s="0" t="str">
        <f aca="false">IF(GA189&lt;&gt;"Y","",IF(COUNTIFS($GA$2:$GA$1000,"Y",$J$2:$J$1000,"&gt;"&amp;J189)+COUNTIFS($GA$2:$GA$1000,"Y",$J$2:$J$1000,J189,$GD$2:$GD$1000,"&lt;"&amp;GD189)+1&lt;=25,COUNTIFS($GA$2:$GA$1000,"Y",$J$2:$J$1000,"&gt;"&amp;J189)+COUNTIFS($GA$2:$GA$1000,"Y",$J$2:$J$1000,J189,$GD$2:$GD$1000,"&lt;"&amp;GD189)+1,""))</f>
        <v/>
      </c>
      <c r="GC189" s="0" t="str">
        <f aca="false">IF(AND(_xlfn.ISFORMULA(C189),_xlfn.ISFORMULA(J189)),"Y","N")</f>
        <v>Y</v>
      </c>
      <c r="GD189" s="0" t="n">
        <f aca="false">ROW()-1</f>
        <v>188</v>
      </c>
    </row>
    <row r="190" customFormat="false" ht="15" hidden="false" customHeight="false" outlineLevel="0" collapsed="false">
      <c r="A190" s="0" t="s">
        <v>4064</v>
      </c>
      <c r="B190" s="0" t="s">
        <v>4065</v>
      </c>
      <c r="C190" s="0" t="str">
        <f aca="false">IF($A190="","",IF(AW190="Y",BM190&amp;"",AY190&amp;""))</f>
        <v/>
      </c>
      <c r="D190" s="0" t="str">
        <f aca="false">IF($A190="","",IF(AW190="Y",BN190&amp;"",AZ190&amp;""))</f>
        <v/>
      </c>
      <c r="E190" s="0" t="str">
        <f aca="false">IF($A190="","",IF(AW190="Y",BO190&amp;"",BA190&amp;""))</f>
        <v/>
      </c>
      <c r="F190" s="0" t="str">
        <f aca="false">IF($A190="","",IF(AW190="Y",BP190&amp;"",BB190&amp;""))</f>
        <v/>
      </c>
      <c r="G190" s="0" t="str">
        <f aca="false">IF($A190="","",IF(AW190="Y",BQ190&amp;"",BC190&amp;""))</f>
        <v/>
      </c>
      <c r="H190" s="0" t="str">
        <f aca="false">IF($A190="","",IF(AW190="Y",BR190&amp;"",BD190&amp;""))</f>
        <v>none</v>
      </c>
      <c r="I190" s="0" t="str">
        <f aca="false">IF($A190="","",IF(R190="Y","warm-intro",IF(H190="verified","email",IF(C190&lt;&gt;"","linkedin",CB190&amp;""))))</f>
        <v>linkedin</v>
      </c>
      <c r="J190" s="0" t="n">
        <f aca="false">IF($A190="","",IF(CN190="pass",ROUND(N(EM190)+N(EN190)+N(EO190)+N(EP190)+N(EQ190)+N(ER190),1),0))</f>
        <v>29</v>
      </c>
      <c r="K190" s="0" t="str">
        <f aca="false">IF($A190="","",IF(CN190&lt;&gt;"pass",CA190&amp;"",CA190&amp;"; "&amp;IF(AW190="Y",BZ190&amp;"",BL190&amp;"")&amp;IF(R190="Y","; known to the founder (+15)","")&amp;"."))</f>
        <v>Tuesday headcount unknown (no sourced count), company size unknown, no attendance signal, occupancy-unconfirmed at a medium-confidence address; contacts not researched yet.</v>
      </c>
      <c r="L190" s="0" t="s">
        <v>209</v>
      </c>
      <c r="R190" s="5" t="s">
        <v>189</v>
      </c>
      <c r="S190" s="0" t="s">
        <v>209</v>
      </c>
      <c r="T190" s="0" t="s">
        <v>189</v>
      </c>
      <c r="U190" s="5" t="s">
        <v>3896</v>
      </c>
      <c r="V190" s="0" t="s">
        <v>4066</v>
      </c>
      <c r="W190" s="0" t="s">
        <v>263</v>
      </c>
      <c r="X190" s="0" t="s">
        <v>3897</v>
      </c>
      <c r="Y190" s="0" t="str">
        <f aca="false">IF(FX190&lt;&gt;"Y","",COUNTIFS($FX$2:$FX$1000,"Y",$J$2:$J$1000,"&gt;"&amp;J190)+COUNTIFS($FX$2:$FX$1000,"Y",$J$2:$J$1000,J190,$GD$2:$GD$1000,"&lt;"&amp;GD190)+1)</f>
        <v/>
      </c>
      <c r="Z190" s="0" t="n">
        <v>189</v>
      </c>
      <c r="AA190" s="0" t="s">
        <v>189</v>
      </c>
      <c r="AB190" s="0" t="str">
        <f aca="false">IF($A190="","",IF(AW190="Y",BY190&amp;"",BK190&amp;""))</f>
        <v/>
      </c>
      <c r="AC190" s="0" t="str">
        <f aca="false">IF($A190="","",IF(AW190="Y",BS190&amp;"",BE190&amp;""))</f>
        <v/>
      </c>
      <c r="AD190" s="0" t="str">
        <f aca="false">IF($A190="","",IF(AW190="Y",BT190&amp;"",BF190&amp;""))</f>
        <v>none</v>
      </c>
      <c r="AE190" s="0" t="str">
        <f aca="false">IF($A190="","",IF(AW190="Y",BU190&amp;"",BG190&amp;""))</f>
        <v/>
      </c>
      <c r="AF190" s="0" t="str">
        <f aca="false">IF($A190="","",IF(AW190="Y",BV190&amp;"",BH190&amp;""))</f>
        <v/>
      </c>
      <c r="AG190" s="0" t="str">
        <f aca="false">IF($A190="","",IF(AW190="Y",BW190&amp;"",BI190&amp;""))</f>
        <v/>
      </c>
      <c r="AH190" s="0" t="str">
        <f aca="false">IF($A190="","",IF(AW190="Y",BX190&amp;"",BJ190&amp;""))</f>
        <v>none</v>
      </c>
      <c r="AI190" s="0" t="s">
        <v>4067</v>
      </c>
      <c r="AJ190" s="0" t="s">
        <v>209</v>
      </c>
      <c r="AK190" s="0" t="s">
        <v>3898</v>
      </c>
      <c r="AL190" s="0" t="s">
        <v>209</v>
      </c>
      <c r="AM190" s="0" t="s">
        <v>209</v>
      </c>
      <c r="AN190" s="0" t="s">
        <v>380</v>
      </c>
      <c r="AO190" s="0" t="s">
        <v>209</v>
      </c>
      <c r="AP190" s="0" t="s">
        <v>4064</v>
      </c>
      <c r="AQ190" s="5" t="s">
        <v>189</v>
      </c>
      <c r="AT190" s="0" t="str">
        <f aca="false">IF($A190="","",IF(AND(CN190="pass",AQ190&lt;&gt;"Y",C190&lt;&gt;"",OR(AX190&lt;&gt;"Y",AV190="Y")),"Y","N"))</f>
        <v>N</v>
      </c>
      <c r="AU190" s="0" t="str">
        <f aca="false">IF($A190="","",_xlfn.TEXTJOIN("; ",TRUE(),IF(CN190&lt;&gt;"pass","gated out",""),IF(AQ190="Y","on hold: "&amp;AR190,""),IF(C190="","no contact named on an opened page",""),IF(AND(AX190="Y",AV190&lt;&gt;"Y"),"Tuesday estimate band "&amp;L190&amp;": founder's call","")))</f>
        <v>no contact named on an opened page</v>
      </c>
      <c r="AX190" s="0" t="s">
        <v>189</v>
      </c>
      <c r="BC190" s="0" t="str">
        <f aca="false">IF($A190="","",IFERROR(INDEX(Enrichment!$A$2:$GZ$2000,MATCH($A190,INDEX(Enrichment!$A$2:$GZ$2000,0,MATCH("row_id",Enrichment!$A$1:$GZ$1,0)),0),MATCH("work_email",Enrichment!$A$1:$GZ$1,0))&amp;"",""))</f>
        <v/>
      </c>
      <c r="BD190" s="0" t="str">
        <f aca="false">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none</v>
      </c>
      <c r="BF190" s="0" t="s">
        <v>380</v>
      </c>
      <c r="BJ190" s="0" t="s">
        <v>380</v>
      </c>
      <c r="BL190" s="0" t="s">
        <v>896</v>
      </c>
      <c r="BQ190" s="0" t="str">
        <f aca="false">IF($A190="","",IFERROR(INDEX(Enrichment!$A$2:$GZ$2000,MATCH($A190,INDEX(Enrichment!$A$2:$GZ$2000,0,MATCH("row_id",Enrichment!$A$1:$GZ$1,0)),0),MATCH("backup_work_email",Enrichment!$A$1:$GZ$1,0))&amp;"",""))</f>
        <v/>
      </c>
      <c r="BR190" s="0" t="str">
        <f aca="false">IF($A190="","",IF(BQ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none</v>
      </c>
      <c r="BT190" s="0" t="s">
        <v>380</v>
      </c>
      <c r="BX190" s="0" t="s">
        <v>380</v>
      </c>
      <c r="BY190" s="0" t="s">
        <v>387</v>
      </c>
      <c r="BZ190" s="0" t="s">
        <v>388</v>
      </c>
      <c r="CA190" s="0" t="s">
        <v>4036</v>
      </c>
      <c r="CB190" s="0" t="s">
        <v>196</v>
      </c>
      <c r="CM190" s="0" t="s">
        <v>189</v>
      </c>
      <c r="CN190" s="0" t="s">
        <v>200</v>
      </c>
      <c r="CO190" s="0" t="s">
        <v>201</v>
      </c>
      <c r="CP190" s="0" t="s">
        <v>1</v>
      </c>
      <c r="CQ190" s="0" t="s">
        <v>4068</v>
      </c>
      <c r="CR190" s="0" t="s">
        <v>209</v>
      </c>
      <c r="CS190" s="0" t="s">
        <v>4069</v>
      </c>
      <c r="CT190" s="0" t="s">
        <v>209</v>
      </c>
      <c r="CV190" s="0" t="s">
        <v>209</v>
      </c>
      <c r="CW190" s="0" t="s">
        <v>209</v>
      </c>
      <c r="CX190" s="0" t="s">
        <v>2712</v>
      </c>
      <c r="DA190" s="0" t="s">
        <v>209</v>
      </c>
      <c r="DB190" s="0" t="s">
        <v>209</v>
      </c>
      <c r="DC190" s="0" t="s">
        <v>209</v>
      </c>
      <c r="DD190" s="0" t="s">
        <v>209</v>
      </c>
      <c r="DE190" s="0" t="s">
        <v>209</v>
      </c>
      <c r="DF190" s="0" t="s">
        <v>525</v>
      </c>
      <c r="DG190" s="0" t="n">
        <v>40.740407</v>
      </c>
      <c r="DH190" s="0" t="n">
        <v>-73.990193</v>
      </c>
      <c r="DI190" s="0" t="s">
        <v>164</v>
      </c>
      <c r="DJ190" s="0" t="n">
        <v>0</v>
      </c>
      <c r="DK190" s="0" t="s">
        <v>4070</v>
      </c>
      <c r="DL190" s="0" t="s">
        <v>4067</v>
      </c>
      <c r="DM190" s="0" t="s">
        <v>4066</v>
      </c>
      <c r="DN190" s="0" t="s">
        <v>4071</v>
      </c>
      <c r="DO190" s="0" t="s">
        <v>363</v>
      </c>
      <c r="DS190" s="0" t="s">
        <v>809</v>
      </c>
      <c r="DU190" s="0" t="s">
        <v>189</v>
      </c>
      <c r="DX190" s="0" t="s">
        <v>209</v>
      </c>
      <c r="EA190" s="0" t="s">
        <v>209</v>
      </c>
      <c r="EB190" s="0" t="s">
        <v>189</v>
      </c>
      <c r="EC190" s="0" t="s">
        <v>209</v>
      </c>
      <c r="EF190" s="0" t="s">
        <v>209</v>
      </c>
      <c r="EH190" s="0" t="s">
        <v>189</v>
      </c>
      <c r="EI190" s="0" t="s">
        <v>2716</v>
      </c>
      <c r="EJ190" s="0" t="s">
        <v>221</v>
      </c>
      <c r="EK190" s="0" t="s">
        <v>209</v>
      </c>
      <c r="EL190" s="0" t="n">
        <v>29</v>
      </c>
      <c r="EM190" s="0" t="n">
        <v>7</v>
      </c>
      <c r="EN190" s="0" t="n">
        <v>8</v>
      </c>
      <c r="EO190" s="0" t="n">
        <v>6</v>
      </c>
      <c r="EP190" s="0" t="n">
        <v>8</v>
      </c>
      <c r="EQ190" s="0" t="n">
        <f aca="false">IF($A190="","",IF(AH190="exact",10,IF(AH190="adjacent",5,0)))</f>
        <v>0</v>
      </c>
      <c r="ER190" s="0" t="n">
        <f aca="false">IF($A190="","",IF(R190="Y",15,0))</f>
        <v>0</v>
      </c>
      <c r="ES190" s="0" t="s">
        <v>222</v>
      </c>
      <c r="EV190" s="0" t="s">
        <v>1739</v>
      </c>
      <c r="EW190" s="0" t="s">
        <v>224</v>
      </c>
      <c r="EX190" s="0" t="s">
        <v>4072</v>
      </c>
      <c r="FS190" s="0" t="str">
        <f aca="false">IF($A190="","",IF(ISNUMBER(MATCH(U190,{"queued","contacted","replied","call_booked","call_done","yes_in_principle","materials_sent"},0)),"Y","N"))</f>
        <v>N</v>
      </c>
      <c r="FT190" s="0" t="str">
        <f aca="false">IF($A190="","",IF(OR(T190="Y",U190="do_not_contact",AS190&amp;""&lt;&gt;""),"Y","N"))</f>
        <v>N</v>
      </c>
      <c r="FU190" s="0" t="str">
        <f aca="false">IF($A190="","",IF(AP190&amp;""&lt;&gt;"",AP190&amp;"",$A190))</f>
        <v>AO-C-076</v>
      </c>
      <c r="FV190" s="0" t="str">
        <f aca="false">IF($A190="","",IF(COUNTIFS($FU$2:$FU$1000,FU190,$FS$2:$FS$1000,"Y")+COUNTIFS($FU$2:$FU$1000,FU190,$FT$2:$FT$1000,"Y")&gt;0,"Y","N"))</f>
        <v>N</v>
      </c>
      <c r="FW190" s="0" t="str">
        <f aca="false">IF($A190="","",IF(AND(U190="new",T190="N",FT190="N",AT190="Y",FV190="N"),"Y","N"))</f>
        <v>N</v>
      </c>
      <c r="FX190" s="0" t="str">
        <f aca="false">IF($A190="","",IF(FW190&lt;&gt;"Y","N",IF(COUNTIFS($FU$2:$FU$1000,FU190,$FW$2:$FW$1000,"Y",$J$2:$J$1000,"&gt;"&amp;J190)+COUNTIFS($FU$2:$FU$1000,FU190,$FW$2:$FW$1000,"Y",$J$2:$J$1000,J190,$GD$2:$GD$1000,"&lt;"&amp;GD190)=0,"Y","N")))</f>
        <v>N</v>
      </c>
      <c r="FY190" s="0" t="str">
        <f aca="false">IF($A190="","",IF(AND(FW190="Y",FX190="Y",Y190&amp;""&lt;&gt;""),IF(Y190&lt;=10,"Y","N"),"N"))</f>
        <v>N</v>
      </c>
      <c r="FZ190" s="0" t="str">
        <f aca="false">IF(FY190="Y",Y190,"")</f>
        <v/>
      </c>
      <c r="GA190" s="0" t="str">
        <f aca="false">IF($A190="","",IF(AND(I190="walk-in",CN190="pass",U190="new",FT190="N",FV190="N",AQ190&lt;&gt;"Y"),"Y","N"))</f>
        <v>N</v>
      </c>
      <c r="GB190" s="0" t="str">
        <f aca="false">IF(GA190&lt;&gt;"Y","",IF(COUNTIFS($GA$2:$GA$1000,"Y",$J$2:$J$1000,"&gt;"&amp;J190)+COUNTIFS($GA$2:$GA$1000,"Y",$J$2:$J$1000,J190,$GD$2:$GD$1000,"&lt;"&amp;GD190)+1&lt;=25,COUNTIFS($GA$2:$GA$1000,"Y",$J$2:$J$1000,"&gt;"&amp;J190)+COUNTIFS($GA$2:$GA$1000,"Y",$J$2:$J$1000,J190,$GD$2:$GD$1000,"&lt;"&amp;GD190)+1,""))</f>
        <v/>
      </c>
      <c r="GC190" s="0" t="str">
        <f aca="false">IF(AND(_xlfn.ISFORMULA(C190),_xlfn.ISFORMULA(J190)),"Y","N")</f>
        <v>Y</v>
      </c>
      <c r="GD190" s="0" t="n">
        <f aca="false">ROW()-1</f>
        <v>189</v>
      </c>
    </row>
    <row r="191" customFormat="false" ht="15" hidden="false" customHeight="false" outlineLevel="0" collapsed="false">
      <c r="A191" s="0" t="s">
        <v>4073</v>
      </c>
      <c r="B191" s="0" t="s">
        <v>4074</v>
      </c>
      <c r="C191" s="0" t="str">
        <f aca="false">IF($A191="","",IF(AW191="Y",BM191&amp;"",AY191&amp;""))</f>
        <v/>
      </c>
      <c r="D191" s="0" t="str">
        <f aca="false">IF($A191="","",IF(AW191="Y",BN191&amp;"",AZ191&amp;""))</f>
        <v/>
      </c>
      <c r="E191" s="0" t="str">
        <f aca="false">IF($A191="","",IF(AW191="Y",BO191&amp;"",BA191&amp;""))</f>
        <v/>
      </c>
      <c r="F191" s="0" t="str">
        <f aca="false">IF($A191="","",IF(AW191="Y",BP191&amp;"",BB191&amp;""))</f>
        <v/>
      </c>
      <c r="G191" s="0" t="str">
        <f aca="false">IF($A191="","",IF(AW191="Y",BQ191&amp;"",BC191&amp;""))</f>
        <v/>
      </c>
      <c r="H191" s="0" t="str">
        <f aca="false">IF($A191="","",IF(AW191="Y",BR191&amp;"",BD191&amp;""))</f>
        <v>none</v>
      </c>
      <c r="I191" s="0" t="str">
        <f aca="false">IF($A191="","",IF(R191="Y","warm-intro",IF(H191="verified","email",IF(C191&lt;&gt;"","linkedin",CB191&amp;""))))</f>
        <v>linkedin</v>
      </c>
      <c r="J191" s="0" t="n">
        <f aca="false">IF($A191="","",IF(CN191="pass",ROUND(N(EM191)+N(EN191)+N(EO191)+N(EP191)+N(EQ191)+N(ER191),1),0))</f>
        <v>29</v>
      </c>
      <c r="K191" s="0" t="str">
        <f aca="false">IF($A191="","",IF(CN191&lt;&gt;"pass",CA191&amp;"",CA191&amp;"; "&amp;IF(AW191="Y",BZ191&amp;"",BL191&amp;"")&amp;IF(R191="Y","; known to the founder (+15)","")&amp;"."))</f>
        <v>Tuesday headcount unknown (no sourced count), company size unknown, no attendance signal, occupancy-unconfirmed at a medium-confidence address; contacts not researched yet.</v>
      </c>
      <c r="L191" s="0" t="s">
        <v>209</v>
      </c>
      <c r="R191" s="5" t="s">
        <v>189</v>
      </c>
      <c r="S191" s="0" t="s">
        <v>209</v>
      </c>
      <c r="T191" s="0" t="s">
        <v>189</v>
      </c>
      <c r="U191" s="5" t="s">
        <v>3896</v>
      </c>
      <c r="V191" s="0" t="s">
        <v>529</v>
      </c>
      <c r="W191" s="0" t="s">
        <v>263</v>
      </c>
      <c r="X191" s="0" t="s">
        <v>3897</v>
      </c>
      <c r="Y191" s="0" t="str">
        <f aca="false">IF(FX191&lt;&gt;"Y","",COUNTIFS($FX$2:$FX$1000,"Y",$J$2:$J$1000,"&gt;"&amp;J191)+COUNTIFS($FX$2:$FX$1000,"Y",$J$2:$J$1000,J191,$GD$2:$GD$1000,"&lt;"&amp;GD191)+1)</f>
        <v/>
      </c>
      <c r="Z191" s="0" t="n">
        <v>190</v>
      </c>
      <c r="AA191" s="0" t="s">
        <v>189</v>
      </c>
      <c r="AB191" s="0" t="str">
        <f aca="false">IF($A191="","",IF(AW191="Y",BY191&amp;"",BK191&amp;""))</f>
        <v/>
      </c>
      <c r="AC191" s="0" t="str">
        <f aca="false">IF($A191="","",IF(AW191="Y",BS191&amp;"",BE191&amp;""))</f>
        <v/>
      </c>
      <c r="AD191" s="0" t="str">
        <f aca="false">IF($A191="","",IF(AW191="Y",BT191&amp;"",BF191&amp;""))</f>
        <v>none</v>
      </c>
      <c r="AE191" s="0" t="str">
        <f aca="false">IF($A191="","",IF(AW191="Y",BU191&amp;"",BG191&amp;""))</f>
        <v/>
      </c>
      <c r="AF191" s="0" t="str">
        <f aca="false">IF($A191="","",IF(AW191="Y",BV191&amp;"",BH191&amp;""))</f>
        <v/>
      </c>
      <c r="AG191" s="0" t="str">
        <f aca="false">IF($A191="","",IF(AW191="Y",BW191&amp;"",BI191&amp;""))</f>
        <v/>
      </c>
      <c r="AH191" s="0" t="str">
        <f aca="false">IF($A191="","",IF(AW191="Y",BX191&amp;"",BJ191&amp;""))</f>
        <v>none</v>
      </c>
      <c r="AI191" s="0" t="s">
        <v>507</v>
      </c>
      <c r="AJ191" s="0" t="s">
        <v>4075</v>
      </c>
      <c r="AK191" s="0" t="s">
        <v>3898</v>
      </c>
      <c r="AL191" s="0" t="s">
        <v>209</v>
      </c>
      <c r="AM191" s="0" t="s">
        <v>209</v>
      </c>
      <c r="AN191" s="0" t="s">
        <v>380</v>
      </c>
      <c r="AO191" s="0" t="s">
        <v>209</v>
      </c>
      <c r="AP191" s="0" t="s">
        <v>4073</v>
      </c>
      <c r="AQ191" s="5" t="s">
        <v>189</v>
      </c>
      <c r="AT191" s="0" t="str">
        <f aca="false">IF($A191="","",IF(AND(CN191="pass",AQ191&lt;&gt;"Y",C191&lt;&gt;"",OR(AX191&lt;&gt;"Y",AV191="Y")),"Y","N"))</f>
        <v>N</v>
      </c>
      <c r="AU191" s="0" t="str">
        <f aca="false">IF($A191="","",_xlfn.TEXTJOIN("; ",TRUE(),IF(CN191&lt;&gt;"pass","gated out",""),IF(AQ191="Y","on hold: "&amp;AR191,""),IF(C191="","no contact named on an opened page",""),IF(AND(AX191="Y",AV191&lt;&gt;"Y"),"Tuesday estimate band "&amp;L191&amp;": founder's call","")))</f>
        <v>no contact named on an opened page</v>
      </c>
      <c r="AX191" s="0" t="s">
        <v>189</v>
      </c>
      <c r="BC191" s="0" t="str">
        <f aca="false">IF($A191="","",IFERROR(INDEX(Enrichment!$A$2:$GZ$2000,MATCH($A191,INDEX(Enrichment!$A$2:$GZ$2000,0,MATCH("row_id",Enrichment!$A$1:$GZ$1,0)),0),MATCH("work_email",Enrichment!$A$1:$GZ$1,0))&amp;"",""))</f>
        <v/>
      </c>
      <c r="BD191" s="0" t="str">
        <f aca="false">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none</v>
      </c>
      <c r="BF191" s="0" t="s">
        <v>380</v>
      </c>
      <c r="BJ191" s="0" t="s">
        <v>380</v>
      </c>
      <c r="BL191" s="0" t="s">
        <v>896</v>
      </c>
      <c r="BQ191" s="0" t="str">
        <f aca="false">IF($A191="","",IFERROR(INDEX(Enrichment!$A$2:$GZ$2000,MATCH($A191,INDEX(Enrichment!$A$2:$GZ$2000,0,MATCH("row_id",Enrichment!$A$1:$GZ$1,0)),0),MATCH("backup_work_email",Enrichment!$A$1:$GZ$1,0))&amp;"",""))</f>
        <v/>
      </c>
      <c r="BR191" s="0" t="str">
        <f aca="false">IF($A191="","",IF(BQ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none</v>
      </c>
      <c r="BT191" s="0" t="s">
        <v>380</v>
      </c>
      <c r="BX191" s="0" t="s">
        <v>380</v>
      </c>
      <c r="BY191" s="0" t="s">
        <v>387</v>
      </c>
      <c r="BZ191" s="0" t="s">
        <v>388</v>
      </c>
      <c r="CA191" s="0" t="s">
        <v>4036</v>
      </c>
      <c r="CB191" s="0" t="s">
        <v>196</v>
      </c>
      <c r="CM191" s="0" t="s">
        <v>189</v>
      </c>
      <c r="CN191" s="0" t="s">
        <v>200</v>
      </c>
      <c r="CO191" s="0" t="s">
        <v>201</v>
      </c>
      <c r="CP191" s="0" t="s">
        <v>1</v>
      </c>
      <c r="CQ191" s="0" t="s">
        <v>4076</v>
      </c>
      <c r="CR191" s="0" t="s">
        <v>209</v>
      </c>
      <c r="CS191" s="0" t="s">
        <v>4077</v>
      </c>
      <c r="CT191" s="0" t="s">
        <v>209</v>
      </c>
      <c r="CV191" s="0" t="s">
        <v>209</v>
      </c>
      <c r="CW191" s="0" t="s">
        <v>209</v>
      </c>
      <c r="CX191" s="0" t="s">
        <v>2712</v>
      </c>
      <c r="DA191" s="0" t="s">
        <v>209</v>
      </c>
      <c r="DB191" s="0" t="s">
        <v>209</v>
      </c>
      <c r="DC191" s="0" t="s">
        <v>209</v>
      </c>
      <c r="DD191" s="0" t="s">
        <v>209</v>
      </c>
      <c r="DE191" s="0" t="s">
        <v>209</v>
      </c>
      <c r="DF191" s="0" t="s">
        <v>525</v>
      </c>
      <c r="DG191" s="0" t="n">
        <v>40.739819</v>
      </c>
      <c r="DH191" s="0" t="n">
        <v>-73.986885</v>
      </c>
      <c r="DI191" s="0" t="s">
        <v>164</v>
      </c>
      <c r="DJ191" s="0" t="n">
        <v>0</v>
      </c>
      <c r="DK191" s="0" t="s">
        <v>526</v>
      </c>
      <c r="DL191" s="0" t="s">
        <v>527</v>
      </c>
      <c r="DM191" s="0" t="s">
        <v>529</v>
      </c>
      <c r="DN191" s="0" t="s">
        <v>530</v>
      </c>
      <c r="DO191" s="0" t="s">
        <v>363</v>
      </c>
      <c r="DP191" s="0" t="s">
        <v>4078</v>
      </c>
      <c r="DQ191" s="0" t="s">
        <v>2564</v>
      </c>
      <c r="DS191" s="0" t="s">
        <v>809</v>
      </c>
      <c r="DU191" s="0" t="s">
        <v>189</v>
      </c>
      <c r="DX191" s="0" t="s">
        <v>267</v>
      </c>
      <c r="DY191" s="0" t="s">
        <v>531</v>
      </c>
      <c r="EA191" s="0" t="s">
        <v>209</v>
      </c>
      <c r="EB191" s="0" t="s">
        <v>189</v>
      </c>
      <c r="EC191" s="0" t="s">
        <v>209</v>
      </c>
      <c r="EF191" s="0" t="s">
        <v>209</v>
      </c>
      <c r="EH191" s="0" t="s">
        <v>189</v>
      </c>
      <c r="EI191" s="0" t="s">
        <v>2716</v>
      </c>
      <c r="EJ191" s="0" t="s">
        <v>221</v>
      </c>
      <c r="EK191" s="0" t="s">
        <v>209</v>
      </c>
      <c r="EL191" s="0" t="n">
        <v>29</v>
      </c>
      <c r="EM191" s="0" t="n">
        <v>7</v>
      </c>
      <c r="EN191" s="0" t="n">
        <v>8</v>
      </c>
      <c r="EO191" s="0" t="n">
        <v>6</v>
      </c>
      <c r="EP191" s="0" t="n">
        <v>8</v>
      </c>
      <c r="EQ191" s="0" t="n">
        <f aca="false">IF($A191="","",IF(AH191="exact",10,IF(AH191="adjacent",5,0)))</f>
        <v>0</v>
      </c>
      <c r="ER191" s="0" t="n">
        <f aca="false">IF($A191="","",IF(R191="Y",15,0))</f>
        <v>0</v>
      </c>
      <c r="ES191" s="0" t="s">
        <v>222</v>
      </c>
      <c r="EV191" s="0" t="s">
        <v>4079</v>
      </c>
      <c r="EW191" s="0" t="s">
        <v>224</v>
      </c>
      <c r="EX191" s="0" t="s">
        <v>4080</v>
      </c>
      <c r="FS191" s="0" t="str">
        <f aca="false">IF($A191="","",IF(ISNUMBER(MATCH(U191,{"queued","contacted","replied","call_booked","call_done","yes_in_principle","materials_sent"},0)),"Y","N"))</f>
        <v>N</v>
      </c>
      <c r="FT191" s="0" t="str">
        <f aca="false">IF($A191="","",IF(OR(T191="Y",U191="do_not_contact",AS191&amp;""&lt;&gt;""),"Y","N"))</f>
        <v>N</v>
      </c>
      <c r="FU191" s="0" t="str">
        <f aca="false">IF($A191="","",IF(AP191&amp;""&lt;&gt;"",AP191&amp;"",$A191))</f>
        <v>AO-C-092</v>
      </c>
      <c r="FV191" s="0" t="str">
        <f aca="false">IF($A191="","",IF(COUNTIFS($FU$2:$FU$1000,FU191,$FS$2:$FS$1000,"Y")+COUNTIFS($FU$2:$FU$1000,FU191,$FT$2:$FT$1000,"Y")&gt;0,"Y","N"))</f>
        <v>N</v>
      </c>
      <c r="FW191" s="0" t="str">
        <f aca="false">IF($A191="","",IF(AND(U191="new",T191="N",FT191="N",AT191="Y",FV191="N"),"Y","N"))</f>
        <v>N</v>
      </c>
      <c r="FX191" s="0" t="str">
        <f aca="false">IF($A191="","",IF(FW191&lt;&gt;"Y","N",IF(COUNTIFS($FU$2:$FU$1000,FU191,$FW$2:$FW$1000,"Y",$J$2:$J$1000,"&gt;"&amp;J191)+COUNTIFS($FU$2:$FU$1000,FU191,$FW$2:$FW$1000,"Y",$J$2:$J$1000,J191,$GD$2:$GD$1000,"&lt;"&amp;GD191)=0,"Y","N")))</f>
        <v>N</v>
      </c>
      <c r="FY191" s="0" t="str">
        <f aca="false">IF($A191="","",IF(AND(FW191="Y",FX191="Y",Y191&amp;""&lt;&gt;""),IF(Y191&lt;=10,"Y","N"),"N"))</f>
        <v>N</v>
      </c>
      <c r="FZ191" s="0" t="str">
        <f aca="false">IF(FY191="Y",Y191,"")</f>
        <v/>
      </c>
      <c r="GA191" s="0" t="str">
        <f aca="false">IF($A191="","",IF(AND(I191="walk-in",CN191="pass",U191="new",FT191="N",FV191="N",AQ191&lt;&gt;"Y"),"Y","N"))</f>
        <v>N</v>
      </c>
      <c r="GB191" s="0" t="str">
        <f aca="false">IF(GA191&lt;&gt;"Y","",IF(COUNTIFS($GA$2:$GA$1000,"Y",$J$2:$J$1000,"&gt;"&amp;J191)+COUNTIFS($GA$2:$GA$1000,"Y",$J$2:$J$1000,J191,$GD$2:$GD$1000,"&lt;"&amp;GD191)+1&lt;=25,COUNTIFS($GA$2:$GA$1000,"Y",$J$2:$J$1000,"&gt;"&amp;J191)+COUNTIFS($GA$2:$GA$1000,"Y",$J$2:$J$1000,J191,$GD$2:$GD$1000,"&lt;"&amp;GD191)+1,""))</f>
        <v/>
      </c>
      <c r="GC191" s="0" t="str">
        <f aca="false">IF(AND(_xlfn.ISFORMULA(C191),_xlfn.ISFORMULA(J191)),"Y","N")</f>
        <v>Y</v>
      </c>
      <c r="GD191" s="0" t="n">
        <f aca="false">ROW()-1</f>
        <v>190</v>
      </c>
    </row>
    <row r="192" customFormat="false" ht="15" hidden="false" customHeight="false" outlineLevel="0" collapsed="false">
      <c r="A192" s="0" t="s">
        <v>4081</v>
      </c>
      <c r="B192" s="0" t="s">
        <v>4082</v>
      </c>
      <c r="C192" s="0" t="str">
        <f aca="false">IF($A192="","",IF(AW192="Y",BM192&amp;"",AY192&amp;""))</f>
        <v/>
      </c>
      <c r="D192" s="0" t="str">
        <f aca="false">IF($A192="","",IF(AW192="Y",BN192&amp;"",AZ192&amp;""))</f>
        <v/>
      </c>
      <c r="E192" s="0" t="str">
        <f aca="false">IF($A192="","",IF(AW192="Y",BO192&amp;"",BA192&amp;""))</f>
        <v/>
      </c>
      <c r="F192" s="0" t="str">
        <f aca="false">IF($A192="","",IF(AW192="Y",BP192&amp;"",BB192&amp;""))</f>
        <v/>
      </c>
      <c r="G192" s="0" t="str">
        <f aca="false">IF($A192="","",IF(AW192="Y",BQ192&amp;"",BC192&amp;""))</f>
        <v/>
      </c>
      <c r="H192" s="0" t="str">
        <f aca="false">IF($A192="","",IF(AW192="Y",BR192&amp;"",BD192&amp;""))</f>
        <v>none</v>
      </c>
      <c r="I192" s="0" t="str">
        <f aca="false">IF($A192="","",IF(R192="Y","warm-intro",IF(H192="verified","email",IF(C192&lt;&gt;"","linkedin",CB192&amp;""))))</f>
        <v>linkedin</v>
      </c>
      <c r="J192" s="0" t="n">
        <f aca="false">IF($A192="","",IF(CN192="pass",ROUND(N(EM192)+N(EN192)+N(EO192)+N(EP192)+N(EQ192)+N(ER192),1),0))</f>
        <v>29</v>
      </c>
      <c r="K192" s="0" t="str">
        <f aca="false">IF($A192="","",IF(CN192&lt;&gt;"pass",CA192&amp;"",CA192&amp;"; "&amp;IF(AW192="Y",BZ192&amp;"",BL192&amp;"")&amp;IF(R192="Y","; known to the founder (+15)","")&amp;"."))</f>
        <v>Tuesday headcount unknown (no sourced count), company size unknown, no attendance signal, occupancy-unconfirmed at a medium-confidence address; contacts not researched yet.</v>
      </c>
      <c r="L192" s="0" t="s">
        <v>209</v>
      </c>
      <c r="R192" s="5" t="s">
        <v>189</v>
      </c>
      <c r="S192" s="0" t="s">
        <v>209</v>
      </c>
      <c r="T192" s="0" t="s">
        <v>189</v>
      </c>
      <c r="U192" s="5" t="s">
        <v>3896</v>
      </c>
      <c r="V192" s="0" t="s">
        <v>2984</v>
      </c>
      <c r="W192" s="0" t="s">
        <v>263</v>
      </c>
      <c r="X192" s="0" t="s">
        <v>3897</v>
      </c>
      <c r="Y192" s="0" t="str">
        <f aca="false">IF(FX192&lt;&gt;"Y","",COUNTIFS($FX$2:$FX$1000,"Y",$J$2:$J$1000,"&gt;"&amp;J192)+COUNTIFS($FX$2:$FX$1000,"Y",$J$2:$J$1000,J192,$GD$2:$GD$1000,"&lt;"&amp;GD192)+1)</f>
        <v/>
      </c>
      <c r="Z192" s="0" t="n">
        <v>191</v>
      </c>
      <c r="AA192" s="0" t="s">
        <v>189</v>
      </c>
      <c r="AB192" s="0" t="str">
        <f aca="false">IF($A192="","",IF(AW192="Y",BY192&amp;"",BK192&amp;""))</f>
        <v/>
      </c>
      <c r="AC192" s="0" t="str">
        <f aca="false">IF($A192="","",IF(AW192="Y",BS192&amp;"",BE192&amp;""))</f>
        <v/>
      </c>
      <c r="AD192" s="0" t="str">
        <f aca="false">IF($A192="","",IF(AW192="Y",BT192&amp;"",BF192&amp;""))</f>
        <v>none</v>
      </c>
      <c r="AE192" s="0" t="str">
        <f aca="false">IF($A192="","",IF(AW192="Y",BU192&amp;"",BG192&amp;""))</f>
        <v/>
      </c>
      <c r="AF192" s="0" t="str">
        <f aca="false">IF($A192="","",IF(AW192="Y",BV192&amp;"",BH192&amp;""))</f>
        <v/>
      </c>
      <c r="AG192" s="0" t="str">
        <f aca="false">IF($A192="","",IF(AW192="Y",BW192&amp;"",BI192&amp;""))</f>
        <v/>
      </c>
      <c r="AH192" s="0" t="str">
        <f aca="false">IF($A192="","",IF(AW192="Y",BX192&amp;"",BJ192&amp;""))</f>
        <v>none</v>
      </c>
      <c r="AI192" s="0" t="s">
        <v>2976</v>
      </c>
      <c r="AJ192" s="0" t="s">
        <v>209</v>
      </c>
      <c r="AK192" s="0" t="s">
        <v>3898</v>
      </c>
      <c r="AL192" s="0" t="s">
        <v>209</v>
      </c>
      <c r="AM192" s="0" t="s">
        <v>209</v>
      </c>
      <c r="AN192" s="0" t="s">
        <v>380</v>
      </c>
      <c r="AO192" s="0" t="s">
        <v>209</v>
      </c>
      <c r="AP192" s="0" t="s">
        <v>4081</v>
      </c>
      <c r="AQ192" s="5" t="s">
        <v>189</v>
      </c>
      <c r="AT192" s="0" t="str">
        <f aca="false">IF($A192="","",IF(AND(CN192="pass",AQ192&lt;&gt;"Y",C192&lt;&gt;"",OR(AX192&lt;&gt;"Y",AV192="Y")),"Y","N"))</f>
        <v>N</v>
      </c>
      <c r="AU192" s="0" t="str">
        <f aca="false">IF($A192="","",_xlfn.TEXTJOIN("; ",TRUE(),IF(CN192&lt;&gt;"pass","gated out",""),IF(AQ192="Y","on hold: "&amp;AR192,""),IF(C192="","no contact named on an opened page",""),IF(AND(AX192="Y",AV192&lt;&gt;"Y"),"Tuesday estimate band "&amp;L192&amp;": founder's call","")))</f>
        <v>no contact named on an opened page</v>
      </c>
      <c r="AX192" s="0" t="s">
        <v>189</v>
      </c>
      <c r="BC192" s="0" t="str">
        <f aca="false">IF($A192="","",IFERROR(INDEX(Enrichment!$A$2:$GZ$2000,MATCH($A192,INDEX(Enrichment!$A$2:$GZ$2000,0,MATCH("row_id",Enrichment!$A$1:$GZ$1,0)),0),MATCH("work_email",Enrichment!$A$1:$GZ$1,0))&amp;"",""))</f>
        <v/>
      </c>
      <c r="BD192" s="0" t="str">
        <f aca="false">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none</v>
      </c>
      <c r="BF192" s="0" t="s">
        <v>380</v>
      </c>
      <c r="BJ192" s="0" t="s">
        <v>380</v>
      </c>
      <c r="BL192" s="0" t="s">
        <v>896</v>
      </c>
      <c r="BQ192" s="0" t="str">
        <f aca="false">IF($A192="","",IFERROR(INDEX(Enrichment!$A$2:$GZ$2000,MATCH($A192,INDEX(Enrichment!$A$2:$GZ$2000,0,MATCH("row_id",Enrichment!$A$1:$GZ$1,0)),0),MATCH("backup_work_email",Enrichment!$A$1:$GZ$1,0))&amp;"",""))</f>
        <v/>
      </c>
      <c r="BR192" s="0" t="str">
        <f aca="false">IF($A192="","",IF(BQ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none</v>
      </c>
      <c r="BT192" s="0" t="s">
        <v>380</v>
      </c>
      <c r="BX192" s="0" t="s">
        <v>380</v>
      </c>
      <c r="BY192" s="0" t="s">
        <v>387</v>
      </c>
      <c r="BZ192" s="0" t="s">
        <v>388</v>
      </c>
      <c r="CA192" s="0" t="s">
        <v>4036</v>
      </c>
      <c r="CB192" s="0" t="s">
        <v>196</v>
      </c>
      <c r="CM192" s="0" t="s">
        <v>189</v>
      </c>
      <c r="CN192" s="0" t="s">
        <v>200</v>
      </c>
      <c r="CO192" s="0" t="s">
        <v>201</v>
      </c>
      <c r="CP192" s="0" t="s">
        <v>1</v>
      </c>
      <c r="CQ192" s="0" t="s">
        <v>4083</v>
      </c>
      <c r="CR192" s="0" t="s">
        <v>209</v>
      </c>
      <c r="CS192" s="0" t="s">
        <v>4084</v>
      </c>
      <c r="CT192" s="0" t="s">
        <v>209</v>
      </c>
      <c r="CV192" s="0" t="s">
        <v>209</v>
      </c>
      <c r="CW192" s="0" t="s">
        <v>209</v>
      </c>
      <c r="CX192" s="0" t="s">
        <v>2712</v>
      </c>
      <c r="DA192" s="0" t="s">
        <v>209</v>
      </c>
      <c r="DB192" s="0" t="s">
        <v>209</v>
      </c>
      <c r="DC192" s="0" t="s">
        <v>209</v>
      </c>
      <c r="DD192" s="0" t="s">
        <v>209</v>
      </c>
      <c r="DE192" s="0" t="s">
        <v>209</v>
      </c>
      <c r="DF192" s="0" t="s">
        <v>397</v>
      </c>
      <c r="DG192" s="0" t="n">
        <v>40.738186</v>
      </c>
      <c r="DH192" s="0" t="n">
        <v>-73.992429</v>
      </c>
      <c r="DI192" s="0" t="s">
        <v>164</v>
      </c>
      <c r="DJ192" s="0" t="n">
        <v>0</v>
      </c>
      <c r="DK192" s="0" t="s">
        <v>2983</v>
      </c>
      <c r="DL192" s="0" t="s">
        <v>2976</v>
      </c>
      <c r="DM192" s="0" t="s">
        <v>2984</v>
      </c>
      <c r="DN192" s="0" t="s">
        <v>2985</v>
      </c>
      <c r="DO192" s="0" t="s">
        <v>363</v>
      </c>
      <c r="DS192" s="0" t="s">
        <v>809</v>
      </c>
      <c r="DU192" s="0" t="s">
        <v>189</v>
      </c>
      <c r="DX192" s="0" t="s">
        <v>209</v>
      </c>
      <c r="EA192" s="0" t="s">
        <v>209</v>
      </c>
      <c r="EB192" s="0" t="s">
        <v>189</v>
      </c>
      <c r="EC192" s="0" t="s">
        <v>209</v>
      </c>
      <c r="EF192" s="0" t="s">
        <v>209</v>
      </c>
      <c r="EH192" s="0" t="s">
        <v>189</v>
      </c>
      <c r="EI192" s="0" t="s">
        <v>2716</v>
      </c>
      <c r="EJ192" s="0" t="s">
        <v>221</v>
      </c>
      <c r="EK192" s="0" t="s">
        <v>209</v>
      </c>
      <c r="EL192" s="0" t="n">
        <v>29</v>
      </c>
      <c r="EM192" s="0" t="n">
        <v>7</v>
      </c>
      <c r="EN192" s="0" t="n">
        <v>8</v>
      </c>
      <c r="EO192" s="0" t="n">
        <v>6</v>
      </c>
      <c r="EP192" s="0" t="n">
        <v>8</v>
      </c>
      <c r="EQ192" s="0" t="n">
        <f aca="false">IF($A192="","",IF(AH192="exact",10,IF(AH192="adjacent",5,0)))</f>
        <v>0</v>
      </c>
      <c r="ER192" s="0" t="n">
        <f aca="false">IF($A192="","",IF(R192="Y",15,0))</f>
        <v>0</v>
      </c>
      <c r="ES192" s="0" t="s">
        <v>222</v>
      </c>
      <c r="EV192" s="0" t="s">
        <v>3541</v>
      </c>
      <c r="EW192" s="0" t="s">
        <v>224</v>
      </c>
      <c r="EX192" s="0" t="s">
        <v>4085</v>
      </c>
      <c r="FS192" s="0" t="str">
        <f aca="false">IF($A192="","",IF(ISNUMBER(MATCH(U192,{"queued","contacted","replied","call_booked","call_done","yes_in_principle","materials_sent"},0)),"Y","N"))</f>
        <v>N</v>
      </c>
      <c r="FT192" s="0" t="str">
        <f aca="false">IF($A192="","",IF(OR(T192="Y",U192="do_not_contact",AS192&amp;""&lt;&gt;""),"Y","N"))</f>
        <v>N</v>
      </c>
      <c r="FU192" s="0" t="str">
        <f aca="false">IF($A192="","",IF(AP192&amp;""&lt;&gt;"",AP192&amp;"",$A192))</f>
        <v>AO-C-024</v>
      </c>
      <c r="FV192" s="0" t="str">
        <f aca="false">IF($A192="","",IF(COUNTIFS($FU$2:$FU$1000,FU192,$FS$2:$FS$1000,"Y")+COUNTIFS($FU$2:$FU$1000,FU192,$FT$2:$FT$1000,"Y")&gt;0,"Y","N"))</f>
        <v>N</v>
      </c>
      <c r="FW192" s="0" t="str">
        <f aca="false">IF($A192="","",IF(AND(U192="new",T192="N",FT192="N",AT192="Y",FV192="N"),"Y","N"))</f>
        <v>N</v>
      </c>
      <c r="FX192" s="0" t="str">
        <f aca="false">IF($A192="","",IF(FW192&lt;&gt;"Y","N",IF(COUNTIFS($FU$2:$FU$1000,FU192,$FW$2:$FW$1000,"Y",$J$2:$J$1000,"&gt;"&amp;J192)+COUNTIFS($FU$2:$FU$1000,FU192,$FW$2:$FW$1000,"Y",$J$2:$J$1000,J192,$GD$2:$GD$1000,"&lt;"&amp;GD192)=0,"Y","N")))</f>
        <v>N</v>
      </c>
      <c r="FY192" s="0" t="str">
        <f aca="false">IF($A192="","",IF(AND(FW192="Y",FX192="Y",Y192&amp;""&lt;&gt;""),IF(Y192&lt;=10,"Y","N"),"N"))</f>
        <v>N</v>
      </c>
      <c r="FZ192" s="0" t="str">
        <f aca="false">IF(FY192="Y",Y192,"")</f>
        <v/>
      </c>
      <c r="GA192" s="0" t="str">
        <f aca="false">IF($A192="","",IF(AND(I192="walk-in",CN192="pass",U192="new",FT192="N",FV192="N",AQ192&lt;&gt;"Y"),"Y","N"))</f>
        <v>N</v>
      </c>
      <c r="GB192" s="0" t="str">
        <f aca="false">IF(GA192&lt;&gt;"Y","",IF(COUNTIFS($GA$2:$GA$1000,"Y",$J$2:$J$1000,"&gt;"&amp;J192)+COUNTIFS($GA$2:$GA$1000,"Y",$J$2:$J$1000,J192,$GD$2:$GD$1000,"&lt;"&amp;GD192)+1&lt;=25,COUNTIFS($GA$2:$GA$1000,"Y",$J$2:$J$1000,"&gt;"&amp;J192)+COUNTIFS($GA$2:$GA$1000,"Y",$J$2:$J$1000,J192,$GD$2:$GD$1000,"&lt;"&amp;GD192)+1,""))</f>
        <v/>
      </c>
      <c r="GC192" s="0" t="str">
        <f aca="false">IF(AND(_xlfn.ISFORMULA(C192),_xlfn.ISFORMULA(J192)),"Y","N")</f>
        <v>Y</v>
      </c>
      <c r="GD192" s="0" t="n">
        <f aca="false">ROW()-1</f>
        <v>191</v>
      </c>
    </row>
    <row r="193" customFormat="false" ht="15" hidden="false" customHeight="false" outlineLevel="0" collapsed="false">
      <c r="A193" s="0" t="s">
        <v>4086</v>
      </c>
      <c r="B193" s="0" t="s">
        <v>4087</v>
      </c>
      <c r="C193" s="0" t="str">
        <f aca="false">IF($A193="","",IF(AW193="Y",BM193&amp;"",AY193&amp;""))</f>
        <v/>
      </c>
      <c r="D193" s="0" t="str">
        <f aca="false">IF($A193="","",IF(AW193="Y",BN193&amp;"",AZ193&amp;""))</f>
        <v/>
      </c>
      <c r="E193" s="0" t="str">
        <f aca="false">IF($A193="","",IF(AW193="Y",BO193&amp;"",BA193&amp;""))</f>
        <v/>
      </c>
      <c r="F193" s="0" t="str">
        <f aca="false">IF($A193="","",IF(AW193="Y",BP193&amp;"",BB193&amp;""))</f>
        <v/>
      </c>
      <c r="G193" s="0" t="str">
        <f aca="false">IF($A193="","",IF(AW193="Y",BQ193&amp;"",BC193&amp;""))</f>
        <v/>
      </c>
      <c r="H193" s="0" t="str">
        <f aca="false">IF($A193="","",IF(AW193="Y",BR193&amp;"",BD193&amp;""))</f>
        <v>none</v>
      </c>
      <c r="I193" s="0" t="str">
        <f aca="false">IF($A193="","",IF(R193="Y","warm-intro",IF(H193="verified","email",IF(C193&lt;&gt;"","linkedin",CB193&amp;""))))</f>
        <v>linkedin</v>
      </c>
      <c r="J193" s="0" t="n">
        <f aca="false">IF($A193="","",IF(CN193="pass",ROUND(N(EM193)+N(EN193)+N(EO193)+N(EP193)+N(EQ193)+N(ER193),1),0))</f>
        <v>29</v>
      </c>
      <c r="K193" s="0" t="str">
        <f aca="false">IF($A193="","",IF(CN193&lt;&gt;"pass",CA193&amp;"",CA193&amp;"; "&amp;IF(AW193="Y",BZ193&amp;"",BL193&amp;"")&amp;IF(R193="Y","; known to the founder (+15)","")&amp;"."))</f>
        <v>Tuesday headcount unknown (no sourced count), company size unknown, no attendance signal, occupancy-unconfirmed at a medium-confidence address; contacts not researched yet.</v>
      </c>
      <c r="L193" s="0" t="s">
        <v>209</v>
      </c>
      <c r="O193" s="0" t="s">
        <v>4088</v>
      </c>
      <c r="P193" s="0" t="s">
        <v>4089</v>
      </c>
      <c r="Q193" s="0" t="s">
        <v>4090</v>
      </c>
      <c r="R193" s="5" t="s">
        <v>189</v>
      </c>
      <c r="S193" s="0" t="s">
        <v>209</v>
      </c>
      <c r="T193" s="0" t="s">
        <v>189</v>
      </c>
      <c r="U193" s="5" t="s">
        <v>3896</v>
      </c>
      <c r="V193" s="0" t="s">
        <v>4089</v>
      </c>
      <c r="W193" s="0" t="s">
        <v>263</v>
      </c>
      <c r="X193" s="0" t="s">
        <v>3897</v>
      </c>
      <c r="Y193" s="0" t="str">
        <f aca="false">IF(FX193&lt;&gt;"Y","",COUNTIFS($FX$2:$FX$1000,"Y",$J$2:$J$1000,"&gt;"&amp;J193)+COUNTIFS($FX$2:$FX$1000,"Y",$J$2:$J$1000,J193,$GD$2:$GD$1000,"&lt;"&amp;GD193)+1)</f>
        <v/>
      </c>
      <c r="Z193" s="0" t="n">
        <v>192</v>
      </c>
      <c r="AA193" s="0" t="s">
        <v>189</v>
      </c>
      <c r="AB193" s="0" t="str">
        <f aca="false">IF($A193="","",IF(AW193="Y",BY193&amp;"",BK193&amp;""))</f>
        <v/>
      </c>
      <c r="AC193" s="0" t="str">
        <f aca="false">IF($A193="","",IF(AW193="Y",BS193&amp;"",BE193&amp;""))</f>
        <v/>
      </c>
      <c r="AD193" s="0" t="str">
        <f aca="false">IF($A193="","",IF(AW193="Y",BT193&amp;"",BF193&amp;""))</f>
        <v>none</v>
      </c>
      <c r="AE193" s="0" t="str">
        <f aca="false">IF($A193="","",IF(AW193="Y",BU193&amp;"",BG193&amp;""))</f>
        <v/>
      </c>
      <c r="AF193" s="0" t="str">
        <f aca="false">IF($A193="","",IF(AW193="Y",BV193&amp;"",BH193&amp;""))</f>
        <v/>
      </c>
      <c r="AG193" s="0" t="str">
        <f aca="false">IF($A193="","",IF(AW193="Y",BW193&amp;"",BI193&amp;""))</f>
        <v/>
      </c>
      <c r="AH193" s="0" t="str">
        <f aca="false">IF($A193="","",IF(AW193="Y",BX193&amp;"",BJ193&amp;""))</f>
        <v>none</v>
      </c>
      <c r="AI193" s="0" t="s">
        <v>3855</v>
      </c>
      <c r="AJ193" s="0" t="s">
        <v>494</v>
      </c>
      <c r="AK193" s="0" t="s">
        <v>3898</v>
      </c>
      <c r="AL193" s="0" t="s">
        <v>209</v>
      </c>
      <c r="AM193" s="0" t="s">
        <v>209</v>
      </c>
      <c r="AN193" s="0" t="s">
        <v>380</v>
      </c>
      <c r="AO193" s="0" t="s">
        <v>209</v>
      </c>
      <c r="AP193" s="0" t="s">
        <v>4086</v>
      </c>
      <c r="AQ193" s="5" t="s">
        <v>189</v>
      </c>
      <c r="AT193" s="0" t="str">
        <f aca="false">IF($A193="","",IF(AND(CN193="pass",AQ193&lt;&gt;"Y",C193&lt;&gt;"",OR(AX193&lt;&gt;"Y",AV193="Y")),"Y","N"))</f>
        <v>N</v>
      </c>
      <c r="AU193" s="0" t="str">
        <f aca="false">IF($A193="","",_xlfn.TEXTJOIN("; ",TRUE(),IF(CN193&lt;&gt;"pass","gated out",""),IF(AQ193="Y","on hold: "&amp;AR193,""),IF(C193="","no contact named on an opened page",""),IF(AND(AX193="Y",AV193&lt;&gt;"Y"),"Tuesday estimate band "&amp;L193&amp;": founder's call","")))</f>
        <v>no contact named on an opened page</v>
      </c>
      <c r="AX193" s="0" t="s">
        <v>189</v>
      </c>
      <c r="BC193" s="0" t="str">
        <f aca="false">IF($A193="","",IFERROR(INDEX(Enrichment!$A$2:$GZ$2000,MATCH($A193,INDEX(Enrichment!$A$2:$GZ$2000,0,MATCH("row_id",Enrichment!$A$1:$GZ$1,0)),0),MATCH("work_email",Enrichment!$A$1:$GZ$1,0))&amp;"",""))</f>
        <v/>
      </c>
      <c r="BD193" s="0" t="str">
        <f aca="false">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none</v>
      </c>
      <c r="BF193" s="0" t="s">
        <v>380</v>
      </c>
      <c r="BJ193" s="0" t="s">
        <v>380</v>
      </c>
      <c r="BL193" s="0" t="s">
        <v>896</v>
      </c>
      <c r="BQ193" s="0" t="str">
        <f aca="false">IF($A193="","",IFERROR(INDEX(Enrichment!$A$2:$GZ$2000,MATCH($A193,INDEX(Enrichment!$A$2:$GZ$2000,0,MATCH("row_id",Enrichment!$A$1:$GZ$1,0)),0),MATCH("backup_work_email",Enrichment!$A$1:$GZ$1,0))&amp;"",""))</f>
        <v/>
      </c>
      <c r="BR193" s="0" t="str">
        <f aca="false">IF($A193="","",IF(BQ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none</v>
      </c>
      <c r="BT193" s="0" t="s">
        <v>380</v>
      </c>
      <c r="BX193" s="0" t="s">
        <v>380</v>
      </c>
      <c r="BY193" s="0" t="s">
        <v>387</v>
      </c>
      <c r="BZ193" s="0" t="s">
        <v>388</v>
      </c>
      <c r="CA193" s="0" t="s">
        <v>4036</v>
      </c>
      <c r="CB193" s="0" t="s">
        <v>196</v>
      </c>
      <c r="CM193" s="0" t="s">
        <v>189</v>
      </c>
      <c r="CN193" s="0" t="s">
        <v>200</v>
      </c>
      <c r="CO193" s="0" t="s">
        <v>201</v>
      </c>
      <c r="CP193" s="0" t="s">
        <v>1</v>
      </c>
      <c r="CQ193" s="0" t="s">
        <v>4091</v>
      </c>
      <c r="CR193" s="0" t="s">
        <v>4092</v>
      </c>
      <c r="CS193" s="0" t="s">
        <v>4093</v>
      </c>
      <c r="CT193" s="0" t="s">
        <v>209</v>
      </c>
      <c r="CV193" s="0" t="s">
        <v>209</v>
      </c>
      <c r="CW193" s="0" t="s">
        <v>209</v>
      </c>
      <c r="CX193" s="0" t="s">
        <v>2712</v>
      </c>
      <c r="DA193" s="0" t="s">
        <v>209</v>
      </c>
      <c r="DB193" s="0" t="s">
        <v>209</v>
      </c>
      <c r="DC193" s="0" t="s">
        <v>209</v>
      </c>
      <c r="DD193" s="0" t="s">
        <v>209</v>
      </c>
      <c r="DE193" s="0" t="s">
        <v>209</v>
      </c>
      <c r="DF193" s="0" t="s">
        <v>525</v>
      </c>
      <c r="DG193" s="0" t="n">
        <v>40.739363</v>
      </c>
      <c r="DH193" s="0" t="n">
        <v>-73.989534</v>
      </c>
      <c r="DI193" s="0" t="s">
        <v>164</v>
      </c>
      <c r="DJ193" s="0" t="n">
        <v>0</v>
      </c>
      <c r="DK193" s="0" t="s">
        <v>3203</v>
      </c>
      <c r="DL193" s="0" t="s">
        <v>3204</v>
      </c>
      <c r="DM193" s="0" t="s">
        <v>4089</v>
      </c>
      <c r="DN193" s="0" t="s">
        <v>4090</v>
      </c>
      <c r="DO193" s="0" t="s">
        <v>363</v>
      </c>
      <c r="DS193" s="0" t="s">
        <v>809</v>
      </c>
      <c r="DU193" s="0" t="s">
        <v>189</v>
      </c>
      <c r="DX193" s="0" t="s">
        <v>267</v>
      </c>
      <c r="DY193" s="0" t="s">
        <v>3206</v>
      </c>
      <c r="EA193" s="0" t="s">
        <v>209</v>
      </c>
      <c r="EB193" s="0" t="s">
        <v>189</v>
      </c>
      <c r="EC193" s="0" t="s">
        <v>209</v>
      </c>
      <c r="EF193" s="0" t="s">
        <v>209</v>
      </c>
      <c r="EH193" s="0" t="s">
        <v>189</v>
      </c>
      <c r="EI193" s="0" t="s">
        <v>2716</v>
      </c>
      <c r="EJ193" s="0" t="s">
        <v>221</v>
      </c>
      <c r="EK193" s="0" t="s">
        <v>209</v>
      </c>
      <c r="EL193" s="0" t="n">
        <v>29</v>
      </c>
      <c r="EM193" s="0" t="n">
        <v>7</v>
      </c>
      <c r="EN193" s="0" t="n">
        <v>8</v>
      </c>
      <c r="EO193" s="0" t="n">
        <v>6</v>
      </c>
      <c r="EP193" s="0" t="n">
        <v>8</v>
      </c>
      <c r="EQ193" s="0" t="n">
        <f aca="false">IF($A193="","",IF(AH193="exact",10,IF(AH193="adjacent",5,0)))</f>
        <v>0</v>
      </c>
      <c r="ER193" s="0" t="n">
        <f aca="false">IF($A193="","",IF(R193="Y",15,0))</f>
        <v>0</v>
      </c>
      <c r="ES193" s="0" t="s">
        <v>222</v>
      </c>
      <c r="EV193" s="0" t="s">
        <v>4094</v>
      </c>
      <c r="EW193" s="0" t="s">
        <v>224</v>
      </c>
      <c r="EX193" s="0" t="s">
        <v>4095</v>
      </c>
      <c r="FS193" s="0" t="str">
        <f aca="false">IF($A193="","",IF(ISNUMBER(MATCH(U193,{"queued","contacted","replied","call_booked","call_done","yes_in_principle","materials_sent"},0)),"Y","N"))</f>
        <v>N</v>
      </c>
      <c r="FT193" s="0" t="str">
        <f aca="false">IF($A193="","",IF(OR(T193="Y",U193="do_not_contact",AS193&amp;""&lt;&gt;""),"Y","N"))</f>
        <v>N</v>
      </c>
      <c r="FU193" s="0" t="str">
        <f aca="false">IF($A193="","",IF(AP193&amp;""&lt;&gt;"",AP193&amp;"",$A193))</f>
        <v>AO-C-062</v>
      </c>
      <c r="FV193" s="0" t="str">
        <f aca="false">IF($A193="","",IF(COUNTIFS($FU$2:$FU$1000,FU193,$FS$2:$FS$1000,"Y")+COUNTIFS($FU$2:$FU$1000,FU193,$FT$2:$FT$1000,"Y")&gt;0,"Y","N"))</f>
        <v>N</v>
      </c>
      <c r="FW193" s="0" t="str">
        <f aca="false">IF($A193="","",IF(AND(U193="new",T193="N",FT193="N",AT193="Y",FV193="N"),"Y","N"))</f>
        <v>N</v>
      </c>
      <c r="FX193" s="0" t="str">
        <f aca="false">IF($A193="","",IF(FW193&lt;&gt;"Y","N",IF(COUNTIFS($FU$2:$FU$1000,FU193,$FW$2:$FW$1000,"Y",$J$2:$J$1000,"&gt;"&amp;J193)+COUNTIFS($FU$2:$FU$1000,FU193,$FW$2:$FW$1000,"Y",$J$2:$J$1000,J193,$GD$2:$GD$1000,"&lt;"&amp;GD193)=0,"Y","N")))</f>
        <v>N</v>
      </c>
      <c r="FY193" s="0" t="str">
        <f aca="false">IF($A193="","",IF(AND(FW193="Y",FX193="Y",Y193&amp;""&lt;&gt;""),IF(Y193&lt;=10,"Y","N"),"N"))</f>
        <v>N</v>
      </c>
      <c r="FZ193" s="0" t="str">
        <f aca="false">IF(FY193="Y",Y193,"")</f>
        <v/>
      </c>
      <c r="GA193" s="0" t="str">
        <f aca="false">IF($A193="","",IF(AND(I193="walk-in",CN193="pass",U193="new",FT193="N",FV193="N",AQ193&lt;&gt;"Y"),"Y","N"))</f>
        <v>N</v>
      </c>
      <c r="GB193" s="0" t="str">
        <f aca="false">IF(GA193&lt;&gt;"Y","",IF(COUNTIFS($GA$2:$GA$1000,"Y",$J$2:$J$1000,"&gt;"&amp;J193)+COUNTIFS($GA$2:$GA$1000,"Y",$J$2:$J$1000,J193,$GD$2:$GD$1000,"&lt;"&amp;GD193)+1&lt;=25,COUNTIFS($GA$2:$GA$1000,"Y",$J$2:$J$1000,"&gt;"&amp;J193)+COUNTIFS($GA$2:$GA$1000,"Y",$J$2:$J$1000,J193,$GD$2:$GD$1000,"&lt;"&amp;GD193)+1,""))</f>
        <v/>
      </c>
      <c r="GC193" s="0" t="str">
        <f aca="false">IF(AND(_xlfn.ISFORMULA(C193),_xlfn.ISFORMULA(J193)),"Y","N")</f>
        <v>Y</v>
      </c>
      <c r="GD193" s="0" t="n">
        <f aca="false">ROW()-1</f>
        <v>192</v>
      </c>
    </row>
    <row r="194" customFormat="false" ht="15" hidden="false" customHeight="false" outlineLevel="0" collapsed="false">
      <c r="A194" s="0" t="s">
        <v>4096</v>
      </c>
      <c r="B194" s="0" t="s">
        <v>4097</v>
      </c>
      <c r="C194" s="0" t="str">
        <f aca="false">IF($A194="","",IF(AW194="Y",BM194&amp;"",AY194&amp;""))</f>
        <v/>
      </c>
      <c r="D194" s="0" t="str">
        <f aca="false">IF($A194="","",IF(AW194="Y",BN194&amp;"",AZ194&amp;""))</f>
        <v/>
      </c>
      <c r="E194" s="0" t="str">
        <f aca="false">IF($A194="","",IF(AW194="Y",BO194&amp;"",BA194&amp;""))</f>
        <v/>
      </c>
      <c r="F194" s="0" t="str">
        <f aca="false">IF($A194="","",IF(AW194="Y",BP194&amp;"",BB194&amp;""))</f>
        <v/>
      </c>
      <c r="G194" s="0" t="str">
        <f aca="false">IF($A194="","",IF(AW194="Y",BQ194&amp;"",BC194&amp;""))</f>
        <v/>
      </c>
      <c r="H194" s="0" t="str">
        <f aca="false">IF($A194="","",IF(AW194="Y",BR194&amp;"",BD194&amp;""))</f>
        <v>none</v>
      </c>
      <c r="I194" s="0" t="str">
        <f aca="false">IF($A194="","",IF(R194="Y","warm-intro",IF(H194="verified","email",IF(C194&lt;&gt;"","linkedin",CB194&amp;""))))</f>
        <v>linkedin</v>
      </c>
      <c r="J194" s="0" t="n">
        <f aca="false">IF($A194="","",IF(CN194="pass",ROUND(N(EM194)+N(EN194)+N(EO194)+N(EP194)+N(EQ194)+N(ER194),1),0))</f>
        <v>29</v>
      </c>
      <c r="K194" s="0" t="str">
        <f aca="false">IF($A194="","",IF(CN194&lt;&gt;"pass",CA194&amp;"",CA194&amp;"; "&amp;IF(AW194="Y",BZ194&amp;"",BL194&amp;"")&amp;IF(R194="Y","; known to the founder (+15)","")&amp;"."))</f>
        <v>Tuesday headcount unknown (no sourced count), company size unknown, no attendance signal, occupancy-unconfirmed at a medium-confidence address; contacts not researched yet.</v>
      </c>
      <c r="L194" s="0" t="s">
        <v>209</v>
      </c>
      <c r="R194" s="5" t="s">
        <v>189</v>
      </c>
      <c r="S194" s="0" t="s">
        <v>209</v>
      </c>
      <c r="T194" s="0" t="s">
        <v>189</v>
      </c>
      <c r="U194" s="5" t="s">
        <v>3896</v>
      </c>
      <c r="V194" s="0" t="s">
        <v>1277</v>
      </c>
      <c r="W194" s="0" t="s">
        <v>263</v>
      </c>
      <c r="X194" s="0" t="s">
        <v>3897</v>
      </c>
      <c r="Y194" s="0" t="str">
        <f aca="false">IF(FX194&lt;&gt;"Y","",COUNTIFS($FX$2:$FX$1000,"Y",$J$2:$J$1000,"&gt;"&amp;J194)+COUNTIFS($FX$2:$FX$1000,"Y",$J$2:$J$1000,J194,$GD$2:$GD$1000,"&lt;"&amp;GD194)+1)</f>
        <v/>
      </c>
      <c r="Z194" s="0" t="n">
        <v>193</v>
      </c>
      <c r="AA194" s="0" t="s">
        <v>189</v>
      </c>
      <c r="AB194" s="0" t="str">
        <f aca="false">IF($A194="","",IF(AW194="Y",BY194&amp;"",BK194&amp;""))</f>
        <v/>
      </c>
      <c r="AC194" s="0" t="str">
        <f aca="false">IF($A194="","",IF(AW194="Y",BS194&amp;"",BE194&amp;""))</f>
        <v/>
      </c>
      <c r="AD194" s="0" t="str">
        <f aca="false">IF($A194="","",IF(AW194="Y",BT194&amp;"",BF194&amp;""))</f>
        <v>none</v>
      </c>
      <c r="AE194" s="0" t="str">
        <f aca="false">IF($A194="","",IF(AW194="Y",BU194&amp;"",BG194&amp;""))</f>
        <v/>
      </c>
      <c r="AF194" s="0" t="str">
        <f aca="false">IF($A194="","",IF(AW194="Y",BV194&amp;"",BH194&amp;""))</f>
        <v/>
      </c>
      <c r="AG194" s="0" t="str">
        <f aca="false">IF($A194="","",IF(AW194="Y",BW194&amp;"",BI194&amp;""))</f>
        <v/>
      </c>
      <c r="AH194" s="0" t="str">
        <f aca="false">IF($A194="","",IF(AW194="Y",BX194&amp;"",BJ194&amp;""))</f>
        <v>none</v>
      </c>
      <c r="AI194" s="0" t="s">
        <v>964</v>
      </c>
      <c r="AJ194" s="0" t="s">
        <v>339</v>
      </c>
      <c r="AK194" s="0" t="s">
        <v>3898</v>
      </c>
      <c r="AL194" s="0" t="s">
        <v>209</v>
      </c>
      <c r="AM194" s="0" t="s">
        <v>209</v>
      </c>
      <c r="AN194" s="0" t="s">
        <v>380</v>
      </c>
      <c r="AO194" s="0" t="s">
        <v>209</v>
      </c>
      <c r="AP194" s="0" t="s">
        <v>4096</v>
      </c>
      <c r="AQ194" s="5" t="s">
        <v>189</v>
      </c>
      <c r="AT194" s="0" t="str">
        <f aca="false">IF($A194="","",IF(AND(CN194="pass",AQ194&lt;&gt;"Y",C194&lt;&gt;"",OR(AX194&lt;&gt;"Y",AV194="Y")),"Y","N"))</f>
        <v>N</v>
      </c>
      <c r="AU194" s="0" t="str">
        <f aca="false">IF($A194="","",_xlfn.TEXTJOIN("; ",TRUE(),IF(CN194&lt;&gt;"pass","gated out",""),IF(AQ194="Y","on hold: "&amp;AR194,""),IF(C194="","no contact named on an opened page",""),IF(AND(AX194="Y",AV194&lt;&gt;"Y"),"Tuesday estimate band "&amp;L194&amp;": founder's call","")))</f>
        <v>no contact named on an opened page</v>
      </c>
      <c r="AX194" s="0" t="s">
        <v>189</v>
      </c>
      <c r="BC194" s="0" t="str">
        <f aca="false">IF($A194="","",IFERROR(INDEX(Enrichment!$A$2:$GZ$2000,MATCH($A194,INDEX(Enrichment!$A$2:$GZ$2000,0,MATCH("row_id",Enrichment!$A$1:$GZ$1,0)),0),MATCH("work_email",Enrichment!$A$1:$GZ$1,0))&amp;"",""))</f>
        <v/>
      </c>
      <c r="BD194" s="0" t="str">
        <f aca="false">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none</v>
      </c>
      <c r="BF194" s="0" t="s">
        <v>380</v>
      </c>
      <c r="BJ194" s="0" t="s">
        <v>380</v>
      </c>
      <c r="BL194" s="0" t="s">
        <v>896</v>
      </c>
      <c r="BQ194" s="0" t="str">
        <f aca="false">IF($A194="","",IFERROR(INDEX(Enrichment!$A$2:$GZ$2000,MATCH($A194,INDEX(Enrichment!$A$2:$GZ$2000,0,MATCH("row_id",Enrichment!$A$1:$GZ$1,0)),0),MATCH("backup_work_email",Enrichment!$A$1:$GZ$1,0))&amp;"",""))</f>
        <v/>
      </c>
      <c r="BR194" s="0" t="str">
        <f aca="false">IF($A194="","",IF(BQ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none</v>
      </c>
      <c r="BT194" s="0" t="s">
        <v>380</v>
      </c>
      <c r="BX194" s="0" t="s">
        <v>380</v>
      </c>
      <c r="BY194" s="0" t="s">
        <v>387</v>
      </c>
      <c r="BZ194" s="0" t="s">
        <v>388</v>
      </c>
      <c r="CA194" s="0" t="s">
        <v>4036</v>
      </c>
      <c r="CB194" s="0" t="s">
        <v>196</v>
      </c>
      <c r="CM194" s="0" t="s">
        <v>189</v>
      </c>
      <c r="CN194" s="0" t="s">
        <v>200</v>
      </c>
      <c r="CO194" s="0" t="s">
        <v>201</v>
      </c>
      <c r="CP194" s="0" t="s">
        <v>1</v>
      </c>
      <c r="CQ194" s="0" t="s">
        <v>4098</v>
      </c>
      <c r="CR194" s="0" t="s">
        <v>209</v>
      </c>
      <c r="CS194" s="0" t="s">
        <v>4099</v>
      </c>
      <c r="CT194" s="0" t="s">
        <v>209</v>
      </c>
      <c r="CV194" s="0" t="s">
        <v>209</v>
      </c>
      <c r="CW194" s="0" t="s">
        <v>209</v>
      </c>
      <c r="CX194" s="0" t="s">
        <v>2712</v>
      </c>
      <c r="DA194" s="0" t="s">
        <v>209</v>
      </c>
      <c r="DB194" s="0" t="s">
        <v>209</v>
      </c>
      <c r="DC194" s="0" t="s">
        <v>209</v>
      </c>
      <c r="DD194" s="0" t="s">
        <v>209</v>
      </c>
      <c r="DE194" s="0" t="s">
        <v>209</v>
      </c>
      <c r="DF194" s="0" t="s">
        <v>311</v>
      </c>
      <c r="DG194" s="0" t="n">
        <v>40.74291</v>
      </c>
      <c r="DH194" s="0" t="n">
        <v>-73.984627</v>
      </c>
      <c r="DI194" s="0" t="s">
        <v>164</v>
      </c>
      <c r="DJ194" s="0" t="n">
        <v>0</v>
      </c>
      <c r="DK194" s="0" t="s">
        <v>1275</v>
      </c>
      <c r="DL194" s="0" t="s">
        <v>1276</v>
      </c>
      <c r="DM194" s="0" t="s">
        <v>1277</v>
      </c>
      <c r="DN194" s="0" t="s">
        <v>1278</v>
      </c>
      <c r="DO194" s="0" t="s">
        <v>363</v>
      </c>
      <c r="DS194" s="0" t="s">
        <v>809</v>
      </c>
      <c r="DU194" s="0" t="s">
        <v>189</v>
      </c>
      <c r="DX194" s="0" t="s">
        <v>209</v>
      </c>
      <c r="EA194" s="0" t="s">
        <v>209</v>
      </c>
      <c r="EB194" s="0" t="s">
        <v>189</v>
      </c>
      <c r="EC194" s="0" t="s">
        <v>209</v>
      </c>
      <c r="EF194" s="0" t="s">
        <v>209</v>
      </c>
      <c r="EH194" s="0" t="s">
        <v>189</v>
      </c>
      <c r="EI194" s="0" t="s">
        <v>2716</v>
      </c>
      <c r="EJ194" s="0" t="s">
        <v>221</v>
      </c>
      <c r="EK194" s="0" t="s">
        <v>209</v>
      </c>
      <c r="EL194" s="0" t="n">
        <v>29</v>
      </c>
      <c r="EM194" s="0" t="n">
        <v>7</v>
      </c>
      <c r="EN194" s="0" t="n">
        <v>8</v>
      </c>
      <c r="EO194" s="0" t="n">
        <v>6</v>
      </c>
      <c r="EP194" s="0" t="n">
        <v>8</v>
      </c>
      <c r="EQ194" s="0" t="n">
        <f aca="false">IF($A194="","",IF(AH194="exact",10,IF(AH194="adjacent",5,0)))</f>
        <v>0</v>
      </c>
      <c r="ER194" s="0" t="n">
        <f aca="false">IF($A194="","",IF(R194="Y",15,0))</f>
        <v>0</v>
      </c>
      <c r="ES194" s="0" t="s">
        <v>222</v>
      </c>
      <c r="EV194" s="0" t="s">
        <v>4100</v>
      </c>
      <c r="EW194" s="0" t="s">
        <v>224</v>
      </c>
      <c r="EX194" s="0" t="s">
        <v>4101</v>
      </c>
      <c r="FS194" s="0" t="str">
        <f aca="false">IF($A194="","",IF(ISNUMBER(MATCH(U194,{"queued","contacted","replied","call_booked","call_done","yes_in_principle","materials_sent"},0)),"Y","N"))</f>
        <v>N</v>
      </c>
      <c r="FT194" s="0" t="str">
        <f aca="false">IF($A194="","",IF(OR(T194="Y",U194="do_not_contact",AS194&amp;""&lt;&gt;""),"Y","N"))</f>
        <v>N</v>
      </c>
      <c r="FU194" s="0" t="str">
        <f aca="false">IF($A194="","",IF(AP194&amp;""&lt;&gt;"",AP194&amp;"",$A194))</f>
        <v>AO-C-156</v>
      </c>
      <c r="FV194" s="0" t="str">
        <f aca="false">IF($A194="","",IF(COUNTIFS($FU$2:$FU$1000,FU194,$FS$2:$FS$1000,"Y")+COUNTIFS($FU$2:$FU$1000,FU194,$FT$2:$FT$1000,"Y")&gt;0,"Y","N"))</f>
        <v>N</v>
      </c>
      <c r="FW194" s="0" t="str">
        <f aca="false">IF($A194="","",IF(AND(U194="new",T194="N",FT194="N",AT194="Y",FV194="N"),"Y","N"))</f>
        <v>N</v>
      </c>
      <c r="FX194" s="0" t="str">
        <f aca="false">IF($A194="","",IF(FW194&lt;&gt;"Y","N",IF(COUNTIFS($FU$2:$FU$1000,FU194,$FW$2:$FW$1000,"Y",$J$2:$J$1000,"&gt;"&amp;J194)+COUNTIFS($FU$2:$FU$1000,FU194,$FW$2:$FW$1000,"Y",$J$2:$J$1000,J194,$GD$2:$GD$1000,"&lt;"&amp;GD194)=0,"Y","N")))</f>
        <v>N</v>
      </c>
      <c r="FY194" s="0" t="str">
        <f aca="false">IF($A194="","",IF(AND(FW194="Y",FX194="Y",Y194&amp;""&lt;&gt;""),IF(Y194&lt;=10,"Y","N"),"N"))</f>
        <v>N</v>
      </c>
      <c r="FZ194" s="0" t="str">
        <f aca="false">IF(FY194="Y",Y194,"")</f>
        <v/>
      </c>
      <c r="GA194" s="0" t="str">
        <f aca="false">IF($A194="","",IF(AND(I194="walk-in",CN194="pass",U194="new",FT194="N",FV194="N",AQ194&lt;&gt;"Y"),"Y","N"))</f>
        <v>N</v>
      </c>
      <c r="GB194" s="0" t="str">
        <f aca="false">IF(GA194&lt;&gt;"Y","",IF(COUNTIFS($GA$2:$GA$1000,"Y",$J$2:$J$1000,"&gt;"&amp;J194)+COUNTIFS($GA$2:$GA$1000,"Y",$J$2:$J$1000,J194,$GD$2:$GD$1000,"&lt;"&amp;GD194)+1&lt;=25,COUNTIFS($GA$2:$GA$1000,"Y",$J$2:$J$1000,"&gt;"&amp;J194)+COUNTIFS($GA$2:$GA$1000,"Y",$J$2:$J$1000,J194,$GD$2:$GD$1000,"&lt;"&amp;GD194)+1,""))</f>
        <v/>
      </c>
      <c r="GC194" s="0" t="str">
        <f aca="false">IF(AND(_xlfn.ISFORMULA(C194),_xlfn.ISFORMULA(J194)),"Y","N")</f>
        <v>Y</v>
      </c>
      <c r="GD194" s="0" t="n">
        <f aca="false">ROW()-1</f>
        <v>193</v>
      </c>
    </row>
    <row r="195" customFormat="false" ht="15" hidden="false" customHeight="false" outlineLevel="0" collapsed="false">
      <c r="A195" s="0" t="s">
        <v>4102</v>
      </c>
      <c r="B195" s="0" t="s">
        <v>4103</v>
      </c>
      <c r="C195" s="0" t="str">
        <f aca="false">IF($A195="","",IF(AW195="Y",BM195&amp;"",AY195&amp;""))</f>
        <v/>
      </c>
      <c r="D195" s="0" t="str">
        <f aca="false">IF($A195="","",IF(AW195="Y",BN195&amp;"",AZ195&amp;""))</f>
        <v/>
      </c>
      <c r="E195" s="0" t="str">
        <f aca="false">IF($A195="","",IF(AW195="Y",BO195&amp;"",BA195&amp;""))</f>
        <v/>
      </c>
      <c r="F195" s="0" t="str">
        <f aca="false">IF($A195="","",IF(AW195="Y",BP195&amp;"",BB195&amp;""))</f>
        <v/>
      </c>
      <c r="G195" s="0" t="str">
        <f aca="false">IF($A195="","",IF(AW195="Y",BQ195&amp;"",BC195&amp;""))</f>
        <v/>
      </c>
      <c r="H195" s="0" t="str">
        <f aca="false">IF($A195="","",IF(AW195="Y",BR195&amp;"",BD195&amp;""))</f>
        <v>none</v>
      </c>
      <c r="I195" s="0" t="str">
        <f aca="false">IF($A195="","",IF(R195="Y","warm-intro",IF(H195="verified","email",IF(C195&lt;&gt;"","linkedin",CB195&amp;""))))</f>
        <v>linkedin</v>
      </c>
      <c r="J195" s="0" t="n">
        <f aca="false">IF($A195="","",IF(CN195="pass",ROUND(N(EM195)+N(EN195)+N(EO195)+N(EP195)+N(EQ195)+N(ER195),1),0))</f>
        <v>29</v>
      </c>
      <c r="K195" s="0" t="str">
        <f aca="false">IF($A195="","",IF(CN195&lt;&gt;"pass",CA195&amp;"",CA195&amp;"; "&amp;IF(AW195="Y",BZ195&amp;"",BL195&amp;"")&amp;IF(R195="Y","; known to the founder (+15)","")&amp;"."))</f>
        <v>Tuesday headcount unknown (no sourced count), company size unknown, no attendance signal, occupancy-unconfirmed at a medium-confidence address; contacts not researched yet.</v>
      </c>
      <c r="L195" s="0" t="s">
        <v>209</v>
      </c>
      <c r="O195" s="0" t="s">
        <v>4104</v>
      </c>
      <c r="P195" s="0" t="s">
        <v>850</v>
      </c>
      <c r="Q195" s="0" t="s">
        <v>851</v>
      </c>
      <c r="R195" s="5" t="s">
        <v>189</v>
      </c>
      <c r="S195" s="0" t="s">
        <v>209</v>
      </c>
      <c r="T195" s="0" t="s">
        <v>189</v>
      </c>
      <c r="U195" s="5" t="s">
        <v>3896</v>
      </c>
      <c r="V195" s="0" t="s">
        <v>850</v>
      </c>
      <c r="W195" s="0" t="s">
        <v>263</v>
      </c>
      <c r="X195" s="0" t="s">
        <v>3897</v>
      </c>
      <c r="Y195" s="0" t="str">
        <f aca="false">IF(FX195&lt;&gt;"Y","",COUNTIFS($FX$2:$FX$1000,"Y",$J$2:$J$1000,"&gt;"&amp;J195)+COUNTIFS($FX$2:$FX$1000,"Y",$J$2:$J$1000,J195,$GD$2:$GD$1000,"&lt;"&amp;GD195)+1)</f>
        <v/>
      </c>
      <c r="Z195" s="0" t="n">
        <v>194</v>
      </c>
      <c r="AA195" s="0" t="s">
        <v>189</v>
      </c>
      <c r="AB195" s="0" t="str">
        <f aca="false">IF($A195="","",IF(AW195="Y",BY195&amp;"",BK195&amp;""))</f>
        <v/>
      </c>
      <c r="AC195" s="0" t="str">
        <f aca="false">IF($A195="","",IF(AW195="Y",BS195&amp;"",BE195&amp;""))</f>
        <v/>
      </c>
      <c r="AD195" s="0" t="str">
        <f aca="false">IF($A195="","",IF(AW195="Y",BT195&amp;"",BF195&amp;""))</f>
        <v>none</v>
      </c>
      <c r="AE195" s="0" t="str">
        <f aca="false">IF($A195="","",IF(AW195="Y",BU195&amp;"",BG195&amp;""))</f>
        <v/>
      </c>
      <c r="AF195" s="0" t="str">
        <f aca="false">IF($A195="","",IF(AW195="Y",BV195&amp;"",BH195&amp;""))</f>
        <v/>
      </c>
      <c r="AG195" s="0" t="str">
        <f aca="false">IF($A195="","",IF(AW195="Y",BW195&amp;"",BI195&amp;""))</f>
        <v/>
      </c>
      <c r="AH195" s="0" t="str">
        <f aca="false">IF($A195="","",IF(AW195="Y",BX195&amp;"",BJ195&amp;""))</f>
        <v>none</v>
      </c>
      <c r="AI195" s="0" t="s">
        <v>1664</v>
      </c>
      <c r="AJ195" s="0" t="s">
        <v>4105</v>
      </c>
      <c r="AK195" s="0" t="s">
        <v>3898</v>
      </c>
      <c r="AL195" s="0" t="s">
        <v>209</v>
      </c>
      <c r="AM195" s="0" t="s">
        <v>209</v>
      </c>
      <c r="AN195" s="0" t="s">
        <v>380</v>
      </c>
      <c r="AO195" s="0" t="s">
        <v>209</v>
      </c>
      <c r="AP195" s="0" t="s">
        <v>4102</v>
      </c>
      <c r="AQ195" s="5" t="s">
        <v>189</v>
      </c>
      <c r="AT195" s="0" t="str">
        <f aca="false">IF($A195="","",IF(AND(CN195="pass",AQ195&lt;&gt;"Y",C195&lt;&gt;"",OR(AX195&lt;&gt;"Y",AV195="Y")),"Y","N"))</f>
        <v>N</v>
      </c>
      <c r="AU195" s="0" t="str">
        <f aca="false">IF($A195="","",_xlfn.TEXTJOIN("; ",TRUE(),IF(CN195&lt;&gt;"pass","gated out",""),IF(AQ195="Y","on hold: "&amp;AR195,""),IF(C195="","no contact named on an opened page",""),IF(AND(AX195="Y",AV195&lt;&gt;"Y"),"Tuesday estimate band "&amp;L195&amp;": founder's call","")))</f>
        <v>no contact named on an opened page</v>
      </c>
      <c r="AX195" s="0" t="s">
        <v>189</v>
      </c>
      <c r="BC195" s="0" t="str">
        <f aca="false">IF($A195="","",IFERROR(INDEX(Enrichment!$A$2:$GZ$2000,MATCH($A195,INDEX(Enrichment!$A$2:$GZ$2000,0,MATCH("row_id",Enrichment!$A$1:$GZ$1,0)),0),MATCH("work_email",Enrichment!$A$1:$GZ$1,0))&amp;"",""))</f>
        <v/>
      </c>
      <c r="BD195" s="0" t="str">
        <f aca="false">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none</v>
      </c>
      <c r="BF195" s="0" t="s">
        <v>380</v>
      </c>
      <c r="BJ195" s="0" t="s">
        <v>380</v>
      </c>
      <c r="BL195" s="0" t="s">
        <v>896</v>
      </c>
      <c r="BQ195" s="0" t="str">
        <f aca="false">IF($A195="","",IFERROR(INDEX(Enrichment!$A$2:$GZ$2000,MATCH($A195,INDEX(Enrichment!$A$2:$GZ$2000,0,MATCH("row_id",Enrichment!$A$1:$GZ$1,0)),0),MATCH("backup_work_email",Enrichment!$A$1:$GZ$1,0))&amp;"",""))</f>
        <v/>
      </c>
      <c r="BR195" s="0" t="str">
        <f aca="false">IF($A195="","",IF(BQ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none</v>
      </c>
      <c r="BT195" s="0" t="s">
        <v>380</v>
      </c>
      <c r="BX195" s="0" t="s">
        <v>380</v>
      </c>
      <c r="BY195" s="0" t="s">
        <v>387</v>
      </c>
      <c r="BZ195" s="0" t="s">
        <v>388</v>
      </c>
      <c r="CA195" s="0" t="s">
        <v>4036</v>
      </c>
      <c r="CB195" s="0" t="s">
        <v>196</v>
      </c>
      <c r="CM195" s="0" t="s">
        <v>189</v>
      </c>
      <c r="CN195" s="0" t="s">
        <v>200</v>
      </c>
      <c r="CO195" s="0" t="s">
        <v>201</v>
      </c>
      <c r="CP195" s="0" t="s">
        <v>1</v>
      </c>
      <c r="CQ195" s="0" t="s">
        <v>4106</v>
      </c>
      <c r="CR195" s="0" t="s">
        <v>4107</v>
      </c>
      <c r="CS195" s="0" t="s">
        <v>4108</v>
      </c>
      <c r="CT195" s="0" t="s">
        <v>209</v>
      </c>
      <c r="CV195" s="0" t="s">
        <v>209</v>
      </c>
      <c r="CW195" s="0" t="s">
        <v>209</v>
      </c>
      <c r="CX195" s="0" t="s">
        <v>2712</v>
      </c>
      <c r="DA195" s="0" t="s">
        <v>209</v>
      </c>
      <c r="DB195" s="0" t="s">
        <v>209</v>
      </c>
      <c r="DC195" s="0" t="s">
        <v>209</v>
      </c>
      <c r="DD195" s="0" t="s">
        <v>209</v>
      </c>
      <c r="DE195" s="0" t="s">
        <v>4109</v>
      </c>
      <c r="DF195" s="0" t="s">
        <v>210</v>
      </c>
      <c r="DG195" s="0" t="n">
        <v>40.737722</v>
      </c>
      <c r="DH195" s="0" t="n">
        <v>-73.989367</v>
      </c>
      <c r="DI195" s="0" t="s">
        <v>164</v>
      </c>
      <c r="DJ195" s="0" t="n">
        <v>0</v>
      </c>
      <c r="DK195" s="0" t="s">
        <v>847</v>
      </c>
      <c r="DL195" s="0" t="s">
        <v>848</v>
      </c>
      <c r="DM195" s="0" t="s">
        <v>850</v>
      </c>
      <c r="DN195" s="0" t="s">
        <v>851</v>
      </c>
      <c r="DO195" s="0" t="s">
        <v>363</v>
      </c>
      <c r="DS195" s="0" t="s">
        <v>809</v>
      </c>
      <c r="DU195" s="0" t="s">
        <v>189</v>
      </c>
      <c r="DX195" s="0" t="s">
        <v>209</v>
      </c>
      <c r="EA195" s="0" t="s">
        <v>209</v>
      </c>
      <c r="EB195" s="0" t="s">
        <v>189</v>
      </c>
      <c r="EC195" s="0" t="s">
        <v>209</v>
      </c>
      <c r="EF195" s="0" t="s">
        <v>209</v>
      </c>
      <c r="EH195" s="0" t="s">
        <v>189</v>
      </c>
      <c r="EI195" s="0" t="s">
        <v>2716</v>
      </c>
      <c r="EJ195" s="0" t="s">
        <v>221</v>
      </c>
      <c r="EK195" s="0" t="s">
        <v>209</v>
      </c>
      <c r="EL195" s="0" t="n">
        <v>29</v>
      </c>
      <c r="EM195" s="0" t="n">
        <v>7</v>
      </c>
      <c r="EN195" s="0" t="n">
        <v>8</v>
      </c>
      <c r="EO195" s="0" t="n">
        <v>6</v>
      </c>
      <c r="EP195" s="0" t="n">
        <v>8</v>
      </c>
      <c r="EQ195" s="0" t="n">
        <f aca="false">IF($A195="","",IF(AH195="exact",10,IF(AH195="adjacent",5,0)))</f>
        <v>0</v>
      </c>
      <c r="ER195" s="0" t="n">
        <f aca="false">IF($A195="","",IF(R195="Y",15,0))</f>
        <v>0</v>
      </c>
      <c r="ES195" s="0" t="s">
        <v>222</v>
      </c>
      <c r="EV195" s="0" t="s">
        <v>4110</v>
      </c>
      <c r="EW195" s="0" t="s">
        <v>224</v>
      </c>
      <c r="EX195" s="0" t="s">
        <v>4111</v>
      </c>
      <c r="EZ195" s="0" t="s">
        <v>4112</v>
      </c>
      <c r="FS195" s="0" t="str">
        <f aca="false">IF($A195="","",IF(ISNUMBER(MATCH(U195,{"queued","contacted","replied","call_booked","call_done","yes_in_principle","materials_sent"},0)),"Y","N"))</f>
        <v>N</v>
      </c>
      <c r="FT195" s="0" t="str">
        <f aca="false">IF($A195="","",IF(OR(T195="Y",U195="do_not_contact",AS195&amp;""&lt;&gt;""),"Y","N"))</f>
        <v>N</v>
      </c>
      <c r="FU195" s="0" t="str">
        <f aca="false">IF($A195="","",IF(AP195&amp;""&lt;&gt;"",AP195&amp;"",$A195))</f>
        <v>AO-C-049</v>
      </c>
      <c r="FV195" s="0" t="str">
        <f aca="false">IF($A195="","",IF(COUNTIFS($FU$2:$FU$1000,FU195,$FS$2:$FS$1000,"Y")+COUNTIFS($FU$2:$FU$1000,FU195,$FT$2:$FT$1000,"Y")&gt;0,"Y","N"))</f>
        <v>N</v>
      </c>
      <c r="FW195" s="0" t="str">
        <f aca="false">IF($A195="","",IF(AND(U195="new",T195="N",FT195="N",AT195="Y",FV195="N"),"Y","N"))</f>
        <v>N</v>
      </c>
      <c r="FX195" s="0" t="str">
        <f aca="false">IF($A195="","",IF(FW195&lt;&gt;"Y","N",IF(COUNTIFS($FU$2:$FU$1000,FU195,$FW$2:$FW$1000,"Y",$J$2:$J$1000,"&gt;"&amp;J195)+COUNTIFS($FU$2:$FU$1000,FU195,$FW$2:$FW$1000,"Y",$J$2:$J$1000,J195,$GD$2:$GD$1000,"&lt;"&amp;GD195)=0,"Y","N")))</f>
        <v>N</v>
      </c>
      <c r="FY195" s="0" t="str">
        <f aca="false">IF($A195="","",IF(AND(FW195="Y",FX195="Y",Y195&amp;""&lt;&gt;""),IF(Y195&lt;=10,"Y","N"),"N"))</f>
        <v>N</v>
      </c>
      <c r="FZ195" s="0" t="str">
        <f aca="false">IF(FY195="Y",Y195,"")</f>
        <v/>
      </c>
      <c r="GA195" s="0" t="str">
        <f aca="false">IF($A195="","",IF(AND(I195="walk-in",CN195="pass",U195="new",FT195="N",FV195="N",AQ195&lt;&gt;"Y"),"Y","N"))</f>
        <v>N</v>
      </c>
      <c r="GB195" s="0" t="str">
        <f aca="false">IF(GA195&lt;&gt;"Y","",IF(COUNTIFS($GA$2:$GA$1000,"Y",$J$2:$J$1000,"&gt;"&amp;J195)+COUNTIFS($GA$2:$GA$1000,"Y",$J$2:$J$1000,J195,$GD$2:$GD$1000,"&lt;"&amp;GD195)+1&lt;=25,COUNTIFS($GA$2:$GA$1000,"Y",$J$2:$J$1000,"&gt;"&amp;J195)+COUNTIFS($GA$2:$GA$1000,"Y",$J$2:$J$1000,J195,$GD$2:$GD$1000,"&lt;"&amp;GD195)+1,""))</f>
        <v/>
      </c>
      <c r="GC195" s="0" t="str">
        <f aca="false">IF(AND(_xlfn.ISFORMULA(C195),_xlfn.ISFORMULA(J195)),"Y","N")</f>
        <v>Y</v>
      </c>
      <c r="GD195" s="0" t="n">
        <f aca="false">ROW()-1</f>
        <v>194</v>
      </c>
    </row>
    <row r="196" customFormat="false" ht="15" hidden="false" customHeight="false" outlineLevel="0" collapsed="false">
      <c r="A196" s="0" t="s">
        <v>4113</v>
      </c>
      <c r="B196" s="0" t="s">
        <v>4114</v>
      </c>
      <c r="C196" s="0" t="str">
        <f aca="false">IF($A196="","",IF(AW196="Y",BM196&amp;"",AY196&amp;""))</f>
        <v/>
      </c>
      <c r="D196" s="0" t="str">
        <f aca="false">IF($A196="","",IF(AW196="Y",BN196&amp;"",AZ196&amp;""))</f>
        <v/>
      </c>
      <c r="E196" s="0" t="str">
        <f aca="false">IF($A196="","",IF(AW196="Y",BO196&amp;"",BA196&amp;""))</f>
        <v/>
      </c>
      <c r="F196" s="0" t="str">
        <f aca="false">IF($A196="","",IF(AW196="Y",BP196&amp;"",BB196&amp;""))</f>
        <v/>
      </c>
      <c r="G196" s="0" t="str">
        <f aca="false">IF($A196="","",IF(AW196="Y",BQ196&amp;"",BC196&amp;""))</f>
        <v/>
      </c>
      <c r="H196" s="0" t="str">
        <f aca="false">IF($A196="","",IF(AW196="Y",BR196&amp;"",BD196&amp;""))</f>
        <v>none</v>
      </c>
      <c r="I196" s="0" t="str">
        <f aca="false">IF($A196="","",IF(R196="Y","warm-intro",IF(H196="verified","email",IF(C196&lt;&gt;"","linkedin",CB196&amp;""))))</f>
        <v>linkedin</v>
      </c>
      <c r="J196" s="0" t="n">
        <f aca="false">IF($A196="","",IF(CN196="pass",ROUND(N(EM196)+N(EN196)+N(EO196)+N(EP196)+N(EQ196)+N(ER196),1),0))</f>
        <v>29</v>
      </c>
      <c r="K196" s="0" t="str">
        <f aca="false">IF($A196="","",IF(CN196&lt;&gt;"pass",CA196&amp;"",CA196&amp;"; "&amp;IF(AW196="Y",BZ196&amp;"",BL196&amp;"")&amp;IF(R196="Y","; known to the founder (+15)","")&amp;"."))</f>
        <v>Tuesday headcount unknown (no sourced count), company size unknown, no attendance signal, occupancy-unconfirmed at a medium-confidence address; contacts not researched yet.</v>
      </c>
      <c r="L196" s="0" t="s">
        <v>209</v>
      </c>
      <c r="O196" s="0" t="s">
        <v>4115</v>
      </c>
      <c r="P196" s="0" t="s">
        <v>1826</v>
      </c>
      <c r="Q196" s="0" t="s">
        <v>1827</v>
      </c>
      <c r="R196" s="5" t="s">
        <v>189</v>
      </c>
      <c r="S196" s="0" t="s">
        <v>209</v>
      </c>
      <c r="T196" s="0" t="s">
        <v>189</v>
      </c>
      <c r="U196" s="5" t="s">
        <v>3896</v>
      </c>
      <c r="V196" s="0" t="s">
        <v>1826</v>
      </c>
      <c r="W196" s="0" t="s">
        <v>263</v>
      </c>
      <c r="X196" s="0" t="s">
        <v>3897</v>
      </c>
      <c r="Y196" s="0" t="str">
        <f aca="false">IF(FX196&lt;&gt;"Y","",COUNTIFS($FX$2:$FX$1000,"Y",$J$2:$J$1000,"&gt;"&amp;J196)+COUNTIFS($FX$2:$FX$1000,"Y",$J$2:$J$1000,J196,$GD$2:$GD$1000,"&lt;"&amp;GD196)+1)</f>
        <v/>
      </c>
      <c r="Z196" s="0" t="n">
        <v>195</v>
      </c>
      <c r="AA196" s="0" t="s">
        <v>189</v>
      </c>
      <c r="AB196" s="0" t="str">
        <f aca="false">IF($A196="","",IF(AW196="Y",BY196&amp;"",BK196&amp;""))</f>
        <v/>
      </c>
      <c r="AC196" s="0" t="str">
        <f aca="false">IF($A196="","",IF(AW196="Y",BS196&amp;"",BE196&amp;""))</f>
        <v/>
      </c>
      <c r="AD196" s="0" t="str">
        <f aca="false">IF($A196="","",IF(AW196="Y",BT196&amp;"",BF196&amp;""))</f>
        <v>none</v>
      </c>
      <c r="AE196" s="0" t="str">
        <f aca="false">IF($A196="","",IF(AW196="Y",BU196&amp;"",BG196&amp;""))</f>
        <v/>
      </c>
      <c r="AF196" s="0" t="str">
        <f aca="false">IF($A196="","",IF(AW196="Y",BV196&amp;"",BH196&amp;""))</f>
        <v/>
      </c>
      <c r="AG196" s="0" t="str">
        <f aca="false">IF($A196="","",IF(AW196="Y",BW196&amp;"",BI196&amp;""))</f>
        <v/>
      </c>
      <c r="AH196" s="0" t="str">
        <f aca="false">IF($A196="","",IF(AW196="Y",BX196&amp;"",BJ196&amp;""))</f>
        <v>none</v>
      </c>
      <c r="AI196" s="0" t="s">
        <v>892</v>
      </c>
      <c r="AJ196" s="0" t="s">
        <v>4116</v>
      </c>
      <c r="AK196" s="0" t="s">
        <v>3898</v>
      </c>
      <c r="AL196" s="0" t="s">
        <v>209</v>
      </c>
      <c r="AM196" s="0" t="s">
        <v>209</v>
      </c>
      <c r="AN196" s="0" t="s">
        <v>380</v>
      </c>
      <c r="AO196" s="0" t="s">
        <v>209</v>
      </c>
      <c r="AP196" s="0" t="s">
        <v>4113</v>
      </c>
      <c r="AQ196" s="5" t="s">
        <v>189</v>
      </c>
      <c r="AT196" s="0" t="str">
        <f aca="false">IF($A196="","",IF(AND(CN196="pass",AQ196&lt;&gt;"Y",C196&lt;&gt;"",OR(AX196&lt;&gt;"Y",AV196="Y")),"Y","N"))</f>
        <v>N</v>
      </c>
      <c r="AU196" s="0" t="str">
        <f aca="false">IF($A196="","",_xlfn.TEXTJOIN("; ",TRUE(),IF(CN196&lt;&gt;"pass","gated out",""),IF(AQ196="Y","on hold: "&amp;AR196,""),IF(C196="","no contact named on an opened page",""),IF(AND(AX196="Y",AV196&lt;&gt;"Y"),"Tuesday estimate band "&amp;L196&amp;": founder's call","")))</f>
        <v>no contact named on an opened page</v>
      </c>
      <c r="AX196" s="0" t="s">
        <v>189</v>
      </c>
      <c r="BC196" s="0" t="str">
        <f aca="false">IF($A196="","",IFERROR(INDEX(Enrichment!$A$2:$GZ$2000,MATCH($A196,INDEX(Enrichment!$A$2:$GZ$2000,0,MATCH("row_id",Enrichment!$A$1:$GZ$1,0)),0),MATCH("work_email",Enrichment!$A$1:$GZ$1,0))&amp;"",""))</f>
        <v/>
      </c>
      <c r="BD196" s="0" t="str">
        <f aca="false">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none</v>
      </c>
      <c r="BF196" s="0" t="s">
        <v>380</v>
      </c>
      <c r="BJ196" s="0" t="s">
        <v>380</v>
      </c>
      <c r="BL196" s="0" t="s">
        <v>896</v>
      </c>
      <c r="BQ196" s="0" t="str">
        <f aca="false">IF($A196="","",IFERROR(INDEX(Enrichment!$A$2:$GZ$2000,MATCH($A196,INDEX(Enrichment!$A$2:$GZ$2000,0,MATCH("row_id",Enrichment!$A$1:$GZ$1,0)),0),MATCH("backup_work_email",Enrichment!$A$1:$GZ$1,0))&amp;"",""))</f>
        <v/>
      </c>
      <c r="BR196" s="0" t="str">
        <f aca="false">IF($A196="","",IF(BQ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none</v>
      </c>
      <c r="BT196" s="0" t="s">
        <v>380</v>
      </c>
      <c r="BX196" s="0" t="s">
        <v>380</v>
      </c>
      <c r="BY196" s="0" t="s">
        <v>387</v>
      </c>
      <c r="BZ196" s="0" t="s">
        <v>388</v>
      </c>
      <c r="CA196" s="0" t="s">
        <v>4036</v>
      </c>
      <c r="CB196" s="0" t="s">
        <v>196</v>
      </c>
      <c r="CM196" s="0" t="s">
        <v>189</v>
      </c>
      <c r="CN196" s="0" t="s">
        <v>200</v>
      </c>
      <c r="CO196" s="0" t="s">
        <v>201</v>
      </c>
      <c r="CP196" s="0" t="s">
        <v>1</v>
      </c>
      <c r="CQ196" s="0" t="s">
        <v>4117</v>
      </c>
      <c r="CR196" s="0" t="s">
        <v>4118</v>
      </c>
      <c r="CS196" s="0" t="s">
        <v>4119</v>
      </c>
      <c r="CT196" s="0" t="s">
        <v>209</v>
      </c>
      <c r="CV196" s="0" t="s">
        <v>209</v>
      </c>
      <c r="CW196" s="0" t="s">
        <v>209</v>
      </c>
      <c r="CX196" s="0" t="s">
        <v>2712</v>
      </c>
      <c r="DA196" s="0" t="s">
        <v>209</v>
      </c>
      <c r="DB196" s="0" t="s">
        <v>209</v>
      </c>
      <c r="DC196" s="0" t="s">
        <v>209</v>
      </c>
      <c r="DD196" s="0" t="s">
        <v>209</v>
      </c>
      <c r="DE196" s="0" t="s">
        <v>209</v>
      </c>
      <c r="DF196" s="0" t="s">
        <v>525</v>
      </c>
      <c r="DG196" s="0" t="n">
        <v>40.743006</v>
      </c>
      <c r="DH196" s="0" t="n">
        <v>-73.98947</v>
      </c>
      <c r="DI196" s="0" t="s">
        <v>164</v>
      </c>
      <c r="DJ196" s="0" t="n">
        <v>0</v>
      </c>
      <c r="DK196" s="0" t="s">
        <v>1082</v>
      </c>
      <c r="DL196" s="0" t="s">
        <v>1083</v>
      </c>
      <c r="DM196" s="0" t="s">
        <v>1826</v>
      </c>
      <c r="DN196" s="0" t="s">
        <v>1827</v>
      </c>
      <c r="DO196" s="0" t="s">
        <v>363</v>
      </c>
      <c r="DP196" s="0" t="s">
        <v>4120</v>
      </c>
      <c r="DQ196" s="0" t="s">
        <v>758</v>
      </c>
      <c r="DS196" s="0" t="s">
        <v>809</v>
      </c>
      <c r="DU196" s="0" t="s">
        <v>189</v>
      </c>
      <c r="DX196" s="0" t="s">
        <v>267</v>
      </c>
      <c r="DY196" s="0" t="s">
        <v>1086</v>
      </c>
      <c r="EA196" s="0" t="s">
        <v>209</v>
      </c>
      <c r="EB196" s="0" t="s">
        <v>189</v>
      </c>
      <c r="EC196" s="0" t="s">
        <v>209</v>
      </c>
      <c r="EF196" s="0" t="s">
        <v>209</v>
      </c>
      <c r="EH196" s="0" t="s">
        <v>189</v>
      </c>
      <c r="EI196" s="0" t="s">
        <v>2716</v>
      </c>
      <c r="EJ196" s="0" t="s">
        <v>221</v>
      </c>
      <c r="EK196" s="0" t="s">
        <v>209</v>
      </c>
      <c r="EL196" s="0" t="n">
        <v>29</v>
      </c>
      <c r="EM196" s="0" t="n">
        <v>7</v>
      </c>
      <c r="EN196" s="0" t="n">
        <v>8</v>
      </c>
      <c r="EO196" s="0" t="n">
        <v>6</v>
      </c>
      <c r="EP196" s="0" t="n">
        <v>8</v>
      </c>
      <c r="EQ196" s="0" t="n">
        <f aca="false">IF($A196="","",IF(AH196="exact",10,IF(AH196="adjacent",5,0)))</f>
        <v>0</v>
      </c>
      <c r="ER196" s="0" t="n">
        <f aca="false">IF($A196="","",IF(R196="Y",15,0))</f>
        <v>0</v>
      </c>
      <c r="ES196" s="0" t="s">
        <v>222</v>
      </c>
      <c r="EV196" s="0" t="s">
        <v>4121</v>
      </c>
      <c r="EW196" s="0" t="s">
        <v>224</v>
      </c>
      <c r="EX196" s="0" t="s">
        <v>4122</v>
      </c>
      <c r="FS196" s="0" t="str">
        <f aca="false">IF($A196="","",IF(ISNUMBER(MATCH(U196,{"queued","contacted","replied","call_booked","call_done","yes_in_principle","materials_sent"},0)),"Y","N"))</f>
        <v>N</v>
      </c>
      <c r="FT196" s="0" t="str">
        <f aca="false">IF($A196="","",IF(OR(T196="Y",U196="do_not_contact",AS196&amp;""&lt;&gt;""),"Y","N"))</f>
        <v>N</v>
      </c>
      <c r="FU196" s="0" t="str">
        <f aca="false">IF($A196="","",IF(AP196&amp;""&lt;&gt;"",AP196&amp;"",$A196))</f>
        <v>AO-C-110</v>
      </c>
      <c r="FV196" s="0" t="str">
        <f aca="false">IF($A196="","",IF(COUNTIFS($FU$2:$FU$1000,FU196,$FS$2:$FS$1000,"Y")+COUNTIFS($FU$2:$FU$1000,FU196,$FT$2:$FT$1000,"Y")&gt;0,"Y","N"))</f>
        <v>N</v>
      </c>
      <c r="FW196" s="0" t="str">
        <f aca="false">IF($A196="","",IF(AND(U196="new",T196="N",FT196="N",AT196="Y",FV196="N"),"Y","N"))</f>
        <v>N</v>
      </c>
      <c r="FX196" s="0" t="str">
        <f aca="false">IF($A196="","",IF(FW196&lt;&gt;"Y","N",IF(COUNTIFS($FU$2:$FU$1000,FU196,$FW$2:$FW$1000,"Y",$J$2:$J$1000,"&gt;"&amp;J196)+COUNTIFS($FU$2:$FU$1000,FU196,$FW$2:$FW$1000,"Y",$J$2:$J$1000,J196,$GD$2:$GD$1000,"&lt;"&amp;GD196)=0,"Y","N")))</f>
        <v>N</v>
      </c>
      <c r="FY196" s="0" t="str">
        <f aca="false">IF($A196="","",IF(AND(FW196="Y",FX196="Y",Y196&amp;""&lt;&gt;""),IF(Y196&lt;=10,"Y","N"),"N"))</f>
        <v>N</v>
      </c>
      <c r="FZ196" s="0" t="str">
        <f aca="false">IF(FY196="Y",Y196,"")</f>
        <v/>
      </c>
      <c r="GA196" s="0" t="str">
        <f aca="false">IF($A196="","",IF(AND(I196="walk-in",CN196="pass",U196="new",FT196="N",FV196="N",AQ196&lt;&gt;"Y"),"Y","N"))</f>
        <v>N</v>
      </c>
      <c r="GB196" s="0" t="str">
        <f aca="false">IF(GA196&lt;&gt;"Y","",IF(COUNTIFS($GA$2:$GA$1000,"Y",$J$2:$J$1000,"&gt;"&amp;J196)+COUNTIFS($GA$2:$GA$1000,"Y",$J$2:$J$1000,J196,$GD$2:$GD$1000,"&lt;"&amp;GD196)+1&lt;=25,COUNTIFS($GA$2:$GA$1000,"Y",$J$2:$J$1000,"&gt;"&amp;J196)+COUNTIFS($GA$2:$GA$1000,"Y",$J$2:$J$1000,J196,$GD$2:$GD$1000,"&lt;"&amp;GD196)+1,""))</f>
        <v/>
      </c>
      <c r="GC196" s="0" t="str">
        <f aca="false">IF(AND(_xlfn.ISFORMULA(C196),_xlfn.ISFORMULA(J196)),"Y","N")</f>
        <v>Y</v>
      </c>
      <c r="GD196" s="0" t="n">
        <f aca="false">ROW()-1</f>
        <v>195</v>
      </c>
    </row>
    <row r="197" customFormat="false" ht="15" hidden="false" customHeight="false" outlineLevel="0" collapsed="false">
      <c r="A197" s="0" t="s">
        <v>4123</v>
      </c>
      <c r="B197" s="0" t="s">
        <v>4124</v>
      </c>
      <c r="C197" s="0" t="str">
        <f aca="false">IF($A197="","",IF(AW197="Y",BM197&amp;"",AY197&amp;""))</f>
        <v/>
      </c>
      <c r="D197" s="0" t="str">
        <f aca="false">IF($A197="","",IF(AW197="Y",BN197&amp;"",AZ197&amp;""))</f>
        <v/>
      </c>
      <c r="E197" s="0" t="str">
        <f aca="false">IF($A197="","",IF(AW197="Y",BO197&amp;"",BA197&amp;""))</f>
        <v/>
      </c>
      <c r="F197" s="0" t="str">
        <f aca="false">IF($A197="","",IF(AW197="Y",BP197&amp;"",BB197&amp;""))</f>
        <v/>
      </c>
      <c r="G197" s="0" t="str">
        <f aca="false">IF($A197="","",IF(AW197="Y",BQ197&amp;"",BC197&amp;""))</f>
        <v/>
      </c>
      <c r="H197" s="0" t="str">
        <f aca="false">IF($A197="","",IF(AW197="Y",BR197&amp;"",BD197&amp;""))</f>
        <v>none</v>
      </c>
      <c r="I197" s="0" t="str">
        <f aca="false">IF($A197="","",IF(R197="Y","warm-intro",IF(H197="verified","email",IF(C197&lt;&gt;"","linkedin",CB197&amp;""))))</f>
        <v>linkedin</v>
      </c>
      <c r="J197" s="0" t="n">
        <f aca="false">IF($A197="","",IF(CN197="pass",ROUND(N(EM197)+N(EN197)+N(EO197)+N(EP197)+N(EQ197)+N(ER197),1),0))</f>
        <v>29</v>
      </c>
      <c r="K197" s="0" t="str">
        <f aca="false">IF($A197="","",IF(CN197&lt;&gt;"pass",CA197&amp;"",CA197&amp;"; "&amp;IF(AW197="Y",BZ197&amp;"",BL197&amp;"")&amp;IF(R197="Y","; known to the founder (+15)","")&amp;"."))</f>
        <v>Tuesday headcount unknown (no sourced count), company size unknown, no attendance signal, occupancy-unconfirmed at a medium-confidence address; contacts not researched yet.</v>
      </c>
      <c r="L197" s="0" t="s">
        <v>209</v>
      </c>
      <c r="R197" s="5" t="s">
        <v>189</v>
      </c>
      <c r="S197" s="0" t="s">
        <v>209</v>
      </c>
      <c r="T197" s="0" t="s">
        <v>189</v>
      </c>
      <c r="U197" s="5" t="s">
        <v>3896</v>
      </c>
      <c r="V197" s="0" t="s">
        <v>3636</v>
      </c>
      <c r="W197" s="0" t="s">
        <v>263</v>
      </c>
      <c r="X197" s="0" t="s">
        <v>3897</v>
      </c>
      <c r="Y197" s="0" t="str">
        <f aca="false">IF(FX197&lt;&gt;"Y","",COUNTIFS($FX$2:$FX$1000,"Y",$J$2:$J$1000,"&gt;"&amp;J197)+COUNTIFS($FX$2:$FX$1000,"Y",$J$2:$J$1000,J197,$GD$2:$GD$1000,"&lt;"&amp;GD197)+1)</f>
        <v/>
      </c>
      <c r="Z197" s="0" t="n">
        <v>196</v>
      </c>
      <c r="AA197" s="0" t="s">
        <v>189</v>
      </c>
      <c r="AB197" s="0" t="str">
        <f aca="false">IF($A197="","",IF(AW197="Y",BY197&amp;"",BK197&amp;""))</f>
        <v/>
      </c>
      <c r="AC197" s="0" t="str">
        <f aca="false">IF($A197="","",IF(AW197="Y",BS197&amp;"",BE197&amp;""))</f>
        <v/>
      </c>
      <c r="AD197" s="0" t="str">
        <f aca="false">IF($A197="","",IF(AW197="Y",BT197&amp;"",BF197&amp;""))</f>
        <v>none</v>
      </c>
      <c r="AE197" s="0" t="str">
        <f aca="false">IF($A197="","",IF(AW197="Y",BU197&amp;"",BG197&amp;""))</f>
        <v/>
      </c>
      <c r="AF197" s="0" t="str">
        <f aca="false">IF($A197="","",IF(AW197="Y",BV197&amp;"",BH197&amp;""))</f>
        <v/>
      </c>
      <c r="AG197" s="0" t="str">
        <f aca="false">IF($A197="","",IF(AW197="Y",BW197&amp;"",BI197&amp;""))</f>
        <v/>
      </c>
      <c r="AH197" s="0" t="str">
        <f aca="false">IF($A197="","",IF(AW197="Y",BX197&amp;"",BJ197&amp;""))</f>
        <v>none</v>
      </c>
      <c r="AI197" s="0" t="s">
        <v>734</v>
      </c>
      <c r="AJ197" s="0" t="s">
        <v>508</v>
      </c>
      <c r="AK197" s="0" t="s">
        <v>3898</v>
      </c>
      <c r="AL197" s="0" t="s">
        <v>209</v>
      </c>
      <c r="AM197" s="0" t="s">
        <v>209</v>
      </c>
      <c r="AN197" s="0" t="s">
        <v>380</v>
      </c>
      <c r="AO197" s="0" t="s">
        <v>209</v>
      </c>
      <c r="AP197" s="0" t="s">
        <v>4123</v>
      </c>
      <c r="AQ197" s="5" t="s">
        <v>189</v>
      </c>
      <c r="AT197" s="0" t="str">
        <f aca="false">IF($A197="","",IF(AND(CN197="pass",AQ197&lt;&gt;"Y",C197&lt;&gt;"",OR(AX197&lt;&gt;"Y",AV197="Y")),"Y","N"))</f>
        <v>N</v>
      </c>
      <c r="AU197" s="0" t="str">
        <f aca="false">IF($A197="","",_xlfn.TEXTJOIN("; ",TRUE(),IF(CN197&lt;&gt;"pass","gated out",""),IF(AQ197="Y","on hold: "&amp;AR197,""),IF(C197="","no contact named on an opened page",""),IF(AND(AX197="Y",AV197&lt;&gt;"Y"),"Tuesday estimate band "&amp;L197&amp;": founder's call","")))</f>
        <v>no contact named on an opened page</v>
      </c>
      <c r="AX197" s="0" t="s">
        <v>189</v>
      </c>
      <c r="BC197" s="0" t="str">
        <f aca="false">IF($A197="","",IFERROR(INDEX(Enrichment!$A$2:$GZ$2000,MATCH($A197,INDEX(Enrichment!$A$2:$GZ$2000,0,MATCH("row_id",Enrichment!$A$1:$GZ$1,0)),0),MATCH("work_email",Enrichment!$A$1:$GZ$1,0))&amp;"",""))</f>
        <v/>
      </c>
      <c r="BD197" s="0" t="str">
        <f aca="false">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none</v>
      </c>
      <c r="BF197" s="0" t="s">
        <v>380</v>
      </c>
      <c r="BJ197" s="0" t="s">
        <v>380</v>
      </c>
      <c r="BL197" s="0" t="s">
        <v>896</v>
      </c>
      <c r="BQ197" s="0" t="str">
        <f aca="false">IF($A197="","",IFERROR(INDEX(Enrichment!$A$2:$GZ$2000,MATCH($A197,INDEX(Enrichment!$A$2:$GZ$2000,0,MATCH("row_id",Enrichment!$A$1:$GZ$1,0)),0),MATCH("backup_work_email",Enrichment!$A$1:$GZ$1,0))&amp;"",""))</f>
        <v/>
      </c>
      <c r="BR197" s="0" t="str">
        <f aca="false">IF($A197="","",IF(BQ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none</v>
      </c>
      <c r="BT197" s="0" t="s">
        <v>380</v>
      </c>
      <c r="BX197" s="0" t="s">
        <v>380</v>
      </c>
      <c r="BY197" s="0" t="s">
        <v>387</v>
      </c>
      <c r="BZ197" s="0" t="s">
        <v>388</v>
      </c>
      <c r="CA197" s="0" t="s">
        <v>4036</v>
      </c>
      <c r="CB197" s="0" t="s">
        <v>196</v>
      </c>
      <c r="CM197" s="0" t="s">
        <v>189</v>
      </c>
      <c r="CN197" s="0" t="s">
        <v>200</v>
      </c>
      <c r="CO197" s="0" t="s">
        <v>201</v>
      </c>
      <c r="CP197" s="0" t="s">
        <v>1</v>
      </c>
      <c r="CQ197" s="0" t="s">
        <v>4125</v>
      </c>
      <c r="CR197" s="0" t="s">
        <v>4126</v>
      </c>
      <c r="CS197" s="0" t="s">
        <v>4127</v>
      </c>
      <c r="CT197" s="0" t="s">
        <v>209</v>
      </c>
      <c r="CV197" s="0" t="s">
        <v>209</v>
      </c>
      <c r="CW197" s="0" t="s">
        <v>209</v>
      </c>
      <c r="CX197" s="0" t="s">
        <v>2712</v>
      </c>
      <c r="DA197" s="0" t="s">
        <v>209</v>
      </c>
      <c r="DB197" s="0" t="s">
        <v>209</v>
      </c>
      <c r="DC197" s="0" t="s">
        <v>209</v>
      </c>
      <c r="DD197" s="0" t="s">
        <v>209</v>
      </c>
      <c r="DE197" s="0" t="s">
        <v>4128</v>
      </c>
      <c r="DF197" s="0" t="s">
        <v>525</v>
      </c>
      <c r="DG197" s="0" t="n">
        <v>40.743309</v>
      </c>
      <c r="DH197" s="0" t="n">
        <v>-73.987329</v>
      </c>
      <c r="DI197" s="0" t="s">
        <v>164</v>
      </c>
      <c r="DJ197" s="0" t="n">
        <v>0</v>
      </c>
      <c r="DK197" s="0" t="s">
        <v>940</v>
      </c>
      <c r="DL197" s="0" t="s">
        <v>941</v>
      </c>
      <c r="DM197" s="0" t="s">
        <v>3636</v>
      </c>
      <c r="DN197" s="0" t="s">
        <v>3637</v>
      </c>
      <c r="DO197" s="0" t="s">
        <v>363</v>
      </c>
      <c r="DP197" s="0" t="s">
        <v>2143</v>
      </c>
      <c r="DQ197" s="0" t="s">
        <v>2144</v>
      </c>
      <c r="DS197" s="0" t="s">
        <v>809</v>
      </c>
      <c r="DU197" s="0" t="s">
        <v>189</v>
      </c>
      <c r="DX197" s="0" t="s">
        <v>209</v>
      </c>
      <c r="EA197" s="0" t="s">
        <v>209</v>
      </c>
      <c r="EB197" s="0" t="s">
        <v>189</v>
      </c>
      <c r="EC197" s="0" t="s">
        <v>209</v>
      </c>
      <c r="EF197" s="0" t="s">
        <v>209</v>
      </c>
      <c r="EH197" s="0" t="s">
        <v>189</v>
      </c>
      <c r="EI197" s="0" t="s">
        <v>2716</v>
      </c>
      <c r="EJ197" s="0" t="s">
        <v>221</v>
      </c>
      <c r="EK197" s="0" t="s">
        <v>209</v>
      </c>
      <c r="EL197" s="0" t="n">
        <v>29</v>
      </c>
      <c r="EM197" s="0" t="n">
        <v>7</v>
      </c>
      <c r="EN197" s="0" t="n">
        <v>8</v>
      </c>
      <c r="EO197" s="0" t="n">
        <v>6</v>
      </c>
      <c r="EP197" s="0" t="n">
        <v>8</v>
      </c>
      <c r="EQ197" s="0" t="n">
        <f aca="false">IF($A197="","",IF(AH197="exact",10,IF(AH197="adjacent",5,0)))</f>
        <v>0</v>
      </c>
      <c r="ER197" s="0" t="n">
        <f aca="false">IF($A197="","",IF(R197="Y",15,0))</f>
        <v>0</v>
      </c>
      <c r="ES197" s="0" t="s">
        <v>222</v>
      </c>
      <c r="EV197" s="0" t="s">
        <v>4129</v>
      </c>
      <c r="EW197" s="0" t="s">
        <v>224</v>
      </c>
      <c r="EX197" s="0" t="s">
        <v>4130</v>
      </c>
      <c r="EZ197" s="0" t="s">
        <v>4131</v>
      </c>
      <c r="FS197" s="0" t="str">
        <f aca="false">IF($A197="","",IF(ISNUMBER(MATCH(U197,{"queued","contacted","replied","call_booked","call_done","yes_in_principle","materials_sent"},0)),"Y","N"))</f>
        <v>N</v>
      </c>
      <c r="FT197" s="0" t="str">
        <f aca="false">IF($A197="","",IF(OR(T197="Y",U197="do_not_contact",AS197&amp;""&lt;&gt;""),"Y","N"))</f>
        <v>N</v>
      </c>
      <c r="FU197" s="0" t="str">
        <f aca="false">IF($A197="","",IF(AP197&amp;""&lt;&gt;"",AP197&amp;"",$A197))</f>
        <v>AO-C-134</v>
      </c>
      <c r="FV197" s="0" t="str">
        <f aca="false">IF($A197="","",IF(COUNTIFS($FU$2:$FU$1000,FU197,$FS$2:$FS$1000,"Y")+COUNTIFS($FU$2:$FU$1000,FU197,$FT$2:$FT$1000,"Y")&gt;0,"Y","N"))</f>
        <v>N</v>
      </c>
      <c r="FW197" s="0" t="str">
        <f aca="false">IF($A197="","",IF(AND(U197="new",T197="N",FT197="N",AT197="Y",FV197="N"),"Y","N"))</f>
        <v>N</v>
      </c>
      <c r="FX197" s="0" t="str">
        <f aca="false">IF($A197="","",IF(FW197&lt;&gt;"Y","N",IF(COUNTIFS($FU$2:$FU$1000,FU197,$FW$2:$FW$1000,"Y",$J$2:$J$1000,"&gt;"&amp;J197)+COUNTIFS($FU$2:$FU$1000,FU197,$FW$2:$FW$1000,"Y",$J$2:$J$1000,J197,$GD$2:$GD$1000,"&lt;"&amp;GD197)=0,"Y","N")))</f>
        <v>N</v>
      </c>
      <c r="FY197" s="0" t="str">
        <f aca="false">IF($A197="","",IF(AND(FW197="Y",FX197="Y",Y197&amp;""&lt;&gt;""),IF(Y197&lt;=10,"Y","N"),"N"))</f>
        <v>N</v>
      </c>
      <c r="FZ197" s="0" t="str">
        <f aca="false">IF(FY197="Y",Y197,"")</f>
        <v/>
      </c>
      <c r="GA197" s="0" t="str">
        <f aca="false">IF($A197="","",IF(AND(I197="walk-in",CN197="pass",U197="new",FT197="N",FV197="N",AQ197&lt;&gt;"Y"),"Y","N"))</f>
        <v>N</v>
      </c>
      <c r="GB197" s="0" t="str">
        <f aca="false">IF(GA197&lt;&gt;"Y","",IF(COUNTIFS($GA$2:$GA$1000,"Y",$J$2:$J$1000,"&gt;"&amp;J197)+COUNTIFS($GA$2:$GA$1000,"Y",$J$2:$J$1000,J197,$GD$2:$GD$1000,"&lt;"&amp;GD197)+1&lt;=25,COUNTIFS($GA$2:$GA$1000,"Y",$J$2:$J$1000,"&gt;"&amp;J197)+COUNTIFS($GA$2:$GA$1000,"Y",$J$2:$J$1000,J197,$GD$2:$GD$1000,"&lt;"&amp;GD197)+1,""))</f>
        <v/>
      </c>
      <c r="GC197" s="0" t="str">
        <f aca="false">IF(AND(_xlfn.ISFORMULA(C197),_xlfn.ISFORMULA(J197)),"Y","N")</f>
        <v>Y</v>
      </c>
      <c r="GD197" s="0" t="n">
        <f aca="false">ROW()-1</f>
        <v>196</v>
      </c>
    </row>
    <row r="198" customFormat="false" ht="15" hidden="false" customHeight="false" outlineLevel="0" collapsed="false">
      <c r="A198" s="0" t="s">
        <v>4132</v>
      </c>
      <c r="B198" s="0" t="s">
        <v>4133</v>
      </c>
      <c r="C198" s="0" t="str">
        <f aca="false">IF($A198="","",IF(AW198="Y",BM198&amp;"",AY198&amp;""))</f>
        <v/>
      </c>
      <c r="D198" s="0" t="str">
        <f aca="false">IF($A198="","",IF(AW198="Y",BN198&amp;"",AZ198&amp;""))</f>
        <v/>
      </c>
      <c r="E198" s="0" t="str">
        <f aca="false">IF($A198="","",IF(AW198="Y",BO198&amp;"",BA198&amp;""))</f>
        <v/>
      </c>
      <c r="F198" s="0" t="str">
        <f aca="false">IF($A198="","",IF(AW198="Y",BP198&amp;"",BB198&amp;""))</f>
        <v/>
      </c>
      <c r="G198" s="0" t="str">
        <f aca="false">IF($A198="","",IF(AW198="Y",BQ198&amp;"",BC198&amp;""))</f>
        <v/>
      </c>
      <c r="H198" s="0" t="str">
        <f aca="false">IF($A198="","",IF(AW198="Y",BR198&amp;"",BD198&amp;""))</f>
        <v>none</v>
      </c>
      <c r="I198" s="0" t="str">
        <f aca="false">IF($A198="","",IF(R198="Y","warm-intro",IF(H198="verified","email",IF(C198&lt;&gt;"","linkedin",CB198&amp;""))))</f>
        <v>linkedin</v>
      </c>
      <c r="J198" s="0" t="n">
        <f aca="false">IF($A198="","",IF(CN198="pass",ROUND(N(EM198)+N(EN198)+N(EO198)+N(EP198)+N(EQ198)+N(ER198),1),0))</f>
        <v>29</v>
      </c>
      <c r="K198" s="0" t="str">
        <f aca="false">IF($A198="","",IF(CN198&lt;&gt;"pass",CA198&amp;"",CA198&amp;"; "&amp;IF(AW198="Y",BZ198&amp;"",BL198&amp;"")&amp;IF(R198="Y","; known to the founder (+15)","")&amp;"."))</f>
        <v>Tuesday headcount unknown (no sourced count), company size unknown, no attendance signal, occupancy-unconfirmed at a medium-confidence address; contacts not researched yet.</v>
      </c>
      <c r="L198" s="0" t="s">
        <v>209</v>
      </c>
      <c r="R198" s="5" t="s">
        <v>189</v>
      </c>
      <c r="S198" s="0" t="s">
        <v>209</v>
      </c>
      <c r="T198" s="0" t="s">
        <v>189</v>
      </c>
      <c r="U198" s="5" t="s">
        <v>3896</v>
      </c>
      <c r="V198" s="0" t="s">
        <v>4134</v>
      </c>
      <c r="W198" s="0" t="s">
        <v>263</v>
      </c>
      <c r="X198" s="0" t="s">
        <v>3897</v>
      </c>
      <c r="Y198" s="0" t="str">
        <f aca="false">IF(FX198&lt;&gt;"Y","",COUNTIFS($FX$2:$FX$1000,"Y",$J$2:$J$1000,"&gt;"&amp;J198)+COUNTIFS($FX$2:$FX$1000,"Y",$J$2:$J$1000,J198,$GD$2:$GD$1000,"&lt;"&amp;GD198)+1)</f>
        <v/>
      </c>
      <c r="Z198" s="0" t="n">
        <v>197</v>
      </c>
      <c r="AA198" s="0" t="s">
        <v>189</v>
      </c>
      <c r="AB198" s="0" t="str">
        <f aca="false">IF($A198="","",IF(AW198="Y",BY198&amp;"",BK198&amp;""))</f>
        <v/>
      </c>
      <c r="AC198" s="0" t="str">
        <f aca="false">IF($A198="","",IF(AW198="Y",BS198&amp;"",BE198&amp;""))</f>
        <v/>
      </c>
      <c r="AD198" s="0" t="str">
        <f aca="false">IF($A198="","",IF(AW198="Y",BT198&amp;"",BF198&amp;""))</f>
        <v>none</v>
      </c>
      <c r="AE198" s="0" t="str">
        <f aca="false">IF($A198="","",IF(AW198="Y",BU198&amp;"",BG198&amp;""))</f>
        <v/>
      </c>
      <c r="AF198" s="0" t="str">
        <f aca="false">IF($A198="","",IF(AW198="Y",BV198&amp;"",BH198&amp;""))</f>
        <v/>
      </c>
      <c r="AG198" s="0" t="str">
        <f aca="false">IF($A198="","",IF(AW198="Y",BW198&amp;"",BI198&amp;""))</f>
        <v/>
      </c>
      <c r="AH198" s="0" t="str">
        <f aca="false">IF($A198="","",IF(AW198="Y",BX198&amp;"",BJ198&amp;""))</f>
        <v>none</v>
      </c>
      <c r="AI198" s="0" t="s">
        <v>3253</v>
      </c>
      <c r="AJ198" s="0" t="s">
        <v>4135</v>
      </c>
      <c r="AK198" s="0" t="s">
        <v>3898</v>
      </c>
      <c r="AL198" s="0" t="s">
        <v>209</v>
      </c>
      <c r="AM198" s="0" t="s">
        <v>209</v>
      </c>
      <c r="AN198" s="0" t="s">
        <v>380</v>
      </c>
      <c r="AO198" s="0" t="s">
        <v>209</v>
      </c>
      <c r="AP198" s="0" t="s">
        <v>4132</v>
      </c>
      <c r="AQ198" s="5" t="s">
        <v>189</v>
      </c>
      <c r="AT198" s="0" t="str">
        <f aca="false">IF($A198="","",IF(AND(CN198="pass",AQ198&lt;&gt;"Y",C198&lt;&gt;"",OR(AX198&lt;&gt;"Y",AV198="Y")),"Y","N"))</f>
        <v>N</v>
      </c>
      <c r="AU198" s="0" t="str">
        <f aca="false">IF($A198="","",_xlfn.TEXTJOIN("; ",TRUE(),IF(CN198&lt;&gt;"pass","gated out",""),IF(AQ198="Y","on hold: "&amp;AR198,""),IF(C198="","no contact named on an opened page",""),IF(AND(AX198="Y",AV198&lt;&gt;"Y"),"Tuesday estimate band "&amp;L198&amp;": founder's call","")))</f>
        <v>no contact named on an opened page</v>
      </c>
      <c r="AX198" s="0" t="s">
        <v>189</v>
      </c>
      <c r="BC198" s="0" t="str">
        <f aca="false">IF($A198="","",IFERROR(INDEX(Enrichment!$A$2:$GZ$2000,MATCH($A198,INDEX(Enrichment!$A$2:$GZ$2000,0,MATCH("row_id",Enrichment!$A$1:$GZ$1,0)),0),MATCH("work_email",Enrichment!$A$1:$GZ$1,0))&amp;"",""))</f>
        <v/>
      </c>
      <c r="BD198" s="0" t="str">
        <f aca="false">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none</v>
      </c>
      <c r="BF198" s="0" t="s">
        <v>380</v>
      </c>
      <c r="BJ198" s="0" t="s">
        <v>380</v>
      </c>
      <c r="BL198" s="0" t="s">
        <v>896</v>
      </c>
      <c r="BQ198" s="0" t="str">
        <f aca="false">IF($A198="","",IFERROR(INDEX(Enrichment!$A$2:$GZ$2000,MATCH($A198,INDEX(Enrichment!$A$2:$GZ$2000,0,MATCH("row_id",Enrichment!$A$1:$GZ$1,0)),0),MATCH("backup_work_email",Enrichment!$A$1:$GZ$1,0))&amp;"",""))</f>
        <v/>
      </c>
      <c r="BR198" s="0" t="str">
        <f aca="false">IF($A198="","",IF(BQ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none</v>
      </c>
      <c r="BT198" s="0" t="s">
        <v>380</v>
      </c>
      <c r="BX198" s="0" t="s">
        <v>380</v>
      </c>
      <c r="BY198" s="0" t="s">
        <v>387</v>
      </c>
      <c r="BZ198" s="0" t="s">
        <v>388</v>
      </c>
      <c r="CA198" s="0" t="s">
        <v>4036</v>
      </c>
      <c r="CB198" s="0" t="s">
        <v>196</v>
      </c>
      <c r="CM198" s="0" t="s">
        <v>189</v>
      </c>
      <c r="CN198" s="0" t="s">
        <v>200</v>
      </c>
      <c r="CO198" s="0" t="s">
        <v>201</v>
      </c>
      <c r="CP198" s="0" t="s">
        <v>1</v>
      </c>
      <c r="CQ198" s="0" t="s">
        <v>4136</v>
      </c>
      <c r="CR198" s="0" t="s">
        <v>209</v>
      </c>
      <c r="CS198" s="0" t="s">
        <v>4137</v>
      </c>
      <c r="CT198" s="0" t="s">
        <v>209</v>
      </c>
      <c r="CV198" s="0" t="s">
        <v>209</v>
      </c>
      <c r="CW198" s="0" t="s">
        <v>209</v>
      </c>
      <c r="CX198" s="0" t="s">
        <v>2712</v>
      </c>
      <c r="DA198" s="0" t="s">
        <v>209</v>
      </c>
      <c r="DB198" s="0" t="s">
        <v>209</v>
      </c>
      <c r="DC198" s="0" t="s">
        <v>209</v>
      </c>
      <c r="DD198" s="0" t="s">
        <v>209</v>
      </c>
      <c r="DE198" s="0" t="s">
        <v>209</v>
      </c>
      <c r="DF198" s="0" t="s">
        <v>311</v>
      </c>
      <c r="DG198" s="0" t="n">
        <v>40.7425</v>
      </c>
      <c r="DH198" s="0" t="n">
        <v>-73.984446</v>
      </c>
      <c r="DI198" s="0" t="s">
        <v>164</v>
      </c>
      <c r="DJ198" s="0" t="n">
        <v>0</v>
      </c>
      <c r="DK198" s="0" t="s">
        <v>3258</v>
      </c>
      <c r="DL198" s="0" t="s">
        <v>3259</v>
      </c>
      <c r="DM198" s="0" t="s">
        <v>4134</v>
      </c>
      <c r="DN198" s="0" t="s">
        <v>4138</v>
      </c>
      <c r="DO198" s="0" t="s">
        <v>363</v>
      </c>
      <c r="DS198" s="0" t="s">
        <v>809</v>
      </c>
      <c r="DU198" s="0" t="s">
        <v>189</v>
      </c>
      <c r="DX198" s="0" t="s">
        <v>209</v>
      </c>
      <c r="EA198" s="0" t="s">
        <v>209</v>
      </c>
      <c r="EB198" s="0" t="s">
        <v>189</v>
      </c>
      <c r="EC198" s="0" t="s">
        <v>209</v>
      </c>
      <c r="EF198" s="0" t="s">
        <v>209</v>
      </c>
      <c r="EH198" s="0" t="s">
        <v>189</v>
      </c>
      <c r="EI198" s="0" t="s">
        <v>2716</v>
      </c>
      <c r="EJ198" s="0" t="s">
        <v>221</v>
      </c>
      <c r="EK198" s="0" t="s">
        <v>209</v>
      </c>
      <c r="EL198" s="0" t="n">
        <v>29</v>
      </c>
      <c r="EM198" s="0" t="n">
        <v>7</v>
      </c>
      <c r="EN198" s="0" t="n">
        <v>8</v>
      </c>
      <c r="EO198" s="0" t="n">
        <v>6</v>
      </c>
      <c r="EP198" s="0" t="n">
        <v>8</v>
      </c>
      <c r="EQ198" s="0" t="n">
        <f aca="false">IF($A198="","",IF(AH198="exact",10,IF(AH198="adjacent",5,0)))</f>
        <v>0</v>
      </c>
      <c r="ER198" s="0" t="n">
        <f aca="false">IF($A198="","",IF(R198="Y",15,0))</f>
        <v>0</v>
      </c>
      <c r="ES198" s="0" t="s">
        <v>222</v>
      </c>
      <c r="EV198" s="0" t="s">
        <v>4139</v>
      </c>
      <c r="EW198" s="0" t="s">
        <v>224</v>
      </c>
      <c r="EX198" s="0" t="s">
        <v>4140</v>
      </c>
      <c r="FS198" s="0" t="str">
        <f aca="false">IF($A198="","",IF(ISNUMBER(MATCH(U198,{"queued","contacted","replied","call_booked","call_done","yes_in_principle","materials_sent"},0)),"Y","N"))</f>
        <v>N</v>
      </c>
      <c r="FT198" s="0" t="str">
        <f aca="false">IF($A198="","",IF(OR(T198="Y",U198="do_not_contact",AS198&amp;""&lt;&gt;""),"Y","N"))</f>
        <v>N</v>
      </c>
      <c r="FU198" s="0" t="str">
        <f aca="false">IF($A198="","",IF(AP198&amp;""&lt;&gt;"",AP198&amp;"",$A198))</f>
        <v>AO-C-149</v>
      </c>
      <c r="FV198" s="0" t="str">
        <f aca="false">IF($A198="","",IF(COUNTIFS($FU$2:$FU$1000,FU198,$FS$2:$FS$1000,"Y")+COUNTIFS($FU$2:$FU$1000,FU198,$FT$2:$FT$1000,"Y")&gt;0,"Y","N"))</f>
        <v>N</v>
      </c>
      <c r="FW198" s="0" t="str">
        <f aca="false">IF($A198="","",IF(AND(U198="new",T198="N",FT198="N",AT198="Y",FV198="N"),"Y","N"))</f>
        <v>N</v>
      </c>
      <c r="FX198" s="0" t="str">
        <f aca="false">IF($A198="","",IF(FW198&lt;&gt;"Y","N",IF(COUNTIFS($FU$2:$FU$1000,FU198,$FW$2:$FW$1000,"Y",$J$2:$J$1000,"&gt;"&amp;J198)+COUNTIFS($FU$2:$FU$1000,FU198,$FW$2:$FW$1000,"Y",$J$2:$J$1000,J198,$GD$2:$GD$1000,"&lt;"&amp;GD198)=0,"Y","N")))</f>
        <v>N</v>
      </c>
      <c r="FY198" s="0" t="str">
        <f aca="false">IF($A198="","",IF(AND(FW198="Y",FX198="Y",Y198&amp;""&lt;&gt;""),IF(Y198&lt;=10,"Y","N"),"N"))</f>
        <v>N</v>
      </c>
      <c r="FZ198" s="0" t="str">
        <f aca="false">IF(FY198="Y",Y198,"")</f>
        <v/>
      </c>
      <c r="GA198" s="0" t="str">
        <f aca="false">IF($A198="","",IF(AND(I198="walk-in",CN198="pass",U198="new",FT198="N",FV198="N",AQ198&lt;&gt;"Y"),"Y","N"))</f>
        <v>N</v>
      </c>
      <c r="GB198" s="0" t="str">
        <f aca="false">IF(GA198&lt;&gt;"Y","",IF(COUNTIFS($GA$2:$GA$1000,"Y",$J$2:$J$1000,"&gt;"&amp;J198)+COUNTIFS($GA$2:$GA$1000,"Y",$J$2:$J$1000,J198,$GD$2:$GD$1000,"&lt;"&amp;GD198)+1&lt;=25,COUNTIFS($GA$2:$GA$1000,"Y",$J$2:$J$1000,"&gt;"&amp;J198)+COUNTIFS($GA$2:$GA$1000,"Y",$J$2:$J$1000,J198,$GD$2:$GD$1000,"&lt;"&amp;GD198)+1,""))</f>
        <v/>
      </c>
      <c r="GC198" s="0" t="str">
        <f aca="false">IF(AND(_xlfn.ISFORMULA(C198),_xlfn.ISFORMULA(J198)),"Y","N")</f>
        <v>Y</v>
      </c>
      <c r="GD198" s="0" t="n">
        <f aca="false">ROW()-1</f>
        <v>197</v>
      </c>
    </row>
    <row r="199" customFormat="false" ht="15" hidden="false" customHeight="false" outlineLevel="0" collapsed="false">
      <c r="A199" s="0" t="s">
        <v>4141</v>
      </c>
      <c r="B199" s="0" t="s">
        <v>4142</v>
      </c>
      <c r="C199" s="0" t="str">
        <f aca="false">IF($A199="","",IF(AW199="Y",BM199&amp;"",AY199&amp;""))</f>
        <v/>
      </c>
      <c r="D199" s="0" t="str">
        <f aca="false">IF($A199="","",IF(AW199="Y",BN199&amp;"",AZ199&amp;""))</f>
        <v/>
      </c>
      <c r="E199" s="0" t="str">
        <f aca="false">IF($A199="","",IF(AW199="Y",BO199&amp;"",BA199&amp;""))</f>
        <v/>
      </c>
      <c r="F199" s="0" t="str">
        <f aca="false">IF($A199="","",IF(AW199="Y",BP199&amp;"",BB199&amp;""))</f>
        <v/>
      </c>
      <c r="G199" s="0" t="str">
        <f aca="false">IF($A199="","",IF(AW199="Y",BQ199&amp;"",BC199&amp;""))</f>
        <v/>
      </c>
      <c r="H199" s="0" t="str">
        <f aca="false">IF($A199="","",IF(AW199="Y",BR199&amp;"",BD199&amp;""))</f>
        <v>none</v>
      </c>
      <c r="I199" s="0" t="str">
        <f aca="false">IF($A199="","",IF(R199="Y","warm-intro",IF(H199="verified","email",IF(C199&lt;&gt;"","linkedin",CB199&amp;""))))</f>
        <v>linkedin</v>
      </c>
      <c r="J199" s="0" t="n">
        <f aca="false">IF($A199="","",IF(CN199="pass",ROUND(N(EM199)+N(EN199)+N(EO199)+N(EP199)+N(EQ199)+N(ER199),1),0))</f>
        <v>29</v>
      </c>
      <c r="K199" s="0" t="str">
        <f aca="false">IF($A199="","",IF(CN199&lt;&gt;"pass",CA199&amp;"",CA199&amp;"; "&amp;IF(AW199="Y",BZ199&amp;"",BL199&amp;"")&amp;IF(R199="Y","; known to the founder (+15)","")&amp;"."))</f>
        <v>Tuesday headcount unknown (no sourced count), company size unknown, no attendance signal, occupancy-unconfirmed at a medium-confidence address; contacts not researched yet.</v>
      </c>
      <c r="L199" s="0" t="s">
        <v>209</v>
      </c>
      <c r="R199" s="5" t="s">
        <v>189</v>
      </c>
      <c r="S199" s="0" t="s">
        <v>209</v>
      </c>
      <c r="T199" s="0" t="s">
        <v>189</v>
      </c>
      <c r="U199" s="5" t="s">
        <v>3896</v>
      </c>
      <c r="V199" s="0" t="s">
        <v>4143</v>
      </c>
      <c r="W199" s="0" t="s">
        <v>263</v>
      </c>
      <c r="X199" s="0" t="s">
        <v>3897</v>
      </c>
      <c r="Y199" s="0" t="str">
        <f aca="false">IF(FX199&lt;&gt;"Y","",COUNTIFS($FX$2:$FX$1000,"Y",$J$2:$J$1000,"&gt;"&amp;J199)+COUNTIFS($FX$2:$FX$1000,"Y",$J$2:$J$1000,J199,$GD$2:$GD$1000,"&lt;"&amp;GD199)+1)</f>
        <v/>
      </c>
      <c r="Z199" s="0" t="n">
        <v>198</v>
      </c>
      <c r="AA199" s="0" t="s">
        <v>189</v>
      </c>
      <c r="AB199" s="0" t="str">
        <f aca="false">IF($A199="","",IF(AW199="Y",BY199&amp;"",BK199&amp;""))</f>
        <v/>
      </c>
      <c r="AC199" s="0" t="str">
        <f aca="false">IF($A199="","",IF(AW199="Y",BS199&amp;"",BE199&amp;""))</f>
        <v/>
      </c>
      <c r="AD199" s="0" t="str">
        <f aca="false">IF($A199="","",IF(AW199="Y",BT199&amp;"",BF199&amp;""))</f>
        <v>none</v>
      </c>
      <c r="AE199" s="0" t="str">
        <f aca="false">IF($A199="","",IF(AW199="Y",BU199&amp;"",BG199&amp;""))</f>
        <v/>
      </c>
      <c r="AF199" s="0" t="str">
        <f aca="false">IF($A199="","",IF(AW199="Y",BV199&amp;"",BH199&amp;""))</f>
        <v/>
      </c>
      <c r="AG199" s="0" t="str">
        <f aca="false">IF($A199="","",IF(AW199="Y",BW199&amp;"",BI199&amp;""))</f>
        <v/>
      </c>
      <c r="AH199" s="0" t="str">
        <f aca="false">IF($A199="","",IF(AW199="Y",BX199&amp;"",BJ199&amp;""))</f>
        <v>none</v>
      </c>
      <c r="AI199" s="0" t="s">
        <v>2058</v>
      </c>
      <c r="AJ199" s="0" t="s">
        <v>4144</v>
      </c>
      <c r="AK199" s="0" t="s">
        <v>3898</v>
      </c>
      <c r="AL199" s="0" t="s">
        <v>209</v>
      </c>
      <c r="AM199" s="0" t="s">
        <v>209</v>
      </c>
      <c r="AN199" s="0" t="s">
        <v>380</v>
      </c>
      <c r="AO199" s="0" t="s">
        <v>209</v>
      </c>
      <c r="AP199" s="0" t="s">
        <v>4141</v>
      </c>
      <c r="AQ199" s="5" t="s">
        <v>189</v>
      </c>
      <c r="AT199" s="0" t="str">
        <f aca="false">IF($A199="","",IF(AND(CN199="pass",AQ199&lt;&gt;"Y",C199&lt;&gt;"",OR(AX199&lt;&gt;"Y",AV199="Y")),"Y","N"))</f>
        <v>N</v>
      </c>
      <c r="AU199" s="0" t="str">
        <f aca="false">IF($A199="","",_xlfn.TEXTJOIN("; ",TRUE(),IF(CN199&lt;&gt;"pass","gated out",""),IF(AQ199="Y","on hold: "&amp;AR199,""),IF(C199="","no contact named on an opened page",""),IF(AND(AX199="Y",AV199&lt;&gt;"Y"),"Tuesday estimate band "&amp;L199&amp;": founder's call","")))</f>
        <v>no contact named on an opened page</v>
      </c>
      <c r="AX199" s="0" t="s">
        <v>189</v>
      </c>
      <c r="BC199" s="0" t="str">
        <f aca="false">IF($A199="","",IFERROR(INDEX(Enrichment!$A$2:$GZ$2000,MATCH($A199,INDEX(Enrichment!$A$2:$GZ$2000,0,MATCH("row_id",Enrichment!$A$1:$GZ$1,0)),0),MATCH("work_email",Enrichment!$A$1:$GZ$1,0))&amp;"",""))</f>
        <v/>
      </c>
      <c r="BD199" s="0" t="str">
        <f aca="false">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none</v>
      </c>
      <c r="BF199" s="0" t="s">
        <v>380</v>
      </c>
      <c r="BJ199" s="0" t="s">
        <v>380</v>
      </c>
      <c r="BL199" s="0" t="s">
        <v>896</v>
      </c>
      <c r="BQ199" s="0" t="str">
        <f aca="false">IF($A199="","",IFERROR(INDEX(Enrichment!$A$2:$GZ$2000,MATCH($A199,INDEX(Enrichment!$A$2:$GZ$2000,0,MATCH("row_id",Enrichment!$A$1:$GZ$1,0)),0),MATCH("backup_work_email",Enrichment!$A$1:$GZ$1,0))&amp;"",""))</f>
        <v/>
      </c>
      <c r="BR199" s="0" t="str">
        <f aca="false">IF($A199="","",IF(BQ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none</v>
      </c>
      <c r="BT199" s="0" t="s">
        <v>380</v>
      </c>
      <c r="BX199" s="0" t="s">
        <v>380</v>
      </c>
      <c r="BY199" s="0" t="s">
        <v>387</v>
      </c>
      <c r="BZ199" s="0" t="s">
        <v>388</v>
      </c>
      <c r="CA199" s="0" t="s">
        <v>4036</v>
      </c>
      <c r="CB199" s="0" t="s">
        <v>196</v>
      </c>
      <c r="CM199" s="0" t="s">
        <v>189</v>
      </c>
      <c r="CN199" s="0" t="s">
        <v>200</v>
      </c>
      <c r="CO199" s="0" t="s">
        <v>201</v>
      </c>
      <c r="CP199" s="0" t="s">
        <v>1</v>
      </c>
      <c r="CQ199" s="0" t="s">
        <v>4145</v>
      </c>
      <c r="CR199" s="0" t="s">
        <v>209</v>
      </c>
      <c r="CS199" s="0" t="s">
        <v>4146</v>
      </c>
      <c r="CT199" s="0" t="s">
        <v>209</v>
      </c>
      <c r="CV199" s="0" t="s">
        <v>209</v>
      </c>
      <c r="CW199" s="0" t="s">
        <v>209</v>
      </c>
      <c r="CX199" s="0" t="s">
        <v>2712</v>
      </c>
      <c r="DA199" s="0" t="s">
        <v>209</v>
      </c>
      <c r="DB199" s="0" t="s">
        <v>209</v>
      </c>
      <c r="DC199" s="0" t="s">
        <v>209</v>
      </c>
      <c r="DD199" s="0" t="s">
        <v>209</v>
      </c>
      <c r="DE199" s="0" t="s">
        <v>209</v>
      </c>
      <c r="DF199" s="0" t="s">
        <v>525</v>
      </c>
      <c r="DG199" s="0" t="n">
        <v>40.742477</v>
      </c>
      <c r="DH199" s="0" t="n">
        <v>-73.986608</v>
      </c>
      <c r="DI199" s="0" t="s">
        <v>164</v>
      </c>
      <c r="DJ199" s="0" t="n">
        <v>0</v>
      </c>
      <c r="DK199" s="0" t="s">
        <v>1882</v>
      </c>
      <c r="DL199" s="0" t="s">
        <v>1883</v>
      </c>
      <c r="DM199" s="0" t="s">
        <v>4143</v>
      </c>
      <c r="DN199" s="0" t="s">
        <v>973</v>
      </c>
      <c r="DO199" s="0" t="s">
        <v>363</v>
      </c>
      <c r="DS199" s="0" t="s">
        <v>809</v>
      </c>
      <c r="DU199" s="0" t="s">
        <v>189</v>
      </c>
      <c r="DX199" s="0" t="s">
        <v>267</v>
      </c>
      <c r="DY199" s="0" t="s">
        <v>1888</v>
      </c>
      <c r="EA199" s="0" t="s">
        <v>209</v>
      </c>
      <c r="EB199" s="0" t="s">
        <v>189</v>
      </c>
      <c r="EC199" s="0" t="s">
        <v>209</v>
      </c>
      <c r="EF199" s="0" t="s">
        <v>209</v>
      </c>
      <c r="EH199" s="0" t="s">
        <v>189</v>
      </c>
      <c r="EI199" s="0" t="s">
        <v>2716</v>
      </c>
      <c r="EJ199" s="0" t="s">
        <v>221</v>
      </c>
      <c r="EK199" s="0" t="s">
        <v>209</v>
      </c>
      <c r="EL199" s="0" t="n">
        <v>29</v>
      </c>
      <c r="EM199" s="0" t="n">
        <v>7</v>
      </c>
      <c r="EN199" s="0" t="n">
        <v>8</v>
      </c>
      <c r="EO199" s="0" t="n">
        <v>6</v>
      </c>
      <c r="EP199" s="0" t="n">
        <v>8</v>
      </c>
      <c r="EQ199" s="0" t="n">
        <f aca="false">IF($A199="","",IF(AH199="exact",10,IF(AH199="adjacent",5,0)))</f>
        <v>0</v>
      </c>
      <c r="ER199" s="0" t="n">
        <f aca="false">IF($A199="","",IF(R199="Y",15,0))</f>
        <v>0</v>
      </c>
      <c r="ES199" s="0" t="s">
        <v>222</v>
      </c>
      <c r="EV199" s="0" t="s">
        <v>4147</v>
      </c>
      <c r="EW199" s="0" t="s">
        <v>224</v>
      </c>
      <c r="EX199" s="0" t="s">
        <v>4148</v>
      </c>
      <c r="FS199" s="0" t="str">
        <f aca="false">IF($A199="","",IF(ISNUMBER(MATCH(U199,{"queued","contacted","replied","call_booked","call_done","yes_in_principle","materials_sent"},0)),"Y","N"))</f>
        <v>N</v>
      </c>
      <c r="FT199" s="0" t="str">
        <f aca="false">IF($A199="","",IF(OR(T199="Y",U199="do_not_contact",AS199&amp;""&lt;&gt;""),"Y","N"))</f>
        <v>N</v>
      </c>
      <c r="FU199" s="0" t="str">
        <f aca="false">IF($A199="","",IF(AP199&amp;""&lt;&gt;"",AP199&amp;"",$A199))</f>
        <v>AO-C-117</v>
      </c>
      <c r="FV199" s="0" t="str">
        <f aca="false">IF($A199="","",IF(COUNTIFS($FU$2:$FU$1000,FU199,$FS$2:$FS$1000,"Y")+COUNTIFS($FU$2:$FU$1000,FU199,$FT$2:$FT$1000,"Y")&gt;0,"Y","N"))</f>
        <v>N</v>
      </c>
      <c r="FW199" s="0" t="str">
        <f aca="false">IF($A199="","",IF(AND(U199="new",T199="N",FT199="N",AT199="Y",FV199="N"),"Y","N"))</f>
        <v>N</v>
      </c>
      <c r="FX199" s="0" t="str">
        <f aca="false">IF($A199="","",IF(FW199&lt;&gt;"Y","N",IF(COUNTIFS($FU$2:$FU$1000,FU199,$FW$2:$FW$1000,"Y",$J$2:$J$1000,"&gt;"&amp;J199)+COUNTIFS($FU$2:$FU$1000,FU199,$FW$2:$FW$1000,"Y",$J$2:$J$1000,J199,$GD$2:$GD$1000,"&lt;"&amp;GD199)=0,"Y","N")))</f>
        <v>N</v>
      </c>
      <c r="FY199" s="0" t="str">
        <f aca="false">IF($A199="","",IF(AND(FW199="Y",FX199="Y",Y199&amp;""&lt;&gt;""),IF(Y199&lt;=10,"Y","N"),"N"))</f>
        <v>N</v>
      </c>
      <c r="FZ199" s="0" t="str">
        <f aca="false">IF(FY199="Y",Y199,"")</f>
        <v/>
      </c>
      <c r="GA199" s="0" t="str">
        <f aca="false">IF($A199="","",IF(AND(I199="walk-in",CN199="pass",U199="new",FT199="N",FV199="N",AQ199&lt;&gt;"Y"),"Y","N"))</f>
        <v>N</v>
      </c>
      <c r="GB199" s="0" t="str">
        <f aca="false">IF(GA199&lt;&gt;"Y","",IF(COUNTIFS($GA$2:$GA$1000,"Y",$J$2:$J$1000,"&gt;"&amp;J199)+COUNTIFS($GA$2:$GA$1000,"Y",$J$2:$J$1000,J199,$GD$2:$GD$1000,"&lt;"&amp;GD199)+1&lt;=25,COUNTIFS($GA$2:$GA$1000,"Y",$J$2:$J$1000,"&gt;"&amp;J199)+COUNTIFS($GA$2:$GA$1000,"Y",$J$2:$J$1000,J199,$GD$2:$GD$1000,"&lt;"&amp;GD199)+1,""))</f>
        <v/>
      </c>
      <c r="GC199" s="0" t="str">
        <f aca="false">IF(AND(_xlfn.ISFORMULA(C199),_xlfn.ISFORMULA(J199)),"Y","N")</f>
        <v>Y</v>
      </c>
      <c r="GD199" s="0" t="n">
        <f aca="false">ROW()-1</f>
        <v>198</v>
      </c>
    </row>
    <row r="200" customFormat="false" ht="15" hidden="false" customHeight="false" outlineLevel="0" collapsed="false">
      <c r="A200" s="0" t="s">
        <v>4149</v>
      </c>
      <c r="B200" s="0" t="s">
        <v>4150</v>
      </c>
      <c r="C200" s="0" t="str">
        <f aca="false">IF($A200="","",IF(AW200="Y",BM200&amp;"",AY200&amp;""))</f>
        <v/>
      </c>
      <c r="D200" s="0" t="str">
        <f aca="false">IF($A200="","",IF(AW200="Y",BN200&amp;"",AZ200&amp;""))</f>
        <v/>
      </c>
      <c r="E200" s="0" t="str">
        <f aca="false">IF($A200="","",IF(AW200="Y",BO200&amp;"",BA200&amp;""))</f>
        <v/>
      </c>
      <c r="F200" s="0" t="str">
        <f aca="false">IF($A200="","",IF(AW200="Y",BP200&amp;"",BB200&amp;""))</f>
        <v/>
      </c>
      <c r="G200" s="0" t="str">
        <f aca="false">IF($A200="","",IF(AW200="Y",BQ200&amp;"",BC200&amp;""))</f>
        <v/>
      </c>
      <c r="H200" s="0" t="str">
        <f aca="false">IF($A200="","",IF(AW200="Y",BR200&amp;"",BD200&amp;""))</f>
        <v>none</v>
      </c>
      <c r="I200" s="0" t="str">
        <f aca="false">IF($A200="","",IF(R200="Y","warm-intro",IF(H200="verified","email",IF(C200&lt;&gt;"","linkedin",CB200&amp;""))))</f>
        <v>linkedin</v>
      </c>
      <c r="J200" s="0" t="n">
        <f aca="false">IF($A200="","",IF(CN200="pass",ROUND(N(EM200)+N(EN200)+N(EO200)+N(EP200)+N(EQ200)+N(ER200),1),0))</f>
        <v>29</v>
      </c>
      <c r="K200" s="0" t="str">
        <f aca="false">IF($A200="","",IF(CN200&lt;&gt;"pass",CA200&amp;"",CA200&amp;"; "&amp;IF(AW200="Y",BZ200&amp;"",BL200&amp;"")&amp;IF(R200="Y","; known to the founder (+15)","")&amp;"."))</f>
        <v>Tuesday headcount unknown (no sourced count), company size unknown, no attendance signal, occupancy-unconfirmed at a medium-confidence address; contacts not researched yet.</v>
      </c>
      <c r="L200" s="0" t="s">
        <v>209</v>
      </c>
      <c r="R200" s="5" t="s">
        <v>189</v>
      </c>
      <c r="S200" s="0" t="s">
        <v>209</v>
      </c>
      <c r="T200" s="0" t="s">
        <v>189</v>
      </c>
      <c r="U200" s="5" t="s">
        <v>3896</v>
      </c>
      <c r="V200" s="0" t="s">
        <v>3818</v>
      </c>
      <c r="W200" s="0" t="s">
        <v>263</v>
      </c>
      <c r="X200" s="0" t="s">
        <v>3897</v>
      </c>
      <c r="Y200" s="0" t="str">
        <f aca="false">IF(FX200&lt;&gt;"Y","",COUNTIFS($FX$2:$FX$1000,"Y",$J$2:$J$1000,"&gt;"&amp;J200)+COUNTIFS($FX$2:$FX$1000,"Y",$J$2:$J$1000,J200,$GD$2:$GD$1000,"&lt;"&amp;GD200)+1)</f>
        <v/>
      </c>
      <c r="Z200" s="0" t="n">
        <v>199</v>
      </c>
      <c r="AA200" s="0" t="s">
        <v>189</v>
      </c>
      <c r="AB200" s="0" t="str">
        <f aca="false">IF($A200="","",IF(AW200="Y",BY200&amp;"",BK200&amp;""))</f>
        <v/>
      </c>
      <c r="AC200" s="0" t="str">
        <f aca="false">IF($A200="","",IF(AW200="Y",BS200&amp;"",BE200&amp;""))</f>
        <v/>
      </c>
      <c r="AD200" s="0" t="str">
        <f aca="false">IF($A200="","",IF(AW200="Y",BT200&amp;"",BF200&amp;""))</f>
        <v>none</v>
      </c>
      <c r="AE200" s="0" t="str">
        <f aca="false">IF($A200="","",IF(AW200="Y",BU200&amp;"",BG200&amp;""))</f>
        <v/>
      </c>
      <c r="AF200" s="0" t="str">
        <f aca="false">IF($A200="","",IF(AW200="Y",BV200&amp;"",BH200&amp;""))</f>
        <v/>
      </c>
      <c r="AG200" s="0" t="str">
        <f aca="false">IF($A200="","",IF(AW200="Y",BW200&amp;"",BI200&amp;""))</f>
        <v/>
      </c>
      <c r="AH200" s="0" t="str">
        <f aca="false">IF($A200="","",IF(AW200="Y",BX200&amp;"",BJ200&amp;""))</f>
        <v>none</v>
      </c>
      <c r="AI200" s="0" t="s">
        <v>3813</v>
      </c>
      <c r="AJ200" s="0" t="s">
        <v>209</v>
      </c>
      <c r="AK200" s="0" t="s">
        <v>3898</v>
      </c>
      <c r="AL200" s="0" t="s">
        <v>209</v>
      </c>
      <c r="AM200" s="0" t="s">
        <v>209</v>
      </c>
      <c r="AN200" s="0" t="s">
        <v>380</v>
      </c>
      <c r="AO200" s="0" t="s">
        <v>209</v>
      </c>
      <c r="AP200" s="0" t="s">
        <v>4149</v>
      </c>
      <c r="AQ200" s="5" t="s">
        <v>189</v>
      </c>
      <c r="AT200" s="0" t="str">
        <f aca="false">IF($A200="","",IF(AND(CN200="pass",AQ200&lt;&gt;"Y",C200&lt;&gt;"",OR(AX200&lt;&gt;"Y",AV200="Y")),"Y","N"))</f>
        <v>N</v>
      </c>
      <c r="AU200" s="0" t="str">
        <f aca="false">IF($A200="","",_xlfn.TEXTJOIN("; ",TRUE(),IF(CN200&lt;&gt;"pass","gated out",""),IF(AQ200="Y","on hold: "&amp;AR200,""),IF(C200="","no contact named on an opened page",""),IF(AND(AX200="Y",AV200&lt;&gt;"Y"),"Tuesday estimate band "&amp;L200&amp;": founder's call","")))</f>
        <v>no contact named on an opened page</v>
      </c>
      <c r="AX200" s="0" t="s">
        <v>189</v>
      </c>
      <c r="BC200" s="0" t="str">
        <f aca="false">IF($A200="","",IFERROR(INDEX(Enrichment!$A$2:$GZ$2000,MATCH($A200,INDEX(Enrichment!$A$2:$GZ$2000,0,MATCH("row_id",Enrichment!$A$1:$GZ$1,0)),0),MATCH("work_email",Enrichment!$A$1:$GZ$1,0))&amp;"",""))</f>
        <v/>
      </c>
      <c r="BD200" s="0" t="str">
        <f aca="false">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none</v>
      </c>
      <c r="BF200" s="0" t="s">
        <v>380</v>
      </c>
      <c r="BJ200" s="0" t="s">
        <v>380</v>
      </c>
      <c r="BL200" s="0" t="s">
        <v>896</v>
      </c>
      <c r="BQ200" s="0" t="str">
        <f aca="false">IF($A200="","",IFERROR(INDEX(Enrichment!$A$2:$GZ$2000,MATCH($A200,INDEX(Enrichment!$A$2:$GZ$2000,0,MATCH("row_id",Enrichment!$A$1:$GZ$1,0)),0),MATCH("backup_work_email",Enrichment!$A$1:$GZ$1,0))&amp;"",""))</f>
        <v/>
      </c>
      <c r="BR200" s="0" t="str">
        <f aca="false">IF($A200="","",IF(BQ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none</v>
      </c>
      <c r="BT200" s="0" t="s">
        <v>380</v>
      </c>
      <c r="BX200" s="0" t="s">
        <v>380</v>
      </c>
      <c r="BY200" s="0" t="s">
        <v>387</v>
      </c>
      <c r="BZ200" s="0" t="s">
        <v>388</v>
      </c>
      <c r="CA200" s="0" t="s">
        <v>4036</v>
      </c>
      <c r="CB200" s="0" t="s">
        <v>196</v>
      </c>
      <c r="CM200" s="0" t="s">
        <v>189</v>
      </c>
      <c r="CN200" s="0" t="s">
        <v>200</v>
      </c>
      <c r="CO200" s="0" t="s">
        <v>201</v>
      </c>
      <c r="CP200" s="0" t="s">
        <v>1</v>
      </c>
      <c r="CQ200" s="0" t="s">
        <v>4151</v>
      </c>
      <c r="CR200" s="0" t="s">
        <v>4152</v>
      </c>
      <c r="CS200" s="0" t="s">
        <v>4153</v>
      </c>
      <c r="CT200" s="0" t="s">
        <v>209</v>
      </c>
      <c r="CV200" s="0" t="s">
        <v>209</v>
      </c>
      <c r="CW200" s="0" t="s">
        <v>209</v>
      </c>
      <c r="CX200" s="0" t="s">
        <v>2712</v>
      </c>
      <c r="DA200" s="0" t="s">
        <v>209</v>
      </c>
      <c r="DB200" s="0" t="s">
        <v>209</v>
      </c>
      <c r="DC200" s="0" t="s">
        <v>209</v>
      </c>
      <c r="DD200" s="0" t="s">
        <v>209</v>
      </c>
      <c r="DE200" s="0" t="s">
        <v>4154</v>
      </c>
      <c r="DF200" s="0" t="s">
        <v>525</v>
      </c>
      <c r="DG200" s="0" t="n">
        <v>40.740438</v>
      </c>
      <c r="DH200" s="0" t="n">
        <v>-73.990034</v>
      </c>
      <c r="DI200" s="0" t="s">
        <v>164</v>
      </c>
      <c r="DJ200" s="0" t="n">
        <v>0</v>
      </c>
      <c r="DK200" s="0" t="s">
        <v>3816</v>
      </c>
      <c r="DL200" s="0" t="s">
        <v>3817</v>
      </c>
      <c r="DM200" s="0" t="s">
        <v>3818</v>
      </c>
      <c r="DN200" s="0" t="s">
        <v>3819</v>
      </c>
      <c r="DO200" s="0" t="s">
        <v>363</v>
      </c>
      <c r="DS200" s="0" t="s">
        <v>809</v>
      </c>
      <c r="DU200" s="0" t="s">
        <v>189</v>
      </c>
      <c r="DX200" s="0" t="s">
        <v>209</v>
      </c>
      <c r="EA200" s="0" t="s">
        <v>209</v>
      </c>
      <c r="EB200" s="0" t="s">
        <v>189</v>
      </c>
      <c r="EC200" s="0" t="s">
        <v>209</v>
      </c>
      <c r="EF200" s="0" t="s">
        <v>209</v>
      </c>
      <c r="EH200" s="0" t="s">
        <v>189</v>
      </c>
      <c r="EI200" s="0" t="s">
        <v>2716</v>
      </c>
      <c r="EJ200" s="0" t="s">
        <v>221</v>
      </c>
      <c r="EK200" s="0" t="s">
        <v>209</v>
      </c>
      <c r="EL200" s="0" t="n">
        <v>29</v>
      </c>
      <c r="EM200" s="0" t="n">
        <v>7</v>
      </c>
      <c r="EN200" s="0" t="n">
        <v>8</v>
      </c>
      <c r="EO200" s="0" t="n">
        <v>6</v>
      </c>
      <c r="EP200" s="0" t="n">
        <v>8</v>
      </c>
      <c r="EQ200" s="0" t="n">
        <f aca="false">IF($A200="","",IF(AH200="exact",10,IF(AH200="adjacent",5,0)))</f>
        <v>0</v>
      </c>
      <c r="ER200" s="0" t="n">
        <f aca="false">IF($A200="","",IF(R200="Y",15,0))</f>
        <v>0</v>
      </c>
      <c r="ES200" s="0" t="s">
        <v>222</v>
      </c>
      <c r="EV200" s="0" t="s">
        <v>4155</v>
      </c>
      <c r="EW200" s="0" t="s">
        <v>224</v>
      </c>
      <c r="EX200" s="0" t="s">
        <v>4156</v>
      </c>
      <c r="EZ200" s="0" t="s">
        <v>4157</v>
      </c>
      <c r="FS200" s="0" t="str">
        <f aca="false">IF($A200="","",IF(ISNUMBER(MATCH(U200,{"queued","contacted","replied","call_booked","call_done","yes_in_principle","materials_sent"},0)),"Y","N"))</f>
        <v>N</v>
      </c>
      <c r="FT200" s="0" t="str">
        <f aca="false">IF($A200="","",IF(OR(T200="Y",U200="do_not_contact",AS200&amp;""&lt;&gt;""),"Y","N"))</f>
        <v>N</v>
      </c>
      <c r="FU200" s="0" t="str">
        <f aca="false">IF($A200="","",IF(AP200&amp;""&lt;&gt;"",AP200&amp;"",$A200))</f>
        <v>AO-C-081</v>
      </c>
      <c r="FV200" s="0" t="str">
        <f aca="false">IF($A200="","",IF(COUNTIFS($FU$2:$FU$1000,FU200,$FS$2:$FS$1000,"Y")+COUNTIFS($FU$2:$FU$1000,FU200,$FT$2:$FT$1000,"Y")&gt;0,"Y","N"))</f>
        <v>N</v>
      </c>
      <c r="FW200" s="0" t="str">
        <f aca="false">IF($A200="","",IF(AND(U200="new",T200="N",FT200="N",AT200="Y",FV200="N"),"Y","N"))</f>
        <v>N</v>
      </c>
      <c r="FX200" s="0" t="str">
        <f aca="false">IF($A200="","",IF(FW200&lt;&gt;"Y","N",IF(COUNTIFS($FU$2:$FU$1000,FU200,$FW$2:$FW$1000,"Y",$J$2:$J$1000,"&gt;"&amp;J200)+COUNTIFS($FU$2:$FU$1000,FU200,$FW$2:$FW$1000,"Y",$J$2:$J$1000,J200,$GD$2:$GD$1000,"&lt;"&amp;GD200)=0,"Y","N")))</f>
        <v>N</v>
      </c>
      <c r="FY200" s="0" t="str">
        <f aca="false">IF($A200="","",IF(AND(FW200="Y",FX200="Y",Y200&amp;""&lt;&gt;""),IF(Y200&lt;=10,"Y","N"),"N"))</f>
        <v>N</v>
      </c>
      <c r="FZ200" s="0" t="str">
        <f aca="false">IF(FY200="Y",Y200,"")</f>
        <v/>
      </c>
      <c r="GA200" s="0" t="str">
        <f aca="false">IF($A200="","",IF(AND(I200="walk-in",CN200="pass",U200="new",FT200="N",FV200="N",AQ200&lt;&gt;"Y"),"Y","N"))</f>
        <v>N</v>
      </c>
      <c r="GB200" s="0" t="str">
        <f aca="false">IF(GA200&lt;&gt;"Y","",IF(COUNTIFS($GA$2:$GA$1000,"Y",$J$2:$J$1000,"&gt;"&amp;J200)+COUNTIFS($GA$2:$GA$1000,"Y",$J$2:$J$1000,J200,$GD$2:$GD$1000,"&lt;"&amp;GD200)+1&lt;=25,COUNTIFS($GA$2:$GA$1000,"Y",$J$2:$J$1000,"&gt;"&amp;J200)+COUNTIFS($GA$2:$GA$1000,"Y",$J$2:$J$1000,J200,$GD$2:$GD$1000,"&lt;"&amp;GD200)+1,""))</f>
        <v/>
      </c>
      <c r="GC200" s="0" t="str">
        <f aca="false">IF(AND(_xlfn.ISFORMULA(C200),_xlfn.ISFORMULA(J200)),"Y","N")</f>
        <v>Y</v>
      </c>
      <c r="GD200" s="0" t="n">
        <f aca="false">ROW()-1</f>
        <v>199</v>
      </c>
    </row>
    <row r="201" customFormat="false" ht="15" hidden="false" customHeight="false" outlineLevel="0" collapsed="false">
      <c r="A201" s="0" t="s">
        <v>4158</v>
      </c>
      <c r="B201" s="0" t="s">
        <v>4159</v>
      </c>
      <c r="C201" s="0" t="str">
        <f aca="false">IF($A201="","",IF(AW201="Y",BM201&amp;"",AY201&amp;""))</f>
        <v/>
      </c>
      <c r="D201" s="0" t="str">
        <f aca="false">IF($A201="","",IF(AW201="Y",BN201&amp;"",AZ201&amp;""))</f>
        <v/>
      </c>
      <c r="E201" s="0" t="str">
        <f aca="false">IF($A201="","",IF(AW201="Y",BO201&amp;"",BA201&amp;""))</f>
        <v/>
      </c>
      <c r="F201" s="0" t="str">
        <f aca="false">IF($A201="","",IF(AW201="Y",BP201&amp;"",BB201&amp;""))</f>
        <v/>
      </c>
      <c r="G201" s="0" t="str">
        <f aca="false">IF($A201="","",IF(AW201="Y",BQ201&amp;"",BC201&amp;""))</f>
        <v/>
      </c>
      <c r="H201" s="0" t="str">
        <f aca="false">IF($A201="","",IF(AW201="Y",BR201&amp;"",BD201&amp;""))</f>
        <v>none</v>
      </c>
      <c r="I201" s="0" t="str">
        <f aca="false">IF($A201="","",IF(R201="Y","warm-intro",IF(H201="verified","email",IF(C201&lt;&gt;"","linkedin",CB201&amp;""))))</f>
        <v>linkedin</v>
      </c>
      <c r="J201" s="0" t="n">
        <f aca="false">IF($A201="","",IF(CN201="pass",ROUND(N(EM201)+N(EN201)+N(EO201)+N(EP201)+N(EQ201)+N(ER201),1),0))</f>
        <v>29</v>
      </c>
      <c r="K201" s="0" t="str">
        <f aca="false">IF($A201="","",IF(CN201&lt;&gt;"pass",CA201&amp;"",CA201&amp;"; "&amp;IF(AW201="Y",BZ201&amp;"",BL201&amp;"")&amp;IF(R201="Y","; known to the founder (+15)","")&amp;"."))</f>
        <v>Tuesday headcount unknown (no sourced count), coworking operator site (one office if it controls the pantry), no attendance signal, open-unverified at a medium-confidence address; contacts not researched yet.</v>
      </c>
      <c r="L201" s="0" t="s">
        <v>209</v>
      </c>
      <c r="R201" s="5" t="s">
        <v>189</v>
      </c>
      <c r="S201" s="0" t="s">
        <v>209</v>
      </c>
      <c r="T201" s="0" t="s">
        <v>189</v>
      </c>
      <c r="U201" s="5" t="s">
        <v>3896</v>
      </c>
      <c r="V201" s="0" t="s">
        <v>4160</v>
      </c>
      <c r="W201" s="0" t="s">
        <v>263</v>
      </c>
      <c r="X201" s="0" t="s">
        <v>3897</v>
      </c>
      <c r="Y201" s="0" t="str">
        <f aca="false">IF(FX201&lt;&gt;"Y","",COUNTIFS($FX$2:$FX$1000,"Y",$J$2:$J$1000,"&gt;"&amp;J201)+COUNTIFS($FX$2:$FX$1000,"Y",$J$2:$J$1000,J201,$GD$2:$GD$1000,"&lt;"&amp;GD201)+1)</f>
        <v/>
      </c>
      <c r="Z201" s="0" t="n">
        <v>200</v>
      </c>
      <c r="AA201" s="0" t="s">
        <v>189</v>
      </c>
      <c r="AB201" s="0" t="str">
        <f aca="false">IF($A201="","",IF(AW201="Y",BY201&amp;"",BK201&amp;""))</f>
        <v/>
      </c>
      <c r="AC201" s="0" t="str">
        <f aca="false">IF($A201="","",IF(AW201="Y",BS201&amp;"",BE201&amp;""))</f>
        <v/>
      </c>
      <c r="AD201" s="0" t="str">
        <f aca="false">IF($A201="","",IF(AW201="Y",BT201&amp;"",BF201&amp;""))</f>
        <v>none</v>
      </c>
      <c r="AE201" s="0" t="str">
        <f aca="false">IF($A201="","",IF(AW201="Y",BU201&amp;"",BG201&amp;""))</f>
        <v/>
      </c>
      <c r="AF201" s="0" t="str">
        <f aca="false">IF($A201="","",IF(AW201="Y",BV201&amp;"",BH201&amp;""))</f>
        <v/>
      </c>
      <c r="AG201" s="0" t="str">
        <f aca="false">IF($A201="","",IF(AW201="Y",BW201&amp;"",BI201&amp;""))</f>
        <v/>
      </c>
      <c r="AH201" s="0" t="str">
        <f aca="false">IF($A201="","",IF(AW201="Y",BX201&amp;"",BJ201&amp;""))</f>
        <v>none</v>
      </c>
      <c r="AI201" s="0" t="s">
        <v>4161</v>
      </c>
      <c r="AJ201" s="0" t="s">
        <v>209</v>
      </c>
      <c r="AK201" s="0" t="s">
        <v>4162</v>
      </c>
      <c r="AL201" s="0" t="s">
        <v>209</v>
      </c>
      <c r="AM201" s="0" t="s">
        <v>209</v>
      </c>
      <c r="AN201" s="0" t="s">
        <v>380</v>
      </c>
      <c r="AO201" s="0" t="s">
        <v>209</v>
      </c>
      <c r="AP201" s="0" t="s">
        <v>3832</v>
      </c>
      <c r="AQ201" s="5" t="s">
        <v>189</v>
      </c>
      <c r="AT201" s="0" t="str">
        <f aca="false">IF($A201="","",IF(AND(CN201="pass",AQ201&lt;&gt;"Y",C201&lt;&gt;"",OR(AX201&lt;&gt;"Y",AV201="Y")),"Y","N"))</f>
        <v>N</v>
      </c>
      <c r="AU201" s="0" t="str">
        <f aca="false">IF($A201="","",_xlfn.TEXTJOIN("; ",TRUE(),IF(CN201&lt;&gt;"pass","gated out",""),IF(AQ201="Y","on hold: "&amp;AR201,""),IF(C201="","no contact named on an opened page",""),IF(AND(AX201="Y",AV201&lt;&gt;"Y"),"Tuesday estimate band "&amp;L201&amp;": founder's call","")))</f>
        <v>no contact named on an opened page</v>
      </c>
      <c r="AX201" s="0" t="s">
        <v>189</v>
      </c>
      <c r="BC201" s="0" t="str">
        <f aca="false">IF($A201="","",IFERROR(INDEX(Enrichment!$A$2:$GZ$2000,MATCH($A201,INDEX(Enrichment!$A$2:$GZ$2000,0,MATCH("row_id",Enrichment!$A$1:$GZ$1,0)),0),MATCH("work_email",Enrichment!$A$1:$GZ$1,0))&amp;"",""))</f>
        <v/>
      </c>
      <c r="BD201" s="0" t="str">
        <f aca="false">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none</v>
      </c>
      <c r="BF201" s="0" t="s">
        <v>380</v>
      </c>
      <c r="BJ201" s="0" t="s">
        <v>380</v>
      </c>
      <c r="BL201" s="0" t="s">
        <v>896</v>
      </c>
      <c r="BQ201" s="0" t="str">
        <f aca="false">IF($A201="","",IFERROR(INDEX(Enrichment!$A$2:$GZ$2000,MATCH($A201,INDEX(Enrichment!$A$2:$GZ$2000,0,MATCH("row_id",Enrichment!$A$1:$GZ$1,0)),0),MATCH("backup_work_email",Enrichment!$A$1:$GZ$1,0))&amp;"",""))</f>
        <v/>
      </c>
      <c r="BR201" s="0" t="str">
        <f aca="false">IF($A201="","",IF(BQ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none</v>
      </c>
      <c r="BT201" s="0" t="s">
        <v>380</v>
      </c>
      <c r="BX201" s="0" t="s">
        <v>380</v>
      </c>
      <c r="BY201" s="0" t="s">
        <v>387</v>
      </c>
      <c r="BZ201" s="0" t="s">
        <v>388</v>
      </c>
      <c r="CA201" s="0" t="s">
        <v>4163</v>
      </c>
      <c r="CB201" s="0" t="s">
        <v>196</v>
      </c>
      <c r="CM201" s="0" t="s">
        <v>189</v>
      </c>
      <c r="CN201" s="0" t="s">
        <v>200</v>
      </c>
      <c r="CO201" s="0" t="s">
        <v>201</v>
      </c>
      <c r="CP201" s="0" t="s">
        <v>3121</v>
      </c>
      <c r="CQ201" s="0" t="s">
        <v>4164</v>
      </c>
      <c r="CR201" s="0" t="s">
        <v>3828</v>
      </c>
      <c r="CS201" s="0" t="s">
        <v>3118</v>
      </c>
      <c r="CT201" s="0" t="s">
        <v>209</v>
      </c>
      <c r="CV201" s="0" t="s">
        <v>209</v>
      </c>
      <c r="CW201" s="0" t="s">
        <v>209</v>
      </c>
      <c r="DA201" s="0" t="s">
        <v>209</v>
      </c>
      <c r="DB201" s="0" t="s">
        <v>3123</v>
      </c>
      <c r="DC201" s="0" t="s">
        <v>209</v>
      </c>
      <c r="DD201" s="0" t="s">
        <v>3834</v>
      </c>
      <c r="DF201" s="0" t="s">
        <v>311</v>
      </c>
      <c r="DG201" s="0" t="n">
        <v>40.74441</v>
      </c>
      <c r="DH201" s="0" t="n">
        <v>-73.987275</v>
      </c>
      <c r="DI201" s="0" t="s">
        <v>164</v>
      </c>
      <c r="DJ201" s="0" t="n">
        <v>0</v>
      </c>
      <c r="DK201" s="0" t="s">
        <v>3676</v>
      </c>
      <c r="DL201" s="0" t="s">
        <v>3677</v>
      </c>
      <c r="DM201" s="0" t="s">
        <v>4160</v>
      </c>
      <c r="DN201" s="0" t="s">
        <v>263</v>
      </c>
      <c r="DO201" s="0" t="s">
        <v>3128</v>
      </c>
      <c r="DS201" s="0" t="s">
        <v>809</v>
      </c>
      <c r="DU201" s="0" t="s">
        <v>189</v>
      </c>
      <c r="DV201" s="0" t="s">
        <v>4164</v>
      </c>
      <c r="DW201" s="0" t="s">
        <v>3130</v>
      </c>
      <c r="DX201" s="0" t="s">
        <v>267</v>
      </c>
      <c r="DY201" s="0" t="s">
        <v>3680</v>
      </c>
      <c r="EA201" s="0" t="s">
        <v>209</v>
      </c>
      <c r="EB201" s="0" t="s">
        <v>189</v>
      </c>
      <c r="EC201" s="0" t="s">
        <v>209</v>
      </c>
      <c r="EF201" s="0" t="s">
        <v>209</v>
      </c>
      <c r="EH201" s="0" t="s">
        <v>189</v>
      </c>
      <c r="EI201" s="0" t="s">
        <v>3131</v>
      </c>
      <c r="EJ201" s="0" t="s">
        <v>221</v>
      </c>
      <c r="EK201" s="0" t="s">
        <v>209</v>
      </c>
      <c r="EL201" s="0" t="n">
        <v>29</v>
      </c>
      <c r="EM201" s="0" t="n">
        <v>7</v>
      </c>
      <c r="EN201" s="0" t="n">
        <v>8</v>
      </c>
      <c r="EO201" s="0" t="n">
        <v>6</v>
      </c>
      <c r="EP201" s="0" t="n">
        <v>8</v>
      </c>
      <c r="EQ201" s="0" t="n">
        <f aca="false">IF($A201="","",IF(AH201="exact",10,IF(AH201="adjacent",5,0)))</f>
        <v>0</v>
      </c>
      <c r="ER201" s="0" t="n">
        <f aca="false">IF($A201="","",IF(R201="Y",15,0))</f>
        <v>0</v>
      </c>
      <c r="ES201" s="0" t="s">
        <v>3121</v>
      </c>
      <c r="EX201" s="0" t="s">
        <v>4165</v>
      </c>
      <c r="FA201" s="0" t="s">
        <v>4166</v>
      </c>
      <c r="FS201" s="0" t="str">
        <f aca="false">IF($A201="","",IF(ISNUMBER(MATCH(U201,{"queued","contacted","replied","call_booked","call_done","yes_in_principle","materials_sent"},0)),"Y","N"))</f>
        <v>N</v>
      </c>
      <c r="FT201" s="0" t="str">
        <f aca="false">IF($A201="","",IF(OR(T201="Y",U201="do_not_contact",AS201&amp;""&lt;&gt;""),"Y","N"))</f>
        <v>N</v>
      </c>
      <c r="FU201" s="0" t="str">
        <f aca="false">IF($A201="","",IF(AP201&amp;""&lt;&gt;"",AP201&amp;"",$A201))</f>
        <v>grp-W004-W018-W020-W024-W026-W029</v>
      </c>
      <c r="FV201" s="0" t="str">
        <f aca="false">IF($A201="","",IF(COUNTIFS($FU$2:$FU$1000,FU201,$FS$2:$FS$1000,"Y")+COUNTIFS($FU$2:$FU$1000,FU201,$FT$2:$FT$1000,"Y")&gt;0,"Y","N"))</f>
        <v>N</v>
      </c>
      <c r="FW201" s="0" t="str">
        <f aca="false">IF($A201="","",IF(AND(U201="new",T201="N",FT201="N",AT201="Y",FV201="N"),"Y","N"))</f>
        <v>N</v>
      </c>
      <c r="FX201" s="0" t="str">
        <f aca="false">IF($A201="","",IF(FW201&lt;&gt;"Y","N",IF(COUNTIFS($FU$2:$FU$1000,FU201,$FW$2:$FW$1000,"Y",$J$2:$J$1000,"&gt;"&amp;J201)+COUNTIFS($FU$2:$FU$1000,FU201,$FW$2:$FW$1000,"Y",$J$2:$J$1000,J201,$GD$2:$GD$1000,"&lt;"&amp;GD201)=0,"Y","N")))</f>
        <v>N</v>
      </c>
      <c r="FY201" s="0" t="str">
        <f aca="false">IF($A201="","",IF(AND(FW201="Y",FX201="Y",Y201&amp;""&lt;&gt;""),IF(Y201&lt;=10,"Y","N"),"N"))</f>
        <v>N</v>
      </c>
      <c r="FZ201" s="0" t="str">
        <f aca="false">IF(FY201="Y",Y201,"")</f>
        <v/>
      </c>
      <c r="GA201" s="0" t="str">
        <f aca="false">IF($A201="","",IF(AND(I201="walk-in",CN201="pass",U201="new",FT201="N",FV201="N",AQ201&lt;&gt;"Y"),"Y","N"))</f>
        <v>N</v>
      </c>
      <c r="GB201" s="0" t="str">
        <f aca="false">IF(GA201&lt;&gt;"Y","",IF(COUNTIFS($GA$2:$GA$1000,"Y",$J$2:$J$1000,"&gt;"&amp;J201)+COUNTIFS($GA$2:$GA$1000,"Y",$J$2:$J$1000,J201,$GD$2:$GD$1000,"&lt;"&amp;GD201)+1&lt;=25,COUNTIFS($GA$2:$GA$1000,"Y",$J$2:$J$1000,"&gt;"&amp;J201)+COUNTIFS($GA$2:$GA$1000,"Y",$J$2:$J$1000,J201,$GD$2:$GD$1000,"&lt;"&amp;GD201)+1,""))</f>
        <v/>
      </c>
      <c r="GC201" s="0" t="str">
        <f aca="false">IF(AND(_xlfn.ISFORMULA(C201),_xlfn.ISFORMULA(J201)),"Y","N")</f>
        <v>Y</v>
      </c>
      <c r="GD201" s="0" t="n">
        <f aca="false">ROW()-1</f>
        <v>200</v>
      </c>
    </row>
    <row r="202" customFormat="false" ht="15" hidden="false" customHeight="false" outlineLevel="0" collapsed="false">
      <c r="A202" s="0" t="s">
        <v>4167</v>
      </c>
      <c r="B202" s="0" t="s">
        <v>4168</v>
      </c>
      <c r="C202" s="0" t="str">
        <f aca="false">IF($A202="","",IF(AW202="Y",BM202&amp;"",AY202&amp;""))</f>
        <v/>
      </c>
      <c r="D202" s="0" t="str">
        <f aca="false">IF($A202="","",IF(AW202="Y",BN202&amp;"",AZ202&amp;""))</f>
        <v/>
      </c>
      <c r="E202" s="0" t="str">
        <f aca="false">IF($A202="","",IF(AW202="Y",BO202&amp;"",BA202&amp;""))</f>
        <v/>
      </c>
      <c r="F202" s="0" t="str">
        <f aca="false">IF($A202="","",IF(AW202="Y",BP202&amp;"",BB202&amp;""))</f>
        <v/>
      </c>
      <c r="G202" s="0" t="str">
        <f aca="false">IF($A202="","",IF(AW202="Y",BQ202&amp;"",BC202&amp;""))</f>
        <v/>
      </c>
      <c r="H202" s="0" t="str">
        <f aca="false">IF($A202="","",IF(AW202="Y",BR202&amp;"",BD202&amp;""))</f>
        <v>none</v>
      </c>
      <c r="I202" s="0" t="str">
        <f aca="false">IF($A202="","",IF(R202="Y","warm-intro",IF(H202="verified","email",IF(C202&lt;&gt;"","linkedin",CB202&amp;""))))</f>
        <v>linkedin</v>
      </c>
      <c r="J202" s="0" t="n">
        <f aca="false">IF($A202="","",IF(CN202="pass",ROUND(N(EM202)+N(EN202)+N(EO202)+N(EP202)+N(EQ202)+N(ER202),1),0))</f>
        <v>28</v>
      </c>
      <c r="K202" s="0" t="str">
        <f aca="false">IF($A202="","",IF(CN202&lt;&gt;"pass",CA202&amp;"",CA202&amp;"; "&amp;IF(AW202="Y",BZ202&amp;"",BL202&amp;"")&amp;IF(R202="Y","; known to the founder (+15)","")&amp;"."))</f>
        <v>Tuesday estimate 108 to 2150 (low confidence), 1,001 to 4,999 staff company-wide, no attendance signal, occupied at a medium-confidence address; contacts not researched yet.</v>
      </c>
      <c r="L202" s="0" t="s">
        <v>355</v>
      </c>
      <c r="R202" s="5" t="s">
        <v>189</v>
      </c>
      <c r="S202" s="0" t="s">
        <v>209</v>
      </c>
      <c r="T202" s="0" t="s">
        <v>189</v>
      </c>
      <c r="U202" s="5" t="s">
        <v>3896</v>
      </c>
      <c r="V202" s="0" t="s">
        <v>4169</v>
      </c>
      <c r="W202" s="0" t="s">
        <v>263</v>
      </c>
      <c r="X202" s="0" t="s">
        <v>3897</v>
      </c>
      <c r="Y202" s="0" t="str">
        <f aca="false">IF(FX202&lt;&gt;"Y","",COUNTIFS($FX$2:$FX$1000,"Y",$J$2:$J$1000,"&gt;"&amp;J202)+COUNTIFS($FX$2:$FX$1000,"Y",$J$2:$J$1000,J202,$GD$2:$GD$1000,"&lt;"&amp;GD202)+1)</f>
        <v/>
      </c>
      <c r="Z202" s="0" t="n">
        <v>201</v>
      </c>
      <c r="AA202" s="0" t="s">
        <v>189</v>
      </c>
      <c r="AB202" s="0" t="str">
        <f aca="false">IF($A202="","",IF(AW202="Y",BY202&amp;"",BK202&amp;""))</f>
        <v>Tuesday estimate band 251-500: founder's call (set founder_ok_to_queue = Y to queue)</v>
      </c>
      <c r="AC202" s="0" t="str">
        <f aca="false">IF($A202="","",IF(AW202="Y",BS202&amp;"",BE202&amp;""))</f>
        <v/>
      </c>
      <c r="AD202" s="0" t="str">
        <f aca="false">IF($A202="","",IF(AW202="Y",BT202&amp;"",BF202&amp;""))</f>
        <v>none</v>
      </c>
      <c r="AE202" s="0" t="str">
        <f aca="false">IF($A202="","",IF(AW202="Y",BU202&amp;"",BG202&amp;""))</f>
        <v/>
      </c>
      <c r="AF202" s="0" t="str">
        <f aca="false">IF($A202="","",IF(AW202="Y",BV202&amp;"",BH202&amp;""))</f>
        <v/>
      </c>
      <c r="AG202" s="0" t="str">
        <f aca="false">IF($A202="","",IF(AW202="Y",BW202&amp;"",BI202&amp;""))</f>
        <v/>
      </c>
      <c r="AH202" s="0" t="str">
        <f aca="false">IF($A202="","",IF(AW202="Y",BX202&amp;"",BJ202&amp;""))</f>
        <v>none</v>
      </c>
      <c r="AI202" s="0" t="s">
        <v>1468</v>
      </c>
      <c r="AJ202" s="0" t="s">
        <v>209</v>
      </c>
      <c r="AK202" s="0" t="s">
        <v>3933</v>
      </c>
      <c r="AL202" s="0" t="n">
        <v>108</v>
      </c>
      <c r="AM202" s="0" t="n">
        <v>2150</v>
      </c>
      <c r="AN202" s="0" t="s">
        <v>187</v>
      </c>
      <c r="AO202" s="0" t="s">
        <v>209</v>
      </c>
      <c r="AP202" s="0" t="s">
        <v>4167</v>
      </c>
      <c r="AQ202" s="5" t="s">
        <v>189</v>
      </c>
      <c r="AT202" s="0" t="str">
        <f aca="false">IF($A202="","",IF(AND(CN202="pass",AQ202&lt;&gt;"Y",C202&lt;&gt;"",OR(AX202&lt;&gt;"Y",AV202="Y")),"Y","N"))</f>
        <v>N</v>
      </c>
      <c r="AU202" s="0" t="str">
        <f aca="false">IF($A202="","",_xlfn.TEXTJOIN("; ",TRUE(),IF(CN202&lt;&gt;"pass","gated out",""),IF(AQ202="Y","on hold: "&amp;AR202,""),IF(C202="","no contact named on an opened page",""),IF(AND(AX202="Y",AV202&lt;&gt;"Y"),"Tuesday estimate band "&amp;L202&amp;": founder's call","")))</f>
        <v>no contact named on an opened page; Tuesday estimate band 251-500: founder's call</v>
      </c>
      <c r="AX202" s="0" t="s">
        <v>164</v>
      </c>
      <c r="BC202" s="0" t="str">
        <f aca="false">IF($A202="","",IFERROR(INDEX(Enrichment!$A$2:$GZ$2000,MATCH($A202,INDEX(Enrichment!$A$2:$GZ$2000,0,MATCH("row_id",Enrichment!$A$1:$GZ$1,0)),0),MATCH("work_email",Enrichment!$A$1:$GZ$1,0))&amp;"",""))</f>
        <v/>
      </c>
      <c r="BD202" s="0" t="str">
        <f aca="false">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none</v>
      </c>
      <c r="BF202" s="0" t="s">
        <v>380</v>
      </c>
      <c r="BJ202" s="0" t="s">
        <v>380</v>
      </c>
      <c r="BK202" s="0" t="s">
        <v>2356</v>
      </c>
      <c r="BL202" s="0" t="s">
        <v>896</v>
      </c>
      <c r="BQ202" s="0" t="str">
        <f aca="false">IF($A202="","",IFERROR(INDEX(Enrichment!$A$2:$GZ$2000,MATCH($A202,INDEX(Enrichment!$A$2:$GZ$2000,0,MATCH("row_id",Enrichment!$A$1:$GZ$1,0)),0),MATCH("backup_work_email",Enrichment!$A$1:$GZ$1,0))&amp;"",""))</f>
        <v/>
      </c>
      <c r="BR202" s="0" t="str">
        <f aca="false">IF($A202="","",IF(BQ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none</v>
      </c>
      <c r="BT202" s="0" t="s">
        <v>380</v>
      </c>
      <c r="BX202" s="0" t="s">
        <v>380</v>
      </c>
      <c r="BY202" s="0" t="s">
        <v>2357</v>
      </c>
      <c r="BZ202" s="0" t="s">
        <v>388</v>
      </c>
      <c r="CA202" s="0" t="s">
        <v>4170</v>
      </c>
      <c r="CB202" s="0" t="s">
        <v>196</v>
      </c>
      <c r="CM202" s="0" t="s">
        <v>189</v>
      </c>
      <c r="CN202" s="0" t="s">
        <v>200</v>
      </c>
      <c r="CO202" s="0" t="s">
        <v>201</v>
      </c>
      <c r="CP202" s="0" t="s">
        <v>1</v>
      </c>
      <c r="CQ202" s="0" t="s">
        <v>4171</v>
      </c>
      <c r="CR202" s="0" t="s">
        <v>4172</v>
      </c>
      <c r="CS202" s="0" t="s">
        <v>4173</v>
      </c>
      <c r="CT202" s="0" t="s">
        <v>4174</v>
      </c>
      <c r="CV202" s="0" t="s">
        <v>976</v>
      </c>
      <c r="CW202" s="0" t="s">
        <v>204</v>
      </c>
      <c r="CX202" s="0" t="s">
        <v>205</v>
      </c>
      <c r="CY202" s="0" t="s">
        <v>4175</v>
      </c>
      <c r="DA202" s="0" t="s">
        <v>978</v>
      </c>
      <c r="DB202" s="0" t="s">
        <v>209</v>
      </c>
      <c r="DC202" s="0" t="s">
        <v>209</v>
      </c>
      <c r="DD202" s="0" t="s">
        <v>209</v>
      </c>
      <c r="DE202" s="0" t="s">
        <v>209</v>
      </c>
      <c r="DF202" s="0" t="s">
        <v>525</v>
      </c>
      <c r="DG202" s="0" t="n">
        <v>40.741141</v>
      </c>
      <c r="DH202" s="0" t="n">
        <v>-73.987489</v>
      </c>
      <c r="DI202" s="0" t="s">
        <v>164</v>
      </c>
      <c r="DJ202" s="0" t="n">
        <v>0</v>
      </c>
      <c r="DL202" s="0" t="s">
        <v>209</v>
      </c>
      <c r="DM202" s="0" t="s">
        <v>4169</v>
      </c>
      <c r="DN202" s="0" t="s">
        <v>4176</v>
      </c>
      <c r="DO202" s="0" t="s">
        <v>4177</v>
      </c>
      <c r="DS202" s="0" t="s">
        <v>809</v>
      </c>
      <c r="DU202" s="0" t="s">
        <v>189</v>
      </c>
      <c r="DX202" s="0" t="s">
        <v>209</v>
      </c>
      <c r="EA202" s="0" t="s">
        <v>209</v>
      </c>
      <c r="EB202" s="0" t="s">
        <v>189</v>
      </c>
      <c r="EC202" s="0" t="s">
        <v>209</v>
      </c>
      <c r="EF202" s="0" t="n">
        <v>482</v>
      </c>
      <c r="EG202" s="0" t="s">
        <v>366</v>
      </c>
      <c r="EH202" s="0" t="s">
        <v>189</v>
      </c>
      <c r="EI202" s="0" t="s">
        <v>4178</v>
      </c>
      <c r="EJ202" s="0" t="s">
        <v>221</v>
      </c>
      <c r="EK202" s="0" t="n">
        <v>0.28</v>
      </c>
      <c r="EL202" s="0" t="n">
        <v>28</v>
      </c>
      <c r="EM202" s="0" t="n">
        <v>7</v>
      </c>
      <c r="EN202" s="0" t="n">
        <v>2</v>
      </c>
      <c r="EO202" s="0" t="n">
        <v>6</v>
      </c>
      <c r="EP202" s="0" t="n">
        <v>13</v>
      </c>
      <c r="EQ202" s="0" t="n">
        <f aca="false">IF($A202="","",IF(AH202="exact",10,IF(AH202="adjacent",5,0)))</f>
        <v>0</v>
      </c>
      <c r="ER202" s="0" t="n">
        <f aca="false">IF($A202="","",IF(R202="Y",15,0))</f>
        <v>0</v>
      </c>
      <c r="ES202" s="0" t="s">
        <v>982</v>
      </c>
      <c r="ET202" s="0" t="s">
        <v>983</v>
      </c>
      <c r="EU202" s="0" t="s">
        <v>189</v>
      </c>
      <c r="EX202" s="0" t="s">
        <v>4179</v>
      </c>
      <c r="FS202" s="0" t="str">
        <f aca="false">IF($A202="","",IF(ISNUMBER(MATCH(U202,{"queued","contacted","replied","call_booked","call_done","yes_in_principle","materials_sent"},0)),"Y","N"))</f>
        <v>N</v>
      </c>
      <c r="FT202" s="0" t="str">
        <f aca="false">IF($A202="","",IF(OR(T202="Y",U202="do_not_contact",AS202&amp;""&lt;&gt;""),"Y","N"))</f>
        <v>N</v>
      </c>
      <c r="FU202" s="0" t="str">
        <f aca="false">IF($A202="","",IF(AP202&amp;""&lt;&gt;"",AP202&amp;"",$A202))</f>
        <v>AO-C-234</v>
      </c>
      <c r="FV202" s="0" t="str">
        <f aca="false">IF($A202="","",IF(COUNTIFS($FU$2:$FU$1000,FU202,$FS$2:$FS$1000,"Y")+COUNTIFS($FU$2:$FU$1000,FU202,$FT$2:$FT$1000,"Y")&gt;0,"Y","N"))</f>
        <v>N</v>
      </c>
      <c r="FW202" s="0" t="str">
        <f aca="false">IF($A202="","",IF(AND(U202="new",T202="N",FT202="N",AT202="Y",FV202="N"),"Y","N"))</f>
        <v>N</v>
      </c>
      <c r="FX202" s="0" t="str">
        <f aca="false">IF($A202="","",IF(FW202&lt;&gt;"Y","N",IF(COUNTIFS($FU$2:$FU$1000,FU202,$FW$2:$FW$1000,"Y",$J$2:$J$1000,"&gt;"&amp;J202)+COUNTIFS($FU$2:$FU$1000,FU202,$FW$2:$FW$1000,"Y",$J$2:$J$1000,J202,$GD$2:$GD$1000,"&lt;"&amp;GD202)=0,"Y","N")))</f>
        <v>N</v>
      </c>
      <c r="FY202" s="0" t="str">
        <f aca="false">IF($A202="","",IF(AND(FW202="Y",FX202="Y",Y202&amp;""&lt;&gt;""),IF(Y202&lt;=10,"Y","N"),"N"))</f>
        <v>N</v>
      </c>
      <c r="FZ202" s="0" t="str">
        <f aca="false">IF(FY202="Y",Y202,"")</f>
        <v/>
      </c>
      <c r="GA202" s="0" t="str">
        <f aca="false">IF($A202="","",IF(AND(I202="walk-in",CN202="pass",U202="new",FT202="N",FV202="N",AQ202&lt;&gt;"Y"),"Y","N"))</f>
        <v>N</v>
      </c>
      <c r="GB202" s="0" t="str">
        <f aca="false">IF(GA202&lt;&gt;"Y","",IF(COUNTIFS($GA$2:$GA$1000,"Y",$J$2:$J$1000,"&gt;"&amp;J202)+COUNTIFS($GA$2:$GA$1000,"Y",$J$2:$J$1000,J202,$GD$2:$GD$1000,"&lt;"&amp;GD202)+1&lt;=25,COUNTIFS($GA$2:$GA$1000,"Y",$J$2:$J$1000,"&gt;"&amp;J202)+COUNTIFS($GA$2:$GA$1000,"Y",$J$2:$J$1000,J202,$GD$2:$GD$1000,"&lt;"&amp;GD202)+1,""))</f>
        <v/>
      </c>
      <c r="GC202" s="0" t="str">
        <f aca="false">IF(AND(_xlfn.ISFORMULA(C202),_xlfn.ISFORMULA(J202)),"Y","N")</f>
        <v>Y</v>
      </c>
      <c r="GD202" s="0" t="n">
        <f aca="false">ROW()-1</f>
        <v>201</v>
      </c>
    </row>
    <row r="203" customFormat="false" ht="15" hidden="false" customHeight="false" outlineLevel="0" collapsed="false">
      <c r="A203" s="0" t="s">
        <v>4180</v>
      </c>
      <c r="B203" s="0" t="s">
        <v>4181</v>
      </c>
      <c r="C203" s="0" t="str">
        <f aca="false">IF($A203="","",IF(AW203="Y",BM203&amp;"",AY203&amp;""))</f>
        <v/>
      </c>
      <c r="D203" s="0" t="str">
        <f aca="false">IF($A203="","",IF(AW203="Y",BN203&amp;"",AZ203&amp;""))</f>
        <v/>
      </c>
      <c r="E203" s="0" t="str">
        <f aca="false">IF($A203="","",IF(AW203="Y",BO203&amp;"",BA203&amp;""))</f>
        <v/>
      </c>
      <c r="F203" s="0" t="str">
        <f aca="false">IF($A203="","",IF(AW203="Y",BP203&amp;"",BB203&amp;""))</f>
        <v/>
      </c>
      <c r="G203" s="0" t="str">
        <f aca="false">IF($A203="","",IF(AW203="Y",BQ203&amp;"",BC203&amp;""))</f>
        <v/>
      </c>
      <c r="H203" s="0" t="str">
        <f aca="false">IF($A203="","",IF(AW203="Y",BR203&amp;"",BD203&amp;""))</f>
        <v>none</v>
      </c>
      <c r="I203" s="0" t="str">
        <f aca="false">IF($A203="","",IF(R203="Y","warm-intro",IF(H203="verified","email",IF(C203&lt;&gt;"","linkedin",CB203&amp;""))))</f>
        <v>linkedin</v>
      </c>
      <c r="J203" s="0" t="n">
        <f aca="false">IF($A203="","",IF(CN203="pass",ROUND(N(EM203)+N(EN203)+N(EO203)+N(EP203)+N(EQ203)+N(ER203),1),0))</f>
        <v>28</v>
      </c>
      <c r="K203" s="0" t="str">
        <f aca="false">IF($A203="","",IF(CN203&lt;&gt;"pass",CA203&amp;"",CA203&amp;"; "&amp;IF(AW203="Y",BZ203&amp;"",BL203&amp;"")&amp;IF(R203="Y","; known to the founder (+15)","")&amp;"."))</f>
        <v>Tuesday headcount unknown (no sourced count), company size unknown, no attendance signal, signed-not-occupied at a high-confidence address (hold: lease signed, move not confirmed); contacts not researched yet.</v>
      </c>
      <c r="L203" s="0" t="s">
        <v>209</v>
      </c>
      <c r="O203" s="0" t="s">
        <v>4182</v>
      </c>
      <c r="P203" s="0" t="s">
        <v>2565</v>
      </c>
      <c r="Q203" s="0" t="s">
        <v>2566</v>
      </c>
      <c r="R203" s="5" t="s">
        <v>189</v>
      </c>
      <c r="S203" s="0" t="s">
        <v>209</v>
      </c>
      <c r="T203" s="0" t="s">
        <v>189</v>
      </c>
      <c r="U203" s="5" t="s">
        <v>3896</v>
      </c>
      <c r="V203" s="0" t="s">
        <v>2565</v>
      </c>
      <c r="W203" s="0" t="s">
        <v>263</v>
      </c>
      <c r="X203" s="0" t="s">
        <v>3897</v>
      </c>
      <c r="Y203" s="0" t="str">
        <f aca="false">IF(FX203&lt;&gt;"Y","",COUNTIFS($FX$2:$FX$1000,"Y",$J$2:$J$1000,"&gt;"&amp;J203)+COUNTIFS($FX$2:$FX$1000,"Y",$J$2:$J$1000,J203,$GD$2:$GD$1000,"&lt;"&amp;GD203)+1)</f>
        <v/>
      </c>
      <c r="Z203" s="0" t="n">
        <v>202</v>
      </c>
      <c r="AA203" s="0" t="s">
        <v>189</v>
      </c>
      <c r="AB203" s="0" t="str">
        <f aca="false">IF($A203="","",IF(AW203="Y",BY203&amp;"",BK203&amp;""))</f>
        <v/>
      </c>
      <c r="AC203" s="0" t="str">
        <f aca="false">IF($A203="","",IF(AW203="Y",BS203&amp;"",BE203&amp;""))</f>
        <v/>
      </c>
      <c r="AD203" s="0" t="str">
        <f aca="false">IF($A203="","",IF(AW203="Y",BT203&amp;"",BF203&amp;""))</f>
        <v>none</v>
      </c>
      <c r="AE203" s="0" t="str">
        <f aca="false">IF($A203="","",IF(AW203="Y",BU203&amp;"",BG203&amp;""))</f>
        <v/>
      </c>
      <c r="AF203" s="0" t="str">
        <f aca="false">IF($A203="","",IF(AW203="Y",BV203&amp;"",BH203&amp;""))</f>
        <v/>
      </c>
      <c r="AG203" s="0" t="str">
        <f aca="false">IF($A203="","",IF(AW203="Y",BW203&amp;"",BI203&amp;""))</f>
        <v/>
      </c>
      <c r="AH203" s="0" t="str">
        <f aca="false">IF($A203="","",IF(AW203="Y",BX203&amp;"",BJ203&amp;""))</f>
        <v>none</v>
      </c>
      <c r="AI203" s="0" t="s">
        <v>1871</v>
      </c>
      <c r="AJ203" s="0" t="s">
        <v>412</v>
      </c>
      <c r="AK203" s="0" t="s">
        <v>4183</v>
      </c>
      <c r="AL203" s="0" t="s">
        <v>209</v>
      </c>
      <c r="AM203" s="0" t="s">
        <v>209</v>
      </c>
      <c r="AN203" s="0" t="s">
        <v>380</v>
      </c>
      <c r="AO203" s="0" t="s">
        <v>209</v>
      </c>
      <c r="AP203" s="0" t="s">
        <v>4180</v>
      </c>
      <c r="AQ203" s="5" t="s">
        <v>164</v>
      </c>
      <c r="AR203" s="0" t="s">
        <v>779</v>
      </c>
      <c r="AT203" s="0" t="str">
        <f aca="false">IF($A203="","",IF(AND(CN203="pass",AQ203&lt;&gt;"Y",C203&lt;&gt;"",OR(AX203&lt;&gt;"Y",AV203="Y")),"Y","N"))</f>
        <v>N</v>
      </c>
      <c r="AU203" s="0" t="str">
        <f aca="false">IF($A203="","",_xlfn.TEXTJOIN("; ",TRUE(),IF(CN203&lt;&gt;"pass","gated out",""),IF(AQ203="Y","on hold: "&amp;AR203,""),IF(C203="","no contact named on an opened page",""),IF(AND(AX203="Y",AV203&lt;&gt;"Y"),"Tuesday estimate band "&amp;L203&amp;": founder's call","")))</f>
        <v>on hold: lease signed, move not confirmed: check the lobby directory before outreach (B); no contact named on an opened page</v>
      </c>
      <c r="AX203" s="0" t="s">
        <v>189</v>
      </c>
      <c r="BC203" s="0" t="str">
        <f aca="false">IF($A203="","",IFERROR(INDEX(Enrichment!$A$2:$GZ$2000,MATCH($A203,INDEX(Enrichment!$A$2:$GZ$2000,0,MATCH("row_id",Enrichment!$A$1:$GZ$1,0)),0),MATCH("work_email",Enrichment!$A$1:$GZ$1,0))&amp;"",""))</f>
        <v/>
      </c>
      <c r="BD203" s="0" t="str">
        <f aca="false">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none</v>
      </c>
      <c r="BF203" s="0" t="s">
        <v>380</v>
      </c>
      <c r="BJ203" s="0" t="s">
        <v>380</v>
      </c>
      <c r="BL203" s="0" t="s">
        <v>896</v>
      </c>
      <c r="BQ203" s="0" t="str">
        <f aca="false">IF($A203="","",IFERROR(INDEX(Enrichment!$A$2:$GZ$2000,MATCH($A203,INDEX(Enrichment!$A$2:$GZ$2000,0,MATCH("row_id",Enrichment!$A$1:$GZ$1,0)),0),MATCH("backup_work_email",Enrichment!$A$1:$GZ$1,0))&amp;"",""))</f>
        <v/>
      </c>
      <c r="BR203" s="0" t="str">
        <f aca="false">IF($A203="","",IF(BQ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none</v>
      </c>
      <c r="BT203" s="0" t="s">
        <v>380</v>
      </c>
      <c r="BX203" s="0" t="s">
        <v>380</v>
      </c>
      <c r="BY203" s="0" t="s">
        <v>387</v>
      </c>
      <c r="BZ203" s="0" t="s">
        <v>388</v>
      </c>
      <c r="CA203" s="0" t="s">
        <v>4184</v>
      </c>
      <c r="CB203" s="0" t="s">
        <v>196</v>
      </c>
      <c r="CM203" s="0" t="s">
        <v>189</v>
      </c>
      <c r="CN203" s="0" t="s">
        <v>200</v>
      </c>
      <c r="CO203" s="0" t="s">
        <v>201</v>
      </c>
      <c r="CP203" s="0" t="s">
        <v>1</v>
      </c>
      <c r="CQ203" s="0" t="s">
        <v>4185</v>
      </c>
      <c r="CR203" s="0" t="s">
        <v>4186</v>
      </c>
      <c r="CS203" s="0" t="s">
        <v>4187</v>
      </c>
      <c r="CT203" s="0" t="s">
        <v>209</v>
      </c>
      <c r="CV203" s="0" t="s">
        <v>209</v>
      </c>
      <c r="CW203" s="0" t="s">
        <v>209</v>
      </c>
      <c r="CX203" s="0" t="s">
        <v>2712</v>
      </c>
      <c r="DA203" s="0" t="s">
        <v>209</v>
      </c>
      <c r="DB203" s="0" t="s">
        <v>209</v>
      </c>
      <c r="DC203" s="0" t="s">
        <v>209</v>
      </c>
      <c r="DD203" s="0" t="s">
        <v>209</v>
      </c>
      <c r="DE203" s="0" t="s">
        <v>209</v>
      </c>
      <c r="DF203" s="0" t="s">
        <v>525</v>
      </c>
      <c r="DG203" s="0" t="n">
        <v>40.741968</v>
      </c>
      <c r="DH203" s="0" t="n">
        <v>-73.985327</v>
      </c>
      <c r="DI203" s="0" t="s">
        <v>164</v>
      </c>
      <c r="DJ203" s="0" t="n">
        <v>0</v>
      </c>
      <c r="DK203" s="0" t="s">
        <v>1573</v>
      </c>
      <c r="DL203" s="0" t="s">
        <v>1574</v>
      </c>
      <c r="DM203" s="0" t="s">
        <v>2565</v>
      </c>
      <c r="DN203" s="0" t="s">
        <v>2566</v>
      </c>
      <c r="DO203" s="0" t="s">
        <v>363</v>
      </c>
      <c r="DP203" s="0" t="s">
        <v>1734</v>
      </c>
      <c r="DQ203" s="0" t="s">
        <v>1735</v>
      </c>
      <c r="DS203" s="0" t="s">
        <v>217</v>
      </c>
      <c r="DT203" s="0" t="s">
        <v>209</v>
      </c>
      <c r="DU203" s="0" t="s">
        <v>189</v>
      </c>
      <c r="DX203" s="0" t="s">
        <v>209</v>
      </c>
      <c r="EA203" s="0" t="s">
        <v>209</v>
      </c>
      <c r="EB203" s="0" t="s">
        <v>189</v>
      </c>
      <c r="EC203" s="0" t="s">
        <v>209</v>
      </c>
      <c r="EF203" s="0" t="s">
        <v>209</v>
      </c>
      <c r="EH203" s="0" t="s">
        <v>189</v>
      </c>
      <c r="EI203" s="0" t="s">
        <v>2716</v>
      </c>
      <c r="EJ203" s="0" t="s">
        <v>221</v>
      </c>
      <c r="EK203" s="0" t="s">
        <v>209</v>
      </c>
      <c r="EL203" s="0" t="n">
        <v>28</v>
      </c>
      <c r="EM203" s="0" t="n">
        <v>7</v>
      </c>
      <c r="EN203" s="0" t="n">
        <v>8</v>
      </c>
      <c r="EO203" s="0" t="n">
        <v>6</v>
      </c>
      <c r="EP203" s="0" t="n">
        <v>7</v>
      </c>
      <c r="EQ203" s="0" t="n">
        <f aca="false">IF($A203="","",IF(AH203="exact",10,IF(AH203="adjacent",5,0)))</f>
        <v>0</v>
      </c>
      <c r="ER203" s="0" t="n">
        <f aca="false">IF($A203="","",IF(R203="Y",15,0))</f>
        <v>0</v>
      </c>
      <c r="ES203" s="0" t="s">
        <v>222</v>
      </c>
      <c r="EV203" s="0" t="s">
        <v>1739</v>
      </c>
      <c r="EW203" s="0" t="s">
        <v>224</v>
      </c>
      <c r="EX203" s="0" t="s">
        <v>4188</v>
      </c>
      <c r="FS203" s="0" t="str">
        <f aca="false">IF($A203="","",IF(ISNUMBER(MATCH(U203,{"queued","contacted","replied","call_booked","call_done","yes_in_principle","materials_sent"},0)),"Y","N"))</f>
        <v>N</v>
      </c>
      <c r="FT203" s="0" t="str">
        <f aca="false">IF($A203="","",IF(OR(T203="Y",U203="do_not_contact",AS203&amp;""&lt;&gt;""),"Y","N"))</f>
        <v>N</v>
      </c>
      <c r="FU203" s="0" t="str">
        <f aca="false">IF($A203="","",IF(AP203&amp;""&lt;&gt;"",AP203&amp;"",$A203))</f>
        <v>AO-C-119</v>
      </c>
      <c r="FV203" s="0" t="str">
        <f aca="false">IF($A203="","",IF(COUNTIFS($FU$2:$FU$1000,FU203,$FS$2:$FS$1000,"Y")+COUNTIFS($FU$2:$FU$1000,FU203,$FT$2:$FT$1000,"Y")&gt;0,"Y","N"))</f>
        <v>N</v>
      </c>
      <c r="FW203" s="0" t="str">
        <f aca="false">IF($A203="","",IF(AND(U203="new",T203="N",FT203="N",AT203="Y",FV203="N"),"Y","N"))</f>
        <v>N</v>
      </c>
      <c r="FX203" s="0" t="str">
        <f aca="false">IF($A203="","",IF(FW203&lt;&gt;"Y","N",IF(COUNTIFS($FU$2:$FU$1000,FU203,$FW$2:$FW$1000,"Y",$J$2:$J$1000,"&gt;"&amp;J203)+COUNTIFS($FU$2:$FU$1000,FU203,$FW$2:$FW$1000,"Y",$J$2:$J$1000,J203,$GD$2:$GD$1000,"&lt;"&amp;GD203)=0,"Y","N")))</f>
        <v>N</v>
      </c>
      <c r="FY203" s="0" t="str">
        <f aca="false">IF($A203="","",IF(AND(FW203="Y",FX203="Y",Y203&amp;""&lt;&gt;""),IF(Y203&lt;=10,"Y","N"),"N"))</f>
        <v>N</v>
      </c>
      <c r="FZ203" s="0" t="str">
        <f aca="false">IF(FY203="Y",Y203,"")</f>
        <v/>
      </c>
      <c r="GA203" s="0" t="str">
        <f aca="false">IF($A203="","",IF(AND(I203="walk-in",CN203="pass",U203="new",FT203="N",FV203="N",AQ203&lt;&gt;"Y"),"Y","N"))</f>
        <v>N</v>
      </c>
      <c r="GB203" s="0" t="str">
        <f aca="false">IF(GA203&lt;&gt;"Y","",IF(COUNTIFS($GA$2:$GA$1000,"Y",$J$2:$J$1000,"&gt;"&amp;J203)+COUNTIFS($GA$2:$GA$1000,"Y",$J$2:$J$1000,J203,$GD$2:$GD$1000,"&lt;"&amp;GD203)+1&lt;=25,COUNTIFS($GA$2:$GA$1000,"Y",$J$2:$J$1000,"&gt;"&amp;J203)+COUNTIFS($GA$2:$GA$1000,"Y",$J$2:$J$1000,J203,$GD$2:$GD$1000,"&lt;"&amp;GD203)+1,""))</f>
        <v/>
      </c>
      <c r="GC203" s="0" t="str">
        <f aca="false">IF(AND(_xlfn.ISFORMULA(C203),_xlfn.ISFORMULA(J203)),"Y","N")</f>
        <v>Y</v>
      </c>
      <c r="GD203" s="0" t="n">
        <f aca="false">ROW()-1</f>
        <v>202</v>
      </c>
    </row>
    <row r="204" customFormat="false" ht="15" hidden="false" customHeight="false" outlineLevel="0" collapsed="false">
      <c r="A204" s="0" t="s">
        <v>4189</v>
      </c>
      <c r="B204" s="0" t="s">
        <v>4190</v>
      </c>
      <c r="C204" s="0" t="str">
        <f aca="false">IF($A204="","",IF(AW204="Y",BM204&amp;"",AY204&amp;""))</f>
        <v/>
      </c>
      <c r="D204" s="0" t="str">
        <f aca="false">IF($A204="","",IF(AW204="Y",BN204&amp;"",AZ204&amp;""))</f>
        <v/>
      </c>
      <c r="E204" s="0" t="str">
        <f aca="false">IF($A204="","",IF(AW204="Y",BO204&amp;"",BA204&amp;""))</f>
        <v/>
      </c>
      <c r="F204" s="0" t="str">
        <f aca="false">IF($A204="","",IF(AW204="Y",BP204&amp;"",BB204&amp;""))</f>
        <v/>
      </c>
      <c r="G204" s="0" t="str">
        <f aca="false">IF($A204="","",IF(AW204="Y",BQ204&amp;"",BC204&amp;""))</f>
        <v/>
      </c>
      <c r="H204" s="0" t="str">
        <f aca="false">IF($A204="","",IF(AW204="Y",BR204&amp;"",BD204&amp;""))</f>
        <v>none</v>
      </c>
      <c r="I204" s="0" t="str">
        <f aca="false">IF($A204="","",IF(R204="Y","warm-intro",IF(H204="verified","email",IF(C204&lt;&gt;"","linkedin",CB204&amp;""))))</f>
        <v>linkedin</v>
      </c>
      <c r="J204" s="0" t="n">
        <f aca="false">IF($A204="","",IF(CN204="pass",ROUND(N(EM204)+N(EN204)+N(EO204)+N(EP204)+N(EQ204)+N(ER204),1),0))</f>
        <v>26.2</v>
      </c>
      <c r="K204" s="0" t="str">
        <f aca="false">IF($A204="","",IF(CN204&lt;&gt;"pass",CA204&amp;"",CA204&amp;"; "&amp;IF(AW204="Y",BZ204&amp;"",BL204&amp;"")&amp;IF(R204="Y","; known to the founder (+15)","")&amp;"."))</f>
        <v>Tuesday estimate 199 to 399 (low confidence), 501 to 1,000 staff company-wide, hybrid (days not stated), occupancy-unconfirmed at a low-confidence address; contacts not researched yet.</v>
      </c>
      <c r="L204" s="0" t="s">
        <v>355</v>
      </c>
      <c r="R204" s="5" t="s">
        <v>189</v>
      </c>
      <c r="S204" s="0" t="s">
        <v>209</v>
      </c>
      <c r="T204" s="0" t="s">
        <v>189</v>
      </c>
      <c r="U204" s="5" t="s">
        <v>3896</v>
      </c>
      <c r="V204" s="0" t="s">
        <v>4191</v>
      </c>
      <c r="W204" s="0" t="s">
        <v>263</v>
      </c>
      <c r="X204" s="0" t="s">
        <v>3897</v>
      </c>
      <c r="Y204" s="0" t="str">
        <f aca="false">IF(FX204&lt;&gt;"Y","",COUNTIFS($FX$2:$FX$1000,"Y",$J$2:$J$1000,"&gt;"&amp;J204)+COUNTIFS($FX$2:$FX$1000,"Y",$J$2:$J$1000,J204,$GD$2:$GD$1000,"&lt;"&amp;GD204)+1)</f>
        <v/>
      </c>
      <c r="Z204" s="0" t="n">
        <v>203</v>
      </c>
      <c r="AA204" s="0" t="s">
        <v>189</v>
      </c>
      <c r="AB204" s="0" t="str">
        <f aca="false">IF($A204="","",IF(AW204="Y",BY204&amp;"",BK204&amp;""))</f>
        <v>Tuesday estimate band 251-500: founder's call (set founder_ok_to_queue = Y to queue)</v>
      </c>
      <c r="AC204" s="0" t="str">
        <f aca="false">IF($A204="","",IF(AW204="Y",BS204&amp;"",BE204&amp;""))</f>
        <v/>
      </c>
      <c r="AD204" s="0" t="str">
        <f aca="false">IF($A204="","",IF(AW204="Y",BT204&amp;"",BF204&amp;""))</f>
        <v>none</v>
      </c>
      <c r="AE204" s="0" t="str">
        <f aca="false">IF($A204="","",IF(AW204="Y",BU204&amp;"",BG204&amp;""))</f>
        <v/>
      </c>
      <c r="AF204" s="0" t="str">
        <f aca="false">IF($A204="","",IF(AW204="Y",BV204&amp;"",BH204&amp;""))</f>
        <v/>
      </c>
      <c r="AG204" s="0" t="str">
        <f aca="false">IF($A204="","",IF(AW204="Y",BW204&amp;"",BI204&amp;""))</f>
        <v/>
      </c>
      <c r="AH204" s="0" t="str">
        <f aca="false">IF($A204="","",IF(AW204="Y",BX204&amp;"",BJ204&amp;""))</f>
        <v>none</v>
      </c>
      <c r="AI204" s="0" t="s">
        <v>3475</v>
      </c>
      <c r="AJ204" s="0" t="s">
        <v>4192</v>
      </c>
      <c r="AK204" s="0" t="s">
        <v>3898</v>
      </c>
      <c r="AL204" s="0" t="n">
        <v>199</v>
      </c>
      <c r="AM204" s="0" t="n">
        <v>399</v>
      </c>
      <c r="AN204" s="0" t="s">
        <v>187</v>
      </c>
      <c r="AO204" s="0" t="s">
        <v>512</v>
      </c>
      <c r="AP204" s="0" t="s">
        <v>4189</v>
      </c>
      <c r="AQ204" s="5" t="s">
        <v>189</v>
      </c>
      <c r="AT204" s="0" t="str">
        <f aca="false">IF($A204="","",IF(AND(CN204="pass",AQ204&lt;&gt;"Y",C204&lt;&gt;"",OR(AX204&lt;&gt;"Y",AV204="Y")),"Y","N"))</f>
        <v>N</v>
      </c>
      <c r="AU204" s="0" t="str">
        <f aca="false">IF($A204="","",_xlfn.TEXTJOIN("; ",TRUE(),IF(CN204&lt;&gt;"pass","gated out",""),IF(AQ204="Y","on hold: "&amp;AR204,""),IF(C204="","no contact named on an opened page",""),IF(AND(AX204="Y",AV204&lt;&gt;"Y"),"Tuesday estimate band "&amp;L204&amp;": founder's call","")))</f>
        <v>no contact named on an opened page; Tuesday estimate band 251-500: founder's call</v>
      </c>
      <c r="AX204" s="0" t="s">
        <v>164</v>
      </c>
      <c r="BC204" s="0" t="str">
        <f aca="false">IF($A204="","",IFERROR(INDEX(Enrichment!$A$2:$GZ$2000,MATCH($A204,INDEX(Enrichment!$A$2:$GZ$2000,0,MATCH("row_id",Enrichment!$A$1:$GZ$1,0)),0),MATCH("work_email",Enrichment!$A$1:$GZ$1,0))&amp;"",""))</f>
        <v/>
      </c>
      <c r="BD204" s="0" t="str">
        <f aca="false">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none</v>
      </c>
      <c r="BF204" s="0" t="s">
        <v>380</v>
      </c>
      <c r="BJ204" s="0" t="s">
        <v>380</v>
      </c>
      <c r="BK204" s="0" t="s">
        <v>2356</v>
      </c>
      <c r="BL204" s="0" t="s">
        <v>896</v>
      </c>
      <c r="BQ204" s="0" t="str">
        <f aca="false">IF($A204="","",IFERROR(INDEX(Enrichment!$A$2:$GZ$2000,MATCH($A204,INDEX(Enrichment!$A$2:$GZ$2000,0,MATCH("row_id",Enrichment!$A$1:$GZ$1,0)),0),MATCH("backup_work_email",Enrichment!$A$1:$GZ$1,0))&amp;"",""))</f>
        <v/>
      </c>
      <c r="BR204" s="0" t="str">
        <f aca="false">IF($A204="","",IF(BQ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none</v>
      </c>
      <c r="BT204" s="0" t="s">
        <v>380</v>
      </c>
      <c r="BX204" s="0" t="s">
        <v>380</v>
      </c>
      <c r="BY204" s="0" t="s">
        <v>2357</v>
      </c>
      <c r="BZ204" s="0" t="s">
        <v>388</v>
      </c>
      <c r="CA204" s="0" t="s">
        <v>4193</v>
      </c>
      <c r="CB204" s="0" t="s">
        <v>196</v>
      </c>
      <c r="CM204" s="0" t="s">
        <v>189</v>
      </c>
      <c r="CN204" s="0" t="s">
        <v>200</v>
      </c>
      <c r="CO204" s="0" t="s">
        <v>201</v>
      </c>
      <c r="CP204" s="0" t="s">
        <v>1</v>
      </c>
      <c r="CQ204" s="0" t="s">
        <v>4194</v>
      </c>
      <c r="CR204" s="0" t="s">
        <v>4195</v>
      </c>
      <c r="CS204" s="0" t="s">
        <v>4196</v>
      </c>
      <c r="CT204" s="0" t="s">
        <v>4197</v>
      </c>
      <c r="CV204" s="0" t="s">
        <v>976</v>
      </c>
      <c r="CW204" s="0" t="s">
        <v>204</v>
      </c>
      <c r="CX204" s="0" t="s">
        <v>205</v>
      </c>
      <c r="CY204" s="0" t="s">
        <v>4198</v>
      </c>
      <c r="DA204" s="0" t="s">
        <v>1351</v>
      </c>
      <c r="DB204" s="0" t="s">
        <v>259</v>
      </c>
      <c r="DC204" s="0" t="s">
        <v>164</v>
      </c>
      <c r="DD204" s="0" t="s">
        <v>209</v>
      </c>
      <c r="DE204" s="0" t="s">
        <v>4199</v>
      </c>
      <c r="DF204" s="0" t="s">
        <v>397</v>
      </c>
      <c r="DG204" s="0" t="n">
        <v>40.737788</v>
      </c>
      <c r="DH204" s="0" t="n">
        <v>-73.992555</v>
      </c>
      <c r="DI204" s="0" t="s">
        <v>164</v>
      </c>
      <c r="DJ204" s="0" t="n">
        <v>0</v>
      </c>
      <c r="DK204" s="0" t="s">
        <v>3485</v>
      </c>
      <c r="DL204" s="0" t="s">
        <v>3475</v>
      </c>
      <c r="DM204" s="0" t="s">
        <v>4191</v>
      </c>
      <c r="DN204" s="0" t="s">
        <v>1975</v>
      </c>
      <c r="DO204" s="0" t="s">
        <v>363</v>
      </c>
      <c r="DS204" s="0" t="s">
        <v>187</v>
      </c>
      <c r="DU204" s="0" t="s">
        <v>189</v>
      </c>
      <c r="DX204" s="0" t="s">
        <v>209</v>
      </c>
      <c r="EA204" s="0" t="s">
        <v>209</v>
      </c>
      <c r="EB204" s="0" t="s">
        <v>189</v>
      </c>
      <c r="EC204" s="0" t="s">
        <v>1018</v>
      </c>
      <c r="ED204" s="0" t="s">
        <v>4200</v>
      </c>
      <c r="EE204" s="0" t="s">
        <v>172</v>
      </c>
      <c r="EF204" s="0" t="n">
        <v>282</v>
      </c>
      <c r="EG204" s="0" t="s">
        <v>366</v>
      </c>
      <c r="EH204" s="0" t="s">
        <v>189</v>
      </c>
      <c r="EI204" s="0" t="s">
        <v>4201</v>
      </c>
      <c r="EJ204" s="0" t="s">
        <v>221</v>
      </c>
      <c r="EK204" s="0" t="n">
        <v>0.33</v>
      </c>
      <c r="EL204" s="0" t="n">
        <v>26.2</v>
      </c>
      <c r="EM204" s="0" t="n">
        <v>8.2</v>
      </c>
      <c r="EN204" s="0" t="n">
        <v>6</v>
      </c>
      <c r="EO204" s="0" t="n">
        <v>7</v>
      </c>
      <c r="EP204" s="0" t="n">
        <v>5</v>
      </c>
      <c r="EQ204" s="0" t="n">
        <f aca="false">IF($A204="","",IF(AH204="exact",10,IF(AH204="adjacent",5,0)))</f>
        <v>0</v>
      </c>
      <c r="ER204" s="0" t="n">
        <f aca="false">IF($A204="","",IF(R204="Y",15,0))</f>
        <v>0</v>
      </c>
      <c r="ES204" s="0" t="s">
        <v>982</v>
      </c>
      <c r="ET204" s="0" t="s">
        <v>1360</v>
      </c>
      <c r="EU204" s="0" t="s">
        <v>189</v>
      </c>
      <c r="EV204" s="0" t="s">
        <v>4202</v>
      </c>
      <c r="EW204" s="0" t="s">
        <v>224</v>
      </c>
      <c r="EX204" s="0" t="s">
        <v>4203</v>
      </c>
      <c r="EZ204" s="0" t="s">
        <v>4204</v>
      </c>
      <c r="FS204" s="0" t="str">
        <f aca="false">IF($A204="","",IF(ISNUMBER(MATCH(U204,{"queued","contacted","replied","call_booked","call_done","yes_in_principle","materials_sent"},0)),"Y","N"))</f>
        <v>N</v>
      </c>
      <c r="FT204" s="0" t="str">
        <f aca="false">IF($A204="","",IF(OR(T204="Y",U204="do_not_contact",AS204&amp;""&lt;&gt;""),"Y","N"))</f>
        <v>N</v>
      </c>
      <c r="FU204" s="0" t="str">
        <f aca="false">IF($A204="","",IF(AP204&amp;""&lt;&gt;"",AP204&amp;"",$A204))</f>
        <v>AO-C-189</v>
      </c>
      <c r="FV204" s="0" t="str">
        <f aca="false">IF($A204="","",IF(COUNTIFS($FU$2:$FU$1000,FU204,$FS$2:$FS$1000,"Y")+COUNTIFS($FU$2:$FU$1000,FU204,$FT$2:$FT$1000,"Y")&gt;0,"Y","N"))</f>
        <v>N</v>
      </c>
      <c r="FW204" s="0" t="str">
        <f aca="false">IF($A204="","",IF(AND(U204="new",T204="N",FT204="N",AT204="Y",FV204="N"),"Y","N"))</f>
        <v>N</v>
      </c>
      <c r="FX204" s="0" t="str">
        <f aca="false">IF($A204="","",IF(FW204&lt;&gt;"Y","N",IF(COUNTIFS($FU$2:$FU$1000,FU204,$FW$2:$FW$1000,"Y",$J$2:$J$1000,"&gt;"&amp;J204)+COUNTIFS($FU$2:$FU$1000,FU204,$FW$2:$FW$1000,"Y",$J$2:$J$1000,J204,$GD$2:$GD$1000,"&lt;"&amp;GD204)=0,"Y","N")))</f>
        <v>N</v>
      </c>
      <c r="FY204" s="0" t="str">
        <f aca="false">IF($A204="","",IF(AND(FW204="Y",FX204="Y",Y204&amp;""&lt;&gt;""),IF(Y204&lt;=10,"Y","N"),"N"))</f>
        <v>N</v>
      </c>
      <c r="FZ204" s="0" t="str">
        <f aca="false">IF(FY204="Y",Y204,"")</f>
        <v/>
      </c>
      <c r="GA204" s="0" t="str">
        <f aca="false">IF($A204="","",IF(AND(I204="walk-in",CN204="pass",U204="new",FT204="N",FV204="N",AQ204&lt;&gt;"Y"),"Y","N"))</f>
        <v>N</v>
      </c>
      <c r="GB204" s="0" t="str">
        <f aca="false">IF(GA204&lt;&gt;"Y","",IF(COUNTIFS($GA$2:$GA$1000,"Y",$J$2:$J$1000,"&gt;"&amp;J204)+COUNTIFS($GA$2:$GA$1000,"Y",$J$2:$J$1000,J204,$GD$2:$GD$1000,"&lt;"&amp;GD204)+1&lt;=25,COUNTIFS($GA$2:$GA$1000,"Y",$J$2:$J$1000,"&gt;"&amp;J204)+COUNTIFS($GA$2:$GA$1000,"Y",$J$2:$J$1000,J204,$GD$2:$GD$1000,"&lt;"&amp;GD204)+1,""))</f>
        <v/>
      </c>
      <c r="GC204" s="0" t="str">
        <f aca="false">IF(AND(_xlfn.ISFORMULA(C204),_xlfn.ISFORMULA(J204)),"Y","N")</f>
        <v>Y</v>
      </c>
      <c r="GD204" s="0" t="n">
        <f aca="false">ROW()-1</f>
        <v>203</v>
      </c>
    </row>
    <row r="205" customFormat="false" ht="15" hidden="false" customHeight="false" outlineLevel="0" collapsed="false">
      <c r="A205" s="0" t="s">
        <v>4205</v>
      </c>
      <c r="B205" s="0" t="s">
        <v>4206</v>
      </c>
      <c r="C205" s="0" t="str">
        <f aca="false">IF($A205="","",IF(AW205="Y",BM205&amp;"",AY205&amp;""))</f>
        <v/>
      </c>
      <c r="D205" s="0" t="str">
        <f aca="false">IF($A205="","",IF(AW205="Y",BN205&amp;"",AZ205&amp;""))</f>
        <v/>
      </c>
      <c r="E205" s="0" t="str">
        <f aca="false">IF($A205="","",IF(AW205="Y",BO205&amp;"",BA205&amp;""))</f>
        <v/>
      </c>
      <c r="F205" s="0" t="str">
        <f aca="false">IF($A205="","",IF(AW205="Y",BP205&amp;"",BB205&amp;""))</f>
        <v/>
      </c>
      <c r="G205" s="0" t="str">
        <f aca="false">IF($A205="","",IF(AW205="Y",BQ205&amp;"",BC205&amp;""))</f>
        <v/>
      </c>
      <c r="H205" s="0" t="str">
        <f aca="false">IF($A205="","",IF(AW205="Y",BR205&amp;"",BD205&amp;""))</f>
        <v>none</v>
      </c>
      <c r="I205" s="0" t="str">
        <f aca="false">IF($A205="","",IF(R205="Y","warm-intro",IF(H205="verified","email",IF(C205&lt;&gt;"","linkedin",CB205&amp;""))))</f>
        <v>linkedin</v>
      </c>
      <c r="J205" s="0" t="n">
        <f aca="false">IF($A205="","",IF(CN205="pass",ROUND(N(EM205)+N(EN205)+N(EO205)+N(EP205)+N(EQ205)+N(ER205),1),0))</f>
        <v>26</v>
      </c>
      <c r="K205" s="0" t="str">
        <f aca="false">IF($A205="","",IF(CN205&lt;&gt;"pass",CA205&amp;"",CA205&amp;"; "&amp;IF(AW205="Y",BZ205&amp;"",BL205&amp;"")&amp;IF(R205="Y","; known to the founder (+15)","")&amp;"."))</f>
        <v>Tuesday headcount unknown (no sourced count), company size unknown, no attendance signal, signed-not-occupied at a medium-confidence address (hold: lease signed, move not confirmed); contacts not researched yet.</v>
      </c>
      <c r="L205" s="0" t="s">
        <v>209</v>
      </c>
      <c r="O205" s="0" t="s">
        <v>4207</v>
      </c>
      <c r="P205" s="0" t="s">
        <v>4208</v>
      </c>
      <c r="Q205" s="0" t="s">
        <v>4209</v>
      </c>
      <c r="R205" s="5" t="s">
        <v>189</v>
      </c>
      <c r="S205" s="0" t="s">
        <v>209</v>
      </c>
      <c r="T205" s="0" t="s">
        <v>189</v>
      </c>
      <c r="U205" s="5" t="s">
        <v>3896</v>
      </c>
      <c r="V205" s="0" t="s">
        <v>4208</v>
      </c>
      <c r="W205" s="0" t="s">
        <v>263</v>
      </c>
      <c r="X205" s="0" t="s">
        <v>3897</v>
      </c>
      <c r="Y205" s="0" t="str">
        <f aca="false">IF(FX205&lt;&gt;"Y","",COUNTIFS($FX$2:$FX$1000,"Y",$J$2:$J$1000,"&gt;"&amp;J205)+COUNTIFS($FX$2:$FX$1000,"Y",$J$2:$J$1000,J205,$GD$2:$GD$1000,"&lt;"&amp;GD205)+1)</f>
        <v/>
      </c>
      <c r="Z205" s="0" t="n">
        <v>204</v>
      </c>
      <c r="AA205" s="0" t="s">
        <v>189</v>
      </c>
      <c r="AB205" s="0" t="str">
        <f aca="false">IF($A205="","",IF(AW205="Y",BY205&amp;"",BK205&amp;""))</f>
        <v/>
      </c>
      <c r="AC205" s="0" t="str">
        <f aca="false">IF($A205="","",IF(AW205="Y",BS205&amp;"",BE205&amp;""))</f>
        <v/>
      </c>
      <c r="AD205" s="0" t="str">
        <f aca="false">IF($A205="","",IF(AW205="Y",BT205&amp;"",BF205&amp;""))</f>
        <v>none</v>
      </c>
      <c r="AE205" s="0" t="str">
        <f aca="false">IF($A205="","",IF(AW205="Y",BU205&amp;"",BG205&amp;""))</f>
        <v/>
      </c>
      <c r="AF205" s="0" t="str">
        <f aca="false">IF($A205="","",IF(AW205="Y",BV205&amp;"",BH205&amp;""))</f>
        <v/>
      </c>
      <c r="AG205" s="0" t="str">
        <f aca="false">IF($A205="","",IF(AW205="Y",BW205&amp;"",BI205&amp;""))</f>
        <v/>
      </c>
      <c r="AH205" s="0" t="str">
        <f aca="false">IF($A205="","",IF(AW205="Y",BX205&amp;"",BJ205&amp;""))</f>
        <v>none</v>
      </c>
      <c r="AI205" s="0" t="s">
        <v>1493</v>
      </c>
      <c r="AJ205" s="0" t="s">
        <v>508</v>
      </c>
      <c r="AK205" s="0" t="s">
        <v>4183</v>
      </c>
      <c r="AL205" s="0" t="s">
        <v>209</v>
      </c>
      <c r="AM205" s="0" t="s">
        <v>209</v>
      </c>
      <c r="AN205" s="0" t="s">
        <v>380</v>
      </c>
      <c r="AO205" s="0" t="s">
        <v>209</v>
      </c>
      <c r="AP205" s="0" t="s">
        <v>4205</v>
      </c>
      <c r="AQ205" s="5" t="s">
        <v>164</v>
      </c>
      <c r="AR205" s="0" t="s">
        <v>779</v>
      </c>
      <c r="AT205" s="0" t="str">
        <f aca="false">IF($A205="","",IF(AND(CN205="pass",AQ205&lt;&gt;"Y",C205&lt;&gt;"",OR(AX205&lt;&gt;"Y",AV205="Y")),"Y","N"))</f>
        <v>N</v>
      </c>
      <c r="AU205" s="0" t="str">
        <f aca="false">IF($A205="","",_xlfn.TEXTJOIN("; ",TRUE(),IF(CN205&lt;&gt;"pass","gated out",""),IF(AQ205="Y","on hold: "&amp;AR205,""),IF(C205="","no contact named on an opened page",""),IF(AND(AX205="Y",AV205&lt;&gt;"Y"),"Tuesday estimate band "&amp;L205&amp;": founder's call","")))</f>
        <v>on hold: lease signed, move not confirmed: check the lobby directory before outreach (B); no contact named on an opened page</v>
      </c>
      <c r="AX205" s="0" t="s">
        <v>189</v>
      </c>
      <c r="BC205" s="0" t="str">
        <f aca="false">IF($A205="","",IFERROR(INDEX(Enrichment!$A$2:$GZ$2000,MATCH($A205,INDEX(Enrichment!$A$2:$GZ$2000,0,MATCH("row_id",Enrichment!$A$1:$GZ$1,0)),0),MATCH("work_email",Enrichment!$A$1:$GZ$1,0))&amp;"",""))</f>
        <v/>
      </c>
      <c r="BD205" s="0" t="str">
        <f aca="false">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none</v>
      </c>
      <c r="BF205" s="0" t="s">
        <v>380</v>
      </c>
      <c r="BJ205" s="0" t="s">
        <v>380</v>
      </c>
      <c r="BL205" s="0" t="s">
        <v>896</v>
      </c>
      <c r="BQ205" s="0" t="str">
        <f aca="false">IF($A205="","",IFERROR(INDEX(Enrichment!$A$2:$GZ$2000,MATCH($A205,INDEX(Enrichment!$A$2:$GZ$2000,0,MATCH("row_id",Enrichment!$A$1:$GZ$1,0)),0),MATCH("backup_work_email",Enrichment!$A$1:$GZ$1,0))&amp;"",""))</f>
        <v/>
      </c>
      <c r="BR205" s="0" t="str">
        <f aca="false">IF($A205="","",IF(BQ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none</v>
      </c>
      <c r="BT205" s="0" t="s">
        <v>380</v>
      </c>
      <c r="BX205" s="0" t="s">
        <v>380</v>
      </c>
      <c r="BY205" s="0" t="s">
        <v>387</v>
      </c>
      <c r="BZ205" s="0" t="s">
        <v>388</v>
      </c>
      <c r="CA205" s="0" t="s">
        <v>4210</v>
      </c>
      <c r="CB205" s="0" t="s">
        <v>196</v>
      </c>
      <c r="CM205" s="0" t="s">
        <v>189</v>
      </c>
      <c r="CN205" s="0" t="s">
        <v>200</v>
      </c>
      <c r="CO205" s="0" t="s">
        <v>201</v>
      </c>
      <c r="CP205" s="0" t="s">
        <v>1</v>
      </c>
      <c r="CQ205" s="0" t="s">
        <v>4211</v>
      </c>
      <c r="CR205" s="0" t="s">
        <v>209</v>
      </c>
      <c r="CS205" s="0" t="s">
        <v>4212</v>
      </c>
      <c r="CT205" s="0" t="s">
        <v>209</v>
      </c>
      <c r="CV205" s="0" t="s">
        <v>209</v>
      </c>
      <c r="CW205" s="0" t="s">
        <v>209</v>
      </c>
      <c r="CX205" s="0" t="s">
        <v>2712</v>
      </c>
      <c r="DA205" s="0" t="s">
        <v>209</v>
      </c>
      <c r="DB205" s="0" t="s">
        <v>209</v>
      </c>
      <c r="DC205" s="0" t="s">
        <v>209</v>
      </c>
      <c r="DD205" s="0" t="s">
        <v>209</v>
      </c>
      <c r="DE205" s="0" t="s">
        <v>209</v>
      </c>
      <c r="DF205" s="0" t="s">
        <v>525</v>
      </c>
      <c r="DG205" s="0" t="n">
        <v>40.743288</v>
      </c>
      <c r="DH205" s="0" t="n">
        <v>-73.986627</v>
      </c>
      <c r="DI205" s="0" t="s">
        <v>164</v>
      </c>
      <c r="DJ205" s="0" t="n">
        <v>0</v>
      </c>
      <c r="DK205" s="0" t="s">
        <v>1859</v>
      </c>
      <c r="DL205" s="0" t="s">
        <v>1860</v>
      </c>
      <c r="DM205" s="0" t="s">
        <v>4208</v>
      </c>
      <c r="DN205" s="0" t="s">
        <v>4209</v>
      </c>
      <c r="DO205" s="0" t="s">
        <v>363</v>
      </c>
      <c r="DS205" s="0" t="s">
        <v>809</v>
      </c>
      <c r="DT205" s="0" t="s">
        <v>209</v>
      </c>
      <c r="DU205" s="0" t="s">
        <v>189</v>
      </c>
      <c r="DX205" s="0" t="s">
        <v>209</v>
      </c>
      <c r="EA205" s="0" t="s">
        <v>209</v>
      </c>
      <c r="EB205" s="0" t="s">
        <v>189</v>
      </c>
      <c r="EC205" s="0" t="s">
        <v>209</v>
      </c>
      <c r="EF205" s="0" t="s">
        <v>209</v>
      </c>
      <c r="EH205" s="0" t="s">
        <v>189</v>
      </c>
      <c r="EI205" s="0" t="s">
        <v>2716</v>
      </c>
      <c r="EJ205" s="0" t="s">
        <v>221</v>
      </c>
      <c r="EK205" s="0" t="s">
        <v>209</v>
      </c>
      <c r="EL205" s="0" t="n">
        <v>26</v>
      </c>
      <c r="EM205" s="0" t="n">
        <v>7</v>
      </c>
      <c r="EN205" s="0" t="n">
        <v>8</v>
      </c>
      <c r="EO205" s="0" t="n">
        <v>6</v>
      </c>
      <c r="EP205" s="0" t="n">
        <v>5</v>
      </c>
      <c r="EQ205" s="0" t="n">
        <f aca="false">IF($A205="","",IF(AH205="exact",10,IF(AH205="adjacent",5,0)))</f>
        <v>0</v>
      </c>
      <c r="ER205" s="0" t="n">
        <f aca="false">IF($A205="","",IF(R205="Y",15,0))</f>
        <v>0</v>
      </c>
      <c r="ES205" s="0" t="s">
        <v>222</v>
      </c>
      <c r="EV205" s="0" t="s">
        <v>4213</v>
      </c>
      <c r="EW205" s="0" t="s">
        <v>224</v>
      </c>
      <c r="EX205" s="0" t="s">
        <v>4214</v>
      </c>
      <c r="FS205" s="0" t="str">
        <f aca="false">IF($A205="","",IF(ISNUMBER(MATCH(U205,{"queued","contacted","replied","call_booked","call_done","yes_in_principle","materials_sent"},0)),"Y","N"))</f>
        <v>N</v>
      </c>
      <c r="FT205" s="0" t="str">
        <f aca="false">IF($A205="","",IF(OR(T205="Y",U205="do_not_contact",AS205&amp;""&lt;&gt;""),"Y","N"))</f>
        <v>N</v>
      </c>
      <c r="FU205" s="0" t="str">
        <f aca="false">IF($A205="","",IF(AP205&amp;""&lt;&gt;"",AP205&amp;"",$A205))</f>
        <v>AO-C-139</v>
      </c>
      <c r="FV205" s="0" t="str">
        <f aca="false">IF($A205="","",IF(COUNTIFS($FU$2:$FU$1000,FU205,$FS$2:$FS$1000,"Y")+COUNTIFS($FU$2:$FU$1000,FU205,$FT$2:$FT$1000,"Y")&gt;0,"Y","N"))</f>
        <v>N</v>
      </c>
      <c r="FW205" s="0" t="str">
        <f aca="false">IF($A205="","",IF(AND(U205="new",T205="N",FT205="N",AT205="Y",FV205="N"),"Y","N"))</f>
        <v>N</v>
      </c>
      <c r="FX205" s="0" t="str">
        <f aca="false">IF($A205="","",IF(FW205&lt;&gt;"Y","N",IF(COUNTIFS($FU$2:$FU$1000,FU205,$FW$2:$FW$1000,"Y",$J$2:$J$1000,"&gt;"&amp;J205)+COUNTIFS($FU$2:$FU$1000,FU205,$FW$2:$FW$1000,"Y",$J$2:$J$1000,J205,$GD$2:$GD$1000,"&lt;"&amp;GD205)=0,"Y","N")))</f>
        <v>N</v>
      </c>
      <c r="FY205" s="0" t="str">
        <f aca="false">IF($A205="","",IF(AND(FW205="Y",FX205="Y",Y205&amp;""&lt;&gt;""),IF(Y205&lt;=10,"Y","N"),"N"))</f>
        <v>N</v>
      </c>
      <c r="FZ205" s="0" t="str">
        <f aca="false">IF(FY205="Y",Y205,"")</f>
        <v/>
      </c>
      <c r="GA205" s="0" t="str">
        <f aca="false">IF($A205="","",IF(AND(I205="walk-in",CN205="pass",U205="new",FT205="N",FV205="N",AQ205&lt;&gt;"Y"),"Y","N"))</f>
        <v>N</v>
      </c>
      <c r="GB205" s="0" t="str">
        <f aca="false">IF(GA205&lt;&gt;"Y","",IF(COUNTIFS($GA$2:$GA$1000,"Y",$J$2:$J$1000,"&gt;"&amp;J205)+COUNTIFS($GA$2:$GA$1000,"Y",$J$2:$J$1000,J205,$GD$2:$GD$1000,"&lt;"&amp;GD205)+1&lt;=25,COUNTIFS($GA$2:$GA$1000,"Y",$J$2:$J$1000,"&gt;"&amp;J205)+COUNTIFS($GA$2:$GA$1000,"Y",$J$2:$J$1000,J205,$GD$2:$GD$1000,"&lt;"&amp;GD205)+1,""))</f>
        <v/>
      </c>
      <c r="GC205" s="0" t="str">
        <f aca="false">IF(AND(_xlfn.ISFORMULA(C205),_xlfn.ISFORMULA(J205)),"Y","N")</f>
        <v>Y</v>
      </c>
      <c r="GD205" s="0" t="n">
        <f aca="false">ROW()-1</f>
        <v>204</v>
      </c>
    </row>
    <row r="206" customFormat="false" ht="15" hidden="false" customHeight="false" outlineLevel="0" collapsed="false">
      <c r="A206" s="0" t="s">
        <v>4215</v>
      </c>
      <c r="B206" s="0" t="s">
        <v>4216</v>
      </c>
      <c r="C206" s="0" t="str">
        <f aca="false">IF($A206="","",IF(AW206="Y",BM206&amp;"",AY206&amp;""))</f>
        <v/>
      </c>
      <c r="D206" s="0" t="str">
        <f aca="false">IF($A206="","",IF(AW206="Y",BN206&amp;"",AZ206&amp;""))</f>
        <v/>
      </c>
      <c r="E206" s="0" t="str">
        <f aca="false">IF($A206="","",IF(AW206="Y",BO206&amp;"",BA206&amp;""))</f>
        <v/>
      </c>
      <c r="F206" s="0" t="str">
        <f aca="false">IF($A206="","",IF(AW206="Y",BP206&amp;"",BB206&amp;""))</f>
        <v/>
      </c>
      <c r="G206" s="0" t="str">
        <f aca="false">IF($A206="","",IF(AW206="Y",BQ206&amp;"",BC206&amp;""))</f>
        <v/>
      </c>
      <c r="H206" s="0" t="str">
        <f aca="false">IF($A206="","",IF(AW206="Y",BR206&amp;"",BD206&amp;""))</f>
        <v>none</v>
      </c>
      <c r="I206" s="0" t="str">
        <f aca="false">IF($A206="","",IF(R206="Y","warm-intro",IF(H206="verified","email",IF(C206&lt;&gt;"","linkedin",CB206&amp;""))))</f>
        <v>linkedin</v>
      </c>
      <c r="J206" s="0" t="n">
        <f aca="false">IF($A206="","",IF(CN206="pass",ROUND(N(EM206)+N(EN206)+N(EO206)+N(EP206)+N(EQ206)+N(ER206),1),0))</f>
        <v>26</v>
      </c>
      <c r="K206" s="0" t="str">
        <f aca="false">IF($A206="","",IF(CN206&lt;&gt;"pass",CA206&amp;"",CA206&amp;"; "&amp;IF(AW206="Y",BZ206&amp;"",BL206&amp;"")&amp;IF(R206="Y","; known to the founder (+15)","")&amp;"."))</f>
        <v>Tuesday headcount unknown (no sourced count), company size unknown, no attendance signal, signed-not-occupied at a medium-confidence address (hold: lease signed, move not confirmed); contacts not researched yet.</v>
      </c>
      <c r="L206" s="0" t="s">
        <v>209</v>
      </c>
      <c r="O206" s="0" t="s">
        <v>4217</v>
      </c>
      <c r="P206" s="0" t="s">
        <v>4218</v>
      </c>
      <c r="Q206" s="0" t="s">
        <v>4219</v>
      </c>
      <c r="R206" s="5" t="s">
        <v>189</v>
      </c>
      <c r="S206" s="0" t="s">
        <v>209</v>
      </c>
      <c r="T206" s="0" t="s">
        <v>189</v>
      </c>
      <c r="U206" s="5" t="s">
        <v>3896</v>
      </c>
      <c r="V206" s="0" t="s">
        <v>4218</v>
      </c>
      <c r="W206" s="0" t="s">
        <v>263</v>
      </c>
      <c r="X206" s="0" t="s">
        <v>3897</v>
      </c>
      <c r="Y206" s="0" t="str">
        <f aca="false">IF(FX206&lt;&gt;"Y","",COUNTIFS($FX$2:$FX$1000,"Y",$J$2:$J$1000,"&gt;"&amp;J206)+COUNTIFS($FX$2:$FX$1000,"Y",$J$2:$J$1000,J206,$GD$2:$GD$1000,"&lt;"&amp;GD206)+1)</f>
        <v/>
      </c>
      <c r="Z206" s="0" t="n">
        <v>205</v>
      </c>
      <c r="AA206" s="0" t="s">
        <v>189</v>
      </c>
      <c r="AB206" s="0" t="str">
        <f aca="false">IF($A206="","",IF(AW206="Y",BY206&amp;"",BK206&amp;""))</f>
        <v/>
      </c>
      <c r="AC206" s="0" t="str">
        <f aca="false">IF($A206="","",IF(AW206="Y",BS206&amp;"",BE206&amp;""))</f>
        <v/>
      </c>
      <c r="AD206" s="0" t="str">
        <f aca="false">IF($A206="","",IF(AW206="Y",BT206&amp;"",BF206&amp;""))</f>
        <v>none</v>
      </c>
      <c r="AE206" s="0" t="str">
        <f aca="false">IF($A206="","",IF(AW206="Y",BU206&amp;"",BG206&amp;""))</f>
        <v/>
      </c>
      <c r="AF206" s="0" t="str">
        <f aca="false">IF($A206="","",IF(AW206="Y",BV206&amp;"",BH206&amp;""))</f>
        <v/>
      </c>
      <c r="AG206" s="0" t="str">
        <f aca="false">IF($A206="","",IF(AW206="Y",BW206&amp;"",BI206&amp;""))</f>
        <v/>
      </c>
      <c r="AH206" s="0" t="str">
        <f aca="false">IF($A206="","",IF(AW206="Y",BX206&amp;"",BJ206&amp;""))</f>
        <v>none</v>
      </c>
      <c r="AI206" s="0" t="s">
        <v>1965</v>
      </c>
      <c r="AJ206" s="0" t="s">
        <v>768</v>
      </c>
      <c r="AK206" s="0" t="s">
        <v>4183</v>
      </c>
      <c r="AL206" s="0" t="s">
        <v>209</v>
      </c>
      <c r="AM206" s="0" t="s">
        <v>209</v>
      </c>
      <c r="AN206" s="0" t="s">
        <v>380</v>
      </c>
      <c r="AO206" s="0" t="s">
        <v>209</v>
      </c>
      <c r="AP206" s="0" t="s">
        <v>4215</v>
      </c>
      <c r="AQ206" s="5" t="s">
        <v>164</v>
      </c>
      <c r="AR206" s="0" t="s">
        <v>779</v>
      </c>
      <c r="AT206" s="0" t="str">
        <f aca="false">IF($A206="","",IF(AND(CN206="pass",AQ206&lt;&gt;"Y",C206&lt;&gt;"",OR(AX206&lt;&gt;"Y",AV206="Y")),"Y","N"))</f>
        <v>N</v>
      </c>
      <c r="AU206" s="0" t="str">
        <f aca="false">IF($A206="","",_xlfn.TEXTJOIN("; ",TRUE(),IF(CN206&lt;&gt;"pass","gated out",""),IF(AQ206="Y","on hold: "&amp;AR206,""),IF(C206="","no contact named on an opened page",""),IF(AND(AX206="Y",AV206&lt;&gt;"Y"),"Tuesday estimate band "&amp;L206&amp;": founder's call","")))</f>
        <v>on hold: lease signed, move not confirmed: check the lobby directory before outreach (B); no contact named on an opened page</v>
      </c>
      <c r="AX206" s="0" t="s">
        <v>189</v>
      </c>
      <c r="BC206" s="0" t="str">
        <f aca="false">IF($A206="","",IFERROR(INDEX(Enrichment!$A$2:$GZ$2000,MATCH($A206,INDEX(Enrichment!$A$2:$GZ$2000,0,MATCH("row_id",Enrichment!$A$1:$GZ$1,0)),0),MATCH("work_email",Enrichment!$A$1:$GZ$1,0))&amp;"",""))</f>
        <v/>
      </c>
      <c r="BD206" s="0" t="str">
        <f aca="false">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none</v>
      </c>
      <c r="BF206" s="0" t="s">
        <v>380</v>
      </c>
      <c r="BJ206" s="0" t="s">
        <v>380</v>
      </c>
      <c r="BL206" s="0" t="s">
        <v>896</v>
      </c>
      <c r="BQ206" s="0" t="str">
        <f aca="false">IF($A206="","",IFERROR(INDEX(Enrichment!$A$2:$GZ$2000,MATCH($A206,INDEX(Enrichment!$A$2:$GZ$2000,0,MATCH("row_id",Enrichment!$A$1:$GZ$1,0)),0),MATCH("backup_work_email",Enrichment!$A$1:$GZ$1,0))&amp;"",""))</f>
        <v/>
      </c>
      <c r="BR206" s="0" t="str">
        <f aca="false">IF($A206="","",IF(BQ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none</v>
      </c>
      <c r="BT206" s="0" t="s">
        <v>380</v>
      </c>
      <c r="BX206" s="0" t="s">
        <v>380</v>
      </c>
      <c r="BY206" s="0" t="s">
        <v>387</v>
      </c>
      <c r="BZ206" s="0" t="s">
        <v>388</v>
      </c>
      <c r="CA206" s="0" t="s">
        <v>4210</v>
      </c>
      <c r="CB206" s="0" t="s">
        <v>196</v>
      </c>
      <c r="CM206" s="0" t="s">
        <v>189</v>
      </c>
      <c r="CN206" s="0" t="s">
        <v>200</v>
      </c>
      <c r="CO206" s="0" t="s">
        <v>201</v>
      </c>
      <c r="CP206" s="0" t="s">
        <v>1</v>
      </c>
      <c r="CQ206" s="0" t="s">
        <v>4220</v>
      </c>
      <c r="CR206" s="0" t="s">
        <v>4221</v>
      </c>
      <c r="CS206" s="0" t="s">
        <v>4222</v>
      </c>
      <c r="CT206" s="0" t="s">
        <v>209</v>
      </c>
      <c r="CV206" s="0" t="s">
        <v>209</v>
      </c>
      <c r="CW206" s="0" t="s">
        <v>209</v>
      </c>
      <c r="CX206" s="0" t="s">
        <v>2712</v>
      </c>
      <c r="DA206" s="0" t="s">
        <v>209</v>
      </c>
      <c r="DB206" s="0" t="s">
        <v>209</v>
      </c>
      <c r="DC206" s="0" t="s">
        <v>209</v>
      </c>
      <c r="DD206" s="0" t="s">
        <v>209</v>
      </c>
      <c r="DE206" s="0" t="s">
        <v>209</v>
      </c>
      <c r="DF206" s="0" t="s">
        <v>525</v>
      </c>
      <c r="DG206" s="0" t="n">
        <v>40.738577</v>
      </c>
      <c r="DH206" s="0" t="n">
        <v>-73.987151</v>
      </c>
      <c r="DI206" s="0" t="s">
        <v>164</v>
      </c>
      <c r="DJ206" s="0" t="n">
        <v>0</v>
      </c>
      <c r="DK206" s="0" t="s">
        <v>1753</v>
      </c>
      <c r="DL206" s="0" t="s">
        <v>1754</v>
      </c>
      <c r="DM206" s="0" t="s">
        <v>4218</v>
      </c>
      <c r="DN206" s="0" t="s">
        <v>4219</v>
      </c>
      <c r="DO206" s="0" t="s">
        <v>363</v>
      </c>
      <c r="DP206" s="0" t="s">
        <v>4223</v>
      </c>
      <c r="DQ206" s="0" t="s">
        <v>4224</v>
      </c>
      <c r="DS206" s="0" t="s">
        <v>809</v>
      </c>
      <c r="DT206" s="0" t="s">
        <v>209</v>
      </c>
      <c r="DU206" s="0" t="s">
        <v>189</v>
      </c>
      <c r="DX206" s="0" t="s">
        <v>209</v>
      </c>
      <c r="EA206" s="0" t="s">
        <v>209</v>
      </c>
      <c r="EB206" s="0" t="s">
        <v>189</v>
      </c>
      <c r="EC206" s="0" t="s">
        <v>209</v>
      </c>
      <c r="EF206" s="0" t="s">
        <v>209</v>
      </c>
      <c r="EH206" s="0" t="s">
        <v>189</v>
      </c>
      <c r="EI206" s="0" t="s">
        <v>2716</v>
      </c>
      <c r="EJ206" s="0" t="s">
        <v>221</v>
      </c>
      <c r="EK206" s="0" t="s">
        <v>209</v>
      </c>
      <c r="EL206" s="0" t="n">
        <v>26</v>
      </c>
      <c r="EM206" s="0" t="n">
        <v>7</v>
      </c>
      <c r="EN206" s="0" t="n">
        <v>8</v>
      </c>
      <c r="EO206" s="0" t="n">
        <v>6</v>
      </c>
      <c r="EP206" s="0" t="n">
        <v>5</v>
      </c>
      <c r="EQ206" s="0" t="n">
        <f aca="false">IF($A206="","",IF(AH206="exact",10,IF(AH206="adjacent",5,0)))</f>
        <v>0</v>
      </c>
      <c r="ER206" s="0" t="n">
        <f aca="false">IF($A206="","",IF(R206="Y",15,0))</f>
        <v>0</v>
      </c>
      <c r="ES206" s="0" t="s">
        <v>222</v>
      </c>
      <c r="EV206" s="0" t="s">
        <v>2918</v>
      </c>
      <c r="EW206" s="0" t="s">
        <v>224</v>
      </c>
      <c r="EX206" s="0" t="s">
        <v>4225</v>
      </c>
      <c r="FS206" s="0" t="str">
        <f aca="false">IF($A206="","",IF(ISNUMBER(MATCH(U206,{"queued","contacted","replied","call_booked","call_done","yes_in_principle","materials_sent"},0)),"Y","N"))</f>
        <v>N</v>
      </c>
      <c r="FT206" s="0" t="str">
        <f aca="false">IF($A206="","",IF(OR(T206="Y",U206="do_not_contact",AS206&amp;""&lt;&gt;""),"Y","N"))</f>
        <v>N</v>
      </c>
      <c r="FU206" s="0" t="str">
        <f aca="false">IF($A206="","",IF(AP206&amp;""&lt;&gt;"",AP206&amp;"",$A206))</f>
        <v>AO-C-065</v>
      </c>
      <c r="FV206" s="0" t="str">
        <f aca="false">IF($A206="","",IF(COUNTIFS($FU$2:$FU$1000,FU206,$FS$2:$FS$1000,"Y")+COUNTIFS($FU$2:$FU$1000,FU206,$FT$2:$FT$1000,"Y")&gt;0,"Y","N"))</f>
        <v>N</v>
      </c>
      <c r="FW206" s="0" t="str">
        <f aca="false">IF($A206="","",IF(AND(U206="new",T206="N",FT206="N",AT206="Y",FV206="N"),"Y","N"))</f>
        <v>N</v>
      </c>
      <c r="FX206" s="0" t="str">
        <f aca="false">IF($A206="","",IF(FW206&lt;&gt;"Y","N",IF(COUNTIFS($FU$2:$FU$1000,FU206,$FW$2:$FW$1000,"Y",$J$2:$J$1000,"&gt;"&amp;J206)+COUNTIFS($FU$2:$FU$1000,FU206,$FW$2:$FW$1000,"Y",$J$2:$J$1000,J206,$GD$2:$GD$1000,"&lt;"&amp;GD206)=0,"Y","N")))</f>
        <v>N</v>
      </c>
      <c r="FY206" s="0" t="str">
        <f aca="false">IF($A206="","",IF(AND(FW206="Y",FX206="Y",Y206&amp;""&lt;&gt;""),IF(Y206&lt;=10,"Y","N"),"N"))</f>
        <v>N</v>
      </c>
      <c r="FZ206" s="0" t="str">
        <f aca="false">IF(FY206="Y",Y206,"")</f>
        <v/>
      </c>
      <c r="GA206" s="0" t="str">
        <f aca="false">IF($A206="","",IF(AND(I206="walk-in",CN206="pass",U206="new",FT206="N",FV206="N",AQ206&lt;&gt;"Y"),"Y","N"))</f>
        <v>N</v>
      </c>
      <c r="GB206" s="0" t="str">
        <f aca="false">IF(GA206&lt;&gt;"Y","",IF(COUNTIFS($GA$2:$GA$1000,"Y",$J$2:$J$1000,"&gt;"&amp;J206)+COUNTIFS($GA$2:$GA$1000,"Y",$J$2:$J$1000,J206,$GD$2:$GD$1000,"&lt;"&amp;GD206)+1&lt;=25,COUNTIFS($GA$2:$GA$1000,"Y",$J$2:$J$1000,"&gt;"&amp;J206)+COUNTIFS($GA$2:$GA$1000,"Y",$J$2:$J$1000,J206,$GD$2:$GD$1000,"&lt;"&amp;GD206)+1,""))</f>
        <v/>
      </c>
      <c r="GC206" s="0" t="str">
        <f aca="false">IF(AND(_xlfn.ISFORMULA(C206),_xlfn.ISFORMULA(J206)),"Y","N")</f>
        <v>Y</v>
      </c>
      <c r="GD206" s="0" t="n">
        <f aca="false">ROW()-1</f>
        <v>205</v>
      </c>
    </row>
    <row r="207" customFormat="false" ht="15" hidden="false" customHeight="false" outlineLevel="0" collapsed="false">
      <c r="A207" s="0" t="s">
        <v>4226</v>
      </c>
      <c r="B207" s="0" t="s">
        <v>4227</v>
      </c>
      <c r="C207" s="0" t="str">
        <f aca="false">IF($A207="","",IF(AW207="Y",BM207&amp;"",AY207&amp;""))</f>
        <v/>
      </c>
      <c r="D207" s="0" t="str">
        <f aca="false">IF($A207="","",IF(AW207="Y",BN207&amp;"",AZ207&amp;""))</f>
        <v/>
      </c>
      <c r="E207" s="0" t="str">
        <f aca="false">IF($A207="","",IF(AW207="Y",BO207&amp;"",BA207&amp;""))</f>
        <v/>
      </c>
      <c r="F207" s="0" t="str">
        <f aca="false">IF($A207="","",IF(AW207="Y",BP207&amp;"",BB207&amp;""))</f>
        <v/>
      </c>
      <c r="G207" s="0" t="str">
        <f aca="false">IF($A207="","",IF(AW207="Y",BQ207&amp;"",BC207&amp;""))</f>
        <v/>
      </c>
      <c r="H207" s="0" t="str">
        <f aca="false">IF($A207="","",IF(AW207="Y",BR207&amp;"",BD207&amp;""))</f>
        <v>none</v>
      </c>
      <c r="I207" s="0" t="str">
        <f aca="false">IF($A207="","",IF(R207="Y","warm-intro",IF(H207="verified","email",IF(C207&lt;&gt;"","linkedin",CB207&amp;""))))</f>
        <v>linkedin</v>
      </c>
      <c r="J207" s="0" t="n">
        <f aca="false">IF($A207="","",IF(CN207="pass",ROUND(N(EM207)+N(EN207)+N(EO207)+N(EP207)+N(EQ207)+N(ER207),1),0))</f>
        <v>26</v>
      </c>
      <c r="K207" s="0" t="str">
        <f aca="false">IF($A207="","",IF(CN207&lt;&gt;"pass",CA207&amp;"",CA207&amp;"; "&amp;IF(AW207="Y",BZ207&amp;"",BL207&amp;"")&amp;IF(R207="Y","; known to the founder (+15)","")&amp;"."))</f>
        <v>Tuesday headcount unknown (no sourced count), company size unknown, no attendance signal, signed-not-occupied at a medium-confidence address (hold: lease signed, move not confirmed); contacts not researched yet.</v>
      </c>
      <c r="L207" s="0" t="s">
        <v>209</v>
      </c>
      <c r="O207" s="0" t="s">
        <v>4228</v>
      </c>
      <c r="P207" s="0" t="s">
        <v>2984</v>
      </c>
      <c r="Q207" s="0" t="s">
        <v>2985</v>
      </c>
      <c r="R207" s="5" t="s">
        <v>189</v>
      </c>
      <c r="S207" s="0" t="s">
        <v>209</v>
      </c>
      <c r="T207" s="0" t="s">
        <v>189</v>
      </c>
      <c r="U207" s="5" t="s">
        <v>3896</v>
      </c>
      <c r="V207" s="0" t="s">
        <v>2984</v>
      </c>
      <c r="W207" s="0" t="s">
        <v>263</v>
      </c>
      <c r="X207" s="0" t="s">
        <v>3897</v>
      </c>
      <c r="Y207" s="0" t="str">
        <f aca="false">IF(FX207&lt;&gt;"Y","",COUNTIFS($FX$2:$FX$1000,"Y",$J$2:$J$1000,"&gt;"&amp;J207)+COUNTIFS($FX$2:$FX$1000,"Y",$J$2:$J$1000,J207,$GD$2:$GD$1000,"&lt;"&amp;GD207)+1)</f>
        <v/>
      </c>
      <c r="Z207" s="0" t="n">
        <v>206</v>
      </c>
      <c r="AA207" s="0" t="s">
        <v>189</v>
      </c>
      <c r="AB207" s="0" t="str">
        <f aca="false">IF($A207="","",IF(AW207="Y",BY207&amp;"",BK207&amp;""))</f>
        <v/>
      </c>
      <c r="AC207" s="0" t="str">
        <f aca="false">IF($A207="","",IF(AW207="Y",BS207&amp;"",BE207&amp;""))</f>
        <v/>
      </c>
      <c r="AD207" s="0" t="str">
        <f aca="false">IF($A207="","",IF(AW207="Y",BT207&amp;"",BF207&amp;""))</f>
        <v>none</v>
      </c>
      <c r="AE207" s="0" t="str">
        <f aca="false">IF($A207="","",IF(AW207="Y",BU207&amp;"",BG207&amp;""))</f>
        <v/>
      </c>
      <c r="AF207" s="0" t="str">
        <f aca="false">IF($A207="","",IF(AW207="Y",BV207&amp;"",BH207&amp;""))</f>
        <v/>
      </c>
      <c r="AG207" s="0" t="str">
        <f aca="false">IF($A207="","",IF(AW207="Y",BW207&amp;"",BI207&amp;""))</f>
        <v/>
      </c>
      <c r="AH207" s="0" t="str">
        <f aca="false">IF($A207="","",IF(AW207="Y",BX207&amp;"",BJ207&amp;""))</f>
        <v>none</v>
      </c>
      <c r="AI207" s="0" t="s">
        <v>2976</v>
      </c>
      <c r="AJ207" s="0" t="s">
        <v>2191</v>
      </c>
      <c r="AK207" s="0" t="s">
        <v>4183</v>
      </c>
      <c r="AL207" s="0" t="s">
        <v>209</v>
      </c>
      <c r="AM207" s="0" t="s">
        <v>209</v>
      </c>
      <c r="AN207" s="0" t="s">
        <v>380</v>
      </c>
      <c r="AO207" s="0" t="s">
        <v>209</v>
      </c>
      <c r="AP207" s="0" t="s">
        <v>4226</v>
      </c>
      <c r="AQ207" s="5" t="s">
        <v>164</v>
      </c>
      <c r="AR207" s="0" t="s">
        <v>779</v>
      </c>
      <c r="AT207" s="0" t="str">
        <f aca="false">IF($A207="","",IF(AND(CN207="pass",AQ207&lt;&gt;"Y",C207&lt;&gt;"",OR(AX207&lt;&gt;"Y",AV207="Y")),"Y","N"))</f>
        <v>N</v>
      </c>
      <c r="AU207" s="0" t="str">
        <f aca="false">IF($A207="","",_xlfn.TEXTJOIN("; ",TRUE(),IF(CN207&lt;&gt;"pass","gated out",""),IF(AQ207="Y","on hold: "&amp;AR207,""),IF(C207="","no contact named on an opened page",""),IF(AND(AX207="Y",AV207&lt;&gt;"Y"),"Tuesday estimate band "&amp;L207&amp;": founder's call","")))</f>
        <v>on hold: lease signed, move not confirmed: check the lobby directory before outreach (B); no contact named on an opened page</v>
      </c>
      <c r="AX207" s="0" t="s">
        <v>189</v>
      </c>
      <c r="BC207" s="0" t="str">
        <f aca="false">IF($A207="","",IFERROR(INDEX(Enrichment!$A$2:$GZ$2000,MATCH($A207,INDEX(Enrichment!$A$2:$GZ$2000,0,MATCH("row_id",Enrichment!$A$1:$GZ$1,0)),0),MATCH("work_email",Enrichment!$A$1:$GZ$1,0))&amp;"",""))</f>
        <v/>
      </c>
      <c r="BD207" s="0" t="str">
        <f aca="false">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none</v>
      </c>
      <c r="BF207" s="0" t="s">
        <v>380</v>
      </c>
      <c r="BJ207" s="0" t="s">
        <v>380</v>
      </c>
      <c r="BL207" s="0" t="s">
        <v>896</v>
      </c>
      <c r="BQ207" s="0" t="str">
        <f aca="false">IF($A207="","",IFERROR(INDEX(Enrichment!$A$2:$GZ$2000,MATCH($A207,INDEX(Enrichment!$A$2:$GZ$2000,0,MATCH("row_id",Enrichment!$A$1:$GZ$1,0)),0),MATCH("backup_work_email",Enrichment!$A$1:$GZ$1,0))&amp;"",""))</f>
        <v/>
      </c>
      <c r="BR207" s="0" t="str">
        <f aca="false">IF($A207="","",IF(BQ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none</v>
      </c>
      <c r="BT207" s="0" t="s">
        <v>380</v>
      </c>
      <c r="BX207" s="0" t="s">
        <v>380</v>
      </c>
      <c r="BY207" s="0" t="s">
        <v>387</v>
      </c>
      <c r="BZ207" s="0" t="s">
        <v>388</v>
      </c>
      <c r="CA207" s="0" t="s">
        <v>4210</v>
      </c>
      <c r="CB207" s="0" t="s">
        <v>196</v>
      </c>
      <c r="CM207" s="0" t="s">
        <v>189</v>
      </c>
      <c r="CN207" s="0" t="s">
        <v>200</v>
      </c>
      <c r="CO207" s="0" t="s">
        <v>201</v>
      </c>
      <c r="CP207" s="0" t="s">
        <v>1</v>
      </c>
      <c r="CQ207" s="0" t="s">
        <v>4229</v>
      </c>
      <c r="CR207" s="0" t="s">
        <v>209</v>
      </c>
      <c r="CS207" s="0" t="s">
        <v>4230</v>
      </c>
      <c r="CT207" s="0" t="s">
        <v>209</v>
      </c>
      <c r="CV207" s="0" t="s">
        <v>209</v>
      </c>
      <c r="CW207" s="0" t="s">
        <v>209</v>
      </c>
      <c r="CX207" s="0" t="s">
        <v>2712</v>
      </c>
      <c r="DA207" s="0" t="s">
        <v>209</v>
      </c>
      <c r="DB207" s="0" t="s">
        <v>209</v>
      </c>
      <c r="DC207" s="0" t="s">
        <v>209</v>
      </c>
      <c r="DD207" s="0" t="s">
        <v>209</v>
      </c>
      <c r="DE207" s="0" t="s">
        <v>209</v>
      </c>
      <c r="DF207" s="0" t="s">
        <v>397</v>
      </c>
      <c r="DG207" s="0" t="n">
        <v>40.738186</v>
      </c>
      <c r="DH207" s="0" t="n">
        <v>-73.992429</v>
      </c>
      <c r="DI207" s="0" t="s">
        <v>164</v>
      </c>
      <c r="DJ207" s="0" t="n">
        <v>0</v>
      </c>
      <c r="DK207" s="0" t="s">
        <v>2983</v>
      </c>
      <c r="DL207" s="0" t="s">
        <v>2976</v>
      </c>
      <c r="DM207" s="0" t="s">
        <v>2984</v>
      </c>
      <c r="DN207" s="0" t="s">
        <v>2985</v>
      </c>
      <c r="DO207" s="0" t="s">
        <v>363</v>
      </c>
      <c r="DS207" s="0" t="s">
        <v>809</v>
      </c>
      <c r="DT207" s="0" t="s">
        <v>209</v>
      </c>
      <c r="DU207" s="0" t="s">
        <v>189</v>
      </c>
      <c r="DX207" s="0" t="s">
        <v>209</v>
      </c>
      <c r="EA207" s="0" t="s">
        <v>209</v>
      </c>
      <c r="EB207" s="0" t="s">
        <v>189</v>
      </c>
      <c r="EC207" s="0" t="s">
        <v>209</v>
      </c>
      <c r="EF207" s="0" t="s">
        <v>209</v>
      </c>
      <c r="EH207" s="0" t="s">
        <v>189</v>
      </c>
      <c r="EI207" s="0" t="s">
        <v>2716</v>
      </c>
      <c r="EJ207" s="0" t="s">
        <v>221</v>
      </c>
      <c r="EK207" s="0" t="s">
        <v>209</v>
      </c>
      <c r="EL207" s="0" t="n">
        <v>26</v>
      </c>
      <c r="EM207" s="0" t="n">
        <v>7</v>
      </c>
      <c r="EN207" s="0" t="n">
        <v>8</v>
      </c>
      <c r="EO207" s="0" t="n">
        <v>6</v>
      </c>
      <c r="EP207" s="0" t="n">
        <v>5</v>
      </c>
      <c r="EQ207" s="0" t="n">
        <f aca="false">IF($A207="","",IF(AH207="exact",10,IF(AH207="adjacent",5,0)))</f>
        <v>0</v>
      </c>
      <c r="ER207" s="0" t="n">
        <f aca="false">IF($A207="","",IF(R207="Y",15,0))</f>
        <v>0</v>
      </c>
      <c r="ES207" s="0" t="s">
        <v>222</v>
      </c>
      <c r="EV207" s="0" t="s">
        <v>3541</v>
      </c>
      <c r="EW207" s="0" t="s">
        <v>224</v>
      </c>
      <c r="EX207" s="0" t="s">
        <v>4231</v>
      </c>
      <c r="FS207" s="0" t="str">
        <f aca="false">IF($A207="","",IF(ISNUMBER(MATCH(U207,{"queued","contacted","replied","call_booked","call_done","yes_in_principle","materials_sent"},0)),"Y","N"))</f>
        <v>N</v>
      </c>
      <c r="FT207" s="0" t="str">
        <f aca="false">IF($A207="","",IF(OR(T207="Y",U207="do_not_contact",AS207&amp;""&lt;&gt;""),"Y","N"))</f>
        <v>N</v>
      </c>
      <c r="FU207" s="0" t="str">
        <f aca="false">IF($A207="","",IF(AP207&amp;""&lt;&gt;"",AP207&amp;"",$A207))</f>
        <v>AO-C-023</v>
      </c>
      <c r="FV207" s="0" t="str">
        <f aca="false">IF($A207="","",IF(COUNTIFS($FU$2:$FU$1000,FU207,$FS$2:$FS$1000,"Y")+COUNTIFS($FU$2:$FU$1000,FU207,$FT$2:$FT$1000,"Y")&gt;0,"Y","N"))</f>
        <v>N</v>
      </c>
      <c r="FW207" s="0" t="str">
        <f aca="false">IF($A207="","",IF(AND(U207="new",T207="N",FT207="N",AT207="Y",FV207="N"),"Y","N"))</f>
        <v>N</v>
      </c>
      <c r="FX207" s="0" t="str">
        <f aca="false">IF($A207="","",IF(FW207&lt;&gt;"Y","N",IF(COUNTIFS($FU$2:$FU$1000,FU207,$FW$2:$FW$1000,"Y",$J$2:$J$1000,"&gt;"&amp;J207)+COUNTIFS($FU$2:$FU$1000,FU207,$FW$2:$FW$1000,"Y",$J$2:$J$1000,J207,$GD$2:$GD$1000,"&lt;"&amp;GD207)=0,"Y","N")))</f>
        <v>N</v>
      </c>
      <c r="FY207" s="0" t="str">
        <f aca="false">IF($A207="","",IF(AND(FW207="Y",FX207="Y",Y207&amp;""&lt;&gt;""),IF(Y207&lt;=10,"Y","N"),"N"))</f>
        <v>N</v>
      </c>
      <c r="FZ207" s="0" t="str">
        <f aca="false">IF(FY207="Y",Y207,"")</f>
        <v/>
      </c>
      <c r="GA207" s="0" t="str">
        <f aca="false">IF($A207="","",IF(AND(I207="walk-in",CN207="pass",U207="new",FT207="N",FV207="N",AQ207&lt;&gt;"Y"),"Y","N"))</f>
        <v>N</v>
      </c>
      <c r="GB207" s="0" t="str">
        <f aca="false">IF(GA207&lt;&gt;"Y","",IF(COUNTIFS($GA$2:$GA$1000,"Y",$J$2:$J$1000,"&gt;"&amp;J207)+COUNTIFS($GA$2:$GA$1000,"Y",$J$2:$J$1000,J207,$GD$2:$GD$1000,"&lt;"&amp;GD207)+1&lt;=25,COUNTIFS($GA$2:$GA$1000,"Y",$J$2:$J$1000,"&gt;"&amp;J207)+COUNTIFS($GA$2:$GA$1000,"Y",$J$2:$J$1000,J207,$GD$2:$GD$1000,"&lt;"&amp;GD207)+1,""))</f>
        <v/>
      </c>
      <c r="GC207" s="0" t="str">
        <f aca="false">IF(AND(_xlfn.ISFORMULA(C207),_xlfn.ISFORMULA(J207)),"Y","N")</f>
        <v>Y</v>
      </c>
      <c r="GD207" s="0" t="n">
        <f aca="false">ROW()-1</f>
        <v>206</v>
      </c>
    </row>
    <row r="208" customFormat="false" ht="15" hidden="false" customHeight="false" outlineLevel="0" collapsed="false">
      <c r="A208" s="0" t="s">
        <v>4232</v>
      </c>
      <c r="B208" s="0" t="s">
        <v>4233</v>
      </c>
      <c r="C208" s="0" t="str">
        <f aca="false">IF($A208="","",IF(AW208="Y",BM208&amp;"",AY208&amp;""))</f>
        <v/>
      </c>
      <c r="D208" s="0" t="str">
        <f aca="false">IF($A208="","",IF(AW208="Y",BN208&amp;"",AZ208&amp;""))</f>
        <v/>
      </c>
      <c r="E208" s="0" t="str">
        <f aca="false">IF($A208="","",IF(AW208="Y",BO208&amp;"",BA208&amp;""))</f>
        <v/>
      </c>
      <c r="F208" s="0" t="str">
        <f aca="false">IF($A208="","",IF(AW208="Y",BP208&amp;"",BB208&amp;""))</f>
        <v/>
      </c>
      <c r="G208" s="0" t="str">
        <f aca="false">IF($A208="","",IF(AW208="Y",BQ208&amp;"",BC208&amp;""))</f>
        <v/>
      </c>
      <c r="H208" s="0" t="str">
        <f aca="false">IF($A208="","",IF(AW208="Y",BR208&amp;"",BD208&amp;""))</f>
        <v>none</v>
      </c>
      <c r="I208" s="0" t="str">
        <f aca="false">IF($A208="","",IF(R208="Y","warm-intro",IF(H208="verified","email",IF(C208&lt;&gt;"","linkedin",CB208&amp;""))))</f>
        <v>linkedin</v>
      </c>
      <c r="J208" s="0" t="n">
        <f aca="false">IF($A208="","",IF(CN208="pass",ROUND(N(EM208)+N(EN208)+N(EO208)+N(EP208)+N(EQ208)+N(ER208),1),0))</f>
        <v>26</v>
      </c>
      <c r="K208" s="0" t="str">
        <f aca="false">IF($A208="","",IF(CN208&lt;&gt;"pass",CA208&amp;"",CA208&amp;"; "&amp;IF(AW208="Y",BZ208&amp;"",BL208&amp;"")&amp;IF(R208="Y","; known to the founder (+15)","")&amp;"."))</f>
        <v>Tuesday headcount unknown (no sourced count), company size unknown, no attendance signal, signed-not-occupied at a medium-confidence address (hold: lease signed, move not confirmed); contacts not researched yet.</v>
      </c>
      <c r="L208" s="0" t="s">
        <v>209</v>
      </c>
      <c r="O208" s="0" t="s">
        <v>4234</v>
      </c>
      <c r="P208" s="0" t="s">
        <v>1630</v>
      </c>
      <c r="Q208" s="0" t="s">
        <v>1153</v>
      </c>
      <c r="R208" s="5" t="s">
        <v>189</v>
      </c>
      <c r="S208" s="0" t="s">
        <v>209</v>
      </c>
      <c r="T208" s="0" t="s">
        <v>189</v>
      </c>
      <c r="U208" s="5" t="s">
        <v>3896</v>
      </c>
      <c r="V208" s="0" t="s">
        <v>1630</v>
      </c>
      <c r="W208" s="0" t="s">
        <v>263</v>
      </c>
      <c r="X208" s="0" t="s">
        <v>3897</v>
      </c>
      <c r="Y208" s="0" t="str">
        <f aca="false">IF(FX208&lt;&gt;"Y","",COUNTIFS($FX$2:$FX$1000,"Y",$J$2:$J$1000,"&gt;"&amp;J208)+COUNTIFS($FX$2:$FX$1000,"Y",$J$2:$J$1000,J208,$GD$2:$GD$1000,"&lt;"&amp;GD208)+1)</f>
        <v/>
      </c>
      <c r="Z208" s="0" t="n">
        <v>207</v>
      </c>
      <c r="AA208" s="0" t="s">
        <v>189</v>
      </c>
      <c r="AB208" s="0" t="str">
        <f aca="false">IF($A208="","",IF(AW208="Y",BY208&amp;"",BK208&amp;""))</f>
        <v/>
      </c>
      <c r="AC208" s="0" t="str">
        <f aca="false">IF($A208="","",IF(AW208="Y",BS208&amp;"",BE208&amp;""))</f>
        <v/>
      </c>
      <c r="AD208" s="0" t="str">
        <f aca="false">IF($A208="","",IF(AW208="Y",BT208&amp;"",BF208&amp;""))</f>
        <v>none</v>
      </c>
      <c r="AE208" s="0" t="str">
        <f aca="false">IF($A208="","",IF(AW208="Y",BU208&amp;"",BG208&amp;""))</f>
        <v/>
      </c>
      <c r="AF208" s="0" t="str">
        <f aca="false">IF($A208="","",IF(AW208="Y",BV208&amp;"",BH208&amp;""))</f>
        <v/>
      </c>
      <c r="AG208" s="0" t="str">
        <f aca="false">IF($A208="","",IF(AW208="Y",BW208&amp;"",BI208&amp;""))</f>
        <v/>
      </c>
      <c r="AH208" s="0" t="str">
        <f aca="false">IF($A208="","",IF(AW208="Y",BX208&amp;"",BJ208&amp;""))</f>
        <v>none</v>
      </c>
      <c r="AI208" s="0" t="s">
        <v>1897</v>
      </c>
      <c r="AJ208" s="0" t="s">
        <v>456</v>
      </c>
      <c r="AK208" s="0" t="s">
        <v>4183</v>
      </c>
      <c r="AL208" s="0" t="s">
        <v>209</v>
      </c>
      <c r="AM208" s="0" t="s">
        <v>209</v>
      </c>
      <c r="AN208" s="0" t="s">
        <v>380</v>
      </c>
      <c r="AO208" s="0" t="s">
        <v>209</v>
      </c>
      <c r="AP208" s="0" t="s">
        <v>4232</v>
      </c>
      <c r="AQ208" s="5" t="s">
        <v>164</v>
      </c>
      <c r="AR208" s="0" t="s">
        <v>779</v>
      </c>
      <c r="AT208" s="0" t="str">
        <f aca="false">IF($A208="","",IF(AND(CN208="pass",AQ208&lt;&gt;"Y",C208&lt;&gt;"",OR(AX208&lt;&gt;"Y",AV208="Y")),"Y","N"))</f>
        <v>N</v>
      </c>
      <c r="AU208" s="0" t="str">
        <f aca="false">IF($A208="","",_xlfn.TEXTJOIN("; ",TRUE(),IF(CN208&lt;&gt;"pass","gated out",""),IF(AQ208="Y","on hold: "&amp;AR208,""),IF(C208="","no contact named on an opened page",""),IF(AND(AX208="Y",AV208&lt;&gt;"Y"),"Tuesday estimate band "&amp;L208&amp;": founder's call","")))</f>
        <v>on hold: lease signed, move not confirmed: check the lobby directory before outreach (B); no contact named on an opened page</v>
      </c>
      <c r="AX208" s="0" t="s">
        <v>189</v>
      </c>
      <c r="BC208" s="0" t="str">
        <f aca="false">IF($A208="","",IFERROR(INDEX(Enrichment!$A$2:$GZ$2000,MATCH($A208,INDEX(Enrichment!$A$2:$GZ$2000,0,MATCH("row_id",Enrichment!$A$1:$GZ$1,0)),0),MATCH("work_email",Enrichment!$A$1:$GZ$1,0))&amp;"",""))</f>
        <v/>
      </c>
      <c r="BD208" s="0" t="str">
        <f aca="false">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none</v>
      </c>
      <c r="BF208" s="0" t="s">
        <v>380</v>
      </c>
      <c r="BJ208" s="0" t="s">
        <v>380</v>
      </c>
      <c r="BL208" s="0" t="s">
        <v>896</v>
      </c>
      <c r="BQ208" s="0" t="str">
        <f aca="false">IF($A208="","",IFERROR(INDEX(Enrichment!$A$2:$GZ$2000,MATCH($A208,INDEX(Enrichment!$A$2:$GZ$2000,0,MATCH("row_id",Enrichment!$A$1:$GZ$1,0)),0),MATCH("backup_work_email",Enrichment!$A$1:$GZ$1,0))&amp;"",""))</f>
        <v/>
      </c>
      <c r="BR208" s="0" t="str">
        <f aca="false">IF($A208="","",IF(BQ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none</v>
      </c>
      <c r="BT208" s="0" t="s">
        <v>380</v>
      </c>
      <c r="BX208" s="0" t="s">
        <v>380</v>
      </c>
      <c r="BY208" s="0" t="s">
        <v>387</v>
      </c>
      <c r="BZ208" s="0" t="s">
        <v>388</v>
      </c>
      <c r="CA208" s="0" t="s">
        <v>4210</v>
      </c>
      <c r="CB208" s="0" t="s">
        <v>196</v>
      </c>
      <c r="CM208" s="0" t="s">
        <v>189</v>
      </c>
      <c r="CN208" s="0" t="s">
        <v>200</v>
      </c>
      <c r="CO208" s="0" t="s">
        <v>201</v>
      </c>
      <c r="CP208" s="0" t="s">
        <v>1</v>
      </c>
      <c r="CQ208" s="0" t="s">
        <v>4235</v>
      </c>
      <c r="CR208" s="0" t="s">
        <v>4236</v>
      </c>
      <c r="CS208" s="0" t="s">
        <v>4237</v>
      </c>
      <c r="CT208" s="0" t="s">
        <v>209</v>
      </c>
      <c r="CV208" s="0" t="s">
        <v>209</v>
      </c>
      <c r="CW208" s="0" t="s">
        <v>209</v>
      </c>
      <c r="CX208" s="0" t="s">
        <v>2712</v>
      </c>
      <c r="DA208" s="0" t="s">
        <v>209</v>
      </c>
      <c r="DB208" s="0" t="s">
        <v>209</v>
      </c>
      <c r="DC208" s="0" t="s">
        <v>209</v>
      </c>
      <c r="DD208" s="0" t="s">
        <v>209</v>
      </c>
      <c r="DE208" s="0" t="s">
        <v>4238</v>
      </c>
      <c r="DF208" s="0" t="s">
        <v>397</v>
      </c>
      <c r="DG208" s="0" t="n">
        <v>40.736981</v>
      </c>
      <c r="DH208" s="0" t="n">
        <v>-73.993144</v>
      </c>
      <c r="DI208" s="0" t="s">
        <v>164</v>
      </c>
      <c r="DJ208" s="0" t="n">
        <v>0</v>
      </c>
      <c r="DK208" s="0" t="s">
        <v>1628</v>
      </c>
      <c r="DL208" s="0" t="s">
        <v>1629</v>
      </c>
      <c r="DM208" s="0" t="s">
        <v>1630</v>
      </c>
      <c r="DN208" s="0" t="s">
        <v>1153</v>
      </c>
      <c r="DO208" s="0" t="s">
        <v>363</v>
      </c>
      <c r="DS208" s="0" t="s">
        <v>809</v>
      </c>
      <c r="DT208" s="0" t="s">
        <v>209</v>
      </c>
      <c r="DU208" s="0" t="s">
        <v>189</v>
      </c>
      <c r="DX208" s="0" t="s">
        <v>209</v>
      </c>
      <c r="EA208" s="0" t="s">
        <v>209</v>
      </c>
      <c r="EB208" s="0" t="s">
        <v>189</v>
      </c>
      <c r="EC208" s="0" t="s">
        <v>209</v>
      </c>
      <c r="EF208" s="0" t="s">
        <v>209</v>
      </c>
      <c r="EH208" s="0" t="s">
        <v>189</v>
      </c>
      <c r="EI208" s="0" t="s">
        <v>2716</v>
      </c>
      <c r="EJ208" s="0" t="s">
        <v>221</v>
      </c>
      <c r="EK208" s="0" t="s">
        <v>209</v>
      </c>
      <c r="EL208" s="0" t="n">
        <v>26</v>
      </c>
      <c r="EM208" s="0" t="n">
        <v>7</v>
      </c>
      <c r="EN208" s="0" t="n">
        <v>8</v>
      </c>
      <c r="EO208" s="0" t="n">
        <v>6</v>
      </c>
      <c r="EP208" s="0" t="n">
        <v>5</v>
      </c>
      <c r="EQ208" s="0" t="n">
        <f aca="false">IF($A208="","",IF(AH208="exact",10,IF(AH208="adjacent",5,0)))</f>
        <v>0</v>
      </c>
      <c r="ER208" s="0" t="n">
        <f aca="false">IF($A208="","",IF(R208="Y",15,0))</f>
        <v>0</v>
      </c>
      <c r="ES208" s="0" t="s">
        <v>222</v>
      </c>
      <c r="EV208" s="0" t="s">
        <v>4239</v>
      </c>
      <c r="EW208" s="0" t="s">
        <v>224</v>
      </c>
      <c r="EX208" s="0" t="s">
        <v>4240</v>
      </c>
      <c r="EZ208" s="0" t="s">
        <v>4241</v>
      </c>
      <c r="FS208" s="0" t="str">
        <f aca="false">IF($A208="","",IF(ISNUMBER(MATCH(U208,{"queued","contacted","replied","call_booked","call_done","yes_in_principle","materials_sent"},0)),"Y","N"))</f>
        <v>N</v>
      </c>
      <c r="FT208" s="0" t="str">
        <f aca="false">IF($A208="","",IF(OR(T208="Y",U208="do_not_contact",AS208&amp;""&lt;&gt;""),"Y","N"))</f>
        <v>N</v>
      </c>
      <c r="FU208" s="0" t="str">
        <f aca="false">IF($A208="","",IF(AP208&amp;""&lt;&gt;"",AP208&amp;"",$A208))</f>
        <v>AO-C-018</v>
      </c>
      <c r="FV208" s="0" t="str">
        <f aca="false">IF($A208="","",IF(COUNTIFS($FU$2:$FU$1000,FU208,$FS$2:$FS$1000,"Y")+COUNTIFS($FU$2:$FU$1000,FU208,$FT$2:$FT$1000,"Y")&gt;0,"Y","N"))</f>
        <v>N</v>
      </c>
      <c r="FW208" s="0" t="str">
        <f aca="false">IF($A208="","",IF(AND(U208="new",T208="N",FT208="N",AT208="Y",FV208="N"),"Y","N"))</f>
        <v>N</v>
      </c>
      <c r="FX208" s="0" t="str">
        <f aca="false">IF($A208="","",IF(FW208&lt;&gt;"Y","N",IF(COUNTIFS($FU$2:$FU$1000,FU208,$FW$2:$FW$1000,"Y",$J$2:$J$1000,"&gt;"&amp;J208)+COUNTIFS($FU$2:$FU$1000,FU208,$FW$2:$FW$1000,"Y",$J$2:$J$1000,J208,$GD$2:$GD$1000,"&lt;"&amp;GD208)=0,"Y","N")))</f>
        <v>N</v>
      </c>
      <c r="FY208" s="0" t="str">
        <f aca="false">IF($A208="","",IF(AND(FW208="Y",FX208="Y",Y208&amp;""&lt;&gt;""),IF(Y208&lt;=10,"Y","N"),"N"))</f>
        <v>N</v>
      </c>
      <c r="FZ208" s="0" t="str">
        <f aca="false">IF(FY208="Y",Y208,"")</f>
        <v/>
      </c>
      <c r="GA208" s="0" t="str">
        <f aca="false">IF($A208="","",IF(AND(I208="walk-in",CN208="pass",U208="new",FT208="N",FV208="N",AQ208&lt;&gt;"Y"),"Y","N"))</f>
        <v>N</v>
      </c>
      <c r="GB208" s="0" t="str">
        <f aca="false">IF(GA208&lt;&gt;"Y","",IF(COUNTIFS($GA$2:$GA$1000,"Y",$J$2:$J$1000,"&gt;"&amp;J208)+COUNTIFS($GA$2:$GA$1000,"Y",$J$2:$J$1000,J208,$GD$2:$GD$1000,"&lt;"&amp;GD208)+1&lt;=25,COUNTIFS($GA$2:$GA$1000,"Y",$J$2:$J$1000,"&gt;"&amp;J208)+COUNTIFS($GA$2:$GA$1000,"Y",$J$2:$J$1000,J208,$GD$2:$GD$1000,"&lt;"&amp;GD208)+1,""))</f>
        <v/>
      </c>
      <c r="GC208" s="0" t="str">
        <f aca="false">IF(AND(_xlfn.ISFORMULA(C208),_xlfn.ISFORMULA(J208)),"Y","N")</f>
        <v>Y</v>
      </c>
      <c r="GD208" s="0" t="n">
        <f aca="false">ROW()-1</f>
        <v>207</v>
      </c>
    </row>
    <row r="209" customFormat="false" ht="15" hidden="false" customHeight="false" outlineLevel="0" collapsed="false">
      <c r="A209" s="0" t="s">
        <v>4242</v>
      </c>
      <c r="B209" s="0" t="s">
        <v>4243</v>
      </c>
      <c r="C209" s="0" t="str">
        <f aca="false">IF($A209="","",IF(AW209="Y",BM209&amp;"",AY209&amp;""))</f>
        <v/>
      </c>
      <c r="D209" s="0" t="str">
        <f aca="false">IF($A209="","",IF(AW209="Y",BN209&amp;"",AZ209&amp;""))</f>
        <v/>
      </c>
      <c r="E209" s="0" t="str">
        <f aca="false">IF($A209="","",IF(AW209="Y",BO209&amp;"",BA209&amp;""))</f>
        <v/>
      </c>
      <c r="F209" s="0" t="str">
        <f aca="false">IF($A209="","",IF(AW209="Y",BP209&amp;"",BB209&amp;""))</f>
        <v/>
      </c>
      <c r="G209" s="0" t="str">
        <f aca="false">IF($A209="","",IF(AW209="Y",BQ209&amp;"",BC209&amp;""))</f>
        <v/>
      </c>
      <c r="H209" s="0" t="str">
        <f aca="false">IF($A209="","",IF(AW209="Y",BR209&amp;"",BD209&amp;""))</f>
        <v>none</v>
      </c>
      <c r="I209" s="0" t="str">
        <f aca="false">IF($A209="","",IF(R209="Y","warm-intro",IF(H209="verified","email",IF(C209&lt;&gt;"","linkedin",CB209&amp;""))))</f>
        <v>linkedin</v>
      </c>
      <c r="J209" s="0" t="n">
        <f aca="false">IF($A209="","",IF(CN209="pass",ROUND(N(EM209)+N(EN209)+N(EO209)+N(EP209)+N(EQ209)+N(ER209),1),0))</f>
        <v>26</v>
      </c>
      <c r="K209" s="0" t="str">
        <f aca="false">IF($A209="","",IF(CN209&lt;&gt;"pass",CA209&amp;"",CA209&amp;"; "&amp;IF(AW209="Y",BZ209&amp;"",BL209&amp;"")&amp;IF(R209="Y","; known to the founder (+15)","")&amp;"."))</f>
        <v>Tuesday headcount unknown (no sourced count), company size unknown, no attendance signal, signed-not-occupied at a medium-confidence address (hold: lease signed, move not confirmed); contacts not researched yet.</v>
      </c>
      <c r="L209" s="0" t="s">
        <v>209</v>
      </c>
      <c r="R209" s="5" t="s">
        <v>189</v>
      </c>
      <c r="S209" s="0" t="s">
        <v>209</v>
      </c>
      <c r="T209" s="0" t="s">
        <v>189</v>
      </c>
      <c r="U209" s="5" t="s">
        <v>3896</v>
      </c>
      <c r="V209" s="0" t="s">
        <v>3171</v>
      </c>
      <c r="W209" s="0" t="s">
        <v>263</v>
      </c>
      <c r="X209" s="0" t="s">
        <v>3897</v>
      </c>
      <c r="Y209" s="0" t="str">
        <f aca="false">IF(FX209&lt;&gt;"Y","",COUNTIFS($FX$2:$FX$1000,"Y",$J$2:$J$1000,"&gt;"&amp;J209)+COUNTIFS($FX$2:$FX$1000,"Y",$J$2:$J$1000,J209,$GD$2:$GD$1000,"&lt;"&amp;GD209)+1)</f>
        <v/>
      </c>
      <c r="Z209" s="0" t="n">
        <v>208</v>
      </c>
      <c r="AA209" s="0" t="s">
        <v>189</v>
      </c>
      <c r="AB209" s="0" t="str">
        <f aca="false">IF($A209="","",IF(AW209="Y",BY209&amp;"",BK209&amp;""))</f>
        <v/>
      </c>
      <c r="AC209" s="0" t="str">
        <f aca="false">IF($A209="","",IF(AW209="Y",BS209&amp;"",BE209&amp;""))</f>
        <v/>
      </c>
      <c r="AD209" s="0" t="str">
        <f aca="false">IF($A209="","",IF(AW209="Y",BT209&amp;"",BF209&amp;""))</f>
        <v>none</v>
      </c>
      <c r="AE209" s="0" t="str">
        <f aca="false">IF($A209="","",IF(AW209="Y",BU209&amp;"",BG209&amp;""))</f>
        <v/>
      </c>
      <c r="AF209" s="0" t="str">
        <f aca="false">IF($A209="","",IF(AW209="Y",BV209&amp;"",BH209&amp;""))</f>
        <v/>
      </c>
      <c r="AG209" s="0" t="str">
        <f aca="false">IF($A209="","",IF(AW209="Y",BW209&amp;"",BI209&amp;""))</f>
        <v/>
      </c>
      <c r="AH209" s="0" t="str">
        <f aca="false">IF($A209="","",IF(AW209="Y",BX209&amp;"",BJ209&amp;""))</f>
        <v>none</v>
      </c>
      <c r="AI209" s="0" t="s">
        <v>1493</v>
      </c>
      <c r="AJ209" s="0" t="s">
        <v>494</v>
      </c>
      <c r="AK209" s="0" t="s">
        <v>4183</v>
      </c>
      <c r="AL209" s="0" t="s">
        <v>209</v>
      </c>
      <c r="AM209" s="0" t="s">
        <v>209</v>
      </c>
      <c r="AN209" s="0" t="s">
        <v>380</v>
      </c>
      <c r="AO209" s="0" t="s">
        <v>209</v>
      </c>
      <c r="AP209" s="0" t="s">
        <v>4242</v>
      </c>
      <c r="AQ209" s="5" t="s">
        <v>164</v>
      </c>
      <c r="AR209" s="0" t="s">
        <v>779</v>
      </c>
      <c r="AT209" s="0" t="str">
        <f aca="false">IF($A209="","",IF(AND(CN209="pass",AQ209&lt;&gt;"Y",C209&lt;&gt;"",OR(AX209&lt;&gt;"Y",AV209="Y")),"Y","N"))</f>
        <v>N</v>
      </c>
      <c r="AU209" s="0" t="str">
        <f aca="false">IF($A209="","",_xlfn.TEXTJOIN("; ",TRUE(),IF(CN209&lt;&gt;"pass","gated out",""),IF(AQ209="Y","on hold: "&amp;AR209,""),IF(C209="","no contact named on an opened page",""),IF(AND(AX209="Y",AV209&lt;&gt;"Y"),"Tuesday estimate band "&amp;L209&amp;": founder's call","")))</f>
        <v>on hold: lease signed, move not confirmed: check the lobby directory before outreach (B); no contact named on an opened page</v>
      </c>
      <c r="AX209" s="0" t="s">
        <v>189</v>
      </c>
      <c r="BC209" s="0" t="str">
        <f aca="false">IF($A209="","",IFERROR(INDEX(Enrichment!$A$2:$GZ$2000,MATCH($A209,INDEX(Enrichment!$A$2:$GZ$2000,0,MATCH("row_id",Enrichment!$A$1:$GZ$1,0)),0),MATCH("work_email",Enrichment!$A$1:$GZ$1,0))&amp;"",""))</f>
        <v/>
      </c>
      <c r="BD209" s="0" t="str">
        <f aca="false">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none</v>
      </c>
      <c r="BF209" s="0" t="s">
        <v>380</v>
      </c>
      <c r="BJ209" s="0" t="s">
        <v>380</v>
      </c>
      <c r="BL209" s="0" t="s">
        <v>896</v>
      </c>
      <c r="BQ209" s="0" t="str">
        <f aca="false">IF($A209="","",IFERROR(INDEX(Enrichment!$A$2:$GZ$2000,MATCH($A209,INDEX(Enrichment!$A$2:$GZ$2000,0,MATCH("row_id",Enrichment!$A$1:$GZ$1,0)),0),MATCH("backup_work_email",Enrichment!$A$1:$GZ$1,0))&amp;"",""))</f>
        <v/>
      </c>
      <c r="BR209" s="0" t="str">
        <f aca="false">IF($A209="","",IF(BQ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none</v>
      </c>
      <c r="BT209" s="0" t="s">
        <v>380</v>
      </c>
      <c r="BX209" s="0" t="s">
        <v>380</v>
      </c>
      <c r="BY209" s="0" t="s">
        <v>387</v>
      </c>
      <c r="BZ209" s="0" t="s">
        <v>388</v>
      </c>
      <c r="CA209" s="0" t="s">
        <v>4210</v>
      </c>
      <c r="CB209" s="0" t="s">
        <v>196</v>
      </c>
      <c r="CM209" s="0" t="s">
        <v>189</v>
      </c>
      <c r="CN209" s="0" t="s">
        <v>200</v>
      </c>
      <c r="CO209" s="0" t="s">
        <v>201</v>
      </c>
      <c r="CP209" s="0" t="s">
        <v>1</v>
      </c>
      <c r="CQ209" s="0" t="s">
        <v>4244</v>
      </c>
      <c r="CR209" s="0" t="s">
        <v>209</v>
      </c>
      <c r="CS209" s="0" t="s">
        <v>4245</v>
      </c>
      <c r="CT209" s="0" t="s">
        <v>209</v>
      </c>
      <c r="CV209" s="0" t="s">
        <v>209</v>
      </c>
      <c r="CW209" s="0" t="s">
        <v>209</v>
      </c>
      <c r="CX209" s="0" t="s">
        <v>2712</v>
      </c>
      <c r="DA209" s="0" t="s">
        <v>209</v>
      </c>
      <c r="DB209" s="0" t="s">
        <v>259</v>
      </c>
      <c r="DC209" s="0" t="s">
        <v>164</v>
      </c>
      <c r="DD209" s="0" t="s">
        <v>209</v>
      </c>
      <c r="DE209" s="0" t="s">
        <v>209</v>
      </c>
      <c r="DF209" s="0" t="s">
        <v>525</v>
      </c>
      <c r="DG209" s="0" t="n">
        <v>40.743288</v>
      </c>
      <c r="DH209" s="0" t="n">
        <v>-73.986627</v>
      </c>
      <c r="DI209" s="0" t="s">
        <v>164</v>
      </c>
      <c r="DJ209" s="0" t="n">
        <v>0</v>
      </c>
      <c r="DK209" s="0" t="s">
        <v>1859</v>
      </c>
      <c r="DL209" s="0" t="s">
        <v>1860</v>
      </c>
      <c r="DM209" s="0" t="s">
        <v>3171</v>
      </c>
      <c r="DN209" s="0" t="s">
        <v>2677</v>
      </c>
      <c r="DO209" s="0" t="s">
        <v>363</v>
      </c>
      <c r="DS209" s="0" t="s">
        <v>809</v>
      </c>
      <c r="DT209" s="0" t="s">
        <v>209</v>
      </c>
      <c r="DU209" s="0" t="s">
        <v>189</v>
      </c>
      <c r="DX209" s="0" t="s">
        <v>209</v>
      </c>
      <c r="EA209" s="0" t="s">
        <v>209</v>
      </c>
      <c r="EB209" s="0" t="s">
        <v>189</v>
      </c>
      <c r="EC209" s="0" t="s">
        <v>209</v>
      </c>
      <c r="EF209" s="0" t="s">
        <v>209</v>
      </c>
      <c r="EH209" s="0" t="s">
        <v>189</v>
      </c>
      <c r="EI209" s="0" t="s">
        <v>2716</v>
      </c>
      <c r="EJ209" s="0" t="s">
        <v>221</v>
      </c>
      <c r="EK209" s="0" t="s">
        <v>209</v>
      </c>
      <c r="EL209" s="0" t="n">
        <v>26</v>
      </c>
      <c r="EM209" s="0" t="n">
        <v>7</v>
      </c>
      <c r="EN209" s="0" t="n">
        <v>8</v>
      </c>
      <c r="EO209" s="0" t="n">
        <v>6</v>
      </c>
      <c r="EP209" s="0" t="n">
        <v>5</v>
      </c>
      <c r="EQ209" s="0" t="n">
        <f aca="false">IF($A209="","",IF(AH209="exact",10,IF(AH209="adjacent",5,0)))</f>
        <v>0</v>
      </c>
      <c r="ER209" s="0" t="n">
        <f aca="false">IF($A209="","",IF(R209="Y",15,0))</f>
        <v>0</v>
      </c>
      <c r="ES209" s="0" t="s">
        <v>222</v>
      </c>
      <c r="EV209" s="0" t="s">
        <v>4246</v>
      </c>
      <c r="EW209" s="0" t="s">
        <v>224</v>
      </c>
      <c r="EX209" s="0" t="s">
        <v>4247</v>
      </c>
      <c r="FS209" s="0" t="str">
        <f aca="false">IF($A209="","",IF(ISNUMBER(MATCH(U209,{"queued","contacted","replied","call_booked","call_done","yes_in_principle","materials_sent"},0)),"Y","N"))</f>
        <v>N</v>
      </c>
      <c r="FT209" s="0" t="str">
        <f aca="false">IF($A209="","",IF(OR(T209="Y",U209="do_not_contact",AS209&amp;""&lt;&gt;""),"Y","N"))</f>
        <v>N</v>
      </c>
      <c r="FU209" s="0" t="str">
        <f aca="false">IF($A209="","",IF(AP209&amp;""&lt;&gt;"",AP209&amp;"",$A209))</f>
        <v>AO-C-142</v>
      </c>
      <c r="FV209" s="0" t="str">
        <f aca="false">IF($A209="","",IF(COUNTIFS($FU$2:$FU$1000,FU209,$FS$2:$FS$1000,"Y")+COUNTIFS($FU$2:$FU$1000,FU209,$FT$2:$FT$1000,"Y")&gt;0,"Y","N"))</f>
        <v>N</v>
      </c>
      <c r="FW209" s="0" t="str">
        <f aca="false">IF($A209="","",IF(AND(U209="new",T209="N",FT209="N",AT209="Y",FV209="N"),"Y","N"))</f>
        <v>N</v>
      </c>
      <c r="FX209" s="0" t="str">
        <f aca="false">IF($A209="","",IF(FW209&lt;&gt;"Y","N",IF(COUNTIFS($FU$2:$FU$1000,FU209,$FW$2:$FW$1000,"Y",$J$2:$J$1000,"&gt;"&amp;J209)+COUNTIFS($FU$2:$FU$1000,FU209,$FW$2:$FW$1000,"Y",$J$2:$J$1000,J209,$GD$2:$GD$1000,"&lt;"&amp;GD209)=0,"Y","N")))</f>
        <v>N</v>
      </c>
      <c r="FY209" s="0" t="str">
        <f aca="false">IF($A209="","",IF(AND(FW209="Y",FX209="Y",Y209&amp;""&lt;&gt;""),IF(Y209&lt;=10,"Y","N"),"N"))</f>
        <v>N</v>
      </c>
      <c r="FZ209" s="0" t="str">
        <f aca="false">IF(FY209="Y",Y209,"")</f>
        <v/>
      </c>
      <c r="GA209" s="0" t="str">
        <f aca="false">IF($A209="","",IF(AND(I209="walk-in",CN209="pass",U209="new",FT209="N",FV209="N",AQ209&lt;&gt;"Y"),"Y","N"))</f>
        <v>N</v>
      </c>
      <c r="GB209" s="0" t="str">
        <f aca="false">IF(GA209&lt;&gt;"Y","",IF(COUNTIFS($GA$2:$GA$1000,"Y",$J$2:$J$1000,"&gt;"&amp;J209)+COUNTIFS($GA$2:$GA$1000,"Y",$J$2:$J$1000,J209,$GD$2:$GD$1000,"&lt;"&amp;GD209)+1&lt;=25,COUNTIFS($GA$2:$GA$1000,"Y",$J$2:$J$1000,"&gt;"&amp;J209)+COUNTIFS($GA$2:$GA$1000,"Y",$J$2:$J$1000,J209,$GD$2:$GD$1000,"&lt;"&amp;GD209)+1,""))</f>
        <v/>
      </c>
      <c r="GC209" s="0" t="str">
        <f aca="false">IF(AND(_xlfn.ISFORMULA(C209),_xlfn.ISFORMULA(J209)),"Y","N")</f>
        <v>Y</v>
      </c>
      <c r="GD209" s="0" t="n">
        <f aca="false">ROW()-1</f>
        <v>208</v>
      </c>
    </row>
    <row r="210" customFormat="false" ht="15" hidden="false" customHeight="false" outlineLevel="0" collapsed="false">
      <c r="A210" s="0" t="s">
        <v>4248</v>
      </c>
      <c r="B210" s="0" t="s">
        <v>4249</v>
      </c>
      <c r="C210" s="0" t="str">
        <f aca="false">IF($A210="","",IF(AW210="Y",BM210&amp;"",AY210&amp;""))</f>
        <v/>
      </c>
      <c r="D210" s="0" t="str">
        <f aca="false">IF($A210="","",IF(AW210="Y",BN210&amp;"",AZ210&amp;""))</f>
        <v/>
      </c>
      <c r="E210" s="0" t="str">
        <f aca="false">IF($A210="","",IF(AW210="Y",BO210&amp;"",BA210&amp;""))</f>
        <v/>
      </c>
      <c r="F210" s="0" t="str">
        <f aca="false">IF($A210="","",IF(AW210="Y",BP210&amp;"",BB210&amp;""))</f>
        <v/>
      </c>
      <c r="G210" s="0" t="str">
        <f aca="false">IF($A210="","",IF(AW210="Y",BQ210&amp;"",BC210&amp;""))</f>
        <v/>
      </c>
      <c r="H210" s="0" t="str">
        <f aca="false">IF($A210="","",IF(AW210="Y",BR210&amp;"",BD210&amp;""))</f>
        <v>none</v>
      </c>
      <c r="I210" s="0" t="str">
        <f aca="false">IF($A210="","",IF(R210="Y","warm-intro",IF(H210="verified","email",IF(C210&lt;&gt;"","linkedin",CB210&amp;""))))</f>
        <v>linkedin</v>
      </c>
      <c r="J210" s="0" t="n">
        <f aca="false">IF($A210="","",IF(CN210="pass",ROUND(N(EM210)+N(EN210)+N(EO210)+N(EP210)+N(EQ210)+N(ER210),1),0))</f>
        <v>26</v>
      </c>
      <c r="K210" s="0" t="str">
        <f aca="false">IF($A210="","",IF(CN210&lt;&gt;"pass",CA210&amp;"",CA210&amp;"; "&amp;IF(AW210="Y",BZ210&amp;"",BL210&amp;"")&amp;IF(R210="Y","; known to the founder (+15)","")&amp;"."))</f>
        <v>Tuesday headcount unknown (no sourced count), company size unknown, no attendance signal, signed-not-occupied at a medium-confidence address (hold: lease signed, move not confirmed); contacts not researched yet.</v>
      </c>
      <c r="L210" s="0" t="s">
        <v>209</v>
      </c>
      <c r="R210" s="5" t="s">
        <v>189</v>
      </c>
      <c r="S210" s="0" t="s">
        <v>209</v>
      </c>
      <c r="T210" s="0" t="s">
        <v>189</v>
      </c>
      <c r="U210" s="5" t="s">
        <v>3896</v>
      </c>
      <c r="V210" s="0" t="s">
        <v>1734</v>
      </c>
      <c r="W210" s="0" t="s">
        <v>263</v>
      </c>
      <c r="X210" s="0" t="s">
        <v>3897</v>
      </c>
      <c r="Y210" s="0" t="str">
        <f aca="false">IF(FX210&lt;&gt;"Y","",COUNTIFS($FX$2:$FX$1000,"Y",$J$2:$J$1000,"&gt;"&amp;J210)+COUNTIFS($FX$2:$FX$1000,"Y",$J$2:$J$1000,J210,$GD$2:$GD$1000,"&lt;"&amp;GD210)+1)</f>
        <v/>
      </c>
      <c r="Z210" s="0" t="n">
        <v>209</v>
      </c>
      <c r="AA210" s="0" t="s">
        <v>189</v>
      </c>
      <c r="AB210" s="0" t="str">
        <f aca="false">IF($A210="","",IF(AW210="Y",BY210&amp;"",BK210&amp;""))</f>
        <v/>
      </c>
      <c r="AC210" s="0" t="str">
        <f aca="false">IF($A210="","",IF(AW210="Y",BS210&amp;"",BE210&amp;""))</f>
        <v/>
      </c>
      <c r="AD210" s="0" t="str">
        <f aca="false">IF($A210="","",IF(AW210="Y",BT210&amp;"",BF210&amp;""))</f>
        <v>none</v>
      </c>
      <c r="AE210" s="0" t="str">
        <f aca="false">IF($A210="","",IF(AW210="Y",BU210&amp;"",BG210&amp;""))</f>
        <v/>
      </c>
      <c r="AF210" s="0" t="str">
        <f aca="false">IF($A210="","",IF(AW210="Y",BV210&amp;"",BH210&amp;""))</f>
        <v/>
      </c>
      <c r="AG210" s="0" t="str">
        <f aca="false">IF($A210="","",IF(AW210="Y",BW210&amp;"",BI210&amp;""))</f>
        <v/>
      </c>
      <c r="AH210" s="0" t="str">
        <f aca="false">IF($A210="","",IF(AW210="Y",BX210&amp;"",BJ210&amp;""))</f>
        <v>none</v>
      </c>
      <c r="AI210" s="0" t="s">
        <v>1871</v>
      </c>
      <c r="AJ210" s="0" t="s">
        <v>209</v>
      </c>
      <c r="AK210" s="0" t="s">
        <v>4183</v>
      </c>
      <c r="AL210" s="0" t="s">
        <v>209</v>
      </c>
      <c r="AM210" s="0" t="s">
        <v>209</v>
      </c>
      <c r="AN210" s="0" t="s">
        <v>380</v>
      </c>
      <c r="AO210" s="0" t="s">
        <v>209</v>
      </c>
      <c r="AP210" s="0" t="s">
        <v>4248</v>
      </c>
      <c r="AQ210" s="5" t="s">
        <v>164</v>
      </c>
      <c r="AR210" s="0" t="s">
        <v>779</v>
      </c>
      <c r="AT210" s="0" t="str">
        <f aca="false">IF($A210="","",IF(AND(CN210="pass",AQ210&lt;&gt;"Y",C210&lt;&gt;"",OR(AX210&lt;&gt;"Y",AV210="Y")),"Y","N"))</f>
        <v>N</v>
      </c>
      <c r="AU210" s="0" t="str">
        <f aca="false">IF($A210="","",_xlfn.TEXTJOIN("; ",TRUE(),IF(CN210&lt;&gt;"pass","gated out",""),IF(AQ210="Y","on hold: "&amp;AR210,""),IF(C210="","no contact named on an opened page",""),IF(AND(AX210="Y",AV210&lt;&gt;"Y"),"Tuesday estimate band "&amp;L210&amp;": founder's call","")))</f>
        <v>on hold: lease signed, move not confirmed: check the lobby directory before outreach (B); no contact named on an opened page</v>
      </c>
      <c r="AX210" s="0" t="s">
        <v>189</v>
      </c>
      <c r="BC210" s="0" t="str">
        <f aca="false">IF($A210="","",IFERROR(INDEX(Enrichment!$A$2:$GZ$2000,MATCH($A210,INDEX(Enrichment!$A$2:$GZ$2000,0,MATCH("row_id",Enrichment!$A$1:$GZ$1,0)),0),MATCH("work_email",Enrichment!$A$1:$GZ$1,0))&amp;"",""))</f>
        <v/>
      </c>
      <c r="BD210" s="0" t="str">
        <f aca="false">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none</v>
      </c>
      <c r="BF210" s="0" t="s">
        <v>380</v>
      </c>
      <c r="BJ210" s="0" t="s">
        <v>380</v>
      </c>
      <c r="BL210" s="0" t="s">
        <v>896</v>
      </c>
      <c r="BQ210" s="0" t="str">
        <f aca="false">IF($A210="","",IFERROR(INDEX(Enrichment!$A$2:$GZ$2000,MATCH($A210,INDEX(Enrichment!$A$2:$GZ$2000,0,MATCH("row_id",Enrichment!$A$1:$GZ$1,0)),0),MATCH("backup_work_email",Enrichment!$A$1:$GZ$1,0))&amp;"",""))</f>
        <v/>
      </c>
      <c r="BR210" s="0" t="str">
        <f aca="false">IF($A210="","",IF(BQ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none</v>
      </c>
      <c r="BT210" s="0" t="s">
        <v>380</v>
      </c>
      <c r="BX210" s="0" t="s">
        <v>380</v>
      </c>
      <c r="BY210" s="0" t="s">
        <v>387</v>
      </c>
      <c r="BZ210" s="0" t="s">
        <v>388</v>
      </c>
      <c r="CA210" s="0" t="s">
        <v>4210</v>
      </c>
      <c r="CB210" s="0" t="s">
        <v>196</v>
      </c>
      <c r="CM210" s="0" t="s">
        <v>189</v>
      </c>
      <c r="CN210" s="0" t="s">
        <v>200</v>
      </c>
      <c r="CO210" s="0" t="s">
        <v>201</v>
      </c>
      <c r="CP210" s="0" t="s">
        <v>1</v>
      </c>
      <c r="CQ210" s="0" t="s">
        <v>4250</v>
      </c>
      <c r="CR210" s="0" t="s">
        <v>4251</v>
      </c>
      <c r="CS210" s="0" t="s">
        <v>4252</v>
      </c>
      <c r="CT210" s="0" t="s">
        <v>209</v>
      </c>
      <c r="CV210" s="0" t="s">
        <v>209</v>
      </c>
      <c r="CW210" s="0" t="s">
        <v>209</v>
      </c>
      <c r="CX210" s="0" t="s">
        <v>2712</v>
      </c>
      <c r="DA210" s="0" t="s">
        <v>209</v>
      </c>
      <c r="DB210" s="0" t="s">
        <v>209</v>
      </c>
      <c r="DC210" s="0" t="s">
        <v>209</v>
      </c>
      <c r="DD210" s="0" t="s">
        <v>209</v>
      </c>
      <c r="DE210" s="0" t="s">
        <v>209</v>
      </c>
      <c r="DF210" s="0" t="s">
        <v>525</v>
      </c>
      <c r="DG210" s="0" t="n">
        <v>40.741968</v>
      </c>
      <c r="DH210" s="0" t="n">
        <v>-73.985327</v>
      </c>
      <c r="DI210" s="0" t="s">
        <v>164</v>
      </c>
      <c r="DJ210" s="0" t="n">
        <v>0</v>
      </c>
      <c r="DK210" s="0" t="s">
        <v>1573</v>
      </c>
      <c r="DL210" s="0" t="s">
        <v>1574</v>
      </c>
      <c r="DM210" s="0" t="s">
        <v>1734</v>
      </c>
      <c r="DN210" s="0" t="s">
        <v>1735</v>
      </c>
      <c r="DO210" s="0" t="s">
        <v>363</v>
      </c>
      <c r="DP210" s="0" t="s">
        <v>1736</v>
      </c>
      <c r="DQ210" s="0" t="s">
        <v>1735</v>
      </c>
      <c r="DS210" s="0" t="s">
        <v>809</v>
      </c>
      <c r="DT210" s="0" t="s">
        <v>209</v>
      </c>
      <c r="DU210" s="0" t="s">
        <v>189</v>
      </c>
      <c r="DX210" s="0" t="s">
        <v>209</v>
      </c>
      <c r="EA210" s="0" t="s">
        <v>209</v>
      </c>
      <c r="EB210" s="0" t="s">
        <v>189</v>
      </c>
      <c r="EC210" s="0" t="s">
        <v>209</v>
      </c>
      <c r="EF210" s="0" t="s">
        <v>209</v>
      </c>
      <c r="EH210" s="0" t="s">
        <v>189</v>
      </c>
      <c r="EI210" s="0" t="s">
        <v>2716</v>
      </c>
      <c r="EJ210" s="0" t="s">
        <v>221</v>
      </c>
      <c r="EK210" s="0" t="s">
        <v>209</v>
      </c>
      <c r="EL210" s="0" t="n">
        <v>26</v>
      </c>
      <c r="EM210" s="0" t="n">
        <v>7</v>
      </c>
      <c r="EN210" s="0" t="n">
        <v>8</v>
      </c>
      <c r="EO210" s="0" t="n">
        <v>6</v>
      </c>
      <c r="EP210" s="0" t="n">
        <v>5</v>
      </c>
      <c r="EQ210" s="0" t="n">
        <f aca="false">IF($A210="","",IF(AH210="exact",10,IF(AH210="adjacent",5,0)))</f>
        <v>0</v>
      </c>
      <c r="ER210" s="0" t="n">
        <f aca="false">IF($A210="","",IF(R210="Y",15,0))</f>
        <v>0</v>
      </c>
      <c r="ES210" s="0" t="s">
        <v>222</v>
      </c>
      <c r="EV210" s="0" t="s">
        <v>3351</v>
      </c>
      <c r="EW210" s="0" t="s">
        <v>224</v>
      </c>
      <c r="EX210" s="0" t="s">
        <v>4253</v>
      </c>
      <c r="FS210" s="0" t="str">
        <f aca="false">IF($A210="","",IF(ISNUMBER(MATCH(U210,{"queued","contacted","replied","call_booked","call_done","yes_in_principle","materials_sent"},0)),"Y","N"))</f>
        <v>N</v>
      </c>
      <c r="FT210" s="0" t="str">
        <f aca="false">IF($A210="","",IF(OR(T210="Y",U210="do_not_contact",AS210&amp;""&lt;&gt;""),"Y","N"))</f>
        <v>N</v>
      </c>
      <c r="FU210" s="0" t="str">
        <f aca="false">IF($A210="","",IF(AP210&amp;""&lt;&gt;"",AP210&amp;"",$A210))</f>
        <v>AO-C-120</v>
      </c>
      <c r="FV210" s="0" t="str">
        <f aca="false">IF($A210="","",IF(COUNTIFS($FU$2:$FU$1000,FU210,$FS$2:$FS$1000,"Y")+COUNTIFS($FU$2:$FU$1000,FU210,$FT$2:$FT$1000,"Y")&gt;0,"Y","N"))</f>
        <v>N</v>
      </c>
      <c r="FW210" s="0" t="str">
        <f aca="false">IF($A210="","",IF(AND(U210="new",T210="N",FT210="N",AT210="Y",FV210="N"),"Y","N"))</f>
        <v>N</v>
      </c>
      <c r="FX210" s="0" t="str">
        <f aca="false">IF($A210="","",IF(FW210&lt;&gt;"Y","N",IF(COUNTIFS($FU$2:$FU$1000,FU210,$FW$2:$FW$1000,"Y",$J$2:$J$1000,"&gt;"&amp;J210)+COUNTIFS($FU$2:$FU$1000,FU210,$FW$2:$FW$1000,"Y",$J$2:$J$1000,J210,$GD$2:$GD$1000,"&lt;"&amp;GD210)=0,"Y","N")))</f>
        <v>N</v>
      </c>
      <c r="FY210" s="0" t="str">
        <f aca="false">IF($A210="","",IF(AND(FW210="Y",FX210="Y",Y210&amp;""&lt;&gt;""),IF(Y210&lt;=10,"Y","N"),"N"))</f>
        <v>N</v>
      </c>
      <c r="FZ210" s="0" t="str">
        <f aca="false">IF(FY210="Y",Y210,"")</f>
        <v/>
      </c>
      <c r="GA210" s="0" t="str">
        <f aca="false">IF($A210="","",IF(AND(I210="walk-in",CN210="pass",U210="new",FT210="N",FV210="N",AQ210&lt;&gt;"Y"),"Y","N"))</f>
        <v>N</v>
      </c>
      <c r="GB210" s="0" t="str">
        <f aca="false">IF(GA210&lt;&gt;"Y","",IF(COUNTIFS($GA$2:$GA$1000,"Y",$J$2:$J$1000,"&gt;"&amp;J210)+COUNTIFS($GA$2:$GA$1000,"Y",$J$2:$J$1000,J210,$GD$2:$GD$1000,"&lt;"&amp;GD210)+1&lt;=25,COUNTIFS($GA$2:$GA$1000,"Y",$J$2:$J$1000,"&gt;"&amp;J210)+COUNTIFS($GA$2:$GA$1000,"Y",$J$2:$J$1000,J210,$GD$2:$GD$1000,"&lt;"&amp;GD210)+1,""))</f>
        <v/>
      </c>
      <c r="GC210" s="0" t="str">
        <f aca="false">IF(AND(_xlfn.ISFORMULA(C210),_xlfn.ISFORMULA(J210)),"Y","N")</f>
        <v>Y</v>
      </c>
      <c r="GD210" s="0" t="n">
        <f aca="false">ROW()-1</f>
        <v>209</v>
      </c>
    </row>
    <row r="211" customFormat="false" ht="15" hidden="false" customHeight="false" outlineLevel="0" collapsed="false">
      <c r="A211" s="0" t="s">
        <v>4254</v>
      </c>
      <c r="B211" s="0" t="s">
        <v>4255</v>
      </c>
      <c r="C211" s="0" t="str">
        <f aca="false">IF($A211="","",IF(AW211="Y",BM211&amp;"",AY211&amp;""))</f>
        <v/>
      </c>
      <c r="D211" s="0" t="str">
        <f aca="false">IF($A211="","",IF(AW211="Y",BN211&amp;"",AZ211&amp;""))</f>
        <v/>
      </c>
      <c r="E211" s="0" t="str">
        <f aca="false">IF($A211="","",IF(AW211="Y",BO211&amp;"",BA211&amp;""))</f>
        <v/>
      </c>
      <c r="F211" s="0" t="str">
        <f aca="false">IF($A211="","",IF(AW211="Y",BP211&amp;"",BB211&amp;""))</f>
        <v/>
      </c>
      <c r="G211" s="0" t="str">
        <f aca="false">IF($A211="","",IF(AW211="Y",BQ211&amp;"",BC211&amp;""))</f>
        <v/>
      </c>
      <c r="H211" s="0" t="str">
        <f aca="false">IF($A211="","",IF(AW211="Y",BR211&amp;"",BD211&amp;""))</f>
        <v>none</v>
      </c>
      <c r="I211" s="0" t="str">
        <f aca="false">IF($A211="","",IF(R211="Y","warm-intro",IF(H211="verified","email",IF(C211&lt;&gt;"","linkedin",CB211&amp;""))))</f>
        <v>linkedin</v>
      </c>
      <c r="J211" s="0" t="n">
        <f aca="false">IF($A211="","",IF(CN211="pass",ROUND(N(EM211)+N(EN211)+N(EO211)+N(EP211)+N(EQ211)+N(ER211),1),0))</f>
        <v>26</v>
      </c>
      <c r="K211" s="0" t="str">
        <f aca="false">IF($A211="","",IF(CN211&lt;&gt;"pass",CA211&amp;"",CA211&amp;"; "&amp;IF(AW211="Y",BZ211&amp;"",BL211&amp;"")&amp;IF(R211="Y","; known to the founder (+15)","")&amp;"."))</f>
        <v>Tuesday headcount unknown (no sourced count), company size unknown, no attendance signal, signed-not-occupied at a medium-confidence address (hold: lease signed, move not confirmed); contacts not researched yet.</v>
      </c>
      <c r="L211" s="0" t="s">
        <v>209</v>
      </c>
      <c r="O211" s="0" t="s">
        <v>4256</v>
      </c>
      <c r="P211" s="0" t="s">
        <v>4257</v>
      </c>
      <c r="Q211" s="0" t="s">
        <v>4258</v>
      </c>
      <c r="R211" s="5" t="s">
        <v>189</v>
      </c>
      <c r="S211" s="0" t="s">
        <v>209</v>
      </c>
      <c r="T211" s="0" t="s">
        <v>189</v>
      </c>
      <c r="U211" s="5" t="s">
        <v>3896</v>
      </c>
      <c r="V211" s="0" t="s">
        <v>4257</v>
      </c>
      <c r="W211" s="0" t="s">
        <v>263</v>
      </c>
      <c r="X211" s="0" t="s">
        <v>3897</v>
      </c>
      <c r="Y211" s="0" t="str">
        <f aca="false">IF(FX211&lt;&gt;"Y","",COUNTIFS($FX$2:$FX$1000,"Y",$J$2:$J$1000,"&gt;"&amp;J211)+COUNTIFS($FX$2:$FX$1000,"Y",$J$2:$J$1000,J211,$GD$2:$GD$1000,"&lt;"&amp;GD211)+1)</f>
        <v/>
      </c>
      <c r="Z211" s="0" t="n">
        <v>210</v>
      </c>
      <c r="AA211" s="0" t="s">
        <v>189</v>
      </c>
      <c r="AB211" s="0" t="str">
        <f aca="false">IF($A211="","",IF(AW211="Y",BY211&amp;"",BK211&amp;""))</f>
        <v/>
      </c>
      <c r="AC211" s="0" t="str">
        <f aca="false">IF($A211="","",IF(AW211="Y",BS211&amp;"",BE211&amp;""))</f>
        <v/>
      </c>
      <c r="AD211" s="0" t="str">
        <f aca="false">IF($A211="","",IF(AW211="Y",BT211&amp;"",BF211&amp;""))</f>
        <v>none</v>
      </c>
      <c r="AE211" s="0" t="str">
        <f aca="false">IF($A211="","",IF(AW211="Y",BU211&amp;"",BG211&amp;""))</f>
        <v/>
      </c>
      <c r="AF211" s="0" t="str">
        <f aca="false">IF($A211="","",IF(AW211="Y",BV211&amp;"",BH211&amp;""))</f>
        <v/>
      </c>
      <c r="AG211" s="0" t="str">
        <f aca="false">IF($A211="","",IF(AW211="Y",BW211&amp;"",BI211&amp;""))</f>
        <v/>
      </c>
      <c r="AH211" s="0" t="str">
        <f aca="false">IF($A211="","",IF(AW211="Y",BX211&amp;"",BJ211&amp;""))</f>
        <v>none</v>
      </c>
      <c r="AI211" s="0" t="s">
        <v>2395</v>
      </c>
      <c r="AJ211" s="0" t="s">
        <v>623</v>
      </c>
      <c r="AK211" s="0" t="s">
        <v>4183</v>
      </c>
      <c r="AL211" s="0" t="s">
        <v>209</v>
      </c>
      <c r="AM211" s="0" t="s">
        <v>209</v>
      </c>
      <c r="AN211" s="0" t="s">
        <v>380</v>
      </c>
      <c r="AO211" s="0" t="s">
        <v>209</v>
      </c>
      <c r="AP211" s="0" t="s">
        <v>4254</v>
      </c>
      <c r="AQ211" s="5" t="s">
        <v>164</v>
      </c>
      <c r="AR211" s="0" t="s">
        <v>779</v>
      </c>
      <c r="AT211" s="0" t="str">
        <f aca="false">IF($A211="","",IF(AND(CN211="pass",AQ211&lt;&gt;"Y",C211&lt;&gt;"",OR(AX211&lt;&gt;"Y",AV211="Y")),"Y","N"))</f>
        <v>N</v>
      </c>
      <c r="AU211" s="0" t="str">
        <f aca="false">IF($A211="","",_xlfn.TEXTJOIN("; ",TRUE(),IF(CN211&lt;&gt;"pass","gated out",""),IF(AQ211="Y","on hold: "&amp;AR211,""),IF(C211="","no contact named on an opened page",""),IF(AND(AX211="Y",AV211&lt;&gt;"Y"),"Tuesday estimate band "&amp;L211&amp;": founder's call","")))</f>
        <v>on hold: lease signed, move not confirmed: check the lobby directory before outreach (B); no contact named on an opened page</v>
      </c>
      <c r="AX211" s="0" t="s">
        <v>189</v>
      </c>
      <c r="BC211" s="0" t="str">
        <f aca="false">IF($A211="","",IFERROR(INDEX(Enrichment!$A$2:$GZ$2000,MATCH($A211,INDEX(Enrichment!$A$2:$GZ$2000,0,MATCH("row_id",Enrichment!$A$1:$GZ$1,0)),0),MATCH("work_email",Enrichment!$A$1:$GZ$1,0))&amp;"",""))</f>
        <v/>
      </c>
      <c r="BD211" s="0" t="str">
        <f aca="false">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none</v>
      </c>
      <c r="BF211" s="0" t="s">
        <v>380</v>
      </c>
      <c r="BJ211" s="0" t="s">
        <v>380</v>
      </c>
      <c r="BL211" s="0" t="s">
        <v>896</v>
      </c>
      <c r="BQ211" s="0" t="str">
        <f aca="false">IF($A211="","",IFERROR(INDEX(Enrichment!$A$2:$GZ$2000,MATCH($A211,INDEX(Enrichment!$A$2:$GZ$2000,0,MATCH("row_id",Enrichment!$A$1:$GZ$1,0)),0),MATCH("backup_work_email",Enrichment!$A$1:$GZ$1,0))&amp;"",""))</f>
        <v/>
      </c>
      <c r="BR211" s="0" t="str">
        <f aca="false">IF($A211="","",IF(BQ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none</v>
      </c>
      <c r="BT211" s="0" t="s">
        <v>380</v>
      </c>
      <c r="BX211" s="0" t="s">
        <v>380</v>
      </c>
      <c r="BY211" s="0" t="s">
        <v>387</v>
      </c>
      <c r="BZ211" s="0" t="s">
        <v>388</v>
      </c>
      <c r="CA211" s="0" t="s">
        <v>4210</v>
      </c>
      <c r="CB211" s="0" t="s">
        <v>196</v>
      </c>
      <c r="CM211" s="0" t="s">
        <v>189</v>
      </c>
      <c r="CN211" s="0" t="s">
        <v>200</v>
      </c>
      <c r="CO211" s="0" t="s">
        <v>201</v>
      </c>
      <c r="CP211" s="0" t="s">
        <v>1</v>
      </c>
      <c r="CQ211" s="0" t="s">
        <v>4259</v>
      </c>
      <c r="CR211" s="0" t="s">
        <v>209</v>
      </c>
      <c r="CS211" s="0" t="s">
        <v>4260</v>
      </c>
      <c r="CT211" s="0" t="s">
        <v>209</v>
      </c>
      <c r="CV211" s="0" t="s">
        <v>209</v>
      </c>
      <c r="CW211" s="0" t="s">
        <v>209</v>
      </c>
      <c r="CX211" s="0" t="s">
        <v>2712</v>
      </c>
      <c r="DA211" s="0" t="s">
        <v>209</v>
      </c>
      <c r="DB211" s="0" t="s">
        <v>209</v>
      </c>
      <c r="DC211" s="0" t="s">
        <v>209</v>
      </c>
      <c r="DD211" s="0" t="s">
        <v>209</v>
      </c>
      <c r="DE211" s="0" t="s">
        <v>209</v>
      </c>
      <c r="DF211" s="0" t="s">
        <v>311</v>
      </c>
      <c r="DG211" s="0" t="n">
        <v>40.744255</v>
      </c>
      <c r="DH211" s="0" t="n">
        <v>-73.983762</v>
      </c>
      <c r="DI211" s="0" t="s">
        <v>164</v>
      </c>
      <c r="DJ211" s="0" t="n">
        <v>0</v>
      </c>
      <c r="DK211" s="0" t="s">
        <v>2283</v>
      </c>
      <c r="DL211" s="0" t="s">
        <v>2284</v>
      </c>
      <c r="DM211" s="0" t="s">
        <v>4257</v>
      </c>
      <c r="DN211" s="0" t="s">
        <v>4258</v>
      </c>
      <c r="DO211" s="0" t="s">
        <v>363</v>
      </c>
      <c r="DS211" s="0" t="s">
        <v>809</v>
      </c>
      <c r="DT211" s="0" t="s">
        <v>209</v>
      </c>
      <c r="DU211" s="0" t="s">
        <v>189</v>
      </c>
      <c r="DX211" s="0" t="s">
        <v>209</v>
      </c>
      <c r="EA211" s="0" t="s">
        <v>209</v>
      </c>
      <c r="EB211" s="0" t="s">
        <v>189</v>
      </c>
      <c r="EC211" s="0" t="s">
        <v>209</v>
      </c>
      <c r="EF211" s="0" t="s">
        <v>209</v>
      </c>
      <c r="EH211" s="0" t="s">
        <v>189</v>
      </c>
      <c r="EI211" s="0" t="s">
        <v>2716</v>
      </c>
      <c r="EJ211" s="0" t="s">
        <v>221</v>
      </c>
      <c r="EK211" s="0" t="s">
        <v>209</v>
      </c>
      <c r="EL211" s="0" t="n">
        <v>26</v>
      </c>
      <c r="EM211" s="0" t="n">
        <v>7</v>
      </c>
      <c r="EN211" s="0" t="n">
        <v>8</v>
      </c>
      <c r="EO211" s="0" t="n">
        <v>6</v>
      </c>
      <c r="EP211" s="0" t="n">
        <v>5</v>
      </c>
      <c r="EQ211" s="0" t="n">
        <f aca="false">IF($A211="","",IF(AH211="exact",10,IF(AH211="adjacent",5,0)))</f>
        <v>0</v>
      </c>
      <c r="ER211" s="0" t="n">
        <f aca="false">IF($A211="","",IF(R211="Y",15,0))</f>
        <v>0</v>
      </c>
      <c r="ES211" s="0" t="s">
        <v>222</v>
      </c>
      <c r="EV211" s="0" t="s">
        <v>4261</v>
      </c>
      <c r="EW211" s="0" t="s">
        <v>224</v>
      </c>
      <c r="EX211" s="0" t="s">
        <v>4262</v>
      </c>
      <c r="FS211" s="0" t="str">
        <f aca="false">IF($A211="","",IF(ISNUMBER(MATCH(U211,{"queued","contacted","replied","call_booked","call_done","yes_in_principle","materials_sent"},0)),"Y","N"))</f>
        <v>N</v>
      </c>
      <c r="FT211" s="0" t="str">
        <f aca="false">IF($A211="","",IF(OR(T211="Y",U211="do_not_contact",AS211&amp;""&lt;&gt;""),"Y","N"))</f>
        <v>N</v>
      </c>
      <c r="FU211" s="0" t="str">
        <f aca="false">IF($A211="","",IF(AP211&amp;""&lt;&gt;"",AP211&amp;"",$A211))</f>
        <v>AO-C-168</v>
      </c>
      <c r="FV211" s="0" t="str">
        <f aca="false">IF($A211="","",IF(COUNTIFS($FU$2:$FU$1000,FU211,$FS$2:$FS$1000,"Y")+COUNTIFS($FU$2:$FU$1000,FU211,$FT$2:$FT$1000,"Y")&gt;0,"Y","N"))</f>
        <v>N</v>
      </c>
      <c r="FW211" s="0" t="str">
        <f aca="false">IF($A211="","",IF(AND(U211="new",T211="N",FT211="N",AT211="Y",FV211="N"),"Y","N"))</f>
        <v>N</v>
      </c>
      <c r="FX211" s="0" t="str">
        <f aca="false">IF($A211="","",IF(FW211&lt;&gt;"Y","N",IF(COUNTIFS($FU$2:$FU$1000,FU211,$FW$2:$FW$1000,"Y",$J$2:$J$1000,"&gt;"&amp;J211)+COUNTIFS($FU$2:$FU$1000,FU211,$FW$2:$FW$1000,"Y",$J$2:$J$1000,J211,$GD$2:$GD$1000,"&lt;"&amp;GD211)=0,"Y","N")))</f>
        <v>N</v>
      </c>
      <c r="FY211" s="0" t="str">
        <f aca="false">IF($A211="","",IF(AND(FW211="Y",FX211="Y",Y211&amp;""&lt;&gt;""),IF(Y211&lt;=10,"Y","N"),"N"))</f>
        <v>N</v>
      </c>
      <c r="FZ211" s="0" t="str">
        <f aca="false">IF(FY211="Y",Y211,"")</f>
        <v/>
      </c>
      <c r="GA211" s="0" t="str">
        <f aca="false">IF($A211="","",IF(AND(I211="walk-in",CN211="pass",U211="new",FT211="N",FV211="N",AQ211&lt;&gt;"Y"),"Y","N"))</f>
        <v>N</v>
      </c>
      <c r="GB211" s="0" t="str">
        <f aca="false">IF(GA211&lt;&gt;"Y","",IF(COUNTIFS($GA$2:$GA$1000,"Y",$J$2:$J$1000,"&gt;"&amp;J211)+COUNTIFS($GA$2:$GA$1000,"Y",$J$2:$J$1000,J211,$GD$2:$GD$1000,"&lt;"&amp;GD211)+1&lt;=25,COUNTIFS($GA$2:$GA$1000,"Y",$J$2:$J$1000,"&gt;"&amp;J211)+COUNTIFS($GA$2:$GA$1000,"Y",$J$2:$J$1000,J211,$GD$2:$GD$1000,"&lt;"&amp;GD211)+1,""))</f>
        <v/>
      </c>
      <c r="GC211" s="0" t="str">
        <f aca="false">IF(AND(_xlfn.ISFORMULA(C211),_xlfn.ISFORMULA(J211)),"Y","N")</f>
        <v>Y</v>
      </c>
      <c r="GD211" s="0" t="n">
        <f aca="false">ROW()-1</f>
        <v>210</v>
      </c>
    </row>
    <row r="212" customFormat="false" ht="15" hidden="false" customHeight="false" outlineLevel="0" collapsed="false">
      <c r="A212" s="0" t="s">
        <v>4263</v>
      </c>
      <c r="B212" s="0" t="s">
        <v>4264</v>
      </c>
      <c r="C212" s="0" t="str">
        <f aca="false">IF($A212="","",IF(AW212="Y",BM212&amp;"",AY212&amp;""))</f>
        <v/>
      </c>
      <c r="D212" s="0" t="str">
        <f aca="false">IF($A212="","",IF(AW212="Y",BN212&amp;"",AZ212&amp;""))</f>
        <v/>
      </c>
      <c r="E212" s="0" t="str">
        <f aca="false">IF($A212="","",IF(AW212="Y",BO212&amp;"",BA212&amp;""))</f>
        <v/>
      </c>
      <c r="F212" s="0" t="str">
        <f aca="false">IF($A212="","",IF(AW212="Y",BP212&amp;"",BB212&amp;""))</f>
        <v/>
      </c>
      <c r="G212" s="0" t="str">
        <f aca="false">IF($A212="","",IF(AW212="Y",BQ212&amp;"",BC212&amp;""))</f>
        <v/>
      </c>
      <c r="H212" s="0" t="str">
        <f aca="false">IF($A212="","",IF(AW212="Y",BR212&amp;"",BD212&amp;""))</f>
        <v>none</v>
      </c>
      <c r="I212" s="0" t="str">
        <f aca="false">IF($A212="","",IF(R212="Y","warm-intro",IF(H212="verified","email",IF(C212&lt;&gt;"","linkedin",CB212&amp;""))))</f>
        <v>linkedin</v>
      </c>
      <c r="J212" s="0" t="n">
        <f aca="false">IF($A212="","",IF(CN212="pass",ROUND(N(EM212)+N(EN212)+N(EO212)+N(EP212)+N(EQ212)+N(ER212),1),0))</f>
        <v>26</v>
      </c>
      <c r="K212" s="0" t="str">
        <f aca="false">IF($A212="","",IF(CN212&lt;&gt;"pass",CA212&amp;"",CA212&amp;"; "&amp;IF(AW212="Y",BZ212&amp;"",BL212&amp;"")&amp;IF(R212="Y","; known to the founder (+15)","")&amp;"."))</f>
        <v>Tuesday headcount unknown (no sourced count), company size unknown, no attendance signal, signed-not-occupied at a medium-confidence address (hold: lease signed, move not confirmed); contacts not researched yet.</v>
      </c>
      <c r="L212" s="0" t="s">
        <v>209</v>
      </c>
      <c r="R212" s="5" t="s">
        <v>189</v>
      </c>
      <c r="S212" s="0" t="s">
        <v>209</v>
      </c>
      <c r="T212" s="0" t="s">
        <v>189</v>
      </c>
      <c r="U212" s="5" t="s">
        <v>3896</v>
      </c>
      <c r="V212" s="0" t="s">
        <v>1755</v>
      </c>
      <c r="W212" s="0" t="s">
        <v>263</v>
      </c>
      <c r="X212" s="0" t="s">
        <v>3897</v>
      </c>
      <c r="Y212" s="0" t="str">
        <f aca="false">IF(FX212&lt;&gt;"Y","",COUNTIFS($FX$2:$FX$1000,"Y",$J$2:$J$1000,"&gt;"&amp;J212)+COUNTIFS($FX$2:$FX$1000,"Y",$J$2:$J$1000,J212,$GD$2:$GD$1000,"&lt;"&amp;GD212)+1)</f>
        <v/>
      </c>
      <c r="Z212" s="0" t="n">
        <v>211</v>
      </c>
      <c r="AA212" s="0" t="s">
        <v>189</v>
      </c>
      <c r="AB212" s="0" t="str">
        <f aca="false">IF($A212="","",IF(AW212="Y",BY212&amp;"",BK212&amp;""))</f>
        <v/>
      </c>
      <c r="AC212" s="0" t="str">
        <f aca="false">IF($A212="","",IF(AW212="Y",BS212&amp;"",BE212&amp;""))</f>
        <v/>
      </c>
      <c r="AD212" s="0" t="str">
        <f aca="false">IF($A212="","",IF(AW212="Y",BT212&amp;"",BF212&amp;""))</f>
        <v>none</v>
      </c>
      <c r="AE212" s="0" t="str">
        <f aca="false">IF($A212="","",IF(AW212="Y",BU212&amp;"",BG212&amp;""))</f>
        <v/>
      </c>
      <c r="AF212" s="0" t="str">
        <f aca="false">IF($A212="","",IF(AW212="Y",BV212&amp;"",BH212&amp;""))</f>
        <v/>
      </c>
      <c r="AG212" s="0" t="str">
        <f aca="false">IF($A212="","",IF(AW212="Y",BW212&amp;"",BI212&amp;""))</f>
        <v/>
      </c>
      <c r="AH212" s="0" t="str">
        <f aca="false">IF($A212="","",IF(AW212="Y",BX212&amp;"",BJ212&amp;""))</f>
        <v>none</v>
      </c>
      <c r="AI212" s="0" t="s">
        <v>1965</v>
      </c>
      <c r="AJ212" s="0" t="s">
        <v>456</v>
      </c>
      <c r="AK212" s="0" t="s">
        <v>4183</v>
      </c>
      <c r="AL212" s="0" t="s">
        <v>209</v>
      </c>
      <c r="AM212" s="0" t="s">
        <v>209</v>
      </c>
      <c r="AN212" s="0" t="s">
        <v>380</v>
      </c>
      <c r="AO212" s="0" t="s">
        <v>209</v>
      </c>
      <c r="AP212" s="0" t="s">
        <v>4263</v>
      </c>
      <c r="AQ212" s="5" t="s">
        <v>164</v>
      </c>
      <c r="AR212" s="0" t="s">
        <v>779</v>
      </c>
      <c r="AT212" s="0" t="str">
        <f aca="false">IF($A212="","",IF(AND(CN212="pass",AQ212&lt;&gt;"Y",C212&lt;&gt;"",OR(AX212&lt;&gt;"Y",AV212="Y")),"Y","N"))</f>
        <v>N</v>
      </c>
      <c r="AU212" s="0" t="str">
        <f aca="false">IF($A212="","",_xlfn.TEXTJOIN("; ",TRUE(),IF(CN212&lt;&gt;"pass","gated out",""),IF(AQ212="Y","on hold: "&amp;AR212,""),IF(C212="","no contact named on an opened page",""),IF(AND(AX212="Y",AV212&lt;&gt;"Y"),"Tuesday estimate band "&amp;L212&amp;": founder's call","")))</f>
        <v>on hold: lease signed, move not confirmed: check the lobby directory before outreach (B); no contact named on an opened page</v>
      </c>
      <c r="AX212" s="0" t="s">
        <v>189</v>
      </c>
      <c r="BC212" s="0" t="str">
        <f aca="false">IF($A212="","",IFERROR(INDEX(Enrichment!$A$2:$GZ$2000,MATCH($A212,INDEX(Enrichment!$A$2:$GZ$2000,0,MATCH("row_id",Enrichment!$A$1:$GZ$1,0)),0),MATCH("work_email",Enrichment!$A$1:$GZ$1,0))&amp;"",""))</f>
        <v/>
      </c>
      <c r="BD212" s="0" t="str">
        <f aca="false">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none</v>
      </c>
      <c r="BF212" s="0" t="s">
        <v>380</v>
      </c>
      <c r="BJ212" s="0" t="s">
        <v>380</v>
      </c>
      <c r="BL212" s="0" t="s">
        <v>896</v>
      </c>
      <c r="BQ212" s="0" t="str">
        <f aca="false">IF($A212="","",IFERROR(INDEX(Enrichment!$A$2:$GZ$2000,MATCH($A212,INDEX(Enrichment!$A$2:$GZ$2000,0,MATCH("row_id",Enrichment!$A$1:$GZ$1,0)),0),MATCH("backup_work_email",Enrichment!$A$1:$GZ$1,0))&amp;"",""))</f>
        <v/>
      </c>
      <c r="BR212" s="0" t="str">
        <f aca="false">IF($A212="","",IF(BQ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none</v>
      </c>
      <c r="BT212" s="0" t="s">
        <v>380</v>
      </c>
      <c r="BX212" s="0" t="s">
        <v>380</v>
      </c>
      <c r="BY212" s="0" t="s">
        <v>387</v>
      </c>
      <c r="BZ212" s="0" t="s">
        <v>388</v>
      </c>
      <c r="CA212" s="0" t="s">
        <v>4210</v>
      </c>
      <c r="CB212" s="0" t="s">
        <v>196</v>
      </c>
      <c r="CM212" s="0" t="s">
        <v>189</v>
      </c>
      <c r="CN212" s="0" t="s">
        <v>200</v>
      </c>
      <c r="CO212" s="0" t="s">
        <v>201</v>
      </c>
      <c r="CP212" s="0" t="s">
        <v>1</v>
      </c>
      <c r="CQ212" s="0" t="s">
        <v>4265</v>
      </c>
      <c r="CR212" s="0" t="s">
        <v>4266</v>
      </c>
      <c r="CS212" s="0" t="s">
        <v>4267</v>
      </c>
      <c r="CT212" s="0" t="s">
        <v>209</v>
      </c>
      <c r="CV212" s="0" t="s">
        <v>209</v>
      </c>
      <c r="CW212" s="0" t="s">
        <v>209</v>
      </c>
      <c r="CX212" s="0" t="s">
        <v>2712</v>
      </c>
      <c r="DA212" s="0" t="s">
        <v>209</v>
      </c>
      <c r="DB212" s="0" t="s">
        <v>209</v>
      </c>
      <c r="DC212" s="0" t="s">
        <v>209</v>
      </c>
      <c r="DD212" s="0" t="s">
        <v>209</v>
      </c>
      <c r="DE212" s="0" t="s">
        <v>4268</v>
      </c>
      <c r="DF212" s="0" t="s">
        <v>525</v>
      </c>
      <c r="DG212" s="0" t="n">
        <v>40.738577</v>
      </c>
      <c r="DH212" s="0" t="n">
        <v>-73.987151</v>
      </c>
      <c r="DI212" s="0" t="s">
        <v>164</v>
      </c>
      <c r="DJ212" s="0" t="n">
        <v>0</v>
      </c>
      <c r="DK212" s="0" t="s">
        <v>1753</v>
      </c>
      <c r="DL212" s="0" t="s">
        <v>1754</v>
      </c>
      <c r="DM212" s="0" t="s">
        <v>1755</v>
      </c>
      <c r="DN212" s="0" t="s">
        <v>1756</v>
      </c>
      <c r="DO212" s="0" t="s">
        <v>363</v>
      </c>
      <c r="DS212" s="0" t="s">
        <v>809</v>
      </c>
      <c r="DT212" s="0" t="s">
        <v>209</v>
      </c>
      <c r="DU212" s="0" t="s">
        <v>189</v>
      </c>
      <c r="DX212" s="0" t="s">
        <v>209</v>
      </c>
      <c r="EA212" s="0" t="s">
        <v>209</v>
      </c>
      <c r="EB212" s="0" t="s">
        <v>189</v>
      </c>
      <c r="EC212" s="0" t="s">
        <v>209</v>
      </c>
      <c r="EF212" s="0" t="s">
        <v>209</v>
      </c>
      <c r="EH212" s="0" t="s">
        <v>189</v>
      </c>
      <c r="EI212" s="0" t="s">
        <v>2716</v>
      </c>
      <c r="EJ212" s="0" t="s">
        <v>221</v>
      </c>
      <c r="EK212" s="0" t="s">
        <v>209</v>
      </c>
      <c r="EL212" s="0" t="n">
        <v>26</v>
      </c>
      <c r="EM212" s="0" t="n">
        <v>7</v>
      </c>
      <c r="EN212" s="0" t="n">
        <v>8</v>
      </c>
      <c r="EO212" s="0" t="n">
        <v>6</v>
      </c>
      <c r="EP212" s="0" t="n">
        <v>5</v>
      </c>
      <c r="EQ212" s="0" t="n">
        <f aca="false">IF($A212="","",IF(AH212="exact",10,IF(AH212="adjacent",5,0)))</f>
        <v>0</v>
      </c>
      <c r="ER212" s="0" t="n">
        <f aca="false">IF($A212="","",IF(R212="Y",15,0))</f>
        <v>0</v>
      </c>
      <c r="ES212" s="0" t="s">
        <v>222</v>
      </c>
      <c r="EV212" s="0" t="s">
        <v>4269</v>
      </c>
      <c r="EW212" s="0" t="s">
        <v>224</v>
      </c>
      <c r="EX212" s="0" t="s">
        <v>4270</v>
      </c>
      <c r="EZ212" s="0" t="s">
        <v>4271</v>
      </c>
      <c r="FS212" s="0" t="str">
        <f aca="false">IF($A212="","",IF(ISNUMBER(MATCH(U212,{"queued","contacted","replied","call_booked","call_done","yes_in_principle","materials_sent"},0)),"Y","N"))</f>
        <v>N</v>
      </c>
      <c r="FT212" s="0" t="str">
        <f aca="false">IF($A212="","",IF(OR(T212="Y",U212="do_not_contact",AS212&amp;""&lt;&gt;""),"Y","N"))</f>
        <v>N</v>
      </c>
      <c r="FU212" s="0" t="str">
        <f aca="false">IF($A212="","",IF(AP212&amp;""&lt;&gt;"",AP212&amp;"",$A212))</f>
        <v>AO-C-068</v>
      </c>
      <c r="FV212" s="0" t="str">
        <f aca="false">IF($A212="","",IF(COUNTIFS($FU$2:$FU$1000,FU212,$FS$2:$FS$1000,"Y")+COUNTIFS($FU$2:$FU$1000,FU212,$FT$2:$FT$1000,"Y")&gt;0,"Y","N"))</f>
        <v>N</v>
      </c>
      <c r="FW212" s="0" t="str">
        <f aca="false">IF($A212="","",IF(AND(U212="new",T212="N",FT212="N",AT212="Y",FV212="N"),"Y","N"))</f>
        <v>N</v>
      </c>
      <c r="FX212" s="0" t="str">
        <f aca="false">IF($A212="","",IF(FW212&lt;&gt;"Y","N",IF(COUNTIFS($FU$2:$FU$1000,FU212,$FW$2:$FW$1000,"Y",$J$2:$J$1000,"&gt;"&amp;J212)+COUNTIFS($FU$2:$FU$1000,FU212,$FW$2:$FW$1000,"Y",$J$2:$J$1000,J212,$GD$2:$GD$1000,"&lt;"&amp;GD212)=0,"Y","N")))</f>
        <v>N</v>
      </c>
      <c r="FY212" s="0" t="str">
        <f aca="false">IF($A212="","",IF(AND(FW212="Y",FX212="Y",Y212&amp;""&lt;&gt;""),IF(Y212&lt;=10,"Y","N"),"N"))</f>
        <v>N</v>
      </c>
      <c r="FZ212" s="0" t="str">
        <f aca="false">IF(FY212="Y",Y212,"")</f>
        <v/>
      </c>
      <c r="GA212" s="0" t="str">
        <f aca="false">IF($A212="","",IF(AND(I212="walk-in",CN212="pass",U212="new",FT212="N",FV212="N",AQ212&lt;&gt;"Y"),"Y","N"))</f>
        <v>N</v>
      </c>
      <c r="GB212" s="0" t="str">
        <f aca="false">IF(GA212&lt;&gt;"Y","",IF(COUNTIFS($GA$2:$GA$1000,"Y",$J$2:$J$1000,"&gt;"&amp;J212)+COUNTIFS($GA$2:$GA$1000,"Y",$J$2:$J$1000,J212,$GD$2:$GD$1000,"&lt;"&amp;GD212)+1&lt;=25,COUNTIFS($GA$2:$GA$1000,"Y",$J$2:$J$1000,"&gt;"&amp;J212)+COUNTIFS($GA$2:$GA$1000,"Y",$J$2:$J$1000,J212,$GD$2:$GD$1000,"&lt;"&amp;GD212)+1,""))</f>
        <v/>
      </c>
      <c r="GC212" s="0" t="str">
        <f aca="false">IF(AND(_xlfn.ISFORMULA(C212),_xlfn.ISFORMULA(J212)),"Y","N")</f>
        <v>Y</v>
      </c>
      <c r="GD212" s="0" t="n">
        <f aca="false">ROW()-1</f>
        <v>211</v>
      </c>
    </row>
    <row r="213" customFormat="false" ht="15" hidden="false" customHeight="false" outlineLevel="0" collapsed="false">
      <c r="A213" s="0" t="s">
        <v>4272</v>
      </c>
      <c r="B213" s="0" t="s">
        <v>4273</v>
      </c>
      <c r="C213" s="0" t="str">
        <f aca="false">IF($A213="","",IF(AW213="Y",BM213&amp;"",AY213&amp;""))</f>
        <v/>
      </c>
      <c r="D213" s="0" t="str">
        <f aca="false">IF($A213="","",IF(AW213="Y",BN213&amp;"",AZ213&amp;""))</f>
        <v/>
      </c>
      <c r="E213" s="0" t="str">
        <f aca="false">IF($A213="","",IF(AW213="Y",BO213&amp;"",BA213&amp;""))</f>
        <v/>
      </c>
      <c r="F213" s="0" t="str">
        <f aca="false">IF($A213="","",IF(AW213="Y",BP213&amp;"",BB213&amp;""))</f>
        <v/>
      </c>
      <c r="G213" s="0" t="str">
        <f aca="false">IF($A213="","",IF(AW213="Y",BQ213&amp;"",BC213&amp;""))</f>
        <v/>
      </c>
      <c r="H213" s="0" t="str">
        <f aca="false">IF($A213="","",IF(AW213="Y",BR213&amp;"",BD213&amp;""))</f>
        <v>none</v>
      </c>
      <c r="I213" s="0" t="str">
        <f aca="false">IF($A213="","",IF(R213="Y","warm-intro",IF(H213="verified","email",IF(C213&lt;&gt;"","linkedin",CB213&amp;""))))</f>
        <v>linkedin</v>
      </c>
      <c r="J213" s="0" t="n">
        <f aca="false">IF($A213="","",IF(CN213="pass",ROUND(N(EM213)+N(EN213)+N(EO213)+N(EP213)+N(EQ213)+N(ER213),1),0))</f>
        <v>26</v>
      </c>
      <c r="K213" s="0" t="str">
        <f aca="false">IF($A213="","",IF(CN213&lt;&gt;"pass",CA213&amp;"",CA213&amp;"; "&amp;IF(AW213="Y",BZ213&amp;"",BL213&amp;"")&amp;IF(R213="Y","; known to the founder (+15)","")&amp;"."))</f>
        <v>Tuesday headcount unknown (no sourced count), company size unknown, no attendance signal, signed-not-occupied at a medium-confidence address (hold: lease signed, move not confirmed); contacts not researched yet.</v>
      </c>
      <c r="L213" s="0" t="s">
        <v>209</v>
      </c>
      <c r="O213" s="0" t="s">
        <v>4274</v>
      </c>
      <c r="P213" s="0" t="s">
        <v>1844</v>
      </c>
      <c r="Q213" s="0" t="s">
        <v>1845</v>
      </c>
      <c r="R213" s="5" t="s">
        <v>189</v>
      </c>
      <c r="S213" s="0" t="s">
        <v>209</v>
      </c>
      <c r="T213" s="0" t="s">
        <v>189</v>
      </c>
      <c r="U213" s="5" t="s">
        <v>3896</v>
      </c>
      <c r="V213" s="0" t="s">
        <v>1844</v>
      </c>
      <c r="W213" s="0" t="s">
        <v>263</v>
      </c>
      <c r="X213" s="0" t="s">
        <v>3897</v>
      </c>
      <c r="Y213" s="0" t="str">
        <f aca="false">IF(FX213&lt;&gt;"Y","",COUNTIFS($FX$2:$FX$1000,"Y",$J$2:$J$1000,"&gt;"&amp;J213)+COUNTIFS($FX$2:$FX$1000,"Y",$J$2:$J$1000,J213,$GD$2:$GD$1000,"&lt;"&amp;GD213)+1)</f>
        <v/>
      </c>
      <c r="Z213" s="0" t="n">
        <v>212</v>
      </c>
      <c r="AA213" s="0" t="s">
        <v>189</v>
      </c>
      <c r="AB213" s="0" t="str">
        <f aca="false">IF($A213="","",IF(AW213="Y",BY213&amp;"",BK213&amp;""))</f>
        <v/>
      </c>
      <c r="AC213" s="0" t="str">
        <f aca="false">IF($A213="","",IF(AW213="Y",BS213&amp;"",BE213&amp;""))</f>
        <v/>
      </c>
      <c r="AD213" s="0" t="str">
        <f aca="false">IF($A213="","",IF(AW213="Y",BT213&amp;"",BF213&amp;""))</f>
        <v>none</v>
      </c>
      <c r="AE213" s="0" t="str">
        <f aca="false">IF($A213="","",IF(AW213="Y",BU213&amp;"",BG213&amp;""))</f>
        <v/>
      </c>
      <c r="AF213" s="0" t="str">
        <f aca="false">IF($A213="","",IF(AW213="Y",BV213&amp;"",BH213&amp;""))</f>
        <v/>
      </c>
      <c r="AG213" s="0" t="str">
        <f aca="false">IF($A213="","",IF(AW213="Y",BW213&amp;"",BI213&amp;""))</f>
        <v/>
      </c>
      <c r="AH213" s="0" t="str">
        <f aca="false">IF($A213="","",IF(AW213="Y",BX213&amp;"",BJ213&amp;""))</f>
        <v>none</v>
      </c>
      <c r="AI213" s="0" t="s">
        <v>1337</v>
      </c>
      <c r="AJ213" s="0" t="s">
        <v>4275</v>
      </c>
      <c r="AK213" s="0" t="s">
        <v>4183</v>
      </c>
      <c r="AL213" s="0" t="s">
        <v>209</v>
      </c>
      <c r="AM213" s="0" t="s">
        <v>209</v>
      </c>
      <c r="AN213" s="0" t="s">
        <v>380</v>
      </c>
      <c r="AO213" s="0" t="s">
        <v>209</v>
      </c>
      <c r="AP213" s="0" t="s">
        <v>4272</v>
      </c>
      <c r="AQ213" s="5" t="s">
        <v>164</v>
      </c>
      <c r="AR213" s="0" t="s">
        <v>779</v>
      </c>
      <c r="AT213" s="0" t="str">
        <f aca="false">IF($A213="","",IF(AND(CN213="pass",AQ213&lt;&gt;"Y",C213&lt;&gt;"",OR(AX213&lt;&gt;"Y",AV213="Y")),"Y","N"))</f>
        <v>N</v>
      </c>
      <c r="AU213" s="0" t="str">
        <f aca="false">IF($A213="","",_xlfn.TEXTJOIN("; ",TRUE(),IF(CN213&lt;&gt;"pass","gated out",""),IF(AQ213="Y","on hold: "&amp;AR213,""),IF(C213="","no contact named on an opened page",""),IF(AND(AX213="Y",AV213&lt;&gt;"Y"),"Tuesday estimate band "&amp;L213&amp;": founder's call","")))</f>
        <v>on hold: lease signed, move not confirmed: check the lobby directory before outreach (B); no contact named on an opened page</v>
      </c>
      <c r="AX213" s="0" t="s">
        <v>189</v>
      </c>
      <c r="BC213" s="0" t="str">
        <f aca="false">IF($A213="","",IFERROR(INDEX(Enrichment!$A$2:$GZ$2000,MATCH($A213,INDEX(Enrichment!$A$2:$GZ$2000,0,MATCH("row_id",Enrichment!$A$1:$GZ$1,0)),0),MATCH("work_email",Enrichment!$A$1:$GZ$1,0))&amp;"",""))</f>
        <v/>
      </c>
      <c r="BD213" s="0" t="str">
        <f aca="false">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none</v>
      </c>
      <c r="BF213" s="0" t="s">
        <v>380</v>
      </c>
      <c r="BJ213" s="0" t="s">
        <v>380</v>
      </c>
      <c r="BL213" s="0" t="s">
        <v>896</v>
      </c>
      <c r="BQ213" s="0" t="str">
        <f aca="false">IF($A213="","",IFERROR(INDEX(Enrichment!$A$2:$GZ$2000,MATCH($A213,INDEX(Enrichment!$A$2:$GZ$2000,0,MATCH("row_id",Enrichment!$A$1:$GZ$1,0)),0),MATCH("backup_work_email",Enrichment!$A$1:$GZ$1,0))&amp;"",""))</f>
        <v/>
      </c>
      <c r="BR213" s="0" t="str">
        <f aca="false">IF($A213="","",IF(BQ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none</v>
      </c>
      <c r="BT213" s="0" t="s">
        <v>380</v>
      </c>
      <c r="BX213" s="0" t="s">
        <v>380</v>
      </c>
      <c r="BY213" s="0" t="s">
        <v>387</v>
      </c>
      <c r="BZ213" s="0" t="s">
        <v>388</v>
      </c>
      <c r="CA213" s="0" t="s">
        <v>4210</v>
      </c>
      <c r="CB213" s="0" t="s">
        <v>196</v>
      </c>
      <c r="CM213" s="0" t="s">
        <v>189</v>
      </c>
      <c r="CN213" s="0" t="s">
        <v>200</v>
      </c>
      <c r="CO213" s="0" t="s">
        <v>201</v>
      </c>
      <c r="CP213" s="0" t="s">
        <v>1</v>
      </c>
      <c r="CQ213" s="0" t="s">
        <v>4276</v>
      </c>
      <c r="CR213" s="0" t="s">
        <v>4277</v>
      </c>
      <c r="CS213" s="0" t="s">
        <v>4278</v>
      </c>
      <c r="CT213" s="0" t="s">
        <v>209</v>
      </c>
      <c r="CV213" s="0" t="s">
        <v>209</v>
      </c>
      <c r="CW213" s="0" t="s">
        <v>209</v>
      </c>
      <c r="CX213" s="0" t="s">
        <v>2712</v>
      </c>
      <c r="CY213" s="0" t="s">
        <v>4279</v>
      </c>
      <c r="DA213" s="0" t="s">
        <v>209</v>
      </c>
      <c r="DB213" s="0" t="s">
        <v>259</v>
      </c>
      <c r="DC213" s="0" t="s">
        <v>164</v>
      </c>
      <c r="DD213" s="0" t="s">
        <v>209</v>
      </c>
      <c r="DE213" s="0" t="s">
        <v>4280</v>
      </c>
      <c r="DF213" s="0" t="s">
        <v>210</v>
      </c>
      <c r="DG213" s="0" t="n">
        <v>40.7357</v>
      </c>
      <c r="DH213" s="0" t="n">
        <v>-73.991754</v>
      </c>
      <c r="DI213" s="0" t="s">
        <v>164</v>
      </c>
      <c r="DJ213" s="0" t="n">
        <v>0</v>
      </c>
      <c r="DK213" s="0" t="s">
        <v>1842</v>
      </c>
      <c r="DL213" s="0" t="s">
        <v>1843</v>
      </c>
      <c r="DM213" s="0" t="s">
        <v>1844</v>
      </c>
      <c r="DN213" s="0" t="s">
        <v>1845</v>
      </c>
      <c r="DO213" s="0" t="s">
        <v>363</v>
      </c>
      <c r="DS213" s="0" t="s">
        <v>809</v>
      </c>
      <c r="DT213" s="0" t="s">
        <v>209</v>
      </c>
      <c r="DU213" s="0" t="s">
        <v>189</v>
      </c>
      <c r="DX213" s="0" t="s">
        <v>209</v>
      </c>
      <c r="EA213" s="0" t="s">
        <v>209</v>
      </c>
      <c r="EB213" s="0" t="s">
        <v>189</v>
      </c>
      <c r="EC213" s="0" t="s">
        <v>209</v>
      </c>
      <c r="EF213" s="0" t="s">
        <v>209</v>
      </c>
      <c r="EH213" s="0" t="s">
        <v>189</v>
      </c>
      <c r="EI213" s="0" t="s">
        <v>2716</v>
      </c>
      <c r="EJ213" s="0" t="s">
        <v>221</v>
      </c>
      <c r="EK213" s="0" t="s">
        <v>209</v>
      </c>
      <c r="EL213" s="0" t="n">
        <v>26</v>
      </c>
      <c r="EM213" s="0" t="n">
        <v>7</v>
      </c>
      <c r="EN213" s="0" t="n">
        <v>8</v>
      </c>
      <c r="EO213" s="0" t="n">
        <v>6</v>
      </c>
      <c r="EP213" s="0" t="n">
        <v>5</v>
      </c>
      <c r="EQ213" s="0" t="n">
        <f aca="false">IF($A213="","",IF(AH213="exact",10,IF(AH213="adjacent",5,0)))</f>
        <v>0</v>
      </c>
      <c r="ER213" s="0" t="n">
        <f aca="false">IF($A213="","",IF(R213="Y",15,0))</f>
        <v>0</v>
      </c>
      <c r="ES213" s="0" t="s">
        <v>222</v>
      </c>
      <c r="EV213" s="0" t="s">
        <v>4281</v>
      </c>
      <c r="EW213" s="0" t="s">
        <v>224</v>
      </c>
      <c r="EX213" s="0" t="s">
        <v>4282</v>
      </c>
      <c r="EZ213" s="0" t="s">
        <v>4283</v>
      </c>
      <c r="FS213" s="0" t="str">
        <f aca="false">IF($A213="","",IF(ISNUMBER(MATCH(U213,{"queued","contacted","replied","call_booked","call_done","yes_in_principle","materials_sent"},0)),"Y","N"))</f>
        <v>N</v>
      </c>
      <c r="FT213" s="0" t="str">
        <f aca="false">IF($A213="","",IF(OR(T213="Y",U213="do_not_contact",AS213&amp;""&lt;&gt;""),"Y","N"))</f>
        <v>N</v>
      </c>
      <c r="FU213" s="0" t="str">
        <f aca="false">IF($A213="","",IF(AP213&amp;""&lt;&gt;"",AP213&amp;"",$A213))</f>
        <v>AO-C-012</v>
      </c>
      <c r="FV213" s="0" t="str">
        <f aca="false">IF($A213="","",IF(COUNTIFS($FU$2:$FU$1000,FU213,$FS$2:$FS$1000,"Y")+COUNTIFS($FU$2:$FU$1000,FU213,$FT$2:$FT$1000,"Y")&gt;0,"Y","N"))</f>
        <v>N</v>
      </c>
      <c r="FW213" s="0" t="str">
        <f aca="false">IF($A213="","",IF(AND(U213="new",T213="N",FT213="N",AT213="Y",FV213="N"),"Y","N"))</f>
        <v>N</v>
      </c>
      <c r="FX213" s="0" t="str">
        <f aca="false">IF($A213="","",IF(FW213&lt;&gt;"Y","N",IF(COUNTIFS($FU$2:$FU$1000,FU213,$FW$2:$FW$1000,"Y",$J$2:$J$1000,"&gt;"&amp;J213)+COUNTIFS($FU$2:$FU$1000,FU213,$FW$2:$FW$1000,"Y",$J$2:$J$1000,J213,$GD$2:$GD$1000,"&lt;"&amp;GD213)=0,"Y","N")))</f>
        <v>N</v>
      </c>
      <c r="FY213" s="0" t="str">
        <f aca="false">IF($A213="","",IF(AND(FW213="Y",FX213="Y",Y213&amp;""&lt;&gt;""),IF(Y213&lt;=10,"Y","N"),"N"))</f>
        <v>N</v>
      </c>
      <c r="FZ213" s="0" t="str">
        <f aca="false">IF(FY213="Y",Y213,"")</f>
        <v/>
      </c>
      <c r="GA213" s="0" t="str">
        <f aca="false">IF($A213="","",IF(AND(I213="walk-in",CN213="pass",U213="new",FT213="N",FV213="N",AQ213&lt;&gt;"Y"),"Y","N"))</f>
        <v>N</v>
      </c>
      <c r="GB213" s="0" t="str">
        <f aca="false">IF(GA213&lt;&gt;"Y","",IF(COUNTIFS($GA$2:$GA$1000,"Y",$J$2:$J$1000,"&gt;"&amp;J213)+COUNTIFS($GA$2:$GA$1000,"Y",$J$2:$J$1000,J213,$GD$2:$GD$1000,"&lt;"&amp;GD213)+1&lt;=25,COUNTIFS($GA$2:$GA$1000,"Y",$J$2:$J$1000,"&gt;"&amp;J213)+COUNTIFS($GA$2:$GA$1000,"Y",$J$2:$J$1000,J213,$GD$2:$GD$1000,"&lt;"&amp;GD213)+1,""))</f>
        <v/>
      </c>
      <c r="GC213" s="0" t="str">
        <f aca="false">IF(AND(_xlfn.ISFORMULA(C213),_xlfn.ISFORMULA(J213)),"Y","N")</f>
        <v>Y</v>
      </c>
      <c r="GD213" s="0" t="n">
        <f aca="false">ROW()-1</f>
        <v>212</v>
      </c>
    </row>
    <row r="214" customFormat="false" ht="15" hidden="false" customHeight="false" outlineLevel="0" collapsed="false">
      <c r="A214" s="0" t="s">
        <v>4284</v>
      </c>
      <c r="B214" s="0" t="s">
        <v>4285</v>
      </c>
      <c r="C214" s="0" t="str">
        <f aca="false">IF($A214="","",IF(AW214="Y",BM214&amp;"",AY214&amp;""))</f>
        <v/>
      </c>
      <c r="D214" s="0" t="str">
        <f aca="false">IF($A214="","",IF(AW214="Y",BN214&amp;"",AZ214&amp;""))</f>
        <v/>
      </c>
      <c r="E214" s="0" t="str">
        <f aca="false">IF($A214="","",IF(AW214="Y",BO214&amp;"",BA214&amp;""))</f>
        <v/>
      </c>
      <c r="F214" s="0" t="str">
        <f aca="false">IF($A214="","",IF(AW214="Y",BP214&amp;"",BB214&amp;""))</f>
        <v/>
      </c>
      <c r="G214" s="0" t="str">
        <f aca="false">IF($A214="","",IF(AW214="Y",BQ214&amp;"",BC214&amp;""))</f>
        <v/>
      </c>
      <c r="H214" s="0" t="str">
        <f aca="false">IF($A214="","",IF(AW214="Y",BR214&amp;"",BD214&amp;""))</f>
        <v>none</v>
      </c>
      <c r="I214" s="0" t="str">
        <f aca="false">IF($A214="","",IF(R214="Y","warm-intro",IF(H214="verified","email",IF(C214&lt;&gt;"","linkedin",CB214&amp;""))))</f>
        <v>linkedin</v>
      </c>
      <c r="J214" s="0" t="n">
        <f aca="false">IF($A214="","",IF(CN214="pass",ROUND(N(EM214)+N(EN214)+N(EO214)+N(EP214)+N(EQ214)+N(ER214),1),0))</f>
        <v>26</v>
      </c>
      <c r="K214" s="0" t="str">
        <f aca="false">IF($A214="","",IF(CN214&lt;&gt;"pass",CA214&amp;"",CA214&amp;"; "&amp;IF(AW214="Y",BZ214&amp;"",BL214&amp;"")&amp;IF(R214="Y","; known to the founder (+15)","")&amp;"."))</f>
        <v>Tuesday headcount unknown (no sourced count), company size unknown, no attendance signal, signed-not-occupied at a medium-confidence address (hold: lease signed, move not confirmed); contacts not researched yet.</v>
      </c>
      <c r="L214" s="0" t="s">
        <v>209</v>
      </c>
      <c r="O214" s="0" t="s">
        <v>4286</v>
      </c>
      <c r="P214" s="0" t="s">
        <v>3728</v>
      </c>
      <c r="Q214" s="0" t="s">
        <v>3729</v>
      </c>
      <c r="R214" s="5" t="s">
        <v>189</v>
      </c>
      <c r="S214" s="0" t="s">
        <v>209</v>
      </c>
      <c r="T214" s="0" t="s">
        <v>189</v>
      </c>
      <c r="U214" s="5" t="s">
        <v>3896</v>
      </c>
      <c r="V214" s="0" t="s">
        <v>3728</v>
      </c>
      <c r="W214" s="0" t="s">
        <v>263</v>
      </c>
      <c r="X214" s="0" t="s">
        <v>3897</v>
      </c>
      <c r="Y214" s="0" t="str">
        <f aca="false">IF(FX214&lt;&gt;"Y","",COUNTIFS($FX$2:$FX$1000,"Y",$J$2:$J$1000,"&gt;"&amp;J214)+COUNTIFS($FX$2:$FX$1000,"Y",$J$2:$J$1000,J214,$GD$2:$GD$1000,"&lt;"&amp;GD214)+1)</f>
        <v/>
      </c>
      <c r="Z214" s="0" t="n">
        <v>213</v>
      </c>
      <c r="AA214" s="0" t="s">
        <v>189</v>
      </c>
      <c r="AB214" s="0" t="str">
        <f aca="false">IF($A214="","",IF(AW214="Y",BY214&amp;"",BK214&amp;""))</f>
        <v/>
      </c>
      <c r="AC214" s="0" t="str">
        <f aca="false">IF($A214="","",IF(AW214="Y",BS214&amp;"",BE214&amp;""))</f>
        <v/>
      </c>
      <c r="AD214" s="0" t="str">
        <f aca="false">IF($A214="","",IF(AW214="Y",BT214&amp;"",BF214&amp;""))</f>
        <v>none</v>
      </c>
      <c r="AE214" s="0" t="str">
        <f aca="false">IF($A214="","",IF(AW214="Y",BU214&amp;"",BG214&amp;""))</f>
        <v/>
      </c>
      <c r="AF214" s="0" t="str">
        <f aca="false">IF($A214="","",IF(AW214="Y",BV214&amp;"",BH214&amp;""))</f>
        <v/>
      </c>
      <c r="AG214" s="0" t="str">
        <f aca="false">IF($A214="","",IF(AW214="Y",BW214&amp;"",BI214&amp;""))</f>
        <v/>
      </c>
      <c r="AH214" s="0" t="str">
        <f aca="false">IF($A214="","",IF(AW214="Y",BX214&amp;"",BJ214&amp;""))</f>
        <v>none</v>
      </c>
      <c r="AI214" s="0" t="s">
        <v>2214</v>
      </c>
      <c r="AJ214" s="0" t="s">
        <v>374</v>
      </c>
      <c r="AK214" s="0" t="s">
        <v>4183</v>
      </c>
      <c r="AL214" s="0" t="s">
        <v>209</v>
      </c>
      <c r="AM214" s="0" t="s">
        <v>209</v>
      </c>
      <c r="AN214" s="0" t="s">
        <v>380</v>
      </c>
      <c r="AO214" s="0" t="s">
        <v>209</v>
      </c>
      <c r="AP214" s="0" t="s">
        <v>4284</v>
      </c>
      <c r="AQ214" s="5" t="s">
        <v>164</v>
      </c>
      <c r="AR214" s="0" t="s">
        <v>779</v>
      </c>
      <c r="AT214" s="0" t="str">
        <f aca="false">IF($A214="","",IF(AND(CN214="pass",AQ214&lt;&gt;"Y",C214&lt;&gt;"",OR(AX214&lt;&gt;"Y",AV214="Y")),"Y","N"))</f>
        <v>N</v>
      </c>
      <c r="AU214" s="0" t="str">
        <f aca="false">IF($A214="","",_xlfn.TEXTJOIN("; ",TRUE(),IF(CN214&lt;&gt;"pass","gated out",""),IF(AQ214="Y","on hold: "&amp;AR214,""),IF(C214="","no contact named on an opened page",""),IF(AND(AX214="Y",AV214&lt;&gt;"Y"),"Tuesday estimate band "&amp;L214&amp;": founder's call","")))</f>
        <v>on hold: lease signed, move not confirmed: check the lobby directory before outreach (B); no contact named on an opened page</v>
      </c>
      <c r="AX214" s="0" t="s">
        <v>189</v>
      </c>
      <c r="BC214" s="0" t="str">
        <f aca="false">IF($A214="","",IFERROR(INDEX(Enrichment!$A$2:$GZ$2000,MATCH($A214,INDEX(Enrichment!$A$2:$GZ$2000,0,MATCH("row_id",Enrichment!$A$1:$GZ$1,0)),0),MATCH("work_email",Enrichment!$A$1:$GZ$1,0))&amp;"",""))</f>
        <v/>
      </c>
      <c r="BD214" s="0" t="str">
        <f aca="false">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none</v>
      </c>
      <c r="BF214" s="0" t="s">
        <v>380</v>
      </c>
      <c r="BJ214" s="0" t="s">
        <v>380</v>
      </c>
      <c r="BL214" s="0" t="s">
        <v>896</v>
      </c>
      <c r="BQ214" s="0" t="str">
        <f aca="false">IF($A214="","",IFERROR(INDEX(Enrichment!$A$2:$GZ$2000,MATCH($A214,INDEX(Enrichment!$A$2:$GZ$2000,0,MATCH("row_id",Enrichment!$A$1:$GZ$1,0)),0),MATCH("backup_work_email",Enrichment!$A$1:$GZ$1,0))&amp;"",""))</f>
        <v/>
      </c>
      <c r="BR214" s="0" t="str">
        <f aca="false">IF($A214="","",IF(BQ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none</v>
      </c>
      <c r="BT214" s="0" t="s">
        <v>380</v>
      </c>
      <c r="BX214" s="0" t="s">
        <v>380</v>
      </c>
      <c r="BY214" s="0" t="s">
        <v>387</v>
      </c>
      <c r="BZ214" s="0" t="s">
        <v>388</v>
      </c>
      <c r="CA214" s="0" t="s">
        <v>4210</v>
      </c>
      <c r="CB214" s="0" t="s">
        <v>196</v>
      </c>
      <c r="CM214" s="0" t="s">
        <v>189</v>
      </c>
      <c r="CN214" s="0" t="s">
        <v>200</v>
      </c>
      <c r="CO214" s="0" t="s">
        <v>201</v>
      </c>
      <c r="CP214" s="0" t="s">
        <v>1</v>
      </c>
      <c r="CQ214" s="0" t="s">
        <v>4287</v>
      </c>
      <c r="CR214" s="0" t="s">
        <v>209</v>
      </c>
      <c r="CS214" s="0" t="s">
        <v>4288</v>
      </c>
      <c r="CT214" s="0" t="s">
        <v>209</v>
      </c>
      <c r="CV214" s="0" t="s">
        <v>209</v>
      </c>
      <c r="CW214" s="0" t="s">
        <v>209</v>
      </c>
      <c r="CX214" s="0" t="s">
        <v>2712</v>
      </c>
      <c r="DA214" s="0" t="s">
        <v>209</v>
      </c>
      <c r="DB214" s="0" t="s">
        <v>209</v>
      </c>
      <c r="DC214" s="0" t="s">
        <v>209</v>
      </c>
      <c r="DD214" s="0" t="s">
        <v>209</v>
      </c>
      <c r="DE214" s="0" t="s">
        <v>209</v>
      </c>
      <c r="DF214" s="0" t="s">
        <v>525</v>
      </c>
      <c r="DG214" s="0" t="n">
        <v>40.743751</v>
      </c>
      <c r="DH214" s="0" t="n">
        <v>-73.991374</v>
      </c>
      <c r="DI214" s="0" t="s">
        <v>164</v>
      </c>
      <c r="DJ214" s="0" t="n">
        <v>0</v>
      </c>
      <c r="DK214" s="0" t="s">
        <v>2074</v>
      </c>
      <c r="DL214" s="0" t="s">
        <v>2075</v>
      </c>
      <c r="DM214" s="0" t="s">
        <v>3728</v>
      </c>
      <c r="DN214" s="0" t="s">
        <v>3729</v>
      </c>
      <c r="DO214" s="0" t="s">
        <v>363</v>
      </c>
      <c r="DP214" s="0" t="s">
        <v>4289</v>
      </c>
      <c r="DQ214" s="0" t="s">
        <v>3076</v>
      </c>
      <c r="DS214" s="0" t="s">
        <v>809</v>
      </c>
      <c r="DT214" s="0" t="s">
        <v>209</v>
      </c>
      <c r="DU214" s="0" t="s">
        <v>189</v>
      </c>
      <c r="DX214" s="0" t="s">
        <v>209</v>
      </c>
      <c r="EA214" s="0" t="s">
        <v>209</v>
      </c>
      <c r="EB214" s="0" t="s">
        <v>189</v>
      </c>
      <c r="EC214" s="0" t="s">
        <v>209</v>
      </c>
      <c r="EF214" s="0" t="s">
        <v>209</v>
      </c>
      <c r="EH214" s="0" t="s">
        <v>189</v>
      </c>
      <c r="EI214" s="0" t="s">
        <v>2716</v>
      </c>
      <c r="EJ214" s="0" t="s">
        <v>221</v>
      </c>
      <c r="EK214" s="0" t="s">
        <v>209</v>
      </c>
      <c r="EL214" s="0" t="n">
        <v>26</v>
      </c>
      <c r="EM214" s="0" t="n">
        <v>7</v>
      </c>
      <c r="EN214" s="0" t="n">
        <v>8</v>
      </c>
      <c r="EO214" s="0" t="n">
        <v>6</v>
      </c>
      <c r="EP214" s="0" t="n">
        <v>5</v>
      </c>
      <c r="EQ214" s="0" t="n">
        <f aca="false">IF($A214="","",IF(AH214="exact",10,IF(AH214="adjacent",5,0)))</f>
        <v>0</v>
      </c>
      <c r="ER214" s="0" t="n">
        <f aca="false">IF($A214="","",IF(R214="Y",15,0))</f>
        <v>0</v>
      </c>
      <c r="ES214" s="0" t="s">
        <v>222</v>
      </c>
      <c r="EV214" s="0" t="s">
        <v>4290</v>
      </c>
      <c r="EW214" s="0" t="s">
        <v>224</v>
      </c>
      <c r="EX214" s="0" t="s">
        <v>4291</v>
      </c>
      <c r="FS214" s="0" t="str">
        <f aca="false">IF($A214="","",IF(ISNUMBER(MATCH(U214,{"queued","contacted","replied","call_booked","call_done","yes_in_principle","materials_sent"},0)),"Y","N"))</f>
        <v>N</v>
      </c>
      <c r="FT214" s="0" t="str">
        <f aca="false">IF($A214="","",IF(OR(T214="Y",U214="do_not_contact",AS214&amp;""&lt;&gt;""),"Y","N"))</f>
        <v>N</v>
      </c>
      <c r="FU214" s="0" t="str">
        <f aca="false">IF($A214="","",IF(AP214&amp;""&lt;&gt;"",AP214&amp;"",$A214))</f>
        <v>AO-C-108</v>
      </c>
      <c r="FV214" s="0" t="str">
        <f aca="false">IF($A214="","",IF(COUNTIFS($FU$2:$FU$1000,FU214,$FS$2:$FS$1000,"Y")+COUNTIFS($FU$2:$FU$1000,FU214,$FT$2:$FT$1000,"Y")&gt;0,"Y","N"))</f>
        <v>N</v>
      </c>
      <c r="FW214" s="0" t="str">
        <f aca="false">IF($A214="","",IF(AND(U214="new",T214="N",FT214="N",AT214="Y",FV214="N"),"Y","N"))</f>
        <v>N</v>
      </c>
      <c r="FX214" s="0" t="str">
        <f aca="false">IF($A214="","",IF(FW214&lt;&gt;"Y","N",IF(COUNTIFS($FU$2:$FU$1000,FU214,$FW$2:$FW$1000,"Y",$J$2:$J$1000,"&gt;"&amp;J214)+COUNTIFS($FU$2:$FU$1000,FU214,$FW$2:$FW$1000,"Y",$J$2:$J$1000,J214,$GD$2:$GD$1000,"&lt;"&amp;GD214)=0,"Y","N")))</f>
        <v>N</v>
      </c>
      <c r="FY214" s="0" t="str">
        <f aca="false">IF($A214="","",IF(AND(FW214="Y",FX214="Y",Y214&amp;""&lt;&gt;""),IF(Y214&lt;=10,"Y","N"),"N"))</f>
        <v>N</v>
      </c>
      <c r="FZ214" s="0" t="str">
        <f aca="false">IF(FY214="Y",Y214,"")</f>
        <v/>
      </c>
      <c r="GA214" s="0" t="str">
        <f aca="false">IF($A214="","",IF(AND(I214="walk-in",CN214="pass",U214="new",FT214="N",FV214="N",AQ214&lt;&gt;"Y"),"Y","N"))</f>
        <v>N</v>
      </c>
      <c r="GB214" s="0" t="str">
        <f aca="false">IF(GA214&lt;&gt;"Y","",IF(COUNTIFS($GA$2:$GA$1000,"Y",$J$2:$J$1000,"&gt;"&amp;J214)+COUNTIFS($GA$2:$GA$1000,"Y",$J$2:$J$1000,J214,$GD$2:$GD$1000,"&lt;"&amp;GD214)+1&lt;=25,COUNTIFS($GA$2:$GA$1000,"Y",$J$2:$J$1000,"&gt;"&amp;J214)+COUNTIFS($GA$2:$GA$1000,"Y",$J$2:$J$1000,J214,$GD$2:$GD$1000,"&lt;"&amp;GD214)+1,""))</f>
        <v/>
      </c>
      <c r="GC214" s="0" t="str">
        <f aca="false">IF(AND(_xlfn.ISFORMULA(C214),_xlfn.ISFORMULA(J214)),"Y","N")</f>
        <v>Y</v>
      </c>
      <c r="GD214" s="0" t="n">
        <f aca="false">ROW()-1</f>
        <v>213</v>
      </c>
    </row>
    <row r="215" customFormat="false" ht="15" hidden="false" customHeight="false" outlineLevel="0" collapsed="false">
      <c r="A215" s="0" t="s">
        <v>4292</v>
      </c>
      <c r="B215" s="0" t="s">
        <v>4293</v>
      </c>
      <c r="C215" s="0" t="str">
        <f aca="false">IF($A215="","",IF(AW215="Y",BM215&amp;"",AY215&amp;""))</f>
        <v/>
      </c>
      <c r="D215" s="0" t="str">
        <f aca="false">IF($A215="","",IF(AW215="Y",BN215&amp;"",AZ215&amp;""))</f>
        <v/>
      </c>
      <c r="E215" s="0" t="str">
        <f aca="false">IF($A215="","",IF(AW215="Y",BO215&amp;"",BA215&amp;""))</f>
        <v/>
      </c>
      <c r="F215" s="0" t="str">
        <f aca="false">IF($A215="","",IF(AW215="Y",BP215&amp;"",BB215&amp;""))</f>
        <v/>
      </c>
      <c r="G215" s="0" t="str">
        <f aca="false">IF($A215="","",IF(AW215="Y",BQ215&amp;"",BC215&amp;""))</f>
        <v/>
      </c>
      <c r="H215" s="0" t="str">
        <f aca="false">IF($A215="","",IF(AW215="Y",BR215&amp;"",BD215&amp;""))</f>
        <v>none</v>
      </c>
      <c r="I215" s="0" t="str">
        <f aca="false">IF($A215="","",IF(R215="Y","warm-intro",IF(H215="verified","email",IF(C215&lt;&gt;"","linkedin",CB215&amp;""))))</f>
        <v>linkedin</v>
      </c>
      <c r="J215" s="0" t="n">
        <f aca="false">IF($A215="","",IF(CN215="pass",ROUND(N(EM215)+N(EN215)+N(EO215)+N(EP215)+N(EQ215)+N(ER215),1),0))</f>
        <v>26</v>
      </c>
      <c r="K215" s="0" t="str">
        <f aca="false">IF($A215="","",IF(CN215&lt;&gt;"pass",CA215&amp;"",CA215&amp;"; "&amp;IF(AW215="Y",BZ215&amp;"",BL215&amp;"")&amp;IF(R215="Y","; known to the founder (+15)","")&amp;"."))</f>
        <v>Tuesday headcount unknown (no sourced count), company size unknown, no attendance signal, signed-not-occupied at a medium-confidence address (hold: lease signed, move not confirmed); contacts not researched yet.</v>
      </c>
      <c r="L215" s="0" t="s">
        <v>209</v>
      </c>
      <c r="O215" s="0" t="s">
        <v>4294</v>
      </c>
      <c r="P215" s="0" t="s">
        <v>3171</v>
      </c>
      <c r="Q215" s="0" t="s">
        <v>2677</v>
      </c>
      <c r="R215" s="5" t="s">
        <v>189</v>
      </c>
      <c r="S215" s="0" t="s">
        <v>209</v>
      </c>
      <c r="T215" s="0" t="s">
        <v>189</v>
      </c>
      <c r="U215" s="5" t="s">
        <v>3896</v>
      </c>
      <c r="V215" s="0" t="s">
        <v>3171</v>
      </c>
      <c r="W215" s="0" t="s">
        <v>263</v>
      </c>
      <c r="X215" s="0" t="s">
        <v>3897</v>
      </c>
      <c r="Y215" s="0" t="str">
        <f aca="false">IF(FX215&lt;&gt;"Y","",COUNTIFS($FX$2:$FX$1000,"Y",$J$2:$J$1000,"&gt;"&amp;J215)+COUNTIFS($FX$2:$FX$1000,"Y",$J$2:$J$1000,J215,$GD$2:$GD$1000,"&lt;"&amp;GD215)+1)</f>
        <v/>
      </c>
      <c r="Z215" s="0" t="n">
        <v>214</v>
      </c>
      <c r="AA215" s="0" t="s">
        <v>189</v>
      </c>
      <c r="AB215" s="0" t="str">
        <f aca="false">IF($A215="","",IF(AW215="Y",BY215&amp;"",BK215&amp;""))</f>
        <v/>
      </c>
      <c r="AC215" s="0" t="str">
        <f aca="false">IF($A215="","",IF(AW215="Y",BS215&amp;"",BE215&amp;""))</f>
        <v/>
      </c>
      <c r="AD215" s="0" t="str">
        <f aca="false">IF($A215="","",IF(AW215="Y",BT215&amp;"",BF215&amp;""))</f>
        <v>none</v>
      </c>
      <c r="AE215" s="0" t="str">
        <f aca="false">IF($A215="","",IF(AW215="Y",BU215&amp;"",BG215&amp;""))</f>
        <v/>
      </c>
      <c r="AF215" s="0" t="str">
        <f aca="false">IF($A215="","",IF(AW215="Y",BV215&amp;"",BH215&amp;""))</f>
        <v/>
      </c>
      <c r="AG215" s="0" t="str">
        <f aca="false">IF($A215="","",IF(AW215="Y",BW215&amp;"",BI215&amp;""))</f>
        <v/>
      </c>
      <c r="AH215" s="0" t="str">
        <f aca="false">IF($A215="","",IF(AW215="Y",BX215&amp;"",BJ215&amp;""))</f>
        <v>none</v>
      </c>
      <c r="AI215" s="0" t="s">
        <v>1493</v>
      </c>
      <c r="AJ215" s="0" t="s">
        <v>4295</v>
      </c>
      <c r="AK215" s="0" t="s">
        <v>4183</v>
      </c>
      <c r="AL215" s="0" t="s">
        <v>209</v>
      </c>
      <c r="AM215" s="0" t="s">
        <v>209</v>
      </c>
      <c r="AN215" s="0" t="s">
        <v>380</v>
      </c>
      <c r="AO215" s="0" t="s">
        <v>209</v>
      </c>
      <c r="AP215" s="0" t="s">
        <v>4292</v>
      </c>
      <c r="AQ215" s="5" t="s">
        <v>164</v>
      </c>
      <c r="AR215" s="0" t="s">
        <v>779</v>
      </c>
      <c r="AT215" s="0" t="str">
        <f aca="false">IF($A215="","",IF(AND(CN215="pass",AQ215&lt;&gt;"Y",C215&lt;&gt;"",OR(AX215&lt;&gt;"Y",AV215="Y")),"Y","N"))</f>
        <v>N</v>
      </c>
      <c r="AU215" s="0" t="str">
        <f aca="false">IF($A215="","",_xlfn.TEXTJOIN("; ",TRUE(),IF(CN215&lt;&gt;"pass","gated out",""),IF(AQ215="Y","on hold: "&amp;AR215,""),IF(C215="","no contact named on an opened page",""),IF(AND(AX215="Y",AV215&lt;&gt;"Y"),"Tuesday estimate band "&amp;L215&amp;": founder's call","")))</f>
        <v>on hold: lease signed, move not confirmed: check the lobby directory before outreach (B); no contact named on an opened page</v>
      </c>
      <c r="AX215" s="0" t="s">
        <v>189</v>
      </c>
      <c r="BC215" s="0" t="str">
        <f aca="false">IF($A215="","",IFERROR(INDEX(Enrichment!$A$2:$GZ$2000,MATCH($A215,INDEX(Enrichment!$A$2:$GZ$2000,0,MATCH("row_id",Enrichment!$A$1:$GZ$1,0)),0),MATCH("work_email",Enrichment!$A$1:$GZ$1,0))&amp;"",""))</f>
        <v/>
      </c>
      <c r="BD215" s="0" t="str">
        <f aca="false">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none</v>
      </c>
      <c r="BF215" s="0" t="s">
        <v>380</v>
      </c>
      <c r="BJ215" s="0" t="s">
        <v>380</v>
      </c>
      <c r="BL215" s="0" t="s">
        <v>896</v>
      </c>
      <c r="BQ215" s="0" t="str">
        <f aca="false">IF($A215="","",IFERROR(INDEX(Enrichment!$A$2:$GZ$2000,MATCH($A215,INDEX(Enrichment!$A$2:$GZ$2000,0,MATCH("row_id",Enrichment!$A$1:$GZ$1,0)),0),MATCH("backup_work_email",Enrichment!$A$1:$GZ$1,0))&amp;"",""))</f>
        <v/>
      </c>
      <c r="BR215" s="0" t="str">
        <f aca="false">IF($A215="","",IF(BQ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none</v>
      </c>
      <c r="BT215" s="0" t="s">
        <v>380</v>
      </c>
      <c r="BX215" s="0" t="s">
        <v>380</v>
      </c>
      <c r="BY215" s="0" t="s">
        <v>387</v>
      </c>
      <c r="BZ215" s="0" t="s">
        <v>388</v>
      </c>
      <c r="CA215" s="0" t="s">
        <v>4210</v>
      </c>
      <c r="CB215" s="0" t="s">
        <v>196</v>
      </c>
      <c r="CM215" s="0" t="s">
        <v>189</v>
      </c>
      <c r="CN215" s="0" t="s">
        <v>200</v>
      </c>
      <c r="CO215" s="0" t="s">
        <v>201</v>
      </c>
      <c r="CP215" s="0" t="s">
        <v>1</v>
      </c>
      <c r="CQ215" s="0" t="s">
        <v>4296</v>
      </c>
      <c r="CR215" s="0" t="s">
        <v>209</v>
      </c>
      <c r="CS215" s="0" t="s">
        <v>4297</v>
      </c>
      <c r="CT215" s="0" t="s">
        <v>209</v>
      </c>
      <c r="CV215" s="0" t="s">
        <v>209</v>
      </c>
      <c r="CW215" s="0" t="s">
        <v>209</v>
      </c>
      <c r="CX215" s="0" t="s">
        <v>2712</v>
      </c>
      <c r="DA215" s="0" t="s">
        <v>209</v>
      </c>
      <c r="DB215" s="0" t="s">
        <v>209</v>
      </c>
      <c r="DC215" s="0" t="s">
        <v>209</v>
      </c>
      <c r="DD215" s="0" t="s">
        <v>209</v>
      </c>
      <c r="DE215" s="0" t="s">
        <v>209</v>
      </c>
      <c r="DF215" s="0" t="s">
        <v>525</v>
      </c>
      <c r="DG215" s="0" t="n">
        <v>40.743288</v>
      </c>
      <c r="DH215" s="0" t="n">
        <v>-73.986627</v>
      </c>
      <c r="DI215" s="0" t="s">
        <v>164</v>
      </c>
      <c r="DJ215" s="0" t="n">
        <v>0</v>
      </c>
      <c r="DK215" s="0" t="s">
        <v>1859</v>
      </c>
      <c r="DL215" s="0" t="s">
        <v>1860</v>
      </c>
      <c r="DM215" s="0" t="s">
        <v>3171</v>
      </c>
      <c r="DN215" s="0" t="s">
        <v>2677</v>
      </c>
      <c r="DO215" s="0" t="s">
        <v>363</v>
      </c>
      <c r="DS215" s="0" t="s">
        <v>809</v>
      </c>
      <c r="DT215" s="0" t="s">
        <v>209</v>
      </c>
      <c r="DU215" s="0" t="s">
        <v>189</v>
      </c>
      <c r="DX215" s="0" t="s">
        <v>209</v>
      </c>
      <c r="EA215" s="0" t="s">
        <v>209</v>
      </c>
      <c r="EB215" s="0" t="s">
        <v>189</v>
      </c>
      <c r="EC215" s="0" t="s">
        <v>209</v>
      </c>
      <c r="EF215" s="0" t="s">
        <v>209</v>
      </c>
      <c r="EH215" s="0" t="s">
        <v>189</v>
      </c>
      <c r="EI215" s="0" t="s">
        <v>2716</v>
      </c>
      <c r="EJ215" s="0" t="s">
        <v>221</v>
      </c>
      <c r="EK215" s="0" t="s">
        <v>209</v>
      </c>
      <c r="EL215" s="0" t="n">
        <v>26</v>
      </c>
      <c r="EM215" s="0" t="n">
        <v>7</v>
      </c>
      <c r="EN215" s="0" t="n">
        <v>8</v>
      </c>
      <c r="EO215" s="0" t="n">
        <v>6</v>
      </c>
      <c r="EP215" s="0" t="n">
        <v>5</v>
      </c>
      <c r="EQ215" s="0" t="n">
        <f aca="false">IF($A215="","",IF(AH215="exact",10,IF(AH215="adjacent",5,0)))</f>
        <v>0</v>
      </c>
      <c r="ER215" s="0" t="n">
        <f aca="false">IF($A215="","",IF(R215="Y",15,0))</f>
        <v>0</v>
      </c>
      <c r="ES215" s="0" t="s">
        <v>222</v>
      </c>
      <c r="EV215" s="0" t="s">
        <v>3730</v>
      </c>
      <c r="EW215" s="0" t="s">
        <v>224</v>
      </c>
      <c r="EX215" s="0" t="s">
        <v>4298</v>
      </c>
      <c r="FS215" s="0" t="str">
        <f aca="false">IF($A215="","",IF(ISNUMBER(MATCH(U215,{"queued","contacted","replied","call_booked","call_done","yes_in_principle","materials_sent"},0)),"Y","N"))</f>
        <v>N</v>
      </c>
      <c r="FT215" s="0" t="str">
        <f aca="false">IF($A215="","",IF(OR(T215="Y",U215="do_not_contact",AS215&amp;""&lt;&gt;""),"Y","N"))</f>
        <v>N</v>
      </c>
      <c r="FU215" s="0" t="str">
        <f aca="false">IF($A215="","",IF(AP215&amp;""&lt;&gt;"",AP215&amp;"",$A215))</f>
        <v>AO-C-143</v>
      </c>
      <c r="FV215" s="0" t="str">
        <f aca="false">IF($A215="","",IF(COUNTIFS($FU$2:$FU$1000,FU215,$FS$2:$FS$1000,"Y")+COUNTIFS($FU$2:$FU$1000,FU215,$FT$2:$FT$1000,"Y")&gt;0,"Y","N"))</f>
        <v>N</v>
      </c>
      <c r="FW215" s="0" t="str">
        <f aca="false">IF($A215="","",IF(AND(U215="new",T215="N",FT215="N",AT215="Y",FV215="N"),"Y","N"))</f>
        <v>N</v>
      </c>
      <c r="FX215" s="0" t="str">
        <f aca="false">IF($A215="","",IF(FW215&lt;&gt;"Y","N",IF(COUNTIFS($FU$2:$FU$1000,FU215,$FW$2:$FW$1000,"Y",$J$2:$J$1000,"&gt;"&amp;J215)+COUNTIFS($FU$2:$FU$1000,FU215,$FW$2:$FW$1000,"Y",$J$2:$J$1000,J215,$GD$2:$GD$1000,"&lt;"&amp;GD215)=0,"Y","N")))</f>
        <v>N</v>
      </c>
      <c r="FY215" s="0" t="str">
        <f aca="false">IF($A215="","",IF(AND(FW215="Y",FX215="Y",Y215&amp;""&lt;&gt;""),IF(Y215&lt;=10,"Y","N"),"N"))</f>
        <v>N</v>
      </c>
      <c r="FZ215" s="0" t="str">
        <f aca="false">IF(FY215="Y",Y215,"")</f>
        <v/>
      </c>
      <c r="GA215" s="0" t="str">
        <f aca="false">IF($A215="","",IF(AND(I215="walk-in",CN215="pass",U215="new",FT215="N",FV215="N",AQ215&lt;&gt;"Y"),"Y","N"))</f>
        <v>N</v>
      </c>
      <c r="GB215" s="0" t="str">
        <f aca="false">IF(GA215&lt;&gt;"Y","",IF(COUNTIFS($GA$2:$GA$1000,"Y",$J$2:$J$1000,"&gt;"&amp;J215)+COUNTIFS($GA$2:$GA$1000,"Y",$J$2:$J$1000,J215,$GD$2:$GD$1000,"&lt;"&amp;GD215)+1&lt;=25,COUNTIFS($GA$2:$GA$1000,"Y",$J$2:$J$1000,"&gt;"&amp;J215)+COUNTIFS($GA$2:$GA$1000,"Y",$J$2:$J$1000,J215,$GD$2:$GD$1000,"&lt;"&amp;GD215)+1,""))</f>
        <v/>
      </c>
      <c r="GC215" s="0" t="str">
        <f aca="false">IF(AND(_xlfn.ISFORMULA(C215),_xlfn.ISFORMULA(J215)),"Y","N")</f>
        <v>Y</v>
      </c>
      <c r="GD215" s="0" t="n">
        <f aca="false">ROW()-1</f>
        <v>214</v>
      </c>
    </row>
    <row r="216" customFormat="false" ht="15" hidden="false" customHeight="false" outlineLevel="0" collapsed="false">
      <c r="A216" s="0" t="s">
        <v>4299</v>
      </c>
      <c r="B216" s="0" t="s">
        <v>4300</v>
      </c>
      <c r="C216" s="0" t="str">
        <f aca="false">IF($A216="","",IF(AW216="Y",BM216&amp;"",AY216&amp;""))</f>
        <v/>
      </c>
      <c r="D216" s="0" t="str">
        <f aca="false">IF($A216="","",IF(AW216="Y",BN216&amp;"",AZ216&amp;""))</f>
        <v/>
      </c>
      <c r="E216" s="0" t="str">
        <f aca="false">IF($A216="","",IF(AW216="Y",BO216&amp;"",BA216&amp;""))</f>
        <v/>
      </c>
      <c r="F216" s="0" t="str">
        <f aca="false">IF($A216="","",IF(AW216="Y",BP216&amp;"",BB216&amp;""))</f>
        <v/>
      </c>
      <c r="G216" s="0" t="str">
        <f aca="false">IF($A216="","",IF(AW216="Y",BQ216&amp;"",BC216&amp;""))</f>
        <v/>
      </c>
      <c r="H216" s="0" t="str">
        <f aca="false">IF($A216="","",IF(AW216="Y",BR216&amp;"",BD216&amp;""))</f>
        <v>none</v>
      </c>
      <c r="I216" s="0" t="str">
        <f aca="false">IF($A216="","",IF(R216="Y","warm-intro",IF(H216="verified","email",IF(C216&lt;&gt;"","linkedin",CB216&amp;""))))</f>
        <v>linkedin</v>
      </c>
      <c r="J216" s="0" t="n">
        <f aca="false">IF($A216="","",IF(CN216="pass",ROUND(N(EM216)+N(EN216)+N(EO216)+N(EP216)+N(EQ216)+N(ER216),1),0))</f>
        <v>26</v>
      </c>
      <c r="K216" s="0" t="str">
        <f aca="false">IF($A216="","",IF(CN216&lt;&gt;"pass",CA216&amp;"",CA216&amp;"; "&amp;IF(AW216="Y",BZ216&amp;"",BL216&amp;"")&amp;IF(R216="Y","; known to the founder (+15)","")&amp;"."))</f>
        <v>Tuesday headcount unknown (no sourced count), company size unknown, no attendance signal, signed-not-occupied at a medium-confidence address (hold: lease signed, move not confirmed); contacts not researched yet.</v>
      </c>
      <c r="L216" s="0" t="s">
        <v>209</v>
      </c>
      <c r="O216" s="0" t="s">
        <v>4301</v>
      </c>
      <c r="P216" s="0" t="s">
        <v>3860</v>
      </c>
      <c r="Q216" s="0" t="s">
        <v>3861</v>
      </c>
      <c r="R216" s="5" t="s">
        <v>189</v>
      </c>
      <c r="S216" s="0" t="s">
        <v>209</v>
      </c>
      <c r="T216" s="0" t="s">
        <v>189</v>
      </c>
      <c r="U216" s="5" t="s">
        <v>3896</v>
      </c>
      <c r="V216" s="0" t="s">
        <v>3860</v>
      </c>
      <c r="W216" s="0" t="s">
        <v>263</v>
      </c>
      <c r="X216" s="0" t="s">
        <v>3897</v>
      </c>
      <c r="Y216" s="0" t="str">
        <f aca="false">IF(FX216&lt;&gt;"Y","",COUNTIFS($FX$2:$FX$1000,"Y",$J$2:$J$1000,"&gt;"&amp;J216)+COUNTIFS($FX$2:$FX$1000,"Y",$J$2:$J$1000,J216,$GD$2:$GD$1000,"&lt;"&amp;GD216)+1)</f>
        <v/>
      </c>
      <c r="Z216" s="0" t="n">
        <v>215</v>
      </c>
      <c r="AA216" s="0" t="s">
        <v>189</v>
      </c>
      <c r="AB216" s="0" t="str">
        <f aca="false">IF($A216="","",IF(AW216="Y",BY216&amp;"",BK216&amp;""))</f>
        <v/>
      </c>
      <c r="AC216" s="0" t="str">
        <f aca="false">IF($A216="","",IF(AW216="Y",BS216&amp;"",BE216&amp;""))</f>
        <v/>
      </c>
      <c r="AD216" s="0" t="str">
        <f aca="false">IF($A216="","",IF(AW216="Y",BT216&amp;"",BF216&amp;""))</f>
        <v>none</v>
      </c>
      <c r="AE216" s="0" t="str">
        <f aca="false">IF($A216="","",IF(AW216="Y",BU216&amp;"",BG216&amp;""))</f>
        <v/>
      </c>
      <c r="AF216" s="0" t="str">
        <f aca="false">IF($A216="","",IF(AW216="Y",BV216&amp;"",BH216&amp;""))</f>
        <v/>
      </c>
      <c r="AG216" s="0" t="str">
        <f aca="false">IF($A216="","",IF(AW216="Y",BW216&amp;"",BI216&amp;""))</f>
        <v/>
      </c>
      <c r="AH216" s="0" t="str">
        <f aca="false">IF($A216="","",IF(AW216="Y",BX216&amp;"",BJ216&amp;""))</f>
        <v>none</v>
      </c>
      <c r="AI216" s="0" t="s">
        <v>3855</v>
      </c>
      <c r="AJ216" s="0" t="s">
        <v>182</v>
      </c>
      <c r="AK216" s="0" t="s">
        <v>4183</v>
      </c>
      <c r="AL216" s="0" t="s">
        <v>209</v>
      </c>
      <c r="AM216" s="0" t="s">
        <v>209</v>
      </c>
      <c r="AN216" s="0" t="s">
        <v>380</v>
      </c>
      <c r="AO216" s="0" t="s">
        <v>209</v>
      </c>
      <c r="AP216" s="0" t="s">
        <v>4299</v>
      </c>
      <c r="AQ216" s="5" t="s">
        <v>164</v>
      </c>
      <c r="AR216" s="0" t="s">
        <v>779</v>
      </c>
      <c r="AT216" s="0" t="str">
        <f aca="false">IF($A216="","",IF(AND(CN216="pass",AQ216&lt;&gt;"Y",C216&lt;&gt;"",OR(AX216&lt;&gt;"Y",AV216="Y")),"Y","N"))</f>
        <v>N</v>
      </c>
      <c r="AU216" s="0" t="str">
        <f aca="false">IF($A216="","",_xlfn.TEXTJOIN("; ",TRUE(),IF(CN216&lt;&gt;"pass","gated out",""),IF(AQ216="Y","on hold: "&amp;AR216,""),IF(C216="","no contact named on an opened page",""),IF(AND(AX216="Y",AV216&lt;&gt;"Y"),"Tuesday estimate band "&amp;L216&amp;": founder's call","")))</f>
        <v>on hold: lease signed, move not confirmed: check the lobby directory before outreach (B); no contact named on an opened page</v>
      </c>
      <c r="AX216" s="0" t="s">
        <v>189</v>
      </c>
      <c r="BC216" s="0" t="str">
        <f aca="false">IF($A216="","",IFERROR(INDEX(Enrichment!$A$2:$GZ$2000,MATCH($A216,INDEX(Enrichment!$A$2:$GZ$2000,0,MATCH("row_id",Enrichment!$A$1:$GZ$1,0)),0),MATCH("work_email",Enrichment!$A$1:$GZ$1,0))&amp;"",""))</f>
        <v/>
      </c>
      <c r="BD216" s="0" t="str">
        <f aca="false">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none</v>
      </c>
      <c r="BF216" s="0" t="s">
        <v>380</v>
      </c>
      <c r="BJ216" s="0" t="s">
        <v>380</v>
      </c>
      <c r="BL216" s="0" t="s">
        <v>896</v>
      </c>
      <c r="BQ216" s="0" t="str">
        <f aca="false">IF($A216="","",IFERROR(INDEX(Enrichment!$A$2:$GZ$2000,MATCH($A216,INDEX(Enrichment!$A$2:$GZ$2000,0,MATCH("row_id",Enrichment!$A$1:$GZ$1,0)),0),MATCH("backup_work_email",Enrichment!$A$1:$GZ$1,0))&amp;"",""))</f>
        <v/>
      </c>
      <c r="BR216" s="0" t="str">
        <f aca="false">IF($A216="","",IF(BQ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none</v>
      </c>
      <c r="BT216" s="0" t="s">
        <v>380</v>
      </c>
      <c r="BX216" s="0" t="s">
        <v>380</v>
      </c>
      <c r="BY216" s="0" t="s">
        <v>387</v>
      </c>
      <c r="BZ216" s="0" t="s">
        <v>388</v>
      </c>
      <c r="CA216" s="0" t="s">
        <v>4210</v>
      </c>
      <c r="CB216" s="0" t="s">
        <v>196</v>
      </c>
      <c r="CM216" s="0" t="s">
        <v>189</v>
      </c>
      <c r="CN216" s="0" t="s">
        <v>200</v>
      </c>
      <c r="CO216" s="0" t="s">
        <v>201</v>
      </c>
      <c r="CP216" s="0" t="s">
        <v>1</v>
      </c>
      <c r="CQ216" s="0" t="s">
        <v>4302</v>
      </c>
      <c r="CR216" s="0" t="s">
        <v>4303</v>
      </c>
      <c r="CS216" s="0" t="s">
        <v>4304</v>
      </c>
      <c r="CT216" s="0" t="s">
        <v>209</v>
      </c>
      <c r="CV216" s="0" t="s">
        <v>209</v>
      </c>
      <c r="CW216" s="0" t="s">
        <v>209</v>
      </c>
      <c r="CX216" s="0" t="s">
        <v>2712</v>
      </c>
      <c r="DA216" s="0" t="s">
        <v>209</v>
      </c>
      <c r="DB216" s="0" t="s">
        <v>209</v>
      </c>
      <c r="DC216" s="0" t="s">
        <v>209</v>
      </c>
      <c r="DD216" s="0" t="s">
        <v>209</v>
      </c>
      <c r="DE216" s="0" t="s">
        <v>4305</v>
      </c>
      <c r="DF216" s="0" t="s">
        <v>525</v>
      </c>
      <c r="DG216" s="0" t="n">
        <v>40.739363</v>
      </c>
      <c r="DH216" s="0" t="n">
        <v>-73.989534</v>
      </c>
      <c r="DI216" s="0" t="s">
        <v>164</v>
      </c>
      <c r="DJ216" s="0" t="n">
        <v>0</v>
      </c>
      <c r="DK216" s="0" t="s">
        <v>3203</v>
      </c>
      <c r="DL216" s="0" t="s">
        <v>3204</v>
      </c>
      <c r="DM216" s="0" t="s">
        <v>3860</v>
      </c>
      <c r="DN216" s="0" t="s">
        <v>3861</v>
      </c>
      <c r="DO216" s="0" t="s">
        <v>363</v>
      </c>
      <c r="DP216" s="0" t="s">
        <v>4306</v>
      </c>
      <c r="DQ216" s="0" t="s">
        <v>4307</v>
      </c>
      <c r="DS216" s="0" t="s">
        <v>809</v>
      </c>
      <c r="DT216" s="0" t="s">
        <v>209</v>
      </c>
      <c r="DU216" s="0" t="s">
        <v>189</v>
      </c>
      <c r="DX216" s="0" t="s">
        <v>267</v>
      </c>
      <c r="DY216" s="0" t="s">
        <v>3206</v>
      </c>
      <c r="EA216" s="0" t="s">
        <v>209</v>
      </c>
      <c r="EB216" s="0" t="s">
        <v>189</v>
      </c>
      <c r="EC216" s="0" t="s">
        <v>209</v>
      </c>
      <c r="EF216" s="0" t="s">
        <v>209</v>
      </c>
      <c r="EH216" s="0" t="s">
        <v>189</v>
      </c>
      <c r="EI216" s="0" t="s">
        <v>2716</v>
      </c>
      <c r="EJ216" s="0" t="s">
        <v>221</v>
      </c>
      <c r="EK216" s="0" t="s">
        <v>209</v>
      </c>
      <c r="EL216" s="0" t="n">
        <v>26</v>
      </c>
      <c r="EM216" s="0" t="n">
        <v>7</v>
      </c>
      <c r="EN216" s="0" t="n">
        <v>8</v>
      </c>
      <c r="EO216" s="0" t="n">
        <v>6</v>
      </c>
      <c r="EP216" s="0" t="n">
        <v>5</v>
      </c>
      <c r="EQ216" s="0" t="n">
        <f aca="false">IF($A216="","",IF(AH216="exact",10,IF(AH216="adjacent",5,0)))</f>
        <v>0</v>
      </c>
      <c r="ER216" s="0" t="n">
        <f aca="false">IF($A216="","",IF(R216="Y",15,0))</f>
        <v>0</v>
      </c>
      <c r="ES216" s="0" t="s">
        <v>222</v>
      </c>
      <c r="EV216" s="0" t="s">
        <v>4094</v>
      </c>
      <c r="EW216" s="0" t="s">
        <v>4308</v>
      </c>
      <c r="EX216" s="0" t="s">
        <v>4309</v>
      </c>
      <c r="EZ216" s="0" t="s">
        <v>4310</v>
      </c>
      <c r="FS216" s="0" t="str">
        <f aca="false">IF($A216="","",IF(ISNUMBER(MATCH(U216,{"queued","contacted","replied","call_booked","call_done","yes_in_principle","materials_sent"},0)),"Y","N"))</f>
        <v>N</v>
      </c>
      <c r="FT216" s="0" t="str">
        <f aca="false">IF($A216="","",IF(OR(T216="Y",U216="do_not_contact",AS216&amp;""&lt;&gt;""),"Y","N"))</f>
        <v>N</v>
      </c>
      <c r="FU216" s="0" t="str">
        <f aca="false">IF($A216="","",IF(AP216&amp;""&lt;&gt;"",AP216&amp;"",$A216))</f>
        <v>AO-C-063</v>
      </c>
      <c r="FV216" s="0" t="str">
        <f aca="false">IF($A216="","",IF(COUNTIFS($FU$2:$FU$1000,FU216,$FS$2:$FS$1000,"Y")+COUNTIFS($FU$2:$FU$1000,FU216,$FT$2:$FT$1000,"Y")&gt;0,"Y","N"))</f>
        <v>N</v>
      </c>
      <c r="FW216" s="0" t="str">
        <f aca="false">IF($A216="","",IF(AND(U216="new",T216="N",FT216="N",AT216="Y",FV216="N"),"Y","N"))</f>
        <v>N</v>
      </c>
      <c r="FX216" s="0" t="str">
        <f aca="false">IF($A216="","",IF(FW216&lt;&gt;"Y","N",IF(COUNTIFS($FU$2:$FU$1000,FU216,$FW$2:$FW$1000,"Y",$J$2:$J$1000,"&gt;"&amp;J216)+COUNTIFS($FU$2:$FU$1000,FU216,$FW$2:$FW$1000,"Y",$J$2:$J$1000,J216,$GD$2:$GD$1000,"&lt;"&amp;GD216)=0,"Y","N")))</f>
        <v>N</v>
      </c>
      <c r="FY216" s="0" t="str">
        <f aca="false">IF($A216="","",IF(AND(FW216="Y",FX216="Y",Y216&amp;""&lt;&gt;""),IF(Y216&lt;=10,"Y","N"),"N"))</f>
        <v>N</v>
      </c>
      <c r="FZ216" s="0" t="str">
        <f aca="false">IF(FY216="Y",Y216,"")</f>
        <v/>
      </c>
      <c r="GA216" s="0" t="str">
        <f aca="false">IF($A216="","",IF(AND(I216="walk-in",CN216="pass",U216="new",FT216="N",FV216="N",AQ216&lt;&gt;"Y"),"Y","N"))</f>
        <v>N</v>
      </c>
      <c r="GB216" s="0" t="str">
        <f aca="false">IF(GA216&lt;&gt;"Y","",IF(COUNTIFS($GA$2:$GA$1000,"Y",$J$2:$J$1000,"&gt;"&amp;J216)+COUNTIFS($GA$2:$GA$1000,"Y",$J$2:$J$1000,J216,$GD$2:$GD$1000,"&lt;"&amp;GD216)+1&lt;=25,COUNTIFS($GA$2:$GA$1000,"Y",$J$2:$J$1000,"&gt;"&amp;J216)+COUNTIFS($GA$2:$GA$1000,"Y",$J$2:$J$1000,J216,$GD$2:$GD$1000,"&lt;"&amp;GD216)+1,""))</f>
        <v/>
      </c>
      <c r="GC216" s="0" t="str">
        <f aca="false">IF(AND(_xlfn.ISFORMULA(C216),_xlfn.ISFORMULA(J216)),"Y","N")</f>
        <v>Y</v>
      </c>
      <c r="GD216" s="0" t="n">
        <f aca="false">ROW()-1</f>
        <v>215</v>
      </c>
    </row>
    <row r="217" customFormat="false" ht="15" hidden="false" customHeight="false" outlineLevel="0" collapsed="false">
      <c r="A217" s="0" t="s">
        <v>4311</v>
      </c>
      <c r="B217" s="0" t="s">
        <v>4312</v>
      </c>
      <c r="C217" s="0" t="str">
        <f aca="false">IF($A217="","",IF(AW217="Y",BM217&amp;"",AY217&amp;""))</f>
        <v/>
      </c>
      <c r="D217" s="0" t="str">
        <f aca="false">IF($A217="","",IF(AW217="Y",BN217&amp;"",AZ217&amp;""))</f>
        <v/>
      </c>
      <c r="E217" s="0" t="str">
        <f aca="false">IF($A217="","",IF(AW217="Y",BO217&amp;"",BA217&amp;""))</f>
        <v/>
      </c>
      <c r="F217" s="0" t="str">
        <f aca="false">IF($A217="","",IF(AW217="Y",BP217&amp;"",BB217&amp;""))</f>
        <v/>
      </c>
      <c r="G217" s="0" t="str">
        <f aca="false">IF($A217="","",IF(AW217="Y",BQ217&amp;"",BC217&amp;""))</f>
        <v/>
      </c>
      <c r="H217" s="0" t="str">
        <f aca="false">IF($A217="","",IF(AW217="Y",BR217&amp;"",BD217&amp;""))</f>
        <v>none</v>
      </c>
      <c r="I217" s="0" t="str">
        <f aca="false">IF($A217="","",IF(R217="Y","warm-intro",IF(H217="verified","email",IF(C217&lt;&gt;"","linkedin",CB217&amp;""))))</f>
        <v>linkedin</v>
      </c>
      <c r="J217" s="0" t="n">
        <f aca="false">IF($A217="","",IF(CN217="pass",ROUND(N(EM217)+N(EN217)+N(EO217)+N(EP217)+N(EQ217)+N(ER217),1),0))</f>
        <v>26</v>
      </c>
      <c r="K217" s="0" t="str">
        <f aca="false">IF($A217="","",IF(CN217&lt;&gt;"pass",CA217&amp;"",CA217&amp;"; "&amp;IF(AW217="Y",BZ217&amp;"",BL217&amp;"")&amp;IF(R217="Y","; known to the founder (+15)","")&amp;"."))</f>
        <v>Tuesday headcount unknown (no sourced count), company size unknown, no attendance signal, signed-not-occupied at a medium-confidence address (hold: lease signed, move not confirmed); contacts not researched yet.</v>
      </c>
      <c r="L217" s="0" t="s">
        <v>209</v>
      </c>
      <c r="R217" s="5" t="s">
        <v>189</v>
      </c>
      <c r="S217" s="0" t="s">
        <v>209</v>
      </c>
      <c r="T217" s="0" t="s">
        <v>189</v>
      </c>
      <c r="U217" s="5" t="s">
        <v>3896</v>
      </c>
      <c r="V217" s="0" t="s">
        <v>4313</v>
      </c>
      <c r="W217" s="0" t="s">
        <v>263</v>
      </c>
      <c r="X217" s="0" t="s">
        <v>3897</v>
      </c>
      <c r="Y217" s="0" t="str">
        <f aca="false">IF(FX217&lt;&gt;"Y","",COUNTIFS($FX$2:$FX$1000,"Y",$J$2:$J$1000,"&gt;"&amp;J217)+COUNTIFS($FX$2:$FX$1000,"Y",$J$2:$J$1000,J217,$GD$2:$GD$1000,"&lt;"&amp;GD217)+1)</f>
        <v/>
      </c>
      <c r="Z217" s="0" t="n">
        <v>216</v>
      </c>
      <c r="AA217" s="0" t="s">
        <v>189</v>
      </c>
      <c r="AB217" s="0" t="str">
        <f aca="false">IF($A217="","",IF(AW217="Y",BY217&amp;"",BK217&amp;""))</f>
        <v/>
      </c>
      <c r="AC217" s="0" t="str">
        <f aca="false">IF($A217="","",IF(AW217="Y",BS217&amp;"",BE217&amp;""))</f>
        <v/>
      </c>
      <c r="AD217" s="0" t="str">
        <f aca="false">IF($A217="","",IF(AW217="Y",BT217&amp;"",BF217&amp;""))</f>
        <v>none</v>
      </c>
      <c r="AE217" s="0" t="str">
        <f aca="false">IF($A217="","",IF(AW217="Y",BU217&amp;"",BG217&amp;""))</f>
        <v/>
      </c>
      <c r="AF217" s="0" t="str">
        <f aca="false">IF($A217="","",IF(AW217="Y",BV217&amp;"",BH217&amp;""))</f>
        <v/>
      </c>
      <c r="AG217" s="0" t="str">
        <f aca="false">IF($A217="","",IF(AW217="Y",BW217&amp;"",BI217&amp;""))</f>
        <v/>
      </c>
      <c r="AH217" s="0" t="str">
        <f aca="false">IF($A217="","",IF(AW217="Y",BX217&amp;"",BJ217&amp;""))</f>
        <v>none</v>
      </c>
      <c r="AI217" s="0" t="s">
        <v>2254</v>
      </c>
      <c r="AJ217" s="0" t="s">
        <v>494</v>
      </c>
      <c r="AK217" s="0" t="s">
        <v>4183</v>
      </c>
      <c r="AL217" s="0" t="s">
        <v>209</v>
      </c>
      <c r="AM217" s="0" t="s">
        <v>209</v>
      </c>
      <c r="AN217" s="0" t="s">
        <v>380</v>
      </c>
      <c r="AO217" s="0" t="s">
        <v>209</v>
      </c>
      <c r="AP217" s="0" t="s">
        <v>4311</v>
      </c>
      <c r="AQ217" s="5" t="s">
        <v>164</v>
      </c>
      <c r="AR217" s="0" t="s">
        <v>779</v>
      </c>
      <c r="AT217" s="0" t="str">
        <f aca="false">IF($A217="","",IF(AND(CN217="pass",AQ217&lt;&gt;"Y",C217&lt;&gt;"",OR(AX217&lt;&gt;"Y",AV217="Y")),"Y","N"))</f>
        <v>N</v>
      </c>
      <c r="AU217" s="0" t="str">
        <f aca="false">IF($A217="","",_xlfn.TEXTJOIN("; ",TRUE(),IF(CN217&lt;&gt;"pass","gated out",""),IF(AQ217="Y","on hold: "&amp;AR217,""),IF(C217="","no contact named on an opened page",""),IF(AND(AX217="Y",AV217&lt;&gt;"Y"),"Tuesday estimate band "&amp;L217&amp;": founder's call","")))</f>
        <v>on hold: lease signed, move not confirmed: check the lobby directory before outreach (B); no contact named on an opened page</v>
      </c>
      <c r="AX217" s="0" t="s">
        <v>189</v>
      </c>
      <c r="BC217" s="0" t="str">
        <f aca="false">IF($A217="","",IFERROR(INDEX(Enrichment!$A$2:$GZ$2000,MATCH($A217,INDEX(Enrichment!$A$2:$GZ$2000,0,MATCH("row_id",Enrichment!$A$1:$GZ$1,0)),0),MATCH("work_email",Enrichment!$A$1:$GZ$1,0))&amp;"",""))</f>
        <v/>
      </c>
      <c r="BD217" s="0" t="str">
        <f aca="false">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none</v>
      </c>
      <c r="BF217" s="0" t="s">
        <v>380</v>
      </c>
      <c r="BJ217" s="0" t="s">
        <v>380</v>
      </c>
      <c r="BL217" s="0" t="s">
        <v>896</v>
      </c>
      <c r="BQ217" s="0" t="str">
        <f aca="false">IF($A217="","",IFERROR(INDEX(Enrichment!$A$2:$GZ$2000,MATCH($A217,INDEX(Enrichment!$A$2:$GZ$2000,0,MATCH("row_id",Enrichment!$A$1:$GZ$1,0)),0),MATCH("backup_work_email",Enrichment!$A$1:$GZ$1,0))&amp;"",""))</f>
        <v/>
      </c>
      <c r="BR217" s="0" t="str">
        <f aca="false">IF($A217="","",IF(BQ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none</v>
      </c>
      <c r="BT217" s="0" t="s">
        <v>380</v>
      </c>
      <c r="BX217" s="0" t="s">
        <v>380</v>
      </c>
      <c r="BY217" s="0" t="s">
        <v>387</v>
      </c>
      <c r="BZ217" s="0" t="s">
        <v>388</v>
      </c>
      <c r="CA217" s="0" t="s">
        <v>4210</v>
      </c>
      <c r="CB217" s="0" t="s">
        <v>196</v>
      </c>
      <c r="CM217" s="0" t="s">
        <v>189</v>
      </c>
      <c r="CN217" s="0" t="s">
        <v>200</v>
      </c>
      <c r="CO217" s="0" t="s">
        <v>201</v>
      </c>
      <c r="CP217" s="0" t="s">
        <v>1</v>
      </c>
      <c r="CQ217" s="0" t="s">
        <v>4314</v>
      </c>
      <c r="CR217" s="0" t="s">
        <v>4315</v>
      </c>
      <c r="CS217" s="0" t="s">
        <v>4316</v>
      </c>
      <c r="CT217" s="0" t="s">
        <v>209</v>
      </c>
      <c r="CV217" s="0" t="s">
        <v>209</v>
      </c>
      <c r="CW217" s="0" t="s">
        <v>209</v>
      </c>
      <c r="CX217" s="0" t="s">
        <v>2712</v>
      </c>
      <c r="DA217" s="0" t="s">
        <v>209</v>
      </c>
      <c r="DB217" s="0" t="s">
        <v>209</v>
      </c>
      <c r="DC217" s="0" t="s">
        <v>209</v>
      </c>
      <c r="DD217" s="0" t="s">
        <v>209</v>
      </c>
      <c r="DE217" s="0" t="s">
        <v>4317</v>
      </c>
      <c r="DF217" s="0" t="s">
        <v>210</v>
      </c>
      <c r="DG217" s="0" t="n">
        <v>40.73827</v>
      </c>
      <c r="DH217" s="0" t="n">
        <v>-73.988199</v>
      </c>
      <c r="DI217" s="0" t="s">
        <v>164</v>
      </c>
      <c r="DJ217" s="0" t="n">
        <v>0</v>
      </c>
      <c r="DK217" s="0" t="s">
        <v>2117</v>
      </c>
      <c r="DL217" s="0" t="s">
        <v>2118</v>
      </c>
      <c r="DM217" s="0" t="s">
        <v>4313</v>
      </c>
      <c r="DN217" s="0" t="s">
        <v>4318</v>
      </c>
      <c r="DO217" s="0" t="s">
        <v>363</v>
      </c>
      <c r="DP217" s="0" t="s">
        <v>2119</v>
      </c>
      <c r="DQ217" s="0" t="s">
        <v>2120</v>
      </c>
      <c r="DS217" s="0" t="s">
        <v>809</v>
      </c>
      <c r="DT217" s="0" t="s">
        <v>209</v>
      </c>
      <c r="DU217" s="0" t="s">
        <v>189</v>
      </c>
      <c r="DX217" s="0" t="s">
        <v>209</v>
      </c>
      <c r="EA217" s="0" t="s">
        <v>209</v>
      </c>
      <c r="EB217" s="0" t="s">
        <v>189</v>
      </c>
      <c r="EC217" s="0" t="s">
        <v>209</v>
      </c>
      <c r="EF217" s="0" t="s">
        <v>209</v>
      </c>
      <c r="EH217" s="0" t="s">
        <v>189</v>
      </c>
      <c r="EI217" s="0" t="s">
        <v>2716</v>
      </c>
      <c r="EJ217" s="0" t="s">
        <v>221</v>
      </c>
      <c r="EK217" s="0" t="s">
        <v>209</v>
      </c>
      <c r="EL217" s="0" t="n">
        <v>26</v>
      </c>
      <c r="EM217" s="0" t="n">
        <v>7</v>
      </c>
      <c r="EN217" s="0" t="n">
        <v>8</v>
      </c>
      <c r="EO217" s="0" t="n">
        <v>6</v>
      </c>
      <c r="EP217" s="0" t="n">
        <v>5</v>
      </c>
      <c r="EQ217" s="0" t="n">
        <f aca="false">IF($A217="","",IF(AH217="exact",10,IF(AH217="adjacent",5,0)))</f>
        <v>0</v>
      </c>
      <c r="ER217" s="0" t="n">
        <f aca="false">IF($A217="","",IF(R217="Y",15,0))</f>
        <v>0</v>
      </c>
      <c r="ES217" s="0" t="s">
        <v>222</v>
      </c>
      <c r="EV217" s="0" t="s">
        <v>2126</v>
      </c>
      <c r="EW217" s="0" t="s">
        <v>224</v>
      </c>
      <c r="EX217" s="0" t="s">
        <v>4319</v>
      </c>
      <c r="EZ217" s="0" t="s">
        <v>4320</v>
      </c>
      <c r="FS217" s="0" t="str">
        <f aca="false">IF($A217="","",IF(ISNUMBER(MATCH(U217,{"queued","contacted","replied","call_booked","call_done","yes_in_principle","materials_sent"},0)),"Y","N"))</f>
        <v>N</v>
      </c>
      <c r="FT217" s="0" t="str">
        <f aca="false">IF($A217="","",IF(OR(T217="Y",U217="do_not_contact",AS217&amp;""&lt;&gt;""),"Y","N"))</f>
        <v>N</v>
      </c>
      <c r="FU217" s="0" t="str">
        <f aca="false">IF($A217="","",IF(AP217&amp;""&lt;&gt;"",AP217&amp;"",$A217))</f>
        <v>AO-C-058</v>
      </c>
      <c r="FV217" s="0" t="str">
        <f aca="false">IF($A217="","",IF(COUNTIFS($FU$2:$FU$1000,FU217,$FS$2:$FS$1000,"Y")+COUNTIFS($FU$2:$FU$1000,FU217,$FT$2:$FT$1000,"Y")&gt;0,"Y","N"))</f>
        <v>N</v>
      </c>
      <c r="FW217" s="0" t="str">
        <f aca="false">IF($A217="","",IF(AND(U217="new",T217="N",FT217="N",AT217="Y",FV217="N"),"Y","N"))</f>
        <v>N</v>
      </c>
      <c r="FX217" s="0" t="str">
        <f aca="false">IF($A217="","",IF(FW217&lt;&gt;"Y","N",IF(COUNTIFS($FU$2:$FU$1000,FU217,$FW$2:$FW$1000,"Y",$J$2:$J$1000,"&gt;"&amp;J217)+COUNTIFS($FU$2:$FU$1000,FU217,$FW$2:$FW$1000,"Y",$J$2:$J$1000,J217,$GD$2:$GD$1000,"&lt;"&amp;GD217)=0,"Y","N")))</f>
        <v>N</v>
      </c>
      <c r="FY217" s="0" t="str">
        <f aca="false">IF($A217="","",IF(AND(FW217="Y",FX217="Y",Y217&amp;""&lt;&gt;""),IF(Y217&lt;=10,"Y","N"),"N"))</f>
        <v>N</v>
      </c>
      <c r="FZ217" s="0" t="str">
        <f aca="false">IF(FY217="Y",Y217,"")</f>
        <v/>
      </c>
      <c r="GA217" s="0" t="str">
        <f aca="false">IF($A217="","",IF(AND(I217="walk-in",CN217="pass",U217="new",FT217="N",FV217="N",AQ217&lt;&gt;"Y"),"Y","N"))</f>
        <v>N</v>
      </c>
      <c r="GB217" s="0" t="str">
        <f aca="false">IF(GA217&lt;&gt;"Y","",IF(COUNTIFS($GA$2:$GA$1000,"Y",$J$2:$J$1000,"&gt;"&amp;J217)+COUNTIFS($GA$2:$GA$1000,"Y",$J$2:$J$1000,J217,$GD$2:$GD$1000,"&lt;"&amp;GD217)+1&lt;=25,COUNTIFS($GA$2:$GA$1000,"Y",$J$2:$J$1000,"&gt;"&amp;J217)+COUNTIFS($GA$2:$GA$1000,"Y",$J$2:$J$1000,J217,$GD$2:$GD$1000,"&lt;"&amp;GD217)+1,""))</f>
        <v/>
      </c>
      <c r="GC217" s="0" t="str">
        <f aca="false">IF(AND(_xlfn.ISFORMULA(C217),_xlfn.ISFORMULA(J217)),"Y","N")</f>
        <v>Y</v>
      </c>
      <c r="GD217" s="0" t="n">
        <f aca="false">ROW()-1</f>
        <v>216</v>
      </c>
    </row>
    <row r="218" customFormat="false" ht="15" hidden="false" customHeight="false" outlineLevel="0" collapsed="false">
      <c r="A218" s="0" t="s">
        <v>4321</v>
      </c>
      <c r="B218" s="0" t="s">
        <v>4322</v>
      </c>
      <c r="C218" s="0" t="str">
        <f aca="false">IF($A218="","",IF(AW218="Y",BM218&amp;"",AY218&amp;""))</f>
        <v/>
      </c>
      <c r="D218" s="0" t="str">
        <f aca="false">IF($A218="","",IF(AW218="Y",BN218&amp;"",AZ218&amp;""))</f>
        <v/>
      </c>
      <c r="E218" s="0" t="str">
        <f aca="false">IF($A218="","",IF(AW218="Y",BO218&amp;"",BA218&amp;""))</f>
        <v/>
      </c>
      <c r="F218" s="0" t="str">
        <f aca="false">IF($A218="","",IF(AW218="Y",BP218&amp;"",BB218&amp;""))</f>
        <v/>
      </c>
      <c r="G218" s="0" t="str">
        <f aca="false">IF($A218="","",IF(AW218="Y",BQ218&amp;"",BC218&amp;""))</f>
        <v/>
      </c>
      <c r="H218" s="0" t="str">
        <f aca="false">IF($A218="","",IF(AW218="Y",BR218&amp;"",BD218&amp;""))</f>
        <v>none</v>
      </c>
      <c r="I218" s="0" t="str">
        <f aca="false">IF($A218="","",IF(R218="Y","warm-intro",IF(H218="verified","email",IF(C218&lt;&gt;"","linkedin",CB218&amp;""))))</f>
        <v>linkedin</v>
      </c>
      <c r="J218" s="0" t="n">
        <f aca="false">IF($A218="","",IF(CN218="pass",ROUND(N(EM218)+N(EN218)+N(EO218)+N(EP218)+N(EQ218)+N(ER218),1),0))</f>
        <v>26</v>
      </c>
      <c r="K218" s="0" t="str">
        <f aca="false">IF($A218="","",IF(CN218&lt;&gt;"pass",CA218&amp;"",CA218&amp;"; "&amp;IF(AW218="Y",BZ218&amp;"",BL218&amp;"")&amp;IF(R218="Y","; known to the founder (+15)","")&amp;"."))</f>
        <v>Tuesday headcount unknown (no sourced count), company size unknown, no attendance signal, occupancy-unconfirmed at a low-confidence address; contacts not researched yet.</v>
      </c>
      <c r="L218" s="0" t="s">
        <v>209</v>
      </c>
      <c r="R218" s="5" t="s">
        <v>189</v>
      </c>
      <c r="S218" s="0" t="s">
        <v>209</v>
      </c>
      <c r="T218" s="0" t="s">
        <v>189</v>
      </c>
      <c r="U218" s="5" t="s">
        <v>3896</v>
      </c>
      <c r="V218" s="0" t="s">
        <v>4323</v>
      </c>
      <c r="W218" s="0" t="s">
        <v>263</v>
      </c>
      <c r="X218" s="0" t="s">
        <v>3897</v>
      </c>
      <c r="Y218" s="0" t="str">
        <f aca="false">IF(FX218&lt;&gt;"Y","",COUNTIFS($FX$2:$FX$1000,"Y",$J$2:$J$1000,"&gt;"&amp;J218)+COUNTIFS($FX$2:$FX$1000,"Y",$J$2:$J$1000,J218,$GD$2:$GD$1000,"&lt;"&amp;GD218)+1)</f>
        <v/>
      </c>
      <c r="Z218" s="0" t="n">
        <v>217</v>
      </c>
      <c r="AA218" s="0" t="s">
        <v>189</v>
      </c>
      <c r="AB218" s="0" t="str">
        <f aca="false">IF($A218="","",IF(AW218="Y",BY218&amp;"",BK218&amp;""))</f>
        <v/>
      </c>
      <c r="AC218" s="0" t="str">
        <f aca="false">IF($A218="","",IF(AW218="Y",BS218&amp;"",BE218&amp;""))</f>
        <v/>
      </c>
      <c r="AD218" s="0" t="str">
        <f aca="false">IF($A218="","",IF(AW218="Y",BT218&amp;"",BF218&amp;""))</f>
        <v>none</v>
      </c>
      <c r="AE218" s="0" t="str">
        <f aca="false">IF($A218="","",IF(AW218="Y",BU218&amp;"",BG218&amp;""))</f>
        <v/>
      </c>
      <c r="AF218" s="0" t="str">
        <f aca="false">IF($A218="","",IF(AW218="Y",BV218&amp;"",BH218&amp;""))</f>
        <v/>
      </c>
      <c r="AG218" s="0" t="str">
        <f aca="false">IF($A218="","",IF(AW218="Y",BW218&amp;"",BI218&amp;""))</f>
        <v/>
      </c>
      <c r="AH218" s="0" t="str">
        <f aca="false">IF($A218="","",IF(AW218="Y",BX218&amp;"",BJ218&amp;""))</f>
        <v>none</v>
      </c>
      <c r="AI218" s="0" t="s">
        <v>1965</v>
      </c>
      <c r="AJ218" s="0" t="s">
        <v>693</v>
      </c>
      <c r="AK218" s="0" t="s">
        <v>3898</v>
      </c>
      <c r="AL218" s="0" t="s">
        <v>209</v>
      </c>
      <c r="AM218" s="0" t="s">
        <v>209</v>
      </c>
      <c r="AN218" s="0" t="s">
        <v>380</v>
      </c>
      <c r="AO218" s="0" t="s">
        <v>209</v>
      </c>
      <c r="AP218" s="0" t="s">
        <v>4321</v>
      </c>
      <c r="AQ218" s="5" t="s">
        <v>189</v>
      </c>
      <c r="AT218" s="0" t="str">
        <f aca="false">IF($A218="","",IF(AND(CN218="pass",AQ218&lt;&gt;"Y",C218&lt;&gt;"",OR(AX218&lt;&gt;"Y",AV218="Y")),"Y","N"))</f>
        <v>N</v>
      </c>
      <c r="AU218" s="0" t="str">
        <f aca="false">IF($A218="","",_xlfn.TEXTJOIN("; ",TRUE(),IF(CN218&lt;&gt;"pass","gated out",""),IF(AQ218="Y","on hold: "&amp;AR218,""),IF(C218="","no contact named on an opened page",""),IF(AND(AX218="Y",AV218&lt;&gt;"Y"),"Tuesday estimate band "&amp;L218&amp;": founder's call","")))</f>
        <v>no contact named on an opened page</v>
      </c>
      <c r="AX218" s="0" t="s">
        <v>189</v>
      </c>
      <c r="BC218" s="0" t="str">
        <f aca="false">IF($A218="","",IFERROR(INDEX(Enrichment!$A$2:$GZ$2000,MATCH($A218,INDEX(Enrichment!$A$2:$GZ$2000,0,MATCH("row_id",Enrichment!$A$1:$GZ$1,0)),0),MATCH("work_email",Enrichment!$A$1:$GZ$1,0))&amp;"",""))</f>
        <v/>
      </c>
      <c r="BD218" s="0" t="str">
        <f aca="false">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none</v>
      </c>
      <c r="BF218" s="0" t="s">
        <v>380</v>
      </c>
      <c r="BJ218" s="0" t="s">
        <v>380</v>
      </c>
      <c r="BL218" s="0" t="s">
        <v>896</v>
      </c>
      <c r="BQ218" s="0" t="str">
        <f aca="false">IF($A218="","",IFERROR(INDEX(Enrichment!$A$2:$GZ$2000,MATCH($A218,INDEX(Enrichment!$A$2:$GZ$2000,0,MATCH("row_id",Enrichment!$A$1:$GZ$1,0)),0),MATCH("backup_work_email",Enrichment!$A$1:$GZ$1,0))&amp;"",""))</f>
        <v/>
      </c>
      <c r="BR218" s="0" t="str">
        <f aca="false">IF($A218="","",IF(BQ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none</v>
      </c>
      <c r="BT218" s="0" t="s">
        <v>380</v>
      </c>
      <c r="BX218" s="0" t="s">
        <v>380</v>
      </c>
      <c r="BY218" s="0" t="s">
        <v>387</v>
      </c>
      <c r="BZ218" s="0" t="s">
        <v>388</v>
      </c>
      <c r="CA218" s="0" t="s">
        <v>4324</v>
      </c>
      <c r="CB218" s="0" t="s">
        <v>196</v>
      </c>
      <c r="CM218" s="0" t="s">
        <v>189</v>
      </c>
      <c r="CN218" s="0" t="s">
        <v>200</v>
      </c>
      <c r="CO218" s="0" t="s">
        <v>201</v>
      </c>
      <c r="CP218" s="0" t="s">
        <v>1</v>
      </c>
      <c r="CQ218" s="0" t="s">
        <v>4325</v>
      </c>
      <c r="CR218" s="0" t="s">
        <v>4326</v>
      </c>
      <c r="CS218" s="0" t="s">
        <v>4327</v>
      </c>
      <c r="CT218" s="0" t="s">
        <v>209</v>
      </c>
      <c r="CV218" s="0" t="s">
        <v>209</v>
      </c>
      <c r="CW218" s="0" t="s">
        <v>209</v>
      </c>
      <c r="CX218" s="0" t="s">
        <v>2712</v>
      </c>
      <c r="DA218" s="0" t="s">
        <v>209</v>
      </c>
      <c r="DB218" s="0" t="s">
        <v>209</v>
      </c>
      <c r="DC218" s="0" t="s">
        <v>209</v>
      </c>
      <c r="DD218" s="0" t="s">
        <v>209</v>
      </c>
      <c r="DE218" s="0" t="s">
        <v>4328</v>
      </c>
      <c r="DF218" s="0" t="s">
        <v>525</v>
      </c>
      <c r="DG218" s="0" t="n">
        <v>40.738577</v>
      </c>
      <c r="DH218" s="0" t="n">
        <v>-73.987151</v>
      </c>
      <c r="DI218" s="0" t="s">
        <v>164</v>
      </c>
      <c r="DJ218" s="0" t="n">
        <v>0</v>
      </c>
      <c r="DK218" s="0" t="s">
        <v>1753</v>
      </c>
      <c r="DL218" s="0" t="s">
        <v>1754</v>
      </c>
      <c r="DM218" s="0" t="s">
        <v>4323</v>
      </c>
      <c r="DN218" s="0" t="s">
        <v>4329</v>
      </c>
      <c r="DO218" s="0" t="s">
        <v>363</v>
      </c>
      <c r="DS218" s="0" t="s">
        <v>187</v>
      </c>
      <c r="DU218" s="0" t="s">
        <v>189</v>
      </c>
      <c r="DX218" s="0" t="s">
        <v>209</v>
      </c>
      <c r="EA218" s="0" t="s">
        <v>209</v>
      </c>
      <c r="EB218" s="0" t="s">
        <v>189</v>
      </c>
      <c r="EC218" s="0" t="s">
        <v>209</v>
      </c>
      <c r="EF218" s="0" t="s">
        <v>209</v>
      </c>
      <c r="EH218" s="0" t="s">
        <v>189</v>
      </c>
      <c r="EI218" s="0" t="s">
        <v>2716</v>
      </c>
      <c r="EJ218" s="0" t="s">
        <v>221</v>
      </c>
      <c r="EK218" s="0" t="s">
        <v>209</v>
      </c>
      <c r="EL218" s="0" t="n">
        <v>26</v>
      </c>
      <c r="EM218" s="0" t="n">
        <v>7</v>
      </c>
      <c r="EN218" s="0" t="n">
        <v>8</v>
      </c>
      <c r="EO218" s="0" t="n">
        <v>6</v>
      </c>
      <c r="EP218" s="0" t="n">
        <v>5</v>
      </c>
      <c r="EQ218" s="0" t="n">
        <f aca="false">IF($A218="","",IF(AH218="exact",10,IF(AH218="adjacent",5,0)))</f>
        <v>0</v>
      </c>
      <c r="ER218" s="0" t="n">
        <f aca="false">IF($A218="","",IF(R218="Y",15,0))</f>
        <v>0</v>
      </c>
      <c r="ES218" s="0" t="s">
        <v>222</v>
      </c>
      <c r="EV218" s="0" t="s">
        <v>4330</v>
      </c>
      <c r="EW218" s="0" t="s">
        <v>224</v>
      </c>
      <c r="EX218" s="0" t="s">
        <v>4331</v>
      </c>
      <c r="EZ218" s="0" t="s">
        <v>4332</v>
      </c>
      <c r="FS218" s="0" t="str">
        <f aca="false">IF($A218="","",IF(ISNUMBER(MATCH(U218,{"queued","contacted","replied","call_booked","call_done","yes_in_principle","materials_sent"},0)),"Y","N"))</f>
        <v>N</v>
      </c>
      <c r="FT218" s="0" t="str">
        <f aca="false">IF($A218="","",IF(OR(T218="Y",U218="do_not_contact",AS218&amp;""&lt;&gt;""),"Y","N"))</f>
        <v>N</v>
      </c>
      <c r="FU218" s="0" t="str">
        <f aca="false">IF($A218="","",IF(AP218&amp;""&lt;&gt;"",AP218&amp;"",$A218))</f>
        <v>AO-C-066</v>
      </c>
      <c r="FV218" s="0" t="str">
        <f aca="false">IF($A218="","",IF(COUNTIFS($FU$2:$FU$1000,FU218,$FS$2:$FS$1000,"Y")+COUNTIFS($FU$2:$FU$1000,FU218,$FT$2:$FT$1000,"Y")&gt;0,"Y","N"))</f>
        <v>N</v>
      </c>
      <c r="FW218" s="0" t="str">
        <f aca="false">IF($A218="","",IF(AND(U218="new",T218="N",FT218="N",AT218="Y",FV218="N"),"Y","N"))</f>
        <v>N</v>
      </c>
      <c r="FX218" s="0" t="str">
        <f aca="false">IF($A218="","",IF(FW218&lt;&gt;"Y","N",IF(COUNTIFS($FU$2:$FU$1000,FU218,$FW$2:$FW$1000,"Y",$J$2:$J$1000,"&gt;"&amp;J218)+COUNTIFS($FU$2:$FU$1000,FU218,$FW$2:$FW$1000,"Y",$J$2:$J$1000,J218,$GD$2:$GD$1000,"&lt;"&amp;GD218)=0,"Y","N")))</f>
        <v>N</v>
      </c>
      <c r="FY218" s="0" t="str">
        <f aca="false">IF($A218="","",IF(AND(FW218="Y",FX218="Y",Y218&amp;""&lt;&gt;""),IF(Y218&lt;=10,"Y","N"),"N"))</f>
        <v>N</v>
      </c>
      <c r="FZ218" s="0" t="str">
        <f aca="false">IF(FY218="Y",Y218,"")</f>
        <v/>
      </c>
      <c r="GA218" s="0" t="str">
        <f aca="false">IF($A218="","",IF(AND(I218="walk-in",CN218="pass",U218="new",FT218="N",FV218="N",AQ218&lt;&gt;"Y"),"Y","N"))</f>
        <v>N</v>
      </c>
      <c r="GB218" s="0" t="str">
        <f aca="false">IF(GA218&lt;&gt;"Y","",IF(COUNTIFS($GA$2:$GA$1000,"Y",$J$2:$J$1000,"&gt;"&amp;J218)+COUNTIFS($GA$2:$GA$1000,"Y",$J$2:$J$1000,J218,$GD$2:$GD$1000,"&lt;"&amp;GD218)+1&lt;=25,COUNTIFS($GA$2:$GA$1000,"Y",$J$2:$J$1000,"&gt;"&amp;J218)+COUNTIFS($GA$2:$GA$1000,"Y",$J$2:$J$1000,J218,$GD$2:$GD$1000,"&lt;"&amp;GD218)+1,""))</f>
        <v/>
      </c>
      <c r="GC218" s="0" t="str">
        <f aca="false">IF(AND(_xlfn.ISFORMULA(C218),_xlfn.ISFORMULA(J218)),"Y","N")</f>
        <v>Y</v>
      </c>
      <c r="GD218" s="0" t="n">
        <f aca="false">ROW()-1</f>
        <v>217</v>
      </c>
    </row>
    <row r="219" customFormat="false" ht="15" hidden="false" customHeight="false" outlineLevel="0" collapsed="false">
      <c r="A219" s="0" t="s">
        <v>4333</v>
      </c>
      <c r="B219" s="0" t="s">
        <v>4334</v>
      </c>
      <c r="C219" s="0" t="str">
        <f aca="false">IF($A219="","",IF(AW219="Y",BM219&amp;"",AY219&amp;""))</f>
        <v/>
      </c>
      <c r="D219" s="0" t="str">
        <f aca="false">IF($A219="","",IF(AW219="Y",BN219&amp;"",AZ219&amp;""))</f>
        <v/>
      </c>
      <c r="E219" s="0" t="str">
        <f aca="false">IF($A219="","",IF(AW219="Y",BO219&amp;"",BA219&amp;""))</f>
        <v/>
      </c>
      <c r="F219" s="0" t="str">
        <f aca="false">IF($A219="","",IF(AW219="Y",BP219&amp;"",BB219&amp;""))</f>
        <v/>
      </c>
      <c r="G219" s="0" t="str">
        <f aca="false">IF($A219="","",IF(AW219="Y",BQ219&amp;"",BC219&amp;""))</f>
        <v/>
      </c>
      <c r="H219" s="0" t="str">
        <f aca="false">IF($A219="","",IF(AW219="Y",BR219&amp;"",BD219&amp;""))</f>
        <v>none</v>
      </c>
      <c r="I219" s="0" t="str">
        <f aca="false">IF($A219="","",IF(R219="Y","warm-intro",IF(H219="verified","email",IF(C219&lt;&gt;"","linkedin",CB219&amp;""))))</f>
        <v>linkedin</v>
      </c>
      <c r="J219" s="0" t="n">
        <f aca="false">IF($A219="","",IF(CN219="pass",ROUND(N(EM219)+N(EN219)+N(EO219)+N(EP219)+N(EQ219)+N(ER219),1),0))</f>
        <v>26</v>
      </c>
      <c r="K219" s="0" t="str">
        <f aca="false">IF($A219="","",IF(CN219&lt;&gt;"pass",CA219&amp;"",CA219&amp;"; "&amp;IF(AW219="Y",BZ219&amp;"",BL219&amp;"")&amp;IF(R219="Y","; known to the founder (+15)","")&amp;"."))</f>
        <v>Tuesday headcount unknown (no sourced count), company size unknown, no attendance signal, occupancy-unconfirmed at a low-confidence address; contacts not researched yet.</v>
      </c>
      <c r="L219" s="0" t="s">
        <v>209</v>
      </c>
      <c r="R219" s="5" t="s">
        <v>189</v>
      </c>
      <c r="S219" s="0" t="s">
        <v>209</v>
      </c>
      <c r="T219" s="0" t="s">
        <v>189</v>
      </c>
      <c r="U219" s="5" t="s">
        <v>3896</v>
      </c>
      <c r="V219" s="0" t="s">
        <v>4335</v>
      </c>
      <c r="W219" s="0" t="s">
        <v>263</v>
      </c>
      <c r="X219" s="0" t="s">
        <v>3897</v>
      </c>
      <c r="Y219" s="0" t="str">
        <f aca="false">IF(FX219&lt;&gt;"Y","",COUNTIFS($FX$2:$FX$1000,"Y",$J$2:$J$1000,"&gt;"&amp;J219)+COUNTIFS($FX$2:$FX$1000,"Y",$J$2:$J$1000,J219,$GD$2:$GD$1000,"&lt;"&amp;GD219)+1)</f>
        <v/>
      </c>
      <c r="Z219" s="0" t="n">
        <v>218</v>
      </c>
      <c r="AA219" s="0" t="s">
        <v>189</v>
      </c>
      <c r="AB219" s="0" t="str">
        <f aca="false">IF($A219="","",IF(AW219="Y",BY219&amp;"",BK219&amp;""))</f>
        <v/>
      </c>
      <c r="AC219" s="0" t="str">
        <f aca="false">IF($A219="","",IF(AW219="Y",BS219&amp;"",BE219&amp;""))</f>
        <v/>
      </c>
      <c r="AD219" s="0" t="str">
        <f aca="false">IF($A219="","",IF(AW219="Y",BT219&amp;"",BF219&amp;""))</f>
        <v>none</v>
      </c>
      <c r="AE219" s="0" t="str">
        <f aca="false">IF($A219="","",IF(AW219="Y",BU219&amp;"",BG219&amp;""))</f>
        <v/>
      </c>
      <c r="AF219" s="0" t="str">
        <f aca="false">IF($A219="","",IF(AW219="Y",BV219&amp;"",BH219&amp;""))</f>
        <v/>
      </c>
      <c r="AG219" s="0" t="str">
        <f aca="false">IF($A219="","",IF(AW219="Y",BW219&amp;"",BI219&amp;""))</f>
        <v/>
      </c>
      <c r="AH219" s="0" t="str">
        <f aca="false">IF($A219="","",IF(AW219="Y",BX219&amp;"",BJ219&amp;""))</f>
        <v>none</v>
      </c>
      <c r="AI219" s="0" t="s">
        <v>2105</v>
      </c>
      <c r="AJ219" s="0" t="s">
        <v>231</v>
      </c>
      <c r="AK219" s="0" t="s">
        <v>3898</v>
      </c>
      <c r="AL219" s="0" t="s">
        <v>209</v>
      </c>
      <c r="AM219" s="0" t="s">
        <v>209</v>
      </c>
      <c r="AN219" s="0" t="s">
        <v>380</v>
      </c>
      <c r="AO219" s="0" t="s">
        <v>209</v>
      </c>
      <c r="AP219" s="0" t="s">
        <v>4333</v>
      </c>
      <c r="AQ219" s="5" t="s">
        <v>189</v>
      </c>
      <c r="AT219" s="0" t="str">
        <f aca="false">IF($A219="","",IF(AND(CN219="pass",AQ219&lt;&gt;"Y",C219&lt;&gt;"",OR(AX219&lt;&gt;"Y",AV219="Y")),"Y","N"))</f>
        <v>N</v>
      </c>
      <c r="AU219" s="0" t="str">
        <f aca="false">IF($A219="","",_xlfn.TEXTJOIN("; ",TRUE(),IF(CN219&lt;&gt;"pass","gated out",""),IF(AQ219="Y","on hold: "&amp;AR219,""),IF(C219="","no contact named on an opened page",""),IF(AND(AX219="Y",AV219&lt;&gt;"Y"),"Tuesday estimate band "&amp;L219&amp;": founder's call","")))</f>
        <v>no contact named on an opened page</v>
      </c>
      <c r="AX219" s="0" t="s">
        <v>189</v>
      </c>
      <c r="BC219" s="0" t="str">
        <f aca="false">IF($A219="","",IFERROR(INDEX(Enrichment!$A$2:$GZ$2000,MATCH($A219,INDEX(Enrichment!$A$2:$GZ$2000,0,MATCH("row_id",Enrichment!$A$1:$GZ$1,0)),0),MATCH("work_email",Enrichment!$A$1:$GZ$1,0))&amp;"",""))</f>
        <v/>
      </c>
      <c r="BD219" s="0" t="str">
        <f aca="false">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none</v>
      </c>
      <c r="BF219" s="0" t="s">
        <v>380</v>
      </c>
      <c r="BJ219" s="0" t="s">
        <v>380</v>
      </c>
      <c r="BL219" s="0" t="s">
        <v>896</v>
      </c>
      <c r="BQ219" s="0" t="str">
        <f aca="false">IF($A219="","",IFERROR(INDEX(Enrichment!$A$2:$GZ$2000,MATCH($A219,INDEX(Enrichment!$A$2:$GZ$2000,0,MATCH("row_id",Enrichment!$A$1:$GZ$1,0)),0),MATCH("backup_work_email",Enrichment!$A$1:$GZ$1,0))&amp;"",""))</f>
        <v/>
      </c>
      <c r="BR219" s="0" t="str">
        <f aca="false">IF($A219="","",IF(BQ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none</v>
      </c>
      <c r="BT219" s="0" t="s">
        <v>380</v>
      </c>
      <c r="BX219" s="0" t="s">
        <v>380</v>
      </c>
      <c r="BY219" s="0" t="s">
        <v>387</v>
      </c>
      <c r="BZ219" s="0" t="s">
        <v>388</v>
      </c>
      <c r="CA219" s="0" t="s">
        <v>4324</v>
      </c>
      <c r="CB219" s="0" t="s">
        <v>196</v>
      </c>
      <c r="CM219" s="0" t="s">
        <v>189</v>
      </c>
      <c r="CN219" s="0" t="s">
        <v>200</v>
      </c>
      <c r="CO219" s="0" t="s">
        <v>201</v>
      </c>
      <c r="CP219" s="0" t="s">
        <v>1</v>
      </c>
      <c r="CQ219" s="0" t="s">
        <v>4336</v>
      </c>
      <c r="CR219" s="0" t="s">
        <v>209</v>
      </c>
      <c r="CS219" s="0" t="s">
        <v>4337</v>
      </c>
      <c r="CT219" s="0" t="s">
        <v>209</v>
      </c>
      <c r="CV219" s="0" t="s">
        <v>209</v>
      </c>
      <c r="CW219" s="0" t="s">
        <v>209</v>
      </c>
      <c r="CX219" s="0" t="s">
        <v>2712</v>
      </c>
      <c r="DA219" s="0" t="s">
        <v>209</v>
      </c>
      <c r="DB219" s="0" t="s">
        <v>209</v>
      </c>
      <c r="DC219" s="0" t="s">
        <v>209</v>
      </c>
      <c r="DD219" s="0" t="s">
        <v>209</v>
      </c>
      <c r="DE219" s="0" t="s">
        <v>209</v>
      </c>
      <c r="DF219" s="0" t="s">
        <v>311</v>
      </c>
      <c r="DG219" s="0" t="n">
        <v>40.745027</v>
      </c>
      <c r="DH219" s="0" t="n">
        <v>-73.986825</v>
      </c>
      <c r="DI219" s="0" t="s">
        <v>164</v>
      </c>
      <c r="DJ219" s="0" t="n">
        <v>0</v>
      </c>
      <c r="DK219" s="0" t="s">
        <v>1937</v>
      </c>
      <c r="DL219" s="0" t="s">
        <v>1938</v>
      </c>
      <c r="DM219" s="0" t="s">
        <v>4335</v>
      </c>
      <c r="DN219" s="0" t="s">
        <v>4338</v>
      </c>
      <c r="DO219" s="0" t="s">
        <v>363</v>
      </c>
      <c r="DS219" s="0" t="s">
        <v>187</v>
      </c>
      <c r="DU219" s="0" t="s">
        <v>189</v>
      </c>
      <c r="DX219" s="0" t="s">
        <v>267</v>
      </c>
      <c r="DY219" s="0" t="s">
        <v>1941</v>
      </c>
      <c r="EA219" s="0" t="s">
        <v>209</v>
      </c>
      <c r="EB219" s="0" t="s">
        <v>189</v>
      </c>
      <c r="EC219" s="0" t="s">
        <v>209</v>
      </c>
      <c r="EF219" s="0" t="s">
        <v>209</v>
      </c>
      <c r="EH219" s="0" t="s">
        <v>189</v>
      </c>
      <c r="EI219" s="0" t="s">
        <v>2716</v>
      </c>
      <c r="EJ219" s="0" t="s">
        <v>221</v>
      </c>
      <c r="EK219" s="0" t="s">
        <v>209</v>
      </c>
      <c r="EL219" s="0" t="n">
        <v>26</v>
      </c>
      <c r="EM219" s="0" t="n">
        <v>7</v>
      </c>
      <c r="EN219" s="0" t="n">
        <v>8</v>
      </c>
      <c r="EO219" s="0" t="n">
        <v>6</v>
      </c>
      <c r="EP219" s="0" t="n">
        <v>5</v>
      </c>
      <c r="EQ219" s="0" t="n">
        <f aca="false">IF($A219="","",IF(AH219="exact",10,IF(AH219="adjacent",5,0)))</f>
        <v>0</v>
      </c>
      <c r="ER219" s="0" t="n">
        <f aca="false">IF($A219="","",IF(R219="Y",15,0))</f>
        <v>0</v>
      </c>
      <c r="ES219" s="0" t="s">
        <v>222</v>
      </c>
      <c r="EV219" s="0" t="s">
        <v>4339</v>
      </c>
      <c r="EW219" s="0" t="s">
        <v>224</v>
      </c>
      <c r="EX219" s="0" t="s">
        <v>4340</v>
      </c>
      <c r="FS219" s="0" t="str">
        <f aca="false">IF($A219="","",IF(ISNUMBER(MATCH(U219,{"queued","contacted","replied","call_booked","call_done","yes_in_principle","materials_sent"},0)),"Y","N"))</f>
        <v>N</v>
      </c>
      <c r="FT219" s="0" t="str">
        <f aca="false">IF($A219="","",IF(OR(T219="Y",U219="do_not_contact",AS219&amp;""&lt;&gt;""),"Y","N"))</f>
        <v>N</v>
      </c>
      <c r="FU219" s="0" t="str">
        <f aca="false">IF($A219="","",IF(AP219&amp;""&lt;&gt;"",AP219&amp;"",$A219))</f>
        <v>AO-C-164</v>
      </c>
      <c r="FV219" s="0" t="str">
        <f aca="false">IF($A219="","",IF(COUNTIFS($FU$2:$FU$1000,FU219,$FS$2:$FS$1000,"Y")+COUNTIFS($FU$2:$FU$1000,FU219,$FT$2:$FT$1000,"Y")&gt;0,"Y","N"))</f>
        <v>N</v>
      </c>
      <c r="FW219" s="0" t="str">
        <f aca="false">IF($A219="","",IF(AND(U219="new",T219="N",FT219="N",AT219="Y",FV219="N"),"Y","N"))</f>
        <v>N</v>
      </c>
      <c r="FX219" s="0" t="str">
        <f aca="false">IF($A219="","",IF(FW219&lt;&gt;"Y","N",IF(COUNTIFS($FU$2:$FU$1000,FU219,$FW$2:$FW$1000,"Y",$J$2:$J$1000,"&gt;"&amp;J219)+COUNTIFS($FU$2:$FU$1000,FU219,$FW$2:$FW$1000,"Y",$J$2:$J$1000,J219,$GD$2:$GD$1000,"&lt;"&amp;GD219)=0,"Y","N")))</f>
        <v>N</v>
      </c>
      <c r="FY219" s="0" t="str">
        <f aca="false">IF($A219="","",IF(AND(FW219="Y",FX219="Y",Y219&amp;""&lt;&gt;""),IF(Y219&lt;=10,"Y","N"),"N"))</f>
        <v>N</v>
      </c>
      <c r="FZ219" s="0" t="str">
        <f aca="false">IF(FY219="Y",Y219,"")</f>
        <v/>
      </c>
      <c r="GA219" s="0" t="str">
        <f aca="false">IF($A219="","",IF(AND(I219="walk-in",CN219="pass",U219="new",FT219="N",FV219="N",AQ219&lt;&gt;"Y"),"Y","N"))</f>
        <v>N</v>
      </c>
      <c r="GB219" s="0" t="str">
        <f aca="false">IF(GA219&lt;&gt;"Y","",IF(COUNTIFS($GA$2:$GA$1000,"Y",$J$2:$J$1000,"&gt;"&amp;J219)+COUNTIFS($GA$2:$GA$1000,"Y",$J$2:$J$1000,J219,$GD$2:$GD$1000,"&lt;"&amp;GD219)+1&lt;=25,COUNTIFS($GA$2:$GA$1000,"Y",$J$2:$J$1000,"&gt;"&amp;J219)+COUNTIFS($GA$2:$GA$1000,"Y",$J$2:$J$1000,J219,$GD$2:$GD$1000,"&lt;"&amp;GD219)+1,""))</f>
        <v/>
      </c>
      <c r="GC219" s="0" t="str">
        <f aca="false">IF(AND(_xlfn.ISFORMULA(C219),_xlfn.ISFORMULA(J219)),"Y","N")</f>
        <v>Y</v>
      </c>
      <c r="GD219" s="0" t="n">
        <f aca="false">ROW()-1</f>
        <v>218</v>
      </c>
    </row>
    <row r="220" customFormat="false" ht="15" hidden="false" customHeight="false" outlineLevel="0" collapsed="false">
      <c r="A220" s="0" t="s">
        <v>4341</v>
      </c>
      <c r="B220" s="0" t="s">
        <v>4342</v>
      </c>
      <c r="C220" s="0" t="str">
        <f aca="false">IF($A220="","",IF(AW220="Y",BM220&amp;"",AY220&amp;""))</f>
        <v/>
      </c>
      <c r="D220" s="0" t="str">
        <f aca="false">IF($A220="","",IF(AW220="Y",BN220&amp;"",AZ220&amp;""))</f>
        <v/>
      </c>
      <c r="E220" s="0" t="str">
        <f aca="false">IF($A220="","",IF(AW220="Y",BO220&amp;"",BA220&amp;""))</f>
        <v/>
      </c>
      <c r="F220" s="0" t="str">
        <f aca="false">IF($A220="","",IF(AW220="Y",BP220&amp;"",BB220&amp;""))</f>
        <v/>
      </c>
      <c r="G220" s="0" t="str">
        <f aca="false">IF($A220="","",IF(AW220="Y",BQ220&amp;"",BC220&amp;""))</f>
        <v/>
      </c>
      <c r="H220" s="0" t="str">
        <f aca="false">IF($A220="","",IF(AW220="Y",BR220&amp;"",BD220&amp;""))</f>
        <v>none</v>
      </c>
      <c r="I220" s="0" t="str">
        <f aca="false">IF($A220="","",IF(R220="Y","warm-intro",IF(H220="verified","email",IF(C220&lt;&gt;"","linkedin",CB220&amp;""))))</f>
        <v>linkedin</v>
      </c>
      <c r="J220" s="0" t="n">
        <f aca="false">IF($A220="","",IF(CN220="pass",ROUND(N(EM220)+N(EN220)+N(EO220)+N(EP220)+N(EQ220)+N(ER220),1),0))</f>
        <v>26</v>
      </c>
      <c r="K220" s="0" t="str">
        <f aca="false">IF($A220="","",IF(CN220&lt;&gt;"pass",CA220&amp;"",CA220&amp;"; "&amp;IF(AW220="Y",BZ220&amp;"",BL220&amp;"")&amp;IF(R220="Y","; known to the founder (+15)","")&amp;"."))</f>
        <v>Tuesday headcount unknown (no sourced count), company size unknown, no attendance signal, occupancy-unconfirmed at a low-confidence address; contacts not researched yet.</v>
      </c>
      <c r="L220" s="0" t="s">
        <v>209</v>
      </c>
      <c r="R220" s="5" t="s">
        <v>189</v>
      </c>
      <c r="S220" s="0" t="s">
        <v>209</v>
      </c>
      <c r="T220" s="0" t="s">
        <v>189</v>
      </c>
      <c r="U220" s="5" t="s">
        <v>3896</v>
      </c>
      <c r="V220" s="0" t="s">
        <v>4343</v>
      </c>
      <c r="W220" s="0" t="s">
        <v>263</v>
      </c>
      <c r="X220" s="0" t="s">
        <v>3897</v>
      </c>
      <c r="Y220" s="0" t="str">
        <f aca="false">IF(FX220&lt;&gt;"Y","",COUNTIFS($FX$2:$FX$1000,"Y",$J$2:$J$1000,"&gt;"&amp;J220)+COUNTIFS($FX$2:$FX$1000,"Y",$J$2:$J$1000,J220,$GD$2:$GD$1000,"&lt;"&amp;GD220)+1)</f>
        <v/>
      </c>
      <c r="Z220" s="0" t="n">
        <v>219</v>
      </c>
      <c r="AA220" s="0" t="s">
        <v>189</v>
      </c>
      <c r="AB220" s="0" t="str">
        <f aca="false">IF($A220="","",IF(AW220="Y",BY220&amp;"",BK220&amp;""))</f>
        <v/>
      </c>
      <c r="AC220" s="0" t="str">
        <f aca="false">IF($A220="","",IF(AW220="Y",BS220&amp;"",BE220&amp;""))</f>
        <v/>
      </c>
      <c r="AD220" s="0" t="str">
        <f aca="false">IF($A220="","",IF(AW220="Y",BT220&amp;"",BF220&amp;""))</f>
        <v>none</v>
      </c>
      <c r="AE220" s="0" t="str">
        <f aca="false">IF($A220="","",IF(AW220="Y",BU220&amp;"",BG220&amp;""))</f>
        <v/>
      </c>
      <c r="AF220" s="0" t="str">
        <f aca="false">IF($A220="","",IF(AW220="Y",BV220&amp;"",BH220&amp;""))</f>
        <v/>
      </c>
      <c r="AG220" s="0" t="str">
        <f aca="false">IF($A220="","",IF(AW220="Y",BW220&amp;"",BI220&amp;""))</f>
        <v/>
      </c>
      <c r="AH220" s="0" t="str">
        <f aca="false">IF($A220="","",IF(AW220="Y",BX220&amp;"",BJ220&amp;""))</f>
        <v>none</v>
      </c>
      <c r="AI220" s="0" t="s">
        <v>3253</v>
      </c>
      <c r="AJ220" s="0" t="s">
        <v>209</v>
      </c>
      <c r="AK220" s="0" t="s">
        <v>3898</v>
      </c>
      <c r="AL220" s="0" t="s">
        <v>209</v>
      </c>
      <c r="AM220" s="0" t="s">
        <v>209</v>
      </c>
      <c r="AN220" s="0" t="s">
        <v>380</v>
      </c>
      <c r="AO220" s="0" t="s">
        <v>209</v>
      </c>
      <c r="AP220" s="0" t="s">
        <v>4341</v>
      </c>
      <c r="AQ220" s="5" t="s">
        <v>189</v>
      </c>
      <c r="AT220" s="0" t="str">
        <f aca="false">IF($A220="","",IF(AND(CN220="pass",AQ220&lt;&gt;"Y",C220&lt;&gt;"",OR(AX220&lt;&gt;"Y",AV220="Y")),"Y","N"))</f>
        <v>N</v>
      </c>
      <c r="AU220" s="0" t="str">
        <f aca="false">IF($A220="","",_xlfn.TEXTJOIN("; ",TRUE(),IF(CN220&lt;&gt;"pass","gated out",""),IF(AQ220="Y","on hold: "&amp;AR220,""),IF(C220="","no contact named on an opened page",""),IF(AND(AX220="Y",AV220&lt;&gt;"Y"),"Tuesday estimate band "&amp;L220&amp;": founder's call","")))</f>
        <v>no contact named on an opened page</v>
      </c>
      <c r="AX220" s="0" t="s">
        <v>189</v>
      </c>
      <c r="BC220" s="0" t="str">
        <f aca="false">IF($A220="","",IFERROR(INDEX(Enrichment!$A$2:$GZ$2000,MATCH($A220,INDEX(Enrichment!$A$2:$GZ$2000,0,MATCH("row_id",Enrichment!$A$1:$GZ$1,0)),0),MATCH("work_email",Enrichment!$A$1:$GZ$1,0))&amp;"",""))</f>
        <v/>
      </c>
      <c r="BD220" s="0" t="str">
        <f aca="false">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none</v>
      </c>
      <c r="BF220" s="0" t="s">
        <v>380</v>
      </c>
      <c r="BJ220" s="0" t="s">
        <v>380</v>
      </c>
      <c r="BL220" s="0" t="s">
        <v>896</v>
      </c>
      <c r="BQ220" s="0" t="str">
        <f aca="false">IF($A220="","",IFERROR(INDEX(Enrichment!$A$2:$GZ$2000,MATCH($A220,INDEX(Enrichment!$A$2:$GZ$2000,0,MATCH("row_id",Enrichment!$A$1:$GZ$1,0)),0),MATCH("backup_work_email",Enrichment!$A$1:$GZ$1,0))&amp;"",""))</f>
        <v/>
      </c>
      <c r="BR220" s="0" t="str">
        <f aca="false">IF($A220="","",IF(BQ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none</v>
      </c>
      <c r="BT220" s="0" t="s">
        <v>380</v>
      </c>
      <c r="BX220" s="0" t="s">
        <v>380</v>
      </c>
      <c r="BY220" s="0" t="s">
        <v>387</v>
      </c>
      <c r="BZ220" s="0" t="s">
        <v>388</v>
      </c>
      <c r="CA220" s="0" t="s">
        <v>4324</v>
      </c>
      <c r="CB220" s="0" t="s">
        <v>196</v>
      </c>
      <c r="CM220" s="0" t="s">
        <v>189</v>
      </c>
      <c r="CN220" s="0" t="s">
        <v>200</v>
      </c>
      <c r="CO220" s="0" t="s">
        <v>201</v>
      </c>
      <c r="CP220" s="0" t="s">
        <v>1</v>
      </c>
      <c r="CQ220" s="0" t="s">
        <v>4344</v>
      </c>
      <c r="CR220" s="0" t="s">
        <v>4345</v>
      </c>
      <c r="CS220" s="0" t="s">
        <v>4337</v>
      </c>
      <c r="CT220" s="0" t="s">
        <v>209</v>
      </c>
      <c r="CV220" s="0" t="s">
        <v>209</v>
      </c>
      <c r="CW220" s="0" t="s">
        <v>209</v>
      </c>
      <c r="CX220" s="0" t="s">
        <v>2712</v>
      </c>
      <c r="DA220" s="0" t="s">
        <v>209</v>
      </c>
      <c r="DB220" s="0" t="s">
        <v>209</v>
      </c>
      <c r="DC220" s="0" t="s">
        <v>209</v>
      </c>
      <c r="DD220" s="0" t="s">
        <v>209</v>
      </c>
      <c r="DE220" s="0" t="s">
        <v>4346</v>
      </c>
      <c r="DF220" s="0" t="s">
        <v>311</v>
      </c>
      <c r="DG220" s="0" t="n">
        <v>40.7425</v>
      </c>
      <c r="DH220" s="0" t="n">
        <v>-73.984446</v>
      </c>
      <c r="DI220" s="0" t="s">
        <v>164</v>
      </c>
      <c r="DJ220" s="0" t="n">
        <v>0</v>
      </c>
      <c r="DK220" s="0" t="s">
        <v>3258</v>
      </c>
      <c r="DL220" s="0" t="s">
        <v>3259</v>
      </c>
      <c r="DM220" s="0" t="s">
        <v>4343</v>
      </c>
      <c r="DN220" s="0" t="s">
        <v>4347</v>
      </c>
      <c r="DO220" s="0" t="s">
        <v>363</v>
      </c>
      <c r="DS220" s="0" t="s">
        <v>187</v>
      </c>
      <c r="DU220" s="0" t="s">
        <v>189</v>
      </c>
      <c r="DX220" s="0" t="s">
        <v>209</v>
      </c>
      <c r="EA220" s="0" t="s">
        <v>209</v>
      </c>
      <c r="EB220" s="0" t="s">
        <v>189</v>
      </c>
      <c r="EC220" s="0" t="s">
        <v>209</v>
      </c>
      <c r="EF220" s="0" t="s">
        <v>209</v>
      </c>
      <c r="EH220" s="0" t="s">
        <v>189</v>
      </c>
      <c r="EI220" s="0" t="s">
        <v>2716</v>
      </c>
      <c r="EJ220" s="0" t="s">
        <v>221</v>
      </c>
      <c r="EK220" s="0" t="s">
        <v>209</v>
      </c>
      <c r="EL220" s="0" t="n">
        <v>26</v>
      </c>
      <c r="EM220" s="0" t="n">
        <v>7</v>
      </c>
      <c r="EN220" s="0" t="n">
        <v>8</v>
      </c>
      <c r="EO220" s="0" t="n">
        <v>6</v>
      </c>
      <c r="EP220" s="0" t="n">
        <v>5</v>
      </c>
      <c r="EQ220" s="0" t="n">
        <f aca="false">IF($A220="","",IF(AH220="exact",10,IF(AH220="adjacent",5,0)))</f>
        <v>0</v>
      </c>
      <c r="ER220" s="0" t="n">
        <f aca="false">IF($A220="","",IF(R220="Y",15,0))</f>
        <v>0</v>
      </c>
      <c r="ES220" s="0" t="s">
        <v>222</v>
      </c>
      <c r="EV220" s="0" t="s">
        <v>2486</v>
      </c>
      <c r="EW220" s="0" t="s">
        <v>224</v>
      </c>
      <c r="EX220" s="0" t="s">
        <v>4348</v>
      </c>
      <c r="EZ220" s="0" t="s">
        <v>4349</v>
      </c>
      <c r="FS220" s="0" t="str">
        <f aca="false">IF($A220="","",IF(ISNUMBER(MATCH(U220,{"queued","contacted","replied","call_booked","call_done","yes_in_principle","materials_sent"},0)),"Y","N"))</f>
        <v>N</v>
      </c>
      <c r="FT220" s="0" t="str">
        <f aca="false">IF($A220="","",IF(OR(T220="Y",U220="do_not_contact",AS220&amp;""&lt;&gt;""),"Y","N"))</f>
        <v>N</v>
      </c>
      <c r="FU220" s="0" t="str">
        <f aca="false">IF($A220="","",IF(AP220&amp;""&lt;&gt;"",AP220&amp;"",$A220))</f>
        <v>AO-C-146</v>
      </c>
      <c r="FV220" s="0" t="str">
        <f aca="false">IF($A220="","",IF(COUNTIFS($FU$2:$FU$1000,FU220,$FS$2:$FS$1000,"Y")+COUNTIFS($FU$2:$FU$1000,FU220,$FT$2:$FT$1000,"Y")&gt;0,"Y","N"))</f>
        <v>N</v>
      </c>
      <c r="FW220" s="0" t="str">
        <f aca="false">IF($A220="","",IF(AND(U220="new",T220="N",FT220="N",AT220="Y",FV220="N"),"Y","N"))</f>
        <v>N</v>
      </c>
      <c r="FX220" s="0" t="str">
        <f aca="false">IF($A220="","",IF(FW220&lt;&gt;"Y","N",IF(COUNTIFS($FU$2:$FU$1000,FU220,$FW$2:$FW$1000,"Y",$J$2:$J$1000,"&gt;"&amp;J220)+COUNTIFS($FU$2:$FU$1000,FU220,$FW$2:$FW$1000,"Y",$J$2:$J$1000,J220,$GD$2:$GD$1000,"&lt;"&amp;GD220)=0,"Y","N")))</f>
        <v>N</v>
      </c>
      <c r="FY220" s="0" t="str">
        <f aca="false">IF($A220="","",IF(AND(FW220="Y",FX220="Y",Y220&amp;""&lt;&gt;""),IF(Y220&lt;=10,"Y","N"),"N"))</f>
        <v>N</v>
      </c>
      <c r="FZ220" s="0" t="str">
        <f aca="false">IF(FY220="Y",Y220,"")</f>
        <v/>
      </c>
      <c r="GA220" s="0" t="str">
        <f aca="false">IF($A220="","",IF(AND(I220="walk-in",CN220="pass",U220="new",FT220="N",FV220="N",AQ220&lt;&gt;"Y"),"Y","N"))</f>
        <v>N</v>
      </c>
      <c r="GB220" s="0" t="str">
        <f aca="false">IF(GA220&lt;&gt;"Y","",IF(COUNTIFS($GA$2:$GA$1000,"Y",$J$2:$J$1000,"&gt;"&amp;J220)+COUNTIFS($GA$2:$GA$1000,"Y",$J$2:$J$1000,J220,$GD$2:$GD$1000,"&lt;"&amp;GD220)+1&lt;=25,COUNTIFS($GA$2:$GA$1000,"Y",$J$2:$J$1000,"&gt;"&amp;J220)+COUNTIFS($GA$2:$GA$1000,"Y",$J$2:$J$1000,J220,$GD$2:$GD$1000,"&lt;"&amp;GD220)+1,""))</f>
        <v/>
      </c>
      <c r="GC220" s="0" t="str">
        <f aca="false">IF(AND(_xlfn.ISFORMULA(C220),_xlfn.ISFORMULA(J220)),"Y","N")</f>
        <v>Y</v>
      </c>
      <c r="GD220" s="0" t="n">
        <f aca="false">ROW()-1</f>
        <v>219</v>
      </c>
    </row>
    <row r="221" customFormat="false" ht="15" hidden="false" customHeight="false" outlineLevel="0" collapsed="false">
      <c r="A221" s="0" t="s">
        <v>4350</v>
      </c>
      <c r="B221" s="0" t="s">
        <v>4351</v>
      </c>
      <c r="C221" s="0" t="str">
        <f aca="false">IF($A221="","",IF(AW221="Y",BM221&amp;"",AY221&amp;""))</f>
        <v/>
      </c>
      <c r="D221" s="0" t="str">
        <f aca="false">IF($A221="","",IF(AW221="Y",BN221&amp;"",AZ221&amp;""))</f>
        <v/>
      </c>
      <c r="E221" s="0" t="str">
        <f aca="false">IF($A221="","",IF(AW221="Y",BO221&amp;"",BA221&amp;""))</f>
        <v/>
      </c>
      <c r="F221" s="0" t="str">
        <f aca="false">IF($A221="","",IF(AW221="Y",BP221&amp;"",BB221&amp;""))</f>
        <v/>
      </c>
      <c r="G221" s="0" t="str">
        <f aca="false">IF($A221="","",IF(AW221="Y",BQ221&amp;"",BC221&amp;""))</f>
        <v/>
      </c>
      <c r="H221" s="0" t="str">
        <f aca="false">IF($A221="","",IF(AW221="Y",BR221&amp;"",BD221&amp;""))</f>
        <v>none</v>
      </c>
      <c r="I221" s="0" t="str">
        <f aca="false">IF($A221="","",IF(R221="Y","warm-intro",IF(H221="verified","email",IF(C221&lt;&gt;"","linkedin",CB221&amp;""))))</f>
        <v>linkedin</v>
      </c>
      <c r="J221" s="0" t="n">
        <f aca="false">IF($A221="","",IF(CN221="pass",ROUND(N(EM221)+N(EN221)+N(EO221)+N(EP221)+N(EQ221)+N(ER221),1),0))</f>
        <v>26</v>
      </c>
      <c r="K221" s="0" t="str">
        <f aca="false">IF($A221="","",IF(CN221&lt;&gt;"pass",CA221&amp;"",CA221&amp;"; "&amp;IF(AW221="Y",BZ221&amp;"",BL221&amp;"")&amp;IF(R221="Y","; known to the founder (+15)","")&amp;"."))</f>
        <v>Tuesday headcount unknown (no sourced count), company size unknown, no attendance signal, occupancy-unconfirmed at a low-confidence address; contacts not researched yet.</v>
      </c>
      <c r="L221" s="0" t="s">
        <v>209</v>
      </c>
      <c r="R221" s="5" t="s">
        <v>189</v>
      </c>
      <c r="S221" s="0" t="s">
        <v>209</v>
      </c>
      <c r="T221" s="0" t="s">
        <v>189</v>
      </c>
      <c r="U221" s="5" t="s">
        <v>3896</v>
      </c>
      <c r="V221" s="0" t="s">
        <v>4352</v>
      </c>
      <c r="W221" s="0" t="s">
        <v>263</v>
      </c>
      <c r="X221" s="0" t="s">
        <v>3897</v>
      </c>
      <c r="Y221" s="0" t="str">
        <f aca="false">IF(FX221&lt;&gt;"Y","",COUNTIFS($FX$2:$FX$1000,"Y",$J$2:$J$1000,"&gt;"&amp;J221)+COUNTIFS($FX$2:$FX$1000,"Y",$J$2:$J$1000,J221,$GD$2:$GD$1000,"&lt;"&amp;GD221)+1)</f>
        <v/>
      </c>
      <c r="Z221" s="0" t="n">
        <v>220</v>
      </c>
      <c r="AA221" s="0" t="s">
        <v>189</v>
      </c>
      <c r="AB221" s="0" t="str">
        <f aca="false">IF($A221="","",IF(AW221="Y",BY221&amp;"",BK221&amp;""))</f>
        <v/>
      </c>
      <c r="AC221" s="0" t="str">
        <f aca="false">IF($A221="","",IF(AW221="Y",BS221&amp;"",BE221&amp;""))</f>
        <v/>
      </c>
      <c r="AD221" s="0" t="str">
        <f aca="false">IF($A221="","",IF(AW221="Y",BT221&amp;"",BF221&amp;""))</f>
        <v>none</v>
      </c>
      <c r="AE221" s="0" t="str">
        <f aca="false">IF($A221="","",IF(AW221="Y",BU221&amp;"",BG221&amp;""))</f>
        <v/>
      </c>
      <c r="AF221" s="0" t="str">
        <f aca="false">IF($A221="","",IF(AW221="Y",BV221&amp;"",BH221&amp;""))</f>
        <v/>
      </c>
      <c r="AG221" s="0" t="str">
        <f aca="false">IF($A221="","",IF(AW221="Y",BW221&amp;"",BI221&amp;""))</f>
        <v/>
      </c>
      <c r="AH221" s="0" t="str">
        <f aca="false">IF($A221="","",IF(AW221="Y",BX221&amp;"",BJ221&amp;""))</f>
        <v>none</v>
      </c>
      <c r="AI221" s="0" t="s">
        <v>2058</v>
      </c>
      <c r="AJ221" s="0" t="s">
        <v>887</v>
      </c>
      <c r="AK221" s="0" t="s">
        <v>3898</v>
      </c>
      <c r="AL221" s="0" t="s">
        <v>209</v>
      </c>
      <c r="AM221" s="0" t="s">
        <v>209</v>
      </c>
      <c r="AN221" s="0" t="s">
        <v>380</v>
      </c>
      <c r="AO221" s="0" t="s">
        <v>209</v>
      </c>
      <c r="AP221" s="0" t="s">
        <v>4350</v>
      </c>
      <c r="AQ221" s="5" t="s">
        <v>189</v>
      </c>
      <c r="AT221" s="0" t="str">
        <f aca="false">IF($A221="","",IF(AND(CN221="pass",AQ221&lt;&gt;"Y",C221&lt;&gt;"",OR(AX221&lt;&gt;"Y",AV221="Y")),"Y","N"))</f>
        <v>N</v>
      </c>
      <c r="AU221" s="0" t="str">
        <f aca="false">IF($A221="","",_xlfn.TEXTJOIN("; ",TRUE(),IF(CN221&lt;&gt;"pass","gated out",""),IF(AQ221="Y","on hold: "&amp;AR221,""),IF(C221="","no contact named on an opened page",""),IF(AND(AX221="Y",AV221&lt;&gt;"Y"),"Tuesday estimate band "&amp;L221&amp;": founder's call","")))</f>
        <v>no contact named on an opened page</v>
      </c>
      <c r="AX221" s="0" t="s">
        <v>189</v>
      </c>
      <c r="BC221" s="0" t="str">
        <f aca="false">IF($A221="","",IFERROR(INDEX(Enrichment!$A$2:$GZ$2000,MATCH($A221,INDEX(Enrichment!$A$2:$GZ$2000,0,MATCH("row_id",Enrichment!$A$1:$GZ$1,0)),0),MATCH("work_email",Enrichment!$A$1:$GZ$1,0))&amp;"",""))</f>
        <v/>
      </c>
      <c r="BD221" s="0" t="str">
        <f aca="false">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none</v>
      </c>
      <c r="BF221" s="0" t="s">
        <v>380</v>
      </c>
      <c r="BJ221" s="0" t="s">
        <v>380</v>
      </c>
      <c r="BL221" s="0" t="s">
        <v>896</v>
      </c>
      <c r="BQ221" s="0" t="str">
        <f aca="false">IF($A221="","",IFERROR(INDEX(Enrichment!$A$2:$GZ$2000,MATCH($A221,INDEX(Enrichment!$A$2:$GZ$2000,0,MATCH("row_id",Enrichment!$A$1:$GZ$1,0)),0),MATCH("backup_work_email",Enrichment!$A$1:$GZ$1,0))&amp;"",""))</f>
        <v/>
      </c>
      <c r="BR221" s="0" t="str">
        <f aca="false">IF($A221="","",IF(BQ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none</v>
      </c>
      <c r="BT221" s="0" t="s">
        <v>380</v>
      </c>
      <c r="BX221" s="0" t="s">
        <v>380</v>
      </c>
      <c r="BY221" s="0" t="s">
        <v>387</v>
      </c>
      <c r="BZ221" s="0" t="s">
        <v>388</v>
      </c>
      <c r="CA221" s="0" t="s">
        <v>4324</v>
      </c>
      <c r="CB221" s="0" t="s">
        <v>196</v>
      </c>
      <c r="CM221" s="0" t="s">
        <v>189</v>
      </c>
      <c r="CN221" s="0" t="s">
        <v>200</v>
      </c>
      <c r="CO221" s="0" t="s">
        <v>201</v>
      </c>
      <c r="CP221" s="0" t="s">
        <v>1</v>
      </c>
      <c r="CQ221" s="0" t="s">
        <v>4353</v>
      </c>
      <c r="CR221" s="0" t="s">
        <v>209</v>
      </c>
      <c r="CS221" s="0" t="s">
        <v>4354</v>
      </c>
      <c r="CT221" s="0" t="s">
        <v>209</v>
      </c>
      <c r="CV221" s="0" t="s">
        <v>209</v>
      </c>
      <c r="CW221" s="0" t="s">
        <v>209</v>
      </c>
      <c r="CX221" s="0" t="s">
        <v>2712</v>
      </c>
      <c r="DA221" s="0" t="s">
        <v>209</v>
      </c>
      <c r="DB221" s="0" t="s">
        <v>209</v>
      </c>
      <c r="DC221" s="0" t="s">
        <v>209</v>
      </c>
      <c r="DD221" s="0" t="s">
        <v>209</v>
      </c>
      <c r="DE221" s="0" t="s">
        <v>209</v>
      </c>
      <c r="DF221" s="0" t="s">
        <v>525</v>
      </c>
      <c r="DG221" s="0" t="n">
        <v>40.742477</v>
      </c>
      <c r="DH221" s="0" t="n">
        <v>-73.986608</v>
      </c>
      <c r="DI221" s="0" t="s">
        <v>164</v>
      </c>
      <c r="DJ221" s="0" t="n">
        <v>0</v>
      </c>
      <c r="DK221" s="0" t="s">
        <v>1882</v>
      </c>
      <c r="DL221" s="0" t="s">
        <v>1883</v>
      </c>
      <c r="DM221" s="0" t="s">
        <v>4352</v>
      </c>
      <c r="DN221" s="0" t="s">
        <v>4355</v>
      </c>
      <c r="DO221" s="0" t="s">
        <v>363</v>
      </c>
      <c r="DS221" s="0" t="s">
        <v>187</v>
      </c>
      <c r="DU221" s="0" t="s">
        <v>189</v>
      </c>
      <c r="DX221" s="0" t="s">
        <v>267</v>
      </c>
      <c r="DY221" s="0" t="s">
        <v>1888</v>
      </c>
      <c r="EA221" s="0" t="s">
        <v>209</v>
      </c>
      <c r="EB221" s="0" t="s">
        <v>189</v>
      </c>
      <c r="EC221" s="0" t="s">
        <v>209</v>
      </c>
      <c r="EF221" s="0" t="s">
        <v>209</v>
      </c>
      <c r="EH221" s="0" t="s">
        <v>189</v>
      </c>
      <c r="EI221" s="0" t="s">
        <v>2716</v>
      </c>
      <c r="EJ221" s="0" t="s">
        <v>221</v>
      </c>
      <c r="EK221" s="0" t="s">
        <v>209</v>
      </c>
      <c r="EL221" s="0" t="n">
        <v>26</v>
      </c>
      <c r="EM221" s="0" t="n">
        <v>7</v>
      </c>
      <c r="EN221" s="0" t="n">
        <v>8</v>
      </c>
      <c r="EO221" s="0" t="n">
        <v>6</v>
      </c>
      <c r="EP221" s="0" t="n">
        <v>5</v>
      </c>
      <c r="EQ221" s="0" t="n">
        <f aca="false">IF($A221="","",IF(AH221="exact",10,IF(AH221="adjacent",5,0)))</f>
        <v>0</v>
      </c>
      <c r="ER221" s="0" t="n">
        <f aca="false">IF($A221="","",IF(R221="Y",15,0))</f>
        <v>0</v>
      </c>
      <c r="ES221" s="0" t="s">
        <v>222</v>
      </c>
      <c r="EV221" s="0" t="s">
        <v>4356</v>
      </c>
      <c r="EW221" s="0" t="s">
        <v>224</v>
      </c>
      <c r="EX221" s="0" t="s">
        <v>4357</v>
      </c>
      <c r="FS221" s="0" t="str">
        <f aca="false">IF($A221="","",IF(ISNUMBER(MATCH(U221,{"queued","contacted","replied","call_booked","call_done","yes_in_principle","materials_sent"},0)),"Y","N"))</f>
        <v>N</v>
      </c>
      <c r="FT221" s="0" t="str">
        <f aca="false">IF($A221="","",IF(OR(T221="Y",U221="do_not_contact",AS221&amp;""&lt;&gt;""),"Y","N"))</f>
        <v>N</v>
      </c>
      <c r="FU221" s="0" t="str">
        <f aca="false">IF($A221="","",IF(AP221&amp;""&lt;&gt;"",AP221&amp;"",$A221))</f>
        <v>AO-C-113</v>
      </c>
      <c r="FV221" s="0" t="str">
        <f aca="false">IF($A221="","",IF(COUNTIFS($FU$2:$FU$1000,FU221,$FS$2:$FS$1000,"Y")+COUNTIFS($FU$2:$FU$1000,FU221,$FT$2:$FT$1000,"Y")&gt;0,"Y","N"))</f>
        <v>N</v>
      </c>
      <c r="FW221" s="0" t="str">
        <f aca="false">IF($A221="","",IF(AND(U221="new",T221="N",FT221="N",AT221="Y",FV221="N"),"Y","N"))</f>
        <v>N</v>
      </c>
      <c r="FX221" s="0" t="str">
        <f aca="false">IF($A221="","",IF(FW221&lt;&gt;"Y","N",IF(COUNTIFS($FU$2:$FU$1000,FU221,$FW$2:$FW$1000,"Y",$J$2:$J$1000,"&gt;"&amp;J221)+COUNTIFS($FU$2:$FU$1000,FU221,$FW$2:$FW$1000,"Y",$J$2:$J$1000,J221,$GD$2:$GD$1000,"&lt;"&amp;GD221)=0,"Y","N")))</f>
        <v>N</v>
      </c>
      <c r="FY221" s="0" t="str">
        <f aca="false">IF($A221="","",IF(AND(FW221="Y",FX221="Y",Y221&amp;""&lt;&gt;""),IF(Y221&lt;=10,"Y","N"),"N"))</f>
        <v>N</v>
      </c>
      <c r="FZ221" s="0" t="str">
        <f aca="false">IF(FY221="Y",Y221,"")</f>
        <v/>
      </c>
      <c r="GA221" s="0" t="str">
        <f aca="false">IF($A221="","",IF(AND(I221="walk-in",CN221="pass",U221="new",FT221="N",FV221="N",AQ221&lt;&gt;"Y"),"Y","N"))</f>
        <v>N</v>
      </c>
      <c r="GB221" s="0" t="str">
        <f aca="false">IF(GA221&lt;&gt;"Y","",IF(COUNTIFS($GA$2:$GA$1000,"Y",$J$2:$J$1000,"&gt;"&amp;J221)+COUNTIFS($GA$2:$GA$1000,"Y",$J$2:$J$1000,J221,$GD$2:$GD$1000,"&lt;"&amp;GD221)+1&lt;=25,COUNTIFS($GA$2:$GA$1000,"Y",$J$2:$J$1000,"&gt;"&amp;J221)+COUNTIFS($GA$2:$GA$1000,"Y",$J$2:$J$1000,J221,$GD$2:$GD$1000,"&lt;"&amp;GD221)+1,""))</f>
        <v/>
      </c>
      <c r="GC221" s="0" t="str">
        <f aca="false">IF(AND(_xlfn.ISFORMULA(C221),_xlfn.ISFORMULA(J221)),"Y","N")</f>
        <v>Y</v>
      </c>
      <c r="GD221" s="0" t="n">
        <f aca="false">ROW()-1</f>
        <v>220</v>
      </c>
    </row>
    <row r="222" customFormat="false" ht="15" hidden="false" customHeight="false" outlineLevel="0" collapsed="false">
      <c r="A222" s="0" t="s">
        <v>4358</v>
      </c>
      <c r="B222" s="0" t="s">
        <v>4359</v>
      </c>
      <c r="C222" s="0" t="str">
        <f aca="false">IF($A222="","",IF(AW222="Y",BM222&amp;"",AY222&amp;""))</f>
        <v/>
      </c>
      <c r="D222" s="0" t="str">
        <f aca="false">IF($A222="","",IF(AW222="Y",BN222&amp;"",AZ222&amp;""))</f>
        <v/>
      </c>
      <c r="E222" s="0" t="str">
        <f aca="false">IF($A222="","",IF(AW222="Y",BO222&amp;"",BA222&amp;""))</f>
        <v/>
      </c>
      <c r="F222" s="0" t="str">
        <f aca="false">IF($A222="","",IF(AW222="Y",BP222&amp;"",BB222&amp;""))</f>
        <v/>
      </c>
      <c r="G222" s="0" t="str">
        <f aca="false">IF($A222="","",IF(AW222="Y",BQ222&amp;"",BC222&amp;""))</f>
        <v/>
      </c>
      <c r="H222" s="0" t="str">
        <f aca="false">IF($A222="","",IF(AW222="Y",BR222&amp;"",BD222&amp;""))</f>
        <v>none</v>
      </c>
      <c r="I222" s="0" t="str">
        <f aca="false">IF($A222="","",IF(R222="Y","warm-intro",IF(H222="verified","email",IF(C222&lt;&gt;"","linkedin",CB222&amp;""))))</f>
        <v>linkedin</v>
      </c>
      <c r="J222" s="0" t="n">
        <f aca="false">IF($A222="","",IF(CN222="pass",ROUND(N(EM222)+N(EN222)+N(EO222)+N(EP222)+N(EQ222)+N(ER222),1),0))</f>
        <v>26</v>
      </c>
      <c r="K222" s="0" t="str">
        <f aca="false">IF($A222="","",IF(CN222&lt;&gt;"pass",CA222&amp;"",CA222&amp;"; "&amp;IF(AW222="Y",BZ222&amp;"",BL222&amp;"")&amp;IF(R222="Y","; known to the founder (+15)","")&amp;"."))</f>
        <v>Tuesday headcount unknown (no sourced count), company size unknown, no attendance signal, occupancy-unconfirmed at a low-confidence address; contacts not researched yet.</v>
      </c>
      <c r="L222" s="0" t="s">
        <v>209</v>
      </c>
      <c r="R222" s="5" t="s">
        <v>189</v>
      </c>
      <c r="S222" s="0" t="s">
        <v>209</v>
      </c>
      <c r="T222" s="0" t="s">
        <v>189</v>
      </c>
      <c r="U222" s="5" t="s">
        <v>3896</v>
      </c>
      <c r="V222" s="0" t="s">
        <v>4360</v>
      </c>
      <c r="W222" s="0" t="s">
        <v>263</v>
      </c>
      <c r="X222" s="0" t="s">
        <v>3897</v>
      </c>
      <c r="Y222" s="0" t="str">
        <f aca="false">IF(FX222&lt;&gt;"Y","",COUNTIFS($FX$2:$FX$1000,"Y",$J$2:$J$1000,"&gt;"&amp;J222)+COUNTIFS($FX$2:$FX$1000,"Y",$J$2:$J$1000,J222,$GD$2:$GD$1000,"&lt;"&amp;GD222)+1)</f>
        <v/>
      </c>
      <c r="Z222" s="0" t="n">
        <v>221</v>
      </c>
      <c r="AA222" s="0" t="s">
        <v>189</v>
      </c>
      <c r="AB222" s="0" t="str">
        <f aca="false">IF($A222="","",IF(AW222="Y",BY222&amp;"",BK222&amp;""))</f>
        <v/>
      </c>
      <c r="AC222" s="0" t="str">
        <f aca="false">IF($A222="","",IF(AW222="Y",BS222&amp;"",BE222&amp;""))</f>
        <v/>
      </c>
      <c r="AD222" s="0" t="str">
        <f aca="false">IF($A222="","",IF(AW222="Y",BT222&amp;"",BF222&amp;""))</f>
        <v>none</v>
      </c>
      <c r="AE222" s="0" t="str">
        <f aca="false">IF($A222="","",IF(AW222="Y",BU222&amp;"",BG222&amp;""))</f>
        <v/>
      </c>
      <c r="AF222" s="0" t="str">
        <f aca="false">IF($A222="","",IF(AW222="Y",BV222&amp;"",BH222&amp;""))</f>
        <v/>
      </c>
      <c r="AG222" s="0" t="str">
        <f aca="false">IF($A222="","",IF(AW222="Y",BW222&amp;"",BI222&amp;""))</f>
        <v/>
      </c>
      <c r="AH222" s="0" t="str">
        <f aca="false">IF($A222="","",IF(AW222="Y",BX222&amp;"",BJ222&amp;""))</f>
        <v>none</v>
      </c>
      <c r="AI222" s="0" t="s">
        <v>3253</v>
      </c>
      <c r="AJ222" s="0" t="s">
        <v>209</v>
      </c>
      <c r="AK222" s="0" t="s">
        <v>3898</v>
      </c>
      <c r="AL222" s="0" t="s">
        <v>209</v>
      </c>
      <c r="AM222" s="0" t="s">
        <v>209</v>
      </c>
      <c r="AN222" s="0" t="s">
        <v>380</v>
      </c>
      <c r="AO222" s="0" t="s">
        <v>209</v>
      </c>
      <c r="AP222" s="0" t="s">
        <v>4358</v>
      </c>
      <c r="AQ222" s="5" t="s">
        <v>189</v>
      </c>
      <c r="AT222" s="0" t="str">
        <f aca="false">IF($A222="","",IF(AND(CN222="pass",AQ222&lt;&gt;"Y",C222&lt;&gt;"",OR(AX222&lt;&gt;"Y",AV222="Y")),"Y","N"))</f>
        <v>N</v>
      </c>
      <c r="AU222" s="0" t="str">
        <f aca="false">IF($A222="","",_xlfn.TEXTJOIN("; ",TRUE(),IF(CN222&lt;&gt;"pass","gated out",""),IF(AQ222="Y","on hold: "&amp;AR222,""),IF(C222="","no contact named on an opened page",""),IF(AND(AX222="Y",AV222&lt;&gt;"Y"),"Tuesday estimate band "&amp;L222&amp;": founder's call","")))</f>
        <v>no contact named on an opened page</v>
      </c>
      <c r="AX222" s="0" t="s">
        <v>189</v>
      </c>
      <c r="BC222" s="0" t="str">
        <f aca="false">IF($A222="","",IFERROR(INDEX(Enrichment!$A$2:$GZ$2000,MATCH($A222,INDEX(Enrichment!$A$2:$GZ$2000,0,MATCH("row_id",Enrichment!$A$1:$GZ$1,0)),0),MATCH("work_email",Enrichment!$A$1:$GZ$1,0))&amp;"",""))</f>
        <v/>
      </c>
      <c r="BD222" s="0" t="str">
        <f aca="false">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none</v>
      </c>
      <c r="BF222" s="0" t="s">
        <v>380</v>
      </c>
      <c r="BJ222" s="0" t="s">
        <v>380</v>
      </c>
      <c r="BL222" s="0" t="s">
        <v>896</v>
      </c>
      <c r="BQ222" s="0" t="str">
        <f aca="false">IF($A222="","",IFERROR(INDEX(Enrichment!$A$2:$GZ$2000,MATCH($A222,INDEX(Enrichment!$A$2:$GZ$2000,0,MATCH("row_id",Enrichment!$A$1:$GZ$1,0)),0),MATCH("backup_work_email",Enrichment!$A$1:$GZ$1,0))&amp;"",""))</f>
        <v/>
      </c>
      <c r="BR222" s="0" t="str">
        <f aca="false">IF($A222="","",IF(BQ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none</v>
      </c>
      <c r="BT222" s="0" t="s">
        <v>380</v>
      </c>
      <c r="BX222" s="0" t="s">
        <v>380</v>
      </c>
      <c r="BY222" s="0" t="s">
        <v>387</v>
      </c>
      <c r="BZ222" s="0" t="s">
        <v>388</v>
      </c>
      <c r="CA222" s="0" t="s">
        <v>4324</v>
      </c>
      <c r="CB222" s="0" t="s">
        <v>196</v>
      </c>
      <c r="CM222" s="0" t="s">
        <v>189</v>
      </c>
      <c r="CN222" s="0" t="s">
        <v>200</v>
      </c>
      <c r="CO222" s="0" t="s">
        <v>201</v>
      </c>
      <c r="CP222" s="0" t="s">
        <v>1</v>
      </c>
      <c r="CQ222" s="0" t="s">
        <v>4361</v>
      </c>
      <c r="CR222" s="0" t="s">
        <v>4362</v>
      </c>
      <c r="CS222" s="0" t="s">
        <v>4363</v>
      </c>
      <c r="CT222" s="0" t="s">
        <v>209</v>
      </c>
      <c r="CV222" s="0" t="s">
        <v>209</v>
      </c>
      <c r="CW222" s="0" t="s">
        <v>209</v>
      </c>
      <c r="CX222" s="0" t="s">
        <v>2712</v>
      </c>
      <c r="DA222" s="0" t="s">
        <v>209</v>
      </c>
      <c r="DB222" s="0" t="s">
        <v>209</v>
      </c>
      <c r="DC222" s="0" t="s">
        <v>209</v>
      </c>
      <c r="DD222" s="0" t="s">
        <v>209</v>
      </c>
      <c r="DE222" s="0" t="s">
        <v>4364</v>
      </c>
      <c r="DF222" s="0" t="s">
        <v>311</v>
      </c>
      <c r="DG222" s="0" t="n">
        <v>40.7425</v>
      </c>
      <c r="DH222" s="0" t="n">
        <v>-73.984446</v>
      </c>
      <c r="DI222" s="0" t="s">
        <v>164</v>
      </c>
      <c r="DJ222" s="0" t="n">
        <v>0</v>
      </c>
      <c r="DK222" s="0" t="s">
        <v>3258</v>
      </c>
      <c r="DL222" s="0" t="s">
        <v>3259</v>
      </c>
      <c r="DM222" s="0" t="s">
        <v>4360</v>
      </c>
      <c r="DN222" s="0" t="s">
        <v>4365</v>
      </c>
      <c r="DO222" s="0" t="s">
        <v>363</v>
      </c>
      <c r="DS222" s="0" t="s">
        <v>187</v>
      </c>
      <c r="DU222" s="0" t="s">
        <v>189</v>
      </c>
      <c r="DX222" s="0" t="s">
        <v>209</v>
      </c>
      <c r="EA222" s="0" t="s">
        <v>209</v>
      </c>
      <c r="EB222" s="0" t="s">
        <v>189</v>
      </c>
      <c r="EC222" s="0" t="s">
        <v>209</v>
      </c>
      <c r="EF222" s="0" t="s">
        <v>209</v>
      </c>
      <c r="EH222" s="0" t="s">
        <v>189</v>
      </c>
      <c r="EI222" s="0" t="s">
        <v>2716</v>
      </c>
      <c r="EJ222" s="0" t="s">
        <v>221</v>
      </c>
      <c r="EK222" s="0" t="s">
        <v>209</v>
      </c>
      <c r="EL222" s="0" t="n">
        <v>26</v>
      </c>
      <c r="EM222" s="0" t="n">
        <v>7</v>
      </c>
      <c r="EN222" s="0" t="n">
        <v>8</v>
      </c>
      <c r="EO222" s="0" t="n">
        <v>6</v>
      </c>
      <c r="EP222" s="0" t="n">
        <v>5</v>
      </c>
      <c r="EQ222" s="0" t="n">
        <f aca="false">IF($A222="","",IF(AH222="exact",10,IF(AH222="adjacent",5,0)))</f>
        <v>0</v>
      </c>
      <c r="ER222" s="0" t="n">
        <f aca="false">IF($A222="","",IF(R222="Y",15,0))</f>
        <v>0</v>
      </c>
      <c r="ES222" s="0" t="s">
        <v>222</v>
      </c>
      <c r="EV222" s="0" t="s">
        <v>3300</v>
      </c>
      <c r="EW222" s="0" t="s">
        <v>224</v>
      </c>
      <c r="EX222" s="0" t="s">
        <v>4366</v>
      </c>
      <c r="EZ222" s="0" t="s">
        <v>4367</v>
      </c>
      <c r="FS222" s="0" t="str">
        <f aca="false">IF($A222="","",IF(ISNUMBER(MATCH(U222,{"queued","contacted","replied","call_booked","call_done","yes_in_principle","materials_sent"},0)),"Y","N"))</f>
        <v>N</v>
      </c>
      <c r="FT222" s="0" t="str">
        <f aca="false">IF($A222="","",IF(OR(T222="Y",U222="do_not_contact",AS222&amp;""&lt;&gt;""),"Y","N"))</f>
        <v>N</v>
      </c>
      <c r="FU222" s="0" t="str">
        <f aca="false">IF($A222="","",IF(AP222&amp;""&lt;&gt;"",AP222&amp;"",$A222))</f>
        <v>AO-C-147</v>
      </c>
      <c r="FV222" s="0" t="str">
        <f aca="false">IF($A222="","",IF(COUNTIFS($FU$2:$FU$1000,FU222,$FS$2:$FS$1000,"Y")+COUNTIFS($FU$2:$FU$1000,FU222,$FT$2:$FT$1000,"Y")&gt;0,"Y","N"))</f>
        <v>N</v>
      </c>
      <c r="FW222" s="0" t="str">
        <f aca="false">IF($A222="","",IF(AND(U222="new",T222="N",FT222="N",AT222="Y",FV222="N"),"Y","N"))</f>
        <v>N</v>
      </c>
      <c r="FX222" s="0" t="str">
        <f aca="false">IF($A222="","",IF(FW222&lt;&gt;"Y","N",IF(COUNTIFS($FU$2:$FU$1000,FU222,$FW$2:$FW$1000,"Y",$J$2:$J$1000,"&gt;"&amp;J222)+COUNTIFS($FU$2:$FU$1000,FU222,$FW$2:$FW$1000,"Y",$J$2:$J$1000,J222,$GD$2:$GD$1000,"&lt;"&amp;GD222)=0,"Y","N")))</f>
        <v>N</v>
      </c>
      <c r="FY222" s="0" t="str">
        <f aca="false">IF($A222="","",IF(AND(FW222="Y",FX222="Y",Y222&amp;""&lt;&gt;""),IF(Y222&lt;=10,"Y","N"),"N"))</f>
        <v>N</v>
      </c>
      <c r="FZ222" s="0" t="str">
        <f aca="false">IF(FY222="Y",Y222,"")</f>
        <v/>
      </c>
      <c r="GA222" s="0" t="str">
        <f aca="false">IF($A222="","",IF(AND(I222="walk-in",CN222="pass",U222="new",FT222="N",FV222="N",AQ222&lt;&gt;"Y"),"Y","N"))</f>
        <v>N</v>
      </c>
      <c r="GB222" s="0" t="str">
        <f aca="false">IF(GA222&lt;&gt;"Y","",IF(COUNTIFS($GA$2:$GA$1000,"Y",$J$2:$J$1000,"&gt;"&amp;J222)+COUNTIFS($GA$2:$GA$1000,"Y",$J$2:$J$1000,J222,$GD$2:$GD$1000,"&lt;"&amp;GD222)+1&lt;=25,COUNTIFS($GA$2:$GA$1000,"Y",$J$2:$J$1000,"&gt;"&amp;J222)+COUNTIFS($GA$2:$GA$1000,"Y",$J$2:$J$1000,J222,$GD$2:$GD$1000,"&lt;"&amp;GD222)+1,""))</f>
        <v/>
      </c>
      <c r="GC222" s="0" t="str">
        <f aca="false">IF(AND(_xlfn.ISFORMULA(C222),_xlfn.ISFORMULA(J222)),"Y","N")</f>
        <v>Y</v>
      </c>
      <c r="GD222" s="0" t="n">
        <f aca="false">ROW()-1</f>
        <v>221</v>
      </c>
    </row>
    <row r="223" customFormat="false" ht="15" hidden="false" customHeight="false" outlineLevel="0" collapsed="false">
      <c r="A223" s="0" t="s">
        <v>4368</v>
      </c>
      <c r="B223" s="0" t="s">
        <v>4369</v>
      </c>
      <c r="C223" s="0" t="str">
        <f aca="false">IF($A223="","",IF(AW223="Y",BM223&amp;"",AY223&amp;""))</f>
        <v/>
      </c>
      <c r="D223" s="0" t="str">
        <f aca="false">IF($A223="","",IF(AW223="Y",BN223&amp;"",AZ223&amp;""))</f>
        <v/>
      </c>
      <c r="E223" s="0" t="str">
        <f aca="false">IF($A223="","",IF(AW223="Y",BO223&amp;"",BA223&amp;""))</f>
        <v/>
      </c>
      <c r="F223" s="0" t="str">
        <f aca="false">IF($A223="","",IF(AW223="Y",BP223&amp;"",BB223&amp;""))</f>
        <v/>
      </c>
      <c r="G223" s="0" t="str">
        <f aca="false">IF($A223="","",IF(AW223="Y",BQ223&amp;"",BC223&amp;""))</f>
        <v/>
      </c>
      <c r="H223" s="0" t="str">
        <f aca="false">IF($A223="","",IF(AW223="Y",BR223&amp;"",BD223&amp;""))</f>
        <v>none</v>
      </c>
      <c r="I223" s="0" t="str">
        <f aca="false">IF($A223="","",IF(R223="Y","warm-intro",IF(H223="verified","email",IF(C223&lt;&gt;"","linkedin",CB223&amp;""))))</f>
        <v>linkedin</v>
      </c>
      <c r="J223" s="0" t="n">
        <f aca="false">IF($A223="","",IF(CN223="pass",ROUND(N(EM223)+N(EN223)+N(EO223)+N(EP223)+N(EQ223)+N(ER223),1),0))</f>
        <v>26</v>
      </c>
      <c r="K223" s="0" t="str">
        <f aca="false">IF($A223="","",IF(CN223&lt;&gt;"pass",CA223&amp;"",CA223&amp;"; "&amp;IF(AW223="Y",BZ223&amp;"",BL223&amp;"")&amp;IF(R223="Y","; known to the founder (+15)","")&amp;"."))</f>
        <v>Tuesday headcount unknown (no sourced count), company size unknown, no attendance signal, occupancy-unconfirmed at a low-confidence address; contacts not researched yet.</v>
      </c>
      <c r="L223" s="0" t="s">
        <v>209</v>
      </c>
      <c r="R223" s="5" t="s">
        <v>189</v>
      </c>
      <c r="S223" s="0" t="s">
        <v>209</v>
      </c>
      <c r="T223" s="0" t="s">
        <v>189</v>
      </c>
      <c r="U223" s="5" t="s">
        <v>3896</v>
      </c>
      <c r="V223" s="0" t="s">
        <v>4370</v>
      </c>
      <c r="W223" s="0" t="s">
        <v>263</v>
      </c>
      <c r="X223" s="0" t="s">
        <v>3897</v>
      </c>
      <c r="Y223" s="0" t="str">
        <f aca="false">IF(FX223&lt;&gt;"Y","",COUNTIFS($FX$2:$FX$1000,"Y",$J$2:$J$1000,"&gt;"&amp;J223)+COUNTIFS($FX$2:$FX$1000,"Y",$J$2:$J$1000,J223,$GD$2:$GD$1000,"&lt;"&amp;GD223)+1)</f>
        <v/>
      </c>
      <c r="Z223" s="0" t="n">
        <v>222</v>
      </c>
      <c r="AA223" s="0" t="s">
        <v>189</v>
      </c>
      <c r="AB223" s="0" t="str">
        <f aca="false">IF($A223="","",IF(AW223="Y",BY223&amp;"",BK223&amp;""))</f>
        <v/>
      </c>
      <c r="AC223" s="0" t="str">
        <f aca="false">IF($A223="","",IF(AW223="Y",BS223&amp;"",BE223&amp;""))</f>
        <v/>
      </c>
      <c r="AD223" s="0" t="str">
        <f aca="false">IF($A223="","",IF(AW223="Y",BT223&amp;"",BF223&amp;""))</f>
        <v>none</v>
      </c>
      <c r="AE223" s="0" t="str">
        <f aca="false">IF($A223="","",IF(AW223="Y",BU223&amp;"",BG223&amp;""))</f>
        <v/>
      </c>
      <c r="AF223" s="0" t="str">
        <f aca="false">IF($A223="","",IF(AW223="Y",BV223&amp;"",BH223&amp;""))</f>
        <v/>
      </c>
      <c r="AG223" s="0" t="str">
        <f aca="false">IF($A223="","",IF(AW223="Y",BW223&amp;"",BI223&amp;""))</f>
        <v/>
      </c>
      <c r="AH223" s="0" t="str">
        <f aca="false">IF($A223="","",IF(AW223="Y",BX223&amp;"",BJ223&amp;""))</f>
        <v>none</v>
      </c>
      <c r="AI223" s="0" t="s">
        <v>4371</v>
      </c>
      <c r="AJ223" s="0" t="s">
        <v>508</v>
      </c>
      <c r="AK223" s="0" t="s">
        <v>3898</v>
      </c>
      <c r="AL223" s="0" t="s">
        <v>209</v>
      </c>
      <c r="AM223" s="0" t="s">
        <v>209</v>
      </c>
      <c r="AN223" s="0" t="s">
        <v>380</v>
      </c>
      <c r="AO223" s="0" t="s">
        <v>209</v>
      </c>
      <c r="AP223" s="0" t="s">
        <v>4368</v>
      </c>
      <c r="AQ223" s="5" t="s">
        <v>189</v>
      </c>
      <c r="AT223" s="0" t="str">
        <f aca="false">IF($A223="","",IF(AND(CN223="pass",AQ223&lt;&gt;"Y",C223&lt;&gt;"",OR(AX223&lt;&gt;"Y",AV223="Y")),"Y","N"))</f>
        <v>N</v>
      </c>
      <c r="AU223" s="0" t="str">
        <f aca="false">IF($A223="","",_xlfn.TEXTJOIN("; ",TRUE(),IF(CN223&lt;&gt;"pass","gated out",""),IF(AQ223="Y","on hold: "&amp;AR223,""),IF(C223="","no contact named on an opened page",""),IF(AND(AX223="Y",AV223&lt;&gt;"Y"),"Tuesday estimate band "&amp;L223&amp;": founder's call","")))</f>
        <v>no contact named on an opened page</v>
      </c>
      <c r="AX223" s="0" t="s">
        <v>189</v>
      </c>
      <c r="BC223" s="0" t="str">
        <f aca="false">IF($A223="","",IFERROR(INDEX(Enrichment!$A$2:$GZ$2000,MATCH($A223,INDEX(Enrichment!$A$2:$GZ$2000,0,MATCH("row_id",Enrichment!$A$1:$GZ$1,0)),0),MATCH("work_email",Enrichment!$A$1:$GZ$1,0))&amp;"",""))</f>
        <v/>
      </c>
      <c r="BD223" s="0" t="str">
        <f aca="false">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none</v>
      </c>
      <c r="BF223" s="0" t="s">
        <v>380</v>
      </c>
      <c r="BJ223" s="0" t="s">
        <v>380</v>
      </c>
      <c r="BL223" s="0" t="s">
        <v>896</v>
      </c>
      <c r="BQ223" s="0" t="str">
        <f aca="false">IF($A223="","",IFERROR(INDEX(Enrichment!$A$2:$GZ$2000,MATCH($A223,INDEX(Enrichment!$A$2:$GZ$2000,0,MATCH("row_id",Enrichment!$A$1:$GZ$1,0)),0),MATCH("backup_work_email",Enrichment!$A$1:$GZ$1,0))&amp;"",""))</f>
        <v/>
      </c>
      <c r="BR223" s="0" t="str">
        <f aca="false">IF($A223="","",IF(BQ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none</v>
      </c>
      <c r="BT223" s="0" t="s">
        <v>380</v>
      </c>
      <c r="BX223" s="0" t="s">
        <v>380</v>
      </c>
      <c r="BY223" s="0" t="s">
        <v>387</v>
      </c>
      <c r="BZ223" s="0" t="s">
        <v>388</v>
      </c>
      <c r="CA223" s="0" t="s">
        <v>4324</v>
      </c>
      <c r="CB223" s="0" t="s">
        <v>196</v>
      </c>
      <c r="CM223" s="0" t="s">
        <v>189</v>
      </c>
      <c r="CN223" s="0" t="s">
        <v>200</v>
      </c>
      <c r="CO223" s="0" t="s">
        <v>201</v>
      </c>
      <c r="CP223" s="0" t="s">
        <v>1</v>
      </c>
      <c r="CQ223" s="0" t="s">
        <v>4372</v>
      </c>
      <c r="CR223" s="0" t="s">
        <v>209</v>
      </c>
      <c r="CS223" s="0" t="s">
        <v>4373</v>
      </c>
      <c r="CT223" s="0" t="s">
        <v>209</v>
      </c>
      <c r="CV223" s="0" t="s">
        <v>209</v>
      </c>
      <c r="CW223" s="0" t="s">
        <v>209</v>
      </c>
      <c r="CX223" s="0" t="s">
        <v>2712</v>
      </c>
      <c r="DA223" s="0" t="s">
        <v>209</v>
      </c>
      <c r="DB223" s="0" t="s">
        <v>209</v>
      </c>
      <c r="DC223" s="0" t="s">
        <v>209</v>
      </c>
      <c r="DD223" s="0" t="s">
        <v>209</v>
      </c>
      <c r="DE223" s="0" t="s">
        <v>209</v>
      </c>
      <c r="DF223" s="0" t="s">
        <v>525</v>
      </c>
      <c r="DG223" s="0" t="n">
        <v>40.744624</v>
      </c>
      <c r="DH223" s="0" t="n">
        <v>-73.990418</v>
      </c>
      <c r="DI223" s="0" t="s">
        <v>164</v>
      </c>
      <c r="DJ223" s="0" t="n">
        <v>0</v>
      </c>
      <c r="DK223" s="0" t="s">
        <v>4374</v>
      </c>
      <c r="DL223" s="0" t="s">
        <v>4371</v>
      </c>
      <c r="DM223" s="0" t="s">
        <v>4370</v>
      </c>
      <c r="DN223" s="0" t="s">
        <v>4375</v>
      </c>
      <c r="DO223" s="0" t="s">
        <v>363</v>
      </c>
      <c r="DS223" s="0" t="s">
        <v>187</v>
      </c>
      <c r="DU223" s="0" t="s">
        <v>189</v>
      </c>
      <c r="DX223" s="0" t="s">
        <v>209</v>
      </c>
      <c r="EA223" s="0" t="s">
        <v>209</v>
      </c>
      <c r="EB223" s="0" t="s">
        <v>189</v>
      </c>
      <c r="EC223" s="0" t="s">
        <v>209</v>
      </c>
      <c r="EF223" s="0" t="s">
        <v>209</v>
      </c>
      <c r="EH223" s="0" t="s">
        <v>189</v>
      </c>
      <c r="EI223" s="0" t="s">
        <v>2716</v>
      </c>
      <c r="EJ223" s="0" t="s">
        <v>221</v>
      </c>
      <c r="EK223" s="0" t="s">
        <v>209</v>
      </c>
      <c r="EL223" s="0" t="n">
        <v>26</v>
      </c>
      <c r="EM223" s="0" t="n">
        <v>7</v>
      </c>
      <c r="EN223" s="0" t="n">
        <v>8</v>
      </c>
      <c r="EO223" s="0" t="n">
        <v>6</v>
      </c>
      <c r="EP223" s="0" t="n">
        <v>5</v>
      </c>
      <c r="EQ223" s="0" t="n">
        <f aca="false">IF($A223="","",IF(AH223="exact",10,IF(AH223="adjacent",5,0)))</f>
        <v>0</v>
      </c>
      <c r="ER223" s="0" t="n">
        <f aca="false">IF($A223="","",IF(R223="Y",15,0))</f>
        <v>0</v>
      </c>
      <c r="ES223" s="0" t="s">
        <v>222</v>
      </c>
      <c r="EV223" s="0" t="s">
        <v>4376</v>
      </c>
      <c r="EW223" s="0" t="s">
        <v>224</v>
      </c>
      <c r="EX223" s="0" t="s">
        <v>4377</v>
      </c>
      <c r="FS223" s="0" t="str">
        <f aca="false">IF($A223="","",IF(ISNUMBER(MATCH(U223,{"queued","contacted","replied","call_booked","call_done","yes_in_principle","materials_sent"},0)),"Y","N"))</f>
        <v>N</v>
      </c>
      <c r="FT223" s="0" t="str">
        <f aca="false">IF($A223="","",IF(OR(T223="Y",U223="do_not_contact",AS223&amp;""&lt;&gt;""),"Y","N"))</f>
        <v>N</v>
      </c>
      <c r="FU223" s="0" t="str">
        <f aca="false">IF($A223="","",IF(AP223&amp;""&lt;&gt;"",AP223&amp;"",$A223))</f>
        <v>AO-C-126</v>
      </c>
      <c r="FV223" s="0" t="str">
        <f aca="false">IF($A223="","",IF(COUNTIFS($FU$2:$FU$1000,FU223,$FS$2:$FS$1000,"Y")+COUNTIFS($FU$2:$FU$1000,FU223,$FT$2:$FT$1000,"Y")&gt;0,"Y","N"))</f>
        <v>N</v>
      </c>
      <c r="FW223" s="0" t="str">
        <f aca="false">IF($A223="","",IF(AND(U223="new",T223="N",FT223="N",AT223="Y",FV223="N"),"Y","N"))</f>
        <v>N</v>
      </c>
      <c r="FX223" s="0" t="str">
        <f aca="false">IF($A223="","",IF(FW223&lt;&gt;"Y","N",IF(COUNTIFS($FU$2:$FU$1000,FU223,$FW$2:$FW$1000,"Y",$J$2:$J$1000,"&gt;"&amp;J223)+COUNTIFS($FU$2:$FU$1000,FU223,$FW$2:$FW$1000,"Y",$J$2:$J$1000,J223,$GD$2:$GD$1000,"&lt;"&amp;GD223)=0,"Y","N")))</f>
        <v>N</v>
      </c>
      <c r="FY223" s="0" t="str">
        <f aca="false">IF($A223="","",IF(AND(FW223="Y",FX223="Y",Y223&amp;""&lt;&gt;""),IF(Y223&lt;=10,"Y","N"),"N"))</f>
        <v>N</v>
      </c>
      <c r="FZ223" s="0" t="str">
        <f aca="false">IF(FY223="Y",Y223,"")</f>
        <v/>
      </c>
      <c r="GA223" s="0" t="str">
        <f aca="false">IF($A223="","",IF(AND(I223="walk-in",CN223="pass",U223="new",FT223="N",FV223="N",AQ223&lt;&gt;"Y"),"Y","N"))</f>
        <v>N</v>
      </c>
      <c r="GB223" s="0" t="str">
        <f aca="false">IF(GA223&lt;&gt;"Y","",IF(COUNTIFS($GA$2:$GA$1000,"Y",$J$2:$J$1000,"&gt;"&amp;J223)+COUNTIFS($GA$2:$GA$1000,"Y",$J$2:$J$1000,J223,$GD$2:$GD$1000,"&lt;"&amp;GD223)+1&lt;=25,COUNTIFS($GA$2:$GA$1000,"Y",$J$2:$J$1000,"&gt;"&amp;J223)+COUNTIFS($GA$2:$GA$1000,"Y",$J$2:$J$1000,J223,$GD$2:$GD$1000,"&lt;"&amp;GD223)+1,""))</f>
        <v/>
      </c>
      <c r="GC223" s="0" t="str">
        <f aca="false">IF(AND(_xlfn.ISFORMULA(C223),_xlfn.ISFORMULA(J223)),"Y","N")</f>
        <v>Y</v>
      </c>
      <c r="GD223" s="0" t="n">
        <f aca="false">ROW()-1</f>
        <v>222</v>
      </c>
    </row>
    <row r="224" customFormat="false" ht="15" hidden="false" customHeight="false" outlineLevel="0" collapsed="false">
      <c r="A224" s="0" t="s">
        <v>4378</v>
      </c>
      <c r="B224" s="0" t="s">
        <v>4379</v>
      </c>
      <c r="C224" s="0" t="str">
        <f aca="false">IF($A224="","",IF(AW224="Y",BM224&amp;"",AY224&amp;""))</f>
        <v/>
      </c>
      <c r="D224" s="0" t="str">
        <f aca="false">IF($A224="","",IF(AW224="Y",BN224&amp;"",AZ224&amp;""))</f>
        <v/>
      </c>
      <c r="E224" s="0" t="str">
        <f aca="false">IF($A224="","",IF(AW224="Y",BO224&amp;"",BA224&amp;""))</f>
        <v/>
      </c>
      <c r="F224" s="0" t="str">
        <f aca="false">IF($A224="","",IF(AW224="Y",BP224&amp;"",BB224&amp;""))</f>
        <v/>
      </c>
      <c r="G224" s="0" t="str">
        <f aca="false">IF($A224="","",IF(AW224="Y",BQ224&amp;"",BC224&amp;""))</f>
        <v/>
      </c>
      <c r="H224" s="0" t="str">
        <f aca="false">IF($A224="","",IF(AW224="Y",BR224&amp;"",BD224&amp;""))</f>
        <v>none</v>
      </c>
      <c r="I224" s="0" t="str">
        <f aca="false">IF($A224="","",IF(R224="Y","warm-intro",IF(H224="verified","email",IF(C224&lt;&gt;"","linkedin",CB224&amp;""))))</f>
        <v>linkedin</v>
      </c>
      <c r="J224" s="0" t="n">
        <f aca="false">IF($A224="","",IF(CN224="pass",ROUND(N(EM224)+N(EN224)+N(EO224)+N(EP224)+N(EQ224)+N(ER224),1),0))</f>
        <v>26</v>
      </c>
      <c r="K224" s="0" t="str">
        <f aca="false">IF($A224="","",IF(CN224&lt;&gt;"pass",CA224&amp;"",CA224&amp;"; "&amp;IF(AW224="Y",BZ224&amp;"",BL224&amp;"")&amp;IF(R224="Y","; known to the founder (+15)","")&amp;"."))</f>
        <v>Tuesday headcount unknown (no sourced count), company size unknown, no attendance signal, occupancy-unconfirmed at a low-confidence address; contacts not researched yet.</v>
      </c>
      <c r="L224" s="0" t="s">
        <v>209</v>
      </c>
      <c r="R224" s="5" t="s">
        <v>189</v>
      </c>
      <c r="S224" s="0" t="s">
        <v>209</v>
      </c>
      <c r="T224" s="0" t="s">
        <v>189</v>
      </c>
      <c r="U224" s="5" t="s">
        <v>3896</v>
      </c>
      <c r="V224" s="0" t="s">
        <v>4380</v>
      </c>
      <c r="W224" s="0" t="s">
        <v>263</v>
      </c>
      <c r="X224" s="0" t="s">
        <v>3897</v>
      </c>
      <c r="Y224" s="0" t="str">
        <f aca="false">IF(FX224&lt;&gt;"Y","",COUNTIFS($FX$2:$FX$1000,"Y",$J$2:$J$1000,"&gt;"&amp;J224)+COUNTIFS($FX$2:$FX$1000,"Y",$J$2:$J$1000,J224,$GD$2:$GD$1000,"&lt;"&amp;GD224)+1)</f>
        <v/>
      </c>
      <c r="Z224" s="0" t="n">
        <v>223</v>
      </c>
      <c r="AA224" s="0" t="s">
        <v>189</v>
      </c>
      <c r="AB224" s="0" t="str">
        <f aca="false">IF($A224="","",IF(AW224="Y",BY224&amp;"",BK224&amp;""))</f>
        <v/>
      </c>
      <c r="AC224" s="0" t="str">
        <f aca="false">IF($A224="","",IF(AW224="Y",BS224&amp;"",BE224&amp;""))</f>
        <v/>
      </c>
      <c r="AD224" s="0" t="str">
        <f aca="false">IF($A224="","",IF(AW224="Y",BT224&amp;"",BF224&amp;""))</f>
        <v>none</v>
      </c>
      <c r="AE224" s="0" t="str">
        <f aca="false">IF($A224="","",IF(AW224="Y",BU224&amp;"",BG224&amp;""))</f>
        <v/>
      </c>
      <c r="AF224" s="0" t="str">
        <f aca="false">IF($A224="","",IF(AW224="Y",BV224&amp;"",BH224&amp;""))</f>
        <v/>
      </c>
      <c r="AG224" s="0" t="str">
        <f aca="false">IF($A224="","",IF(AW224="Y",BW224&amp;"",BI224&amp;""))</f>
        <v/>
      </c>
      <c r="AH224" s="0" t="str">
        <f aca="false">IF($A224="","",IF(AW224="Y",BX224&amp;"",BJ224&amp;""))</f>
        <v>none</v>
      </c>
      <c r="AI224" s="0" t="s">
        <v>2058</v>
      </c>
      <c r="AJ224" s="0" t="s">
        <v>819</v>
      </c>
      <c r="AK224" s="0" t="s">
        <v>3898</v>
      </c>
      <c r="AL224" s="0" t="s">
        <v>209</v>
      </c>
      <c r="AM224" s="0" t="s">
        <v>209</v>
      </c>
      <c r="AN224" s="0" t="s">
        <v>380</v>
      </c>
      <c r="AO224" s="0" t="s">
        <v>209</v>
      </c>
      <c r="AP224" s="0" t="s">
        <v>4378</v>
      </c>
      <c r="AQ224" s="5" t="s">
        <v>189</v>
      </c>
      <c r="AT224" s="0" t="str">
        <f aca="false">IF($A224="","",IF(AND(CN224="pass",AQ224&lt;&gt;"Y",C224&lt;&gt;"",OR(AX224&lt;&gt;"Y",AV224="Y")),"Y","N"))</f>
        <v>N</v>
      </c>
      <c r="AU224" s="0" t="str">
        <f aca="false">IF($A224="","",_xlfn.TEXTJOIN("; ",TRUE(),IF(CN224&lt;&gt;"pass","gated out",""),IF(AQ224="Y","on hold: "&amp;AR224,""),IF(C224="","no contact named on an opened page",""),IF(AND(AX224="Y",AV224&lt;&gt;"Y"),"Tuesday estimate band "&amp;L224&amp;": founder's call","")))</f>
        <v>no contact named on an opened page</v>
      </c>
      <c r="AX224" s="0" t="s">
        <v>189</v>
      </c>
      <c r="BC224" s="0" t="str">
        <f aca="false">IF($A224="","",IFERROR(INDEX(Enrichment!$A$2:$GZ$2000,MATCH($A224,INDEX(Enrichment!$A$2:$GZ$2000,0,MATCH("row_id",Enrichment!$A$1:$GZ$1,0)),0),MATCH("work_email",Enrichment!$A$1:$GZ$1,0))&amp;"",""))</f>
        <v/>
      </c>
      <c r="BD224" s="0" t="str">
        <f aca="false">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none</v>
      </c>
      <c r="BF224" s="0" t="s">
        <v>380</v>
      </c>
      <c r="BJ224" s="0" t="s">
        <v>380</v>
      </c>
      <c r="BL224" s="0" t="s">
        <v>896</v>
      </c>
      <c r="BQ224" s="0" t="str">
        <f aca="false">IF($A224="","",IFERROR(INDEX(Enrichment!$A$2:$GZ$2000,MATCH($A224,INDEX(Enrichment!$A$2:$GZ$2000,0,MATCH("row_id",Enrichment!$A$1:$GZ$1,0)),0),MATCH("backup_work_email",Enrichment!$A$1:$GZ$1,0))&amp;"",""))</f>
        <v/>
      </c>
      <c r="BR224" s="0" t="str">
        <f aca="false">IF($A224="","",IF(BQ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none</v>
      </c>
      <c r="BT224" s="0" t="s">
        <v>380</v>
      </c>
      <c r="BX224" s="0" t="s">
        <v>380</v>
      </c>
      <c r="BY224" s="0" t="s">
        <v>387</v>
      </c>
      <c r="BZ224" s="0" t="s">
        <v>388</v>
      </c>
      <c r="CA224" s="0" t="s">
        <v>4324</v>
      </c>
      <c r="CB224" s="0" t="s">
        <v>196</v>
      </c>
      <c r="CM224" s="0" t="s">
        <v>189</v>
      </c>
      <c r="CN224" s="0" t="s">
        <v>200</v>
      </c>
      <c r="CO224" s="0" t="s">
        <v>201</v>
      </c>
      <c r="CP224" s="0" t="s">
        <v>1</v>
      </c>
      <c r="CQ224" s="0" t="s">
        <v>4381</v>
      </c>
      <c r="CR224" s="0" t="s">
        <v>4382</v>
      </c>
      <c r="CS224" s="0" t="s">
        <v>4383</v>
      </c>
      <c r="CT224" s="0" t="s">
        <v>209</v>
      </c>
      <c r="CV224" s="0" t="s">
        <v>209</v>
      </c>
      <c r="CW224" s="0" t="s">
        <v>209</v>
      </c>
      <c r="CX224" s="0" t="s">
        <v>2712</v>
      </c>
      <c r="DA224" s="0" t="s">
        <v>209</v>
      </c>
      <c r="DB224" s="0" t="s">
        <v>209</v>
      </c>
      <c r="DC224" s="0" t="s">
        <v>209</v>
      </c>
      <c r="DD224" s="0" t="s">
        <v>209</v>
      </c>
      <c r="DE224" s="0" t="s">
        <v>4384</v>
      </c>
      <c r="DF224" s="0" t="s">
        <v>525</v>
      </c>
      <c r="DG224" s="0" t="n">
        <v>40.742477</v>
      </c>
      <c r="DH224" s="0" t="n">
        <v>-73.986608</v>
      </c>
      <c r="DI224" s="0" t="s">
        <v>164</v>
      </c>
      <c r="DJ224" s="0" t="n">
        <v>0</v>
      </c>
      <c r="DK224" s="0" t="s">
        <v>1882</v>
      </c>
      <c r="DL224" s="0" t="s">
        <v>1883</v>
      </c>
      <c r="DM224" s="0" t="s">
        <v>4380</v>
      </c>
      <c r="DN224" s="0" t="s">
        <v>4385</v>
      </c>
      <c r="DO224" s="0" t="s">
        <v>363</v>
      </c>
      <c r="DS224" s="0" t="s">
        <v>187</v>
      </c>
      <c r="DU224" s="0" t="s">
        <v>189</v>
      </c>
      <c r="DX224" s="0" t="s">
        <v>267</v>
      </c>
      <c r="DY224" s="0" t="s">
        <v>1888</v>
      </c>
      <c r="EA224" s="0" t="s">
        <v>209</v>
      </c>
      <c r="EB224" s="0" t="s">
        <v>189</v>
      </c>
      <c r="EC224" s="0" t="s">
        <v>209</v>
      </c>
      <c r="EF224" s="0" t="s">
        <v>209</v>
      </c>
      <c r="EH224" s="0" t="s">
        <v>189</v>
      </c>
      <c r="EI224" s="0" t="s">
        <v>2716</v>
      </c>
      <c r="EJ224" s="0" t="s">
        <v>221</v>
      </c>
      <c r="EK224" s="0" t="s">
        <v>209</v>
      </c>
      <c r="EL224" s="0" t="n">
        <v>26</v>
      </c>
      <c r="EM224" s="0" t="n">
        <v>7</v>
      </c>
      <c r="EN224" s="0" t="n">
        <v>8</v>
      </c>
      <c r="EO224" s="0" t="n">
        <v>6</v>
      </c>
      <c r="EP224" s="0" t="n">
        <v>5</v>
      </c>
      <c r="EQ224" s="0" t="n">
        <f aca="false">IF($A224="","",IF(AH224="exact",10,IF(AH224="adjacent",5,0)))</f>
        <v>0</v>
      </c>
      <c r="ER224" s="0" t="n">
        <f aca="false">IF($A224="","",IF(R224="Y",15,0))</f>
        <v>0</v>
      </c>
      <c r="ES224" s="0" t="s">
        <v>222</v>
      </c>
      <c r="EV224" s="0" t="s">
        <v>4356</v>
      </c>
      <c r="EW224" s="0" t="s">
        <v>224</v>
      </c>
      <c r="EX224" s="0" t="s">
        <v>4386</v>
      </c>
      <c r="EZ224" s="0" t="s">
        <v>4387</v>
      </c>
      <c r="FS224" s="0" t="str">
        <f aca="false">IF($A224="","",IF(ISNUMBER(MATCH(U224,{"queued","contacted","replied","call_booked","call_done","yes_in_principle","materials_sent"},0)),"Y","N"))</f>
        <v>N</v>
      </c>
      <c r="FT224" s="0" t="str">
        <f aca="false">IF($A224="","",IF(OR(T224="Y",U224="do_not_contact",AS224&amp;""&lt;&gt;""),"Y","N"))</f>
        <v>N</v>
      </c>
      <c r="FU224" s="0" t="str">
        <f aca="false">IF($A224="","",IF(AP224&amp;""&lt;&gt;"",AP224&amp;"",$A224))</f>
        <v>AO-C-114</v>
      </c>
      <c r="FV224" s="0" t="str">
        <f aca="false">IF($A224="","",IF(COUNTIFS($FU$2:$FU$1000,FU224,$FS$2:$FS$1000,"Y")+COUNTIFS($FU$2:$FU$1000,FU224,$FT$2:$FT$1000,"Y")&gt;0,"Y","N"))</f>
        <v>N</v>
      </c>
      <c r="FW224" s="0" t="str">
        <f aca="false">IF($A224="","",IF(AND(U224="new",T224="N",FT224="N",AT224="Y",FV224="N"),"Y","N"))</f>
        <v>N</v>
      </c>
      <c r="FX224" s="0" t="str">
        <f aca="false">IF($A224="","",IF(FW224&lt;&gt;"Y","N",IF(COUNTIFS($FU$2:$FU$1000,FU224,$FW$2:$FW$1000,"Y",$J$2:$J$1000,"&gt;"&amp;J224)+COUNTIFS($FU$2:$FU$1000,FU224,$FW$2:$FW$1000,"Y",$J$2:$J$1000,J224,$GD$2:$GD$1000,"&lt;"&amp;GD224)=0,"Y","N")))</f>
        <v>N</v>
      </c>
      <c r="FY224" s="0" t="str">
        <f aca="false">IF($A224="","",IF(AND(FW224="Y",FX224="Y",Y224&amp;""&lt;&gt;""),IF(Y224&lt;=10,"Y","N"),"N"))</f>
        <v>N</v>
      </c>
      <c r="FZ224" s="0" t="str">
        <f aca="false">IF(FY224="Y",Y224,"")</f>
        <v/>
      </c>
      <c r="GA224" s="0" t="str">
        <f aca="false">IF($A224="","",IF(AND(I224="walk-in",CN224="pass",U224="new",FT224="N",FV224="N",AQ224&lt;&gt;"Y"),"Y","N"))</f>
        <v>N</v>
      </c>
      <c r="GB224" s="0" t="str">
        <f aca="false">IF(GA224&lt;&gt;"Y","",IF(COUNTIFS($GA$2:$GA$1000,"Y",$J$2:$J$1000,"&gt;"&amp;J224)+COUNTIFS($GA$2:$GA$1000,"Y",$J$2:$J$1000,J224,$GD$2:$GD$1000,"&lt;"&amp;GD224)+1&lt;=25,COUNTIFS($GA$2:$GA$1000,"Y",$J$2:$J$1000,"&gt;"&amp;J224)+COUNTIFS($GA$2:$GA$1000,"Y",$J$2:$J$1000,J224,$GD$2:$GD$1000,"&lt;"&amp;GD224)+1,""))</f>
        <v/>
      </c>
      <c r="GC224" s="0" t="str">
        <f aca="false">IF(AND(_xlfn.ISFORMULA(C224),_xlfn.ISFORMULA(J224)),"Y","N")</f>
        <v>Y</v>
      </c>
      <c r="GD224" s="0" t="n">
        <f aca="false">ROW()-1</f>
        <v>223</v>
      </c>
    </row>
    <row r="225" customFormat="false" ht="15" hidden="false" customHeight="false" outlineLevel="0" collapsed="false">
      <c r="A225" s="0" t="s">
        <v>4388</v>
      </c>
      <c r="B225" s="0" t="s">
        <v>4389</v>
      </c>
      <c r="C225" s="0" t="str">
        <f aca="false">IF($A225="","",IF(AW225="Y",BM225&amp;"",AY225&amp;""))</f>
        <v/>
      </c>
      <c r="D225" s="0" t="str">
        <f aca="false">IF($A225="","",IF(AW225="Y",BN225&amp;"",AZ225&amp;""))</f>
        <v/>
      </c>
      <c r="E225" s="0" t="str">
        <f aca="false">IF($A225="","",IF(AW225="Y",BO225&amp;"",BA225&amp;""))</f>
        <v/>
      </c>
      <c r="F225" s="0" t="str">
        <f aca="false">IF($A225="","",IF(AW225="Y",BP225&amp;"",BB225&amp;""))</f>
        <v/>
      </c>
      <c r="G225" s="0" t="str">
        <f aca="false">IF($A225="","",IF(AW225="Y",BQ225&amp;"",BC225&amp;""))</f>
        <v/>
      </c>
      <c r="H225" s="0" t="str">
        <f aca="false">IF($A225="","",IF(AW225="Y",BR225&amp;"",BD225&amp;""))</f>
        <v>none</v>
      </c>
      <c r="I225" s="0" t="str">
        <f aca="false">IF($A225="","",IF(R225="Y","warm-intro",IF(H225="verified","email",IF(C225&lt;&gt;"","linkedin",CB225&amp;""))))</f>
        <v>linkedin</v>
      </c>
      <c r="J225" s="0" t="n">
        <f aca="false">IF($A225="","",IF(CN225="pass",ROUND(N(EM225)+N(EN225)+N(EO225)+N(EP225)+N(EQ225)+N(ER225),1),0))</f>
        <v>26</v>
      </c>
      <c r="K225" s="0" t="str">
        <f aca="false">IF($A225="","",IF(CN225&lt;&gt;"pass",CA225&amp;"",CA225&amp;"; "&amp;IF(AW225="Y",BZ225&amp;"",BL225&amp;"")&amp;IF(R225="Y","; known to the founder (+15)","")&amp;"."))</f>
        <v>Tuesday headcount unknown (no sourced count), company size unknown, no attendance signal, occupancy-unconfirmed at a low-confidence address; contacts not researched yet.</v>
      </c>
      <c r="L225" s="0" t="s">
        <v>209</v>
      </c>
      <c r="R225" s="5" t="s">
        <v>189</v>
      </c>
      <c r="S225" s="0" t="s">
        <v>209</v>
      </c>
      <c r="T225" s="0" t="s">
        <v>189</v>
      </c>
      <c r="U225" s="5" t="s">
        <v>3896</v>
      </c>
      <c r="V225" s="0" t="s">
        <v>4390</v>
      </c>
      <c r="W225" s="0" t="s">
        <v>263</v>
      </c>
      <c r="X225" s="0" t="s">
        <v>3897</v>
      </c>
      <c r="Y225" s="0" t="str">
        <f aca="false">IF(FX225&lt;&gt;"Y","",COUNTIFS($FX$2:$FX$1000,"Y",$J$2:$J$1000,"&gt;"&amp;J225)+COUNTIFS($FX$2:$FX$1000,"Y",$J$2:$J$1000,J225,$GD$2:$GD$1000,"&lt;"&amp;GD225)+1)</f>
        <v/>
      </c>
      <c r="Z225" s="0" t="n">
        <v>224</v>
      </c>
      <c r="AA225" s="0" t="s">
        <v>189</v>
      </c>
      <c r="AB225" s="0" t="str">
        <f aca="false">IF($A225="","",IF(AW225="Y",BY225&amp;"",BK225&amp;""))</f>
        <v/>
      </c>
      <c r="AC225" s="0" t="str">
        <f aca="false">IF($A225="","",IF(AW225="Y",BS225&amp;"",BE225&amp;""))</f>
        <v/>
      </c>
      <c r="AD225" s="0" t="str">
        <f aca="false">IF($A225="","",IF(AW225="Y",BT225&amp;"",BF225&amp;""))</f>
        <v>none</v>
      </c>
      <c r="AE225" s="0" t="str">
        <f aca="false">IF($A225="","",IF(AW225="Y",BU225&amp;"",BG225&amp;""))</f>
        <v/>
      </c>
      <c r="AF225" s="0" t="str">
        <f aca="false">IF($A225="","",IF(AW225="Y",BV225&amp;"",BH225&amp;""))</f>
        <v/>
      </c>
      <c r="AG225" s="0" t="str">
        <f aca="false">IF($A225="","",IF(AW225="Y",BW225&amp;"",BI225&amp;""))</f>
        <v/>
      </c>
      <c r="AH225" s="0" t="str">
        <f aca="false">IF($A225="","",IF(AW225="Y",BX225&amp;"",BJ225&amp;""))</f>
        <v>none</v>
      </c>
      <c r="AI225" s="0" t="s">
        <v>2316</v>
      </c>
      <c r="AJ225" s="0" t="s">
        <v>4391</v>
      </c>
      <c r="AK225" s="0" t="s">
        <v>3898</v>
      </c>
      <c r="AL225" s="0" t="s">
        <v>209</v>
      </c>
      <c r="AM225" s="0" t="s">
        <v>209</v>
      </c>
      <c r="AN225" s="0" t="s">
        <v>380</v>
      </c>
      <c r="AO225" s="0" t="s">
        <v>209</v>
      </c>
      <c r="AP225" s="0" t="s">
        <v>4388</v>
      </c>
      <c r="AQ225" s="5" t="s">
        <v>189</v>
      </c>
      <c r="AT225" s="0" t="str">
        <f aca="false">IF($A225="","",IF(AND(CN225="pass",AQ225&lt;&gt;"Y",C225&lt;&gt;"",OR(AX225&lt;&gt;"Y",AV225="Y")),"Y","N"))</f>
        <v>N</v>
      </c>
      <c r="AU225" s="0" t="str">
        <f aca="false">IF($A225="","",_xlfn.TEXTJOIN("; ",TRUE(),IF(CN225&lt;&gt;"pass","gated out",""),IF(AQ225="Y","on hold: "&amp;AR225,""),IF(C225="","no contact named on an opened page",""),IF(AND(AX225="Y",AV225&lt;&gt;"Y"),"Tuesday estimate band "&amp;L225&amp;": founder's call","")))</f>
        <v>no contact named on an opened page</v>
      </c>
      <c r="AX225" s="0" t="s">
        <v>189</v>
      </c>
      <c r="BC225" s="0" t="str">
        <f aca="false">IF($A225="","",IFERROR(INDEX(Enrichment!$A$2:$GZ$2000,MATCH($A225,INDEX(Enrichment!$A$2:$GZ$2000,0,MATCH("row_id",Enrichment!$A$1:$GZ$1,0)),0),MATCH("work_email",Enrichment!$A$1:$GZ$1,0))&amp;"",""))</f>
        <v/>
      </c>
      <c r="BD225" s="0" t="str">
        <f aca="false">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none</v>
      </c>
      <c r="BF225" s="0" t="s">
        <v>380</v>
      </c>
      <c r="BJ225" s="0" t="s">
        <v>380</v>
      </c>
      <c r="BL225" s="0" t="s">
        <v>896</v>
      </c>
      <c r="BQ225" s="0" t="str">
        <f aca="false">IF($A225="","",IFERROR(INDEX(Enrichment!$A$2:$GZ$2000,MATCH($A225,INDEX(Enrichment!$A$2:$GZ$2000,0,MATCH("row_id",Enrichment!$A$1:$GZ$1,0)),0),MATCH("backup_work_email",Enrichment!$A$1:$GZ$1,0))&amp;"",""))</f>
        <v/>
      </c>
      <c r="BR225" s="0" t="str">
        <f aca="false">IF($A225="","",IF(BQ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none</v>
      </c>
      <c r="BT225" s="0" t="s">
        <v>380</v>
      </c>
      <c r="BX225" s="0" t="s">
        <v>380</v>
      </c>
      <c r="BY225" s="0" t="s">
        <v>387</v>
      </c>
      <c r="BZ225" s="0" t="s">
        <v>388</v>
      </c>
      <c r="CA225" s="0" t="s">
        <v>4324</v>
      </c>
      <c r="CB225" s="0" t="s">
        <v>196</v>
      </c>
      <c r="CM225" s="0" t="s">
        <v>189</v>
      </c>
      <c r="CN225" s="0" t="s">
        <v>200</v>
      </c>
      <c r="CO225" s="0" t="s">
        <v>201</v>
      </c>
      <c r="CP225" s="0" t="s">
        <v>1</v>
      </c>
      <c r="CQ225" s="0" t="s">
        <v>4392</v>
      </c>
      <c r="CR225" s="0" t="s">
        <v>209</v>
      </c>
      <c r="CS225" s="0" t="s">
        <v>4393</v>
      </c>
      <c r="CT225" s="0" t="s">
        <v>209</v>
      </c>
      <c r="CV225" s="0" t="s">
        <v>209</v>
      </c>
      <c r="CW225" s="0" t="s">
        <v>209</v>
      </c>
      <c r="CX225" s="0" t="s">
        <v>2712</v>
      </c>
      <c r="DA225" s="0" t="s">
        <v>209</v>
      </c>
      <c r="DB225" s="0" t="s">
        <v>209</v>
      </c>
      <c r="DC225" s="0" t="s">
        <v>209</v>
      </c>
      <c r="DD225" s="0" t="s">
        <v>209</v>
      </c>
      <c r="DE225" s="0" t="s">
        <v>209</v>
      </c>
      <c r="DF225" s="0" t="s">
        <v>397</v>
      </c>
      <c r="DG225" s="0" t="n">
        <v>40.740157</v>
      </c>
      <c r="DH225" s="0" t="n">
        <v>-73.993377</v>
      </c>
      <c r="DI225" s="0" t="s">
        <v>164</v>
      </c>
      <c r="DJ225" s="0" t="n">
        <v>0</v>
      </c>
      <c r="DK225" s="0" t="s">
        <v>2177</v>
      </c>
      <c r="DL225" s="0" t="s">
        <v>2178</v>
      </c>
      <c r="DM225" s="0" t="s">
        <v>4390</v>
      </c>
      <c r="DN225" s="0" t="s">
        <v>4394</v>
      </c>
      <c r="DO225" s="0" t="s">
        <v>363</v>
      </c>
      <c r="DS225" s="0" t="s">
        <v>187</v>
      </c>
      <c r="DU225" s="0" t="s">
        <v>189</v>
      </c>
      <c r="DX225" s="0" t="s">
        <v>209</v>
      </c>
      <c r="EA225" s="0" t="s">
        <v>209</v>
      </c>
      <c r="EB225" s="0" t="s">
        <v>189</v>
      </c>
      <c r="EC225" s="0" t="s">
        <v>209</v>
      </c>
      <c r="EF225" s="0" t="s">
        <v>209</v>
      </c>
      <c r="EH225" s="0" t="s">
        <v>189</v>
      </c>
      <c r="EI225" s="0" t="s">
        <v>2716</v>
      </c>
      <c r="EJ225" s="0" t="s">
        <v>221</v>
      </c>
      <c r="EK225" s="0" t="s">
        <v>209</v>
      </c>
      <c r="EL225" s="0" t="n">
        <v>26</v>
      </c>
      <c r="EM225" s="0" t="n">
        <v>7</v>
      </c>
      <c r="EN225" s="0" t="n">
        <v>8</v>
      </c>
      <c r="EO225" s="0" t="n">
        <v>6</v>
      </c>
      <c r="EP225" s="0" t="n">
        <v>5</v>
      </c>
      <c r="EQ225" s="0" t="n">
        <f aca="false">IF($A225="","",IF(AH225="exact",10,IF(AH225="adjacent",5,0)))</f>
        <v>0</v>
      </c>
      <c r="ER225" s="0" t="n">
        <f aca="false">IF($A225="","",IF(R225="Y",15,0))</f>
        <v>0</v>
      </c>
      <c r="ES225" s="0" t="s">
        <v>222</v>
      </c>
      <c r="EV225" s="0" t="s">
        <v>1682</v>
      </c>
      <c r="EW225" s="0" t="s">
        <v>224</v>
      </c>
      <c r="EX225" s="0" t="s">
        <v>4395</v>
      </c>
      <c r="FS225" s="0" t="str">
        <f aca="false">IF($A225="","",IF(ISNUMBER(MATCH(U225,{"queued","contacted","replied","call_booked","call_done","yes_in_principle","materials_sent"},0)),"Y","N"))</f>
        <v>N</v>
      </c>
      <c r="FT225" s="0" t="str">
        <f aca="false">IF($A225="","",IF(OR(T225="Y",U225="do_not_contact",AS225&amp;""&lt;&gt;""),"Y","N"))</f>
        <v>N</v>
      </c>
      <c r="FU225" s="0" t="str">
        <f aca="false">IF($A225="","",IF(AP225&amp;""&lt;&gt;"",AP225&amp;"",$A225))</f>
        <v>AO-C-054</v>
      </c>
      <c r="FV225" s="0" t="str">
        <f aca="false">IF($A225="","",IF(COUNTIFS($FU$2:$FU$1000,FU225,$FS$2:$FS$1000,"Y")+COUNTIFS($FU$2:$FU$1000,FU225,$FT$2:$FT$1000,"Y")&gt;0,"Y","N"))</f>
        <v>N</v>
      </c>
      <c r="FW225" s="0" t="str">
        <f aca="false">IF($A225="","",IF(AND(U225="new",T225="N",FT225="N",AT225="Y",FV225="N"),"Y","N"))</f>
        <v>N</v>
      </c>
      <c r="FX225" s="0" t="str">
        <f aca="false">IF($A225="","",IF(FW225&lt;&gt;"Y","N",IF(COUNTIFS($FU$2:$FU$1000,FU225,$FW$2:$FW$1000,"Y",$J$2:$J$1000,"&gt;"&amp;J225)+COUNTIFS($FU$2:$FU$1000,FU225,$FW$2:$FW$1000,"Y",$J$2:$J$1000,J225,$GD$2:$GD$1000,"&lt;"&amp;GD225)=0,"Y","N")))</f>
        <v>N</v>
      </c>
      <c r="FY225" s="0" t="str">
        <f aca="false">IF($A225="","",IF(AND(FW225="Y",FX225="Y",Y225&amp;""&lt;&gt;""),IF(Y225&lt;=10,"Y","N"),"N"))</f>
        <v>N</v>
      </c>
      <c r="FZ225" s="0" t="str">
        <f aca="false">IF(FY225="Y",Y225,"")</f>
        <v/>
      </c>
      <c r="GA225" s="0" t="str">
        <f aca="false">IF($A225="","",IF(AND(I225="walk-in",CN225="pass",U225="new",FT225="N",FV225="N",AQ225&lt;&gt;"Y"),"Y","N"))</f>
        <v>N</v>
      </c>
      <c r="GB225" s="0" t="str">
        <f aca="false">IF(GA225&lt;&gt;"Y","",IF(COUNTIFS($GA$2:$GA$1000,"Y",$J$2:$J$1000,"&gt;"&amp;J225)+COUNTIFS($GA$2:$GA$1000,"Y",$J$2:$J$1000,J225,$GD$2:$GD$1000,"&lt;"&amp;GD225)+1&lt;=25,COUNTIFS($GA$2:$GA$1000,"Y",$J$2:$J$1000,"&gt;"&amp;J225)+COUNTIFS($GA$2:$GA$1000,"Y",$J$2:$J$1000,J225,$GD$2:$GD$1000,"&lt;"&amp;GD225)+1,""))</f>
        <v/>
      </c>
      <c r="GC225" s="0" t="str">
        <f aca="false">IF(AND(_xlfn.ISFORMULA(C225),_xlfn.ISFORMULA(J225)),"Y","N")</f>
        <v>Y</v>
      </c>
      <c r="GD225" s="0" t="n">
        <f aca="false">ROW()-1</f>
        <v>224</v>
      </c>
    </row>
    <row r="226" customFormat="false" ht="15" hidden="false" customHeight="false" outlineLevel="0" collapsed="false">
      <c r="A226" s="0" t="s">
        <v>4396</v>
      </c>
      <c r="B226" s="0" t="s">
        <v>4397</v>
      </c>
      <c r="C226" s="0" t="str">
        <f aca="false">IF($A226="","",IF(AW226="Y",BM226&amp;"",AY226&amp;""))</f>
        <v/>
      </c>
      <c r="D226" s="0" t="str">
        <f aca="false">IF($A226="","",IF(AW226="Y",BN226&amp;"",AZ226&amp;""))</f>
        <v/>
      </c>
      <c r="E226" s="0" t="str">
        <f aca="false">IF($A226="","",IF(AW226="Y",BO226&amp;"",BA226&amp;""))</f>
        <v/>
      </c>
      <c r="F226" s="0" t="str">
        <f aca="false">IF($A226="","",IF(AW226="Y",BP226&amp;"",BB226&amp;""))</f>
        <v/>
      </c>
      <c r="G226" s="0" t="str">
        <f aca="false">IF($A226="","",IF(AW226="Y",BQ226&amp;"",BC226&amp;""))</f>
        <v/>
      </c>
      <c r="H226" s="0" t="str">
        <f aca="false">IF($A226="","",IF(AW226="Y",BR226&amp;"",BD226&amp;""))</f>
        <v>none</v>
      </c>
      <c r="I226" s="0" t="str">
        <f aca="false">IF($A226="","",IF(R226="Y","warm-intro",IF(H226="verified","email",IF(C226&lt;&gt;"","linkedin",CB226&amp;""))))</f>
        <v>linkedin</v>
      </c>
      <c r="J226" s="0" t="n">
        <f aca="false">IF($A226="","",IF(CN226="pass",ROUND(N(EM226)+N(EN226)+N(EO226)+N(EP226)+N(EQ226)+N(ER226),1),0))</f>
        <v>26</v>
      </c>
      <c r="K226" s="0" t="str">
        <f aca="false">IF($A226="","",IF(CN226&lt;&gt;"pass",CA226&amp;"",CA226&amp;"; "&amp;IF(AW226="Y",BZ226&amp;"",BL226&amp;"")&amp;IF(R226="Y","; known to the founder (+15)","")&amp;"."))</f>
        <v>Tuesday headcount unknown (no sourced count), company size unknown, no attendance signal, occupancy-unconfirmed at a low-confidence address; contacts not researched yet.</v>
      </c>
      <c r="L226" s="0" t="s">
        <v>209</v>
      </c>
      <c r="R226" s="5" t="s">
        <v>189</v>
      </c>
      <c r="S226" s="0" t="s">
        <v>209</v>
      </c>
      <c r="T226" s="0" t="s">
        <v>189</v>
      </c>
      <c r="U226" s="5" t="s">
        <v>3896</v>
      </c>
      <c r="V226" s="0" t="s">
        <v>4323</v>
      </c>
      <c r="W226" s="0" t="s">
        <v>263</v>
      </c>
      <c r="X226" s="0" t="s">
        <v>3897</v>
      </c>
      <c r="Y226" s="0" t="str">
        <f aca="false">IF(FX226&lt;&gt;"Y","",COUNTIFS($FX$2:$FX$1000,"Y",$J$2:$J$1000,"&gt;"&amp;J226)+COUNTIFS($FX$2:$FX$1000,"Y",$J$2:$J$1000,J226,$GD$2:$GD$1000,"&lt;"&amp;GD226)+1)</f>
        <v/>
      </c>
      <c r="Z226" s="0" t="n">
        <v>225</v>
      </c>
      <c r="AA226" s="0" t="s">
        <v>189</v>
      </c>
      <c r="AB226" s="0" t="str">
        <f aca="false">IF($A226="","",IF(AW226="Y",BY226&amp;"",BK226&amp;""))</f>
        <v/>
      </c>
      <c r="AC226" s="0" t="str">
        <f aca="false">IF($A226="","",IF(AW226="Y",BS226&amp;"",BE226&amp;""))</f>
        <v/>
      </c>
      <c r="AD226" s="0" t="str">
        <f aca="false">IF($A226="","",IF(AW226="Y",BT226&amp;"",BF226&amp;""))</f>
        <v>none</v>
      </c>
      <c r="AE226" s="0" t="str">
        <f aca="false">IF($A226="","",IF(AW226="Y",BU226&amp;"",BG226&amp;""))</f>
        <v/>
      </c>
      <c r="AF226" s="0" t="str">
        <f aca="false">IF($A226="","",IF(AW226="Y",BV226&amp;"",BH226&amp;""))</f>
        <v/>
      </c>
      <c r="AG226" s="0" t="str">
        <f aca="false">IF($A226="","",IF(AW226="Y",BW226&amp;"",BI226&amp;""))</f>
        <v/>
      </c>
      <c r="AH226" s="0" t="str">
        <f aca="false">IF($A226="","",IF(AW226="Y",BX226&amp;"",BJ226&amp;""))</f>
        <v>none</v>
      </c>
      <c r="AI226" s="0" t="s">
        <v>1965</v>
      </c>
      <c r="AJ226" s="0" t="s">
        <v>374</v>
      </c>
      <c r="AK226" s="0" t="s">
        <v>3898</v>
      </c>
      <c r="AL226" s="0" t="s">
        <v>209</v>
      </c>
      <c r="AM226" s="0" t="s">
        <v>209</v>
      </c>
      <c r="AN226" s="0" t="s">
        <v>380</v>
      </c>
      <c r="AO226" s="0" t="s">
        <v>209</v>
      </c>
      <c r="AP226" s="0" t="s">
        <v>4396</v>
      </c>
      <c r="AQ226" s="5" t="s">
        <v>189</v>
      </c>
      <c r="AT226" s="0" t="str">
        <f aca="false">IF($A226="","",IF(AND(CN226="pass",AQ226&lt;&gt;"Y",C226&lt;&gt;"",OR(AX226&lt;&gt;"Y",AV226="Y")),"Y","N"))</f>
        <v>N</v>
      </c>
      <c r="AU226" s="0" t="str">
        <f aca="false">IF($A226="","",_xlfn.TEXTJOIN("; ",TRUE(),IF(CN226&lt;&gt;"pass","gated out",""),IF(AQ226="Y","on hold: "&amp;AR226,""),IF(C226="","no contact named on an opened page",""),IF(AND(AX226="Y",AV226&lt;&gt;"Y"),"Tuesday estimate band "&amp;L226&amp;": founder's call","")))</f>
        <v>no contact named on an opened page</v>
      </c>
      <c r="AX226" s="0" t="s">
        <v>189</v>
      </c>
      <c r="BC226" s="0" t="str">
        <f aca="false">IF($A226="","",IFERROR(INDEX(Enrichment!$A$2:$GZ$2000,MATCH($A226,INDEX(Enrichment!$A$2:$GZ$2000,0,MATCH("row_id",Enrichment!$A$1:$GZ$1,0)),0),MATCH("work_email",Enrichment!$A$1:$GZ$1,0))&amp;"",""))</f>
        <v/>
      </c>
      <c r="BD226" s="0" t="str">
        <f aca="false">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none</v>
      </c>
      <c r="BF226" s="0" t="s">
        <v>380</v>
      </c>
      <c r="BJ226" s="0" t="s">
        <v>380</v>
      </c>
      <c r="BL226" s="0" t="s">
        <v>896</v>
      </c>
      <c r="BQ226" s="0" t="str">
        <f aca="false">IF($A226="","",IFERROR(INDEX(Enrichment!$A$2:$GZ$2000,MATCH($A226,INDEX(Enrichment!$A$2:$GZ$2000,0,MATCH("row_id",Enrichment!$A$1:$GZ$1,0)),0),MATCH("backup_work_email",Enrichment!$A$1:$GZ$1,0))&amp;"",""))</f>
        <v/>
      </c>
      <c r="BR226" s="0" t="str">
        <f aca="false">IF($A226="","",IF(BQ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none</v>
      </c>
      <c r="BT226" s="0" t="s">
        <v>380</v>
      </c>
      <c r="BX226" s="0" t="s">
        <v>380</v>
      </c>
      <c r="BY226" s="0" t="s">
        <v>387</v>
      </c>
      <c r="BZ226" s="0" t="s">
        <v>388</v>
      </c>
      <c r="CA226" s="0" t="s">
        <v>4324</v>
      </c>
      <c r="CB226" s="0" t="s">
        <v>196</v>
      </c>
      <c r="CM226" s="0" t="s">
        <v>189</v>
      </c>
      <c r="CN226" s="0" t="s">
        <v>200</v>
      </c>
      <c r="CO226" s="0" t="s">
        <v>201</v>
      </c>
      <c r="CP226" s="0" t="s">
        <v>1</v>
      </c>
      <c r="CQ226" s="0" t="s">
        <v>4398</v>
      </c>
      <c r="CR226" s="0" t="s">
        <v>4399</v>
      </c>
      <c r="CS226" s="0" t="s">
        <v>4400</v>
      </c>
      <c r="CT226" s="0" t="s">
        <v>209</v>
      </c>
      <c r="CV226" s="0" t="s">
        <v>209</v>
      </c>
      <c r="CW226" s="0" t="s">
        <v>209</v>
      </c>
      <c r="CX226" s="0" t="s">
        <v>2712</v>
      </c>
      <c r="DA226" s="0" t="s">
        <v>209</v>
      </c>
      <c r="DB226" s="0" t="s">
        <v>209</v>
      </c>
      <c r="DC226" s="0" t="s">
        <v>209</v>
      </c>
      <c r="DD226" s="0" t="s">
        <v>209</v>
      </c>
      <c r="DE226" s="0" t="s">
        <v>4401</v>
      </c>
      <c r="DF226" s="0" t="s">
        <v>525</v>
      </c>
      <c r="DG226" s="0" t="n">
        <v>40.738577</v>
      </c>
      <c r="DH226" s="0" t="n">
        <v>-73.987151</v>
      </c>
      <c r="DI226" s="0" t="s">
        <v>164</v>
      </c>
      <c r="DJ226" s="0" t="n">
        <v>0</v>
      </c>
      <c r="DK226" s="0" t="s">
        <v>1753</v>
      </c>
      <c r="DL226" s="0" t="s">
        <v>1754</v>
      </c>
      <c r="DM226" s="0" t="s">
        <v>4323</v>
      </c>
      <c r="DN226" s="0" t="s">
        <v>4329</v>
      </c>
      <c r="DO226" s="0" t="s">
        <v>363</v>
      </c>
      <c r="DS226" s="0" t="s">
        <v>187</v>
      </c>
      <c r="DU226" s="0" t="s">
        <v>189</v>
      </c>
      <c r="DX226" s="0" t="s">
        <v>209</v>
      </c>
      <c r="EA226" s="0" t="s">
        <v>209</v>
      </c>
      <c r="EB226" s="0" t="s">
        <v>189</v>
      </c>
      <c r="EC226" s="0" t="s">
        <v>209</v>
      </c>
      <c r="EF226" s="0" t="s">
        <v>209</v>
      </c>
      <c r="EH226" s="0" t="s">
        <v>189</v>
      </c>
      <c r="EI226" s="0" t="s">
        <v>2716</v>
      </c>
      <c r="EJ226" s="0" t="s">
        <v>221</v>
      </c>
      <c r="EK226" s="0" t="s">
        <v>209</v>
      </c>
      <c r="EL226" s="0" t="n">
        <v>26</v>
      </c>
      <c r="EM226" s="0" t="n">
        <v>7</v>
      </c>
      <c r="EN226" s="0" t="n">
        <v>8</v>
      </c>
      <c r="EO226" s="0" t="n">
        <v>6</v>
      </c>
      <c r="EP226" s="0" t="n">
        <v>5</v>
      </c>
      <c r="EQ226" s="0" t="n">
        <f aca="false">IF($A226="","",IF(AH226="exact",10,IF(AH226="adjacent",5,0)))</f>
        <v>0</v>
      </c>
      <c r="ER226" s="0" t="n">
        <f aca="false">IF($A226="","",IF(R226="Y",15,0))</f>
        <v>0</v>
      </c>
      <c r="ES226" s="0" t="s">
        <v>222</v>
      </c>
      <c r="EV226" s="0" t="s">
        <v>4402</v>
      </c>
      <c r="EW226" s="0" t="s">
        <v>224</v>
      </c>
      <c r="EX226" s="0" t="s">
        <v>4403</v>
      </c>
      <c r="EZ226" s="0" t="s">
        <v>4404</v>
      </c>
      <c r="FS226" s="0" t="str">
        <f aca="false">IF($A226="","",IF(ISNUMBER(MATCH(U226,{"queued","contacted","replied","call_booked","call_done","yes_in_principle","materials_sent"},0)),"Y","N"))</f>
        <v>N</v>
      </c>
      <c r="FT226" s="0" t="str">
        <f aca="false">IF($A226="","",IF(OR(T226="Y",U226="do_not_contact",AS226&amp;""&lt;&gt;""),"Y","N"))</f>
        <v>N</v>
      </c>
      <c r="FU226" s="0" t="str">
        <f aca="false">IF($A226="","",IF(AP226&amp;""&lt;&gt;"",AP226&amp;"",$A226))</f>
        <v>AO-C-069</v>
      </c>
      <c r="FV226" s="0" t="str">
        <f aca="false">IF($A226="","",IF(COUNTIFS($FU$2:$FU$1000,FU226,$FS$2:$FS$1000,"Y")+COUNTIFS($FU$2:$FU$1000,FU226,$FT$2:$FT$1000,"Y")&gt;0,"Y","N"))</f>
        <v>N</v>
      </c>
      <c r="FW226" s="0" t="str">
        <f aca="false">IF($A226="","",IF(AND(U226="new",T226="N",FT226="N",AT226="Y",FV226="N"),"Y","N"))</f>
        <v>N</v>
      </c>
      <c r="FX226" s="0" t="str">
        <f aca="false">IF($A226="","",IF(FW226&lt;&gt;"Y","N",IF(COUNTIFS($FU$2:$FU$1000,FU226,$FW$2:$FW$1000,"Y",$J$2:$J$1000,"&gt;"&amp;J226)+COUNTIFS($FU$2:$FU$1000,FU226,$FW$2:$FW$1000,"Y",$J$2:$J$1000,J226,$GD$2:$GD$1000,"&lt;"&amp;GD226)=0,"Y","N")))</f>
        <v>N</v>
      </c>
      <c r="FY226" s="0" t="str">
        <f aca="false">IF($A226="","",IF(AND(FW226="Y",FX226="Y",Y226&amp;""&lt;&gt;""),IF(Y226&lt;=10,"Y","N"),"N"))</f>
        <v>N</v>
      </c>
      <c r="FZ226" s="0" t="str">
        <f aca="false">IF(FY226="Y",Y226,"")</f>
        <v/>
      </c>
      <c r="GA226" s="0" t="str">
        <f aca="false">IF($A226="","",IF(AND(I226="walk-in",CN226="pass",U226="new",FT226="N",FV226="N",AQ226&lt;&gt;"Y"),"Y","N"))</f>
        <v>N</v>
      </c>
      <c r="GB226" s="0" t="str">
        <f aca="false">IF(GA226&lt;&gt;"Y","",IF(COUNTIFS($GA$2:$GA$1000,"Y",$J$2:$J$1000,"&gt;"&amp;J226)+COUNTIFS($GA$2:$GA$1000,"Y",$J$2:$J$1000,J226,$GD$2:$GD$1000,"&lt;"&amp;GD226)+1&lt;=25,COUNTIFS($GA$2:$GA$1000,"Y",$J$2:$J$1000,"&gt;"&amp;J226)+COUNTIFS($GA$2:$GA$1000,"Y",$J$2:$J$1000,J226,$GD$2:$GD$1000,"&lt;"&amp;GD226)+1,""))</f>
        <v/>
      </c>
      <c r="GC226" s="0" t="str">
        <f aca="false">IF(AND(_xlfn.ISFORMULA(C226),_xlfn.ISFORMULA(J226)),"Y","N")</f>
        <v>Y</v>
      </c>
      <c r="GD226" s="0" t="n">
        <f aca="false">ROW()-1</f>
        <v>225</v>
      </c>
    </row>
    <row r="227" customFormat="false" ht="15" hidden="false" customHeight="false" outlineLevel="0" collapsed="false">
      <c r="A227" s="0" t="s">
        <v>4405</v>
      </c>
      <c r="B227" s="0" t="s">
        <v>4406</v>
      </c>
      <c r="C227" s="0" t="str">
        <f aca="false">IF($A227="","",IF(AW227="Y",BM227&amp;"",AY227&amp;""))</f>
        <v/>
      </c>
      <c r="D227" s="0" t="str">
        <f aca="false">IF($A227="","",IF(AW227="Y",BN227&amp;"",AZ227&amp;""))</f>
        <v/>
      </c>
      <c r="E227" s="0" t="str">
        <f aca="false">IF($A227="","",IF(AW227="Y",BO227&amp;"",BA227&amp;""))</f>
        <v/>
      </c>
      <c r="F227" s="0" t="str">
        <f aca="false">IF($A227="","",IF(AW227="Y",BP227&amp;"",BB227&amp;""))</f>
        <v/>
      </c>
      <c r="G227" s="0" t="str">
        <f aca="false">IF($A227="","",IF(AW227="Y",BQ227&amp;"",BC227&amp;""))</f>
        <v/>
      </c>
      <c r="H227" s="0" t="str">
        <f aca="false">IF($A227="","",IF(AW227="Y",BR227&amp;"",BD227&amp;""))</f>
        <v>none</v>
      </c>
      <c r="I227" s="0" t="str">
        <f aca="false">IF($A227="","",IF(R227="Y","warm-intro",IF(H227="verified","email",IF(C227&lt;&gt;"","linkedin",CB227&amp;""))))</f>
        <v>linkedin</v>
      </c>
      <c r="J227" s="0" t="n">
        <f aca="false">IF($A227="","",IF(CN227="pass",ROUND(N(EM227)+N(EN227)+N(EO227)+N(EP227)+N(EQ227)+N(ER227),1),0))</f>
        <v>26</v>
      </c>
      <c r="K227" s="0" t="str">
        <f aca="false">IF($A227="","",IF(CN227&lt;&gt;"pass",CA227&amp;"",CA227&amp;"; "&amp;IF(AW227="Y",BZ227&amp;"",BL227&amp;"")&amp;IF(R227="Y","; known to the founder (+15)","")&amp;"."))</f>
        <v>Tuesday headcount unknown (no sourced count), company size unknown, no attendance signal, occupancy-unconfirmed at a low-confidence address; contacts not researched yet.</v>
      </c>
      <c r="L227" s="0" t="s">
        <v>209</v>
      </c>
      <c r="R227" s="5" t="s">
        <v>189</v>
      </c>
      <c r="S227" s="0" t="s">
        <v>209</v>
      </c>
      <c r="T227" s="0" t="s">
        <v>189</v>
      </c>
      <c r="U227" s="5" t="s">
        <v>3896</v>
      </c>
      <c r="V227" s="0" t="s">
        <v>4407</v>
      </c>
      <c r="W227" s="0" t="s">
        <v>263</v>
      </c>
      <c r="X227" s="0" t="s">
        <v>3897</v>
      </c>
      <c r="Y227" s="0" t="str">
        <f aca="false">IF(FX227&lt;&gt;"Y","",COUNTIFS($FX$2:$FX$1000,"Y",$J$2:$J$1000,"&gt;"&amp;J227)+COUNTIFS($FX$2:$FX$1000,"Y",$J$2:$J$1000,J227,$GD$2:$GD$1000,"&lt;"&amp;GD227)+1)</f>
        <v/>
      </c>
      <c r="Z227" s="0" t="n">
        <v>226</v>
      </c>
      <c r="AA227" s="0" t="s">
        <v>189</v>
      </c>
      <c r="AB227" s="0" t="str">
        <f aca="false">IF($A227="","",IF(AW227="Y",BY227&amp;"",BK227&amp;""))</f>
        <v/>
      </c>
      <c r="AC227" s="0" t="str">
        <f aca="false">IF($A227="","",IF(AW227="Y",BS227&amp;"",BE227&amp;""))</f>
        <v/>
      </c>
      <c r="AD227" s="0" t="str">
        <f aca="false">IF($A227="","",IF(AW227="Y",BT227&amp;"",BF227&amp;""))</f>
        <v>none</v>
      </c>
      <c r="AE227" s="0" t="str">
        <f aca="false">IF($A227="","",IF(AW227="Y",BU227&amp;"",BG227&amp;""))</f>
        <v/>
      </c>
      <c r="AF227" s="0" t="str">
        <f aca="false">IF($A227="","",IF(AW227="Y",BV227&amp;"",BH227&amp;""))</f>
        <v/>
      </c>
      <c r="AG227" s="0" t="str">
        <f aca="false">IF($A227="","",IF(AW227="Y",BW227&amp;"",BI227&amp;""))</f>
        <v/>
      </c>
      <c r="AH227" s="0" t="str">
        <f aca="false">IF($A227="","",IF(AW227="Y",BX227&amp;"",BJ227&amp;""))</f>
        <v>none</v>
      </c>
      <c r="AI227" s="0" t="s">
        <v>1965</v>
      </c>
      <c r="AJ227" s="0" t="s">
        <v>728</v>
      </c>
      <c r="AK227" s="0" t="s">
        <v>3898</v>
      </c>
      <c r="AL227" s="0" t="s">
        <v>209</v>
      </c>
      <c r="AM227" s="0" t="s">
        <v>209</v>
      </c>
      <c r="AN227" s="0" t="s">
        <v>380</v>
      </c>
      <c r="AO227" s="0" t="s">
        <v>209</v>
      </c>
      <c r="AP227" s="0" t="s">
        <v>4405</v>
      </c>
      <c r="AQ227" s="5" t="s">
        <v>189</v>
      </c>
      <c r="AT227" s="0" t="str">
        <f aca="false">IF($A227="","",IF(AND(CN227="pass",AQ227&lt;&gt;"Y",C227&lt;&gt;"",OR(AX227&lt;&gt;"Y",AV227="Y")),"Y","N"))</f>
        <v>N</v>
      </c>
      <c r="AU227" s="0" t="str">
        <f aca="false">IF($A227="","",_xlfn.TEXTJOIN("; ",TRUE(),IF(CN227&lt;&gt;"pass","gated out",""),IF(AQ227="Y","on hold: "&amp;AR227,""),IF(C227="","no contact named on an opened page",""),IF(AND(AX227="Y",AV227&lt;&gt;"Y"),"Tuesday estimate band "&amp;L227&amp;": founder's call","")))</f>
        <v>no contact named on an opened page</v>
      </c>
      <c r="AX227" s="0" t="s">
        <v>189</v>
      </c>
      <c r="BC227" s="0" t="str">
        <f aca="false">IF($A227="","",IFERROR(INDEX(Enrichment!$A$2:$GZ$2000,MATCH($A227,INDEX(Enrichment!$A$2:$GZ$2000,0,MATCH("row_id",Enrichment!$A$1:$GZ$1,0)),0),MATCH("work_email",Enrichment!$A$1:$GZ$1,0))&amp;"",""))</f>
        <v/>
      </c>
      <c r="BD227" s="0" t="str">
        <f aca="false">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none</v>
      </c>
      <c r="BF227" s="0" t="s">
        <v>380</v>
      </c>
      <c r="BJ227" s="0" t="s">
        <v>380</v>
      </c>
      <c r="BL227" s="0" t="s">
        <v>896</v>
      </c>
      <c r="BQ227" s="0" t="str">
        <f aca="false">IF($A227="","",IFERROR(INDEX(Enrichment!$A$2:$GZ$2000,MATCH($A227,INDEX(Enrichment!$A$2:$GZ$2000,0,MATCH("row_id",Enrichment!$A$1:$GZ$1,0)),0),MATCH("backup_work_email",Enrichment!$A$1:$GZ$1,0))&amp;"",""))</f>
        <v/>
      </c>
      <c r="BR227" s="0" t="str">
        <f aca="false">IF($A227="","",IF(BQ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none</v>
      </c>
      <c r="BT227" s="0" t="s">
        <v>380</v>
      </c>
      <c r="BX227" s="0" t="s">
        <v>380</v>
      </c>
      <c r="BY227" s="0" t="s">
        <v>387</v>
      </c>
      <c r="BZ227" s="0" t="s">
        <v>388</v>
      </c>
      <c r="CA227" s="0" t="s">
        <v>4324</v>
      </c>
      <c r="CB227" s="0" t="s">
        <v>196</v>
      </c>
      <c r="CM227" s="0" t="s">
        <v>189</v>
      </c>
      <c r="CN227" s="0" t="s">
        <v>200</v>
      </c>
      <c r="CO227" s="0" t="s">
        <v>201</v>
      </c>
      <c r="CP227" s="0" t="s">
        <v>1</v>
      </c>
      <c r="CQ227" s="0" t="s">
        <v>4408</v>
      </c>
      <c r="CR227" s="0" t="s">
        <v>209</v>
      </c>
      <c r="CS227" s="0" t="s">
        <v>1855</v>
      </c>
      <c r="CT227" s="0" t="s">
        <v>209</v>
      </c>
      <c r="CV227" s="0" t="s">
        <v>209</v>
      </c>
      <c r="CW227" s="0" t="s">
        <v>209</v>
      </c>
      <c r="CX227" s="0" t="s">
        <v>2712</v>
      </c>
      <c r="DA227" s="0" t="s">
        <v>209</v>
      </c>
      <c r="DB227" s="0" t="s">
        <v>209</v>
      </c>
      <c r="DC227" s="0" t="s">
        <v>209</v>
      </c>
      <c r="DD227" s="0" t="s">
        <v>209</v>
      </c>
      <c r="DE227" s="0" t="s">
        <v>209</v>
      </c>
      <c r="DF227" s="0" t="s">
        <v>525</v>
      </c>
      <c r="DG227" s="0" t="n">
        <v>40.738577</v>
      </c>
      <c r="DH227" s="0" t="n">
        <v>-73.987151</v>
      </c>
      <c r="DI227" s="0" t="s">
        <v>164</v>
      </c>
      <c r="DJ227" s="0" t="n">
        <v>0</v>
      </c>
      <c r="DK227" s="0" t="s">
        <v>1753</v>
      </c>
      <c r="DL227" s="0" t="s">
        <v>1754</v>
      </c>
      <c r="DM227" s="0" t="s">
        <v>4407</v>
      </c>
      <c r="DN227" s="0" t="s">
        <v>4409</v>
      </c>
      <c r="DO227" s="0" t="s">
        <v>363</v>
      </c>
      <c r="DS227" s="0" t="s">
        <v>187</v>
      </c>
      <c r="DU227" s="0" t="s">
        <v>189</v>
      </c>
      <c r="DX227" s="0" t="s">
        <v>209</v>
      </c>
      <c r="EA227" s="0" t="s">
        <v>209</v>
      </c>
      <c r="EB227" s="0" t="s">
        <v>189</v>
      </c>
      <c r="EC227" s="0" t="s">
        <v>209</v>
      </c>
      <c r="EF227" s="0" t="s">
        <v>209</v>
      </c>
      <c r="EH227" s="0" t="s">
        <v>189</v>
      </c>
      <c r="EI227" s="0" t="s">
        <v>2716</v>
      </c>
      <c r="EJ227" s="0" t="s">
        <v>221</v>
      </c>
      <c r="EK227" s="0" t="s">
        <v>209</v>
      </c>
      <c r="EL227" s="0" t="n">
        <v>26</v>
      </c>
      <c r="EM227" s="0" t="n">
        <v>7</v>
      </c>
      <c r="EN227" s="0" t="n">
        <v>8</v>
      </c>
      <c r="EO227" s="0" t="n">
        <v>6</v>
      </c>
      <c r="EP227" s="0" t="n">
        <v>5</v>
      </c>
      <c r="EQ227" s="0" t="n">
        <f aca="false">IF($A227="","",IF(AH227="exact",10,IF(AH227="adjacent",5,0)))</f>
        <v>0</v>
      </c>
      <c r="ER227" s="0" t="n">
        <f aca="false">IF($A227="","",IF(R227="Y",15,0))</f>
        <v>0</v>
      </c>
      <c r="ES227" s="0" t="s">
        <v>222</v>
      </c>
      <c r="EV227" s="0" t="s">
        <v>4402</v>
      </c>
      <c r="EW227" s="0" t="s">
        <v>224</v>
      </c>
      <c r="EX227" s="0" t="s">
        <v>4410</v>
      </c>
      <c r="FS227" s="0" t="str">
        <f aca="false">IF($A227="","",IF(ISNUMBER(MATCH(U227,{"queued","contacted","replied","call_booked","call_done","yes_in_principle","materials_sent"},0)),"Y","N"))</f>
        <v>N</v>
      </c>
      <c r="FT227" s="0" t="str">
        <f aca="false">IF($A227="","",IF(OR(T227="Y",U227="do_not_contact",AS227&amp;""&lt;&gt;""),"Y","N"))</f>
        <v>N</v>
      </c>
      <c r="FU227" s="0" t="str">
        <f aca="false">IF($A227="","",IF(AP227&amp;""&lt;&gt;"",AP227&amp;"",$A227))</f>
        <v>AO-C-070</v>
      </c>
      <c r="FV227" s="0" t="str">
        <f aca="false">IF($A227="","",IF(COUNTIFS($FU$2:$FU$1000,FU227,$FS$2:$FS$1000,"Y")+COUNTIFS($FU$2:$FU$1000,FU227,$FT$2:$FT$1000,"Y")&gt;0,"Y","N"))</f>
        <v>N</v>
      </c>
      <c r="FW227" s="0" t="str">
        <f aca="false">IF($A227="","",IF(AND(U227="new",T227="N",FT227="N",AT227="Y",FV227="N"),"Y","N"))</f>
        <v>N</v>
      </c>
      <c r="FX227" s="0" t="str">
        <f aca="false">IF($A227="","",IF(FW227&lt;&gt;"Y","N",IF(COUNTIFS($FU$2:$FU$1000,FU227,$FW$2:$FW$1000,"Y",$J$2:$J$1000,"&gt;"&amp;J227)+COUNTIFS($FU$2:$FU$1000,FU227,$FW$2:$FW$1000,"Y",$J$2:$J$1000,J227,$GD$2:$GD$1000,"&lt;"&amp;GD227)=0,"Y","N")))</f>
        <v>N</v>
      </c>
      <c r="FY227" s="0" t="str">
        <f aca="false">IF($A227="","",IF(AND(FW227="Y",FX227="Y",Y227&amp;""&lt;&gt;""),IF(Y227&lt;=10,"Y","N"),"N"))</f>
        <v>N</v>
      </c>
      <c r="FZ227" s="0" t="str">
        <f aca="false">IF(FY227="Y",Y227,"")</f>
        <v/>
      </c>
      <c r="GA227" s="0" t="str">
        <f aca="false">IF($A227="","",IF(AND(I227="walk-in",CN227="pass",U227="new",FT227="N",FV227="N",AQ227&lt;&gt;"Y"),"Y","N"))</f>
        <v>N</v>
      </c>
      <c r="GB227" s="0" t="str">
        <f aca="false">IF(GA227&lt;&gt;"Y","",IF(COUNTIFS($GA$2:$GA$1000,"Y",$J$2:$J$1000,"&gt;"&amp;J227)+COUNTIFS($GA$2:$GA$1000,"Y",$J$2:$J$1000,J227,$GD$2:$GD$1000,"&lt;"&amp;GD227)+1&lt;=25,COUNTIFS($GA$2:$GA$1000,"Y",$J$2:$J$1000,"&gt;"&amp;J227)+COUNTIFS($GA$2:$GA$1000,"Y",$J$2:$J$1000,J227,$GD$2:$GD$1000,"&lt;"&amp;GD227)+1,""))</f>
        <v/>
      </c>
      <c r="GC227" s="0" t="str">
        <f aca="false">IF(AND(_xlfn.ISFORMULA(C227),_xlfn.ISFORMULA(J227)),"Y","N")</f>
        <v>Y</v>
      </c>
      <c r="GD227" s="0" t="n">
        <f aca="false">ROW()-1</f>
        <v>226</v>
      </c>
    </row>
    <row r="228" customFormat="false" ht="15" hidden="false" customHeight="false" outlineLevel="0" collapsed="false">
      <c r="A228" s="0" t="s">
        <v>4411</v>
      </c>
      <c r="B228" s="0" t="s">
        <v>4412</v>
      </c>
      <c r="C228" s="0" t="str">
        <f aca="false">IF($A228="","",IF(AW228="Y",BM228&amp;"",AY228&amp;""))</f>
        <v/>
      </c>
      <c r="D228" s="0" t="str">
        <f aca="false">IF($A228="","",IF(AW228="Y",BN228&amp;"",AZ228&amp;""))</f>
        <v/>
      </c>
      <c r="E228" s="0" t="str">
        <f aca="false">IF($A228="","",IF(AW228="Y",BO228&amp;"",BA228&amp;""))</f>
        <v/>
      </c>
      <c r="F228" s="0" t="str">
        <f aca="false">IF($A228="","",IF(AW228="Y",BP228&amp;"",BB228&amp;""))</f>
        <v/>
      </c>
      <c r="G228" s="0" t="str">
        <f aca="false">IF($A228="","",IF(AW228="Y",BQ228&amp;"",BC228&amp;""))</f>
        <v/>
      </c>
      <c r="H228" s="0" t="str">
        <f aca="false">IF($A228="","",IF(AW228="Y",BR228&amp;"",BD228&amp;""))</f>
        <v>none</v>
      </c>
      <c r="I228" s="0" t="str">
        <f aca="false">IF($A228="","",IF(R228="Y","warm-intro",IF(H228="verified","email",IF(C228&lt;&gt;"","linkedin",CB228&amp;""))))</f>
        <v>linkedin</v>
      </c>
      <c r="J228" s="0" t="n">
        <f aca="false">IF($A228="","",IF(CN228="pass",ROUND(N(EM228)+N(EN228)+N(EO228)+N(EP228)+N(EQ228)+N(ER228),1),0))</f>
        <v>26</v>
      </c>
      <c r="K228" s="0" t="str">
        <f aca="false">IF($A228="","",IF(CN228&lt;&gt;"pass",CA228&amp;"",CA228&amp;"; "&amp;IF(AW228="Y",BZ228&amp;"",BL228&amp;"")&amp;IF(R228="Y","; known to the founder (+15)","")&amp;"."))</f>
        <v>Tuesday headcount unknown (no sourced count), company size unknown, no attendance signal, occupancy-unconfirmed at a low-confidence address; contacts not researched yet.</v>
      </c>
      <c r="L228" s="0" t="s">
        <v>209</v>
      </c>
      <c r="R228" s="5" t="s">
        <v>189</v>
      </c>
      <c r="S228" s="0" t="s">
        <v>209</v>
      </c>
      <c r="T228" s="0" t="s">
        <v>189</v>
      </c>
      <c r="U228" s="5" t="s">
        <v>3896</v>
      </c>
      <c r="V228" s="0" t="s">
        <v>4413</v>
      </c>
      <c r="W228" s="0" t="s">
        <v>263</v>
      </c>
      <c r="X228" s="0" t="s">
        <v>3897</v>
      </c>
      <c r="Y228" s="0" t="str">
        <f aca="false">IF(FX228&lt;&gt;"Y","",COUNTIFS($FX$2:$FX$1000,"Y",$J$2:$J$1000,"&gt;"&amp;J228)+COUNTIFS($FX$2:$FX$1000,"Y",$J$2:$J$1000,J228,$GD$2:$GD$1000,"&lt;"&amp;GD228)+1)</f>
        <v/>
      </c>
      <c r="Z228" s="0" t="n">
        <v>227</v>
      </c>
      <c r="AA228" s="0" t="s">
        <v>189</v>
      </c>
      <c r="AB228" s="0" t="str">
        <f aca="false">IF($A228="","",IF(AW228="Y",BY228&amp;"",BK228&amp;""))</f>
        <v/>
      </c>
      <c r="AC228" s="0" t="str">
        <f aca="false">IF($A228="","",IF(AW228="Y",BS228&amp;"",BE228&amp;""))</f>
        <v/>
      </c>
      <c r="AD228" s="0" t="str">
        <f aca="false">IF($A228="","",IF(AW228="Y",BT228&amp;"",BF228&amp;""))</f>
        <v>none</v>
      </c>
      <c r="AE228" s="0" t="str">
        <f aca="false">IF($A228="","",IF(AW228="Y",BU228&amp;"",BG228&amp;""))</f>
        <v/>
      </c>
      <c r="AF228" s="0" t="str">
        <f aca="false">IF($A228="","",IF(AW228="Y",BV228&amp;"",BH228&amp;""))</f>
        <v/>
      </c>
      <c r="AG228" s="0" t="str">
        <f aca="false">IF($A228="","",IF(AW228="Y",BW228&amp;"",BI228&amp;""))</f>
        <v/>
      </c>
      <c r="AH228" s="0" t="str">
        <f aca="false">IF($A228="","",IF(AW228="Y",BX228&amp;"",BJ228&amp;""))</f>
        <v>none</v>
      </c>
      <c r="AI228" s="0" t="s">
        <v>2083</v>
      </c>
      <c r="AJ228" s="0" t="s">
        <v>623</v>
      </c>
      <c r="AK228" s="0" t="s">
        <v>3898</v>
      </c>
      <c r="AL228" s="0" t="s">
        <v>209</v>
      </c>
      <c r="AM228" s="0" t="s">
        <v>209</v>
      </c>
      <c r="AN228" s="0" t="s">
        <v>380</v>
      </c>
      <c r="AO228" s="0" t="s">
        <v>209</v>
      </c>
      <c r="AP228" s="0" t="s">
        <v>4411</v>
      </c>
      <c r="AQ228" s="5" t="s">
        <v>189</v>
      </c>
      <c r="AT228" s="0" t="str">
        <f aca="false">IF($A228="","",IF(AND(CN228="pass",AQ228&lt;&gt;"Y",C228&lt;&gt;"",OR(AX228&lt;&gt;"Y",AV228="Y")),"Y","N"))</f>
        <v>N</v>
      </c>
      <c r="AU228" s="0" t="str">
        <f aca="false">IF($A228="","",_xlfn.TEXTJOIN("; ",TRUE(),IF(CN228&lt;&gt;"pass","gated out",""),IF(AQ228="Y","on hold: "&amp;AR228,""),IF(C228="","no contact named on an opened page",""),IF(AND(AX228="Y",AV228&lt;&gt;"Y"),"Tuesday estimate band "&amp;L228&amp;": founder's call","")))</f>
        <v>no contact named on an opened page</v>
      </c>
      <c r="AX228" s="0" t="s">
        <v>189</v>
      </c>
      <c r="BC228" s="0" t="str">
        <f aca="false">IF($A228="","",IFERROR(INDEX(Enrichment!$A$2:$GZ$2000,MATCH($A228,INDEX(Enrichment!$A$2:$GZ$2000,0,MATCH("row_id",Enrichment!$A$1:$GZ$1,0)),0),MATCH("work_email",Enrichment!$A$1:$GZ$1,0))&amp;"",""))</f>
        <v/>
      </c>
      <c r="BD228" s="0" t="str">
        <f aca="false">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none</v>
      </c>
      <c r="BF228" s="0" t="s">
        <v>380</v>
      </c>
      <c r="BJ228" s="0" t="s">
        <v>380</v>
      </c>
      <c r="BL228" s="0" t="s">
        <v>896</v>
      </c>
      <c r="BQ228" s="0" t="str">
        <f aca="false">IF($A228="","",IFERROR(INDEX(Enrichment!$A$2:$GZ$2000,MATCH($A228,INDEX(Enrichment!$A$2:$GZ$2000,0,MATCH("row_id",Enrichment!$A$1:$GZ$1,0)),0),MATCH("backup_work_email",Enrichment!$A$1:$GZ$1,0))&amp;"",""))</f>
        <v/>
      </c>
      <c r="BR228" s="0" t="str">
        <f aca="false">IF($A228="","",IF(BQ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none</v>
      </c>
      <c r="BT228" s="0" t="s">
        <v>380</v>
      </c>
      <c r="BX228" s="0" t="s">
        <v>380</v>
      </c>
      <c r="BY228" s="0" t="s">
        <v>387</v>
      </c>
      <c r="BZ228" s="0" t="s">
        <v>388</v>
      </c>
      <c r="CA228" s="0" t="s">
        <v>4324</v>
      </c>
      <c r="CB228" s="0" t="s">
        <v>196</v>
      </c>
      <c r="CM228" s="0" t="s">
        <v>189</v>
      </c>
      <c r="CN228" s="0" t="s">
        <v>200</v>
      </c>
      <c r="CO228" s="0" t="s">
        <v>201</v>
      </c>
      <c r="CP228" s="0" t="s">
        <v>1</v>
      </c>
      <c r="CQ228" s="0" t="s">
        <v>4414</v>
      </c>
      <c r="CR228" s="0" t="s">
        <v>4415</v>
      </c>
      <c r="CS228" s="0" t="s">
        <v>4416</v>
      </c>
      <c r="CT228" s="0" t="s">
        <v>209</v>
      </c>
      <c r="CV228" s="0" t="s">
        <v>209</v>
      </c>
      <c r="CW228" s="0" t="s">
        <v>209</v>
      </c>
      <c r="CX228" s="0" t="s">
        <v>2712</v>
      </c>
      <c r="DA228" s="0" t="s">
        <v>209</v>
      </c>
      <c r="DB228" s="0" t="s">
        <v>209</v>
      </c>
      <c r="DC228" s="0" t="s">
        <v>209</v>
      </c>
      <c r="DD228" s="0" t="s">
        <v>209</v>
      </c>
      <c r="DE228" s="0" t="s">
        <v>209</v>
      </c>
      <c r="DF228" s="0" t="s">
        <v>525</v>
      </c>
      <c r="DG228" s="0" t="n">
        <v>40.741838</v>
      </c>
      <c r="DH228" s="0" t="n">
        <v>-73.992892</v>
      </c>
      <c r="DI228" s="0" t="s">
        <v>164</v>
      </c>
      <c r="DJ228" s="0" t="n">
        <v>0</v>
      </c>
      <c r="DK228" s="0" t="s">
        <v>1914</v>
      </c>
      <c r="DL228" s="0" t="s">
        <v>1915</v>
      </c>
      <c r="DM228" s="0" t="s">
        <v>4413</v>
      </c>
      <c r="DN228" s="0" t="s">
        <v>4417</v>
      </c>
      <c r="DO228" s="0" t="s">
        <v>363</v>
      </c>
      <c r="DS228" s="0" t="s">
        <v>187</v>
      </c>
      <c r="DU228" s="0" t="s">
        <v>189</v>
      </c>
      <c r="DX228" s="0" t="s">
        <v>209</v>
      </c>
      <c r="EA228" s="0" t="s">
        <v>209</v>
      </c>
      <c r="EB228" s="0" t="s">
        <v>189</v>
      </c>
      <c r="EC228" s="0" t="s">
        <v>209</v>
      </c>
      <c r="EF228" s="0" t="s">
        <v>209</v>
      </c>
      <c r="EH228" s="0" t="s">
        <v>189</v>
      </c>
      <c r="EI228" s="0" t="s">
        <v>2716</v>
      </c>
      <c r="EJ228" s="0" t="s">
        <v>221</v>
      </c>
      <c r="EK228" s="0" t="s">
        <v>209</v>
      </c>
      <c r="EL228" s="0" t="n">
        <v>26</v>
      </c>
      <c r="EM228" s="0" t="n">
        <v>7</v>
      </c>
      <c r="EN228" s="0" t="n">
        <v>8</v>
      </c>
      <c r="EO228" s="0" t="n">
        <v>6</v>
      </c>
      <c r="EP228" s="0" t="n">
        <v>5</v>
      </c>
      <c r="EQ228" s="0" t="n">
        <f aca="false">IF($A228="","",IF(AH228="exact",10,IF(AH228="adjacent",5,0)))</f>
        <v>0</v>
      </c>
      <c r="ER228" s="0" t="n">
        <f aca="false">IF($A228="","",IF(R228="Y",15,0))</f>
        <v>0</v>
      </c>
      <c r="ES228" s="0" t="s">
        <v>222</v>
      </c>
      <c r="EV228" s="0" t="s">
        <v>1922</v>
      </c>
      <c r="EW228" s="0" t="s">
        <v>224</v>
      </c>
      <c r="EX228" s="0" t="s">
        <v>4418</v>
      </c>
      <c r="FS228" s="0" t="str">
        <f aca="false">IF($A228="","",IF(ISNUMBER(MATCH(U228,{"queued","contacted","replied","call_booked","call_done","yes_in_principle","materials_sent"},0)),"Y","N"))</f>
        <v>N</v>
      </c>
      <c r="FT228" s="0" t="str">
        <f aca="false">IF($A228="","",IF(OR(T228="Y",U228="do_not_contact",AS228&amp;""&lt;&gt;""),"Y","N"))</f>
        <v>N</v>
      </c>
      <c r="FU228" s="0" t="str">
        <f aca="false">IF($A228="","",IF(AP228&amp;""&lt;&gt;"",AP228&amp;"",$A228))</f>
        <v>AO-C-086</v>
      </c>
      <c r="FV228" s="0" t="str">
        <f aca="false">IF($A228="","",IF(COUNTIFS($FU$2:$FU$1000,FU228,$FS$2:$FS$1000,"Y")+COUNTIFS($FU$2:$FU$1000,FU228,$FT$2:$FT$1000,"Y")&gt;0,"Y","N"))</f>
        <v>N</v>
      </c>
      <c r="FW228" s="0" t="str">
        <f aca="false">IF($A228="","",IF(AND(U228="new",T228="N",FT228="N",AT228="Y",FV228="N"),"Y","N"))</f>
        <v>N</v>
      </c>
      <c r="FX228" s="0" t="str">
        <f aca="false">IF($A228="","",IF(FW228&lt;&gt;"Y","N",IF(COUNTIFS($FU$2:$FU$1000,FU228,$FW$2:$FW$1000,"Y",$J$2:$J$1000,"&gt;"&amp;J228)+COUNTIFS($FU$2:$FU$1000,FU228,$FW$2:$FW$1000,"Y",$J$2:$J$1000,J228,$GD$2:$GD$1000,"&lt;"&amp;GD228)=0,"Y","N")))</f>
        <v>N</v>
      </c>
      <c r="FY228" s="0" t="str">
        <f aca="false">IF($A228="","",IF(AND(FW228="Y",FX228="Y",Y228&amp;""&lt;&gt;""),IF(Y228&lt;=10,"Y","N"),"N"))</f>
        <v>N</v>
      </c>
      <c r="FZ228" s="0" t="str">
        <f aca="false">IF(FY228="Y",Y228,"")</f>
        <v/>
      </c>
      <c r="GA228" s="0" t="str">
        <f aca="false">IF($A228="","",IF(AND(I228="walk-in",CN228="pass",U228="new",FT228="N",FV228="N",AQ228&lt;&gt;"Y"),"Y","N"))</f>
        <v>N</v>
      </c>
      <c r="GB228" s="0" t="str">
        <f aca="false">IF(GA228&lt;&gt;"Y","",IF(COUNTIFS($GA$2:$GA$1000,"Y",$J$2:$J$1000,"&gt;"&amp;J228)+COUNTIFS($GA$2:$GA$1000,"Y",$J$2:$J$1000,J228,$GD$2:$GD$1000,"&lt;"&amp;GD228)+1&lt;=25,COUNTIFS($GA$2:$GA$1000,"Y",$J$2:$J$1000,"&gt;"&amp;J228)+COUNTIFS($GA$2:$GA$1000,"Y",$J$2:$J$1000,J228,$GD$2:$GD$1000,"&lt;"&amp;GD228)+1,""))</f>
        <v/>
      </c>
      <c r="GC228" s="0" t="str">
        <f aca="false">IF(AND(_xlfn.ISFORMULA(C228),_xlfn.ISFORMULA(J228)),"Y","N")</f>
        <v>Y</v>
      </c>
      <c r="GD228" s="0" t="n">
        <f aca="false">ROW()-1</f>
        <v>227</v>
      </c>
    </row>
    <row r="229" customFormat="false" ht="15" hidden="false" customHeight="false" outlineLevel="0" collapsed="false">
      <c r="A229" s="0" t="s">
        <v>4419</v>
      </c>
      <c r="B229" s="0" t="s">
        <v>4420</v>
      </c>
      <c r="C229" s="0" t="str">
        <f aca="false">IF($A229="","",IF(AW229="Y",BM229&amp;"",AY229&amp;""))</f>
        <v/>
      </c>
      <c r="D229" s="0" t="str">
        <f aca="false">IF($A229="","",IF(AW229="Y",BN229&amp;"",AZ229&amp;""))</f>
        <v/>
      </c>
      <c r="E229" s="0" t="str">
        <f aca="false">IF($A229="","",IF(AW229="Y",BO229&amp;"",BA229&amp;""))</f>
        <v/>
      </c>
      <c r="F229" s="0" t="str">
        <f aca="false">IF($A229="","",IF(AW229="Y",BP229&amp;"",BB229&amp;""))</f>
        <v/>
      </c>
      <c r="G229" s="0" t="str">
        <f aca="false">IF($A229="","",IF(AW229="Y",BQ229&amp;"",BC229&amp;""))</f>
        <v/>
      </c>
      <c r="H229" s="0" t="str">
        <f aca="false">IF($A229="","",IF(AW229="Y",BR229&amp;"",BD229&amp;""))</f>
        <v>none</v>
      </c>
      <c r="I229" s="0" t="str">
        <f aca="false">IF($A229="","",IF(R229="Y","warm-intro",IF(H229="verified","email",IF(C229&lt;&gt;"","linkedin",CB229&amp;""))))</f>
        <v>linkedin</v>
      </c>
      <c r="J229" s="0" t="n">
        <f aca="false">IF($A229="","",IF(CN229="pass",ROUND(N(EM229)+N(EN229)+N(EO229)+N(EP229)+N(EQ229)+N(ER229),1),0))</f>
        <v>26</v>
      </c>
      <c r="K229" s="0" t="str">
        <f aca="false">IF($A229="","",IF(CN229&lt;&gt;"pass",CA229&amp;"",CA229&amp;"; "&amp;IF(AW229="Y",BZ229&amp;"",BL229&amp;"")&amp;IF(R229="Y","; known to the founder (+15)","")&amp;"."))</f>
        <v>Tuesday headcount unknown (no sourced count), company size unknown, no attendance signal, occupancy-unconfirmed at a low-confidence address; contacts not researched yet.</v>
      </c>
      <c r="L229" s="0" t="s">
        <v>209</v>
      </c>
      <c r="R229" s="5" t="s">
        <v>189</v>
      </c>
      <c r="S229" s="0" t="s">
        <v>209</v>
      </c>
      <c r="T229" s="0" t="s">
        <v>189</v>
      </c>
      <c r="U229" s="5" t="s">
        <v>3896</v>
      </c>
      <c r="V229" s="0" t="s">
        <v>4421</v>
      </c>
      <c r="W229" s="0" t="s">
        <v>263</v>
      </c>
      <c r="X229" s="0" t="s">
        <v>3897</v>
      </c>
      <c r="Y229" s="0" t="str">
        <f aca="false">IF(FX229&lt;&gt;"Y","",COUNTIFS($FX$2:$FX$1000,"Y",$J$2:$J$1000,"&gt;"&amp;J229)+COUNTIFS($FX$2:$FX$1000,"Y",$J$2:$J$1000,J229,$GD$2:$GD$1000,"&lt;"&amp;GD229)+1)</f>
        <v/>
      </c>
      <c r="Z229" s="0" t="n">
        <v>228</v>
      </c>
      <c r="AA229" s="0" t="s">
        <v>189</v>
      </c>
      <c r="AB229" s="0" t="str">
        <f aca="false">IF($A229="","",IF(AW229="Y",BY229&amp;"",BK229&amp;""))</f>
        <v/>
      </c>
      <c r="AC229" s="0" t="str">
        <f aca="false">IF($A229="","",IF(AW229="Y",BS229&amp;"",BE229&amp;""))</f>
        <v/>
      </c>
      <c r="AD229" s="0" t="str">
        <f aca="false">IF($A229="","",IF(AW229="Y",BT229&amp;"",BF229&amp;""))</f>
        <v>none</v>
      </c>
      <c r="AE229" s="0" t="str">
        <f aca="false">IF($A229="","",IF(AW229="Y",BU229&amp;"",BG229&amp;""))</f>
        <v/>
      </c>
      <c r="AF229" s="0" t="str">
        <f aca="false">IF($A229="","",IF(AW229="Y",BV229&amp;"",BH229&amp;""))</f>
        <v/>
      </c>
      <c r="AG229" s="0" t="str">
        <f aca="false">IF($A229="","",IF(AW229="Y",BW229&amp;"",BI229&amp;""))</f>
        <v/>
      </c>
      <c r="AH229" s="0" t="str">
        <f aca="false">IF($A229="","",IF(AW229="Y",BX229&amp;"",BJ229&amp;""))</f>
        <v>none</v>
      </c>
      <c r="AI229" s="0" t="s">
        <v>2634</v>
      </c>
      <c r="AJ229" s="0" t="s">
        <v>231</v>
      </c>
      <c r="AK229" s="0" t="s">
        <v>3898</v>
      </c>
      <c r="AL229" s="0" t="s">
        <v>209</v>
      </c>
      <c r="AM229" s="0" t="s">
        <v>209</v>
      </c>
      <c r="AN229" s="0" t="s">
        <v>380</v>
      </c>
      <c r="AO229" s="0" t="s">
        <v>209</v>
      </c>
      <c r="AP229" s="0" t="s">
        <v>4419</v>
      </c>
      <c r="AQ229" s="5" t="s">
        <v>189</v>
      </c>
      <c r="AT229" s="0" t="str">
        <f aca="false">IF($A229="","",IF(AND(CN229="pass",AQ229&lt;&gt;"Y",C229&lt;&gt;"",OR(AX229&lt;&gt;"Y",AV229="Y")),"Y","N"))</f>
        <v>N</v>
      </c>
      <c r="AU229" s="0" t="str">
        <f aca="false">IF($A229="","",_xlfn.TEXTJOIN("; ",TRUE(),IF(CN229&lt;&gt;"pass","gated out",""),IF(AQ229="Y","on hold: "&amp;AR229,""),IF(C229="","no contact named on an opened page",""),IF(AND(AX229="Y",AV229&lt;&gt;"Y"),"Tuesday estimate band "&amp;L229&amp;": founder's call","")))</f>
        <v>no contact named on an opened page</v>
      </c>
      <c r="AX229" s="0" t="s">
        <v>189</v>
      </c>
      <c r="BC229" s="0" t="str">
        <f aca="false">IF($A229="","",IFERROR(INDEX(Enrichment!$A$2:$GZ$2000,MATCH($A229,INDEX(Enrichment!$A$2:$GZ$2000,0,MATCH("row_id",Enrichment!$A$1:$GZ$1,0)),0),MATCH("work_email",Enrichment!$A$1:$GZ$1,0))&amp;"",""))</f>
        <v/>
      </c>
      <c r="BD229" s="0" t="str">
        <f aca="false">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none</v>
      </c>
      <c r="BF229" s="0" t="s">
        <v>380</v>
      </c>
      <c r="BJ229" s="0" t="s">
        <v>380</v>
      </c>
      <c r="BL229" s="0" t="s">
        <v>896</v>
      </c>
      <c r="BQ229" s="0" t="str">
        <f aca="false">IF($A229="","",IFERROR(INDEX(Enrichment!$A$2:$GZ$2000,MATCH($A229,INDEX(Enrichment!$A$2:$GZ$2000,0,MATCH("row_id",Enrichment!$A$1:$GZ$1,0)),0),MATCH("backup_work_email",Enrichment!$A$1:$GZ$1,0))&amp;"",""))</f>
        <v/>
      </c>
      <c r="BR229" s="0" t="str">
        <f aca="false">IF($A229="","",IF(BQ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none</v>
      </c>
      <c r="BT229" s="0" t="s">
        <v>380</v>
      </c>
      <c r="BX229" s="0" t="s">
        <v>380</v>
      </c>
      <c r="BY229" s="0" t="s">
        <v>387</v>
      </c>
      <c r="BZ229" s="0" t="s">
        <v>388</v>
      </c>
      <c r="CA229" s="0" t="s">
        <v>4324</v>
      </c>
      <c r="CB229" s="0" t="s">
        <v>196</v>
      </c>
      <c r="CM229" s="0" t="s">
        <v>189</v>
      </c>
      <c r="CN229" s="0" t="s">
        <v>200</v>
      </c>
      <c r="CO229" s="0" t="s">
        <v>201</v>
      </c>
      <c r="CP229" s="0" t="s">
        <v>1</v>
      </c>
      <c r="CQ229" s="0" t="s">
        <v>4422</v>
      </c>
      <c r="CR229" s="0" t="s">
        <v>4423</v>
      </c>
      <c r="CS229" s="0" t="s">
        <v>4424</v>
      </c>
      <c r="CT229" s="0" t="s">
        <v>209</v>
      </c>
      <c r="CV229" s="0" t="s">
        <v>209</v>
      </c>
      <c r="CW229" s="0" t="s">
        <v>209</v>
      </c>
      <c r="CX229" s="0" t="s">
        <v>2712</v>
      </c>
      <c r="DA229" s="0" t="s">
        <v>209</v>
      </c>
      <c r="DB229" s="0" t="s">
        <v>209</v>
      </c>
      <c r="DC229" s="0" t="s">
        <v>209</v>
      </c>
      <c r="DD229" s="0" t="s">
        <v>209</v>
      </c>
      <c r="DE229" s="0" t="s">
        <v>4425</v>
      </c>
      <c r="DF229" s="0" t="s">
        <v>525</v>
      </c>
      <c r="DG229" s="0" t="n">
        <v>40.74118</v>
      </c>
      <c r="DH229" s="0" t="n">
        <v>-73.99129</v>
      </c>
      <c r="DI229" s="0" t="s">
        <v>164</v>
      </c>
      <c r="DJ229" s="0" t="n">
        <v>0</v>
      </c>
      <c r="DK229" s="0" t="s">
        <v>2583</v>
      </c>
      <c r="DL229" s="0" t="s">
        <v>2584</v>
      </c>
      <c r="DM229" s="0" t="s">
        <v>4421</v>
      </c>
      <c r="DN229" s="0" t="s">
        <v>4426</v>
      </c>
      <c r="DO229" s="0" t="s">
        <v>363</v>
      </c>
      <c r="DS229" s="0" t="s">
        <v>187</v>
      </c>
      <c r="DU229" s="0" t="s">
        <v>189</v>
      </c>
      <c r="DX229" s="0" t="s">
        <v>209</v>
      </c>
      <c r="EA229" s="0" t="s">
        <v>209</v>
      </c>
      <c r="EB229" s="0" t="s">
        <v>189</v>
      </c>
      <c r="EC229" s="0" t="s">
        <v>209</v>
      </c>
      <c r="EF229" s="0" t="s">
        <v>209</v>
      </c>
      <c r="EH229" s="0" t="s">
        <v>189</v>
      </c>
      <c r="EI229" s="0" t="s">
        <v>2716</v>
      </c>
      <c r="EJ229" s="0" t="s">
        <v>221</v>
      </c>
      <c r="EK229" s="0" t="s">
        <v>209</v>
      </c>
      <c r="EL229" s="0" t="n">
        <v>26</v>
      </c>
      <c r="EM229" s="0" t="n">
        <v>7</v>
      </c>
      <c r="EN229" s="0" t="n">
        <v>8</v>
      </c>
      <c r="EO229" s="0" t="n">
        <v>6</v>
      </c>
      <c r="EP229" s="0" t="n">
        <v>5</v>
      </c>
      <c r="EQ229" s="0" t="n">
        <f aca="false">IF($A229="","",IF(AH229="exact",10,IF(AH229="adjacent",5,0)))</f>
        <v>0</v>
      </c>
      <c r="ER229" s="0" t="n">
        <f aca="false">IF($A229="","",IF(R229="Y",15,0))</f>
        <v>0</v>
      </c>
      <c r="ES229" s="0" t="s">
        <v>222</v>
      </c>
      <c r="EV229" s="0" t="s">
        <v>4427</v>
      </c>
      <c r="EW229" s="0" t="s">
        <v>224</v>
      </c>
      <c r="EX229" s="0" t="s">
        <v>4428</v>
      </c>
      <c r="EZ229" s="0" t="s">
        <v>4429</v>
      </c>
      <c r="FS229" s="0" t="str">
        <f aca="false">IF($A229="","",IF(ISNUMBER(MATCH(U229,{"queued","contacted","replied","call_booked","call_done","yes_in_principle","materials_sent"},0)),"Y","N"))</f>
        <v>N</v>
      </c>
      <c r="FT229" s="0" t="str">
        <f aca="false">IF($A229="","",IF(OR(T229="Y",U229="do_not_contact",AS229&amp;""&lt;&gt;""),"Y","N"))</f>
        <v>N</v>
      </c>
      <c r="FU229" s="0" t="str">
        <f aca="false">IF($A229="","",IF(AP229&amp;""&lt;&gt;"",AP229&amp;"",$A229))</f>
        <v>AO-C-089</v>
      </c>
      <c r="FV229" s="0" t="str">
        <f aca="false">IF($A229="","",IF(COUNTIFS($FU$2:$FU$1000,FU229,$FS$2:$FS$1000,"Y")+COUNTIFS($FU$2:$FU$1000,FU229,$FT$2:$FT$1000,"Y")&gt;0,"Y","N"))</f>
        <v>N</v>
      </c>
      <c r="FW229" s="0" t="str">
        <f aca="false">IF($A229="","",IF(AND(U229="new",T229="N",FT229="N",AT229="Y",FV229="N"),"Y","N"))</f>
        <v>N</v>
      </c>
      <c r="FX229" s="0" t="str">
        <f aca="false">IF($A229="","",IF(FW229&lt;&gt;"Y","N",IF(COUNTIFS($FU$2:$FU$1000,FU229,$FW$2:$FW$1000,"Y",$J$2:$J$1000,"&gt;"&amp;J229)+COUNTIFS($FU$2:$FU$1000,FU229,$FW$2:$FW$1000,"Y",$J$2:$J$1000,J229,$GD$2:$GD$1000,"&lt;"&amp;GD229)=0,"Y","N")))</f>
        <v>N</v>
      </c>
      <c r="FY229" s="0" t="str">
        <f aca="false">IF($A229="","",IF(AND(FW229="Y",FX229="Y",Y229&amp;""&lt;&gt;""),IF(Y229&lt;=10,"Y","N"),"N"))</f>
        <v>N</v>
      </c>
      <c r="FZ229" s="0" t="str">
        <f aca="false">IF(FY229="Y",Y229,"")</f>
        <v/>
      </c>
      <c r="GA229" s="0" t="str">
        <f aca="false">IF($A229="","",IF(AND(I229="walk-in",CN229="pass",U229="new",FT229="N",FV229="N",AQ229&lt;&gt;"Y"),"Y","N"))</f>
        <v>N</v>
      </c>
      <c r="GB229" s="0" t="str">
        <f aca="false">IF(GA229&lt;&gt;"Y","",IF(COUNTIFS($GA$2:$GA$1000,"Y",$J$2:$J$1000,"&gt;"&amp;J229)+COUNTIFS($GA$2:$GA$1000,"Y",$J$2:$J$1000,J229,$GD$2:$GD$1000,"&lt;"&amp;GD229)+1&lt;=25,COUNTIFS($GA$2:$GA$1000,"Y",$J$2:$J$1000,"&gt;"&amp;J229)+COUNTIFS($GA$2:$GA$1000,"Y",$J$2:$J$1000,J229,$GD$2:$GD$1000,"&lt;"&amp;GD229)+1,""))</f>
        <v/>
      </c>
      <c r="GC229" s="0" t="str">
        <f aca="false">IF(AND(_xlfn.ISFORMULA(C229),_xlfn.ISFORMULA(J229)),"Y","N")</f>
        <v>Y</v>
      </c>
      <c r="GD229" s="0" t="n">
        <f aca="false">ROW()-1</f>
        <v>228</v>
      </c>
    </row>
    <row r="230" customFormat="false" ht="15" hidden="false" customHeight="false" outlineLevel="0" collapsed="false">
      <c r="A230" s="0" t="s">
        <v>4430</v>
      </c>
      <c r="B230" s="0" t="s">
        <v>4431</v>
      </c>
      <c r="C230" s="0" t="str">
        <f aca="false">IF($A230="","",IF(AW230="Y",BM230&amp;"",AY230&amp;""))</f>
        <v/>
      </c>
      <c r="D230" s="0" t="str">
        <f aca="false">IF($A230="","",IF(AW230="Y",BN230&amp;"",AZ230&amp;""))</f>
        <v/>
      </c>
      <c r="E230" s="0" t="str">
        <f aca="false">IF($A230="","",IF(AW230="Y",BO230&amp;"",BA230&amp;""))</f>
        <v/>
      </c>
      <c r="F230" s="0" t="str">
        <f aca="false">IF($A230="","",IF(AW230="Y",BP230&amp;"",BB230&amp;""))</f>
        <v/>
      </c>
      <c r="G230" s="0" t="str">
        <f aca="false">IF($A230="","",IF(AW230="Y",BQ230&amp;"",BC230&amp;""))</f>
        <v/>
      </c>
      <c r="H230" s="0" t="str">
        <f aca="false">IF($A230="","",IF(AW230="Y",BR230&amp;"",BD230&amp;""))</f>
        <v>none</v>
      </c>
      <c r="I230" s="0" t="str">
        <f aca="false">IF($A230="","",IF(R230="Y","warm-intro",IF(H230="verified","email",IF(C230&lt;&gt;"","linkedin",CB230&amp;""))))</f>
        <v>linkedin</v>
      </c>
      <c r="J230" s="0" t="n">
        <f aca="false">IF($A230="","",IF(CN230="pass",ROUND(N(EM230)+N(EN230)+N(EO230)+N(EP230)+N(EQ230)+N(ER230),1),0))</f>
        <v>25</v>
      </c>
      <c r="K230" s="0" t="str">
        <f aca="false">IF($A230="","",IF(CN230&lt;&gt;"pass",CA230&amp;"",CA230&amp;"; "&amp;IF(AW230="Y",BZ230&amp;"",BL230&amp;"")&amp;IF(R230="Y","; known to the founder (+15)","")&amp;"."))</f>
        <v>Tuesday headcount unknown (no sourced count), company size unknown with a named parent (Compass, Inc.), no attendance signal, occupancy-unconfirmed at a medium-confidence address; contacts not researched yet.</v>
      </c>
      <c r="L230" s="0" t="s">
        <v>209</v>
      </c>
      <c r="O230" s="0" t="s">
        <v>4432</v>
      </c>
      <c r="P230" s="0" t="s">
        <v>4433</v>
      </c>
      <c r="Q230" s="0" t="s">
        <v>4434</v>
      </c>
      <c r="R230" s="5" t="s">
        <v>189</v>
      </c>
      <c r="S230" s="0" t="s">
        <v>209</v>
      </c>
      <c r="T230" s="0" t="s">
        <v>189</v>
      </c>
      <c r="U230" s="5" t="s">
        <v>3896</v>
      </c>
      <c r="V230" s="0" t="s">
        <v>4433</v>
      </c>
      <c r="W230" s="0" t="s">
        <v>263</v>
      </c>
      <c r="X230" s="0" t="s">
        <v>3897</v>
      </c>
      <c r="Y230" s="0" t="str">
        <f aca="false">IF(FX230&lt;&gt;"Y","",COUNTIFS($FX$2:$FX$1000,"Y",$J$2:$J$1000,"&gt;"&amp;J230)+COUNTIFS($FX$2:$FX$1000,"Y",$J$2:$J$1000,J230,$GD$2:$GD$1000,"&lt;"&amp;GD230)+1)</f>
        <v/>
      </c>
      <c r="Z230" s="0" t="n">
        <v>229</v>
      </c>
      <c r="AA230" s="0" t="s">
        <v>189</v>
      </c>
      <c r="AB230" s="0" t="str">
        <f aca="false">IF($A230="","",IF(AW230="Y",BY230&amp;"",BK230&amp;""))</f>
        <v/>
      </c>
      <c r="AC230" s="0" t="str">
        <f aca="false">IF($A230="","",IF(AW230="Y",BS230&amp;"",BE230&amp;""))</f>
        <v/>
      </c>
      <c r="AD230" s="0" t="str">
        <f aca="false">IF($A230="","",IF(AW230="Y",BT230&amp;"",BF230&amp;""))</f>
        <v>none</v>
      </c>
      <c r="AE230" s="0" t="str">
        <f aca="false">IF($A230="","",IF(AW230="Y",BU230&amp;"",BG230&amp;""))</f>
        <v/>
      </c>
      <c r="AF230" s="0" t="str">
        <f aca="false">IF($A230="","",IF(AW230="Y",BV230&amp;"",BH230&amp;""))</f>
        <v/>
      </c>
      <c r="AG230" s="0" t="str">
        <f aca="false">IF($A230="","",IF(AW230="Y",BW230&amp;"",BI230&amp;""))</f>
        <v/>
      </c>
      <c r="AH230" s="0" t="str">
        <f aca="false">IF($A230="","",IF(AW230="Y",BX230&amp;"",BJ230&amp;""))</f>
        <v>none</v>
      </c>
      <c r="AI230" s="0" t="s">
        <v>3253</v>
      </c>
      <c r="AJ230" s="0" t="s">
        <v>4116</v>
      </c>
      <c r="AK230" s="0" t="s">
        <v>3898</v>
      </c>
      <c r="AL230" s="0" t="s">
        <v>209</v>
      </c>
      <c r="AM230" s="0" t="s">
        <v>209</v>
      </c>
      <c r="AN230" s="0" t="s">
        <v>380</v>
      </c>
      <c r="AO230" s="0" t="s">
        <v>209</v>
      </c>
      <c r="AP230" s="0" t="s">
        <v>4430</v>
      </c>
      <c r="AQ230" s="5" t="s">
        <v>189</v>
      </c>
      <c r="AT230" s="0" t="str">
        <f aca="false">IF($A230="","",IF(AND(CN230="pass",AQ230&lt;&gt;"Y",C230&lt;&gt;"",OR(AX230&lt;&gt;"Y",AV230="Y")),"Y","N"))</f>
        <v>N</v>
      </c>
      <c r="AU230" s="0" t="str">
        <f aca="false">IF($A230="","",_xlfn.TEXTJOIN("; ",TRUE(),IF(CN230&lt;&gt;"pass","gated out",""),IF(AQ230="Y","on hold: "&amp;AR230,""),IF(C230="","no contact named on an opened page",""),IF(AND(AX230="Y",AV230&lt;&gt;"Y"),"Tuesday estimate band "&amp;L230&amp;": founder's call","")))</f>
        <v>no contact named on an opened page</v>
      </c>
      <c r="AX230" s="0" t="s">
        <v>189</v>
      </c>
      <c r="BC230" s="0" t="str">
        <f aca="false">IF($A230="","",IFERROR(INDEX(Enrichment!$A$2:$GZ$2000,MATCH($A230,INDEX(Enrichment!$A$2:$GZ$2000,0,MATCH("row_id",Enrichment!$A$1:$GZ$1,0)),0),MATCH("work_email",Enrichment!$A$1:$GZ$1,0))&amp;"",""))</f>
        <v/>
      </c>
      <c r="BD230" s="0" t="str">
        <f aca="false">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none</v>
      </c>
      <c r="BF230" s="0" t="s">
        <v>380</v>
      </c>
      <c r="BJ230" s="0" t="s">
        <v>380</v>
      </c>
      <c r="BL230" s="0" t="s">
        <v>896</v>
      </c>
      <c r="BQ230" s="0" t="str">
        <f aca="false">IF($A230="","",IFERROR(INDEX(Enrichment!$A$2:$GZ$2000,MATCH($A230,INDEX(Enrichment!$A$2:$GZ$2000,0,MATCH("row_id",Enrichment!$A$1:$GZ$1,0)),0),MATCH("backup_work_email",Enrichment!$A$1:$GZ$1,0))&amp;"",""))</f>
        <v/>
      </c>
      <c r="BR230" s="0" t="str">
        <f aca="false">IF($A230="","",IF(BQ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none</v>
      </c>
      <c r="BT230" s="0" t="s">
        <v>380</v>
      </c>
      <c r="BX230" s="0" t="s">
        <v>380</v>
      </c>
      <c r="BY230" s="0" t="s">
        <v>387</v>
      </c>
      <c r="BZ230" s="0" t="s">
        <v>388</v>
      </c>
      <c r="CA230" s="0" t="s">
        <v>4435</v>
      </c>
      <c r="CB230" s="0" t="s">
        <v>196</v>
      </c>
      <c r="CM230" s="0" t="s">
        <v>189</v>
      </c>
      <c r="CN230" s="0" t="s">
        <v>200</v>
      </c>
      <c r="CO230" s="0" t="s">
        <v>201</v>
      </c>
      <c r="CP230" s="0" t="s">
        <v>1</v>
      </c>
      <c r="CQ230" s="0" t="s">
        <v>4436</v>
      </c>
      <c r="CR230" s="0" t="s">
        <v>4437</v>
      </c>
      <c r="CS230" s="0" t="s">
        <v>1262</v>
      </c>
      <c r="CT230" s="0" t="s">
        <v>209</v>
      </c>
      <c r="CV230" s="0" t="s">
        <v>209</v>
      </c>
      <c r="CW230" s="0" t="s">
        <v>209</v>
      </c>
      <c r="CX230" s="0" t="s">
        <v>2712</v>
      </c>
      <c r="DA230" s="0" t="s">
        <v>209</v>
      </c>
      <c r="DB230" s="0" t="s">
        <v>209</v>
      </c>
      <c r="DC230" s="0" t="s">
        <v>209</v>
      </c>
      <c r="DD230" s="0" t="s">
        <v>4438</v>
      </c>
      <c r="DE230" s="0" t="s">
        <v>4439</v>
      </c>
      <c r="DF230" s="0" t="s">
        <v>311</v>
      </c>
      <c r="DG230" s="0" t="n">
        <v>40.7425</v>
      </c>
      <c r="DH230" s="0" t="n">
        <v>-73.984446</v>
      </c>
      <c r="DI230" s="0" t="s">
        <v>164</v>
      </c>
      <c r="DJ230" s="0" t="n">
        <v>0</v>
      </c>
      <c r="DK230" s="0" t="s">
        <v>3258</v>
      </c>
      <c r="DL230" s="0" t="s">
        <v>3259</v>
      </c>
      <c r="DM230" s="0" t="s">
        <v>4433</v>
      </c>
      <c r="DN230" s="0" t="s">
        <v>4434</v>
      </c>
      <c r="DO230" s="0" t="s">
        <v>363</v>
      </c>
      <c r="DS230" s="0" t="s">
        <v>809</v>
      </c>
      <c r="DU230" s="0" t="s">
        <v>189</v>
      </c>
      <c r="DX230" s="0" t="s">
        <v>209</v>
      </c>
      <c r="EA230" s="0" t="s">
        <v>209</v>
      </c>
      <c r="EB230" s="0" t="s">
        <v>189</v>
      </c>
      <c r="EC230" s="0" t="s">
        <v>209</v>
      </c>
      <c r="EF230" s="0" t="s">
        <v>209</v>
      </c>
      <c r="EH230" s="0" t="s">
        <v>189</v>
      </c>
      <c r="EI230" s="0" t="s">
        <v>2716</v>
      </c>
      <c r="EJ230" s="0" t="s">
        <v>221</v>
      </c>
      <c r="EK230" s="0" t="s">
        <v>209</v>
      </c>
      <c r="EL230" s="0" t="n">
        <v>25</v>
      </c>
      <c r="EM230" s="0" t="n">
        <v>7</v>
      </c>
      <c r="EN230" s="0" t="n">
        <v>4</v>
      </c>
      <c r="EO230" s="0" t="n">
        <v>6</v>
      </c>
      <c r="EP230" s="0" t="n">
        <v>8</v>
      </c>
      <c r="EQ230" s="0" t="n">
        <f aca="false">IF($A230="","",IF(AH230="exact",10,IF(AH230="adjacent",5,0)))</f>
        <v>0</v>
      </c>
      <c r="ER230" s="0" t="n">
        <f aca="false">IF($A230="","",IF(R230="Y",15,0))</f>
        <v>0</v>
      </c>
      <c r="ES230" s="0" t="s">
        <v>222</v>
      </c>
      <c r="EV230" s="0" t="s">
        <v>4440</v>
      </c>
      <c r="EW230" s="0" t="s">
        <v>224</v>
      </c>
      <c r="EX230" s="0" t="s">
        <v>4441</v>
      </c>
      <c r="EZ230" s="0" t="s">
        <v>4442</v>
      </c>
      <c r="FS230" s="0" t="str">
        <f aca="false">IF($A230="","",IF(ISNUMBER(MATCH(U230,{"queued","contacted","replied","call_booked","call_done","yes_in_principle","materials_sent"},0)),"Y","N"))</f>
        <v>N</v>
      </c>
      <c r="FT230" s="0" t="str">
        <f aca="false">IF($A230="","",IF(OR(T230="Y",U230="do_not_contact",AS230&amp;""&lt;&gt;""),"Y","N"))</f>
        <v>N</v>
      </c>
      <c r="FU230" s="0" t="str">
        <f aca="false">IF($A230="","",IF(AP230&amp;""&lt;&gt;"",AP230&amp;"",$A230))</f>
        <v>AO-C-150</v>
      </c>
      <c r="FV230" s="0" t="str">
        <f aca="false">IF($A230="","",IF(COUNTIFS($FU$2:$FU$1000,FU230,$FS$2:$FS$1000,"Y")+COUNTIFS($FU$2:$FU$1000,FU230,$FT$2:$FT$1000,"Y")&gt;0,"Y","N"))</f>
        <v>N</v>
      </c>
      <c r="FW230" s="0" t="str">
        <f aca="false">IF($A230="","",IF(AND(U230="new",T230="N",FT230="N",AT230="Y",FV230="N"),"Y","N"))</f>
        <v>N</v>
      </c>
      <c r="FX230" s="0" t="str">
        <f aca="false">IF($A230="","",IF(FW230&lt;&gt;"Y","N",IF(COUNTIFS($FU$2:$FU$1000,FU230,$FW$2:$FW$1000,"Y",$J$2:$J$1000,"&gt;"&amp;J230)+COUNTIFS($FU$2:$FU$1000,FU230,$FW$2:$FW$1000,"Y",$J$2:$J$1000,J230,$GD$2:$GD$1000,"&lt;"&amp;GD230)=0,"Y","N")))</f>
        <v>N</v>
      </c>
      <c r="FY230" s="0" t="str">
        <f aca="false">IF($A230="","",IF(AND(FW230="Y",FX230="Y",Y230&amp;""&lt;&gt;""),IF(Y230&lt;=10,"Y","N"),"N"))</f>
        <v>N</v>
      </c>
      <c r="FZ230" s="0" t="str">
        <f aca="false">IF(FY230="Y",Y230,"")</f>
        <v/>
      </c>
      <c r="GA230" s="0" t="str">
        <f aca="false">IF($A230="","",IF(AND(I230="walk-in",CN230="pass",U230="new",FT230="N",FV230="N",AQ230&lt;&gt;"Y"),"Y","N"))</f>
        <v>N</v>
      </c>
      <c r="GB230" s="0" t="str">
        <f aca="false">IF(GA230&lt;&gt;"Y","",IF(COUNTIFS($GA$2:$GA$1000,"Y",$J$2:$J$1000,"&gt;"&amp;J230)+COUNTIFS($GA$2:$GA$1000,"Y",$J$2:$J$1000,J230,$GD$2:$GD$1000,"&lt;"&amp;GD230)+1&lt;=25,COUNTIFS($GA$2:$GA$1000,"Y",$J$2:$J$1000,"&gt;"&amp;J230)+COUNTIFS($GA$2:$GA$1000,"Y",$J$2:$J$1000,J230,$GD$2:$GD$1000,"&lt;"&amp;GD230)+1,""))</f>
        <v/>
      </c>
      <c r="GC230" s="0" t="str">
        <f aca="false">IF(AND(_xlfn.ISFORMULA(C230),_xlfn.ISFORMULA(J230)),"Y","N")</f>
        <v>Y</v>
      </c>
      <c r="GD230" s="0" t="n">
        <f aca="false">ROW()-1</f>
        <v>229</v>
      </c>
    </row>
    <row r="231" customFormat="false" ht="15" hidden="false" customHeight="false" outlineLevel="0" collapsed="false">
      <c r="A231" s="0" t="s">
        <v>4443</v>
      </c>
      <c r="B231" s="0" t="s">
        <v>4444</v>
      </c>
      <c r="C231" s="0" t="str">
        <f aca="false">IF($A231="","",IF(AW231="Y",BM231&amp;"",AY231&amp;""))</f>
        <v/>
      </c>
      <c r="D231" s="0" t="str">
        <f aca="false">IF($A231="","",IF(AW231="Y",BN231&amp;"",AZ231&amp;""))</f>
        <v/>
      </c>
      <c r="E231" s="0" t="str">
        <f aca="false">IF($A231="","",IF(AW231="Y",BO231&amp;"",BA231&amp;""))</f>
        <v/>
      </c>
      <c r="F231" s="0" t="str">
        <f aca="false">IF($A231="","",IF(AW231="Y",BP231&amp;"",BB231&amp;""))</f>
        <v/>
      </c>
      <c r="G231" s="0" t="str">
        <f aca="false">IF($A231="","",IF(AW231="Y",BQ231&amp;"",BC231&amp;""))</f>
        <v/>
      </c>
      <c r="H231" s="0" t="str">
        <f aca="false">IF($A231="","",IF(AW231="Y",BR231&amp;"",BD231&amp;""))</f>
        <v>none</v>
      </c>
      <c r="I231" s="0" t="str">
        <f aca="false">IF($A231="","",IF(R231="Y","warm-intro",IF(H231="verified","email",IF(C231&lt;&gt;"","linkedin",CB231&amp;""))))</f>
        <v>linkedin</v>
      </c>
      <c r="J231" s="0" t="n">
        <f aca="false">IF($A231="","",IF(CN231="pass",ROUND(N(EM231)+N(EN231)+N(EO231)+N(EP231)+N(EQ231)+N(ER231),1),0))</f>
        <v>23.5</v>
      </c>
      <c r="K231" s="0" t="str">
        <f aca="false">IF($A231="","",IF(CN231&lt;&gt;"pass",CA231&amp;"",CA231&amp;"; "&amp;IF(AW231="Y",BZ231&amp;"",BL231&amp;"")&amp;IF(R231="Y","; known to the founder (+15)","")&amp;"."))</f>
        <v>Tuesday estimate 240 to 480 (low confidence), 1,001 to 4,999 staff company-wide, on-site 5 days a week per its profile, occupancy-unconfirmed at a low-confidence address; contacts not researched yet.</v>
      </c>
      <c r="L231" s="0" t="s">
        <v>355</v>
      </c>
      <c r="R231" s="5" t="s">
        <v>189</v>
      </c>
      <c r="S231" s="0" t="s">
        <v>209</v>
      </c>
      <c r="T231" s="0" t="s">
        <v>189</v>
      </c>
      <c r="U231" s="5" t="s">
        <v>3896</v>
      </c>
      <c r="V231" s="0" t="s">
        <v>4445</v>
      </c>
      <c r="W231" s="0" t="s">
        <v>263</v>
      </c>
      <c r="X231" s="0" t="s">
        <v>3897</v>
      </c>
      <c r="Y231" s="0" t="str">
        <f aca="false">IF(FX231&lt;&gt;"Y","",COUNTIFS($FX$2:$FX$1000,"Y",$J$2:$J$1000,"&gt;"&amp;J231)+COUNTIFS($FX$2:$FX$1000,"Y",$J$2:$J$1000,J231,$GD$2:$GD$1000,"&lt;"&amp;GD231)+1)</f>
        <v/>
      </c>
      <c r="Z231" s="0" t="n">
        <v>230</v>
      </c>
      <c r="AA231" s="0" t="s">
        <v>189</v>
      </c>
      <c r="AB231" s="0" t="str">
        <f aca="false">IF($A231="","",IF(AW231="Y",BY231&amp;"",BK231&amp;""))</f>
        <v>Tuesday estimate band 251-500: founder's call (set founder_ok_to_queue = Y to queue)</v>
      </c>
      <c r="AC231" s="0" t="str">
        <f aca="false">IF($A231="","",IF(AW231="Y",BS231&amp;"",BE231&amp;""))</f>
        <v/>
      </c>
      <c r="AD231" s="0" t="str">
        <f aca="false">IF($A231="","",IF(AW231="Y",BT231&amp;"",BF231&amp;""))</f>
        <v>none</v>
      </c>
      <c r="AE231" s="0" t="str">
        <f aca="false">IF($A231="","",IF(AW231="Y",BU231&amp;"",BG231&amp;""))</f>
        <v/>
      </c>
      <c r="AF231" s="0" t="str">
        <f aca="false">IF($A231="","",IF(AW231="Y",BV231&amp;"",BH231&amp;""))</f>
        <v/>
      </c>
      <c r="AG231" s="0" t="str">
        <f aca="false">IF($A231="","",IF(AW231="Y",BW231&amp;"",BI231&amp;""))</f>
        <v/>
      </c>
      <c r="AH231" s="0" t="str">
        <f aca="false">IF($A231="","",IF(AW231="Y",BX231&amp;"",BJ231&amp;""))</f>
        <v>none</v>
      </c>
      <c r="AI231" s="0" t="s">
        <v>2960</v>
      </c>
      <c r="AJ231" s="0" t="s">
        <v>209</v>
      </c>
      <c r="AK231" s="0" t="s">
        <v>3898</v>
      </c>
      <c r="AL231" s="0" t="n">
        <v>240</v>
      </c>
      <c r="AM231" s="0" t="n">
        <v>480</v>
      </c>
      <c r="AN231" s="0" t="s">
        <v>187</v>
      </c>
      <c r="AO231" s="0" t="s">
        <v>188</v>
      </c>
      <c r="AP231" s="0" t="s">
        <v>4443</v>
      </c>
      <c r="AQ231" s="5" t="s">
        <v>189</v>
      </c>
      <c r="AT231" s="0" t="str">
        <f aca="false">IF($A231="","",IF(AND(CN231="pass",AQ231&lt;&gt;"Y",C231&lt;&gt;"",OR(AX231&lt;&gt;"Y",AV231="Y")),"Y","N"))</f>
        <v>N</v>
      </c>
      <c r="AU231" s="0" t="str">
        <f aca="false">IF($A231="","",_xlfn.TEXTJOIN("; ",TRUE(),IF(CN231&lt;&gt;"pass","gated out",""),IF(AQ231="Y","on hold: "&amp;AR231,""),IF(C231="","no contact named on an opened page",""),IF(AND(AX231="Y",AV231&lt;&gt;"Y"),"Tuesday estimate band "&amp;L231&amp;": founder's call","")))</f>
        <v>no contact named on an opened page; Tuesday estimate band 251-500: founder's call</v>
      </c>
      <c r="AX231" s="0" t="s">
        <v>164</v>
      </c>
      <c r="BC231" s="0" t="str">
        <f aca="false">IF($A231="","",IFERROR(INDEX(Enrichment!$A$2:$GZ$2000,MATCH($A231,INDEX(Enrichment!$A$2:$GZ$2000,0,MATCH("row_id",Enrichment!$A$1:$GZ$1,0)),0),MATCH("work_email",Enrichment!$A$1:$GZ$1,0))&amp;"",""))</f>
        <v/>
      </c>
      <c r="BD231" s="0" t="str">
        <f aca="false">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none</v>
      </c>
      <c r="BF231" s="0" t="s">
        <v>380</v>
      </c>
      <c r="BJ231" s="0" t="s">
        <v>380</v>
      </c>
      <c r="BK231" s="0" t="s">
        <v>2356</v>
      </c>
      <c r="BL231" s="0" t="s">
        <v>896</v>
      </c>
      <c r="BQ231" s="0" t="str">
        <f aca="false">IF($A231="","",IFERROR(INDEX(Enrichment!$A$2:$GZ$2000,MATCH($A231,INDEX(Enrichment!$A$2:$GZ$2000,0,MATCH("row_id",Enrichment!$A$1:$GZ$1,0)),0),MATCH("backup_work_email",Enrichment!$A$1:$GZ$1,0))&amp;"",""))</f>
        <v/>
      </c>
      <c r="BR231" s="0" t="str">
        <f aca="false">IF($A231="","",IF(BQ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none</v>
      </c>
      <c r="BT231" s="0" t="s">
        <v>380</v>
      </c>
      <c r="BX231" s="0" t="s">
        <v>380</v>
      </c>
      <c r="BY231" s="0" t="s">
        <v>2357</v>
      </c>
      <c r="BZ231" s="0" t="s">
        <v>388</v>
      </c>
      <c r="CA231" s="0" t="s">
        <v>4446</v>
      </c>
      <c r="CB231" s="0" t="s">
        <v>196</v>
      </c>
      <c r="CM231" s="0" t="s">
        <v>189</v>
      </c>
      <c r="CN231" s="0" t="s">
        <v>200</v>
      </c>
      <c r="CO231" s="0" t="s">
        <v>201</v>
      </c>
      <c r="CP231" s="0" t="s">
        <v>1</v>
      </c>
      <c r="CQ231" s="0" t="s">
        <v>4447</v>
      </c>
      <c r="CR231" s="0" t="s">
        <v>209</v>
      </c>
      <c r="CS231" s="0" t="s">
        <v>4448</v>
      </c>
      <c r="CT231" s="0" t="s">
        <v>4449</v>
      </c>
      <c r="CV231" s="0" t="s">
        <v>976</v>
      </c>
      <c r="CW231" s="0" t="s">
        <v>204</v>
      </c>
      <c r="CX231" s="0" t="s">
        <v>205</v>
      </c>
      <c r="CY231" s="0" t="s">
        <v>4450</v>
      </c>
      <c r="DA231" s="0" t="s">
        <v>978</v>
      </c>
      <c r="DB231" s="0" t="s">
        <v>4451</v>
      </c>
      <c r="DC231" s="0" t="s">
        <v>189</v>
      </c>
      <c r="DD231" s="0" t="s">
        <v>209</v>
      </c>
      <c r="DE231" s="0" t="s">
        <v>209</v>
      </c>
      <c r="DF231" s="0" t="s">
        <v>311</v>
      </c>
      <c r="DG231" s="0" t="n">
        <v>40.746186</v>
      </c>
      <c r="DH231" s="0" t="n">
        <v>-73.985981</v>
      </c>
      <c r="DI231" s="0" t="s">
        <v>164</v>
      </c>
      <c r="DJ231" s="0" t="n">
        <v>0</v>
      </c>
      <c r="DK231" s="0" t="s">
        <v>2966</v>
      </c>
      <c r="DL231" s="0" t="s">
        <v>2967</v>
      </c>
      <c r="DM231" s="0" t="s">
        <v>4445</v>
      </c>
      <c r="DN231" s="0" t="s">
        <v>4452</v>
      </c>
      <c r="DO231" s="0" t="s">
        <v>363</v>
      </c>
      <c r="DS231" s="0" t="s">
        <v>187</v>
      </c>
      <c r="DU231" s="0" t="s">
        <v>189</v>
      </c>
      <c r="DX231" s="0" t="s">
        <v>209</v>
      </c>
      <c r="EA231" s="0" t="s">
        <v>209</v>
      </c>
      <c r="EB231" s="0" t="s">
        <v>189</v>
      </c>
      <c r="EC231" s="0" t="s">
        <v>655</v>
      </c>
      <c r="ED231" s="0" t="s">
        <v>4450</v>
      </c>
      <c r="EE231" s="0" t="s">
        <v>172</v>
      </c>
      <c r="EF231" s="0" t="n">
        <v>339</v>
      </c>
      <c r="EG231" s="0" t="s">
        <v>366</v>
      </c>
      <c r="EH231" s="0" t="s">
        <v>164</v>
      </c>
      <c r="EI231" s="0" t="s">
        <v>4453</v>
      </c>
      <c r="EJ231" s="0" t="s">
        <v>221</v>
      </c>
      <c r="EK231" s="0" t="n">
        <v>0.06</v>
      </c>
      <c r="EL231" s="0" t="n">
        <v>23.5</v>
      </c>
      <c r="EM231" s="0" t="n">
        <v>1.5</v>
      </c>
      <c r="EN231" s="0" t="n">
        <v>2</v>
      </c>
      <c r="EO231" s="0" t="n">
        <v>15</v>
      </c>
      <c r="EP231" s="0" t="n">
        <v>5</v>
      </c>
      <c r="EQ231" s="0" t="n">
        <f aca="false">IF($A231="","",IF(AH231="exact",10,IF(AH231="adjacent",5,0)))</f>
        <v>0</v>
      </c>
      <c r="ER231" s="0" t="n">
        <f aca="false">IF($A231="","",IF(R231="Y",15,0))</f>
        <v>0</v>
      </c>
      <c r="ES231" s="0" t="s">
        <v>982</v>
      </c>
      <c r="ET231" s="0" t="s">
        <v>983</v>
      </c>
      <c r="EU231" s="0" t="s">
        <v>189</v>
      </c>
      <c r="EV231" s="0" t="s">
        <v>4454</v>
      </c>
      <c r="EW231" s="0" t="s">
        <v>224</v>
      </c>
      <c r="EX231" s="0" t="s">
        <v>4455</v>
      </c>
      <c r="FS231" s="0" t="str">
        <f aca="false">IF($A231="","",IF(ISNUMBER(MATCH(U231,{"queued","contacted","replied","call_booked","call_done","yes_in_principle","materials_sent"},0)),"Y","N"))</f>
        <v>N</v>
      </c>
      <c r="FT231" s="0" t="str">
        <f aca="false">IF($A231="","",IF(OR(T231="Y",U231="do_not_contact",AS231&amp;""&lt;&gt;""),"Y","N"))</f>
        <v>N</v>
      </c>
      <c r="FU231" s="0" t="str">
        <f aca="false">IF($A231="","",IF(AP231&amp;""&lt;&gt;"",AP231&amp;"",$A231))</f>
        <v>AO-C-268</v>
      </c>
      <c r="FV231" s="0" t="str">
        <f aca="false">IF($A231="","",IF(COUNTIFS($FU$2:$FU$1000,FU231,$FS$2:$FS$1000,"Y")+COUNTIFS($FU$2:$FU$1000,FU231,$FT$2:$FT$1000,"Y")&gt;0,"Y","N"))</f>
        <v>N</v>
      </c>
      <c r="FW231" s="0" t="str">
        <f aca="false">IF($A231="","",IF(AND(U231="new",T231="N",FT231="N",AT231="Y",FV231="N"),"Y","N"))</f>
        <v>N</v>
      </c>
      <c r="FX231" s="0" t="str">
        <f aca="false">IF($A231="","",IF(FW231&lt;&gt;"Y","N",IF(COUNTIFS($FU$2:$FU$1000,FU231,$FW$2:$FW$1000,"Y",$J$2:$J$1000,"&gt;"&amp;J231)+COUNTIFS($FU$2:$FU$1000,FU231,$FW$2:$FW$1000,"Y",$J$2:$J$1000,J231,$GD$2:$GD$1000,"&lt;"&amp;GD231)=0,"Y","N")))</f>
        <v>N</v>
      </c>
      <c r="FY231" s="0" t="str">
        <f aca="false">IF($A231="","",IF(AND(FW231="Y",FX231="Y",Y231&amp;""&lt;&gt;""),IF(Y231&lt;=10,"Y","N"),"N"))</f>
        <v>N</v>
      </c>
      <c r="FZ231" s="0" t="str">
        <f aca="false">IF(FY231="Y",Y231,"")</f>
        <v/>
      </c>
      <c r="GA231" s="0" t="str">
        <f aca="false">IF($A231="","",IF(AND(I231="walk-in",CN231="pass",U231="new",FT231="N",FV231="N",AQ231&lt;&gt;"Y"),"Y","N"))</f>
        <v>N</v>
      </c>
      <c r="GB231" s="0" t="str">
        <f aca="false">IF(GA231&lt;&gt;"Y","",IF(COUNTIFS($GA$2:$GA$1000,"Y",$J$2:$J$1000,"&gt;"&amp;J231)+COUNTIFS($GA$2:$GA$1000,"Y",$J$2:$J$1000,J231,$GD$2:$GD$1000,"&lt;"&amp;GD231)+1&lt;=25,COUNTIFS($GA$2:$GA$1000,"Y",$J$2:$J$1000,"&gt;"&amp;J231)+COUNTIFS($GA$2:$GA$1000,"Y",$J$2:$J$1000,J231,$GD$2:$GD$1000,"&lt;"&amp;GD231)+1,""))</f>
        <v/>
      </c>
      <c r="GC231" s="0" t="str">
        <f aca="false">IF(AND(_xlfn.ISFORMULA(C231),_xlfn.ISFORMULA(J231)),"Y","N")</f>
        <v>Y</v>
      </c>
      <c r="GD231" s="0" t="n">
        <f aca="false">ROW()-1</f>
        <v>230</v>
      </c>
    </row>
    <row r="232" customFormat="false" ht="15" hidden="false" customHeight="false" outlineLevel="0" collapsed="false">
      <c r="A232" s="0" t="s">
        <v>4456</v>
      </c>
      <c r="B232" s="0" t="s">
        <v>4457</v>
      </c>
      <c r="C232" s="0" t="str">
        <f aca="false">IF($A232="","",IF(AW232="Y",BM232&amp;"",AY232&amp;""))</f>
        <v/>
      </c>
      <c r="D232" s="0" t="str">
        <f aca="false">IF($A232="","",IF(AW232="Y",BN232&amp;"",AZ232&amp;""))</f>
        <v/>
      </c>
      <c r="E232" s="0" t="str">
        <f aca="false">IF($A232="","",IF(AW232="Y",BO232&amp;"",BA232&amp;""))</f>
        <v/>
      </c>
      <c r="F232" s="0" t="str">
        <f aca="false">IF($A232="","",IF(AW232="Y",BP232&amp;"",BB232&amp;""))</f>
        <v/>
      </c>
      <c r="G232" s="0" t="str">
        <f aca="false">IF($A232="","",IF(AW232="Y",BQ232&amp;"",BC232&amp;""))</f>
        <v/>
      </c>
      <c r="H232" s="0" t="str">
        <f aca="false">IF($A232="","",IF(AW232="Y",BR232&amp;"",BD232&amp;""))</f>
        <v>none</v>
      </c>
      <c r="I232" s="0" t="str">
        <f aca="false">IF($A232="","",IF(R232="Y","warm-intro",IF(H232="verified","email",IF(C232&lt;&gt;"","linkedin",CB232&amp;""))))</f>
        <v>linkedin</v>
      </c>
      <c r="J232" s="0" t="n">
        <f aca="false">IF($A232="","",IF(CN232="pass",ROUND(N(EM232)+N(EN232)+N(EO232)+N(EP232)+N(EQ232)+N(ER232),1),0))</f>
        <v>23.1</v>
      </c>
      <c r="K232" s="0" t="str">
        <f aca="false">IF($A232="","",IF(CN232&lt;&gt;"pass",CA232&amp;"",CA232&amp;"; "&amp;IF(AW232="Y",BZ232&amp;"",BL232&amp;"")&amp;IF(R232="Y","; known to the founder (+15)","")&amp;"."))</f>
        <v>Tuesday estimate 136 to 720 (low confidence), 1,001 to 4,999 staff company-wide, hybrid (days not stated), moving-out at a high-confidence address (hold: moving out of this address); contacts not researched yet.</v>
      </c>
      <c r="L232" s="0" t="s">
        <v>355</v>
      </c>
      <c r="R232" s="5" t="s">
        <v>189</v>
      </c>
      <c r="S232" s="0" t="s">
        <v>209</v>
      </c>
      <c r="T232" s="0" t="s">
        <v>189</v>
      </c>
      <c r="U232" s="5" t="s">
        <v>3896</v>
      </c>
      <c r="V232" s="0" t="s">
        <v>4458</v>
      </c>
      <c r="W232" s="0" t="s">
        <v>263</v>
      </c>
      <c r="X232" s="0" t="s">
        <v>3897</v>
      </c>
      <c r="Y232" s="0" t="str">
        <f aca="false">IF(FX232&lt;&gt;"Y","",COUNTIFS($FX$2:$FX$1000,"Y",$J$2:$J$1000,"&gt;"&amp;J232)+COUNTIFS($FX$2:$FX$1000,"Y",$J$2:$J$1000,J232,$GD$2:$GD$1000,"&lt;"&amp;GD232)+1)</f>
        <v/>
      </c>
      <c r="Z232" s="0" t="n">
        <v>231</v>
      </c>
      <c r="AA232" s="0" t="s">
        <v>189</v>
      </c>
      <c r="AB232" s="0" t="str">
        <f aca="false">IF($A232="","",IF(AW232="Y",BY232&amp;"",BK232&amp;""))</f>
        <v>Tuesday estimate band 251-500: founder's call (set founder_ok_to_queue = Y to queue)</v>
      </c>
      <c r="AC232" s="0" t="str">
        <f aca="false">IF($A232="","",IF(AW232="Y",BS232&amp;"",BE232&amp;""))</f>
        <v/>
      </c>
      <c r="AD232" s="0" t="str">
        <f aca="false">IF($A232="","",IF(AW232="Y",BT232&amp;"",BF232&amp;""))</f>
        <v>none</v>
      </c>
      <c r="AE232" s="0" t="str">
        <f aca="false">IF($A232="","",IF(AW232="Y",BU232&amp;"",BG232&amp;""))</f>
        <v/>
      </c>
      <c r="AF232" s="0" t="str">
        <f aca="false">IF($A232="","",IF(AW232="Y",BV232&amp;"",BH232&amp;""))</f>
        <v/>
      </c>
      <c r="AG232" s="0" t="str">
        <f aca="false">IF($A232="","",IF(AW232="Y",BW232&amp;"",BI232&amp;""))</f>
        <v/>
      </c>
      <c r="AH232" s="0" t="str">
        <f aca="false">IF($A232="","",IF(AW232="Y",BX232&amp;"",BJ232&amp;""))</f>
        <v>none</v>
      </c>
      <c r="AI232" s="0" t="s">
        <v>3047</v>
      </c>
      <c r="AJ232" s="0" t="s">
        <v>623</v>
      </c>
      <c r="AK232" s="0" t="s">
        <v>4459</v>
      </c>
      <c r="AL232" s="0" t="n">
        <v>136</v>
      </c>
      <c r="AM232" s="0" t="n">
        <v>720</v>
      </c>
      <c r="AN232" s="0" t="s">
        <v>187</v>
      </c>
      <c r="AO232" s="0" t="s">
        <v>512</v>
      </c>
      <c r="AP232" s="0" t="s">
        <v>4456</v>
      </c>
      <c r="AQ232" s="5" t="s">
        <v>164</v>
      </c>
      <c r="AR232" s="0" t="s">
        <v>2978</v>
      </c>
      <c r="AT232" s="0" t="str">
        <f aca="false">IF($A232="","",IF(AND(CN232="pass",AQ232&lt;&gt;"Y",C232&lt;&gt;"",OR(AX232&lt;&gt;"Y",AV232="Y")),"Y","N"))</f>
        <v>N</v>
      </c>
      <c r="AU232" s="0" t="str">
        <f aca="false">IF($A232="","",_xlfn.TEXTJOIN("; ",TRUE(),IF(CN232&lt;&gt;"pass","gated out",""),IF(AQ232="Y","on hold: "&amp;AR232,""),IF(C232="","no contact named on an opened page",""),IF(AND(AX232="Y",AV232&lt;&gt;"Y"),"Tuesday estimate band "&amp;L232&amp;": founder's call","")))</f>
        <v>on hold: moving out of this address: confirm where the office will be before outreach (B); no contact named on an opened page; Tuesday estimate band 251-500: founder's call</v>
      </c>
      <c r="AX232" s="0" t="s">
        <v>164</v>
      </c>
      <c r="BC232" s="0" t="str">
        <f aca="false">IF($A232="","",IFERROR(INDEX(Enrichment!$A$2:$GZ$2000,MATCH($A232,INDEX(Enrichment!$A$2:$GZ$2000,0,MATCH("row_id",Enrichment!$A$1:$GZ$1,0)),0),MATCH("work_email",Enrichment!$A$1:$GZ$1,0))&amp;"",""))</f>
        <v/>
      </c>
      <c r="BD232" s="0" t="str">
        <f aca="false">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none</v>
      </c>
      <c r="BF232" s="0" t="s">
        <v>380</v>
      </c>
      <c r="BJ232" s="0" t="s">
        <v>380</v>
      </c>
      <c r="BK232" s="0" t="s">
        <v>2356</v>
      </c>
      <c r="BL232" s="0" t="s">
        <v>896</v>
      </c>
      <c r="BQ232" s="0" t="str">
        <f aca="false">IF($A232="","",IFERROR(INDEX(Enrichment!$A$2:$GZ$2000,MATCH($A232,INDEX(Enrichment!$A$2:$GZ$2000,0,MATCH("row_id",Enrichment!$A$1:$GZ$1,0)),0),MATCH("backup_work_email",Enrichment!$A$1:$GZ$1,0))&amp;"",""))</f>
        <v/>
      </c>
      <c r="BR232" s="0" t="str">
        <f aca="false">IF($A232="","",IF(BQ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none</v>
      </c>
      <c r="BT232" s="0" t="s">
        <v>380</v>
      </c>
      <c r="BX232" s="0" t="s">
        <v>380</v>
      </c>
      <c r="BY232" s="0" t="s">
        <v>2357</v>
      </c>
      <c r="BZ232" s="0" t="s">
        <v>388</v>
      </c>
      <c r="CA232" s="0" t="s">
        <v>4460</v>
      </c>
      <c r="CB232" s="0" t="s">
        <v>196</v>
      </c>
      <c r="CM232" s="0" t="s">
        <v>189</v>
      </c>
      <c r="CN232" s="0" t="s">
        <v>200</v>
      </c>
      <c r="CO232" s="0" t="s">
        <v>201</v>
      </c>
      <c r="CP232" s="0" t="s">
        <v>1</v>
      </c>
      <c r="CQ232" s="0" t="s">
        <v>4461</v>
      </c>
      <c r="CR232" s="0" t="s">
        <v>4462</v>
      </c>
      <c r="CS232" s="0" t="s">
        <v>4463</v>
      </c>
      <c r="CT232" s="0" t="s">
        <v>4464</v>
      </c>
      <c r="CV232" s="0" t="s">
        <v>976</v>
      </c>
      <c r="CW232" s="0" t="s">
        <v>204</v>
      </c>
      <c r="CX232" s="0" t="s">
        <v>205</v>
      </c>
      <c r="CY232" s="0" t="s">
        <v>4465</v>
      </c>
      <c r="DA232" s="0" t="s">
        <v>978</v>
      </c>
      <c r="DB232" s="0" t="s">
        <v>209</v>
      </c>
      <c r="DC232" s="0" t="s">
        <v>209</v>
      </c>
      <c r="DD232" s="0" t="s">
        <v>209</v>
      </c>
      <c r="DE232" s="0" t="s">
        <v>4466</v>
      </c>
      <c r="DF232" s="0" t="s">
        <v>210</v>
      </c>
      <c r="DG232" s="0" t="n">
        <v>40.736419</v>
      </c>
      <c r="DH232" s="0" t="n">
        <v>-73.993096</v>
      </c>
      <c r="DI232" s="0" t="s">
        <v>164</v>
      </c>
      <c r="DJ232" s="0" t="n">
        <v>0</v>
      </c>
      <c r="DK232" s="0" t="s">
        <v>3053</v>
      </c>
      <c r="DL232" s="0" t="s">
        <v>3047</v>
      </c>
      <c r="DM232" s="0" t="s">
        <v>4458</v>
      </c>
      <c r="DN232" s="0" t="s">
        <v>263</v>
      </c>
      <c r="DO232" s="0" t="s">
        <v>214</v>
      </c>
      <c r="DP232" s="0" t="s">
        <v>4467</v>
      </c>
      <c r="DQ232" s="0" t="s">
        <v>4468</v>
      </c>
      <c r="DS232" s="0" t="s">
        <v>217</v>
      </c>
      <c r="DT232" s="0" t="s">
        <v>209</v>
      </c>
      <c r="DU232" s="0" t="s">
        <v>189</v>
      </c>
      <c r="DX232" s="0" t="s">
        <v>209</v>
      </c>
      <c r="EA232" s="0" t="s">
        <v>209</v>
      </c>
      <c r="EB232" s="0" t="s">
        <v>189</v>
      </c>
      <c r="EC232" s="0" t="s">
        <v>1018</v>
      </c>
      <c r="ED232" s="0" t="s">
        <v>4469</v>
      </c>
      <c r="EE232" s="0" t="s">
        <v>172</v>
      </c>
      <c r="EF232" s="0" t="n">
        <v>313</v>
      </c>
      <c r="EG232" s="0" t="s">
        <v>366</v>
      </c>
      <c r="EH232" s="0" t="s">
        <v>164</v>
      </c>
      <c r="EI232" s="0" t="s">
        <v>4470</v>
      </c>
      <c r="EJ232" s="0" t="s">
        <v>221</v>
      </c>
      <c r="EK232" s="0" t="n">
        <v>0.37</v>
      </c>
      <c r="EL232" s="0" t="n">
        <v>23.1</v>
      </c>
      <c r="EM232" s="0" t="n">
        <v>9.1</v>
      </c>
      <c r="EN232" s="0" t="n">
        <v>2</v>
      </c>
      <c r="EO232" s="0" t="n">
        <v>7</v>
      </c>
      <c r="EP232" s="0" t="n">
        <v>5</v>
      </c>
      <c r="EQ232" s="0" t="n">
        <f aca="false">IF($A232="","",IF(AH232="exact",10,IF(AH232="adjacent",5,0)))</f>
        <v>0</v>
      </c>
      <c r="ER232" s="0" t="n">
        <f aca="false">IF($A232="","",IF(R232="Y",15,0))</f>
        <v>0</v>
      </c>
      <c r="ES232" s="0" t="s">
        <v>982</v>
      </c>
      <c r="ET232" s="0" t="s">
        <v>983</v>
      </c>
      <c r="EU232" s="0" t="s">
        <v>189</v>
      </c>
      <c r="EV232" s="0" t="s">
        <v>4471</v>
      </c>
      <c r="EW232" s="0" t="s">
        <v>224</v>
      </c>
      <c r="EX232" s="0" t="s">
        <v>4472</v>
      </c>
      <c r="EZ232" s="0" t="s">
        <v>4473</v>
      </c>
      <c r="FS232" s="0" t="str">
        <f aca="false">IF($A232="","",IF(ISNUMBER(MATCH(U232,{"queued","contacted","replied","call_booked","call_done","yes_in_principle","materials_sent"},0)),"Y","N"))</f>
        <v>N</v>
      </c>
      <c r="FT232" s="0" t="str">
        <f aca="false">IF($A232="","",IF(OR(T232="Y",U232="do_not_contact",AS232&amp;""&lt;&gt;""),"Y","N"))</f>
        <v>N</v>
      </c>
      <c r="FU232" s="0" t="str">
        <f aca="false">IF($A232="","",IF(AP232&amp;""&lt;&gt;"",AP232&amp;"",$A232))</f>
        <v>AO-C-182</v>
      </c>
      <c r="FV232" s="0" t="str">
        <f aca="false">IF($A232="","",IF(COUNTIFS($FU$2:$FU$1000,FU232,$FS$2:$FS$1000,"Y")+COUNTIFS($FU$2:$FU$1000,FU232,$FT$2:$FT$1000,"Y")&gt;0,"Y","N"))</f>
        <v>N</v>
      </c>
      <c r="FW232" s="0" t="str">
        <f aca="false">IF($A232="","",IF(AND(U232="new",T232="N",FT232="N",AT232="Y",FV232="N"),"Y","N"))</f>
        <v>N</v>
      </c>
      <c r="FX232" s="0" t="str">
        <f aca="false">IF($A232="","",IF(FW232&lt;&gt;"Y","N",IF(COUNTIFS($FU$2:$FU$1000,FU232,$FW$2:$FW$1000,"Y",$J$2:$J$1000,"&gt;"&amp;J232)+COUNTIFS($FU$2:$FU$1000,FU232,$FW$2:$FW$1000,"Y",$J$2:$J$1000,J232,$GD$2:$GD$1000,"&lt;"&amp;GD232)=0,"Y","N")))</f>
        <v>N</v>
      </c>
      <c r="FY232" s="0" t="str">
        <f aca="false">IF($A232="","",IF(AND(FW232="Y",FX232="Y",Y232&amp;""&lt;&gt;""),IF(Y232&lt;=10,"Y","N"),"N"))</f>
        <v>N</v>
      </c>
      <c r="FZ232" s="0" t="str">
        <f aca="false">IF(FY232="Y",Y232,"")</f>
        <v/>
      </c>
      <c r="GA232" s="0" t="str">
        <f aca="false">IF($A232="","",IF(AND(I232="walk-in",CN232="pass",U232="new",FT232="N",FV232="N",AQ232&lt;&gt;"Y"),"Y","N"))</f>
        <v>N</v>
      </c>
      <c r="GB232" s="0" t="str">
        <f aca="false">IF(GA232&lt;&gt;"Y","",IF(COUNTIFS($GA$2:$GA$1000,"Y",$J$2:$J$1000,"&gt;"&amp;J232)+COUNTIFS($GA$2:$GA$1000,"Y",$J$2:$J$1000,J232,$GD$2:$GD$1000,"&lt;"&amp;GD232)+1&lt;=25,COUNTIFS($GA$2:$GA$1000,"Y",$J$2:$J$1000,"&gt;"&amp;J232)+COUNTIFS($GA$2:$GA$1000,"Y",$J$2:$J$1000,J232,$GD$2:$GD$1000,"&lt;"&amp;GD232)+1,""))</f>
        <v/>
      </c>
      <c r="GC232" s="0" t="str">
        <f aca="false">IF(AND(_xlfn.ISFORMULA(C232),_xlfn.ISFORMULA(J232)),"Y","N")</f>
        <v>Y</v>
      </c>
      <c r="GD232" s="0" t="n">
        <f aca="false">ROW()-1</f>
        <v>231</v>
      </c>
    </row>
    <row r="233" customFormat="false" ht="15" hidden="false" customHeight="false" outlineLevel="0" collapsed="false">
      <c r="A233" s="0" t="s">
        <v>4474</v>
      </c>
      <c r="B233" s="0" t="s">
        <v>4475</v>
      </c>
      <c r="C233" s="0" t="str">
        <f aca="false">IF($A233="","",IF(AW233="Y",BM233&amp;"",AY233&amp;""))</f>
        <v/>
      </c>
      <c r="D233" s="0" t="str">
        <f aca="false">IF($A233="","",IF(AW233="Y",BN233&amp;"",AZ233&amp;""))</f>
        <v/>
      </c>
      <c r="E233" s="0" t="str">
        <f aca="false">IF($A233="","",IF(AW233="Y",BO233&amp;"",BA233&amp;""))</f>
        <v/>
      </c>
      <c r="F233" s="0" t="str">
        <f aca="false">IF($A233="","",IF(AW233="Y",BP233&amp;"",BB233&amp;""))</f>
        <v/>
      </c>
      <c r="G233" s="0" t="str">
        <f aca="false">IF($A233="","",IF(AW233="Y",BQ233&amp;"",BC233&amp;""))</f>
        <v/>
      </c>
      <c r="H233" s="0" t="str">
        <f aca="false">IF($A233="","",IF(AW233="Y",BR233&amp;"",BD233&amp;""))</f>
        <v>none</v>
      </c>
      <c r="I233" s="0" t="str">
        <f aca="false">IF($A233="","",IF(R233="Y","warm-intro",IF(H233="verified","email",IF(C233&lt;&gt;"","linkedin",CB233&amp;""))))</f>
        <v>linkedin</v>
      </c>
      <c r="J233" s="0" t="n">
        <f aca="false">IF($A233="","",IF(CN233="pass",ROUND(N(EM233)+N(EN233)+N(EO233)+N(EP233)+N(EQ233)+N(ER233),1),0))</f>
        <v>23</v>
      </c>
      <c r="K233" s="0" t="str">
        <f aca="false">IF($A233="","",IF(CN233&lt;&gt;"pass",CA233&amp;"",CA233&amp;"; "&amp;IF(AW233="Y",BZ233&amp;"",BL233&amp;"")&amp;IF(R233="Y","; known to the founder (+15)","")&amp;"."))</f>
        <v>Tuesday headcount unknown (no sourced count), company size unknown, no attendance signal, signed-not-occupied at a low-confidence address (hold: lease signed, move not confirmed); contacts not researched yet.</v>
      </c>
      <c r="L233" s="0" t="s">
        <v>209</v>
      </c>
      <c r="R233" s="5" t="s">
        <v>189</v>
      </c>
      <c r="S233" s="0" t="s">
        <v>209</v>
      </c>
      <c r="T233" s="0" t="s">
        <v>189</v>
      </c>
      <c r="U233" s="5" t="s">
        <v>3896</v>
      </c>
      <c r="V233" s="0" t="s">
        <v>4476</v>
      </c>
      <c r="W233" s="0" t="s">
        <v>263</v>
      </c>
      <c r="X233" s="0" t="s">
        <v>3897</v>
      </c>
      <c r="Y233" s="0" t="str">
        <f aca="false">IF(FX233&lt;&gt;"Y","",COUNTIFS($FX$2:$FX$1000,"Y",$J$2:$J$1000,"&gt;"&amp;J233)+COUNTIFS($FX$2:$FX$1000,"Y",$J$2:$J$1000,J233,$GD$2:$GD$1000,"&lt;"&amp;GD233)+1)</f>
        <v/>
      </c>
      <c r="Z233" s="0" t="n">
        <v>232</v>
      </c>
      <c r="AA233" s="0" t="s">
        <v>189</v>
      </c>
      <c r="AB233" s="0" t="str">
        <f aca="false">IF($A233="","",IF(AW233="Y",BY233&amp;"",BK233&amp;""))</f>
        <v/>
      </c>
      <c r="AC233" s="0" t="str">
        <f aca="false">IF($A233="","",IF(AW233="Y",BS233&amp;"",BE233&amp;""))</f>
        <v/>
      </c>
      <c r="AD233" s="0" t="str">
        <f aca="false">IF($A233="","",IF(AW233="Y",BT233&amp;"",BF233&amp;""))</f>
        <v>none</v>
      </c>
      <c r="AE233" s="0" t="str">
        <f aca="false">IF($A233="","",IF(AW233="Y",BU233&amp;"",BG233&amp;""))</f>
        <v/>
      </c>
      <c r="AF233" s="0" t="str">
        <f aca="false">IF($A233="","",IF(AW233="Y",BV233&amp;"",BH233&amp;""))</f>
        <v/>
      </c>
      <c r="AG233" s="0" t="str">
        <f aca="false">IF($A233="","",IF(AW233="Y",BW233&amp;"",BI233&amp;""))</f>
        <v/>
      </c>
      <c r="AH233" s="0" t="str">
        <f aca="false">IF($A233="","",IF(AW233="Y",BX233&amp;"",BJ233&amp;""))</f>
        <v>none</v>
      </c>
      <c r="AI233" s="0" t="s">
        <v>734</v>
      </c>
      <c r="AJ233" s="0" t="s">
        <v>468</v>
      </c>
      <c r="AK233" s="0" t="s">
        <v>4183</v>
      </c>
      <c r="AL233" s="0" t="s">
        <v>209</v>
      </c>
      <c r="AM233" s="0" t="s">
        <v>209</v>
      </c>
      <c r="AN233" s="0" t="s">
        <v>380</v>
      </c>
      <c r="AO233" s="0" t="s">
        <v>209</v>
      </c>
      <c r="AP233" s="0" t="s">
        <v>4474</v>
      </c>
      <c r="AQ233" s="5" t="s">
        <v>164</v>
      </c>
      <c r="AR233" s="0" t="s">
        <v>779</v>
      </c>
      <c r="AT233" s="0" t="str">
        <f aca="false">IF($A233="","",IF(AND(CN233="pass",AQ233&lt;&gt;"Y",C233&lt;&gt;"",OR(AX233&lt;&gt;"Y",AV233="Y")),"Y","N"))</f>
        <v>N</v>
      </c>
      <c r="AU233" s="0" t="str">
        <f aca="false">IF($A233="","",_xlfn.TEXTJOIN("; ",TRUE(),IF(CN233&lt;&gt;"pass","gated out",""),IF(AQ233="Y","on hold: "&amp;AR233,""),IF(C233="","no contact named on an opened page",""),IF(AND(AX233="Y",AV233&lt;&gt;"Y"),"Tuesday estimate band "&amp;L233&amp;": founder's call","")))</f>
        <v>on hold: lease signed, move not confirmed: check the lobby directory before outreach (B); no contact named on an opened page</v>
      </c>
      <c r="AX233" s="0" t="s">
        <v>189</v>
      </c>
      <c r="BC233" s="0" t="str">
        <f aca="false">IF($A233="","",IFERROR(INDEX(Enrichment!$A$2:$GZ$2000,MATCH($A233,INDEX(Enrichment!$A$2:$GZ$2000,0,MATCH("row_id",Enrichment!$A$1:$GZ$1,0)),0),MATCH("work_email",Enrichment!$A$1:$GZ$1,0))&amp;"",""))</f>
        <v/>
      </c>
      <c r="BD233" s="0" t="str">
        <f aca="false">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none</v>
      </c>
      <c r="BF233" s="0" t="s">
        <v>380</v>
      </c>
      <c r="BJ233" s="0" t="s">
        <v>380</v>
      </c>
      <c r="BL233" s="0" t="s">
        <v>896</v>
      </c>
      <c r="BQ233" s="0" t="str">
        <f aca="false">IF($A233="","",IFERROR(INDEX(Enrichment!$A$2:$GZ$2000,MATCH($A233,INDEX(Enrichment!$A$2:$GZ$2000,0,MATCH("row_id",Enrichment!$A$1:$GZ$1,0)),0),MATCH("backup_work_email",Enrichment!$A$1:$GZ$1,0))&amp;"",""))</f>
        <v/>
      </c>
      <c r="BR233" s="0" t="str">
        <f aca="false">IF($A233="","",IF(BQ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none</v>
      </c>
      <c r="BT233" s="0" t="s">
        <v>380</v>
      </c>
      <c r="BX233" s="0" t="s">
        <v>380</v>
      </c>
      <c r="BY233" s="0" t="s">
        <v>387</v>
      </c>
      <c r="BZ233" s="0" t="s">
        <v>388</v>
      </c>
      <c r="CA233" s="0" t="s">
        <v>4477</v>
      </c>
      <c r="CB233" s="0" t="s">
        <v>196</v>
      </c>
      <c r="CM233" s="0" t="s">
        <v>189</v>
      </c>
      <c r="CN233" s="0" t="s">
        <v>200</v>
      </c>
      <c r="CO233" s="0" t="s">
        <v>201</v>
      </c>
      <c r="CP233" s="0" t="s">
        <v>1</v>
      </c>
      <c r="CQ233" s="0" t="s">
        <v>4478</v>
      </c>
      <c r="CR233" s="0" t="s">
        <v>4479</v>
      </c>
      <c r="CS233" s="0" t="s">
        <v>4448</v>
      </c>
      <c r="CT233" s="0" t="s">
        <v>209</v>
      </c>
      <c r="CV233" s="0" t="s">
        <v>209</v>
      </c>
      <c r="CW233" s="0" t="s">
        <v>209</v>
      </c>
      <c r="CX233" s="0" t="s">
        <v>2712</v>
      </c>
      <c r="DA233" s="0" t="s">
        <v>209</v>
      </c>
      <c r="DB233" s="0" t="s">
        <v>209</v>
      </c>
      <c r="DC233" s="0" t="s">
        <v>209</v>
      </c>
      <c r="DD233" s="0" t="s">
        <v>209</v>
      </c>
      <c r="DE233" s="0" t="s">
        <v>209</v>
      </c>
      <c r="DF233" s="0" t="s">
        <v>525</v>
      </c>
      <c r="DG233" s="0" t="n">
        <v>40.743309</v>
      </c>
      <c r="DH233" s="0" t="n">
        <v>-73.987329</v>
      </c>
      <c r="DI233" s="0" t="s">
        <v>164</v>
      </c>
      <c r="DJ233" s="0" t="n">
        <v>0</v>
      </c>
      <c r="DK233" s="0" t="s">
        <v>940</v>
      </c>
      <c r="DL233" s="0" t="s">
        <v>941</v>
      </c>
      <c r="DM233" s="0" t="s">
        <v>4476</v>
      </c>
      <c r="DN233" s="0" t="s">
        <v>4480</v>
      </c>
      <c r="DO233" s="0" t="s">
        <v>363</v>
      </c>
      <c r="DS233" s="0" t="s">
        <v>187</v>
      </c>
      <c r="DT233" s="0" t="s">
        <v>209</v>
      </c>
      <c r="DU233" s="0" t="s">
        <v>189</v>
      </c>
      <c r="DX233" s="0" t="s">
        <v>209</v>
      </c>
      <c r="EA233" s="0" t="s">
        <v>209</v>
      </c>
      <c r="EB233" s="0" t="s">
        <v>189</v>
      </c>
      <c r="EC233" s="0" t="s">
        <v>209</v>
      </c>
      <c r="EF233" s="0" t="s">
        <v>209</v>
      </c>
      <c r="EH233" s="0" t="s">
        <v>189</v>
      </c>
      <c r="EI233" s="0" t="s">
        <v>2716</v>
      </c>
      <c r="EJ233" s="0" t="s">
        <v>221</v>
      </c>
      <c r="EK233" s="0" t="s">
        <v>209</v>
      </c>
      <c r="EL233" s="0" t="n">
        <v>23</v>
      </c>
      <c r="EM233" s="0" t="n">
        <v>7</v>
      </c>
      <c r="EN233" s="0" t="n">
        <v>8</v>
      </c>
      <c r="EO233" s="0" t="n">
        <v>6</v>
      </c>
      <c r="EP233" s="0" t="n">
        <v>2</v>
      </c>
      <c r="EQ233" s="0" t="n">
        <f aca="false">IF($A233="","",IF(AH233="exact",10,IF(AH233="adjacent",5,0)))</f>
        <v>0</v>
      </c>
      <c r="ER233" s="0" t="n">
        <f aca="false">IF($A233="","",IF(R233="Y",15,0))</f>
        <v>0</v>
      </c>
      <c r="ES233" s="0" t="s">
        <v>222</v>
      </c>
      <c r="EV233" s="0" t="s">
        <v>1521</v>
      </c>
      <c r="EW233" s="0" t="s">
        <v>224</v>
      </c>
      <c r="EX233" s="0" t="s">
        <v>4481</v>
      </c>
      <c r="FS233" s="0" t="str">
        <f aca="false">IF($A233="","",IF(ISNUMBER(MATCH(U233,{"queued","contacted","replied","call_booked","call_done","yes_in_principle","materials_sent"},0)),"Y","N"))</f>
        <v>N</v>
      </c>
      <c r="FT233" s="0" t="str">
        <f aca="false">IF($A233="","",IF(OR(T233="Y",U233="do_not_contact",AS233&amp;""&lt;&gt;""),"Y","N"))</f>
        <v>N</v>
      </c>
      <c r="FU233" s="0" t="str">
        <f aca="false">IF($A233="","",IF(AP233&amp;""&lt;&gt;"",AP233&amp;"",$A233))</f>
        <v>AO-C-136</v>
      </c>
      <c r="FV233" s="0" t="str">
        <f aca="false">IF($A233="","",IF(COUNTIFS($FU$2:$FU$1000,FU233,$FS$2:$FS$1000,"Y")+COUNTIFS($FU$2:$FU$1000,FU233,$FT$2:$FT$1000,"Y")&gt;0,"Y","N"))</f>
        <v>N</v>
      </c>
      <c r="FW233" s="0" t="str">
        <f aca="false">IF($A233="","",IF(AND(U233="new",T233="N",FT233="N",AT233="Y",FV233="N"),"Y","N"))</f>
        <v>N</v>
      </c>
      <c r="FX233" s="0" t="str">
        <f aca="false">IF($A233="","",IF(FW233&lt;&gt;"Y","N",IF(COUNTIFS($FU$2:$FU$1000,FU233,$FW$2:$FW$1000,"Y",$J$2:$J$1000,"&gt;"&amp;J233)+COUNTIFS($FU$2:$FU$1000,FU233,$FW$2:$FW$1000,"Y",$J$2:$J$1000,J233,$GD$2:$GD$1000,"&lt;"&amp;GD233)=0,"Y","N")))</f>
        <v>N</v>
      </c>
      <c r="FY233" s="0" t="str">
        <f aca="false">IF($A233="","",IF(AND(FW233="Y",FX233="Y",Y233&amp;""&lt;&gt;""),IF(Y233&lt;=10,"Y","N"),"N"))</f>
        <v>N</v>
      </c>
      <c r="FZ233" s="0" t="str">
        <f aca="false">IF(FY233="Y",Y233,"")</f>
        <v/>
      </c>
      <c r="GA233" s="0" t="str">
        <f aca="false">IF($A233="","",IF(AND(I233="walk-in",CN233="pass",U233="new",FT233="N",FV233="N",AQ233&lt;&gt;"Y"),"Y","N"))</f>
        <v>N</v>
      </c>
      <c r="GB233" s="0" t="str">
        <f aca="false">IF(GA233&lt;&gt;"Y","",IF(COUNTIFS($GA$2:$GA$1000,"Y",$J$2:$J$1000,"&gt;"&amp;J233)+COUNTIFS($GA$2:$GA$1000,"Y",$J$2:$J$1000,J233,$GD$2:$GD$1000,"&lt;"&amp;GD233)+1&lt;=25,COUNTIFS($GA$2:$GA$1000,"Y",$J$2:$J$1000,"&gt;"&amp;J233)+COUNTIFS($GA$2:$GA$1000,"Y",$J$2:$J$1000,J233,$GD$2:$GD$1000,"&lt;"&amp;GD233)+1,""))</f>
        <v/>
      </c>
      <c r="GC233" s="0" t="str">
        <f aca="false">IF(AND(_xlfn.ISFORMULA(C233),_xlfn.ISFORMULA(J233)),"Y","N")</f>
        <v>Y</v>
      </c>
      <c r="GD233" s="0" t="n">
        <f aca="false">ROW()-1</f>
        <v>232</v>
      </c>
    </row>
    <row r="234" customFormat="false" ht="15" hidden="false" customHeight="false" outlineLevel="0" collapsed="false">
      <c r="A234" s="0" t="s">
        <v>4482</v>
      </c>
      <c r="B234" s="0" t="s">
        <v>4483</v>
      </c>
      <c r="C234" s="0" t="str">
        <f aca="false">IF($A234="","",IF(AW234="Y",BM234&amp;"",AY234&amp;""))</f>
        <v/>
      </c>
      <c r="D234" s="0" t="str">
        <f aca="false">IF($A234="","",IF(AW234="Y",BN234&amp;"",AZ234&amp;""))</f>
        <v/>
      </c>
      <c r="E234" s="0" t="str">
        <f aca="false">IF($A234="","",IF(AW234="Y",BO234&amp;"",BA234&amp;""))</f>
        <v/>
      </c>
      <c r="F234" s="0" t="str">
        <f aca="false">IF($A234="","",IF(AW234="Y",BP234&amp;"",BB234&amp;""))</f>
        <v/>
      </c>
      <c r="G234" s="0" t="str">
        <f aca="false">IF($A234="","",IF(AW234="Y",BQ234&amp;"",BC234&amp;""))</f>
        <v/>
      </c>
      <c r="H234" s="0" t="str">
        <f aca="false">IF($A234="","",IF(AW234="Y",BR234&amp;"",BD234&amp;""))</f>
        <v>none</v>
      </c>
      <c r="I234" s="0" t="str">
        <f aca="false">IF($A234="","",IF(R234="Y","warm-intro",IF(H234="verified","email",IF(C234&lt;&gt;"","linkedin",CB234&amp;""))))</f>
        <v>linkedin</v>
      </c>
      <c r="J234" s="0" t="n">
        <f aca="false">IF($A234="","",IF(CN234="pass",ROUND(N(EM234)+N(EN234)+N(EO234)+N(EP234)+N(EQ234)+N(ER234),1),0))</f>
        <v>23</v>
      </c>
      <c r="K234" s="0" t="str">
        <f aca="false">IF($A234="","",IF(CN234&lt;&gt;"pass",CA234&amp;"",CA234&amp;"; "&amp;IF(AW234="Y",BZ234&amp;"",BL234&amp;"")&amp;IF(R234="Y","; known to the founder (+15)","")&amp;"."))</f>
        <v>Tuesday headcount unknown (no sourced count), company size unknown, no attendance signal, signed-not-occupied at a low-confidence address (hold: lease signed, move not confirmed); contacts not researched yet.</v>
      </c>
      <c r="L234" s="0" t="s">
        <v>209</v>
      </c>
      <c r="O234" s="0" t="s">
        <v>4484</v>
      </c>
      <c r="P234" s="0" t="s">
        <v>3075</v>
      </c>
      <c r="Q234" s="0" t="s">
        <v>3076</v>
      </c>
      <c r="R234" s="5" t="s">
        <v>189</v>
      </c>
      <c r="S234" s="0" t="s">
        <v>209</v>
      </c>
      <c r="T234" s="0" t="s">
        <v>189</v>
      </c>
      <c r="U234" s="5" t="s">
        <v>3896</v>
      </c>
      <c r="V234" s="0" t="s">
        <v>3075</v>
      </c>
      <c r="W234" s="0" t="s">
        <v>263</v>
      </c>
      <c r="X234" s="0" t="s">
        <v>3897</v>
      </c>
      <c r="Y234" s="0" t="str">
        <f aca="false">IF(FX234&lt;&gt;"Y","",COUNTIFS($FX$2:$FX$1000,"Y",$J$2:$J$1000,"&gt;"&amp;J234)+COUNTIFS($FX$2:$FX$1000,"Y",$J$2:$J$1000,J234,$GD$2:$GD$1000,"&lt;"&amp;GD234)+1)</f>
        <v/>
      </c>
      <c r="Z234" s="0" t="n">
        <v>233</v>
      </c>
      <c r="AA234" s="0" t="s">
        <v>189</v>
      </c>
      <c r="AB234" s="0" t="str">
        <f aca="false">IF($A234="","",IF(AW234="Y",BY234&amp;"",BK234&amp;""))</f>
        <v/>
      </c>
      <c r="AC234" s="0" t="str">
        <f aca="false">IF($A234="","",IF(AW234="Y",BS234&amp;"",BE234&amp;""))</f>
        <v/>
      </c>
      <c r="AD234" s="0" t="str">
        <f aca="false">IF($A234="","",IF(AW234="Y",BT234&amp;"",BF234&amp;""))</f>
        <v>none</v>
      </c>
      <c r="AE234" s="0" t="str">
        <f aca="false">IF($A234="","",IF(AW234="Y",BU234&amp;"",BG234&amp;""))</f>
        <v/>
      </c>
      <c r="AF234" s="0" t="str">
        <f aca="false">IF($A234="","",IF(AW234="Y",BV234&amp;"",BH234&amp;""))</f>
        <v/>
      </c>
      <c r="AG234" s="0" t="str">
        <f aca="false">IF($A234="","",IF(AW234="Y",BW234&amp;"",BI234&amp;""))</f>
        <v/>
      </c>
      <c r="AH234" s="0" t="str">
        <f aca="false">IF($A234="","",IF(AW234="Y",BX234&amp;"",BJ234&amp;""))</f>
        <v>none</v>
      </c>
      <c r="AI234" s="0" t="s">
        <v>734</v>
      </c>
      <c r="AJ234" s="0" t="s">
        <v>182</v>
      </c>
      <c r="AK234" s="0" t="s">
        <v>4183</v>
      </c>
      <c r="AL234" s="0" t="s">
        <v>209</v>
      </c>
      <c r="AM234" s="0" t="s">
        <v>209</v>
      </c>
      <c r="AN234" s="0" t="s">
        <v>380</v>
      </c>
      <c r="AO234" s="0" t="s">
        <v>209</v>
      </c>
      <c r="AP234" s="0" t="s">
        <v>4482</v>
      </c>
      <c r="AQ234" s="5" t="s">
        <v>164</v>
      </c>
      <c r="AR234" s="0" t="s">
        <v>779</v>
      </c>
      <c r="AT234" s="0" t="str">
        <f aca="false">IF($A234="","",IF(AND(CN234="pass",AQ234&lt;&gt;"Y",C234&lt;&gt;"",OR(AX234&lt;&gt;"Y",AV234="Y")),"Y","N"))</f>
        <v>N</v>
      </c>
      <c r="AU234" s="0" t="str">
        <f aca="false">IF($A234="","",_xlfn.TEXTJOIN("; ",TRUE(),IF(CN234&lt;&gt;"pass","gated out",""),IF(AQ234="Y","on hold: "&amp;AR234,""),IF(C234="","no contact named on an opened page",""),IF(AND(AX234="Y",AV234&lt;&gt;"Y"),"Tuesday estimate band "&amp;L234&amp;": founder's call","")))</f>
        <v>on hold: lease signed, move not confirmed: check the lobby directory before outreach (B); no contact named on an opened page</v>
      </c>
      <c r="AX234" s="0" t="s">
        <v>189</v>
      </c>
      <c r="BC234" s="0" t="str">
        <f aca="false">IF($A234="","",IFERROR(INDEX(Enrichment!$A$2:$GZ$2000,MATCH($A234,INDEX(Enrichment!$A$2:$GZ$2000,0,MATCH("row_id",Enrichment!$A$1:$GZ$1,0)),0),MATCH("work_email",Enrichment!$A$1:$GZ$1,0))&amp;"",""))</f>
        <v/>
      </c>
      <c r="BD234" s="0" t="str">
        <f aca="false">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none</v>
      </c>
      <c r="BF234" s="0" t="s">
        <v>380</v>
      </c>
      <c r="BJ234" s="0" t="s">
        <v>380</v>
      </c>
      <c r="BL234" s="0" t="s">
        <v>896</v>
      </c>
      <c r="BQ234" s="0" t="str">
        <f aca="false">IF($A234="","",IFERROR(INDEX(Enrichment!$A$2:$GZ$2000,MATCH($A234,INDEX(Enrichment!$A$2:$GZ$2000,0,MATCH("row_id",Enrichment!$A$1:$GZ$1,0)),0),MATCH("backup_work_email",Enrichment!$A$1:$GZ$1,0))&amp;"",""))</f>
        <v/>
      </c>
      <c r="BR234" s="0" t="str">
        <f aca="false">IF($A234="","",IF(BQ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none</v>
      </c>
      <c r="BT234" s="0" t="s">
        <v>380</v>
      </c>
      <c r="BX234" s="0" t="s">
        <v>380</v>
      </c>
      <c r="BY234" s="0" t="s">
        <v>387</v>
      </c>
      <c r="BZ234" s="0" t="s">
        <v>388</v>
      </c>
      <c r="CA234" s="0" t="s">
        <v>4477</v>
      </c>
      <c r="CB234" s="0" t="s">
        <v>196</v>
      </c>
      <c r="CM234" s="0" t="s">
        <v>189</v>
      </c>
      <c r="CN234" s="0" t="s">
        <v>200</v>
      </c>
      <c r="CO234" s="0" t="s">
        <v>201</v>
      </c>
      <c r="CP234" s="0" t="s">
        <v>1</v>
      </c>
      <c r="CQ234" s="0" t="s">
        <v>4485</v>
      </c>
      <c r="CR234" s="0" t="s">
        <v>209</v>
      </c>
      <c r="CS234" s="0" t="s">
        <v>4448</v>
      </c>
      <c r="CT234" s="0" t="s">
        <v>209</v>
      </c>
      <c r="CV234" s="0" t="s">
        <v>209</v>
      </c>
      <c r="CW234" s="0" t="s">
        <v>209</v>
      </c>
      <c r="CX234" s="0" t="s">
        <v>2712</v>
      </c>
      <c r="DA234" s="0" t="s">
        <v>209</v>
      </c>
      <c r="DB234" s="0" t="s">
        <v>209</v>
      </c>
      <c r="DC234" s="0" t="s">
        <v>209</v>
      </c>
      <c r="DD234" s="0" t="s">
        <v>209</v>
      </c>
      <c r="DE234" s="0" t="s">
        <v>209</v>
      </c>
      <c r="DF234" s="0" t="s">
        <v>525</v>
      </c>
      <c r="DG234" s="0" t="n">
        <v>40.743309</v>
      </c>
      <c r="DH234" s="0" t="n">
        <v>-73.987329</v>
      </c>
      <c r="DI234" s="0" t="s">
        <v>164</v>
      </c>
      <c r="DJ234" s="0" t="n">
        <v>0</v>
      </c>
      <c r="DK234" s="0" t="s">
        <v>940</v>
      </c>
      <c r="DL234" s="0" t="s">
        <v>941</v>
      </c>
      <c r="DM234" s="0" t="s">
        <v>3075</v>
      </c>
      <c r="DN234" s="0" t="s">
        <v>3076</v>
      </c>
      <c r="DO234" s="0" t="s">
        <v>363</v>
      </c>
      <c r="DS234" s="0" t="s">
        <v>187</v>
      </c>
      <c r="DT234" s="0" t="s">
        <v>209</v>
      </c>
      <c r="DU234" s="0" t="s">
        <v>189</v>
      </c>
      <c r="DX234" s="0" t="s">
        <v>209</v>
      </c>
      <c r="EA234" s="0" t="s">
        <v>209</v>
      </c>
      <c r="EB234" s="0" t="s">
        <v>189</v>
      </c>
      <c r="EC234" s="0" t="s">
        <v>209</v>
      </c>
      <c r="EF234" s="0" t="s">
        <v>209</v>
      </c>
      <c r="EH234" s="0" t="s">
        <v>189</v>
      </c>
      <c r="EI234" s="0" t="s">
        <v>2716</v>
      </c>
      <c r="EJ234" s="0" t="s">
        <v>221</v>
      </c>
      <c r="EK234" s="0" t="s">
        <v>209</v>
      </c>
      <c r="EL234" s="0" t="n">
        <v>23</v>
      </c>
      <c r="EM234" s="0" t="n">
        <v>7</v>
      </c>
      <c r="EN234" s="0" t="n">
        <v>8</v>
      </c>
      <c r="EO234" s="0" t="n">
        <v>6</v>
      </c>
      <c r="EP234" s="0" t="n">
        <v>2</v>
      </c>
      <c r="EQ234" s="0" t="n">
        <f aca="false">IF($A234="","",IF(AH234="exact",10,IF(AH234="adjacent",5,0)))</f>
        <v>0</v>
      </c>
      <c r="ER234" s="0" t="n">
        <f aca="false">IF($A234="","",IF(R234="Y",15,0))</f>
        <v>0</v>
      </c>
      <c r="ES234" s="0" t="s">
        <v>222</v>
      </c>
      <c r="EV234" s="0" t="s">
        <v>4486</v>
      </c>
      <c r="EW234" s="0" t="s">
        <v>224</v>
      </c>
      <c r="EX234" s="0" t="s">
        <v>4487</v>
      </c>
      <c r="FS234" s="0" t="str">
        <f aca="false">IF($A234="","",IF(ISNUMBER(MATCH(U234,{"queued","contacted","replied","call_booked","call_done","yes_in_principle","materials_sent"},0)),"Y","N"))</f>
        <v>N</v>
      </c>
      <c r="FT234" s="0" t="str">
        <f aca="false">IF($A234="","",IF(OR(T234="Y",U234="do_not_contact",AS234&amp;""&lt;&gt;""),"Y","N"))</f>
        <v>N</v>
      </c>
      <c r="FU234" s="0" t="str">
        <f aca="false">IF($A234="","",IF(AP234&amp;""&lt;&gt;"",AP234&amp;"",$A234))</f>
        <v>AO-C-137</v>
      </c>
      <c r="FV234" s="0" t="str">
        <f aca="false">IF($A234="","",IF(COUNTIFS($FU$2:$FU$1000,FU234,$FS$2:$FS$1000,"Y")+COUNTIFS($FU$2:$FU$1000,FU234,$FT$2:$FT$1000,"Y")&gt;0,"Y","N"))</f>
        <v>N</v>
      </c>
      <c r="FW234" s="0" t="str">
        <f aca="false">IF($A234="","",IF(AND(U234="new",T234="N",FT234="N",AT234="Y",FV234="N"),"Y","N"))</f>
        <v>N</v>
      </c>
      <c r="FX234" s="0" t="str">
        <f aca="false">IF($A234="","",IF(FW234&lt;&gt;"Y","N",IF(COUNTIFS($FU$2:$FU$1000,FU234,$FW$2:$FW$1000,"Y",$J$2:$J$1000,"&gt;"&amp;J234)+COUNTIFS($FU$2:$FU$1000,FU234,$FW$2:$FW$1000,"Y",$J$2:$J$1000,J234,$GD$2:$GD$1000,"&lt;"&amp;GD234)=0,"Y","N")))</f>
        <v>N</v>
      </c>
      <c r="FY234" s="0" t="str">
        <f aca="false">IF($A234="","",IF(AND(FW234="Y",FX234="Y",Y234&amp;""&lt;&gt;""),IF(Y234&lt;=10,"Y","N"),"N"))</f>
        <v>N</v>
      </c>
      <c r="FZ234" s="0" t="str">
        <f aca="false">IF(FY234="Y",Y234,"")</f>
        <v/>
      </c>
      <c r="GA234" s="0" t="str">
        <f aca="false">IF($A234="","",IF(AND(I234="walk-in",CN234="pass",U234="new",FT234="N",FV234="N",AQ234&lt;&gt;"Y"),"Y","N"))</f>
        <v>N</v>
      </c>
      <c r="GB234" s="0" t="str">
        <f aca="false">IF(GA234&lt;&gt;"Y","",IF(COUNTIFS($GA$2:$GA$1000,"Y",$J$2:$J$1000,"&gt;"&amp;J234)+COUNTIFS($GA$2:$GA$1000,"Y",$J$2:$J$1000,J234,$GD$2:$GD$1000,"&lt;"&amp;GD234)+1&lt;=25,COUNTIFS($GA$2:$GA$1000,"Y",$J$2:$J$1000,"&gt;"&amp;J234)+COUNTIFS($GA$2:$GA$1000,"Y",$J$2:$J$1000,J234,$GD$2:$GD$1000,"&lt;"&amp;GD234)+1,""))</f>
        <v/>
      </c>
      <c r="GC234" s="0" t="str">
        <f aca="false">IF(AND(_xlfn.ISFORMULA(C234),_xlfn.ISFORMULA(J234)),"Y","N")</f>
        <v>Y</v>
      </c>
      <c r="GD234" s="0" t="n">
        <f aca="false">ROW()-1</f>
        <v>233</v>
      </c>
    </row>
    <row r="235" customFormat="false" ht="15" hidden="false" customHeight="false" outlineLevel="0" collapsed="false">
      <c r="A235" s="0" t="s">
        <v>4488</v>
      </c>
      <c r="B235" s="0" t="s">
        <v>4489</v>
      </c>
      <c r="C235" s="0" t="str">
        <f aca="false">IF($A235="","",IF(AW235="Y",BM235&amp;"",AY235&amp;""))</f>
        <v/>
      </c>
      <c r="D235" s="0" t="str">
        <f aca="false">IF($A235="","",IF(AW235="Y",BN235&amp;"",AZ235&amp;""))</f>
        <v/>
      </c>
      <c r="E235" s="0" t="str">
        <f aca="false">IF($A235="","",IF(AW235="Y",BO235&amp;"",BA235&amp;""))</f>
        <v/>
      </c>
      <c r="F235" s="0" t="str">
        <f aca="false">IF($A235="","",IF(AW235="Y",BP235&amp;"",BB235&amp;""))</f>
        <v/>
      </c>
      <c r="G235" s="0" t="str">
        <f aca="false">IF($A235="","",IF(AW235="Y",BQ235&amp;"",BC235&amp;""))</f>
        <v/>
      </c>
      <c r="H235" s="0" t="str">
        <f aca="false">IF($A235="","",IF(AW235="Y",BR235&amp;"",BD235&amp;""))</f>
        <v>none</v>
      </c>
      <c r="I235" s="0" t="str">
        <f aca="false">IF($A235="","",IF(R235="Y","warm-intro",IF(H235="verified","email",IF(C235&lt;&gt;"","linkedin",CB235&amp;""))))</f>
        <v>linkedin</v>
      </c>
      <c r="J235" s="0" t="n">
        <f aca="false">IF($A235="","",IF(CN235="pass",ROUND(N(EM235)+N(EN235)+N(EO235)+N(EP235)+N(EQ235)+N(ER235),1),0))</f>
        <v>23</v>
      </c>
      <c r="K235" s="0" t="str">
        <f aca="false">IF($A235="","",IF(CN235&lt;&gt;"pass",CA235&amp;"",CA235&amp;"; "&amp;IF(AW235="Y",BZ235&amp;"",BL235&amp;"")&amp;IF(R235="Y","; known to the founder (+15)","")&amp;"."))</f>
        <v>Tuesday headcount unknown (no sourced count), company size unknown, no attendance signal, signed-not-occupied at a low-confidence address (hold: lease signed, move not confirmed); contacts not researched yet.</v>
      </c>
      <c r="L235" s="0" t="s">
        <v>209</v>
      </c>
      <c r="R235" s="5" t="s">
        <v>189</v>
      </c>
      <c r="S235" s="0" t="s">
        <v>209</v>
      </c>
      <c r="T235" s="0" t="s">
        <v>189</v>
      </c>
      <c r="U235" s="5" t="s">
        <v>3896</v>
      </c>
      <c r="V235" s="0" t="s">
        <v>4490</v>
      </c>
      <c r="W235" s="0" t="s">
        <v>263</v>
      </c>
      <c r="X235" s="0" t="s">
        <v>3897</v>
      </c>
      <c r="Y235" s="0" t="str">
        <f aca="false">IF(FX235&lt;&gt;"Y","",COUNTIFS($FX$2:$FX$1000,"Y",$J$2:$J$1000,"&gt;"&amp;J235)+COUNTIFS($FX$2:$FX$1000,"Y",$J$2:$J$1000,J235,$GD$2:$GD$1000,"&lt;"&amp;GD235)+1)</f>
        <v/>
      </c>
      <c r="Z235" s="0" t="n">
        <v>234</v>
      </c>
      <c r="AA235" s="0" t="s">
        <v>189</v>
      </c>
      <c r="AB235" s="0" t="str">
        <f aca="false">IF($A235="","",IF(AW235="Y",BY235&amp;"",BK235&amp;""))</f>
        <v/>
      </c>
      <c r="AC235" s="0" t="str">
        <f aca="false">IF($A235="","",IF(AW235="Y",BS235&amp;"",BE235&amp;""))</f>
        <v/>
      </c>
      <c r="AD235" s="0" t="str">
        <f aca="false">IF($A235="","",IF(AW235="Y",BT235&amp;"",BF235&amp;""))</f>
        <v>none</v>
      </c>
      <c r="AE235" s="0" t="str">
        <f aca="false">IF($A235="","",IF(AW235="Y",BU235&amp;"",BG235&amp;""))</f>
        <v/>
      </c>
      <c r="AF235" s="0" t="str">
        <f aca="false">IF($A235="","",IF(AW235="Y",BV235&amp;"",BH235&amp;""))</f>
        <v/>
      </c>
      <c r="AG235" s="0" t="str">
        <f aca="false">IF($A235="","",IF(AW235="Y",BW235&amp;"",BI235&amp;""))</f>
        <v/>
      </c>
      <c r="AH235" s="0" t="str">
        <f aca="false">IF($A235="","",IF(AW235="Y",BX235&amp;"",BJ235&amp;""))</f>
        <v>none</v>
      </c>
      <c r="AI235" s="0" t="s">
        <v>2058</v>
      </c>
      <c r="AJ235" s="0" t="s">
        <v>4491</v>
      </c>
      <c r="AK235" s="0" t="s">
        <v>4183</v>
      </c>
      <c r="AL235" s="0" t="s">
        <v>209</v>
      </c>
      <c r="AM235" s="0" t="s">
        <v>209</v>
      </c>
      <c r="AN235" s="0" t="s">
        <v>380</v>
      </c>
      <c r="AO235" s="0" t="s">
        <v>209</v>
      </c>
      <c r="AP235" s="0" t="s">
        <v>4488</v>
      </c>
      <c r="AQ235" s="5" t="s">
        <v>164</v>
      </c>
      <c r="AR235" s="0" t="s">
        <v>779</v>
      </c>
      <c r="AT235" s="0" t="str">
        <f aca="false">IF($A235="","",IF(AND(CN235="pass",AQ235&lt;&gt;"Y",C235&lt;&gt;"",OR(AX235&lt;&gt;"Y",AV235="Y")),"Y","N"))</f>
        <v>N</v>
      </c>
      <c r="AU235" s="0" t="str">
        <f aca="false">IF($A235="","",_xlfn.TEXTJOIN("; ",TRUE(),IF(CN235&lt;&gt;"pass","gated out",""),IF(AQ235="Y","on hold: "&amp;AR235,""),IF(C235="","no contact named on an opened page",""),IF(AND(AX235="Y",AV235&lt;&gt;"Y"),"Tuesday estimate band "&amp;L235&amp;": founder's call","")))</f>
        <v>on hold: lease signed, move not confirmed: check the lobby directory before outreach (B); no contact named on an opened page</v>
      </c>
      <c r="AX235" s="0" t="s">
        <v>189</v>
      </c>
      <c r="BC235" s="0" t="str">
        <f aca="false">IF($A235="","",IFERROR(INDEX(Enrichment!$A$2:$GZ$2000,MATCH($A235,INDEX(Enrichment!$A$2:$GZ$2000,0,MATCH("row_id",Enrichment!$A$1:$GZ$1,0)),0),MATCH("work_email",Enrichment!$A$1:$GZ$1,0))&amp;"",""))</f>
        <v/>
      </c>
      <c r="BD235" s="0" t="str">
        <f aca="false">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none</v>
      </c>
      <c r="BF235" s="0" t="s">
        <v>380</v>
      </c>
      <c r="BJ235" s="0" t="s">
        <v>380</v>
      </c>
      <c r="BL235" s="0" t="s">
        <v>896</v>
      </c>
      <c r="BQ235" s="0" t="str">
        <f aca="false">IF($A235="","",IFERROR(INDEX(Enrichment!$A$2:$GZ$2000,MATCH($A235,INDEX(Enrichment!$A$2:$GZ$2000,0,MATCH("row_id",Enrichment!$A$1:$GZ$1,0)),0),MATCH("backup_work_email",Enrichment!$A$1:$GZ$1,0))&amp;"",""))</f>
        <v/>
      </c>
      <c r="BR235" s="0" t="str">
        <f aca="false">IF($A235="","",IF(BQ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none</v>
      </c>
      <c r="BT235" s="0" t="s">
        <v>380</v>
      </c>
      <c r="BX235" s="0" t="s">
        <v>380</v>
      </c>
      <c r="BY235" s="0" t="s">
        <v>387</v>
      </c>
      <c r="BZ235" s="0" t="s">
        <v>388</v>
      </c>
      <c r="CA235" s="0" t="s">
        <v>4477</v>
      </c>
      <c r="CB235" s="0" t="s">
        <v>196</v>
      </c>
      <c r="CM235" s="0" t="s">
        <v>189</v>
      </c>
      <c r="CN235" s="0" t="s">
        <v>200</v>
      </c>
      <c r="CO235" s="0" t="s">
        <v>201</v>
      </c>
      <c r="CP235" s="0" t="s">
        <v>1</v>
      </c>
      <c r="CQ235" s="0" t="s">
        <v>4492</v>
      </c>
      <c r="CR235" s="0" t="s">
        <v>209</v>
      </c>
      <c r="CS235" s="0" t="s">
        <v>4493</v>
      </c>
      <c r="CT235" s="0" t="s">
        <v>209</v>
      </c>
      <c r="CV235" s="0" t="s">
        <v>209</v>
      </c>
      <c r="CW235" s="0" t="s">
        <v>209</v>
      </c>
      <c r="CX235" s="0" t="s">
        <v>2712</v>
      </c>
      <c r="DA235" s="0" t="s">
        <v>209</v>
      </c>
      <c r="DB235" s="0" t="s">
        <v>209</v>
      </c>
      <c r="DC235" s="0" t="s">
        <v>209</v>
      </c>
      <c r="DD235" s="0" t="s">
        <v>209</v>
      </c>
      <c r="DE235" s="0" t="s">
        <v>209</v>
      </c>
      <c r="DF235" s="0" t="s">
        <v>525</v>
      </c>
      <c r="DG235" s="0" t="n">
        <v>40.742477</v>
      </c>
      <c r="DH235" s="0" t="n">
        <v>-73.986608</v>
      </c>
      <c r="DI235" s="0" t="s">
        <v>164</v>
      </c>
      <c r="DJ235" s="0" t="n">
        <v>0</v>
      </c>
      <c r="DK235" s="0" t="s">
        <v>1882</v>
      </c>
      <c r="DL235" s="0" t="s">
        <v>1883</v>
      </c>
      <c r="DM235" s="0" t="s">
        <v>4490</v>
      </c>
      <c r="DN235" s="0" t="s">
        <v>4494</v>
      </c>
      <c r="DO235" s="0" t="s">
        <v>363</v>
      </c>
      <c r="DS235" s="0" t="s">
        <v>187</v>
      </c>
      <c r="DT235" s="0" t="s">
        <v>4495</v>
      </c>
      <c r="DU235" s="0" t="s">
        <v>189</v>
      </c>
      <c r="DX235" s="0" t="s">
        <v>267</v>
      </c>
      <c r="DY235" s="0" t="s">
        <v>1888</v>
      </c>
      <c r="EA235" s="0" t="s">
        <v>209</v>
      </c>
      <c r="EB235" s="0" t="s">
        <v>189</v>
      </c>
      <c r="EC235" s="0" t="s">
        <v>209</v>
      </c>
      <c r="EF235" s="0" t="s">
        <v>209</v>
      </c>
      <c r="EH235" s="0" t="s">
        <v>189</v>
      </c>
      <c r="EI235" s="0" t="s">
        <v>2716</v>
      </c>
      <c r="EJ235" s="0" t="s">
        <v>221</v>
      </c>
      <c r="EK235" s="0" t="s">
        <v>209</v>
      </c>
      <c r="EL235" s="0" t="n">
        <v>23</v>
      </c>
      <c r="EM235" s="0" t="n">
        <v>7</v>
      </c>
      <c r="EN235" s="0" t="n">
        <v>8</v>
      </c>
      <c r="EO235" s="0" t="n">
        <v>6</v>
      </c>
      <c r="EP235" s="0" t="n">
        <v>2</v>
      </c>
      <c r="EQ235" s="0" t="n">
        <f aca="false">IF($A235="","",IF(AH235="exact",10,IF(AH235="adjacent",5,0)))</f>
        <v>0</v>
      </c>
      <c r="ER235" s="0" t="n">
        <f aca="false">IF($A235="","",IF(R235="Y",15,0))</f>
        <v>0</v>
      </c>
      <c r="ES235" s="0" t="s">
        <v>222</v>
      </c>
      <c r="EV235" s="0" t="s">
        <v>4356</v>
      </c>
      <c r="EW235" s="0" t="s">
        <v>224</v>
      </c>
      <c r="EX235" s="0" t="s">
        <v>4496</v>
      </c>
      <c r="FS235" s="0" t="str">
        <f aca="false">IF($A235="","",IF(ISNUMBER(MATCH(U235,{"queued","contacted","replied","call_booked","call_done","yes_in_principle","materials_sent"},0)),"Y","N"))</f>
        <v>N</v>
      </c>
      <c r="FT235" s="0" t="str">
        <f aca="false">IF($A235="","",IF(OR(T235="Y",U235="do_not_contact",AS235&amp;""&lt;&gt;""),"Y","N"))</f>
        <v>N</v>
      </c>
      <c r="FU235" s="0" t="str">
        <f aca="false">IF($A235="","",IF(AP235&amp;""&lt;&gt;"",AP235&amp;"",$A235))</f>
        <v>AO-C-118</v>
      </c>
      <c r="FV235" s="0" t="str">
        <f aca="false">IF($A235="","",IF(COUNTIFS($FU$2:$FU$1000,FU235,$FS$2:$FS$1000,"Y")+COUNTIFS($FU$2:$FU$1000,FU235,$FT$2:$FT$1000,"Y")&gt;0,"Y","N"))</f>
        <v>N</v>
      </c>
      <c r="FW235" s="0" t="str">
        <f aca="false">IF($A235="","",IF(AND(U235="new",T235="N",FT235="N",AT235="Y",FV235="N"),"Y","N"))</f>
        <v>N</v>
      </c>
      <c r="FX235" s="0" t="str">
        <f aca="false">IF($A235="","",IF(FW235&lt;&gt;"Y","N",IF(COUNTIFS($FU$2:$FU$1000,FU235,$FW$2:$FW$1000,"Y",$J$2:$J$1000,"&gt;"&amp;J235)+COUNTIFS($FU$2:$FU$1000,FU235,$FW$2:$FW$1000,"Y",$J$2:$J$1000,J235,$GD$2:$GD$1000,"&lt;"&amp;GD235)=0,"Y","N")))</f>
        <v>N</v>
      </c>
      <c r="FY235" s="0" t="str">
        <f aca="false">IF($A235="","",IF(AND(FW235="Y",FX235="Y",Y235&amp;""&lt;&gt;""),IF(Y235&lt;=10,"Y","N"),"N"))</f>
        <v>N</v>
      </c>
      <c r="FZ235" s="0" t="str">
        <f aca="false">IF(FY235="Y",Y235,"")</f>
        <v/>
      </c>
      <c r="GA235" s="0" t="str">
        <f aca="false">IF($A235="","",IF(AND(I235="walk-in",CN235="pass",U235="new",FT235="N",FV235="N",AQ235&lt;&gt;"Y"),"Y","N"))</f>
        <v>N</v>
      </c>
      <c r="GB235" s="0" t="str">
        <f aca="false">IF(GA235&lt;&gt;"Y","",IF(COUNTIFS($GA$2:$GA$1000,"Y",$J$2:$J$1000,"&gt;"&amp;J235)+COUNTIFS($GA$2:$GA$1000,"Y",$J$2:$J$1000,J235,$GD$2:$GD$1000,"&lt;"&amp;GD235)+1&lt;=25,COUNTIFS($GA$2:$GA$1000,"Y",$J$2:$J$1000,"&gt;"&amp;J235)+COUNTIFS($GA$2:$GA$1000,"Y",$J$2:$J$1000,J235,$GD$2:$GD$1000,"&lt;"&amp;GD235)+1,""))</f>
        <v/>
      </c>
      <c r="GC235" s="0" t="str">
        <f aca="false">IF(AND(_xlfn.ISFORMULA(C235),_xlfn.ISFORMULA(J235)),"Y","N")</f>
        <v>Y</v>
      </c>
      <c r="GD235" s="0" t="n">
        <f aca="false">ROW()-1</f>
        <v>234</v>
      </c>
    </row>
    <row r="236" customFormat="false" ht="15" hidden="false" customHeight="false" outlineLevel="0" collapsed="false">
      <c r="A236" s="0" t="s">
        <v>4497</v>
      </c>
      <c r="B236" s="0" t="s">
        <v>4498</v>
      </c>
      <c r="C236" s="0" t="str">
        <f aca="false">IF($A236="","",IF(AW236="Y",BM236&amp;"",AY236&amp;""))</f>
        <v/>
      </c>
      <c r="D236" s="0" t="str">
        <f aca="false">IF($A236="","",IF(AW236="Y",BN236&amp;"",AZ236&amp;""))</f>
        <v/>
      </c>
      <c r="E236" s="0" t="str">
        <f aca="false">IF($A236="","",IF(AW236="Y",BO236&amp;"",BA236&amp;""))</f>
        <v/>
      </c>
      <c r="F236" s="0" t="str">
        <f aca="false">IF($A236="","",IF(AW236="Y",BP236&amp;"",BB236&amp;""))</f>
        <v/>
      </c>
      <c r="G236" s="0" t="str">
        <f aca="false">IF($A236="","",IF(AW236="Y",BQ236&amp;"",BC236&amp;""))</f>
        <v/>
      </c>
      <c r="H236" s="0" t="str">
        <f aca="false">IF($A236="","",IF(AW236="Y",BR236&amp;"",BD236&amp;""))</f>
        <v>none</v>
      </c>
      <c r="I236" s="0" t="str">
        <f aca="false">IF($A236="","",IF(R236="Y","warm-intro",IF(H236="verified","email",IF(C236&lt;&gt;"","linkedin",CB236&amp;""))))</f>
        <v>linkedin</v>
      </c>
      <c r="J236" s="0" t="n">
        <f aca="false">IF($A236="","",IF(CN236="pass",ROUND(N(EM236)+N(EN236)+N(EO236)+N(EP236)+N(EQ236)+N(ER236),1),0))</f>
        <v>22.1</v>
      </c>
      <c r="K236" s="0" t="str">
        <f aca="false">IF($A236="","",IF(CN236&lt;&gt;"pass",CA236&amp;"",CA236&amp;"; "&amp;IF(AW236="Y",BZ236&amp;"",BL236&amp;"")&amp;IF(R236="Y","; known to the founder (+15)","")&amp;"."))</f>
        <v>Tuesday estimate 249 to 498 (low confidence), 1,001 to 4,999 staff company-wide, on-site 5 days a week per its profile, occupancy-unconfirmed at a low-confidence address; contacts not researched yet.</v>
      </c>
      <c r="L236" s="0" t="s">
        <v>355</v>
      </c>
      <c r="R236" s="5" t="s">
        <v>189</v>
      </c>
      <c r="S236" s="0" t="s">
        <v>209</v>
      </c>
      <c r="T236" s="0" t="s">
        <v>189</v>
      </c>
      <c r="U236" s="5" t="s">
        <v>3896</v>
      </c>
      <c r="V236" s="0" t="s">
        <v>4499</v>
      </c>
      <c r="W236" s="0" t="s">
        <v>263</v>
      </c>
      <c r="X236" s="0" t="s">
        <v>3897</v>
      </c>
      <c r="Y236" s="0" t="str">
        <f aca="false">IF(FX236&lt;&gt;"Y","",COUNTIFS($FX$2:$FX$1000,"Y",$J$2:$J$1000,"&gt;"&amp;J236)+COUNTIFS($FX$2:$FX$1000,"Y",$J$2:$J$1000,J236,$GD$2:$GD$1000,"&lt;"&amp;GD236)+1)</f>
        <v/>
      </c>
      <c r="Z236" s="0" t="n">
        <v>235</v>
      </c>
      <c r="AA236" s="0" t="s">
        <v>189</v>
      </c>
      <c r="AB236" s="0" t="str">
        <f aca="false">IF($A236="","",IF(AW236="Y",BY236&amp;"",BK236&amp;""))</f>
        <v>Tuesday estimate band 251-500: founder's call (set founder_ok_to_queue = Y to queue)</v>
      </c>
      <c r="AC236" s="0" t="str">
        <f aca="false">IF($A236="","",IF(AW236="Y",BS236&amp;"",BE236&amp;""))</f>
        <v/>
      </c>
      <c r="AD236" s="0" t="str">
        <f aca="false">IF($A236="","",IF(AW236="Y",BT236&amp;"",BF236&amp;""))</f>
        <v>none</v>
      </c>
      <c r="AE236" s="0" t="str">
        <f aca="false">IF($A236="","",IF(AW236="Y",BU236&amp;"",BG236&amp;""))</f>
        <v/>
      </c>
      <c r="AF236" s="0" t="str">
        <f aca="false">IF($A236="","",IF(AW236="Y",BV236&amp;"",BH236&amp;""))</f>
        <v/>
      </c>
      <c r="AG236" s="0" t="str">
        <f aca="false">IF($A236="","",IF(AW236="Y",BW236&amp;"",BI236&amp;""))</f>
        <v/>
      </c>
      <c r="AH236" s="0" t="str">
        <f aca="false">IF($A236="","",IF(AW236="Y",BX236&amp;"",BJ236&amp;""))</f>
        <v>none</v>
      </c>
      <c r="AI236" s="0" t="s">
        <v>4500</v>
      </c>
      <c r="AJ236" s="0" t="s">
        <v>279</v>
      </c>
      <c r="AK236" s="0" t="s">
        <v>3898</v>
      </c>
      <c r="AL236" s="0" t="n">
        <v>249</v>
      </c>
      <c r="AM236" s="0" t="n">
        <v>498</v>
      </c>
      <c r="AN236" s="0" t="s">
        <v>187</v>
      </c>
      <c r="AO236" s="0" t="s">
        <v>188</v>
      </c>
      <c r="AP236" s="0" t="s">
        <v>4497</v>
      </c>
      <c r="AQ236" s="5" t="s">
        <v>189</v>
      </c>
      <c r="AT236" s="0" t="str">
        <f aca="false">IF($A236="","",IF(AND(CN236="pass",AQ236&lt;&gt;"Y",C236&lt;&gt;"",OR(AX236&lt;&gt;"Y",AV236="Y")),"Y","N"))</f>
        <v>N</v>
      </c>
      <c r="AU236" s="0" t="str">
        <f aca="false">IF($A236="","",_xlfn.TEXTJOIN("; ",TRUE(),IF(CN236&lt;&gt;"pass","gated out",""),IF(AQ236="Y","on hold: "&amp;AR236,""),IF(C236="","no contact named on an opened page",""),IF(AND(AX236="Y",AV236&lt;&gt;"Y"),"Tuesday estimate band "&amp;L236&amp;": founder's call","")))</f>
        <v>no contact named on an opened page; Tuesday estimate band 251-500: founder's call</v>
      </c>
      <c r="AX236" s="0" t="s">
        <v>164</v>
      </c>
      <c r="BC236" s="0" t="str">
        <f aca="false">IF($A236="","",IFERROR(INDEX(Enrichment!$A$2:$GZ$2000,MATCH($A236,INDEX(Enrichment!$A$2:$GZ$2000,0,MATCH("row_id",Enrichment!$A$1:$GZ$1,0)),0),MATCH("work_email",Enrichment!$A$1:$GZ$1,0))&amp;"",""))</f>
        <v/>
      </c>
      <c r="BD236" s="0" t="str">
        <f aca="false">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none</v>
      </c>
      <c r="BF236" s="0" t="s">
        <v>380</v>
      </c>
      <c r="BJ236" s="0" t="s">
        <v>380</v>
      </c>
      <c r="BK236" s="0" t="s">
        <v>2356</v>
      </c>
      <c r="BL236" s="0" t="s">
        <v>896</v>
      </c>
      <c r="BQ236" s="0" t="str">
        <f aca="false">IF($A236="","",IFERROR(INDEX(Enrichment!$A$2:$GZ$2000,MATCH($A236,INDEX(Enrichment!$A$2:$GZ$2000,0,MATCH("row_id",Enrichment!$A$1:$GZ$1,0)),0),MATCH("backup_work_email",Enrichment!$A$1:$GZ$1,0))&amp;"",""))</f>
        <v/>
      </c>
      <c r="BR236" s="0" t="str">
        <f aca="false">IF($A236="","",IF(BQ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none</v>
      </c>
      <c r="BT236" s="0" t="s">
        <v>380</v>
      </c>
      <c r="BX236" s="0" t="s">
        <v>380</v>
      </c>
      <c r="BY236" s="0" t="s">
        <v>2357</v>
      </c>
      <c r="BZ236" s="0" t="s">
        <v>388</v>
      </c>
      <c r="CA236" s="0" t="s">
        <v>4501</v>
      </c>
      <c r="CB236" s="0" t="s">
        <v>196</v>
      </c>
      <c r="CM236" s="0" t="s">
        <v>189</v>
      </c>
      <c r="CN236" s="0" t="s">
        <v>200</v>
      </c>
      <c r="CO236" s="0" t="s">
        <v>201</v>
      </c>
      <c r="CP236" s="0" t="s">
        <v>1</v>
      </c>
      <c r="CQ236" s="0" t="s">
        <v>4502</v>
      </c>
      <c r="CR236" s="0" t="s">
        <v>4503</v>
      </c>
      <c r="CS236" s="0" t="s">
        <v>4504</v>
      </c>
      <c r="CT236" s="0" t="s">
        <v>4505</v>
      </c>
      <c r="CV236" s="0" t="s">
        <v>976</v>
      </c>
      <c r="CW236" s="0" t="s">
        <v>204</v>
      </c>
      <c r="CX236" s="0" t="s">
        <v>205</v>
      </c>
      <c r="CY236" s="0" t="s">
        <v>4506</v>
      </c>
      <c r="DA236" s="0" t="s">
        <v>978</v>
      </c>
      <c r="DB236" s="0" t="s">
        <v>4507</v>
      </c>
      <c r="DC236" s="0" t="s">
        <v>189</v>
      </c>
      <c r="DD236" s="0" t="s">
        <v>209</v>
      </c>
      <c r="DE236" s="0" t="s">
        <v>4508</v>
      </c>
      <c r="DF236" s="0" t="s">
        <v>397</v>
      </c>
      <c r="DG236" s="0" t="n">
        <v>40.740084</v>
      </c>
      <c r="DH236" s="0" t="n">
        <v>-73.994613</v>
      </c>
      <c r="DI236" s="0" t="s">
        <v>164</v>
      </c>
      <c r="DJ236" s="0" t="n">
        <v>0</v>
      </c>
      <c r="DK236" s="0" t="s">
        <v>3362</v>
      </c>
      <c r="DL236" s="0" t="s">
        <v>3363</v>
      </c>
      <c r="DM236" s="0" t="s">
        <v>4499</v>
      </c>
      <c r="DN236" s="0" t="s">
        <v>4509</v>
      </c>
      <c r="DO236" s="0" t="s">
        <v>363</v>
      </c>
      <c r="DP236" s="0" t="s">
        <v>4510</v>
      </c>
      <c r="DQ236" s="0" t="s">
        <v>263</v>
      </c>
      <c r="DS236" s="0" t="s">
        <v>187</v>
      </c>
      <c r="DU236" s="0" t="s">
        <v>189</v>
      </c>
      <c r="DX236" s="0" t="s">
        <v>2507</v>
      </c>
      <c r="DY236" s="0" t="s">
        <v>3366</v>
      </c>
      <c r="EA236" s="0" t="s">
        <v>209</v>
      </c>
      <c r="EB236" s="0" t="s">
        <v>189</v>
      </c>
      <c r="EC236" s="0" t="s">
        <v>655</v>
      </c>
      <c r="ED236" s="0" t="s">
        <v>4510</v>
      </c>
      <c r="EE236" s="0" t="s">
        <v>172</v>
      </c>
      <c r="EF236" s="0" t="n">
        <v>352</v>
      </c>
      <c r="EG236" s="0" t="s">
        <v>366</v>
      </c>
      <c r="EH236" s="0" t="s">
        <v>164</v>
      </c>
      <c r="EI236" s="0" t="s">
        <v>4511</v>
      </c>
      <c r="EJ236" s="0" t="s">
        <v>221</v>
      </c>
      <c r="EK236" s="0" t="n">
        <v>0.01</v>
      </c>
      <c r="EL236" s="0" t="n">
        <v>22.1</v>
      </c>
      <c r="EM236" s="0" t="n">
        <v>0.1</v>
      </c>
      <c r="EN236" s="0" t="n">
        <v>2</v>
      </c>
      <c r="EO236" s="0" t="n">
        <v>15</v>
      </c>
      <c r="EP236" s="0" t="n">
        <v>5</v>
      </c>
      <c r="EQ236" s="0" t="n">
        <f aca="false">IF($A236="","",IF(AH236="exact",10,IF(AH236="adjacent",5,0)))</f>
        <v>0</v>
      </c>
      <c r="ER236" s="0" t="n">
        <f aca="false">IF($A236="","",IF(R236="Y",15,0))</f>
        <v>0</v>
      </c>
      <c r="ES236" s="0" t="s">
        <v>982</v>
      </c>
      <c r="ET236" s="0" t="s">
        <v>983</v>
      </c>
      <c r="EU236" s="0" t="s">
        <v>189</v>
      </c>
      <c r="EV236" s="0" t="s">
        <v>4512</v>
      </c>
      <c r="EW236" s="0" t="s">
        <v>224</v>
      </c>
      <c r="EX236" s="0" t="s">
        <v>4513</v>
      </c>
      <c r="EZ236" s="0" t="s">
        <v>4514</v>
      </c>
      <c r="FS236" s="0" t="str">
        <f aca="false">IF($A236="","",IF(ISNUMBER(MATCH(U236,{"queued","contacted","replied","call_booked","call_done","yes_in_principle","materials_sent"},0)),"Y","N"))</f>
        <v>N</v>
      </c>
      <c r="FT236" s="0" t="str">
        <f aca="false">IF($A236="","",IF(OR(T236="Y",U236="do_not_contact",AS236&amp;""&lt;&gt;""),"Y","N"))</f>
        <v>N</v>
      </c>
      <c r="FU236" s="0" t="str">
        <f aca="false">IF($A236="","",IF(AP236&amp;""&lt;&gt;"",AP236&amp;"",$A236))</f>
        <v>AO-C-201</v>
      </c>
      <c r="FV236" s="0" t="str">
        <f aca="false">IF($A236="","",IF(COUNTIFS($FU$2:$FU$1000,FU236,$FS$2:$FS$1000,"Y")+COUNTIFS($FU$2:$FU$1000,FU236,$FT$2:$FT$1000,"Y")&gt;0,"Y","N"))</f>
        <v>N</v>
      </c>
      <c r="FW236" s="0" t="str">
        <f aca="false">IF($A236="","",IF(AND(U236="new",T236="N",FT236="N",AT236="Y",FV236="N"),"Y","N"))</f>
        <v>N</v>
      </c>
      <c r="FX236" s="0" t="str">
        <f aca="false">IF($A236="","",IF(FW236&lt;&gt;"Y","N",IF(COUNTIFS($FU$2:$FU$1000,FU236,$FW$2:$FW$1000,"Y",$J$2:$J$1000,"&gt;"&amp;J236)+COUNTIFS($FU$2:$FU$1000,FU236,$FW$2:$FW$1000,"Y",$J$2:$J$1000,J236,$GD$2:$GD$1000,"&lt;"&amp;GD236)=0,"Y","N")))</f>
        <v>N</v>
      </c>
      <c r="FY236" s="0" t="str">
        <f aca="false">IF($A236="","",IF(AND(FW236="Y",FX236="Y",Y236&amp;""&lt;&gt;""),IF(Y236&lt;=10,"Y","N"),"N"))</f>
        <v>N</v>
      </c>
      <c r="FZ236" s="0" t="str">
        <f aca="false">IF(FY236="Y",Y236,"")</f>
        <v/>
      </c>
      <c r="GA236" s="0" t="str">
        <f aca="false">IF($A236="","",IF(AND(I236="walk-in",CN236="pass",U236="new",FT236="N",FV236="N",AQ236&lt;&gt;"Y"),"Y","N"))</f>
        <v>N</v>
      </c>
      <c r="GB236" s="0" t="str">
        <f aca="false">IF(GA236&lt;&gt;"Y","",IF(COUNTIFS($GA$2:$GA$1000,"Y",$J$2:$J$1000,"&gt;"&amp;J236)+COUNTIFS($GA$2:$GA$1000,"Y",$J$2:$J$1000,J236,$GD$2:$GD$1000,"&lt;"&amp;GD236)+1&lt;=25,COUNTIFS($GA$2:$GA$1000,"Y",$J$2:$J$1000,"&gt;"&amp;J236)+COUNTIFS($GA$2:$GA$1000,"Y",$J$2:$J$1000,J236,$GD$2:$GD$1000,"&lt;"&amp;GD236)+1,""))</f>
        <v/>
      </c>
      <c r="GC236" s="0" t="str">
        <f aca="false">IF(AND(_xlfn.ISFORMULA(C236),_xlfn.ISFORMULA(J236)),"Y","N")</f>
        <v>Y</v>
      </c>
      <c r="GD236" s="0" t="n">
        <f aca="false">ROW()-1</f>
        <v>235</v>
      </c>
    </row>
    <row r="237" customFormat="false" ht="15" hidden="false" customHeight="false" outlineLevel="0" collapsed="false">
      <c r="A237" s="0" t="s">
        <v>4515</v>
      </c>
      <c r="B237" s="0" t="s">
        <v>4516</v>
      </c>
      <c r="C237" s="0" t="str">
        <f aca="false">IF($A237="","",IF(AW237="Y",BM237&amp;"",AY237&amp;""))</f>
        <v/>
      </c>
      <c r="D237" s="0" t="str">
        <f aca="false">IF($A237="","",IF(AW237="Y",BN237&amp;"",AZ237&amp;""))</f>
        <v/>
      </c>
      <c r="E237" s="0" t="str">
        <f aca="false">IF($A237="","",IF(AW237="Y",BO237&amp;"",BA237&amp;""))</f>
        <v/>
      </c>
      <c r="F237" s="0" t="str">
        <f aca="false">IF($A237="","",IF(AW237="Y",BP237&amp;"",BB237&amp;""))</f>
        <v/>
      </c>
      <c r="G237" s="0" t="str">
        <f aca="false">IF($A237="","",IF(AW237="Y",BQ237&amp;"",BC237&amp;""))</f>
        <v/>
      </c>
      <c r="H237" s="0" t="str">
        <f aca="false">IF($A237="","",IF(AW237="Y",BR237&amp;"",BD237&amp;""))</f>
        <v>none</v>
      </c>
      <c r="I237" s="0" t="str">
        <f aca="false">IF($A237="","",IF(R237="Y","warm-intro",IF(H237="verified","email",IF(C237&lt;&gt;"","linkedin",CB237&amp;""))))</f>
        <v>linkedin</v>
      </c>
      <c r="J237" s="0" t="n">
        <f aca="false">IF($A237="","",IF(CN237="pass",ROUND(N(EM237)+N(EN237)+N(EO237)+N(EP237)+N(EQ237)+N(ER237),1),0))</f>
        <v>22</v>
      </c>
      <c r="K237" s="0" t="str">
        <f aca="false">IF($A237="","",IF(CN237&lt;&gt;"pass",CA237&amp;"",CA237&amp;"; "&amp;IF(AW237="Y",BZ237&amp;"",BL237&amp;"")&amp;IF(R237="Y","; known to the founder (+15)","")&amp;"."))</f>
        <v>Tuesday headcount unknown (no sourced count), company size unknown with a named parent (Sungjoo Group), no attendance signal, signed-not-occupied at a medium-confidence address (hold: lease signed, move not confirmed); contacts not researched yet.</v>
      </c>
      <c r="L237" s="0" t="s">
        <v>209</v>
      </c>
      <c r="R237" s="5" t="s">
        <v>189</v>
      </c>
      <c r="S237" s="0" t="s">
        <v>209</v>
      </c>
      <c r="T237" s="0" t="s">
        <v>189</v>
      </c>
      <c r="U237" s="5" t="s">
        <v>3896</v>
      </c>
      <c r="V237" s="0" t="s">
        <v>4517</v>
      </c>
      <c r="W237" s="0" t="s">
        <v>263</v>
      </c>
      <c r="X237" s="0" t="s">
        <v>3897</v>
      </c>
      <c r="Y237" s="0" t="str">
        <f aca="false">IF(FX237&lt;&gt;"Y","",COUNTIFS($FX$2:$FX$1000,"Y",$J$2:$J$1000,"&gt;"&amp;J237)+COUNTIFS($FX$2:$FX$1000,"Y",$J$2:$J$1000,J237,$GD$2:$GD$1000,"&lt;"&amp;GD237)+1)</f>
        <v/>
      </c>
      <c r="Z237" s="0" t="n">
        <v>236</v>
      </c>
      <c r="AA237" s="0" t="s">
        <v>189</v>
      </c>
      <c r="AB237" s="0" t="str">
        <f aca="false">IF($A237="","",IF(AW237="Y",BY237&amp;"",BK237&amp;""))</f>
        <v/>
      </c>
      <c r="AC237" s="0" t="str">
        <f aca="false">IF($A237="","",IF(AW237="Y",BS237&amp;"",BE237&amp;""))</f>
        <v/>
      </c>
      <c r="AD237" s="0" t="str">
        <f aca="false">IF($A237="","",IF(AW237="Y",BT237&amp;"",BF237&amp;""))</f>
        <v>none</v>
      </c>
      <c r="AE237" s="0" t="str">
        <f aca="false">IF($A237="","",IF(AW237="Y",BU237&amp;"",BG237&amp;""))</f>
        <v/>
      </c>
      <c r="AF237" s="0" t="str">
        <f aca="false">IF($A237="","",IF(AW237="Y",BV237&amp;"",BH237&amp;""))</f>
        <v/>
      </c>
      <c r="AG237" s="0" t="str">
        <f aca="false">IF($A237="","",IF(AW237="Y",BW237&amp;"",BI237&amp;""))</f>
        <v/>
      </c>
      <c r="AH237" s="0" t="str">
        <f aca="false">IF($A237="","",IF(AW237="Y",BX237&amp;"",BJ237&amp;""))</f>
        <v>none</v>
      </c>
      <c r="AI237" s="0" t="s">
        <v>3673</v>
      </c>
      <c r="AJ237" s="0" t="s">
        <v>1723</v>
      </c>
      <c r="AK237" s="0" t="s">
        <v>4183</v>
      </c>
      <c r="AL237" s="0" t="s">
        <v>209</v>
      </c>
      <c r="AM237" s="0" t="s">
        <v>209</v>
      </c>
      <c r="AN237" s="0" t="s">
        <v>380</v>
      </c>
      <c r="AO237" s="0" t="s">
        <v>209</v>
      </c>
      <c r="AP237" s="0" t="s">
        <v>4515</v>
      </c>
      <c r="AQ237" s="5" t="s">
        <v>164</v>
      </c>
      <c r="AR237" s="0" t="s">
        <v>779</v>
      </c>
      <c r="AT237" s="0" t="str">
        <f aca="false">IF($A237="","",IF(AND(CN237="pass",AQ237&lt;&gt;"Y",C237&lt;&gt;"",OR(AX237&lt;&gt;"Y",AV237="Y")),"Y","N"))</f>
        <v>N</v>
      </c>
      <c r="AU237" s="0" t="str">
        <f aca="false">IF($A237="","",_xlfn.TEXTJOIN("; ",TRUE(),IF(CN237&lt;&gt;"pass","gated out",""),IF(AQ237="Y","on hold: "&amp;AR237,""),IF(C237="","no contact named on an opened page",""),IF(AND(AX237="Y",AV237&lt;&gt;"Y"),"Tuesday estimate band "&amp;L237&amp;": founder's call","")))</f>
        <v>on hold: lease signed, move not confirmed: check the lobby directory before outreach (B); no contact named on an opened page</v>
      </c>
      <c r="AX237" s="0" t="s">
        <v>189</v>
      </c>
      <c r="BC237" s="0" t="str">
        <f aca="false">IF($A237="","",IFERROR(INDEX(Enrichment!$A$2:$GZ$2000,MATCH($A237,INDEX(Enrichment!$A$2:$GZ$2000,0,MATCH("row_id",Enrichment!$A$1:$GZ$1,0)),0),MATCH("work_email",Enrichment!$A$1:$GZ$1,0))&amp;"",""))</f>
        <v/>
      </c>
      <c r="BD237" s="0" t="str">
        <f aca="false">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none</v>
      </c>
      <c r="BF237" s="0" t="s">
        <v>380</v>
      </c>
      <c r="BJ237" s="0" t="s">
        <v>380</v>
      </c>
      <c r="BL237" s="0" t="s">
        <v>896</v>
      </c>
      <c r="BQ237" s="0" t="str">
        <f aca="false">IF($A237="","",IFERROR(INDEX(Enrichment!$A$2:$GZ$2000,MATCH($A237,INDEX(Enrichment!$A$2:$GZ$2000,0,MATCH("row_id",Enrichment!$A$1:$GZ$1,0)),0),MATCH("backup_work_email",Enrichment!$A$1:$GZ$1,0))&amp;"",""))</f>
        <v/>
      </c>
      <c r="BR237" s="0" t="str">
        <f aca="false">IF($A237="","",IF(BQ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none</v>
      </c>
      <c r="BT237" s="0" t="s">
        <v>380</v>
      </c>
      <c r="BX237" s="0" t="s">
        <v>380</v>
      </c>
      <c r="BY237" s="0" t="s">
        <v>387</v>
      </c>
      <c r="BZ237" s="0" t="s">
        <v>388</v>
      </c>
      <c r="CA237" s="0" t="s">
        <v>4518</v>
      </c>
      <c r="CB237" s="0" t="s">
        <v>196</v>
      </c>
      <c r="CM237" s="0" t="s">
        <v>189</v>
      </c>
      <c r="CN237" s="0" t="s">
        <v>200</v>
      </c>
      <c r="CO237" s="0" t="s">
        <v>201</v>
      </c>
      <c r="CP237" s="0" t="s">
        <v>1</v>
      </c>
      <c r="CQ237" s="0" t="s">
        <v>4519</v>
      </c>
      <c r="CR237" s="0" t="s">
        <v>4520</v>
      </c>
      <c r="CS237" s="0" t="s">
        <v>4521</v>
      </c>
      <c r="CT237" s="0" t="s">
        <v>209</v>
      </c>
      <c r="CV237" s="0" t="s">
        <v>209</v>
      </c>
      <c r="CW237" s="0" t="s">
        <v>209</v>
      </c>
      <c r="CX237" s="0" t="s">
        <v>2712</v>
      </c>
      <c r="DA237" s="0" t="s">
        <v>209</v>
      </c>
      <c r="DB237" s="0" t="s">
        <v>209</v>
      </c>
      <c r="DC237" s="0" t="s">
        <v>209</v>
      </c>
      <c r="DD237" s="0" t="s">
        <v>4522</v>
      </c>
      <c r="DE237" s="0" t="s">
        <v>209</v>
      </c>
      <c r="DF237" s="0" t="s">
        <v>311</v>
      </c>
      <c r="DG237" s="0" t="n">
        <v>40.74441</v>
      </c>
      <c r="DH237" s="0" t="n">
        <v>-73.987275</v>
      </c>
      <c r="DI237" s="0" t="s">
        <v>164</v>
      </c>
      <c r="DJ237" s="0" t="n">
        <v>0</v>
      </c>
      <c r="DK237" s="0" t="s">
        <v>3676</v>
      </c>
      <c r="DL237" s="0" t="s">
        <v>3677</v>
      </c>
      <c r="DM237" s="0" t="s">
        <v>4517</v>
      </c>
      <c r="DN237" s="0" t="s">
        <v>4523</v>
      </c>
      <c r="DO237" s="0" t="s">
        <v>363</v>
      </c>
      <c r="DS237" s="0" t="s">
        <v>809</v>
      </c>
      <c r="DT237" s="0" t="s">
        <v>209</v>
      </c>
      <c r="DU237" s="0" t="s">
        <v>189</v>
      </c>
      <c r="DX237" s="0" t="s">
        <v>267</v>
      </c>
      <c r="DY237" s="0" t="s">
        <v>3680</v>
      </c>
      <c r="EA237" s="0" t="s">
        <v>209</v>
      </c>
      <c r="EB237" s="0" t="s">
        <v>189</v>
      </c>
      <c r="EC237" s="0" t="s">
        <v>209</v>
      </c>
      <c r="EF237" s="0" t="s">
        <v>209</v>
      </c>
      <c r="EH237" s="0" t="s">
        <v>189</v>
      </c>
      <c r="EI237" s="0" t="s">
        <v>2716</v>
      </c>
      <c r="EJ237" s="0" t="s">
        <v>221</v>
      </c>
      <c r="EK237" s="0" t="s">
        <v>209</v>
      </c>
      <c r="EL237" s="0" t="n">
        <v>22</v>
      </c>
      <c r="EM237" s="0" t="n">
        <v>7</v>
      </c>
      <c r="EN237" s="0" t="n">
        <v>4</v>
      </c>
      <c r="EO237" s="0" t="n">
        <v>6</v>
      </c>
      <c r="EP237" s="0" t="n">
        <v>5</v>
      </c>
      <c r="EQ237" s="0" t="n">
        <f aca="false">IF($A237="","",IF(AH237="exact",10,IF(AH237="adjacent",5,0)))</f>
        <v>0</v>
      </c>
      <c r="ER237" s="0" t="n">
        <f aca="false">IF($A237="","",IF(R237="Y",15,0))</f>
        <v>0</v>
      </c>
      <c r="ES237" s="0" t="s">
        <v>222</v>
      </c>
      <c r="EV237" s="0" t="s">
        <v>4524</v>
      </c>
      <c r="EW237" s="0" t="s">
        <v>224</v>
      </c>
      <c r="EX237" s="0" t="s">
        <v>4525</v>
      </c>
      <c r="FS237" s="0" t="str">
        <f aca="false">IF($A237="","",IF(ISNUMBER(MATCH(U237,{"queued","contacted","replied","call_booked","call_done","yes_in_principle","materials_sent"},0)),"Y","N"))</f>
        <v>N</v>
      </c>
      <c r="FT237" s="0" t="str">
        <f aca="false">IF($A237="","",IF(OR(T237="Y",U237="do_not_contact",AS237&amp;""&lt;&gt;""),"Y","N"))</f>
        <v>N</v>
      </c>
      <c r="FU237" s="0" t="str">
        <f aca="false">IF($A237="","",IF(AP237&amp;""&lt;&gt;"",AP237&amp;"",$A237))</f>
        <v>AO-C-162</v>
      </c>
      <c r="FV237" s="0" t="str">
        <f aca="false">IF($A237="","",IF(COUNTIFS($FU$2:$FU$1000,FU237,$FS$2:$FS$1000,"Y")+COUNTIFS($FU$2:$FU$1000,FU237,$FT$2:$FT$1000,"Y")&gt;0,"Y","N"))</f>
        <v>N</v>
      </c>
      <c r="FW237" s="0" t="str">
        <f aca="false">IF($A237="","",IF(AND(U237="new",T237="N",FT237="N",AT237="Y",FV237="N"),"Y","N"))</f>
        <v>N</v>
      </c>
      <c r="FX237" s="0" t="str">
        <f aca="false">IF($A237="","",IF(FW237&lt;&gt;"Y","N",IF(COUNTIFS($FU$2:$FU$1000,FU237,$FW$2:$FW$1000,"Y",$J$2:$J$1000,"&gt;"&amp;J237)+COUNTIFS($FU$2:$FU$1000,FU237,$FW$2:$FW$1000,"Y",$J$2:$J$1000,J237,$GD$2:$GD$1000,"&lt;"&amp;GD237)=0,"Y","N")))</f>
        <v>N</v>
      </c>
      <c r="FY237" s="0" t="str">
        <f aca="false">IF($A237="","",IF(AND(FW237="Y",FX237="Y",Y237&amp;""&lt;&gt;""),IF(Y237&lt;=10,"Y","N"),"N"))</f>
        <v>N</v>
      </c>
      <c r="FZ237" s="0" t="str">
        <f aca="false">IF(FY237="Y",Y237,"")</f>
        <v/>
      </c>
      <c r="GA237" s="0" t="str">
        <f aca="false">IF($A237="","",IF(AND(I237="walk-in",CN237="pass",U237="new",FT237="N",FV237="N",AQ237&lt;&gt;"Y"),"Y","N"))</f>
        <v>N</v>
      </c>
      <c r="GB237" s="0" t="str">
        <f aca="false">IF(GA237&lt;&gt;"Y","",IF(COUNTIFS($GA$2:$GA$1000,"Y",$J$2:$J$1000,"&gt;"&amp;J237)+COUNTIFS($GA$2:$GA$1000,"Y",$J$2:$J$1000,J237,$GD$2:$GD$1000,"&lt;"&amp;GD237)+1&lt;=25,COUNTIFS($GA$2:$GA$1000,"Y",$J$2:$J$1000,"&gt;"&amp;J237)+COUNTIFS($GA$2:$GA$1000,"Y",$J$2:$J$1000,J237,$GD$2:$GD$1000,"&lt;"&amp;GD237)+1,""))</f>
        <v/>
      </c>
      <c r="GC237" s="0" t="str">
        <f aca="false">IF(AND(_xlfn.ISFORMULA(C237),_xlfn.ISFORMULA(J237)),"Y","N")</f>
        <v>Y</v>
      </c>
      <c r="GD237" s="0" t="n">
        <f aca="false">ROW()-1</f>
        <v>236</v>
      </c>
    </row>
    <row r="238" customFormat="false" ht="15" hidden="false" customHeight="false" outlineLevel="0" collapsed="false">
      <c r="A238" s="0" t="s">
        <v>4526</v>
      </c>
      <c r="B238" s="0" t="s">
        <v>4527</v>
      </c>
      <c r="C238" s="0" t="str">
        <f aca="false">IF($A238="","",IF(AW238="Y",BM238&amp;"",AY238&amp;""))</f>
        <v/>
      </c>
      <c r="D238" s="0" t="str">
        <f aca="false">IF($A238="","",IF(AW238="Y",BN238&amp;"",AZ238&amp;""))</f>
        <v/>
      </c>
      <c r="E238" s="0" t="str">
        <f aca="false">IF($A238="","",IF(AW238="Y",BO238&amp;"",BA238&amp;""))</f>
        <v/>
      </c>
      <c r="F238" s="0" t="str">
        <f aca="false">IF($A238="","",IF(AW238="Y",BP238&amp;"",BB238&amp;""))</f>
        <v/>
      </c>
      <c r="G238" s="0" t="str">
        <f aca="false">IF($A238="","",IF(AW238="Y",BQ238&amp;"",BC238&amp;""))</f>
        <v/>
      </c>
      <c r="H238" s="0" t="str">
        <f aca="false">IF($A238="","",IF(AW238="Y",BR238&amp;"",BD238&amp;""))</f>
        <v>none</v>
      </c>
      <c r="I238" s="0" t="str">
        <f aca="false">IF($A238="","",IF(R238="Y","warm-intro",IF(H238="verified","email",IF(C238&lt;&gt;"","linkedin",CB238&amp;""))))</f>
        <v>linkedin</v>
      </c>
      <c r="J238" s="0" t="n">
        <f aca="false">IF($A238="","",IF(CN238="pass",ROUND(N(EM238)+N(EN238)+N(EO238)+N(EP238)+N(EQ238)+N(ER238),1),0))</f>
        <v>22</v>
      </c>
      <c r="K238" s="0" t="str">
        <f aca="false">IF($A238="","",IF(CN238&lt;&gt;"pass",CA238&amp;"",CA238&amp;"; "&amp;IF(AW238="Y",BZ238&amp;"",BL238&amp;"")&amp;IF(R238="Y","; known to the founder (+15)","")&amp;"."))</f>
        <v>Tuesday headcount unknown (no sourced count), company size unknown with a named parent (Frasers Group), no attendance signal, occupancy-unconfirmed at a low-confidence address; contacts not researched yet.</v>
      </c>
      <c r="L238" s="0" t="s">
        <v>209</v>
      </c>
      <c r="R238" s="5" t="s">
        <v>189</v>
      </c>
      <c r="S238" s="0" t="s">
        <v>209</v>
      </c>
      <c r="T238" s="0" t="s">
        <v>189</v>
      </c>
      <c r="U238" s="5" t="s">
        <v>3896</v>
      </c>
      <c r="V238" s="0" t="s">
        <v>4528</v>
      </c>
      <c r="W238" s="0" t="s">
        <v>263</v>
      </c>
      <c r="X238" s="0" t="s">
        <v>3897</v>
      </c>
      <c r="Y238" s="0" t="str">
        <f aca="false">IF(FX238&lt;&gt;"Y","",COUNTIFS($FX$2:$FX$1000,"Y",$J$2:$J$1000,"&gt;"&amp;J238)+COUNTIFS($FX$2:$FX$1000,"Y",$J$2:$J$1000,J238,$GD$2:$GD$1000,"&lt;"&amp;GD238)+1)</f>
        <v/>
      </c>
      <c r="Z238" s="0" t="n">
        <v>237</v>
      </c>
      <c r="AA238" s="0" t="s">
        <v>189</v>
      </c>
      <c r="AB238" s="0" t="str">
        <f aca="false">IF($A238="","",IF(AW238="Y",BY238&amp;"",BK238&amp;""))</f>
        <v/>
      </c>
      <c r="AC238" s="0" t="str">
        <f aca="false">IF($A238="","",IF(AW238="Y",BS238&amp;"",BE238&amp;""))</f>
        <v/>
      </c>
      <c r="AD238" s="0" t="str">
        <f aca="false">IF($A238="","",IF(AW238="Y",BT238&amp;"",BF238&amp;""))</f>
        <v>none</v>
      </c>
      <c r="AE238" s="0" t="str">
        <f aca="false">IF($A238="","",IF(AW238="Y",BU238&amp;"",BG238&amp;""))</f>
        <v/>
      </c>
      <c r="AF238" s="0" t="str">
        <f aca="false">IF($A238="","",IF(AW238="Y",BV238&amp;"",BH238&amp;""))</f>
        <v/>
      </c>
      <c r="AG238" s="0" t="str">
        <f aca="false">IF($A238="","",IF(AW238="Y",BW238&amp;"",BI238&amp;""))</f>
        <v/>
      </c>
      <c r="AH238" s="0" t="str">
        <f aca="false">IF($A238="","",IF(AW238="Y",BX238&amp;"",BJ238&amp;""))</f>
        <v>none</v>
      </c>
      <c r="AI238" s="0" t="s">
        <v>2817</v>
      </c>
      <c r="AJ238" s="0" t="s">
        <v>231</v>
      </c>
      <c r="AK238" s="0" t="s">
        <v>3898</v>
      </c>
      <c r="AL238" s="0" t="s">
        <v>209</v>
      </c>
      <c r="AM238" s="0" t="s">
        <v>209</v>
      </c>
      <c r="AN238" s="0" t="s">
        <v>380</v>
      </c>
      <c r="AO238" s="0" t="s">
        <v>209</v>
      </c>
      <c r="AP238" s="0" t="s">
        <v>4526</v>
      </c>
      <c r="AQ238" s="5" t="s">
        <v>189</v>
      </c>
      <c r="AT238" s="0" t="str">
        <f aca="false">IF($A238="","",IF(AND(CN238="pass",AQ238&lt;&gt;"Y",C238&lt;&gt;"",OR(AX238&lt;&gt;"Y",AV238="Y")),"Y","N"))</f>
        <v>N</v>
      </c>
      <c r="AU238" s="0" t="str">
        <f aca="false">IF($A238="","",_xlfn.TEXTJOIN("; ",TRUE(),IF(CN238&lt;&gt;"pass","gated out",""),IF(AQ238="Y","on hold: "&amp;AR238,""),IF(C238="","no contact named on an opened page",""),IF(AND(AX238="Y",AV238&lt;&gt;"Y"),"Tuesday estimate band "&amp;L238&amp;": founder's call","")))</f>
        <v>no contact named on an opened page</v>
      </c>
      <c r="AX238" s="0" t="s">
        <v>189</v>
      </c>
      <c r="BC238" s="0" t="str">
        <f aca="false">IF($A238="","",IFERROR(INDEX(Enrichment!$A$2:$GZ$2000,MATCH($A238,INDEX(Enrichment!$A$2:$GZ$2000,0,MATCH("row_id",Enrichment!$A$1:$GZ$1,0)),0),MATCH("work_email",Enrichment!$A$1:$GZ$1,0))&amp;"",""))</f>
        <v/>
      </c>
      <c r="BD238" s="0" t="str">
        <f aca="false">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none</v>
      </c>
      <c r="BF238" s="0" t="s">
        <v>380</v>
      </c>
      <c r="BJ238" s="0" t="s">
        <v>380</v>
      </c>
      <c r="BL238" s="0" t="s">
        <v>896</v>
      </c>
      <c r="BQ238" s="0" t="str">
        <f aca="false">IF($A238="","",IFERROR(INDEX(Enrichment!$A$2:$GZ$2000,MATCH($A238,INDEX(Enrichment!$A$2:$GZ$2000,0,MATCH("row_id",Enrichment!$A$1:$GZ$1,0)),0),MATCH("backup_work_email",Enrichment!$A$1:$GZ$1,0))&amp;"",""))</f>
        <v/>
      </c>
      <c r="BR238" s="0" t="str">
        <f aca="false">IF($A238="","",IF(BQ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none</v>
      </c>
      <c r="BT238" s="0" t="s">
        <v>380</v>
      </c>
      <c r="BX238" s="0" t="s">
        <v>380</v>
      </c>
      <c r="BY238" s="0" t="s">
        <v>387</v>
      </c>
      <c r="BZ238" s="0" t="s">
        <v>388</v>
      </c>
      <c r="CA238" s="0" t="s">
        <v>4529</v>
      </c>
      <c r="CB238" s="0" t="s">
        <v>196</v>
      </c>
      <c r="CM238" s="0" t="s">
        <v>189</v>
      </c>
      <c r="CN238" s="0" t="s">
        <v>200</v>
      </c>
      <c r="CO238" s="0" t="s">
        <v>201</v>
      </c>
      <c r="CP238" s="0" t="s">
        <v>1</v>
      </c>
      <c r="CQ238" s="0" t="s">
        <v>4530</v>
      </c>
      <c r="CR238" s="0" t="s">
        <v>4531</v>
      </c>
      <c r="CS238" s="0" t="s">
        <v>4532</v>
      </c>
      <c r="CT238" s="0" t="s">
        <v>209</v>
      </c>
      <c r="CV238" s="0" t="s">
        <v>209</v>
      </c>
      <c r="CW238" s="0" t="s">
        <v>209</v>
      </c>
      <c r="CX238" s="0" t="s">
        <v>2712</v>
      </c>
      <c r="DA238" s="0" t="s">
        <v>209</v>
      </c>
      <c r="DB238" s="0" t="s">
        <v>209</v>
      </c>
      <c r="DC238" s="0" t="s">
        <v>209</v>
      </c>
      <c r="DD238" s="0" t="s">
        <v>4533</v>
      </c>
      <c r="DE238" s="0" t="s">
        <v>209</v>
      </c>
      <c r="DF238" s="0" t="s">
        <v>1190</v>
      </c>
      <c r="DG238" s="0" t="n">
        <v>40.744515</v>
      </c>
      <c r="DH238" s="0" t="n">
        <v>-73.988255</v>
      </c>
      <c r="DI238" s="0" t="s">
        <v>164</v>
      </c>
      <c r="DJ238" s="0" t="n">
        <v>0</v>
      </c>
      <c r="DK238" s="0" t="s">
        <v>2806</v>
      </c>
      <c r="DL238" s="0" t="s">
        <v>2807</v>
      </c>
      <c r="DM238" s="0" t="s">
        <v>4528</v>
      </c>
      <c r="DN238" s="0" t="s">
        <v>4534</v>
      </c>
      <c r="DO238" s="0" t="s">
        <v>363</v>
      </c>
      <c r="DS238" s="0" t="s">
        <v>187</v>
      </c>
      <c r="DU238" s="0" t="s">
        <v>189</v>
      </c>
      <c r="DX238" s="0" t="s">
        <v>209</v>
      </c>
      <c r="EA238" s="0" t="s">
        <v>209</v>
      </c>
      <c r="EB238" s="0" t="s">
        <v>189</v>
      </c>
      <c r="EC238" s="0" t="s">
        <v>209</v>
      </c>
      <c r="EF238" s="0" t="s">
        <v>209</v>
      </c>
      <c r="EH238" s="0" t="s">
        <v>189</v>
      </c>
      <c r="EI238" s="0" t="s">
        <v>2716</v>
      </c>
      <c r="EJ238" s="0" t="s">
        <v>221</v>
      </c>
      <c r="EK238" s="0" t="s">
        <v>209</v>
      </c>
      <c r="EL238" s="0" t="n">
        <v>22</v>
      </c>
      <c r="EM238" s="0" t="n">
        <v>7</v>
      </c>
      <c r="EN238" s="0" t="n">
        <v>4</v>
      </c>
      <c r="EO238" s="0" t="n">
        <v>6</v>
      </c>
      <c r="EP238" s="0" t="n">
        <v>5</v>
      </c>
      <c r="EQ238" s="0" t="n">
        <f aca="false">IF($A238="","",IF(AH238="exact",10,IF(AH238="adjacent",5,0)))</f>
        <v>0</v>
      </c>
      <c r="ER238" s="0" t="n">
        <f aca="false">IF($A238="","",IF(R238="Y",15,0))</f>
        <v>0</v>
      </c>
      <c r="ES238" s="0" t="s">
        <v>222</v>
      </c>
      <c r="EV238" s="0" t="s">
        <v>4535</v>
      </c>
      <c r="EW238" s="0" t="s">
        <v>224</v>
      </c>
      <c r="EX238" s="0" t="s">
        <v>4536</v>
      </c>
      <c r="FS238" s="0" t="str">
        <f aca="false">IF($A238="","",IF(ISNUMBER(MATCH(U238,{"queued","contacted","replied","call_booked","call_done","yes_in_principle","materials_sent"},0)),"Y","N"))</f>
        <v>N</v>
      </c>
      <c r="FT238" s="0" t="str">
        <f aca="false">IF($A238="","",IF(OR(T238="Y",U238="do_not_contact",AS238&amp;""&lt;&gt;""),"Y","N"))</f>
        <v>N</v>
      </c>
      <c r="FU238" s="0" t="str">
        <f aca="false">IF($A238="","",IF(AP238&amp;""&lt;&gt;"",AP238&amp;"",$A238))</f>
        <v>AO-C-152</v>
      </c>
      <c r="FV238" s="0" t="str">
        <f aca="false">IF($A238="","",IF(COUNTIFS($FU$2:$FU$1000,FU238,$FS$2:$FS$1000,"Y")+COUNTIFS($FU$2:$FU$1000,FU238,$FT$2:$FT$1000,"Y")&gt;0,"Y","N"))</f>
        <v>N</v>
      </c>
      <c r="FW238" s="0" t="str">
        <f aca="false">IF($A238="","",IF(AND(U238="new",T238="N",FT238="N",AT238="Y",FV238="N"),"Y","N"))</f>
        <v>N</v>
      </c>
      <c r="FX238" s="0" t="str">
        <f aca="false">IF($A238="","",IF(FW238&lt;&gt;"Y","N",IF(COUNTIFS($FU$2:$FU$1000,FU238,$FW$2:$FW$1000,"Y",$J$2:$J$1000,"&gt;"&amp;J238)+COUNTIFS($FU$2:$FU$1000,FU238,$FW$2:$FW$1000,"Y",$J$2:$J$1000,J238,$GD$2:$GD$1000,"&lt;"&amp;GD238)=0,"Y","N")))</f>
        <v>N</v>
      </c>
      <c r="FY238" s="0" t="str">
        <f aca="false">IF($A238="","",IF(AND(FW238="Y",FX238="Y",Y238&amp;""&lt;&gt;""),IF(Y238&lt;=10,"Y","N"),"N"))</f>
        <v>N</v>
      </c>
      <c r="FZ238" s="0" t="str">
        <f aca="false">IF(FY238="Y",Y238,"")</f>
        <v/>
      </c>
      <c r="GA238" s="0" t="str">
        <f aca="false">IF($A238="","",IF(AND(I238="walk-in",CN238="pass",U238="new",FT238="N",FV238="N",AQ238&lt;&gt;"Y"),"Y","N"))</f>
        <v>N</v>
      </c>
      <c r="GB238" s="0" t="str">
        <f aca="false">IF(GA238&lt;&gt;"Y","",IF(COUNTIFS($GA$2:$GA$1000,"Y",$J$2:$J$1000,"&gt;"&amp;J238)+COUNTIFS($GA$2:$GA$1000,"Y",$J$2:$J$1000,J238,$GD$2:$GD$1000,"&lt;"&amp;GD238)+1&lt;=25,COUNTIFS($GA$2:$GA$1000,"Y",$J$2:$J$1000,"&gt;"&amp;J238)+COUNTIFS($GA$2:$GA$1000,"Y",$J$2:$J$1000,J238,$GD$2:$GD$1000,"&lt;"&amp;GD238)+1,""))</f>
        <v/>
      </c>
      <c r="GC238" s="0" t="str">
        <f aca="false">IF(AND(_xlfn.ISFORMULA(C238),_xlfn.ISFORMULA(J238)),"Y","N")</f>
        <v>Y</v>
      </c>
      <c r="GD238" s="0" t="n">
        <f aca="false">ROW()-1</f>
        <v>237</v>
      </c>
    </row>
    <row r="239" customFormat="false" ht="15" hidden="false" customHeight="false" outlineLevel="0" collapsed="false">
      <c r="A239" s="0" t="s">
        <v>4537</v>
      </c>
      <c r="B239" s="0" t="s">
        <v>4538</v>
      </c>
      <c r="C239" s="0" t="str">
        <f aca="false">IF($A239="","",IF(AW239="Y",BM239&amp;"",AY239&amp;""))</f>
        <v/>
      </c>
      <c r="D239" s="0" t="str">
        <f aca="false">IF($A239="","",IF(AW239="Y",BN239&amp;"",AZ239&amp;""))</f>
        <v/>
      </c>
      <c r="E239" s="0" t="str">
        <f aca="false">IF($A239="","",IF(AW239="Y",BO239&amp;"",BA239&amp;""))</f>
        <v/>
      </c>
      <c r="F239" s="0" t="str">
        <f aca="false">IF($A239="","",IF(AW239="Y",BP239&amp;"",BB239&amp;""))</f>
        <v/>
      </c>
      <c r="G239" s="0" t="str">
        <f aca="false">IF($A239="","",IF(AW239="Y",BQ239&amp;"",BC239&amp;""))</f>
        <v/>
      </c>
      <c r="H239" s="0" t="str">
        <f aca="false">IF($A239="","",IF(AW239="Y",BR239&amp;"",BD239&amp;""))</f>
        <v>none</v>
      </c>
      <c r="I239" s="0" t="str">
        <f aca="false">IF($A239="","",IF(R239="Y","warm-intro",IF(H239="verified","email",IF(C239&lt;&gt;"","linkedin",CB239&amp;""))))</f>
        <v>linkedin</v>
      </c>
      <c r="J239" s="0" t="n">
        <f aca="false">IF($A239="","",IF(CN239="pass",ROUND(N(EM239)+N(EN239)+N(EO239)+N(EP239)+N(EQ239)+N(ER239),1),0))</f>
        <v>22</v>
      </c>
      <c r="K239" s="0" t="str">
        <f aca="false">IF($A239="","",IF(CN239&lt;&gt;"pass",CA239&amp;"",CA239&amp;"; "&amp;IF(AW239="Y",BZ239&amp;"",BL239&amp;"")&amp;IF(R239="Y","; known to the founder (+15)","")&amp;"."))</f>
        <v>Tuesday headcount unknown (no sourced count), company size unknown with a named parent (The Adecco Group), no attendance signal, occupancy-unconfirmed at a low-confidence address; contacts not researched yet.</v>
      </c>
      <c r="L239" s="0" t="s">
        <v>209</v>
      </c>
      <c r="R239" s="5" t="s">
        <v>189</v>
      </c>
      <c r="S239" s="0" t="s">
        <v>209</v>
      </c>
      <c r="T239" s="0" t="s">
        <v>189</v>
      </c>
      <c r="U239" s="5" t="s">
        <v>3896</v>
      </c>
      <c r="V239" s="0" t="s">
        <v>4539</v>
      </c>
      <c r="W239" s="0" t="s">
        <v>263</v>
      </c>
      <c r="X239" s="0" t="s">
        <v>3897</v>
      </c>
      <c r="Y239" s="0" t="str">
        <f aca="false">IF(FX239&lt;&gt;"Y","",COUNTIFS($FX$2:$FX$1000,"Y",$J$2:$J$1000,"&gt;"&amp;J239)+COUNTIFS($FX$2:$FX$1000,"Y",$J$2:$J$1000,J239,$GD$2:$GD$1000,"&lt;"&amp;GD239)+1)</f>
        <v/>
      </c>
      <c r="Z239" s="0" t="n">
        <v>238</v>
      </c>
      <c r="AA239" s="0" t="s">
        <v>189</v>
      </c>
      <c r="AB239" s="0" t="str">
        <f aca="false">IF($A239="","",IF(AW239="Y",BY239&amp;"",BK239&amp;""))</f>
        <v/>
      </c>
      <c r="AC239" s="0" t="str">
        <f aca="false">IF($A239="","",IF(AW239="Y",BS239&amp;"",BE239&amp;""))</f>
        <v/>
      </c>
      <c r="AD239" s="0" t="str">
        <f aca="false">IF($A239="","",IF(AW239="Y",BT239&amp;"",BF239&amp;""))</f>
        <v>none</v>
      </c>
      <c r="AE239" s="0" t="str">
        <f aca="false">IF($A239="","",IF(AW239="Y",BU239&amp;"",BG239&amp;""))</f>
        <v/>
      </c>
      <c r="AF239" s="0" t="str">
        <f aca="false">IF($A239="","",IF(AW239="Y",BV239&amp;"",BH239&amp;""))</f>
        <v/>
      </c>
      <c r="AG239" s="0" t="str">
        <f aca="false">IF($A239="","",IF(AW239="Y",BW239&amp;"",BI239&amp;""))</f>
        <v/>
      </c>
      <c r="AH239" s="0" t="str">
        <f aca="false">IF($A239="","",IF(AW239="Y",BX239&amp;"",BJ239&amp;""))</f>
        <v>none</v>
      </c>
      <c r="AI239" s="0" t="s">
        <v>1374</v>
      </c>
      <c r="AJ239" s="0" t="s">
        <v>4540</v>
      </c>
      <c r="AK239" s="0" t="s">
        <v>3898</v>
      </c>
      <c r="AL239" s="0" t="s">
        <v>209</v>
      </c>
      <c r="AM239" s="0" t="s">
        <v>209</v>
      </c>
      <c r="AN239" s="0" t="s">
        <v>380</v>
      </c>
      <c r="AO239" s="0" t="s">
        <v>209</v>
      </c>
      <c r="AP239" s="0" t="s">
        <v>4537</v>
      </c>
      <c r="AQ239" s="5" t="s">
        <v>189</v>
      </c>
      <c r="AT239" s="0" t="str">
        <f aca="false">IF($A239="","",IF(AND(CN239="pass",AQ239&lt;&gt;"Y",C239&lt;&gt;"",OR(AX239&lt;&gt;"Y",AV239="Y")),"Y","N"))</f>
        <v>N</v>
      </c>
      <c r="AU239" s="0" t="str">
        <f aca="false">IF($A239="","",_xlfn.TEXTJOIN("; ",TRUE(),IF(CN239&lt;&gt;"pass","gated out",""),IF(AQ239="Y","on hold: "&amp;AR239,""),IF(C239="","no contact named on an opened page",""),IF(AND(AX239="Y",AV239&lt;&gt;"Y"),"Tuesday estimate band "&amp;L239&amp;": founder's call","")))</f>
        <v>no contact named on an opened page</v>
      </c>
      <c r="AX239" s="0" t="s">
        <v>189</v>
      </c>
      <c r="BC239" s="0" t="str">
        <f aca="false">IF($A239="","",IFERROR(INDEX(Enrichment!$A$2:$GZ$2000,MATCH($A239,INDEX(Enrichment!$A$2:$GZ$2000,0,MATCH("row_id",Enrichment!$A$1:$GZ$1,0)),0),MATCH("work_email",Enrichment!$A$1:$GZ$1,0))&amp;"",""))</f>
        <v/>
      </c>
      <c r="BD239" s="0" t="str">
        <f aca="false">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none</v>
      </c>
      <c r="BF239" s="0" t="s">
        <v>380</v>
      </c>
      <c r="BJ239" s="0" t="s">
        <v>380</v>
      </c>
      <c r="BL239" s="0" t="s">
        <v>896</v>
      </c>
      <c r="BQ239" s="0" t="str">
        <f aca="false">IF($A239="","",IFERROR(INDEX(Enrichment!$A$2:$GZ$2000,MATCH($A239,INDEX(Enrichment!$A$2:$GZ$2000,0,MATCH("row_id",Enrichment!$A$1:$GZ$1,0)),0),MATCH("backup_work_email",Enrichment!$A$1:$GZ$1,0))&amp;"",""))</f>
        <v/>
      </c>
      <c r="BR239" s="0" t="str">
        <f aca="false">IF($A239="","",IF(BQ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none</v>
      </c>
      <c r="BT239" s="0" t="s">
        <v>380</v>
      </c>
      <c r="BX239" s="0" t="s">
        <v>380</v>
      </c>
      <c r="BY239" s="0" t="s">
        <v>387</v>
      </c>
      <c r="BZ239" s="0" t="s">
        <v>388</v>
      </c>
      <c r="CA239" s="0" t="s">
        <v>4541</v>
      </c>
      <c r="CB239" s="0" t="s">
        <v>196</v>
      </c>
      <c r="CM239" s="0" t="s">
        <v>189</v>
      </c>
      <c r="CN239" s="0" t="s">
        <v>200</v>
      </c>
      <c r="CO239" s="0" t="s">
        <v>201</v>
      </c>
      <c r="CP239" s="0" t="s">
        <v>1</v>
      </c>
      <c r="CQ239" s="0" t="s">
        <v>4542</v>
      </c>
      <c r="CR239" s="0" t="s">
        <v>209</v>
      </c>
      <c r="CS239" s="0" t="s">
        <v>4543</v>
      </c>
      <c r="CT239" s="0" t="s">
        <v>209</v>
      </c>
      <c r="CV239" s="0" t="s">
        <v>209</v>
      </c>
      <c r="CW239" s="0" t="s">
        <v>209</v>
      </c>
      <c r="CX239" s="0" t="s">
        <v>2712</v>
      </c>
      <c r="DA239" s="0" t="s">
        <v>209</v>
      </c>
      <c r="DB239" s="0" t="s">
        <v>209</v>
      </c>
      <c r="DC239" s="0" t="s">
        <v>209</v>
      </c>
      <c r="DD239" s="0" t="s">
        <v>4544</v>
      </c>
      <c r="DE239" s="0" t="s">
        <v>209</v>
      </c>
      <c r="DF239" s="0" t="s">
        <v>525</v>
      </c>
      <c r="DG239" s="0" t="n">
        <v>40.739695</v>
      </c>
      <c r="DH239" s="0" t="n">
        <v>-73.989816</v>
      </c>
      <c r="DI239" s="0" t="s">
        <v>164</v>
      </c>
      <c r="DJ239" s="0" t="n">
        <v>0</v>
      </c>
      <c r="DK239" s="0" t="s">
        <v>2048</v>
      </c>
      <c r="DL239" s="0" t="s">
        <v>2049</v>
      </c>
      <c r="DM239" s="0" t="s">
        <v>4539</v>
      </c>
      <c r="DN239" s="0" t="s">
        <v>4545</v>
      </c>
      <c r="DO239" s="0" t="s">
        <v>363</v>
      </c>
      <c r="DP239" s="0" t="s">
        <v>2051</v>
      </c>
      <c r="DQ239" s="0" t="s">
        <v>4546</v>
      </c>
      <c r="DS239" s="0" t="s">
        <v>187</v>
      </c>
      <c r="DU239" s="0" t="s">
        <v>189</v>
      </c>
      <c r="DX239" s="0" t="s">
        <v>267</v>
      </c>
      <c r="DY239" s="0" t="s">
        <v>2051</v>
      </c>
      <c r="EA239" s="0" t="s">
        <v>209</v>
      </c>
      <c r="EB239" s="0" t="s">
        <v>189</v>
      </c>
      <c r="EC239" s="0" t="s">
        <v>209</v>
      </c>
      <c r="EF239" s="0" t="s">
        <v>209</v>
      </c>
      <c r="EH239" s="0" t="s">
        <v>189</v>
      </c>
      <c r="EI239" s="0" t="s">
        <v>2716</v>
      </c>
      <c r="EJ239" s="0" t="s">
        <v>221</v>
      </c>
      <c r="EK239" s="0" t="s">
        <v>209</v>
      </c>
      <c r="EL239" s="0" t="n">
        <v>22</v>
      </c>
      <c r="EM239" s="0" t="n">
        <v>7</v>
      </c>
      <c r="EN239" s="0" t="n">
        <v>4</v>
      </c>
      <c r="EO239" s="0" t="n">
        <v>6</v>
      </c>
      <c r="EP239" s="0" t="n">
        <v>5</v>
      </c>
      <c r="EQ239" s="0" t="n">
        <f aca="false">IF($A239="","",IF(AH239="exact",10,IF(AH239="adjacent",5,0)))</f>
        <v>0</v>
      </c>
      <c r="ER239" s="0" t="n">
        <f aca="false">IF($A239="","",IF(R239="Y",15,0))</f>
        <v>0</v>
      </c>
      <c r="ES239" s="0" t="s">
        <v>222</v>
      </c>
      <c r="EV239" s="0" t="s">
        <v>4547</v>
      </c>
      <c r="EW239" s="0" t="s">
        <v>224</v>
      </c>
      <c r="EX239" s="0" t="s">
        <v>4548</v>
      </c>
      <c r="FS239" s="0" t="str">
        <f aca="false">IF($A239="","",IF(ISNUMBER(MATCH(U239,{"queued","contacted","replied","call_booked","call_done","yes_in_principle","materials_sent"},0)),"Y","N"))</f>
        <v>N</v>
      </c>
      <c r="FT239" s="0" t="str">
        <f aca="false">IF($A239="","",IF(OR(T239="Y",U239="do_not_contact",AS239&amp;""&lt;&gt;""),"Y","N"))</f>
        <v>N</v>
      </c>
      <c r="FU239" s="0" t="str">
        <f aca="false">IF($A239="","",IF(AP239&amp;""&lt;&gt;"",AP239&amp;"",$A239))</f>
        <v>AO-C-074</v>
      </c>
      <c r="FV239" s="0" t="str">
        <f aca="false">IF($A239="","",IF(COUNTIFS($FU$2:$FU$1000,FU239,$FS$2:$FS$1000,"Y")+COUNTIFS($FU$2:$FU$1000,FU239,$FT$2:$FT$1000,"Y")&gt;0,"Y","N"))</f>
        <v>N</v>
      </c>
      <c r="FW239" s="0" t="str">
        <f aca="false">IF($A239="","",IF(AND(U239="new",T239="N",FT239="N",AT239="Y",FV239="N"),"Y","N"))</f>
        <v>N</v>
      </c>
      <c r="FX239" s="0" t="str">
        <f aca="false">IF($A239="","",IF(FW239&lt;&gt;"Y","N",IF(COUNTIFS($FU$2:$FU$1000,FU239,$FW$2:$FW$1000,"Y",$J$2:$J$1000,"&gt;"&amp;J239)+COUNTIFS($FU$2:$FU$1000,FU239,$FW$2:$FW$1000,"Y",$J$2:$J$1000,J239,$GD$2:$GD$1000,"&lt;"&amp;GD239)=0,"Y","N")))</f>
        <v>N</v>
      </c>
      <c r="FY239" s="0" t="str">
        <f aca="false">IF($A239="","",IF(AND(FW239="Y",FX239="Y",Y239&amp;""&lt;&gt;""),IF(Y239&lt;=10,"Y","N"),"N"))</f>
        <v>N</v>
      </c>
      <c r="FZ239" s="0" t="str">
        <f aca="false">IF(FY239="Y",Y239,"")</f>
        <v/>
      </c>
      <c r="GA239" s="0" t="str">
        <f aca="false">IF($A239="","",IF(AND(I239="walk-in",CN239="pass",U239="new",FT239="N",FV239="N",AQ239&lt;&gt;"Y"),"Y","N"))</f>
        <v>N</v>
      </c>
      <c r="GB239" s="0" t="str">
        <f aca="false">IF(GA239&lt;&gt;"Y","",IF(COUNTIFS($GA$2:$GA$1000,"Y",$J$2:$J$1000,"&gt;"&amp;J239)+COUNTIFS($GA$2:$GA$1000,"Y",$J$2:$J$1000,J239,$GD$2:$GD$1000,"&lt;"&amp;GD239)+1&lt;=25,COUNTIFS($GA$2:$GA$1000,"Y",$J$2:$J$1000,"&gt;"&amp;J239)+COUNTIFS($GA$2:$GA$1000,"Y",$J$2:$J$1000,J239,$GD$2:$GD$1000,"&lt;"&amp;GD239)+1,""))</f>
        <v/>
      </c>
      <c r="GC239" s="0" t="str">
        <f aca="false">IF(AND(_xlfn.ISFORMULA(C239),_xlfn.ISFORMULA(J239)),"Y","N")</f>
        <v>Y</v>
      </c>
      <c r="GD239" s="0" t="n">
        <f aca="false">ROW()-1</f>
        <v>238</v>
      </c>
    </row>
    <row r="240" customFormat="false" ht="15" hidden="false" customHeight="false" outlineLevel="0" collapsed="false">
      <c r="A240" s="0" t="s">
        <v>4549</v>
      </c>
      <c r="B240" s="0" t="s">
        <v>4550</v>
      </c>
      <c r="C240" s="0" t="str">
        <f aca="false">IF($A240="","",IF(AW240="Y",BM240&amp;"",AY240&amp;""))</f>
        <v/>
      </c>
      <c r="D240" s="0" t="str">
        <f aca="false">IF($A240="","",IF(AW240="Y",BN240&amp;"",AZ240&amp;""))</f>
        <v/>
      </c>
      <c r="E240" s="0" t="str">
        <f aca="false">IF($A240="","",IF(AW240="Y",BO240&amp;"",BA240&amp;""))</f>
        <v/>
      </c>
      <c r="F240" s="0" t="str">
        <f aca="false">IF($A240="","",IF(AW240="Y",BP240&amp;"",BB240&amp;""))</f>
        <v/>
      </c>
      <c r="G240" s="0" t="str">
        <f aca="false">IF($A240="","",IF(AW240="Y",BQ240&amp;"",BC240&amp;""))</f>
        <v/>
      </c>
      <c r="H240" s="0" t="str">
        <f aca="false">IF($A240="","",IF(AW240="Y",BR240&amp;"",BD240&amp;""))</f>
        <v>none</v>
      </c>
      <c r="I240" s="0" t="str">
        <f aca="false">IF($A240="","",IF(R240="Y","warm-intro",IF(H240="verified","email",IF(C240&lt;&gt;"","linkedin",CB240&amp;""))))</f>
        <v>linkedin</v>
      </c>
      <c r="J240" s="0" t="n">
        <f aca="false">IF($A240="","",IF(CN240="pass",ROUND(N(EM240)+N(EN240)+N(EO240)+N(EP240)+N(EQ240)+N(ER240),1),0))</f>
        <v>21.7</v>
      </c>
      <c r="K240" s="0" t="str">
        <f aca="false">IF($A240="","",IF(CN240&lt;&gt;"pass",CA240&amp;"",CA240&amp;"; "&amp;IF(AW240="Y",BZ240&amp;"",BL240&amp;"")&amp;IF(R240="Y","; known to the founder (+15)","")&amp;"."))</f>
        <v>Tuesday estimate 230 to 4600 (low confidence), 5,000+ staff company-wide, no attendance signal, occupied at a high-confidence address; contacts not researched yet.</v>
      </c>
      <c r="L240" s="0" t="s">
        <v>976</v>
      </c>
      <c r="R240" s="5" t="s">
        <v>189</v>
      </c>
      <c r="S240" s="0" t="s">
        <v>209</v>
      </c>
      <c r="T240" s="0" t="s">
        <v>189</v>
      </c>
      <c r="U240" s="5" t="s">
        <v>3896</v>
      </c>
      <c r="V240" s="0" t="s">
        <v>4551</v>
      </c>
      <c r="W240" s="0" t="s">
        <v>263</v>
      </c>
      <c r="X240" s="0" t="s">
        <v>3897</v>
      </c>
      <c r="Y240" s="0" t="str">
        <f aca="false">IF(FX240&lt;&gt;"Y","",COUNTIFS($FX$2:$FX$1000,"Y",$J$2:$J$1000,"&gt;"&amp;J240)+COUNTIFS($FX$2:$FX$1000,"Y",$J$2:$J$1000,J240,$GD$2:$GD$1000,"&lt;"&amp;GD240)+1)</f>
        <v/>
      </c>
      <c r="Z240" s="0" t="n">
        <v>239</v>
      </c>
      <c r="AA240" s="0" t="s">
        <v>189</v>
      </c>
      <c r="AB240" s="0" t="str">
        <f aca="false">IF($A240="","",IF(AW240="Y",BY240&amp;"",BK240&amp;""))</f>
        <v>Tuesday estimate band over-500: founder's call (set founder_ok_to_queue = Y to queue)</v>
      </c>
      <c r="AC240" s="0" t="str">
        <f aca="false">IF($A240="","",IF(AW240="Y",BS240&amp;"",BE240&amp;""))</f>
        <v/>
      </c>
      <c r="AD240" s="0" t="str">
        <f aca="false">IF($A240="","",IF(AW240="Y",BT240&amp;"",BF240&amp;""))</f>
        <v>none</v>
      </c>
      <c r="AE240" s="0" t="str">
        <f aca="false">IF($A240="","",IF(AW240="Y",BU240&amp;"",BG240&amp;""))</f>
        <v/>
      </c>
      <c r="AF240" s="0" t="str">
        <f aca="false">IF($A240="","",IF(AW240="Y",BV240&amp;"",BH240&amp;""))</f>
        <v/>
      </c>
      <c r="AG240" s="0" t="str">
        <f aca="false">IF($A240="","",IF(AW240="Y",BW240&amp;"",BI240&amp;""))</f>
        <v/>
      </c>
      <c r="AH240" s="0" t="str">
        <f aca="false">IF($A240="","",IF(AW240="Y",BX240&amp;"",BJ240&amp;""))</f>
        <v>none</v>
      </c>
      <c r="AI240" s="0" t="s">
        <v>2553</v>
      </c>
      <c r="AJ240" s="0" t="s">
        <v>209</v>
      </c>
      <c r="AK240" s="0" t="s">
        <v>3933</v>
      </c>
      <c r="AL240" s="0" t="n">
        <v>230</v>
      </c>
      <c r="AM240" s="0" t="n">
        <v>4600</v>
      </c>
      <c r="AN240" s="0" t="s">
        <v>187</v>
      </c>
      <c r="AO240" s="0" t="s">
        <v>209</v>
      </c>
      <c r="AP240" s="0" t="s">
        <v>4549</v>
      </c>
      <c r="AQ240" s="5" t="s">
        <v>189</v>
      </c>
      <c r="AT240" s="0" t="str">
        <f aca="false">IF($A240="","",IF(AND(CN240="pass",AQ240&lt;&gt;"Y",C240&lt;&gt;"",OR(AX240&lt;&gt;"Y",AV240="Y")),"Y","N"))</f>
        <v>N</v>
      </c>
      <c r="AU240" s="0" t="str">
        <f aca="false">IF($A240="","",_xlfn.TEXTJOIN("; ",TRUE(),IF(CN240&lt;&gt;"pass","gated out",""),IF(AQ240="Y","on hold: "&amp;AR240,""),IF(C240="","no contact named on an opened page",""),IF(AND(AX240="Y",AV240&lt;&gt;"Y"),"Tuesday estimate band "&amp;L240&amp;": founder's call","")))</f>
        <v>no contact named on an opened page; Tuesday estimate band over-500: founder's call</v>
      </c>
      <c r="AX240" s="0" t="s">
        <v>164</v>
      </c>
      <c r="BC240" s="0" t="str">
        <f aca="false">IF($A240="","",IFERROR(INDEX(Enrichment!$A$2:$GZ$2000,MATCH($A240,INDEX(Enrichment!$A$2:$GZ$2000,0,MATCH("row_id",Enrichment!$A$1:$GZ$1,0)),0),MATCH("work_email",Enrichment!$A$1:$GZ$1,0))&amp;"",""))</f>
        <v/>
      </c>
      <c r="BD240" s="0" t="str">
        <f aca="false">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none</v>
      </c>
      <c r="BF240" s="0" t="s">
        <v>380</v>
      </c>
      <c r="BJ240" s="0" t="s">
        <v>380</v>
      </c>
      <c r="BK240" s="0" t="s">
        <v>3479</v>
      </c>
      <c r="BL240" s="0" t="s">
        <v>896</v>
      </c>
      <c r="BQ240" s="0" t="str">
        <f aca="false">IF($A240="","",IFERROR(INDEX(Enrichment!$A$2:$GZ$2000,MATCH($A240,INDEX(Enrichment!$A$2:$GZ$2000,0,MATCH("row_id",Enrichment!$A$1:$GZ$1,0)),0),MATCH("backup_work_email",Enrichment!$A$1:$GZ$1,0))&amp;"",""))</f>
        <v/>
      </c>
      <c r="BR240" s="0" t="str">
        <f aca="false">IF($A240="","",IF(BQ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none</v>
      </c>
      <c r="BT240" s="0" t="s">
        <v>380</v>
      </c>
      <c r="BX240" s="0" t="s">
        <v>380</v>
      </c>
      <c r="BY240" s="0" t="s">
        <v>3480</v>
      </c>
      <c r="BZ240" s="0" t="s">
        <v>388</v>
      </c>
      <c r="CA240" s="0" t="s">
        <v>4552</v>
      </c>
      <c r="CB240" s="0" t="s">
        <v>196</v>
      </c>
      <c r="CM240" s="0" t="s">
        <v>189</v>
      </c>
      <c r="CN240" s="0" t="s">
        <v>200</v>
      </c>
      <c r="CO240" s="0" t="s">
        <v>201</v>
      </c>
      <c r="CP240" s="0" t="s">
        <v>1</v>
      </c>
      <c r="CQ240" s="0" t="s">
        <v>4553</v>
      </c>
      <c r="CR240" s="0" t="s">
        <v>4554</v>
      </c>
      <c r="CS240" s="0" t="s">
        <v>4555</v>
      </c>
      <c r="CT240" s="0" t="s">
        <v>4556</v>
      </c>
      <c r="CV240" s="0" t="s">
        <v>976</v>
      </c>
      <c r="CW240" s="0" t="s">
        <v>204</v>
      </c>
      <c r="CX240" s="0" t="s">
        <v>205</v>
      </c>
      <c r="CY240" s="0" t="s">
        <v>4557</v>
      </c>
      <c r="DA240" s="0" t="s">
        <v>2301</v>
      </c>
      <c r="DB240" s="0" t="s">
        <v>209</v>
      </c>
      <c r="DC240" s="0" t="s">
        <v>209</v>
      </c>
      <c r="DD240" s="0" t="s">
        <v>209</v>
      </c>
      <c r="DE240" s="0" t="s">
        <v>4558</v>
      </c>
      <c r="DF240" s="0" t="s">
        <v>525</v>
      </c>
      <c r="DG240" s="0" t="n">
        <v>40.741761</v>
      </c>
      <c r="DH240" s="0" t="n">
        <v>-73.987033</v>
      </c>
      <c r="DI240" s="0" t="s">
        <v>164</v>
      </c>
      <c r="DJ240" s="0" t="n">
        <v>0</v>
      </c>
      <c r="DK240" s="0" t="s">
        <v>2502</v>
      </c>
      <c r="DL240" s="0" t="s">
        <v>2503</v>
      </c>
      <c r="DM240" s="0" t="s">
        <v>4551</v>
      </c>
      <c r="DN240" s="0" t="s">
        <v>4559</v>
      </c>
      <c r="DO240" s="0" t="s">
        <v>4177</v>
      </c>
      <c r="DP240" s="0" t="s">
        <v>3906</v>
      </c>
      <c r="DQ240" s="0" t="s">
        <v>3907</v>
      </c>
      <c r="DS240" s="0" t="s">
        <v>217</v>
      </c>
      <c r="DU240" s="0" t="s">
        <v>189</v>
      </c>
      <c r="DX240" s="0" t="s">
        <v>2507</v>
      </c>
      <c r="DY240" s="0" t="s">
        <v>2508</v>
      </c>
      <c r="EA240" s="0" t="s">
        <v>209</v>
      </c>
      <c r="EB240" s="0" t="s">
        <v>189</v>
      </c>
      <c r="EC240" s="0" t="s">
        <v>209</v>
      </c>
      <c r="EF240" s="0" t="n">
        <v>1029</v>
      </c>
      <c r="EG240" s="0" t="s">
        <v>366</v>
      </c>
      <c r="EH240" s="0" t="s">
        <v>189</v>
      </c>
      <c r="EI240" s="0" t="s">
        <v>4560</v>
      </c>
      <c r="EJ240" s="0" t="s">
        <v>221</v>
      </c>
      <c r="EK240" s="0" t="n">
        <v>0.03</v>
      </c>
      <c r="EL240" s="0" t="n">
        <v>21.7</v>
      </c>
      <c r="EM240" s="0" t="n">
        <v>0.7</v>
      </c>
      <c r="EN240" s="0" t="n">
        <v>0</v>
      </c>
      <c r="EO240" s="0" t="n">
        <v>6</v>
      </c>
      <c r="EP240" s="0" t="n">
        <v>15</v>
      </c>
      <c r="EQ240" s="0" t="n">
        <f aca="false">IF($A240="","",IF(AH240="exact",10,IF(AH240="adjacent",5,0)))</f>
        <v>0</v>
      </c>
      <c r="ER240" s="0" t="n">
        <f aca="false">IF($A240="","",IF(R240="Y",15,0))</f>
        <v>0</v>
      </c>
      <c r="ES240" s="0" t="s">
        <v>982</v>
      </c>
      <c r="ET240" s="0" t="s">
        <v>2310</v>
      </c>
      <c r="EU240" s="0" t="s">
        <v>189</v>
      </c>
      <c r="EX240" s="0" t="s">
        <v>4561</v>
      </c>
      <c r="EZ240" s="0" t="s">
        <v>4562</v>
      </c>
      <c r="FS240" s="0" t="str">
        <f aca="false">IF($A240="","",IF(ISNUMBER(MATCH(U240,{"queued","contacted","replied","call_booked","call_done","yes_in_principle","materials_sent"},0)),"Y","N"))</f>
        <v>N</v>
      </c>
      <c r="FT240" s="0" t="str">
        <f aca="false">IF($A240="","",IF(OR(T240="Y",U240="do_not_contact",AS240&amp;""&lt;&gt;""),"Y","N"))</f>
        <v>N</v>
      </c>
      <c r="FU240" s="0" t="str">
        <f aca="false">IF($A240="","",IF(AP240&amp;""&lt;&gt;"",AP240&amp;"",$A240))</f>
        <v>AO-C-248</v>
      </c>
      <c r="FV240" s="0" t="str">
        <f aca="false">IF($A240="","",IF(COUNTIFS($FU$2:$FU$1000,FU240,$FS$2:$FS$1000,"Y")+COUNTIFS($FU$2:$FU$1000,FU240,$FT$2:$FT$1000,"Y")&gt;0,"Y","N"))</f>
        <v>N</v>
      </c>
      <c r="FW240" s="0" t="str">
        <f aca="false">IF($A240="","",IF(AND(U240="new",T240="N",FT240="N",AT240="Y",FV240="N"),"Y","N"))</f>
        <v>N</v>
      </c>
      <c r="FX240" s="0" t="str">
        <f aca="false">IF($A240="","",IF(FW240&lt;&gt;"Y","N",IF(COUNTIFS($FU$2:$FU$1000,FU240,$FW$2:$FW$1000,"Y",$J$2:$J$1000,"&gt;"&amp;J240)+COUNTIFS($FU$2:$FU$1000,FU240,$FW$2:$FW$1000,"Y",$J$2:$J$1000,J240,$GD$2:$GD$1000,"&lt;"&amp;GD240)=0,"Y","N")))</f>
        <v>N</v>
      </c>
      <c r="FY240" s="0" t="str">
        <f aca="false">IF($A240="","",IF(AND(FW240="Y",FX240="Y",Y240&amp;""&lt;&gt;""),IF(Y240&lt;=10,"Y","N"),"N"))</f>
        <v>N</v>
      </c>
      <c r="FZ240" s="0" t="str">
        <f aca="false">IF(FY240="Y",Y240,"")</f>
        <v/>
      </c>
      <c r="GA240" s="0" t="str">
        <f aca="false">IF($A240="","",IF(AND(I240="walk-in",CN240="pass",U240="new",FT240="N",FV240="N",AQ240&lt;&gt;"Y"),"Y","N"))</f>
        <v>N</v>
      </c>
      <c r="GB240" s="0" t="str">
        <f aca="false">IF(GA240&lt;&gt;"Y","",IF(COUNTIFS($GA$2:$GA$1000,"Y",$J$2:$J$1000,"&gt;"&amp;J240)+COUNTIFS($GA$2:$GA$1000,"Y",$J$2:$J$1000,J240,$GD$2:$GD$1000,"&lt;"&amp;GD240)+1&lt;=25,COUNTIFS($GA$2:$GA$1000,"Y",$J$2:$J$1000,"&gt;"&amp;J240)+COUNTIFS($GA$2:$GA$1000,"Y",$J$2:$J$1000,J240,$GD$2:$GD$1000,"&lt;"&amp;GD240)+1,""))</f>
        <v/>
      </c>
      <c r="GC240" s="0" t="str">
        <f aca="false">IF(AND(_xlfn.ISFORMULA(C240),_xlfn.ISFORMULA(J240)),"Y","N")</f>
        <v>Y</v>
      </c>
      <c r="GD240" s="0" t="n">
        <f aca="false">ROW()-1</f>
        <v>239</v>
      </c>
    </row>
    <row r="241" customFormat="false" ht="15" hidden="false" customHeight="false" outlineLevel="0" collapsed="false">
      <c r="A241" s="0" t="s">
        <v>4563</v>
      </c>
      <c r="B241" s="0" t="s">
        <v>4564</v>
      </c>
      <c r="C241" s="0" t="str">
        <f aca="false">IF($A241="","",IF(AW241="Y",BM241&amp;"",AY241&amp;""))</f>
        <v/>
      </c>
      <c r="D241" s="0" t="str">
        <f aca="false">IF($A241="","",IF(AW241="Y",BN241&amp;"",AZ241&amp;""))</f>
        <v/>
      </c>
      <c r="E241" s="0" t="str">
        <f aca="false">IF($A241="","",IF(AW241="Y",BO241&amp;"",BA241&amp;""))</f>
        <v/>
      </c>
      <c r="F241" s="0" t="str">
        <f aca="false">IF($A241="","",IF(AW241="Y",BP241&amp;"",BB241&amp;""))</f>
        <v/>
      </c>
      <c r="G241" s="0" t="str">
        <f aca="false">IF($A241="","",IF(AW241="Y",BQ241&amp;"",BC241&amp;""))</f>
        <v/>
      </c>
      <c r="H241" s="0" t="str">
        <f aca="false">IF($A241="","",IF(AW241="Y",BR241&amp;"",BD241&amp;""))</f>
        <v>none</v>
      </c>
      <c r="I241" s="0" t="str">
        <f aca="false">IF($A241="","",IF(R241="Y","warm-intro",IF(H241="verified","email",IF(C241&lt;&gt;"","linkedin",CB241&amp;""))))</f>
        <v>linkedin</v>
      </c>
      <c r="J241" s="0" t="n">
        <f aca="false">IF($A241="","",IF(CN241="pass",ROUND(N(EM241)+N(EN241)+N(EO241)+N(EP241)+N(EQ241)+N(ER241),1),0))</f>
        <v>21.2</v>
      </c>
      <c r="K241" s="0" t="str">
        <f aca="false">IF($A241="","",IF(CN241&lt;&gt;"pass",CA241&amp;"",CA241&amp;"; "&amp;IF(AW241="Y",BZ241&amp;"",BL241&amp;"")&amp;IF(R241="Y","; known to the founder (+15)","")&amp;"."))</f>
        <v>Tuesday estimate 230 to 344 (low confidence), 501 to 1,000 staff company-wide, hybrid 2 days or fewer, signed-not-occupied at a medium-confidence address (hold: lease signed, move not confirmed); contacts not researched yet.</v>
      </c>
      <c r="L241" s="0" t="s">
        <v>355</v>
      </c>
      <c r="R241" s="5" t="s">
        <v>189</v>
      </c>
      <c r="S241" s="0" t="s">
        <v>209</v>
      </c>
      <c r="T241" s="0" t="s">
        <v>189</v>
      </c>
      <c r="U241" s="5" t="s">
        <v>3896</v>
      </c>
      <c r="V241" s="0" t="s">
        <v>4565</v>
      </c>
      <c r="W241" s="0" t="s">
        <v>263</v>
      </c>
      <c r="X241" s="0" t="s">
        <v>3897</v>
      </c>
      <c r="Y241" s="0" t="str">
        <f aca="false">IF(FX241&lt;&gt;"Y","",COUNTIFS($FX$2:$FX$1000,"Y",$J$2:$J$1000,"&gt;"&amp;J241)+COUNTIFS($FX$2:$FX$1000,"Y",$J$2:$J$1000,J241,$GD$2:$GD$1000,"&lt;"&amp;GD241)+1)</f>
        <v/>
      </c>
      <c r="Z241" s="0" t="n">
        <v>240</v>
      </c>
      <c r="AA241" s="0" t="s">
        <v>189</v>
      </c>
      <c r="AB241" s="0" t="str">
        <f aca="false">IF($A241="","",IF(AW241="Y",BY241&amp;"",BK241&amp;""))</f>
        <v>Tuesday estimate band 251-500: founder's call (set founder_ok_to_queue = Y to queue)</v>
      </c>
      <c r="AC241" s="0" t="str">
        <f aca="false">IF($A241="","",IF(AW241="Y",BS241&amp;"",BE241&amp;""))</f>
        <v/>
      </c>
      <c r="AD241" s="0" t="str">
        <f aca="false">IF($A241="","",IF(AW241="Y",BT241&amp;"",BF241&amp;""))</f>
        <v>none</v>
      </c>
      <c r="AE241" s="0" t="str">
        <f aca="false">IF($A241="","",IF(AW241="Y",BU241&amp;"",BG241&amp;""))</f>
        <v/>
      </c>
      <c r="AF241" s="0" t="str">
        <f aca="false">IF($A241="","",IF(AW241="Y",BV241&amp;"",BH241&amp;""))</f>
        <v/>
      </c>
      <c r="AG241" s="0" t="str">
        <f aca="false">IF($A241="","",IF(AW241="Y",BW241&amp;"",BI241&amp;""))</f>
        <v/>
      </c>
      <c r="AH241" s="0" t="str">
        <f aca="false">IF($A241="","",IF(AW241="Y",BX241&amp;"",BJ241&amp;""))</f>
        <v>none</v>
      </c>
      <c r="AI241" s="0" t="s">
        <v>2960</v>
      </c>
      <c r="AJ241" s="0" t="s">
        <v>412</v>
      </c>
      <c r="AK241" s="0" t="s">
        <v>4183</v>
      </c>
      <c r="AL241" s="0" t="n">
        <v>230</v>
      </c>
      <c r="AM241" s="0" t="n">
        <v>344</v>
      </c>
      <c r="AN241" s="0" t="s">
        <v>187</v>
      </c>
      <c r="AO241" s="0" t="s">
        <v>1104</v>
      </c>
      <c r="AP241" s="0" t="s">
        <v>4563</v>
      </c>
      <c r="AQ241" s="5" t="s">
        <v>164</v>
      </c>
      <c r="AR241" s="0" t="s">
        <v>779</v>
      </c>
      <c r="AT241" s="0" t="str">
        <f aca="false">IF($A241="","",IF(AND(CN241="pass",AQ241&lt;&gt;"Y",C241&lt;&gt;"",OR(AX241&lt;&gt;"Y",AV241="Y")),"Y","N"))</f>
        <v>N</v>
      </c>
      <c r="AU241" s="0" t="str">
        <f aca="false">IF($A241="","",_xlfn.TEXTJOIN("; ",TRUE(),IF(CN241&lt;&gt;"pass","gated out",""),IF(AQ241="Y","on hold: "&amp;AR241,""),IF(C241="","no contact named on an opened page",""),IF(AND(AX241="Y",AV241&lt;&gt;"Y"),"Tuesday estimate band "&amp;L241&amp;": founder's call","")))</f>
        <v>on hold: lease signed, move not confirmed: check the lobby directory before outreach (B); no contact named on an opened page; Tuesday estimate band 251-500: founder's call</v>
      </c>
      <c r="AX241" s="0" t="s">
        <v>164</v>
      </c>
      <c r="BC241" s="0" t="str">
        <f aca="false">IF($A241="","",IFERROR(INDEX(Enrichment!$A$2:$GZ$2000,MATCH($A241,INDEX(Enrichment!$A$2:$GZ$2000,0,MATCH("row_id",Enrichment!$A$1:$GZ$1,0)),0),MATCH("work_email",Enrichment!$A$1:$GZ$1,0))&amp;"",""))</f>
        <v/>
      </c>
      <c r="BD241" s="0" t="str">
        <f aca="false">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none</v>
      </c>
      <c r="BF241" s="0" t="s">
        <v>380</v>
      </c>
      <c r="BJ241" s="0" t="s">
        <v>380</v>
      </c>
      <c r="BK241" s="0" t="s">
        <v>2356</v>
      </c>
      <c r="BL241" s="0" t="s">
        <v>896</v>
      </c>
      <c r="BQ241" s="0" t="str">
        <f aca="false">IF($A241="","",IFERROR(INDEX(Enrichment!$A$2:$GZ$2000,MATCH($A241,INDEX(Enrichment!$A$2:$GZ$2000,0,MATCH("row_id",Enrichment!$A$1:$GZ$1,0)),0),MATCH("backup_work_email",Enrichment!$A$1:$GZ$1,0))&amp;"",""))</f>
        <v/>
      </c>
      <c r="BR241" s="0" t="str">
        <f aca="false">IF($A241="","",IF(BQ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none</v>
      </c>
      <c r="BT241" s="0" t="s">
        <v>380</v>
      </c>
      <c r="BX241" s="0" t="s">
        <v>380</v>
      </c>
      <c r="BY241" s="0" t="s">
        <v>2357</v>
      </c>
      <c r="BZ241" s="0" t="s">
        <v>388</v>
      </c>
      <c r="CA241" s="0" t="s">
        <v>4566</v>
      </c>
      <c r="CB241" s="0" t="s">
        <v>196</v>
      </c>
      <c r="CM241" s="0" t="s">
        <v>189</v>
      </c>
      <c r="CN241" s="0" t="s">
        <v>200</v>
      </c>
      <c r="CO241" s="0" t="s">
        <v>201</v>
      </c>
      <c r="CP241" s="0" t="s">
        <v>1</v>
      </c>
      <c r="CQ241" s="0" t="s">
        <v>4567</v>
      </c>
      <c r="CR241" s="0" t="s">
        <v>4568</v>
      </c>
      <c r="CS241" s="0" t="s">
        <v>4569</v>
      </c>
      <c r="CT241" s="0" t="s">
        <v>4570</v>
      </c>
      <c r="CV241" s="0" t="s">
        <v>976</v>
      </c>
      <c r="CW241" s="0" t="s">
        <v>204</v>
      </c>
      <c r="CX241" s="0" t="s">
        <v>205</v>
      </c>
      <c r="CY241" s="0" t="s">
        <v>4571</v>
      </c>
      <c r="DA241" s="0" t="s">
        <v>1351</v>
      </c>
      <c r="DB241" s="0" t="s">
        <v>259</v>
      </c>
      <c r="DC241" s="0" t="s">
        <v>164</v>
      </c>
      <c r="DD241" s="0" t="s">
        <v>209</v>
      </c>
      <c r="DE241" s="0" t="s">
        <v>4572</v>
      </c>
      <c r="DF241" s="0" t="s">
        <v>311</v>
      </c>
      <c r="DG241" s="0" t="n">
        <v>40.746186</v>
      </c>
      <c r="DH241" s="0" t="n">
        <v>-73.985981</v>
      </c>
      <c r="DI241" s="0" t="s">
        <v>164</v>
      </c>
      <c r="DJ241" s="0" t="n">
        <v>0</v>
      </c>
      <c r="DK241" s="0" t="s">
        <v>2966</v>
      </c>
      <c r="DL241" s="0" t="s">
        <v>2967</v>
      </c>
      <c r="DM241" s="0" t="s">
        <v>4565</v>
      </c>
      <c r="DN241" s="0" t="s">
        <v>4573</v>
      </c>
      <c r="DO241" s="0" t="s">
        <v>363</v>
      </c>
      <c r="DS241" s="0" t="s">
        <v>809</v>
      </c>
      <c r="DT241" s="0" t="s">
        <v>209</v>
      </c>
      <c r="DU241" s="0" t="s">
        <v>189</v>
      </c>
      <c r="DX241" s="0" t="s">
        <v>209</v>
      </c>
      <c r="EA241" s="0" t="s">
        <v>209</v>
      </c>
      <c r="EB241" s="0" t="s">
        <v>189</v>
      </c>
      <c r="EC241" s="0" t="s">
        <v>2826</v>
      </c>
      <c r="ED241" s="0" t="s">
        <v>4571</v>
      </c>
      <c r="EE241" s="0" t="s">
        <v>172</v>
      </c>
      <c r="EF241" s="0" t="n">
        <v>281</v>
      </c>
      <c r="EG241" s="0" t="s">
        <v>366</v>
      </c>
      <c r="EH241" s="0" t="s">
        <v>164</v>
      </c>
      <c r="EI241" s="0" t="s">
        <v>4574</v>
      </c>
      <c r="EJ241" s="0" t="s">
        <v>221</v>
      </c>
      <c r="EK241" s="0" t="n">
        <v>0.21</v>
      </c>
      <c r="EL241" s="0" t="n">
        <v>21.2</v>
      </c>
      <c r="EM241" s="0" t="n">
        <v>5.2</v>
      </c>
      <c r="EN241" s="0" t="n">
        <v>6</v>
      </c>
      <c r="EO241" s="0" t="n">
        <v>5</v>
      </c>
      <c r="EP241" s="0" t="n">
        <v>5</v>
      </c>
      <c r="EQ241" s="0" t="n">
        <f aca="false">IF($A241="","",IF(AH241="exact",10,IF(AH241="adjacent",5,0)))</f>
        <v>0</v>
      </c>
      <c r="ER241" s="0" t="n">
        <f aca="false">IF($A241="","",IF(R241="Y",15,0))</f>
        <v>0</v>
      </c>
      <c r="ES241" s="0" t="s">
        <v>982</v>
      </c>
      <c r="ET241" s="0" t="s">
        <v>1360</v>
      </c>
      <c r="EU241" s="0" t="s">
        <v>189</v>
      </c>
      <c r="EV241" s="0" t="s">
        <v>4575</v>
      </c>
      <c r="EW241" s="0" t="s">
        <v>224</v>
      </c>
      <c r="EX241" s="0" t="s">
        <v>4576</v>
      </c>
      <c r="EZ241" s="0" t="s">
        <v>4577</v>
      </c>
      <c r="FS241" s="0" t="str">
        <f aca="false">IF($A241="","",IF(ISNUMBER(MATCH(U241,{"queued","contacted","replied","call_booked","call_done","yes_in_principle","materials_sent"},0)),"Y","N"))</f>
        <v>N</v>
      </c>
      <c r="FT241" s="0" t="str">
        <f aca="false">IF($A241="","",IF(OR(T241="Y",U241="do_not_contact",AS241&amp;""&lt;&gt;""),"Y","N"))</f>
        <v>N</v>
      </c>
      <c r="FU241" s="0" t="str">
        <f aca="false">IF($A241="","",IF(AP241&amp;""&lt;&gt;"",AP241&amp;"",$A241))</f>
        <v>AO-C-269</v>
      </c>
      <c r="FV241" s="0" t="str">
        <f aca="false">IF($A241="","",IF(COUNTIFS($FU$2:$FU$1000,FU241,$FS$2:$FS$1000,"Y")+COUNTIFS($FU$2:$FU$1000,FU241,$FT$2:$FT$1000,"Y")&gt;0,"Y","N"))</f>
        <v>N</v>
      </c>
      <c r="FW241" s="0" t="str">
        <f aca="false">IF($A241="","",IF(AND(U241="new",T241="N",FT241="N",AT241="Y",FV241="N"),"Y","N"))</f>
        <v>N</v>
      </c>
      <c r="FX241" s="0" t="str">
        <f aca="false">IF($A241="","",IF(FW241&lt;&gt;"Y","N",IF(COUNTIFS($FU$2:$FU$1000,FU241,$FW$2:$FW$1000,"Y",$J$2:$J$1000,"&gt;"&amp;J241)+COUNTIFS($FU$2:$FU$1000,FU241,$FW$2:$FW$1000,"Y",$J$2:$J$1000,J241,$GD$2:$GD$1000,"&lt;"&amp;GD241)=0,"Y","N")))</f>
        <v>N</v>
      </c>
      <c r="FY241" s="0" t="str">
        <f aca="false">IF($A241="","",IF(AND(FW241="Y",FX241="Y",Y241&amp;""&lt;&gt;""),IF(Y241&lt;=10,"Y","N"),"N"))</f>
        <v>N</v>
      </c>
      <c r="FZ241" s="0" t="str">
        <f aca="false">IF(FY241="Y",Y241,"")</f>
        <v/>
      </c>
      <c r="GA241" s="0" t="str">
        <f aca="false">IF($A241="","",IF(AND(I241="walk-in",CN241="pass",U241="new",FT241="N",FV241="N",AQ241&lt;&gt;"Y"),"Y","N"))</f>
        <v>N</v>
      </c>
      <c r="GB241" s="0" t="str">
        <f aca="false">IF(GA241&lt;&gt;"Y","",IF(COUNTIFS($GA$2:$GA$1000,"Y",$J$2:$J$1000,"&gt;"&amp;J241)+COUNTIFS($GA$2:$GA$1000,"Y",$J$2:$J$1000,J241,$GD$2:$GD$1000,"&lt;"&amp;GD241)+1&lt;=25,COUNTIFS($GA$2:$GA$1000,"Y",$J$2:$J$1000,"&gt;"&amp;J241)+COUNTIFS($GA$2:$GA$1000,"Y",$J$2:$J$1000,J241,$GD$2:$GD$1000,"&lt;"&amp;GD241)+1,""))</f>
        <v/>
      </c>
      <c r="GC241" s="0" t="str">
        <f aca="false">IF(AND(_xlfn.ISFORMULA(C241),_xlfn.ISFORMULA(J241)),"Y","N")</f>
        <v>Y</v>
      </c>
      <c r="GD241" s="0" t="n">
        <f aca="false">ROW()-1</f>
        <v>240</v>
      </c>
    </row>
    <row r="242" customFormat="false" ht="15" hidden="false" customHeight="false" outlineLevel="0" collapsed="false">
      <c r="A242" s="0" t="s">
        <v>4578</v>
      </c>
      <c r="B242" s="0" t="s">
        <v>4579</v>
      </c>
      <c r="C242" s="0" t="str">
        <f aca="false">IF($A242="","",IF(AW242="Y",BM242&amp;"",AY242&amp;""))</f>
        <v/>
      </c>
      <c r="D242" s="0" t="str">
        <f aca="false">IF($A242="","",IF(AW242="Y",BN242&amp;"",AZ242&amp;""))</f>
        <v/>
      </c>
      <c r="E242" s="0" t="str">
        <f aca="false">IF($A242="","",IF(AW242="Y",BO242&amp;"",BA242&amp;""))</f>
        <v/>
      </c>
      <c r="F242" s="0" t="str">
        <f aca="false">IF($A242="","",IF(AW242="Y",BP242&amp;"",BB242&amp;""))</f>
        <v/>
      </c>
      <c r="G242" s="0" t="str">
        <f aca="false">IF($A242="","",IF(AW242="Y",BQ242&amp;"",BC242&amp;""))</f>
        <v/>
      </c>
      <c r="H242" s="0" t="str">
        <f aca="false">IF($A242="","",IF(AW242="Y",BR242&amp;"",BD242&amp;""))</f>
        <v>none</v>
      </c>
      <c r="I242" s="0" t="str">
        <f aca="false">IF($A242="","",IF(R242="Y","warm-intro",IF(H242="verified","email",IF(C242&lt;&gt;"","linkedin",CB242&amp;""))))</f>
        <v>linkedin</v>
      </c>
      <c r="J242" s="0" t="n">
        <f aca="false">IF($A242="","",IF(CN242="pass",ROUND(N(EM242)+N(EN242)+N(EO242)+N(EP242)+N(EQ242)+N(ER242),1),0))</f>
        <v>19.5</v>
      </c>
      <c r="K242" s="0" t="str">
        <f aca="false">IF($A242="","",IF(CN242&lt;&gt;"pass",CA242&amp;"",CA242&amp;"; "&amp;IF(AW242="Y",BZ242&amp;"",BL242&amp;"")&amp;IF(R242="Y","; known to the founder (+15)","")&amp;"."))</f>
        <v>Tuesday estimate 172 to 344 (low confidence), 5,000+ staff company-wide, no attendance signal, moving-out at a low-confidence address (hold: moving out of this address); contacts not researched yet.</v>
      </c>
      <c r="L242" s="0" t="s">
        <v>203</v>
      </c>
      <c r="R242" s="5" t="s">
        <v>189</v>
      </c>
      <c r="S242" s="0" t="s">
        <v>209</v>
      </c>
      <c r="T242" s="0" t="s">
        <v>189</v>
      </c>
      <c r="U242" s="5" t="s">
        <v>3896</v>
      </c>
      <c r="V242" s="0" t="s">
        <v>1152</v>
      </c>
      <c r="W242" s="0" t="s">
        <v>263</v>
      </c>
      <c r="X242" s="0" t="s">
        <v>3897</v>
      </c>
      <c r="Y242" s="0" t="str">
        <f aca="false">IF(FX242&lt;&gt;"Y","",COUNTIFS($FX$2:$FX$1000,"Y",$J$2:$J$1000,"&gt;"&amp;J242)+COUNTIFS($FX$2:$FX$1000,"Y",$J$2:$J$1000,J242,$GD$2:$GD$1000,"&lt;"&amp;GD242)+1)</f>
        <v/>
      </c>
      <c r="Z242" s="0" t="n">
        <v>241</v>
      </c>
      <c r="AA242" s="0" t="s">
        <v>189</v>
      </c>
      <c r="AB242" s="0" t="str">
        <f aca="false">IF($A242="","",IF(AW242="Y",BY242&amp;"",BK242&amp;""))</f>
        <v/>
      </c>
      <c r="AC242" s="0" t="str">
        <f aca="false">IF($A242="","",IF(AW242="Y",BS242&amp;"",BE242&amp;""))</f>
        <v/>
      </c>
      <c r="AD242" s="0" t="str">
        <f aca="false">IF($A242="","",IF(AW242="Y",BT242&amp;"",BF242&amp;""))</f>
        <v>none</v>
      </c>
      <c r="AE242" s="0" t="str">
        <f aca="false">IF($A242="","",IF(AW242="Y",BU242&amp;"",BG242&amp;""))</f>
        <v/>
      </c>
      <c r="AF242" s="0" t="str">
        <f aca="false">IF($A242="","",IF(AW242="Y",BV242&amp;"",BH242&amp;""))</f>
        <v/>
      </c>
      <c r="AG242" s="0" t="str">
        <f aca="false">IF($A242="","",IF(AW242="Y",BW242&amp;"",BI242&amp;""))</f>
        <v/>
      </c>
      <c r="AH242" s="0" t="str">
        <f aca="false">IF($A242="","",IF(AW242="Y",BX242&amp;"",BJ242&amp;""))</f>
        <v>none</v>
      </c>
      <c r="AI242" s="0" t="s">
        <v>1151</v>
      </c>
      <c r="AJ242" s="0" t="s">
        <v>209</v>
      </c>
      <c r="AK242" s="0" t="s">
        <v>4459</v>
      </c>
      <c r="AL242" s="0" t="n">
        <v>172</v>
      </c>
      <c r="AM242" s="0" t="n">
        <v>344</v>
      </c>
      <c r="AN242" s="0" t="s">
        <v>187</v>
      </c>
      <c r="AO242" s="0" t="s">
        <v>209</v>
      </c>
      <c r="AP242" s="0" t="s">
        <v>4578</v>
      </c>
      <c r="AQ242" s="5" t="s">
        <v>164</v>
      </c>
      <c r="AR242" s="0" t="s">
        <v>2978</v>
      </c>
      <c r="AT242" s="0" t="str">
        <f aca="false">IF($A242="","",IF(AND(CN242="pass",AQ242&lt;&gt;"Y",C242&lt;&gt;"",OR(AX242&lt;&gt;"Y",AV242="Y")),"Y","N"))</f>
        <v>N</v>
      </c>
      <c r="AU242" s="0" t="str">
        <f aca="false">IF($A242="","",_xlfn.TEXTJOIN("; ",TRUE(),IF(CN242&lt;&gt;"pass","gated out",""),IF(AQ242="Y","on hold: "&amp;AR242,""),IF(C242="","no contact named on an opened page",""),IF(AND(AX242="Y",AV242&lt;&gt;"Y"),"Tuesday estimate band "&amp;L242&amp;": founder's call","")))</f>
        <v>on hold: moving out of this address: confirm where the office will be before outreach (B); no contact named on an opened page</v>
      </c>
      <c r="AX242" s="0" t="s">
        <v>189</v>
      </c>
      <c r="BC242" s="0" t="str">
        <f aca="false">IF($A242="","",IFERROR(INDEX(Enrichment!$A$2:$GZ$2000,MATCH($A242,INDEX(Enrichment!$A$2:$GZ$2000,0,MATCH("row_id",Enrichment!$A$1:$GZ$1,0)),0),MATCH("work_email",Enrichment!$A$1:$GZ$1,0))&amp;"",""))</f>
        <v/>
      </c>
      <c r="BD242" s="0" t="str">
        <f aca="false">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none</v>
      </c>
      <c r="BF242" s="0" t="s">
        <v>380</v>
      </c>
      <c r="BJ242" s="0" t="s">
        <v>380</v>
      </c>
      <c r="BL242" s="0" t="s">
        <v>896</v>
      </c>
      <c r="BQ242" s="0" t="str">
        <f aca="false">IF($A242="","",IFERROR(INDEX(Enrichment!$A$2:$GZ$2000,MATCH($A242,INDEX(Enrichment!$A$2:$GZ$2000,0,MATCH("row_id",Enrichment!$A$1:$GZ$1,0)),0),MATCH("backup_work_email",Enrichment!$A$1:$GZ$1,0))&amp;"",""))</f>
        <v/>
      </c>
      <c r="BR242" s="0" t="str">
        <f aca="false">IF($A242="","",IF(BQ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none</v>
      </c>
      <c r="BT242" s="0" t="s">
        <v>380</v>
      </c>
      <c r="BX242" s="0" t="s">
        <v>380</v>
      </c>
      <c r="BY242" s="0" t="s">
        <v>387</v>
      </c>
      <c r="BZ242" s="0" t="s">
        <v>388</v>
      </c>
      <c r="CA242" s="0" t="s">
        <v>4580</v>
      </c>
      <c r="CB242" s="0" t="s">
        <v>196</v>
      </c>
      <c r="CM242" s="0" t="s">
        <v>189</v>
      </c>
      <c r="CN242" s="0" t="s">
        <v>200</v>
      </c>
      <c r="CO242" s="0" t="s">
        <v>201</v>
      </c>
      <c r="CP242" s="0" t="s">
        <v>1</v>
      </c>
      <c r="CQ242" s="0" t="s">
        <v>4581</v>
      </c>
      <c r="CR242" s="0" t="s">
        <v>4582</v>
      </c>
      <c r="CS242" s="0" t="s">
        <v>4583</v>
      </c>
      <c r="CT242" s="0" t="s">
        <v>4584</v>
      </c>
      <c r="CV242" s="0" t="s">
        <v>976</v>
      </c>
      <c r="CW242" s="0" t="s">
        <v>204</v>
      </c>
      <c r="CX242" s="0" t="s">
        <v>205</v>
      </c>
      <c r="CY242" s="0" t="s">
        <v>4585</v>
      </c>
      <c r="DA242" s="0" t="s">
        <v>2301</v>
      </c>
      <c r="DB242" s="0" t="s">
        <v>209</v>
      </c>
      <c r="DC242" s="0" t="s">
        <v>209</v>
      </c>
      <c r="DD242" s="0" t="s">
        <v>209</v>
      </c>
      <c r="DE242" s="0" t="s">
        <v>4586</v>
      </c>
      <c r="DF242" s="0" t="s">
        <v>210</v>
      </c>
      <c r="DG242" s="0" t="n">
        <v>40.737054</v>
      </c>
      <c r="DH242" s="0" t="n">
        <v>-73.992635</v>
      </c>
      <c r="DI242" s="0" t="s">
        <v>164</v>
      </c>
      <c r="DJ242" s="0" t="n">
        <v>0</v>
      </c>
      <c r="DK242" s="0" t="s">
        <v>1150</v>
      </c>
      <c r="DL242" s="0" t="s">
        <v>1151</v>
      </c>
      <c r="DM242" s="0" t="s">
        <v>1152</v>
      </c>
      <c r="DN242" s="0" t="s">
        <v>1153</v>
      </c>
      <c r="DO242" s="0" t="s">
        <v>363</v>
      </c>
      <c r="DS242" s="0" t="s">
        <v>187</v>
      </c>
      <c r="DT242" s="0" t="s">
        <v>209</v>
      </c>
      <c r="DU242" s="0" t="s">
        <v>189</v>
      </c>
      <c r="DX242" s="0" t="s">
        <v>209</v>
      </c>
      <c r="EA242" s="0" t="s">
        <v>209</v>
      </c>
      <c r="EB242" s="0" t="s">
        <v>189</v>
      </c>
      <c r="EC242" s="0" t="s">
        <v>209</v>
      </c>
      <c r="EF242" s="0" t="n">
        <v>243</v>
      </c>
      <c r="EG242" s="0" t="s">
        <v>366</v>
      </c>
      <c r="EH242" s="0" t="s">
        <v>164</v>
      </c>
      <c r="EI242" s="0" t="s">
        <v>4587</v>
      </c>
      <c r="EJ242" s="0" t="s">
        <v>221</v>
      </c>
      <c r="EK242" s="0" t="n">
        <v>0.54</v>
      </c>
      <c r="EL242" s="0" t="n">
        <v>19.5</v>
      </c>
      <c r="EM242" s="0" t="n">
        <v>13.5</v>
      </c>
      <c r="EN242" s="0" t="n">
        <v>0</v>
      </c>
      <c r="EO242" s="0" t="n">
        <v>6</v>
      </c>
      <c r="EP242" s="0" t="n">
        <v>0</v>
      </c>
      <c r="EQ242" s="0" t="n">
        <f aca="false">IF($A242="","",IF(AH242="exact",10,IF(AH242="adjacent",5,0)))</f>
        <v>0</v>
      </c>
      <c r="ER242" s="0" t="n">
        <f aca="false">IF($A242="","",IF(R242="Y",15,0))</f>
        <v>0</v>
      </c>
      <c r="ES242" s="0" t="s">
        <v>982</v>
      </c>
      <c r="ET242" s="0" t="s">
        <v>2310</v>
      </c>
      <c r="EU242" s="0" t="s">
        <v>189</v>
      </c>
      <c r="EV242" s="0" t="s">
        <v>4575</v>
      </c>
      <c r="EW242" s="0" t="s">
        <v>224</v>
      </c>
      <c r="EX242" s="0" t="s">
        <v>4588</v>
      </c>
      <c r="EZ242" s="0" t="s">
        <v>4589</v>
      </c>
      <c r="FS242" s="0" t="str">
        <f aca="false">IF($A242="","",IF(ISNUMBER(MATCH(U242,{"queued","contacted","replied","call_booked","call_done","yes_in_principle","materials_sent"},0)),"Y","N"))</f>
        <v>N</v>
      </c>
      <c r="FT242" s="0" t="str">
        <f aca="false">IF($A242="","",IF(OR(T242="Y",U242="do_not_contact",AS242&amp;""&lt;&gt;""),"Y","N"))</f>
        <v>N</v>
      </c>
      <c r="FU242" s="0" t="str">
        <f aca="false">IF($A242="","",IF(AP242&amp;""&lt;&gt;"",AP242&amp;"",$A242))</f>
        <v>AO-C-183</v>
      </c>
      <c r="FV242" s="0" t="str">
        <f aca="false">IF($A242="","",IF(COUNTIFS($FU$2:$FU$1000,FU242,$FS$2:$FS$1000,"Y")+COUNTIFS($FU$2:$FU$1000,FU242,$FT$2:$FT$1000,"Y")&gt;0,"Y","N"))</f>
        <v>N</v>
      </c>
      <c r="FW242" s="0" t="str">
        <f aca="false">IF($A242="","",IF(AND(U242="new",T242="N",FT242="N",AT242="Y",FV242="N"),"Y","N"))</f>
        <v>N</v>
      </c>
      <c r="FX242" s="0" t="str">
        <f aca="false">IF($A242="","",IF(FW242&lt;&gt;"Y","N",IF(COUNTIFS($FU$2:$FU$1000,FU242,$FW$2:$FW$1000,"Y",$J$2:$J$1000,"&gt;"&amp;J242)+COUNTIFS($FU$2:$FU$1000,FU242,$FW$2:$FW$1000,"Y",$J$2:$J$1000,J242,$GD$2:$GD$1000,"&lt;"&amp;GD242)=0,"Y","N")))</f>
        <v>N</v>
      </c>
      <c r="FY242" s="0" t="str">
        <f aca="false">IF($A242="","",IF(AND(FW242="Y",FX242="Y",Y242&amp;""&lt;&gt;""),IF(Y242&lt;=10,"Y","N"),"N"))</f>
        <v>N</v>
      </c>
      <c r="FZ242" s="0" t="str">
        <f aca="false">IF(FY242="Y",Y242,"")</f>
        <v/>
      </c>
      <c r="GA242" s="0" t="str">
        <f aca="false">IF($A242="","",IF(AND(I242="walk-in",CN242="pass",U242="new",FT242="N",FV242="N",AQ242&lt;&gt;"Y"),"Y","N"))</f>
        <v>N</v>
      </c>
      <c r="GB242" s="0" t="str">
        <f aca="false">IF(GA242&lt;&gt;"Y","",IF(COUNTIFS($GA$2:$GA$1000,"Y",$J$2:$J$1000,"&gt;"&amp;J242)+COUNTIFS($GA$2:$GA$1000,"Y",$J$2:$J$1000,J242,$GD$2:$GD$1000,"&lt;"&amp;GD242)+1&lt;=25,COUNTIFS($GA$2:$GA$1000,"Y",$J$2:$J$1000,"&gt;"&amp;J242)+COUNTIFS($GA$2:$GA$1000,"Y",$J$2:$J$1000,J242,$GD$2:$GD$1000,"&lt;"&amp;GD242)+1,""))</f>
        <v/>
      </c>
      <c r="GC242" s="0" t="str">
        <f aca="false">IF(AND(_xlfn.ISFORMULA(C242),_xlfn.ISFORMULA(J242)),"Y","N")</f>
        <v>Y</v>
      </c>
      <c r="GD242" s="0" t="n">
        <f aca="false">ROW()-1</f>
        <v>241</v>
      </c>
    </row>
    <row r="243" customFormat="false" ht="15" hidden="false" customHeight="false" outlineLevel="0" collapsed="false">
      <c r="A243" s="0" t="s">
        <v>4590</v>
      </c>
      <c r="B243" s="0" t="s">
        <v>4591</v>
      </c>
      <c r="C243" s="0" t="str">
        <f aca="false">IF($A243="","",IF(AW243="Y",BM243&amp;"",AY243&amp;""))</f>
        <v/>
      </c>
      <c r="D243" s="0" t="str">
        <f aca="false">IF($A243="","",IF(AW243="Y",BN243&amp;"",AZ243&amp;""))</f>
        <v/>
      </c>
      <c r="E243" s="0" t="str">
        <f aca="false">IF($A243="","",IF(AW243="Y",BO243&amp;"",BA243&amp;""))</f>
        <v/>
      </c>
      <c r="F243" s="0" t="str">
        <f aca="false">IF($A243="","",IF(AW243="Y",BP243&amp;"",BB243&amp;""))</f>
        <v/>
      </c>
      <c r="G243" s="0" t="str">
        <f aca="false">IF($A243="","",IF(AW243="Y",BQ243&amp;"",BC243&amp;""))</f>
        <v/>
      </c>
      <c r="H243" s="0" t="str">
        <f aca="false">IF($A243="","",IF(AW243="Y",BR243&amp;"",BD243&amp;""))</f>
        <v>none</v>
      </c>
      <c r="I243" s="0" t="str">
        <f aca="false">IF($A243="","",IF(R243="Y","warm-intro",IF(H243="verified","email",IF(C243&lt;&gt;"","linkedin",CB243&amp;""))))</f>
        <v>linkedin</v>
      </c>
      <c r="J243" s="0" t="n">
        <f aca="false">IF($A243="","",IF(CN243="pass",ROUND(N(EM243)+N(EN243)+N(EO243)+N(EP243)+N(EQ243)+N(ER243),1),0))</f>
        <v>11</v>
      </c>
      <c r="K243" s="0" t="str">
        <f aca="false">IF($A243="","",IF(CN243&lt;&gt;"pass",CA243&amp;"",CA243&amp;"; "&amp;IF(AW243="Y",BZ243&amp;"",BL243&amp;"")&amp;IF(R243="Y","; known to the founder (+15)","")&amp;"."))</f>
        <v>Tuesday estimate 19 to 38 (low confidence), 5,000+ staff company-wide, no attendance signal, occupancy-unconfirmed at a low-confidence address; contacts not researched yet.</v>
      </c>
      <c r="L243" s="0" t="s">
        <v>1794</v>
      </c>
      <c r="R243" s="5" t="s">
        <v>189</v>
      </c>
      <c r="S243" s="0" t="s">
        <v>209</v>
      </c>
      <c r="T243" s="0" t="s">
        <v>189</v>
      </c>
      <c r="U243" s="5" t="s">
        <v>3896</v>
      </c>
      <c r="V243" s="0" t="s">
        <v>4592</v>
      </c>
      <c r="W243" s="0" t="s">
        <v>263</v>
      </c>
      <c r="X243" s="0" t="s">
        <v>3897</v>
      </c>
      <c r="Y243" s="0" t="str">
        <f aca="false">IF(FX243&lt;&gt;"Y","",COUNTIFS($FX$2:$FX$1000,"Y",$J$2:$J$1000,"&gt;"&amp;J243)+COUNTIFS($FX$2:$FX$1000,"Y",$J$2:$J$1000,J243,$GD$2:$GD$1000,"&lt;"&amp;GD243)+1)</f>
        <v/>
      </c>
      <c r="Z243" s="0" t="n">
        <v>242</v>
      </c>
      <c r="AA243" s="0" t="s">
        <v>189</v>
      </c>
      <c r="AB243" s="0" t="str">
        <f aca="false">IF($A243="","",IF(AW243="Y",BY243&amp;"",BK243&amp;""))</f>
        <v>Tuesday estimate band under-40: founder's call (set founder_ok_to_queue = Y to queue)</v>
      </c>
      <c r="AC243" s="0" t="str">
        <f aca="false">IF($A243="","",IF(AW243="Y",BS243&amp;"",BE243&amp;""))</f>
        <v/>
      </c>
      <c r="AD243" s="0" t="str">
        <f aca="false">IF($A243="","",IF(AW243="Y",BT243&amp;"",BF243&amp;""))</f>
        <v>none</v>
      </c>
      <c r="AE243" s="0" t="str">
        <f aca="false">IF($A243="","",IF(AW243="Y",BU243&amp;"",BG243&amp;""))</f>
        <v/>
      </c>
      <c r="AF243" s="0" t="str">
        <f aca="false">IF($A243="","",IF(AW243="Y",BV243&amp;"",BH243&amp;""))</f>
        <v/>
      </c>
      <c r="AG243" s="0" t="str">
        <f aca="false">IF($A243="","",IF(AW243="Y",BW243&amp;"",BI243&amp;""))</f>
        <v/>
      </c>
      <c r="AH243" s="0" t="str">
        <f aca="false">IF($A243="","",IF(AW243="Y",BX243&amp;"",BJ243&amp;""))</f>
        <v>none</v>
      </c>
      <c r="AI243" s="0" t="s">
        <v>1744</v>
      </c>
      <c r="AJ243" s="0" t="s">
        <v>494</v>
      </c>
      <c r="AK243" s="0" t="s">
        <v>3898</v>
      </c>
      <c r="AL243" s="0" t="n">
        <v>19</v>
      </c>
      <c r="AM243" s="0" t="n">
        <v>38</v>
      </c>
      <c r="AN243" s="0" t="s">
        <v>187</v>
      </c>
      <c r="AO243" s="0" t="s">
        <v>209</v>
      </c>
      <c r="AP243" s="0" t="s">
        <v>4590</v>
      </c>
      <c r="AQ243" s="5" t="s">
        <v>189</v>
      </c>
      <c r="AT243" s="0" t="str">
        <f aca="false">IF($A243="","",IF(AND(CN243="pass",AQ243&lt;&gt;"Y",C243&lt;&gt;"",OR(AX243&lt;&gt;"Y",AV243="Y")),"Y","N"))</f>
        <v>N</v>
      </c>
      <c r="AU243" s="0" t="str">
        <f aca="false">IF($A243="","",_xlfn.TEXTJOIN("; ",TRUE(),IF(CN243&lt;&gt;"pass","gated out",""),IF(AQ243="Y","on hold: "&amp;AR243,""),IF(C243="","no contact named on an opened page",""),IF(AND(AX243="Y",AV243&lt;&gt;"Y"),"Tuesday estimate band "&amp;L243&amp;": founder's call","")))</f>
        <v>no contact named on an opened page; Tuesday estimate band under-40: founder's call</v>
      </c>
      <c r="AX243" s="0" t="s">
        <v>164</v>
      </c>
      <c r="BC243" s="0" t="str">
        <f aca="false">IF($A243="","",IFERROR(INDEX(Enrichment!$A$2:$GZ$2000,MATCH($A243,INDEX(Enrichment!$A$2:$GZ$2000,0,MATCH("row_id",Enrichment!$A$1:$GZ$1,0)),0),MATCH("work_email",Enrichment!$A$1:$GZ$1,0))&amp;"",""))</f>
        <v/>
      </c>
      <c r="BD243" s="0" t="str">
        <f aca="false">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none</v>
      </c>
      <c r="BF243" s="0" t="s">
        <v>380</v>
      </c>
      <c r="BJ243" s="0" t="s">
        <v>380</v>
      </c>
      <c r="BK243" s="0" t="s">
        <v>2194</v>
      </c>
      <c r="BL243" s="0" t="s">
        <v>896</v>
      </c>
      <c r="BQ243" s="0" t="str">
        <f aca="false">IF($A243="","",IFERROR(INDEX(Enrichment!$A$2:$GZ$2000,MATCH($A243,INDEX(Enrichment!$A$2:$GZ$2000,0,MATCH("row_id",Enrichment!$A$1:$GZ$1,0)),0),MATCH("backup_work_email",Enrichment!$A$1:$GZ$1,0))&amp;"",""))</f>
        <v/>
      </c>
      <c r="BR243" s="0" t="str">
        <f aca="false">IF($A243="","",IF(BQ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none</v>
      </c>
      <c r="BT243" s="0" t="s">
        <v>380</v>
      </c>
      <c r="BX243" s="0" t="s">
        <v>380</v>
      </c>
      <c r="BY243" s="0" t="s">
        <v>1769</v>
      </c>
      <c r="BZ243" s="0" t="s">
        <v>388</v>
      </c>
      <c r="CA243" s="0" t="s">
        <v>4593</v>
      </c>
      <c r="CB243" s="0" t="s">
        <v>196</v>
      </c>
      <c r="CM243" s="0" t="s">
        <v>189</v>
      </c>
      <c r="CN243" s="0" t="s">
        <v>200</v>
      </c>
      <c r="CO243" s="0" t="s">
        <v>201</v>
      </c>
      <c r="CP243" s="0" t="s">
        <v>1</v>
      </c>
      <c r="CQ243" s="0" t="s">
        <v>4594</v>
      </c>
      <c r="CR243" s="0" t="s">
        <v>4595</v>
      </c>
      <c r="CS243" s="0" t="s">
        <v>4596</v>
      </c>
      <c r="CT243" s="0" t="s">
        <v>4597</v>
      </c>
      <c r="CV243" s="0" t="s">
        <v>976</v>
      </c>
      <c r="CW243" s="0" t="s">
        <v>204</v>
      </c>
      <c r="CX243" s="0" t="s">
        <v>205</v>
      </c>
      <c r="CY243" s="0" t="s">
        <v>4598</v>
      </c>
      <c r="DA243" s="0" t="s">
        <v>2301</v>
      </c>
      <c r="DB243" s="0" t="s">
        <v>209</v>
      </c>
      <c r="DC243" s="0" t="s">
        <v>209</v>
      </c>
      <c r="DD243" s="0" t="s">
        <v>209</v>
      </c>
      <c r="DE243" s="0" t="s">
        <v>209</v>
      </c>
      <c r="DF243" s="0" t="s">
        <v>1190</v>
      </c>
      <c r="DG243" s="0" t="n">
        <v>40.743939</v>
      </c>
      <c r="DH243" s="0" t="n">
        <v>-73.988677</v>
      </c>
      <c r="DI243" s="0" t="s">
        <v>164</v>
      </c>
      <c r="DJ243" s="0" t="n">
        <v>0</v>
      </c>
      <c r="DK243" s="0" t="s">
        <v>1191</v>
      </c>
      <c r="DL243" s="0" t="s">
        <v>1192</v>
      </c>
      <c r="DM243" s="0" t="s">
        <v>4592</v>
      </c>
      <c r="DN243" s="0" t="s">
        <v>4599</v>
      </c>
      <c r="DO243" s="0" t="s">
        <v>363</v>
      </c>
      <c r="DS243" s="0" t="s">
        <v>187</v>
      </c>
      <c r="DU243" s="0" t="s">
        <v>189</v>
      </c>
      <c r="DX243" s="0" t="s">
        <v>267</v>
      </c>
      <c r="DY243" s="0" t="s">
        <v>1195</v>
      </c>
      <c r="EA243" s="0" t="s">
        <v>209</v>
      </c>
      <c r="EB243" s="0" t="s">
        <v>189</v>
      </c>
      <c r="EC243" s="0" t="s">
        <v>209</v>
      </c>
      <c r="EF243" s="0" t="n">
        <v>27</v>
      </c>
      <c r="EG243" s="0" t="s">
        <v>2529</v>
      </c>
      <c r="EH243" s="0" t="s">
        <v>164</v>
      </c>
      <c r="EI243" s="0" t="s">
        <v>4600</v>
      </c>
      <c r="EJ243" s="0" t="s">
        <v>221</v>
      </c>
      <c r="EK243" s="0" t="n">
        <v>0</v>
      </c>
      <c r="EL243" s="0" t="n">
        <v>11</v>
      </c>
      <c r="EM243" s="0" t="n">
        <v>0</v>
      </c>
      <c r="EN243" s="0" t="n">
        <v>0</v>
      </c>
      <c r="EO243" s="0" t="n">
        <v>6</v>
      </c>
      <c r="EP243" s="0" t="n">
        <v>5</v>
      </c>
      <c r="EQ243" s="0" t="n">
        <f aca="false">IF($A243="","",IF(AH243="exact",10,IF(AH243="adjacent",5,0)))</f>
        <v>0</v>
      </c>
      <c r="ER243" s="0" t="n">
        <f aca="false">IF($A243="","",IF(R243="Y",15,0))</f>
        <v>0</v>
      </c>
      <c r="ES243" s="0" t="s">
        <v>982</v>
      </c>
      <c r="ET243" s="0" t="s">
        <v>2310</v>
      </c>
      <c r="EU243" s="0" t="s">
        <v>189</v>
      </c>
      <c r="EV243" s="0" t="s">
        <v>4601</v>
      </c>
      <c r="EW243" s="0" t="s">
        <v>224</v>
      </c>
      <c r="EX243" s="0" t="s">
        <v>4602</v>
      </c>
      <c r="FS243" s="0" t="str">
        <f aca="false">IF($A243="","",IF(ISNUMBER(MATCH(U243,{"queued","contacted","replied","call_booked","call_done","yes_in_principle","materials_sent"},0)),"Y","N"))</f>
        <v>N</v>
      </c>
      <c r="FT243" s="0" t="str">
        <f aca="false">IF($A243="","",IF(OR(T243="Y",U243="do_not_contact",AS243&amp;""&lt;&gt;""),"Y","N"))</f>
        <v>N</v>
      </c>
      <c r="FU243" s="0" t="str">
        <f aca="false">IF($A243="","",IF(AP243&amp;""&lt;&gt;"",AP243&amp;"",$A243))</f>
        <v>AO-C-257</v>
      </c>
      <c r="FV243" s="0" t="str">
        <f aca="false">IF($A243="","",IF(COUNTIFS($FU$2:$FU$1000,FU243,$FS$2:$FS$1000,"Y")+COUNTIFS($FU$2:$FU$1000,FU243,$FT$2:$FT$1000,"Y")&gt;0,"Y","N"))</f>
        <v>N</v>
      </c>
      <c r="FW243" s="0" t="str">
        <f aca="false">IF($A243="","",IF(AND(U243="new",T243="N",FT243="N",AT243="Y",FV243="N"),"Y","N"))</f>
        <v>N</v>
      </c>
      <c r="FX243" s="0" t="str">
        <f aca="false">IF($A243="","",IF(FW243&lt;&gt;"Y","N",IF(COUNTIFS($FU$2:$FU$1000,FU243,$FW$2:$FW$1000,"Y",$J$2:$J$1000,"&gt;"&amp;J243)+COUNTIFS($FU$2:$FU$1000,FU243,$FW$2:$FW$1000,"Y",$J$2:$J$1000,J243,$GD$2:$GD$1000,"&lt;"&amp;GD243)=0,"Y","N")))</f>
        <v>N</v>
      </c>
      <c r="FY243" s="0" t="str">
        <f aca="false">IF($A243="","",IF(AND(FW243="Y",FX243="Y",Y243&amp;""&lt;&gt;""),IF(Y243&lt;=10,"Y","N"),"N"))</f>
        <v>N</v>
      </c>
      <c r="FZ243" s="0" t="str">
        <f aca="false">IF(FY243="Y",Y243,"")</f>
        <v/>
      </c>
      <c r="GA243" s="0" t="str">
        <f aca="false">IF($A243="","",IF(AND(I243="walk-in",CN243="pass",U243="new",FT243="N",FV243="N",AQ243&lt;&gt;"Y"),"Y","N"))</f>
        <v>N</v>
      </c>
      <c r="GB243" s="0" t="str">
        <f aca="false">IF(GA243&lt;&gt;"Y","",IF(COUNTIFS($GA$2:$GA$1000,"Y",$J$2:$J$1000,"&gt;"&amp;J243)+COUNTIFS($GA$2:$GA$1000,"Y",$J$2:$J$1000,J243,$GD$2:$GD$1000,"&lt;"&amp;GD243)+1&lt;=25,COUNTIFS($GA$2:$GA$1000,"Y",$J$2:$J$1000,"&gt;"&amp;J243)+COUNTIFS($GA$2:$GA$1000,"Y",$J$2:$J$1000,J243,$GD$2:$GD$1000,"&lt;"&amp;GD243)+1,""))</f>
        <v/>
      </c>
      <c r="GC243" s="0" t="str">
        <f aca="false">IF(AND(_xlfn.ISFORMULA(C243),_xlfn.ISFORMULA(J243)),"Y","N")</f>
        <v>Y</v>
      </c>
      <c r="GD243" s="0" t="n">
        <f aca="false">ROW()-1</f>
        <v>242</v>
      </c>
    </row>
    <row r="244" customFormat="false" ht="15" hidden="false" customHeight="false" outlineLevel="0" collapsed="false">
      <c r="A244" s="0" t="s">
        <v>4603</v>
      </c>
      <c r="B244" s="0" t="s">
        <v>4604</v>
      </c>
      <c r="C244" s="0" t="str">
        <f aca="false">IF($A244="","",IF(AW244="Y",BM244&amp;"",AY244&amp;""))</f>
        <v/>
      </c>
      <c r="D244" s="0" t="str">
        <f aca="false">IF($A244="","",IF(AW244="Y",BN244&amp;"",AZ244&amp;""))</f>
        <v/>
      </c>
      <c r="E244" s="0" t="str">
        <f aca="false">IF($A244="","",IF(AW244="Y",BO244&amp;"",BA244&amp;""))</f>
        <v/>
      </c>
      <c r="F244" s="0" t="str">
        <f aca="false">IF($A244="","",IF(AW244="Y",BP244&amp;"",BB244&amp;""))</f>
        <v/>
      </c>
      <c r="G244" s="0" t="str">
        <f aca="false">IF($A244="","",IF(AW244="Y",BQ244&amp;"",BC244&amp;""))</f>
        <v/>
      </c>
      <c r="H244" s="0" t="str">
        <f aca="false">IF($A244="","",IF(AW244="Y",BR244&amp;"",BD244&amp;""))</f>
        <v>none</v>
      </c>
      <c r="I244" s="0" t="str">
        <f aca="false">IF($A244="","",IF(R244="Y","warm-intro",IF(H244="verified","email",IF(C244&lt;&gt;"","linkedin",CB244&amp;""))))</f>
        <v>linkedin</v>
      </c>
      <c r="J244" s="0" t="n">
        <f aca="false">IF($A244="","",IF(CN244="pass",ROUND(N(EM244)+N(EN244)+N(EO244)+N(EP244)+N(EQ244)+N(ER244),1),0))</f>
        <v>1.5</v>
      </c>
      <c r="K244" s="0" t="str">
        <f aca="false">IF($A244="","",IF(CN244&lt;&gt;"pass",CA244&amp;"",CA244&amp;"; "&amp;IF(AW244="Y",BZ244&amp;"",BL244&amp;"")&amp;IF(R244="Y","; known to the founder (+15)","")&amp;"."))</f>
        <v>Tuesday estimate 240 to 480 (low confidence), 5,000+ staff company-wide, remote-first signal, occupancy-unconfirmed at a low-confidence address; contacts not researched yet.</v>
      </c>
      <c r="L244" s="0" t="s">
        <v>355</v>
      </c>
      <c r="R244" s="5" t="s">
        <v>189</v>
      </c>
      <c r="S244" s="0" t="s">
        <v>209</v>
      </c>
      <c r="T244" s="0" t="s">
        <v>189</v>
      </c>
      <c r="U244" s="5" t="s">
        <v>3896</v>
      </c>
      <c r="V244" s="0" t="s">
        <v>4605</v>
      </c>
      <c r="W244" s="0" t="s">
        <v>263</v>
      </c>
      <c r="X244" s="0" t="s">
        <v>3897</v>
      </c>
      <c r="Y244" s="0" t="str">
        <f aca="false">IF(FX244&lt;&gt;"Y","",COUNTIFS($FX$2:$FX$1000,"Y",$J$2:$J$1000,"&gt;"&amp;J244)+COUNTIFS($FX$2:$FX$1000,"Y",$J$2:$J$1000,J244,$GD$2:$GD$1000,"&lt;"&amp;GD244)+1)</f>
        <v/>
      </c>
      <c r="Z244" s="0" t="n">
        <v>243</v>
      </c>
      <c r="AA244" s="0" t="s">
        <v>189</v>
      </c>
      <c r="AB244" s="0" t="str">
        <f aca="false">IF($A244="","",IF(AW244="Y",BY244&amp;"",BK244&amp;""))</f>
        <v>Tuesday estimate band 251-500: founder's call (set founder_ok_to_queue = Y to queue)</v>
      </c>
      <c r="AC244" s="0" t="str">
        <f aca="false">IF($A244="","",IF(AW244="Y",BS244&amp;"",BE244&amp;""))</f>
        <v/>
      </c>
      <c r="AD244" s="0" t="str">
        <f aca="false">IF($A244="","",IF(AW244="Y",BT244&amp;"",BF244&amp;""))</f>
        <v>none</v>
      </c>
      <c r="AE244" s="0" t="str">
        <f aca="false">IF($A244="","",IF(AW244="Y",BU244&amp;"",BG244&amp;""))</f>
        <v/>
      </c>
      <c r="AF244" s="0" t="str">
        <f aca="false">IF($A244="","",IF(AW244="Y",BV244&amp;"",BH244&amp;""))</f>
        <v/>
      </c>
      <c r="AG244" s="0" t="str">
        <f aca="false">IF($A244="","",IF(AW244="Y",BW244&amp;"",BI244&amp;""))</f>
        <v/>
      </c>
      <c r="AH244" s="0" t="str">
        <f aca="false">IF($A244="","",IF(AW244="Y",BX244&amp;"",BJ244&amp;""))</f>
        <v>none</v>
      </c>
      <c r="AI244" s="0" t="s">
        <v>4606</v>
      </c>
      <c r="AJ244" s="0" t="s">
        <v>4607</v>
      </c>
      <c r="AK244" s="0" t="s">
        <v>3898</v>
      </c>
      <c r="AL244" s="0" t="n">
        <v>240</v>
      </c>
      <c r="AM244" s="0" t="n">
        <v>480</v>
      </c>
      <c r="AN244" s="0" t="s">
        <v>187</v>
      </c>
      <c r="AO244" s="0" t="s">
        <v>1406</v>
      </c>
      <c r="AP244" s="0" t="s">
        <v>4603</v>
      </c>
      <c r="AQ244" s="5" t="s">
        <v>189</v>
      </c>
      <c r="AT244" s="0" t="str">
        <f aca="false">IF($A244="","",IF(AND(CN244="pass",AQ244&lt;&gt;"Y",C244&lt;&gt;"",OR(AX244&lt;&gt;"Y",AV244="Y")),"Y","N"))</f>
        <v>N</v>
      </c>
      <c r="AU244" s="0" t="str">
        <f aca="false">IF($A244="","",_xlfn.TEXTJOIN("; ",TRUE(),IF(CN244&lt;&gt;"pass","gated out",""),IF(AQ244="Y","on hold: "&amp;AR244,""),IF(C244="","no contact named on an opened page",""),IF(AND(AX244="Y",AV244&lt;&gt;"Y"),"Tuesday estimate band "&amp;L244&amp;": founder's call","")))</f>
        <v>no contact named on an opened page; Tuesday estimate band 251-500: founder's call</v>
      </c>
      <c r="AX244" s="0" t="s">
        <v>164</v>
      </c>
      <c r="BC244" s="0" t="str">
        <f aca="false">IF($A244="","",IFERROR(INDEX(Enrichment!$A$2:$GZ$2000,MATCH($A244,INDEX(Enrichment!$A$2:$GZ$2000,0,MATCH("row_id",Enrichment!$A$1:$GZ$1,0)),0),MATCH("work_email",Enrichment!$A$1:$GZ$1,0))&amp;"",""))</f>
        <v/>
      </c>
      <c r="BD244" s="0" t="str">
        <f aca="false">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none</v>
      </c>
      <c r="BF244" s="0" t="s">
        <v>380</v>
      </c>
      <c r="BJ244" s="0" t="s">
        <v>380</v>
      </c>
      <c r="BK244" s="0" t="s">
        <v>2356</v>
      </c>
      <c r="BL244" s="0" t="s">
        <v>896</v>
      </c>
      <c r="BQ244" s="0" t="str">
        <f aca="false">IF($A244="","",IFERROR(INDEX(Enrichment!$A$2:$GZ$2000,MATCH($A244,INDEX(Enrichment!$A$2:$GZ$2000,0,MATCH("row_id",Enrichment!$A$1:$GZ$1,0)),0),MATCH("backup_work_email",Enrichment!$A$1:$GZ$1,0))&amp;"",""))</f>
        <v/>
      </c>
      <c r="BR244" s="0" t="str">
        <f aca="false">IF($A244="","",IF(BQ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none</v>
      </c>
      <c r="BT244" s="0" t="s">
        <v>380</v>
      </c>
      <c r="BX244" s="0" t="s">
        <v>380</v>
      </c>
      <c r="BY244" s="0" t="s">
        <v>2357</v>
      </c>
      <c r="BZ244" s="0" t="s">
        <v>388</v>
      </c>
      <c r="CA244" s="0" t="s">
        <v>4608</v>
      </c>
      <c r="CB244" s="0" t="s">
        <v>196</v>
      </c>
      <c r="CM244" s="0" t="s">
        <v>189</v>
      </c>
      <c r="CN244" s="0" t="s">
        <v>200</v>
      </c>
      <c r="CO244" s="0" t="s">
        <v>201</v>
      </c>
      <c r="CP244" s="0" t="s">
        <v>1</v>
      </c>
      <c r="CQ244" s="0" t="s">
        <v>4609</v>
      </c>
      <c r="CR244" s="0" t="s">
        <v>4610</v>
      </c>
      <c r="CS244" s="0" t="s">
        <v>4611</v>
      </c>
      <c r="CT244" s="0" t="s">
        <v>4612</v>
      </c>
      <c r="CV244" s="0" t="s">
        <v>976</v>
      </c>
      <c r="CW244" s="0" t="s">
        <v>204</v>
      </c>
      <c r="CX244" s="0" t="s">
        <v>205</v>
      </c>
      <c r="CY244" s="0" t="s">
        <v>4613</v>
      </c>
      <c r="DA244" s="0" t="s">
        <v>2301</v>
      </c>
      <c r="DB244" s="0" t="s">
        <v>4614</v>
      </c>
      <c r="DC244" s="0" t="s">
        <v>189</v>
      </c>
      <c r="DD244" s="0" t="s">
        <v>209</v>
      </c>
      <c r="DE244" s="0" t="s">
        <v>4615</v>
      </c>
      <c r="DG244" s="0" t="n">
        <v>40.738448</v>
      </c>
      <c r="DH244" s="0" t="n">
        <v>-73.987379</v>
      </c>
      <c r="DI244" s="0" t="s">
        <v>164</v>
      </c>
      <c r="DJ244" s="0" t="n">
        <v>0</v>
      </c>
      <c r="DL244" s="0" t="s">
        <v>209</v>
      </c>
      <c r="DM244" s="0" t="s">
        <v>4605</v>
      </c>
      <c r="DN244" s="0" t="s">
        <v>4616</v>
      </c>
      <c r="DO244" s="0" t="s">
        <v>363</v>
      </c>
      <c r="DS244" s="0" t="s">
        <v>187</v>
      </c>
      <c r="DU244" s="0" t="s">
        <v>189</v>
      </c>
      <c r="DX244" s="0" t="s">
        <v>209</v>
      </c>
      <c r="EA244" s="0" t="s">
        <v>209</v>
      </c>
      <c r="EB244" s="0" t="s">
        <v>189</v>
      </c>
      <c r="EC244" s="0" t="s">
        <v>4617</v>
      </c>
      <c r="ED244" s="0" t="s">
        <v>4618</v>
      </c>
      <c r="EE244" s="0" t="s">
        <v>172</v>
      </c>
      <c r="EF244" s="0" t="n">
        <v>339</v>
      </c>
      <c r="EG244" s="0" t="s">
        <v>366</v>
      </c>
      <c r="EH244" s="0" t="s">
        <v>164</v>
      </c>
      <c r="EI244" s="0" t="s">
        <v>4619</v>
      </c>
      <c r="EJ244" s="0" t="s">
        <v>221</v>
      </c>
      <c r="EK244" s="0" t="n">
        <v>0.06</v>
      </c>
      <c r="EL244" s="0" t="n">
        <v>1.5</v>
      </c>
      <c r="EM244" s="0" t="n">
        <v>1.5</v>
      </c>
      <c r="EN244" s="0" t="n">
        <v>0</v>
      </c>
      <c r="EO244" s="0" t="n">
        <v>-5</v>
      </c>
      <c r="EP244" s="0" t="n">
        <v>5</v>
      </c>
      <c r="EQ244" s="0" t="n">
        <f aca="false">IF($A244="","",IF(AH244="exact",10,IF(AH244="adjacent",5,0)))</f>
        <v>0</v>
      </c>
      <c r="ER244" s="0" t="n">
        <f aca="false">IF($A244="","",IF(R244="Y",15,0))</f>
        <v>0</v>
      </c>
      <c r="ES244" s="0" t="s">
        <v>982</v>
      </c>
      <c r="ET244" s="0" t="s">
        <v>2310</v>
      </c>
      <c r="EU244" s="0" t="s">
        <v>189</v>
      </c>
      <c r="EV244" s="0" t="s">
        <v>4454</v>
      </c>
      <c r="EW244" s="0" t="s">
        <v>224</v>
      </c>
      <c r="EX244" s="0" t="s">
        <v>4620</v>
      </c>
      <c r="EZ244" s="0" t="s">
        <v>4621</v>
      </c>
      <c r="FS244" s="0" t="str">
        <f aca="false">IF($A244="","",IF(ISNUMBER(MATCH(U244,{"queued","contacted","replied","call_booked","call_done","yes_in_principle","materials_sent"},0)),"Y","N"))</f>
        <v>N</v>
      </c>
      <c r="FT244" s="0" t="str">
        <f aca="false">IF($A244="","",IF(OR(T244="Y",U244="do_not_contact",AS244&amp;""&lt;&gt;""),"Y","N"))</f>
        <v>N</v>
      </c>
      <c r="FU244" s="0" t="str">
        <f aca="false">IF($A244="","",IF(AP244&amp;""&lt;&gt;"",AP244&amp;"",$A244))</f>
        <v>AO-C-212</v>
      </c>
      <c r="FV244" s="0" t="str">
        <f aca="false">IF($A244="","",IF(COUNTIFS($FU$2:$FU$1000,FU244,$FS$2:$FS$1000,"Y")+COUNTIFS($FU$2:$FU$1000,FU244,$FT$2:$FT$1000,"Y")&gt;0,"Y","N"))</f>
        <v>N</v>
      </c>
      <c r="FW244" s="0" t="str">
        <f aca="false">IF($A244="","",IF(AND(U244="new",T244="N",FT244="N",AT244="Y",FV244="N"),"Y","N"))</f>
        <v>N</v>
      </c>
      <c r="FX244" s="0" t="str">
        <f aca="false">IF($A244="","",IF(FW244&lt;&gt;"Y","N",IF(COUNTIFS($FU$2:$FU$1000,FU244,$FW$2:$FW$1000,"Y",$J$2:$J$1000,"&gt;"&amp;J244)+COUNTIFS($FU$2:$FU$1000,FU244,$FW$2:$FW$1000,"Y",$J$2:$J$1000,J244,$GD$2:$GD$1000,"&lt;"&amp;GD244)=0,"Y","N")))</f>
        <v>N</v>
      </c>
      <c r="FY244" s="0" t="str">
        <f aca="false">IF($A244="","",IF(AND(FW244="Y",FX244="Y",Y244&amp;""&lt;&gt;""),IF(Y244&lt;=10,"Y","N"),"N"))</f>
        <v>N</v>
      </c>
      <c r="FZ244" s="0" t="str">
        <f aca="false">IF(FY244="Y",Y244,"")</f>
        <v/>
      </c>
      <c r="GA244" s="0" t="str">
        <f aca="false">IF($A244="","",IF(AND(I244="walk-in",CN244="pass",U244="new",FT244="N",FV244="N",AQ244&lt;&gt;"Y"),"Y","N"))</f>
        <v>N</v>
      </c>
      <c r="GB244" s="0" t="str">
        <f aca="false">IF(GA244&lt;&gt;"Y","",IF(COUNTIFS($GA$2:$GA$1000,"Y",$J$2:$J$1000,"&gt;"&amp;J244)+COUNTIFS($GA$2:$GA$1000,"Y",$J$2:$J$1000,J244,$GD$2:$GD$1000,"&lt;"&amp;GD244)+1&lt;=25,COUNTIFS($GA$2:$GA$1000,"Y",$J$2:$J$1000,"&gt;"&amp;J244)+COUNTIFS($GA$2:$GA$1000,"Y",$J$2:$J$1000,J244,$GD$2:$GD$1000,"&lt;"&amp;GD244)+1,""))</f>
        <v/>
      </c>
      <c r="GC244" s="0" t="str">
        <f aca="false">IF(AND(_xlfn.ISFORMULA(C244),_xlfn.ISFORMULA(J244)),"Y","N")</f>
        <v>Y</v>
      </c>
      <c r="GD244" s="0" t="n">
        <f aca="false">ROW()-1</f>
        <v>243</v>
      </c>
    </row>
    <row r="245" customFormat="false" ht="15" hidden="false" customHeight="false" outlineLevel="0" collapsed="false">
      <c r="A245" s="0" t="s">
        <v>4622</v>
      </c>
      <c r="B245" s="0" t="s">
        <v>4623</v>
      </c>
      <c r="C245" s="0" t="str">
        <f aca="false">IF($A245="","",IF(AW245="Y",BM245&amp;"",AY245&amp;""))</f>
        <v/>
      </c>
      <c r="D245" s="0" t="str">
        <f aca="false">IF($A245="","",IF(AW245="Y",BN245&amp;"",AZ245&amp;""))</f>
        <v/>
      </c>
      <c r="E245" s="0" t="str">
        <f aca="false">IF($A245="","",IF(AW245="Y",BO245&amp;"",BA245&amp;""))</f>
        <v/>
      </c>
      <c r="F245" s="0" t="str">
        <f aca="false">IF($A245="","",IF(AW245="Y",BP245&amp;"",BB245&amp;""))</f>
        <v/>
      </c>
      <c r="G245" s="0" t="str">
        <f aca="false">IF($A245="","",IF(AW245="Y",BQ245&amp;"",BC245&amp;""))</f>
        <v/>
      </c>
      <c r="H245" s="0" t="str">
        <f aca="false">IF($A245="","",IF(AW245="Y",BR245&amp;"",BD245&amp;""))</f>
        <v>none</v>
      </c>
      <c r="I245" s="0" t="str">
        <f aca="false">IF($A245="","",IF(R245="Y","warm-intro",IF(H245="verified","email",IF(C245&lt;&gt;"","linkedin",CB245&amp;""))))</f>
        <v>linkedin</v>
      </c>
      <c r="J245" s="0" t="n">
        <f aca="false">IF($A245="","",IF(CN245="pass",ROUND(N(EM245)+N(EN245)+N(EO245)+N(EP245)+N(EQ245)+N(ER245),1),0))</f>
        <v>0</v>
      </c>
      <c r="K245" s="0" t="str">
        <f aca="false">IF($A245="","",IF(CN245&lt;&gt;"pass",CA245&amp;"",CA245&amp;"; "&amp;IF(AW245="Y",BZ245&amp;"",BL245&amp;"")&amp;IF(R245="Y","; known to the founder (+15)","")&amp;"."))</f>
        <v>Gated out: outside the cluster (1.7 blocks outside the line).</v>
      </c>
      <c r="L245" s="0" t="s">
        <v>298</v>
      </c>
      <c r="R245" s="5" t="s">
        <v>189</v>
      </c>
      <c r="S245" s="0" t="s">
        <v>209</v>
      </c>
      <c r="T245" s="0" t="s">
        <v>189</v>
      </c>
      <c r="U245" s="5" t="s">
        <v>3896</v>
      </c>
      <c r="V245" s="0" t="s">
        <v>4624</v>
      </c>
      <c r="W245" s="0" t="s">
        <v>263</v>
      </c>
      <c r="X245" s="0" t="s">
        <v>3897</v>
      </c>
      <c r="Y245" s="0" t="str">
        <f aca="false">IF(FX245&lt;&gt;"Y","",COUNTIFS($FX$2:$FX$1000,"Y",$J$2:$J$1000,"&gt;"&amp;J245)+COUNTIFS($FX$2:$FX$1000,"Y",$J$2:$J$1000,J245,$GD$2:$GD$1000,"&lt;"&amp;GD245)+1)</f>
        <v/>
      </c>
      <c r="AA245" s="0" t="s">
        <v>189</v>
      </c>
      <c r="AB245" s="0" t="str">
        <f aca="false">IF($A245="","",IF(AW245="Y",BY245&amp;"",BK245&amp;""))</f>
        <v/>
      </c>
      <c r="AC245" s="0" t="str">
        <f aca="false">IF($A245="","",IF(AW245="Y",BS245&amp;"",BE245&amp;""))</f>
        <v/>
      </c>
      <c r="AD245" s="0" t="str">
        <f aca="false">IF($A245="","",IF(AW245="Y",BT245&amp;"",BF245&amp;""))</f>
        <v>none</v>
      </c>
      <c r="AE245" s="0" t="str">
        <f aca="false">IF($A245="","",IF(AW245="Y",BU245&amp;"",BG245&amp;""))</f>
        <v/>
      </c>
      <c r="AF245" s="0" t="str">
        <f aca="false">IF($A245="","",IF(AW245="Y",BV245&amp;"",BH245&amp;""))</f>
        <v/>
      </c>
      <c r="AG245" s="0" t="str">
        <f aca="false">IF($A245="","",IF(AW245="Y",BW245&amp;"",BI245&amp;""))</f>
        <v/>
      </c>
      <c r="AH245" s="0" t="str">
        <f aca="false">IF($A245="","",IF(AW245="Y",BX245&amp;"",BJ245&amp;""))</f>
        <v>none</v>
      </c>
      <c r="AI245" s="0" t="s">
        <v>4625</v>
      </c>
      <c r="AJ245" s="0" t="s">
        <v>412</v>
      </c>
      <c r="AK245" s="0" t="s">
        <v>3933</v>
      </c>
      <c r="AL245" s="0" t="n">
        <v>40</v>
      </c>
      <c r="AM245" s="0" t="n">
        <v>66</v>
      </c>
      <c r="AN245" s="0" t="s">
        <v>187</v>
      </c>
      <c r="AO245" s="0" t="s">
        <v>209</v>
      </c>
      <c r="AP245" s="0" t="s">
        <v>4622</v>
      </c>
      <c r="AQ245" s="5" t="s">
        <v>189</v>
      </c>
      <c r="AT245" s="0" t="str">
        <f aca="false">IF($A245="","",IF(AND(CN245="pass",AQ245&lt;&gt;"Y",C245&lt;&gt;"",OR(AX245&lt;&gt;"Y",AV245="Y")),"Y","N"))</f>
        <v>N</v>
      </c>
      <c r="AU245" s="0" t="str">
        <f aca="false">IF($A245="","",_xlfn.TEXTJOIN("; ",TRUE(),IF(CN245&lt;&gt;"pass","gated out",""),IF(AQ245="Y","on hold: "&amp;AR245,""),IF(C245="","no contact named on an opened page",""),IF(AND(AX245="Y",AV245&lt;&gt;"Y"),"Tuesday estimate band "&amp;L245&amp;": founder's call","")))</f>
        <v>gated out; no contact named on an opened page</v>
      </c>
      <c r="AX245" s="0" t="s">
        <v>189</v>
      </c>
      <c r="BC245" s="0" t="str">
        <f aca="false">IF($A245="","",IFERROR(INDEX(Enrichment!$A$2:$GZ$2000,MATCH($A245,INDEX(Enrichment!$A$2:$GZ$2000,0,MATCH("row_id",Enrichment!$A$1:$GZ$1,0)),0),MATCH("work_email",Enrichment!$A$1:$GZ$1,0))&amp;"",""))</f>
        <v/>
      </c>
      <c r="BD245" s="0" t="str">
        <f aca="false">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none</v>
      </c>
      <c r="BF245" s="0" t="s">
        <v>380</v>
      </c>
      <c r="BJ245" s="0" t="s">
        <v>380</v>
      </c>
      <c r="BL245" s="0" t="s">
        <v>896</v>
      </c>
      <c r="BQ245" s="0" t="str">
        <f aca="false">IF($A245="","",IFERROR(INDEX(Enrichment!$A$2:$GZ$2000,MATCH($A245,INDEX(Enrichment!$A$2:$GZ$2000,0,MATCH("row_id",Enrichment!$A$1:$GZ$1,0)),0),MATCH("backup_work_email",Enrichment!$A$1:$GZ$1,0))&amp;"",""))</f>
        <v/>
      </c>
      <c r="BR245" s="0" t="str">
        <f aca="false">IF($A245="","",IF(BQ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none</v>
      </c>
      <c r="BT245" s="0" t="s">
        <v>380</v>
      </c>
      <c r="BX245" s="0" t="s">
        <v>380</v>
      </c>
      <c r="BZ245" s="0" t="s">
        <v>388</v>
      </c>
      <c r="CA245" s="0" t="s">
        <v>4626</v>
      </c>
      <c r="CB245" s="0" t="s">
        <v>196</v>
      </c>
      <c r="CM245" s="0" t="s">
        <v>189</v>
      </c>
      <c r="CN245" s="0" t="s">
        <v>4627</v>
      </c>
      <c r="CO245" s="0" t="s">
        <v>4628</v>
      </c>
      <c r="CP245" s="0" t="s">
        <v>1</v>
      </c>
      <c r="CQ245" s="0" t="s">
        <v>4629</v>
      </c>
      <c r="CR245" s="0" t="s">
        <v>4630</v>
      </c>
      <c r="CS245" s="0" t="s">
        <v>4631</v>
      </c>
      <c r="CT245" s="0" t="s">
        <v>3218</v>
      </c>
      <c r="CV245" s="0" t="s">
        <v>186</v>
      </c>
      <c r="CW245" s="0" t="s">
        <v>204</v>
      </c>
      <c r="CX245" s="0" t="s">
        <v>205</v>
      </c>
      <c r="CY245" s="0" t="s">
        <v>4632</v>
      </c>
      <c r="DA245" s="0" t="s">
        <v>207</v>
      </c>
      <c r="DB245" s="0" t="s">
        <v>259</v>
      </c>
      <c r="DC245" s="0" t="s">
        <v>164</v>
      </c>
      <c r="DD245" s="0" t="s">
        <v>209</v>
      </c>
      <c r="DE245" s="0" t="s">
        <v>4633</v>
      </c>
      <c r="DF245" s="0" t="s">
        <v>525</v>
      </c>
      <c r="DG245" s="0" t="n">
        <v>40.740766</v>
      </c>
      <c r="DH245" s="0" t="n">
        <v>-73.983213</v>
      </c>
      <c r="DI245" s="0" t="s">
        <v>189</v>
      </c>
      <c r="DJ245" s="0" t="n">
        <v>1.7</v>
      </c>
      <c r="DL245" s="0" t="s">
        <v>209</v>
      </c>
      <c r="DM245" s="0" t="s">
        <v>4624</v>
      </c>
      <c r="DN245" s="0" t="s">
        <v>172</v>
      </c>
      <c r="DO245" s="0" t="s">
        <v>214</v>
      </c>
      <c r="DP245" s="0" t="s">
        <v>4634</v>
      </c>
      <c r="DQ245" s="0" t="s">
        <v>943</v>
      </c>
      <c r="DS245" s="0" t="s">
        <v>217</v>
      </c>
      <c r="DU245" s="0" t="s">
        <v>189</v>
      </c>
      <c r="DX245" s="0" t="s">
        <v>209</v>
      </c>
      <c r="EA245" s="0" t="s">
        <v>209</v>
      </c>
      <c r="EB245" s="0" t="s">
        <v>189</v>
      </c>
      <c r="EC245" s="0" t="s">
        <v>209</v>
      </c>
      <c r="EF245" s="0" t="n">
        <v>51</v>
      </c>
      <c r="EH245" s="0" t="s">
        <v>164</v>
      </c>
      <c r="EI245" s="0" t="s">
        <v>4635</v>
      </c>
      <c r="EJ245" s="0" t="s">
        <v>221</v>
      </c>
      <c r="EK245" s="0" t="n">
        <v>1</v>
      </c>
      <c r="EL245" s="0" t="n">
        <v>61</v>
      </c>
      <c r="EM245" s="0" t="n">
        <v>25</v>
      </c>
      <c r="EN245" s="0" t="n">
        <v>15</v>
      </c>
      <c r="EO245" s="0" t="n">
        <v>6</v>
      </c>
      <c r="EP245" s="0" t="n">
        <v>15</v>
      </c>
      <c r="EQ245" s="0" t="n">
        <f aca="false">IF($A245="","",IF(AH245="exact",10,IF(AH245="adjacent",5,0)))</f>
        <v>0</v>
      </c>
      <c r="ER245" s="0" t="n">
        <f aca="false">IF($A245="","",IF(R245="Y",15,0))</f>
        <v>0</v>
      </c>
      <c r="ES245" s="0" t="s">
        <v>4636</v>
      </c>
      <c r="ET245" s="0" t="s">
        <v>4637</v>
      </c>
      <c r="EU245" s="0" t="s">
        <v>189</v>
      </c>
      <c r="EV245" s="0" t="s">
        <v>4638</v>
      </c>
      <c r="EW245" s="0" t="s">
        <v>224</v>
      </c>
      <c r="EX245" s="0" t="s">
        <v>4639</v>
      </c>
      <c r="EZ245" s="0" t="s">
        <v>4640</v>
      </c>
      <c r="FS245" s="0" t="str">
        <f aca="false">IF($A245="","",IF(ISNUMBER(MATCH(U245,{"queued","contacted","replied","call_booked","call_done","yes_in_principle","materials_sent"},0)),"Y","N"))</f>
        <v>N</v>
      </c>
      <c r="FT245" s="0" t="str">
        <f aca="false">IF($A245="","",IF(OR(T245="Y",U245="do_not_contact",AS245&amp;""&lt;&gt;""),"Y","N"))</f>
        <v>N</v>
      </c>
      <c r="FU245" s="0" t="str">
        <f aca="false">IF($A245="","",IF(AP245&amp;""&lt;&gt;"",AP245&amp;"",$A245))</f>
        <v>AO-C-271</v>
      </c>
      <c r="FV245" s="0" t="str">
        <f aca="false">IF($A245="","",IF(COUNTIFS($FU$2:$FU$1000,FU245,$FS$2:$FS$1000,"Y")+COUNTIFS($FU$2:$FU$1000,FU245,$FT$2:$FT$1000,"Y")&gt;0,"Y","N"))</f>
        <v>N</v>
      </c>
      <c r="FW245" s="0" t="str">
        <f aca="false">IF($A245="","",IF(AND(U245="new",T245="N",FT245="N",AT245="Y",FV245="N"),"Y","N"))</f>
        <v>N</v>
      </c>
      <c r="FX245" s="0" t="str">
        <f aca="false">IF($A245="","",IF(FW245&lt;&gt;"Y","N",IF(COUNTIFS($FU$2:$FU$1000,FU245,$FW$2:$FW$1000,"Y",$J$2:$J$1000,"&gt;"&amp;J245)+COUNTIFS($FU$2:$FU$1000,FU245,$FW$2:$FW$1000,"Y",$J$2:$J$1000,J245,$GD$2:$GD$1000,"&lt;"&amp;GD245)=0,"Y","N")))</f>
        <v>N</v>
      </c>
      <c r="FY245" s="0" t="str">
        <f aca="false">IF($A245="","",IF(AND(FW245="Y",FX245="Y",Y245&amp;""&lt;&gt;""),IF(Y245&lt;=10,"Y","N"),"N"))</f>
        <v>N</v>
      </c>
      <c r="FZ245" s="0" t="str">
        <f aca="false">IF(FY245="Y",Y245,"")</f>
        <v/>
      </c>
      <c r="GA245" s="0" t="str">
        <f aca="false">IF($A245="","",IF(AND(I245="walk-in",CN245="pass",U245="new",FT245="N",FV245="N",AQ245&lt;&gt;"Y"),"Y","N"))</f>
        <v>N</v>
      </c>
      <c r="GB245" s="0" t="str">
        <f aca="false">IF(GA245&lt;&gt;"Y","",IF(COUNTIFS($GA$2:$GA$1000,"Y",$J$2:$J$1000,"&gt;"&amp;J245)+COUNTIFS($GA$2:$GA$1000,"Y",$J$2:$J$1000,J245,$GD$2:$GD$1000,"&lt;"&amp;GD245)+1&lt;=25,COUNTIFS($GA$2:$GA$1000,"Y",$J$2:$J$1000,"&gt;"&amp;J245)+COUNTIFS($GA$2:$GA$1000,"Y",$J$2:$J$1000,J245,$GD$2:$GD$1000,"&lt;"&amp;GD245)+1,""))</f>
        <v/>
      </c>
      <c r="GC245" s="0" t="str">
        <f aca="false">IF(AND(_xlfn.ISFORMULA(C245),_xlfn.ISFORMULA(J245)),"Y","N")</f>
        <v>Y</v>
      </c>
      <c r="GD245" s="0" t="n">
        <f aca="false">ROW()-1</f>
        <v>244</v>
      </c>
    </row>
    <row r="246" customFormat="false" ht="15" hidden="false" customHeight="false" outlineLevel="0" collapsed="false">
      <c r="A246" s="0" t="s">
        <v>4641</v>
      </c>
      <c r="B246" s="0" t="s">
        <v>4642</v>
      </c>
      <c r="C246" s="0" t="str">
        <f aca="false">IF($A246="","",IF(AW246="Y",BM246&amp;"",AY246&amp;""))</f>
        <v/>
      </c>
      <c r="D246" s="0" t="str">
        <f aca="false">IF($A246="","",IF(AW246="Y",BN246&amp;"",AZ246&amp;""))</f>
        <v/>
      </c>
      <c r="E246" s="0" t="str">
        <f aca="false">IF($A246="","",IF(AW246="Y",BO246&amp;"",BA246&amp;""))</f>
        <v/>
      </c>
      <c r="F246" s="0" t="str">
        <f aca="false">IF($A246="","",IF(AW246="Y",BP246&amp;"",BB246&amp;""))</f>
        <v/>
      </c>
      <c r="G246" s="0" t="str">
        <f aca="false">IF($A246="","",IF(AW246="Y",BQ246&amp;"",BC246&amp;""))</f>
        <v/>
      </c>
      <c r="H246" s="0" t="str">
        <f aca="false">IF($A246="","",IF(AW246="Y",BR246&amp;"",BD246&amp;""))</f>
        <v>none</v>
      </c>
      <c r="I246" s="0" t="str">
        <f aca="false">IF($A246="","",IF(R246="Y","warm-intro",IF(H246="verified","email",IF(C246&lt;&gt;"","linkedin",CB246&amp;""))))</f>
        <v>linkedin</v>
      </c>
      <c r="J246" s="0" t="n">
        <f aca="false">IF($A246="","",IF(CN246="pass",ROUND(N(EM246)+N(EN246)+N(EO246)+N(EP246)+N(EQ246)+N(ER246),1),0))</f>
        <v>0</v>
      </c>
      <c r="K246" s="0" t="str">
        <f aca="false">IF($A246="","",IF(CN246&lt;&gt;"pass",CA246&amp;"",CA246&amp;"; "&amp;IF(AW246="Y",BZ246&amp;"",BL246&amp;"")&amp;IF(R246="Y","; known to the founder (+15)","")&amp;"."))</f>
        <v>Gated out: inside a coworking space until its move to this address (B notes); re-check after the move (no date reported): walk by or ask at intake.</v>
      </c>
      <c r="L246" s="0" t="s">
        <v>186</v>
      </c>
      <c r="O246" s="0" t="s">
        <v>4643</v>
      </c>
      <c r="P246" s="0" t="s">
        <v>3956</v>
      </c>
      <c r="Q246" s="0" t="s">
        <v>3076</v>
      </c>
      <c r="R246" s="5" t="s">
        <v>189</v>
      </c>
      <c r="S246" s="0" t="s">
        <v>209</v>
      </c>
      <c r="T246" s="0" t="s">
        <v>189</v>
      </c>
      <c r="U246" s="5" t="s">
        <v>3896</v>
      </c>
      <c r="V246" s="0" t="s">
        <v>3956</v>
      </c>
      <c r="W246" s="0" t="s">
        <v>263</v>
      </c>
      <c r="X246" s="0" t="s">
        <v>3897</v>
      </c>
      <c r="Y246" s="0" t="str">
        <f aca="false">IF(FX246&lt;&gt;"Y","",COUNTIFS($FX$2:$FX$1000,"Y",$J$2:$J$1000,"&gt;"&amp;J246)+COUNTIFS($FX$2:$FX$1000,"Y",$J$2:$J$1000,J246,$GD$2:$GD$1000,"&lt;"&amp;GD246)+1)</f>
        <v/>
      </c>
      <c r="AA246" s="0" t="s">
        <v>189</v>
      </c>
      <c r="AB246" s="0" t="str">
        <f aca="false">IF($A246="","",IF(AW246="Y",BY246&amp;"",BK246&amp;""))</f>
        <v/>
      </c>
      <c r="AC246" s="0" t="str">
        <f aca="false">IF($A246="","",IF(AW246="Y",BS246&amp;"",BE246&amp;""))</f>
        <v/>
      </c>
      <c r="AD246" s="0" t="str">
        <f aca="false">IF($A246="","",IF(AW246="Y",BT246&amp;"",BF246&amp;""))</f>
        <v>none</v>
      </c>
      <c r="AE246" s="0" t="str">
        <f aca="false">IF($A246="","",IF(AW246="Y",BU246&amp;"",BG246&amp;""))</f>
        <v/>
      </c>
      <c r="AF246" s="0" t="str">
        <f aca="false">IF($A246="","",IF(AW246="Y",BV246&amp;"",BH246&amp;""))</f>
        <v/>
      </c>
      <c r="AG246" s="0" t="str">
        <f aca="false">IF($A246="","",IF(AW246="Y",BW246&amp;"",BI246&amp;""))</f>
        <v/>
      </c>
      <c r="AH246" s="0" t="str">
        <f aca="false">IF($A246="","",IF(AW246="Y",BX246&amp;"",BJ246&amp;""))</f>
        <v>none</v>
      </c>
      <c r="AI246" s="0" t="s">
        <v>3957</v>
      </c>
      <c r="AJ246" s="0" t="s">
        <v>412</v>
      </c>
      <c r="AK246" s="0" t="s">
        <v>4183</v>
      </c>
      <c r="AL246" s="0" t="n">
        <v>58</v>
      </c>
      <c r="AM246" s="0" t="n">
        <v>99</v>
      </c>
      <c r="AN246" s="0" t="s">
        <v>187</v>
      </c>
      <c r="AO246" s="0" t="s">
        <v>512</v>
      </c>
      <c r="AP246" s="0" t="s">
        <v>4641</v>
      </c>
      <c r="AQ246" s="5" t="s">
        <v>164</v>
      </c>
      <c r="AR246" s="0" t="s">
        <v>4644</v>
      </c>
      <c r="AT246" s="0" t="str">
        <f aca="false">IF($A246="","",IF(AND(CN246="pass",AQ246&lt;&gt;"Y",C246&lt;&gt;"",OR(AX246&lt;&gt;"Y",AV246="Y")),"Y","N"))</f>
        <v>N</v>
      </c>
      <c r="AU246" s="0" t="str">
        <f aca="false">IF($A246="","",_xlfn.TEXTJOIN("; ",TRUE(),IF(CN246&lt;&gt;"pass","gated out",""),IF(AQ246="Y","on hold: "&amp;AR246,""),IF(C246="","no contact named on an opened page",""),IF(AND(AX246="Y",AV246&lt;&gt;"Y"),"Tuesday estimate band "&amp;L246&amp;": founder's call","")))</f>
        <v>gated out; on hold: lease signed, move not confirmed: check the lobby directory before outreach (B); still in a coworking space until the move; no contact named on an opened page</v>
      </c>
      <c r="AX246" s="0" t="s">
        <v>189</v>
      </c>
      <c r="BC246" s="0" t="str">
        <f aca="false">IF($A246="","",IFERROR(INDEX(Enrichment!$A$2:$GZ$2000,MATCH($A246,INDEX(Enrichment!$A$2:$GZ$2000,0,MATCH("row_id",Enrichment!$A$1:$GZ$1,0)),0),MATCH("work_email",Enrichment!$A$1:$GZ$1,0))&amp;"",""))</f>
        <v/>
      </c>
      <c r="BD246" s="0" t="str">
        <f aca="false">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none</v>
      </c>
      <c r="BF246" s="0" t="s">
        <v>380</v>
      </c>
      <c r="BJ246" s="0" t="s">
        <v>380</v>
      </c>
      <c r="BL246" s="0" t="s">
        <v>837</v>
      </c>
      <c r="BQ246" s="0" t="str">
        <f aca="false">IF($A246="","",IFERROR(INDEX(Enrichment!$A$2:$GZ$2000,MATCH($A246,INDEX(Enrichment!$A$2:$GZ$2000,0,MATCH("row_id",Enrichment!$A$1:$GZ$1,0)),0),MATCH("backup_work_email",Enrichment!$A$1:$GZ$1,0))&amp;"",""))</f>
        <v/>
      </c>
      <c r="BR246" s="0" t="str">
        <f aca="false">IF($A246="","",IF(BQ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none</v>
      </c>
      <c r="BT246" s="0" t="s">
        <v>380</v>
      </c>
      <c r="BX246" s="0" t="s">
        <v>380</v>
      </c>
      <c r="BZ246" s="0" t="s">
        <v>388</v>
      </c>
      <c r="CA246" s="0" t="s">
        <v>4645</v>
      </c>
      <c r="CB246" s="0" t="s">
        <v>196</v>
      </c>
      <c r="CM246" s="0" t="s">
        <v>164</v>
      </c>
      <c r="CN246" s="0" t="s">
        <v>4627</v>
      </c>
      <c r="CO246" s="0" t="s">
        <v>4646</v>
      </c>
      <c r="CP246" s="0" t="s">
        <v>1</v>
      </c>
      <c r="CQ246" s="0" t="s">
        <v>4647</v>
      </c>
      <c r="CR246" s="0" t="s">
        <v>4648</v>
      </c>
      <c r="CS246" s="0" t="s">
        <v>4649</v>
      </c>
      <c r="CT246" s="0" t="s">
        <v>4650</v>
      </c>
      <c r="CU246" s="0" t="s">
        <v>3868</v>
      </c>
      <c r="CV246" s="0" t="s">
        <v>209</v>
      </c>
      <c r="CW246" s="0" t="s">
        <v>209</v>
      </c>
      <c r="CX246" s="0" t="s">
        <v>440</v>
      </c>
      <c r="CY246" s="0" t="s">
        <v>4651</v>
      </c>
      <c r="CZ246" s="0" t="s">
        <v>4652</v>
      </c>
      <c r="DA246" s="0" t="s">
        <v>207</v>
      </c>
      <c r="DB246" s="0" t="s">
        <v>259</v>
      </c>
      <c r="DC246" s="0" t="s">
        <v>164</v>
      </c>
      <c r="DD246" s="0" t="s">
        <v>209</v>
      </c>
      <c r="DE246" s="0" t="s">
        <v>4653</v>
      </c>
      <c r="DF246" s="0" t="s">
        <v>397</v>
      </c>
      <c r="DG246" s="0" t="n">
        <v>40.7409</v>
      </c>
      <c r="DH246" s="0" t="n">
        <v>-73.994512</v>
      </c>
      <c r="DI246" s="0" t="s">
        <v>164</v>
      </c>
      <c r="DJ246" s="0" t="n">
        <v>0</v>
      </c>
      <c r="DK246" s="0" t="s">
        <v>3965</v>
      </c>
      <c r="DL246" s="0" t="s">
        <v>3966</v>
      </c>
      <c r="DM246" s="0" t="s">
        <v>3956</v>
      </c>
      <c r="DN246" s="0" t="s">
        <v>3076</v>
      </c>
      <c r="DO246" s="0" t="s">
        <v>363</v>
      </c>
      <c r="DS246" s="0" t="s">
        <v>809</v>
      </c>
      <c r="DT246" s="0" t="s">
        <v>209</v>
      </c>
      <c r="DU246" s="0" t="s">
        <v>189</v>
      </c>
      <c r="DX246" s="0" t="s">
        <v>209</v>
      </c>
      <c r="EA246" s="0" t="s">
        <v>209</v>
      </c>
      <c r="EB246" s="0" t="s">
        <v>189</v>
      </c>
      <c r="EC246" s="0" t="s">
        <v>571</v>
      </c>
      <c r="ED246" s="0" t="s">
        <v>4654</v>
      </c>
      <c r="EE246" s="0" t="s">
        <v>172</v>
      </c>
      <c r="EF246" s="0" t="n">
        <v>76</v>
      </c>
      <c r="EH246" s="0" t="s">
        <v>164</v>
      </c>
      <c r="EI246" s="0" t="s">
        <v>4655</v>
      </c>
      <c r="EJ246" s="0" t="s">
        <v>221</v>
      </c>
      <c r="EK246" s="0" t="n">
        <v>1</v>
      </c>
      <c r="EL246" s="0" t="n">
        <v>52</v>
      </c>
      <c r="EM246" s="0" t="n">
        <v>25</v>
      </c>
      <c r="EN246" s="0" t="n">
        <v>15</v>
      </c>
      <c r="EO246" s="0" t="n">
        <v>7</v>
      </c>
      <c r="EP246" s="0" t="n">
        <v>5</v>
      </c>
      <c r="EQ246" s="0" t="n">
        <f aca="false">IF($A246="","",IF(AH246="exact",10,IF(AH246="adjacent",5,0)))</f>
        <v>0</v>
      </c>
      <c r="ER246" s="0" t="n">
        <f aca="false">IF($A246="","",IF(R246="Y",15,0))</f>
        <v>0</v>
      </c>
      <c r="ES246" s="0" t="s">
        <v>222</v>
      </c>
      <c r="EV246" s="0" t="s">
        <v>4656</v>
      </c>
      <c r="EW246" s="0" t="s">
        <v>224</v>
      </c>
      <c r="EX246" s="0" t="s">
        <v>4657</v>
      </c>
      <c r="EZ246" s="0" t="s">
        <v>4658</v>
      </c>
      <c r="FS246" s="0" t="str">
        <f aca="false">IF($A246="","",IF(ISNUMBER(MATCH(U246,{"queued","contacted","replied","call_booked","call_done","yes_in_principle","materials_sent"},0)),"Y","N"))</f>
        <v>N</v>
      </c>
      <c r="FT246" s="0" t="str">
        <f aca="false">IF($A246="","",IF(OR(T246="Y",U246="do_not_contact",AS246&amp;""&lt;&gt;""),"Y","N"))</f>
        <v>N</v>
      </c>
      <c r="FU246" s="0" t="str">
        <f aca="false">IF($A246="","",IF(AP246&amp;""&lt;&gt;"",AP246&amp;"",$A246))</f>
        <v>AO-C-055</v>
      </c>
      <c r="FV246" s="0" t="str">
        <f aca="false">IF($A246="","",IF(COUNTIFS($FU$2:$FU$1000,FU246,$FS$2:$FS$1000,"Y")+COUNTIFS($FU$2:$FU$1000,FU246,$FT$2:$FT$1000,"Y")&gt;0,"Y","N"))</f>
        <v>N</v>
      </c>
      <c r="FW246" s="0" t="str">
        <f aca="false">IF($A246="","",IF(AND(U246="new",T246="N",FT246="N",AT246="Y",FV246="N"),"Y","N"))</f>
        <v>N</v>
      </c>
      <c r="FX246" s="0" t="str">
        <f aca="false">IF($A246="","",IF(FW246&lt;&gt;"Y","N",IF(COUNTIFS($FU$2:$FU$1000,FU246,$FW$2:$FW$1000,"Y",$J$2:$J$1000,"&gt;"&amp;J246)+COUNTIFS($FU$2:$FU$1000,FU246,$FW$2:$FW$1000,"Y",$J$2:$J$1000,J246,$GD$2:$GD$1000,"&lt;"&amp;GD246)=0,"Y","N")))</f>
        <v>N</v>
      </c>
      <c r="FY246" s="0" t="str">
        <f aca="false">IF($A246="","",IF(AND(FW246="Y",FX246="Y",Y246&amp;""&lt;&gt;""),IF(Y246&lt;=10,"Y","N"),"N"))</f>
        <v>N</v>
      </c>
      <c r="FZ246" s="0" t="str">
        <f aca="false">IF(FY246="Y",Y246,"")</f>
        <v/>
      </c>
      <c r="GA246" s="0" t="str">
        <f aca="false">IF($A246="","",IF(AND(I246="walk-in",CN246="pass",U246="new",FT246="N",FV246="N",AQ246&lt;&gt;"Y"),"Y","N"))</f>
        <v>N</v>
      </c>
      <c r="GB246" s="0" t="str">
        <f aca="false">IF(GA246&lt;&gt;"Y","",IF(COUNTIFS($GA$2:$GA$1000,"Y",$J$2:$J$1000,"&gt;"&amp;J246)+COUNTIFS($GA$2:$GA$1000,"Y",$J$2:$J$1000,J246,$GD$2:$GD$1000,"&lt;"&amp;GD246)+1&lt;=25,COUNTIFS($GA$2:$GA$1000,"Y",$J$2:$J$1000,"&gt;"&amp;J246)+COUNTIFS($GA$2:$GA$1000,"Y",$J$2:$J$1000,J246,$GD$2:$GD$1000,"&lt;"&amp;GD246)+1,""))</f>
        <v/>
      </c>
      <c r="GC246" s="0" t="str">
        <f aca="false">IF(AND(_xlfn.ISFORMULA(C246),_xlfn.ISFORMULA(J246)),"Y","N")</f>
        <v>Y</v>
      </c>
      <c r="GD246" s="0" t="n">
        <f aca="false">ROW()-1</f>
        <v>245</v>
      </c>
    </row>
    <row r="247" customFormat="false" ht="15" hidden="false" customHeight="false" outlineLevel="0" collapsed="false">
      <c r="A247" s="0" t="s">
        <v>4659</v>
      </c>
      <c r="B247" s="0" t="s">
        <v>4660</v>
      </c>
      <c r="C247" s="0" t="str">
        <f aca="false">IF($A247="","",IF(AW247="Y",BM247&amp;"",AY247&amp;""))</f>
        <v/>
      </c>
      <c r="D247" s="0" t="str">
        <f aca="false">IF($A247="","",IF(AW247="Y",BN247&amp;"",AZ247&amp;""))</f>
        <v/>
      </c>
      <c r="E247" s="0" t="str">
        <f aca="false">IF($A247="","",IF(AW247="Y",BO247&amp;"",BA247&amp;""))</f>
        <v/>
      </c>
      <c r="F247" s="0" t="str">
        <f aca="false">IF($A247="","",IF(AW247="Y",BP247&amp;"",BB247&amp;""))</f>
        <v/>
      </c>
      <c r="G247" s="0" t="str">
        <f aca="false">IF($A247="","",IF(AW247="Y",BQ247&amp;"",BC247&amp;""))</f>
        <v/>
      </c>
      <c r="H247" s="0" t="str">
        <f aca="false">IF($A247="","",IF(AW247="Y",BR247&amp;"",BD247&amp;""))</f>
        <v>none</v>
      </c>
      <c r="I247" s="0" t="str">
        <f aca="false">IF($A247="","",IF(R247="Y","warm-intro",IF(H247="verified","email",IF(C247&lt;&gt;"","linkedin",CB247&amp;""))))</f>
        <v>linkedin</v>
      </c>
      <c r="J247" s="0" t="n">
        <f aca="false">IF($A247="","",IF(CN247="pass",ROUND(N(EM247)+N(EN247)+N(EO247)+N(EP247)+N(EQ247)+N(ER247),1),0))</f>
        <v>0</v>
      </c>
      <c r="K247" s="0" t="str">
        <f aca="false">IF($A247="","",IF(CN247&lt;&gt;"pass",CA247&amp;"",CA247&amp;"; "&amp;IF(AW247="Y",BZ247&amp;"",BL247&amp;"")&amp;IF(R247="Y","; known to the founder (+15)","")&amp;"."))</f>
        <v>Gated out: no staffed office shown at the address (B: excluded-not-office).</v>
      </c>
      <c r="L247" s="0" t="s">
        <v>186</v>
      </c>
      <c r="R247" s="5" t="s">
        <v>189</v>
      </c>
      <c r="S247" s="0" t="s">
        <v>209</v>
      </c>
      <c r="T247" s="0" t="s">
        <v>189</v>
      </c>
      <c r="U247" s="5" t="s">
        <v>3896</v>
      </c>
      <c r="V247" s="0" t="s">
        <v>4661</v>
      </c>
      <c r="W247" s="0" t="s">
        <v>263</v>
      </c>
      <c r="X247" s="0" t="s">
        <v>3897</v>
      </c>
      <c r="Y247" s="0" t="str">
        <f aca="false">IF(FX247&lt;&gt;"Y","",COUNTIFS($FX$2:$FX$1000,"Y",$J$2:$J$1000,"&gt;"&amp;J247)+COUNTIFS($FX$2:$FX$1000,"Y",$J$2:$J$1000,J247,$GD$2:$GD$1000,"&lt;"&amp;GD247)+1)</f>
        <v/>
      </c>
      <c r="AA247" s="0" t="s">
        <v>189</v>
      </c>
      <c r="AB247" s="0" t="str">
        <f aca="false">IF($A247="","",IF(AW247="Y",BY247&amp;"",BK247&amp;""))</f>
        <v/>
      </c>
      <c r="AC247" s="0" t="str">
        <f aca="false">IF($A247="","",IF(AW247="Y",BS247&amp;"",BE247&amp;""))</f>
        <v/>
      </c>
      <c r="AD247" s="0" t="str">
        <f aca="false">IF($A247="","",IF(AW247="Y",BT247&amp;"",BF247&amp;""))</f>
        <v>none</v>
      </c>
      <c r="AE247" s="0" t="str">
        <f aca="false">IF($A247="","",IF(AW247="Y",BU247&amp;"",BG247&amp;""))</f>
        <v/>
      </c>
      <c r="AF247" s="0" t="str">
        <f aca="false">IF($A247="","",IF(AW247="Y",BV247&amp;"",BH247&amp;""))</f>
        <v/>
      </c>
      <c r="AG247" s="0" t="str">
        <f aca="false">IF($A247="","",IF(AW247="Y",BW247&amp;"",BI247&amp;""))</f>
        <v/>
      </c>
      <c r="AH247" s="0" t="str">
        <f aca="false">IF($A247="","",IF(AW247="Y",BX247&amp;"",BJ247&amp;""))</f>
        <v>none</v>
      </c>
      <c r="AI247" s="0" t="s">
        <v>4662</v>
      </c>
      <c r="AJ247" s="0" t="s">
        <v>4663</v>
      </c>
      <c r="AK247" s="0" t="s">
        <v>3898</v>
      </c>
      <c r="AL247" s="0" t="n">
        <v>68</v>
      </c>
      <c r="AM247" s="0" t="n">
        <v>136</v>
      </c>
      <c r="AN247" s="0" t="s">
        <v>187</v>
      </c>
      <c r="AO247" s="0" t="s">
        <v>1406</v>
      </c>
      <c r="AP247" s="0" t="s">
        <v>4659</v>
      </c>
      <c r="AQ247" s="5" t="s">
        <v>189</v>
      </c>
      <c r="AT247" s="0" t="str">
        <f aca="false">IF($A247="","",IF(AND(CN247="pass",AQ247&lt;&gt;"Y",C247&lt;&gt;"",OR(AX247&lt;&gt;"Y",AV247="Y")),"Y","N"))</f>
        <v>N</v>
      </c>
      <c r="AU247" s="0" t="str">
        <f aca="false">IF($A247="","",_xlfn.TEXTJOIN("; ",TRUE(),IF(CN247&lt;&gt;"pass","gated out",""),IF(AQ247="Y","on hold: "&amp;AR247,""),IF(C247="","no contact named on an opened page",""),IF(AND(AX247="Y",AV247&lt;&gt;"Y"),"Tuesday estimate band "&amp;L247&amp;": founder's call","")))</f>
        <v>gated out; no contact named on an opened page</v>
      </c>
      <c r="AX247" s="0" t="s">
        <v>189</v>
      </c>
      <c r="BC247" s="0" t="str">
        <f aca="false">IF($A247="","",IFERROR(INDEX(Enrichment!$A$2:$GZ$2000,MATCH($A247,INDEX(Enrichment!$A$2:$GZ$2000,0,MATCH("row_id",Enrichment!$A$1:$GZ$1,0)),0),MATCH("work_email",Enrichment!$A$1:$GZ$1,0))&amp;"",""))</f>
        <v/>
      </c>
      <c r="BD247" s="0" t="str">
        <f aca="false">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none</v>
      </c>
      <c r="BF247" s="0" t="s">
        <v>380</v>
      </c>
      <c r="BJ247" s="0" t="s">
        <v>380</v>
      </c>
      <c r="BL247" s="0" t="s">
        <v>896</v>
      </c>
      <c r="BQ247" s="0" t="str">
        <f aca="false">IF($A247="","",IFERROR(INDEX(Enrichment!$A$2:$GZ$2000,MATCH($A247,INDEX(Enrichment!$A$2:$GZ$2000,0,MATCH("row_id",Enrichment!$A$1:$GZ$1,0)),0),MATCH("backup_work_email",Enrichment!$A$1:$GZ$1,0))&amp;"",""))</f>
        <v/>
      </c>
      <c r="BR247" s="0" t="str">
        <f aca="false">IF($A247="","",IF(BQ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none</v>
      </c>
      <c r="BT247" s="0" t="s">
        <v>380</v>
      </c>
      <c r="BX247" s="0" t="s">
        <v>380</v>
      </c>
      <c r="BZ247" s="0" t="s">
        <v>388</v>
      </c>
      <c r="CA247" s="0" t="s">
        <v>4664</v>
      </c>
      <c r="CB247" s="0" t="s">
        <v>196</v>
      </c>
      <c r="CM247" s="0" t="s">
        <v>189</v>
      </c>
      <c r="CN247" s="0" t="s">
        <v>4627</v>
      </c>
      <c r="CO247" s="0" t="s">
        <v>4665</v>
      </c>
      <c r="CP247" s="0" t="s">
        <v>1</v>
      </c>
      <c r="CQ247" s="0" t="s">
        <v>4666</v>
      </c>
      <c r="CR247" s="0" t="s">
        <v>4667</v>
      </c>
      <c r="CS247" s="0" t="s">
        <v>4668</v>
      </c>
      <c r="CT247" s="0" t="s">
        <v>184</v>
      </c>
      <c r="CV247" s="0" t="s">
        <v>203</v>
      </c>
      <c r="CW247" s="0" t="s">
        <v>204</v>
      </c>
      <c r="CX247" s="0" t="s">
        <v>205</v>
      </c>
      <c r="CY247" s="0" t="s">
        <v>4661</v>
      </c>
      <c r="DA247" s="0" t="s">
        <v>207</v>
      </c>
      <c r="DB247" s="0" t="s">
        <v>259</v>
      </c>
      <c r="DC247" s="0" t="s">
        <v>164</v>
      </c>
      <c r="DD247" s="0" t="s">
        <v>209</v>
      </c>
      <c r="DE247" s="0" t="s">
        <v>4669</v>
      </c>
      <c r="DF247" s="0" t="s">
        <v>1190</v>
      </c>
      <c r="DG247" s="0" t="n">
        <v>40.745352</v>
      </c>
      <c r="DH247" s="0" t="n">
        <v>-73.988555</v>
      </c>
      <c r="DI247" s="0" t="s">
        <v>164</v>
      </c>
      <c r="DJ247" s="0" t="n">
        <v>0</v>
      </c>
      <c r="DL247" s="0" t="s">
        <v>209</v>
      </c>
      <c r="DM247" s="0" t="s">
        <v>4661</v>
      </c>
      <c r="DN247" s="0" t="s">
        <v>263</v>
      </c>
      <c r="DO247" s="0" t="s">
        <v>651</v>
      </c>
      <c r="DS247" s="0" t="s">
        <v>187</v>
      </c>
      <c r="DU247" s="0" t="s">
        <v>189</v>
      </c>
      <c r="DX247" s="0" t="s">
        <v>209</v>
      </c>
      <c r="EA247" s="0" t="s">
        <v>209</v>
      </c>
      <c r="EB247" s="0" t="s">
        <v>189</v>
      </c>
      <c r="EC247" s="0" t="s">
        <v>4670</v>
      </c>
      <c r="ED247" s="0" t="s">
        <v>4661</v>
      </c>
      <c r="EE247" s="0" t="s">
        <v>263</v>
      </c>
      <c r="EF247" s="0" t="n">
        <v>96</v>
      </c>
      <c r="EH247" s="0" t="s">
        <v>189</v>
      </c>
      <c r="EI247" s="0" t="s">
        <v>4671</v>
      </c>
      <c r="EJ247" s="0" t="s">
        <v>221</v>
      </c>
      <c r="EK247" s="0" t="n">
        <v>1</v>
      </c>
      <c r="EL247" s="0" t="n">
        <v>40</v>
      </c>
      <c r="EM247" s="0" t="n">
        <v>25</v>
      </c>
      <c r="EN247" s="0" t="n">
        <v>15</v>
      </c>
      <c r="EO247" s="0" t="n">
        <v>-5</v>
      </c>
      <c r="EP247" s="0" t="n">
        <v>5</v>
      </c>
      <c r="EQ247" s="0" t="n">
        <f aca="false">IF($A247="","",IF(AH247="exact",10,IF(AH247="adjacent",5,0)))</f>
        <v>0</v>
      </c>
      <c r="ER247" s="0" t="n">
        <f aca="false">IF($A247="","",IF(R247="Y",15,0))</f>
        <v>0</v>
      </c>
      <c r="ES247" s="0" t="s">
        <v>4672</v>
      </c>
      <c r="EX247" s="0" t="s">
        <v>4673</v>
      </c>
      <c r="EZ247" s="0" t="s">
        <v>4674</v>
      </c>
      <c r="FS247" s="0" t="str">
        <f aca="false">IF($A247="","",IF(ISNUMBER(MATCH(U247,{"queued","contacted","replied","call_booked","call_done","yes_in_principle","materials_sent"},0)),"Y","N"))</f>
        <v>N</v>
      </c>
      <c r="FT247" s="0" t="str">
        <f aca="false">IF($A247="","",IF(OR(T247="Y",U247="do_not_contact",AS247&amp;""&lt;&gt;""),"Y","N"))</f>
        <v>N</v>
      </c>
      <c r="FU247" s="0" t="str">
        <f aca="false">IF($A247="","",IF(AP247&amp;""&lt;&gt;"",AP247&amp;"",$A247))</f>
        <v>AO-C-178</v>
      </c>
      <c r="FV247" s="0" t="str">
        <f aca="false">IF($A247="","",IF(COUNTIFS($FU$2:$FU$1000,FU247,$FS$2:$FS$1000,"Y")+COUNTIFS($FU$2:$FU$1000,FU247,$FT$2:$FT$1000,"Y")&gt;0,"Y","N"))</f>
        <v>N</v>
      </c>
      <c r="FW247" s="0" t="str">
        <f aca="false">IF($A247="","",IF(AND(U247="new",T247="N",FT247="N",AT247="Y",FV247="N"),"Y","N"))</f>
        <v>N</v>
      </c>
      <c r="FX247" s="0" t="str">
        <f aca="false">IF($A247="","",IF(FW247&lt;&gt;"Y","N",IF(COUNTIFS($FU$2:$FU$1000,FU247,$FW$2:$FW$1000,"Y",$J$2:$J$1000,"&gt;"&amp;J247)+COUNTIFS($FU$2:$FU$1000,FU247,$FW$2:$FW$1000,"Y",$J$2:$J$1000,J247,$GD$2:$GD$1000,"&lt;"&amp;GD247)=0,"Y","N")))</f>
        <v>N</v>
      </c>
      <c r="FY247" s="0" t="str">
        <f aca="false">IF($A247="","",IF(AND(FW247="Y",FX247="Y",Y247&amp;""&lt;&gt;""),IF(Y247&lt;=10,"Y","N"),"N"))</f>
        <v>N</v>
      </c>
      <c r="FZ247" s="0" t="str">
        <f aca="false">IF(FY247="Y",Y247,"")</f>
        <v/>
      </c>
      <c r="GA247" s="0" t="str">
        <f aca="false">IF($A247="","",IF(AND(I247="walk-in",CN247="pass",U247="new",FT247="N",FV247="N",AQ247&lt;&gt;"Y"),"Y","N"))</f>
        <v>N</v>
      </c>
      <c r="GB247" s="0" t="str">
        <f aca="false">IF(GA247&lt;&gt;"Y","",IF(COUNTIFS($GA$2:$GA$1000,"Y",$J$2:$J$1000,"&gt;"&amp;J247)+COUNTIFS($GA$2:$GA$1000,"Y",$J$2:$J$1000,J247,$GD$2:$GD$1000,"&lt;"&amp;GD247)+1&lt;=25,COUNTIFS($GA$2:$GA$1000,"Y",$J$2:$J$1000,"&gt;"&amp;J247)+COUNTIFS($GA$2:$GA$1000,"Y",$J$2:$J$1000,J247,$GD$2:$GD$1000,"&lt;"&amp;GD247)+1,""))</f>
        <v/>
      </c>
      <c r="GC247" s="0" t="str">
        <f aca="false">IF(AND(_xlfn.ISFORMULA(C247),_xlfn.ISFORMULA(J247)),"Y","N")</f>
        <v>Y</v>
      </c>
      <c r="GD247" s="0" t="n">
        <f aca="false">ROW()-1</f>
        <v>246</v>
      </c>
    </row>
    <row r="248" customFormat="false" ht="15" hidden="false" customHeight="false" outlineLevel="0" collapsed="false">
      <c r="A248" s="0" t="s">
        <v>4675</v>
      </c>
      <c r="B248" s="0" t="s">
        <v>4676</v>
      </c>
      <c r="C248" s="0" t="str">
        <f aca="false">IF($A248="","",IF(AW248="Y",BM248&amp;"",AY248&amp;""))</f>
        <v/>
      </c>
      <c r="D248" s="0" t="str">
        <f aca="false">IF($A248="","",IF(AW248="Y",BN248&amp;"",AZ248&amp;""))</f>
        <v/>
      </c>
      <c r="E248" s="0" t="str">
        <f aca="false">IF($A248="","",IF(AW248="Y",BO248&amp;"",BA248&amp;""))</f>
        <v/>
      </c>
      <c r="F248" s="0" t="str">
        <f aca="false">IF($A248="","",IF(AW248="Y",BP248&amp;"",BB248&amp;""))</f>
        <v/>
      </c>
      <c r="G248" s="0" t="str">
        <f aca="false">IF($A248="","",IF(AW248="Y",BQ248&amp;"",BC248&amp;""))</f>
        <v/>
      </c>
      <c r="H248" s="0" t="str">
        <f aca="false">IF($A248="","",IF(AW248="Y",BR248&amp;"",BD248&amp;""))</f>
        <v>none</v>
      </c>
      <c r="I248" s="0" t="str">
        <f aca="false">IF($A248="","",IF(R248="Y","warm-intro",IF(H248="verified","email",IF(C248&lt;&gt;"","linkedin",CB248&amp;""))))</f>
        <v>linkedin</v>
      </c>
      <c r="J248" s="0" t="n">
        <f aca="false">IF($A248="","",IF(CN248="pass",ROUND(N(EM248)+N(EN248)+N(EO248)+N(EP248)+N(EQ248)+N(ER248),1),0))</f>
        <v>0</v>
      </c>
      <c r="K248" s="0" t="str">
        <f aca="false">IF($A248="","",IF(CN248&lt;&gt;"pass",CA248&amp;"",CA248&amp;"; "&amp;IF(AW248="Y",BZ248&amp;"",BL248&amp;"")&amp;IF(R248="Y","; known to the founder (+15)","")&amp;"."))</f>
        <v>Gated out: outside the cluster (0.1 blocks outside the line).</v>
      </c>
      <c r="L248" s="0" t="s">
        <v>186</v>
      </c>
      <c r="R248" s="5" t="s">
        <v>189</v>
      </c>
      <c r="S248" s="0" t="s">
        <v>209</v>
      </c>
      <c r="T248" s="0" t="s">
        <v>189</v>
      </c>
      <c r="U248" s="5" t="s">
        <v>3896</v>
      </c>
      <c r="V248" s="0" t="s">
        <v>4677</v>
      </c>
      <c r="W248" s="0" t="s">
        <v>263</v>
      </c>
      <c r="X248" s="0" t="s">
        <v>3897</v>
      </c>
      <c r="Y248" s="0" t="str">
        <f aca="false">IF(FX248&lt;&gt;"Y","",COUNTIFS($FX$2:$FX$1000,"Y",$J$2:$J$1000,"&gt;"&amp;J248)+COUNTIFS($FX$2:$FX$1000,"Y",$J$2:$J$1000,J248,$GD$2:$GD$1000,"&lt;"&amp;GD248)+1)</f>
        <v/>
      </c>
      <c r="AA248" s="0" t="s">
        <v>189</v>
      </c>
      <c r="AB248" s="0" t="str">
        <f aca="false">IF($A248="","",IF(AW248="Y",BY248&amp;"",BK248&amp;""))</f>
        <v/>
      </c>
      <c r="AC248" s="0" t="str">
        <f aca="false">IF($A248="","",IF(AW248="Y",BS248&amp;"",BE248&amp;""))</f>
        <v/>
      </c>
      <c r="AD248" s="0" t="str">
        <f aca="false">IF($A248="","",IF(AW248="Y",BT248&amp;"",BF248&amp;""))</f>
        <v>none</v>
      </c>
      <c r="AE248" s="0" t="str">
        <f aca="false">IF($A248="","",IF(AW248="Y",BU248&amp;"",BG248&amp;""))</f>
        <v/>
      </c>
      <c r="AF248" s="0" t="str">
        <f aca="false">IF($A248="","",IF(AW248="Y",BV248&amp;"",BH248&amp;""))</f>
        <v/>
      </c>
      <c r="AG248" s="0" t="str">
        <f aca="false">IF($A248="","",IF(AW248="Y",BW248&amp;"",BI248&amp;""))</f>
        <v/>
      </c>
      <c r="AH248" s="0" t="str">
        <f aca="false">IF($A248="","",IF(AW248="Y",BX248&amp;"",BJ248&amp;""))</f>
        <v>none</v>
      </c>
      <c r="AI248" s="0" t="s">
        <v>4678</v>
      </c>
      <c r="AJ248" s="0" t="s">
        <v>209</v>
      </c>
      <c r="AK248" s="0" t="s">
        <v>3898</v>
      </c>
      <c r="AL248" s="0" t="n">
        <v>67</v>
      </c>
      <c r="AM248" s="0" t="n">
        <v>133</v>
      </c>
      <c r="AN248" s="0" t="s">
        <v>187</v>
      </c>
      <c r="AO248" s="0" t="s">
        <v>429</v>
      </c>
      <c r="AP248" s="0" t="s">
        <v>4675</v>
      </c>
      <c r="AQ248" s="5" t="s">
        <v>189</v>
      </c>
      <c r="AT248" s="0" t="str">
        <f aca="false">IF($A248="","",IF(AND(CN248="pass",AQ248&lt;&gt;"Y",C248&lt;&gt;"",OR(AX248&lt;&gt;"Y",AV248="Y")),"Y","N"))</f>
        <v>N</v>
      </c>
      <c r="AU248" s="0" t="str">
        <f aca="false">IF($A248="","",_xlfn.TEXTJOIN("; ",TRUE(),IF(CN248&lt;&gt;"pass","gated out",""),IF(AQ248="Y","on hold: "&amp;AR248,""),IF(C248="","no contact named on an opened page",""),IF(AND(AX248="Y",AV248&lt;&gt;"Y"),"Tuesday estimate band "&amp;L248&amp;": founder's call","")))</f>
        <v>gated out; no contact named on an opened page</v>
      </c>
      <c r="AX248" s="0" t="s">
        <v>189</v>
      </c>
      <c r="BC248" s="0" t="str">
        <f aca="false">IF($A248="","",IFERROR(INDEX(Enrichment!$A$2:$GZ$2000,MATCH($A248,INDEX(Enrichment!$A$2:$GZ$2000,0,MATCH("row_id",Enrichment!$A$1:$GZ$1,0)),0),MATCH("work_email",Enrichment!$A$1:$GZ$1,0))&amp;"",""))</f>
        <v/>
      </c>
      <c r="BD248" s="0" t="str">
        <f aca="false">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none</v>
      </c>
      <c r="BF248" s="0" t="s">
        <v>380</v>
      </c>
      <c r="BJ248" s="0" t="s">
        <v>380</v>
      </c>
      <c r="BL248" s="0" t="s">
        <v>896</v>
      </c>
      <c r="BQ248" s="0" t="str">
        <f aca="false">IF($A248="","",IFERROR(INDEX(Enrichment!$A$2:$GZ$2000,MATCH($A248,INDEX(Enrichment!$A$2:$GZ$2000,0,MATCH("row_id",Enrichment!$A$1:$GZ$1,0)),0),MATCH("backup_work_email",Enrichment!$A$1:$GZ$1,0))&amp;"",""))</f>
        <v/>
      </c>
      <c r="BR248" s="0" t="str">
        <f aca="false">IF($A248="","",IF(BQ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none</v>
      </c>
      <c r="BT248" s="0" t="s">
        <v>380</v>
      </c>
      <c r="BX248" s="0" t="s">
        <v>380</v>
      </c>
      <c r="BZ248" s="0" t="s">
        <v>388</v>
      </c>
      <c r="CA248" s="0" t="s">
        <v>4679</v>
      </c>
      <c r="CB248" s="0" t="s">
        <v>196</v>
      </c>
      <c r="CM248" s="0" t="s">
        <v>189</v>
      </c>
      <c r="CN248" s="0" t="s">
        <v>4627</v>
      </c>
      <c r="CO248" s="0" t="s">
        <v>4680</v>
      </c>
      <c r="CP248" s="0" t="s">
        <v>1</v>
      </c>
      <c r="CQ248" s="0" t="s">
        <v>4681</v>
      </c>
      <c r="CR248" s="0" t="s">
        <v>4682</v>
      </c>
      <c r="CS248" s="0" t="s">
        <v>4683</v>
      </c>
      <c r="CT248" s="0" t="s">
        <v>4684</v>
      </c>
      <c r="CV248" s="0" t="s">
        <v>203</v>
      </c>
      <c r="CW248" s="0" t="s">
        <v>204</v>
      </c>
      <c r="CX248" s="0" t="s">
        <v>205</v>
      </c>
      <c r="CY248" s="0" t="s">
        <v>4677</v>
      </c>
      <c r="DA248" s="0" t="s">
        <v>207</v>
      </c>
      <c r="DB248" s="0" t="s">
        <v>259</v>
      </c>
      <c r="DC248" s="0" t="s">
        <v>164</v>
      </c>
      <c r="DD248" s="0" t="s">
        <v>209</v>
      </c>
      <c r="DE248" s="0" t="s">
        <v>4685</v>
      </c>
      <c r="DF248" s="0" t="s">
        <v>1190</v>
      </c>
      <c r="DG248" s="0" t="n">
        <v>40.745488</v>
      </c>
      <c r="DH248" s="0" t="n">
        <v>-73.991668</v>
      </c>
      <c r="DI248" s="0" t="s">
        <v>189</v>
      </c>
      <c r="DJ248" s="0" t="n">
        <v>0.1</v>
      </c>
      <c r="DL248" s="0" t="s">
        <v>209</v>
      </c>
      <c r="DM248" s="0" t="s">
        <v>4677</v>
      </c>
      <c r="DN248" s="0" t="s">
        <v>263</v>
      </c>
      <c r="DO248" s="0" t="s">
        <v>651</v>
      </c>
      <c r="DS248" s="0" t="s">
        <v>187</v>
      </c>
      <c r="DU248" s="0" t="s">
        <v>189</v>
      </c>
      <c r="DX248" s="0" t="s">
        <v>209</v>
      </c>
      <c r="EA248" s="0" t="s">
        <v>209</v>
      </c>
      <c r="EB248" s="0" t="s">
        <v>189</v>
      </c>
      <c r="EC248" s="0" t="s">
        <v>4686</v>
      </c>
      <c r="ED248" s="0" t="s">
        <v>4677</v>
      </c>
      <c r="EE248" s="0" t="s">
        <v>263</v>
      </c>
      <c r="EF248" s="0" t="n">
        <v>94</v>
      </c>
      <c r="EH248" s="0" t="s">
        <v>189</v>
      </c>
      <c r="EI248" s="0" t="s">
        <v>4687</v>
      </c>
      <c r="EJ248" s="0" t="s">
        <v>221</v>
      </c>
      <c r="EK248" s="0" t="n">
        <v>1</v>
      </c>
      <c r="EL248" s="0" t="n">
        <v>55</v>
      </c>
      <c r="EM248" s="0" t="n">
        <v>25</v>
      </c>
      <c r="EN248" s="0" t="n">
        <v>15</v>
      </c>
      <c r="EO248" s="0" t="n">
        <v>10</v>
      </c>
      <c r="EP248" s="0" t="n">
        <v>5</v>
      </c>
      <c r="EQ248" s="0" t="n">
        <f aca="false">IF($A248="","",IF(AH248="exact",10,IF(AH248="adjacent",5,0)))</f>
        <v>0</v>
      </c>
      <c r="ER248" s="0" t="n">
        <f aca="false">IF($A248="","",IF(R248="Y",15,0))</f>
        <v>0</v>
      </c>
      <c r="ES248" s="0" t="s">
        <v>4636</v>
      </c>
      <c r="ET248" s="0" t="s">
        <v>4637</v>
      </c>
      <c r="EU248" s="0" t="s">
        <v>189</v>
      </c>
      <c r="EX248" s="0" t="s">
        <v>4688</v>
      </c>
      <c r="EZ248" s="0" t="s">
        <v>4689</v>
      </c>
      <c r="FS248" s="0" t="str">
        <f aca="false">IF($A248="","",IF(ISNUMBER(MATCH(U248,{"queued","contacted","replied","call_booked","call_done","yes_in_principle","materials_sent"},0)),"Y","N"))</f>
        <v>N</v>
      </c>
      <c r="FT248" s="0" t="str">
        <f aca="false">IF($A248="","",IF(OR(T248="Y",U248="do_not_contact",AS248&amp;""&lt;&gt;""),"Y","N"))</f>
        <v>N</v>
      </c>
      <c r="FU248" s="0" t="str">
        <f aca="false">IF($A248="","",IF(AP248&amp;""&lt;&gt;"",AP248&amp;"",$A248))</f>
        <v>AO-C-272</v>
      </c>
      <c r="FV248" s="0" t="str">
        <f aca="false">IF($A248="","",IF(COUNTIFS($FU$2:$FU$1000,FU248,$FS$2:$FS$1000,"Y")+COUNTIFS($FU$2:$FU$1000,FU248,$FT$2:$FT$1000,"Y")&gt;0,"Y","N"))</f>
        <v>N</v>
      </c>
      <c r="FW248" s="0" t="str">
        <f aca="false">IF($A248="","",IF(AND(U248="new",T248="N",FT248="N",AT248="Y",FV248="N"),"Y","N"))</f>
        <v>N</v>
      </c>
      <c r="FX248" s="0" t="str">
        <f aca="false">IF($A248="","",IF(FW248&lt;&gt;"Y","N",IF(COUNTIFS($FU$2:$FU$1000,FU248,$FW$2:$FW$1000,"Y",$J$2:$J$1000,"&gt;"&amp;J248)+COUNTIFS($FU$2:$FU$1000,FU248,$FW$2:$FW$1000,"Y",$J$2:$J$1000,J248,$GD$2:$GD$1000,"&lt;"&amp;GD248)=0,"Y","N")))</f>
        <v>N</v>
      </c>
      <c r="FY248" s="0" t="str">
        <f aca="false">IF($A248="","",IF(AND(FW248="Y",FX248="Y",Y248&amp;""&lt;&gt;""),IF(Y248&lt;=10,"Y","N"),"N"))</f>
        <v>N</v>
      </c>
      <c r="FZ248" s="0" t="str">
        <f aca="false">IF(FY248="Y",Y248,"")</f>
        <v/>
      </c>
      <c r="GA248" s="0" t="str">
        <f aca="false">IF($A248="","",IF(AND(I248="walk-in",CN248="pass",U248="new",FT248="N",FV248="N",AQ248&lt;&gt;"Y"),"Y","N"))</f>
        <v>N</v>
      </c>
      <c r="GB248" s="0" t="str">
        <f aca="false">IF(GA248&lt;&gt;"Y","",IF(COUNTIFS($GA$2:$GA$1000,"Y",$J$2:$J$1000,"&gt;"&amp;J248)+COUNTIFS($GA$2:$GA$1000,"Y",$J$2:$J$1000,J248,$GD$2:$GD$1000,"&lt;"&amp;GD248)+1&lt;=25,COUNTIFS($GA$2:$GA$1000,"Y",$J$2:$J$1000,"&gt;"&amp;J248)+COUNTIFS($GA$2:$GA$1000,"Y",$J$2:$J$1000,J248,$GD$2:$GD$1000,"&lt;"&amp;GD248)+1,""))</f>
        <v/>
      </c>
      <c r="GC248" s="0" t="str">
        <f aca="false">IF(AND(_xlfn.ISFORMULA(C248),_xlfn.ISFORMULA(J248)),"Y","N")</f>
        <v>Y</v>
      </c>
      <c r="GD248" s="0" t="n">
        <f aca="false">ROW()-1</f>
        <v>247</v>
      </c>
    </row>
    <row r="249" customFormat="false" ht="15" hidden="false" customHeight="false" outlineLevel="0" collapsed="false">
      <c r="A249" s="0" t="s">
        <v>4690</v>
      </c>
      <c r="B249" s="0" t="s">
        <v>4691</v>
      </c>
      <c r="C249" s="0" t="str">
        <f aca="false">IF($A249="","",IF(AW249="Y",BM249&amp;"",AY249&amp;""))</f>
        <v/>
      </c>
      <c r="D249" s="0" t="str">
        <f aca="false">IF($A249="","",IF(AW249="Y",BN249&amp;"",AZ249&amp;""))</f>
        <v/>
      </c>
      <c r="E249" s="0" t="str">
        <f aca="false">IF($A249="","",IF(AW249="Y",BO249&amp;"",BA249&amp;""))</f>
        <v/>
      </c>
      <c r="F249" s="0" t="str">
        <f aca="false">IF($A249="","",IF(AW249="Y",BP249&amp;"",BB249&amp;""))</f>
        <v/>
      </c>
      <c r="G249" s="0" t="str">
        <f aca="false">IF($A249="","",IF(AW249="Y",BQ249&amp;"",BC249&amp;""))</f>
        <v/>
      </c>
      <c r="H249" s="0" t="str">
        <f aca="false">IF($A249="","",IF(AW249="Y",BR249&amp;"",BD249&amp;""))</f>
        <v>none</v>
      </c>
      <c r="I249" s="0" t="str">
        <f aca="false">IF($A249="","",IF(R249="Y","warm-intro",IF(H249="verified","email",IF(C249&lt;&gt;"","linkedin",CB249&amp;""))))</f>
        <v>linkedin</v>
      </c>
      <c r="J249" s="0" t="n">
        <f aca="false">IF($A249="","",IF(CN249="pass",ROUND(N(EM249)+N(EN249)+N(EO249)+N(EP249)+N(EQ249)+N(ER249),1),0))</f>
        <v>0</v>
      </c>
      <c r="K249" s="0" t="str">
        <f aca="false">IF($A249="","",IF(CN249&lt;&gt;"pass",CA249&amp;"",CA249&amp;"; "&amp;IF(AW249="Y",BZ249&amp;"",BL249&amp;"")&amp;IF(R249="Y","; known to the founder (+15)","")&amp;"."))</f>
        <v>Gated out: outside the cluster (0.1 blocks outside the line).</v>
      </c>
      <c r="L249" s="0" t="s">
        <v>1794</v>
      </c>
      <c r="O249" s="0" t="s">
        <v>4692</v>
      </c>
      <c r="P249" s="0" t="s">
        <v>4693</v>
      </c>
      <c r="Q249" s="0" t="s">
        <v>4694</v>
      </c>
      <c r="R249" s="5" t="s">
        <v>189</v>
      </c>
      <c r="S249" s="0" t="s">
        <v>209</v>
      </c>
      <c r="T249" s="0" t="s">
        <v>189</v>
      </c>
      <c r="U249" s="5" t="s">
        <v>3896</v>
      </c>
      <c r="V249" s="0" t="s">
        <v>4693</v>
      </c>
      <c r="W249" s="0" t="s">
        <v>263</v>
      </c>
      <c r="X249" s="0" t="s">
        <v>3897</v>
      </c>
      <c r="Y249" s="0" t="str">
        <f aca="false">IF(FX249&lt;&gt;"Y","",COUNTIFS($FX$2:$FX$1000,"Y",$J$2:$J$1000,"&gt;"&amp;J249)+COUNTIFS($FX$2:$FX$1000,"Y",$J$2:$J$1000,J249,$GD$2:$GD$1000,"&lt;"&amp;GD249)+1)</f>
        <v/>
      </c>
      <c r="AA249" s="0" t="s">
        <v>189</v>
      </c>
      <c r="AB249" s="0" t="str">
        <f aca="false">IF($A249="","",IF(AW249="Y",BY249&amp;"",BK249&amp;""))</f>
        <v/>
      </c>
      <c r="AC249" s="0" t="str">
        <f aca="false">IF($A249="","",IF(AW249="Y",BS249&amp;"",BE249&amp;""))</f>
        <v/>
      </c>
      <c r="AD249" s="0" t="str">
        <f aca="false">IF($A249="","",IF(AW249="Y",BT249&amp;"",BF249&amp;""))</f>
        <v>none</v>
      </c>
      <c r="AE249" s="0" t="str">
        <f aca="false">IF($A249="","",IF(AW249="Y",BU249&amp;"",BG249&amp;""))</f>
        <v/>
      </c>
      <c r="AF249" s="0" t="str">
        <f aca="false">IF($A249="","",IF(AW249="Y",BV249&amp;"",BH249&amp;""))</f>
        <v/>
      </c>
      <c r="AG249" s="0" t="str">
        <f aca="false">IF($A249="","",IF(AW249="Y",BW249&amp;"",BI249&amp;""))</f>
        <v/>
      </c>
      <c r="AH249" s="0" t="str">
        <f aca="false">IF($A249="","",IF(AW249="Y",BX249&amp;"",BJ249&amp;""))</f>
        <v>none</v>
      </c>
      <c r="AI249" s="0" t="s">
        <v>4695</v>
      </c>
      <c r="AJ249" s="0" t="s">
        <v>231</v>
      </c>
      <c r="AK249" s="0" t="s">
        <v>3933</v>
      </c>
      <c r="AL249" s="0" t="n">
        <v>7</v>
      </c>
      <c r="AM249" s="0" t="n">
        <v>148</v>
      </c>
      <c r="AN249" s="0" t="s">
        <v>187</v>
      </c>
      <c r="AO249" s="0" t="s">
        <v>209</v>
      </c>
      <c r="AP249" s="0" t="s">
        <v>4690</v>
      </c>
      <c r="AQ249" s="5" t="s">
        <v>189</v>
      </c>
      <c r="AT249" s="0" t="str">
        <f aca="false">IF($A249="","",IF(AND(CN249="pass",AQ249&lt;&gt;"Y",C249&lt;&gt;"",OR(AX249&lt;&gt;"Y",AV249="Y")),"Y","N"))</f>
        <v>N</v>
      </c>
      <c r="AU249" s="0" t="str">
        <f aca="false">IF($A249="","",_xlfn.TEXTJOIN("; ",TRUE(),IF(CN249&lt;&gt;"pass","gated out",""),IF(AQ249="Y","on hold: "&amp;AR249,""),IF(C249="","no contact named on an opened page",""),IF(AND(AX249="Y",AV249&lt;&gt;"Y"),"Tuesday estimate band "&amp;L249&amp;": founder's call","")))</f>
        <v>gated out; no contact named on an opened page; Tuesday estimate band under-40: founder's call</v>
      </c>
      <c r="AX249" s="0" t="s">
        <v>164</v>
      </c>
      <c r="BC249" s="0" t="str">
        <f aca="false">IF($A249="","",IFERROR(INDEX(Enrichment!$A$2:$GZ$2000,MATCH($A249,INDEX(Enrichment!$A$2:$GZ$2000,0,MATCH("row_id",Enrichment!$A$1:$GZ$1,0)),0),MATCH("work_email",Enrichment!$A$1:$GZ$1,0))&amp;"",""))</f>
        <v/>
      </c>
      <c r="BD249" s="0" t="str">
        <f aca="false">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none</v>
      </c>
      <c r="BF249" s="0" t="s">
        <v>380</v>
      </c>
      <c r="BJ249" s="0" t="s">
        <v>380</v>
      </c>
      <c r="BL249" s="0" t="s">
        <v>896</v>
      </c>
      <c r="BQ249" s="0" t="str">
        <f aca="false">IF($A249="","",IFERROR(INDEX(Enrichment!$A$2:$GZ$2000,MATCH($A249,INDEX(Enrichment!$A$2:$GZ$2000,0,MATCH("row_id",Enrichment!$A$1:$GZ$1,0)),0),MATCH("backup_work_email",Enrichment!$A$1:$GZ$1,0))&amp;"",""))</f>
        <v/>
      </c>
      <c r="BR249" s="0" t="str">
        <f aca="false">IF($A249="","",IF(BQ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none</v>
      </c>
      <c r="BT249" s="0" t="s">
        <v>380</v>
      </c>
      <c r="BX249" s="0" t="s">
        <v>380</v>
      </c>
      <c r="BZ249" s="0" t="s">
        <v>388</v>
      </c>
      <c r="CA249" s="0" t="s">
        <v>4679</v>
      </c>
      <c r="CB249" s="0" t="s">
        <v>196</v>
      </c>
      <c r="CM249" s="0" t="s">
        <v>189</v>
      </c>
      <c r="CN249" s="0" t="s">
        <v>4627</v>
      </c>
      <c r="CO249" s="0" t="s">
        <v>4680</v>
      </c>
      <c r="CP249" s="0" t="s">
        <v>1</v>
      </c>
      <c r="CQ249" s="0" t="s">
        <v>4696</v>
      </c>
      <c r="CR249" s="0" t="s">
        <v>4697</v>
      </c>
      <c r="CS249" s="0" t="s">
        <v>4698</v>
      </c>
      <c r="CT249" s="0" t="s">
        <v>4699</v>
      </c>
      <c r="CV249" s="0" t="s">
        <v>203</v>
      </c>
      <c r="CW249" s="0" t="s">
        <v>204</v>
      </c>
      <c r="CX249" s="0" t="s">
        <v>205</v>
      </c>
      <c r="CY249" s="0" t="s">
        <v>4700</v>
      </c>
      <c r="DA249" s="0" t="s">
        <v>207</v>
      </c>
      <c r="DB249" s="0" t="s">
        <v>209</v>
      </c>
      <c r="DC249" s="0" t="s">
        <v>209</v>
      </c>
      <c r="DD249" s="0" t="s">
        <v>209</v>
      </c>
      <c r="DE249" s="0" t="s">
        <v>4701</v>
      </c>
      <c r="DF249" s="0" t="s">
        <v>1190</v>
      </c>
      <c r="DG249" s="0" t="n">
        <v>40.747365</v>
      </c>
      <c r="DH249" s="0" t="n">
        <v>-73.988522</v>
      </c>
      <c r="DI249" s="0" t="s">
        <v>189</v>
      </c>
      <c r="DJ249" s="0" t="n">
        <v>0.1</v>
      </c>
      <c r="DL249" s="0" t="s">
        <v>209</v>
      </c>
      <c r="DM249" s="0" t="s">
        <v>4693</v>
      </c>
      <c r="DN249" s="0" t="s">
        <v>4694</v>
      </c>
      <c r="DO249" s="0" t="s">
        <v>363</v>
      </c>
      <c r="DP249" s="0" t="s">
        <v>4702</v>
      </c>
      <c r="DQ249" s="0" t="s">
        <v>263</v>
      </c>
      <c r="DS249" s="0" t="s">
        <v>217</v>
      </c>
      <c r="DU249" s="0" t="s">
        <v>189</v>
      </c>
      <c r="DX249" s="0" t="s">
        <v>209</v>
      </c>
      <c r="EA249" s="0" t="s">
        <v>209</v>
      </c>
      <c r="EB249" s="0" t="s">
        <v>189</v>
      </c>
      <c r="EC249" s="0" t="s">
        <v>209</v>
      </c>
      <c r="EF249" s="0" t="n">
        <v>32</v>
      </c>
      <c r="EG249" s="0" t="s">
        <v>1322</v>
      </c>
      <c r="EH249" s="0" t="s">
        <v>189</v>
      </c>
      <c r="EI249" s="0" t="s">
        <v>4703</v>
      </c>
      <c r="EJ249" s="0" t="s">
        <v>221</v>
      </c>
      <c r="EK249" s="0" t="n">
        <v>0.43</v>
      </c>
      <c r="EL249" s="0" t="n">
        <v>46.7</v>
      </c>
      <c r="EM249" s="0" t="n">
        <v>10.7</v>
      </c>
      <c r="EN249" s="0" t="n">
        <v>15</v>
      </c>
      <c r="EO249" s="0" t="n">
        <v>6</v>
      </c>
      <c r="EP249" s="0" t="n">
        <v>15</v>
      </c>
      <c r="EQ249" s="0" t="n">
        <f aca="false">IF($A249="","",IF(AH249="exact",10,IF(AH249="adjacent",5,0)))</f>
        <v>0</v>
      </c>
      <c r="ER249" s="0" t="n">
        <f aca="false">IF($A249="","",IF(R249="Y",15,0))</f>
        <v>0</v>
      </c>
      <c r="ES249" s="0" t="s">
        <v>4636</v>
      </c>
      <c r="ET249" s="0" t="s">
        <v>4637</v>
      </c>
      <c r="EU249" s="0" t="s">
        <v>189</v>
      </c>
      <c r="EV249" s="0" t="s">
        <v>4704</v>
      </c>
      <c r="EW249" s="0" t="s">
        <v>224</v>
      </c>
      <c r="EX249" s="0" t="s">
        <v>4705</v>
      </c>
      <c r="EZ249" s="0" t="s">
        <v>4706</v>
      </c>
      <c r="FS249" s="0" t="str">
        <f aca="false">IF($A249="","",IF(ISNUMBER(MATCH(U249,{"queued","contacted","replied","call_booked","call_done","yes_in_principle","materials_sent"},0)),"Y","N"))</f>
        <v>N</v>
      </c>
      <c r="FT249" s="0" t="str">
        <f aca="false">IF($A249="","",IF(OR(T249="Y",U249="do_not_contact",AS249&amp;""&lt;&gt;""),"Y","N"))</f>
        <v>N</v>
      </c>
      <c r="FU249" s="0" t="str">
        <f aca="false">IF($A249="","",IF(AP249&amp;""&lt;&gt;"",AP249&amp;"",$A249))</f>
        <v>AO-C-274</v>
      </c>
      <c r="FV249" s="0" t="str">
        <f aca="false">IF($A249="","",IF(COUNTIFS($FU$2:$FU$1000,FU249,$FS$2:$FS$1000,"Y")+COUNTIFS($FU$2:$FU$1000,FU249,$FT$2:$FT$1000,"Y")&gt;0,"Y","N"))</f>
        <v>N</v>
      </c>
      <c r="FW249" s="0" t="str">
        <f aca="false">IF($A249="","",IF(AND(U249="new",T249="N",FT249="N",AT249="Y",FV249="N"),"Y","N"))</f>
        <v>N</v>
      </c>
      <c r="FX249" s="0" t="str">
        <f aca="false">IF($A249="","",IF(FW249&lt;&gt;"Y","N",IF(COUNTIFS($FU$2:$FU$1000,FU249,$FW$2:$FW$1000,"Y",$J$2:$J$1000,"&gt;"&amp;J249)+COUNTIFS($FU$2:$FU$1000,FU249,$FW$2:$FW$1000,"Y",$J$2:$J$1000,J249,$GD$2:$GD$1000,"&lt;"&amp;GD249)=0,"Y","N")))</f>
        <v>N</v>
      </c>
      <c r="FY249" s="0" t="str">
        <f aca="false">IF($A249="","",IF(AND(FW249="Y",FX249="Y",Y249&amp;""&lt;&gt;""),IF(Y249&lt;=10,"Y","N"),"N"))</f>
        <v>N</v>
      </c>
      <c r="FZ249" s="0" t="str">
        <f aca="false">IF(FY249="Y",Y249,"")</f>
        <v/>
      </c>
      <c r="GA249" s="0" t="str">
        <f aca="false">IF($A249="","",IF(AND(I249="walk-in",CN249="pass",U249="new",FT249="N",FV249="N",AQ249&lt;&gt;"Y"),"Y","N"))</f>
        <v>N</v>
      </c>
      <c r="GB249" s="0" t="str">
        <f aca="false">IF(GA249&lt;&gt;"Y","",IF(COUNTIFS($GA$2:$GA$1000,"Y",$J$2:$J$1000,"&gt;"&amp;J249)+COUNTIFS($GA$2:$GA$1000,"Y",$J$2:$J$1000,J249,$GD$2:$GD$1000,"&lt;"&amp;GD249)+1&lt;=25,COUNTIFS($GA$2:$GA$1000,"Y",$J$2:$J$1000,"&gt;"&amp;J249)+COUNTIFS($GA$2:$GA$1000,"Y",$J$2:$J$1000,J249,$GD$2:$GD$1000,"&lt;"&amp;GD249)+1,""))</f>
        <v/>
      </c>
      <c r="GC249" s="0" t="str">
        <f aca="false">IF(AND(_xlfn.ISFORMULA(C249),_xlfn.ISFORMULA(J249)),"Y","N")</f>
        <v>Y</v>
      </c>
      <c r="GD249" s="0" t="n">
        <f aca="false">ROW()-1</f>
        <v>248</v>
      </c>
    </row>
    <row r="250" customFormat="false" ht="15" hidden="false" customHeight="false" outlineLevel="0" collapsed="false">
      <c r="A250" s="0" t="s">
        <v>4707</v>
      </c>
      <c r="B250" s="0" t="s">
        <v>4708</v>
      </c>
      <c r="C250" s="0" t="str">
        <f aca="false">IF($A250="","",IF(AW250="Y",BM250&amp;"",AY250&amp;""))</f>
        <v/>
      </c>
      <c r="D250" s="0" t="str">
        <f aca="false">IF($A250="","",IF(AW250="Y",BN250&amp;"",AZ250&amp;""))</f>
        <v/>
      </c>
      <c r="E250" s="0" t="str">
        <f aca="false">IF($A250="","",IF(AW250="Y",BO250&amp;"",BA250&amp;""))</f>
        <v/>
      </c>
      <c r="F250" s="0" t="str">
        <f aca="false">IF($A250="","",IF(AW250="Y",BP250&amp;"",BB250&amp;""))</f>
        <v/>
      </c>
      <c r="G250" s="0" t="str">
        <f aca="false">IF($A250="","",IF(AW250="Y",BQ250&amp;"",BC250&amp;""))</f>
        <v/>
      </c>
      <c r="H250" s="0" t="str">
        <f aca="false">IF($A250="","",IF(AW250="Y",BR250&amp;"",BD250&amp;""))</f>
        <v>none</v>
      </c>
      <c r="I250" s="0" t="str">
        <f aca="false">IF($A250="","",IF(R250="Y","warm-intro",IF(H250="verified","email",IF(C250&lt;&gt;"","linkedin",CB250&amp;""))))</f>
        <v>linkedin</v>
      </c>
      <c r="J250" s="0" t="n">
        <f aca="false">IF($A250="","",IF(CN250="pass",ROUND(N(EM250)+N(EN250)+N(EO250)+N(EP250)+N(EQ250)+N(ER250),1),0))</f>
        <v>0</v>
      </c>
      <c r="K250" s="0" t="str">
        <f aca="false">IF($A250="","",IF(CN250&lt;&gt;"pass",CA250&amp;"",CA250&amp;"; "&amp;IF(AW250="Y",BZ250&amp;"",BL250&amp;"")&amp;IF(R250="Y","; known to the founder (+15)","")&amp;"."))</f>
        <v>Gated out: outside the cluster (0.1 blocks outside the line).</v>
      </c>
      <c r="L250" s="0" t="s">
        <v>1794</v>
      </c>
      <c r="R250" s="5" t="s">
        <v>189</v>
      </c>
      <c r="S250" s="0" t="s">
        <v>209</v>
      </c>
      <c r="T250" s="0" t="s">
        <v>189</v>
      </c>
      <c r="U250" s="5" t="s">
        <v>3896</v>
      </c>
      <c r="V250" s="0" t="s">
        <v>4709</v>
      </c>
      <c r="W250" s="0" t="s">
        <v>263</v>
      </c>
      <c r="X250" s="0" t="s">
        <v>3897</v>
      </c>
      <c r="Y250" s="0" t="str">
        <f aca="false">IF(FX250&lt;&gt;"Y","",COUNTIFS($FX$2:$FX$1000,"Y",$J$2:$J$1000,"&gt;"&amp;J250)+COUNTIFS($FX$2:$FX$1000,"Y",$J$2:$J$1000,J250,$GD$2:$GD$1000,"&lt;"&amp;GD250)+1)</f>
        <v/>
      </c>
      <c r="AA250" s="0" t="s">
        <v>189</v>
      </c>
      <c r="AB250" s="0" t="str">
        <f aca="false">IF($A250="","",IF(AW250="Y",BY250&amp;"",BK250&amp;""))</f>
        <v/>
      </c>
      <c r="AC250" s="0" t="str">
        <f aca="false">IF($A250="","",IF(AW250="Y",BS250&amp;"",BE250&amp;""))</f>
        <v/>
      </c>
      <c r="AD250" s="0" t="str">
        <f aca="false">IF($A250="","",IF(AW250="Y",BT250&amp;"",BF250&amp;""))</f>
        <v>none</v>
      </c>
      <c r="AE250" s="0" t="str">
        <f aca="false">IF($A250="","",IF(AW250="Y",BU250&amp;"",BG250&amp;""))</f>
        <v/>
      </c>
      <c r="AF250" s="0" t="str">
        <f aca="false">IF($A250="","",IF(AW250="Y",BV250&amp;"",BH250&amp;""))</f>
        <v/>
      </c>
      <c r="AG250" s="0" t="str">
        <f aca="false">IF($A250="","",IF(AW250="Y",BW250&amp;"",BI250&amp;""))</f>
        <v/>
      </c>
      <c r="AH250" s="0" t="str">
        <f aca="false">IF($A250="","",IF(AW250="Y",BX250&amp;"",BJ250&amp;""))</f>
        <v>none</v>
      </c>
      <c r="AI250" s="0" t="s">
        <v>4695</v>
      </c>
      <c r="AJ250" s="0" t="s">
        <v>4710</v>
      </c>
      <c r="AK250" s="0" t="s">
        <v>3898</v>
      </c>
      <c r="AL250" s="0" t="n">
        <v>26</v>
      </c>
      <c r="AM250" s="0" t="n">
        <v>52</v>
      </c>
      <c r="AN250" s="0" t="s">
        <v>187</v>
      </c>
      <c r="AO250" s="0" t="s">
        <v>209</v>
      </c>
      <c r="AP250" s="0" t="s">
        <v>4707</v>
      </c>
      <c r="AQ250" s="5" t="s">
        <v>189</v>
      </c>
      <c r="AT250" s="0" t="str">
        <f aca="false">IF($A250="","",IF(AND(CN250="pass",AQ250&lt;&gt;"Y",C250&lt;&gt;"",OR(AX250&lt;&gt;"Y",AV250="Y")),"Y","N"))</f>
        <v>N</v>
      </c>
      <c r="AU250" s="0" t="str">
        <f aca="false">IF($A250="","",_xlfn.TEXTJOIN("; ",TRUE(),IF(CN250&lt;&gt;"pass","gated out",""),IF(AQ250="Y","on hold: "&amp;AR250,""),IF(C250="","no contact named on an opened page",""),IF(AND(AX250="Y",AV250&lt;&gt;"Y"),"Tuesday estimate band "&amp;L250&amp;": founder's call","")))</f>
        <v>gated out; no contact named on an opened page; Tuesday estimate band under-40: founder's call</v>
      </c>
      <c r="AX250" s="0" t="s">
        <v>164</v>
      </c>
      <c r="BC250" s="0" t="str">
        <f aca="false">IF($A250="","",IFERROR(INDEX(Enrichment!$A$2:$GZ$2000,MATCH($A250,INDEX(Enrichment!$A$2:$GZ$2000,0,MATCH("row_id",Enrichment!$A$1:$GZ$1,0)),0),MATCH("work_email",Enrichment!$A$1:$GZ$1,0))&amp;"",""))</f>
        <v/>
      </c>
      <c r="BD250" s="0" t="str">
        <f aca="false">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none</v>
      </c>
      <c r="BF250" s="0" t="s">
        <v>380</v>
      </c>
      <c r="BJ250" s="0" t="s">
        <v>380</v>
      </c>
      <c r="BL250" s="0" t="s">
        <v>896</v>
      </c>
      <c r="BQ250" s="0" t="str">
        <f aca="false">IF($A250="","",IFERROR(INDEX(Enrichment!$A$2:$GZ$2000,MATCH($A250,INDEX(Enrichment!$A$2:$GZ$2000,0,MATCH("row_id",Enrichment!$A$1:$GZ$1,0)),0),MATCH("backup_work_email",Enrichment!$A$1:$GZ$1,0))&amp;"",""))</f>
        <v/>
      </c>
      <c r="BR250" s="0" t="str">
        <f aca="false">IF($A250="","",IF(BQ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none</v>
      </c>
      <c r="BT250" s="0" t="s">
        <v>380</v>
      </c>
      <c r="BX250" s="0" t="s">
        <v>380</v>
      </c>
      <c r="BZ250" s="0" t="s">
        <v>388</v>
      </c>
      <c r="CA250" s="0" t="s">
        <v>4679</v>
      </c>
      <c r="CB250" s="0" t="s">
        <v>196</v>
      </c>
      <c r="CM250" s="0" t="s">
        <v>189</v>
      </c>
      <c r="CN250" s="0" t="s">
        <v>4627</v>
      </c>
      <c r="CO250" s="0" t="s">
        <v>4680</v>
      </c>
      <c r="CP250" s="0" t="s">
        <v>1</v>
      </c>
      <c r="CQ250" s="0" t="s">
        <v>4711</v>
      </c>
      <c r="CR250" s="0" t="s">
        <v>209</v>
      </c>
      <c r="CS250" s="0" t="s">
        <v>4712</v>
      </c>
      <c r="CT250" s="0" t="s">
        <v>1347</v>
      </c>
      <c r="CV250" s="0" t="s">
        <v>355</v>
      </c>
      <c r="CW250" s="0" t="s">
        <v>204</v>
      </c>
      <c r="CX250" s="0" t="s">
        <v>205</v>
      </c>
      <c r="CY250" s="0" t="s">
        <v>4713</v>
      </c>
      <c r="DA250" s="0" t="s">
        <v>207</v>
      </c>
      <c r="DB250" s="0" t="s">
        <v>3503</v>
      </c>
      <c r="DC250" s="0" t="s">
        <v>189</v>
      </c>
      <c r="DD250" s="0" t="s">
        <v>209</v>
      </c>
      <c r="DE250" s="0" t="s">
        <v>209</v>
      </c>
      <c r="DF250" s="0" t="s">
        <v>1190</v>
      </c>
      <c r="DG250" s="0" t="n">
        <v>40.747365</v>
      </c>
      <c r="DH250" s="0" t="n">
        <v>-73.988522</v>
      </c>
      <c r="DI250" s="0" t="s">
        <v>189</v>
      </c>
      <c r="DJ250" s="0" t="n">
        <v>0.1</v>
      </c>
      <c r="DL250" s="0" t="s">
        <v>209</v>
      </c>
      <c r="DM250" s="0" t="s">
        <v>4709</v>
      </c>
      <c r="DN250" s="0" t="s">
        <v>4714</v>
      </c>
      <c r="DO250" s="0" t="s">
        <v>363</v>
      </c>
      <c r="DS250" s="0" t="s">
        <v>187</v>
      </c>
      <c r="DU250" s="0" t="s">
        <v>189</v>
      </c>
      <c r="DX250" s="0" t="s">
        <v>209</v>
      </c>
      <c r="EA250" s="0" t="s">
        <v>209</v>
      </c>
      <c r="EB250" s="0" t="s">
        <v>189</v>
      </c>
      <c r="EC250" s="0" t="s">
        <v>209</v>
      </c>
      <c r="EF250" s="0" t="n">
        <v>37</v>
      </c>
      <c r="EG250" s="0" t="s">
        <v>1322</v>
      </c>
      <c r="EH250" s="0" t="s">
        <v>164</v>
      </c>
      <c r="EI250" s="0" t="s">
        <v>4715</v>
      </c>
      <c r="EJ250" s="0" t="s">
        <v>221</v>
      </c>
      <c r="EK250" s="0" t="n">
        <v>0.38</v>
      </c>
      <c r="EL250" s="0" t="n">
        <v>35.5</v>
      </c>
      <c r="EM250" s="0" t="n">
        <v>9.5</v>
      </c>
      <c r="EN250" s="0" t="n">
        <v>15</v>
      </c>
      <c r="EO250" s="0" t="n">
        <v>6</v>
      </c>
      <c r="EP250" s="0" t="n">
        <v>5</v>
      </c>
      <c r="EQ250" s="0" t="n">
        <f aca="false">IF($A250="","",IF(AH250="exact",10,IF(AH250="adjacent",5,0)))</f>
        <v>0</v>
      </c>
      <c r="ER250" s="0" t="n">
        <f aca="false">IF($A250="","",IF(R250="Y",15,0))</f>
        <v>0</v>
      </c>
      <c r="ES250" s="0" t="s">
        <v>4636</v>
      </c>
      <c r="ET250" s="0" t="s">
        <v>4637</v>
      </c>
      <c r="EU250" s="0" t="s">
        <v>189</v>
      </c>
      <c r="EV250" s="0" t="s">
        <v>3541</v>
      </c>
      <c r="EW250" s="0" t="s">
        <v>224</v>
      </c>
      <c r="EX250" s="0" t="s">
        <v>4716</v>
      </c>
      <c r="FS250" s="0" t="str">
        <f aca="false">IF($A250="","",IF(ISNUMBER(MATCH(U250,{"queued","contacted","replied","call_booked","call_done","yes_in_principle","materials_sent"},0)),"Y","N"))</f>
        <v>N</v>
      </c>
      <c r="FT250" s="0" t="str">
        <f aca="false">IF($A250="","",IF(OR(T250="Y",U250="do_not_contact",AS250&amp;""&lt;&gt;""),"Y","N"))</f>
        <v>N</v>
      </c>
      <c r="FU250" s="0" t="str">
        <f aca="false">IF($A250="","",IF(AP250&amp;""&lt;&gt;"",AP250&amp;"",$A250))</f>
        <v>AO-C-273</v>
      </c>
      <c r="FV250" s="0" t="str">
        <f aca="false">IF($A250="","",IF(COUNTIFS($FU$2:$FU$1000,FU250,$FS$2:$FS$1000,"Y")+COUNTIFS($FU$2:$FU$1000,FU250,$FT$2:$FT$1000,"Y")&gt;0,"Y","N"))</f>
        <v>N</v>
      </c>
      <c r="FW250" s="0" t="str">
        <f aca="false">IF($A250="","",IF(AND(U250="new",T250="N",FT250="N",AT250="Y",FV250="N"),"Y","N"))</f>
        <v>N</v>
      </c>
      <c r="FX250" s="0" t="str">
        <f aca="false">IF($A250="","",IF(FW250&lt;&gt;"Y","N",IF(COUNTIFS($FU$2:$FU$1000,FU250,$FW$2:$FW$1000,"Y",$J$2:$J$1000,"&gt;"&amp;J250)+COUNTIFS($FU$2:$FU$1000,FU250,$FW$2:$FW$1000,"Y",$J$2:$J$1000,J250,$GD$2:$GD$1000,"&lt;"&amp;GD250)=0,"Y","N")))</f>
        <v>N</v>
      </c>
      <c r="FY250" s="0" t="str">
        <f aca="false">IF($A250="","",IF(AND(FW250="Y",FX250="Y",Y250&amp;""&lt;&gt;""),IF(Y250&lt;=10,"Y","N"),"N"))</f>
        <v>N</v>
      </c>
      <c r="FZ250" s="0" t="str">
        <f aca="false">IF(FY250="Y",Y250,"")</f>
        <v/>
      </c>
      <c r="GA250" s="0" t="str">
        <f aca="false">IF($A250="","",IF(AND(I250="walk-in",CN250="pass",U250="new",FT250="N",FV250="N",AQ250&lt;&gt;"Y"),"Y","N"))</f>
        <v>N</v>
      </c>
      <c r="GB250" s="0" t="str">
        <f aca="false">IF(GA250&lt;&gt;"Y","",IF(COUNTIFS($GA$2:$GA$1000,"Y",$J$2:$J$1000,"&gt;"&amp;J250)+COUNTIFS($GA$2:$GA$1000,"Y",$J$2:$J$1000,J250,$GD$2:$GD$1000,"&lt;"&amp;GD250)+1&lt;=25,COUNTIFS($GA$2:$GA$1000,"Y",$J$2:$J$1000,"&gt;"&amp;J250)+COUNTIFS($GA$2:$GA$1000,"Y",$J$2:$J$1000,J250,$GD$2:$GD$1000,"&lt;"&amp;GD250)+1,""))</f>
        <v/>
      </c>
      <c r="GC250" s="0" t="str">
        <f aca="false">IF(AND(_xlfn.ISFORMULA(C250),_xlfn.ISFORMULA(J250)),"Y","N")</f>
        <v>Y</v>
      </c>
      <c r="GD250" s="0" t="n">
        <f aca="false">ROW()-1</f>
        <v>249</v>
      </c>
    </row>
    <row r="251" customFormat="false" ht="15" hidden="false" customHeight="false" outlineLevel="0" collapsed="false">
      <c r="A251" s="0" t="s">
        <v>4717</v>
      </c>
      <c r="B251" s="0" t="s">
        <v>4718</v>
      </c>
      <c r="C251" s="0" t="str">
        <f aca="false">IF($A251="","",IF(AW251="Y",BM251&amp;"",AY251&amp;""))</f>
        <v/>
      </c>
      <c r="D251" s="0" t="str">
        <f aca="false">IF($A251="","",IF(AW251="Y",BN251&amp;"",AZ251&amp;""))</f>
        <v/>
      </c>
      <c r="E251" s="0" t="str">
        <f aca="false">IF($A251="","",IF(AW251="Y",BO251&amp;"",BA251&amp;""))</f>
        <v/>
      </c>
      <c r="F251" s="0" t="str">
        <f aca="false">IF($A251="","",IF(AW251="Y",BP251&amp;"",BB251&amp;""))</f>
        <v/>
      </c>
      <c r="G251" s="0" t="str">
        <f aca="false">IF($A251="","",IF(AW251="Y",BQ251&amp;"",BC251&amp;""))</f>
        <v/>
      </c>
      <c r="H251" s="0" t="str">
        <f aca="false">IF($A251="","",IF(AW251="Y",BR251&amp;"",BD251&amp;""))</f>
        <v>none</v>
      </c>
      <c r="I251" s="0" t="str">
        <f aca="false">IF($A251="","",IF(R251="Y","warm-intro",IF(H251="verified","email",IF(C251&lt;&gt;"","linkedin",CB251&amp;""))))</f>
        <v>linkedin</v>
      </c>
      <c r="J251" s="0" t="n">
        <f aca="false">IF($A251="","",IF(CN251="pass",ROUND(N(EM251)+N(EN251)+N(EO251)+N(EP251)+N(EQ251)+N(ER251),1),0))</f>
        <v>0</v>
      </c>
      <c r="K251" s="0" t="str">
        <f aca="false">IF($A251="","",IF(CN251&lt;&gt;"pass",CA251&amp;"",CA251&amp;"; "&amp;IF(AW251="Y",BZ251&amp;"",BL251&amp;"")&amp;IF(R251="Y","; known to the founder (+15)","")&amp;"."))</f>
        <v>Gated out: inside a coworking space (B-W-013).</v>
      </c>
      <c r="L251" s="0" t="s">
        <v>1794</v>
      </c>
      <c r="R251" s="5" t="s">
        <v>189</v>
      </c>
      <c r="S251" s="0" t="s">
        <v>209</v>
      </c>
      <c r="T251" s="0" t="s">
        <v>189</v>
      </c>
      <c r="U251" s="5" t="s">
        <v>3896</v>
      </c>
      <c r="V251" s="0" t="s">
        <v>4719</v>
      </c>
      <c r="W251" s="0" t="s">
        <v>263</v>
      </c>
      <c r="X251" s="0" t="s">
        <v>3897</v>
      </c>
      <c r="Y251" s="0" t="str">
        <f aca="false">IF(FX251&lt;&gt;"Y","",COUNTIFS($FX$2:$FX$1000,"Y",$J$2:$J$1000,"&gt;"&amp;J251)+COUNTIFS($FX$2:$FX$1000,"Y",$J$2:$J$1000,J251,$GD$2:$GD$1000,"&lt;"&amp;GD251)+1)</f>
        <v/>
      </c>
      <c r="AA251" s="0" t="s">
        <v>189</v>
      </c>
      <c r="AB251" s="0" t="str">
        <f aca="false">IF($A251="","",IF(AW251="Y",BY251&amp;"",BK251&amp;""))</f>
        <v/>
      </c>
      <c r="AC251" s="0" t="str">
        <f aca="false">IF($A251="","",IF(AW251="Y",BS251&amp;"",BE251&amp;""))</f>
        <v/>
      </c>
      <c r="AD251" s="0" t="str">
        <f aca="false">IF($A251="","",IF(AW251="Y",BT251&amp;"",BF251&amp;""))</f>
        <v>none</v>
      </c>
      <c r="AE251" s="0" t="str">
        <f aca="false">IF($A251="","",IF(AW251="Y",BU251&amp;"",BG251&amp;""))</f>
        <v/>
      </c>
      <c r="AF251" s="0" t="str">
        <f aca="false">IF($A251="","",IF(AW251="Y",BV251&amp;"",BH251&amp;""))</f>
        <v/>
      </c>
      <c r="AG251" s="0" t="str">
        <f aca="false">IF($A251="","",IF(AW251="Y",BW251&amp;"",BI251&amp;""))</f>
        <v/>
      </c>
      <c r="AH251" s="0" t="str">
        <f aca="false">IF($A251="","",IF(AW251="Y",BX251&amp;"",BJ251&amp;""))</f>
        <v>none</v>
      </c>
      <c r="AI251" s="0" t="s">
        <v>4720</v>
      </c>
      <c r="AJ251" s="0" t="s">
        <v>209</v>
      </c>
      <c r="AK251" s="0" t="s">
        <v>3933</v>
      </c>
      <c r="AL251" s="0" t="n">
        <v>6</v>
      </c>
      <c r="AM251" s="0" t="n">
        <v>117</v>
      </c>
      <c r="AN251" s="0" t="s">
        <v>187</v>
      </c>
      <c r="AO251" s="0" t="s">
        <v>209</v>
      </c>
      <c r="AP251" s="0" t="s">
        <v>4717</v>
      </c>
      <c r="AQ251" s="5" t="s">
        <v>189</v>
      </c>
      <c r="AT251" s="0" t="str">
        <f aca="false">IF($A251="","",IF(AND(CN251="pass",AQ251&lt;&gt;"Y",C251&lt;&gt;"",OR(AX251&lt;&gt;"Y",AV251="Y")),"Y","N"))</f>
        <v>N</v>
      </c>
      <c r="AU251" s="0" t="str">
        <f aca="false">IF($A251="","",_xlfn.TEXTJOIN("; ",TRUE(),IF(CN251&lt;&gt;"pass","gated out",""),IF(AQ251="Y","on hold: "&amp;AR251,""),IF(C251="","no contact named on an opened page",""),IF(AND(AX251="Y",AV251&lt;&gt;"Y"),"Tuesday estimate band "&amp;L251&amp;": founder's call","")))</f>
        <v>gated out; no contact named on an opened page; Tuesday estimate band under-40: founder's call</v>
      </c>
      <c r="AX251" s="0" t="s">
        <v>164</v>
      </c>
      <c r="BC251" s="0" t="str">
        <f aca="false">IF($A251="","",IFERROR(INDEX(Enrichment!$A$2:$GZ$2000,MATCH($A251,INDEX(Enrichment!$A$2:$GZ$2000,0,MATCH("row_id",Enrichment!$A$1:$GZ$1,0)),0),MATCH("work_email",Enrichment!$A$1:$GZ$1,0))&amp;"",""))</f>
        <v/>
      </c>
      <c r="BD251" s="0" t="str">
        <f aca="false">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none</v>
      </c>
      <c r="BF251" s="0" t="s">
        <v>380</v>
      </c>
      <c r="BJ251" s="0" t="s">
        <v>380</v>
      </c>
      <c r="BL251" s="0" t="s">
        <v>896</v>
      </c>
      <c r="BQ251" s="0" t="str">
        <f aca="false">IF($A251="","",IFERROR(INDEX(Enrichment!$A$2:$GZ$2000,MATCH($A251,INDEX(Enrichment!$A$2:$GZ$2000,0,MATCH("row_id",Enrichment!$A$1:$GZ$1,0)),0),MATCH("backup_work_email",Enrichment!$A$1:$GZ$1,0))&amp;"",""))</f>
        <v/>
      </c>
      <c r="BR251" s="0" t="str">
        <f aca="false">IF($A251="","",IF(BQ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none</v>
      </c>
      <c r="BT251" s="0" t="s">
        <v>380</v>
      </c>
      <c r="BX251" s="0" t="s">
        <v>380</v>
      </c>
      <c r="BZ251" s="0" t="s">
        <v>388</v>
      </c>
      <c r="CA251" s="0" t="s">
        <v>4721</v>
      </c>
      <c r="CB251" s="0" t="s">
        <v>196</v>
      </c>
      <c r="CM251" s="0" t="s">
        <v>189</v>
      </c>
      <c r="CN251" s="0" t="s">
        <v>4627</v>
      </c>
      <c r="CO251" s="0" t="s">
        <v>4722</v>
      </c>
      <c r="CP251" s="0" t="s">
        <v>1</v>
      </c>
      <c r="CQ251" s="0" t="s">
        <v>4723</v>
      </c>
      <c r="CR251" s="0" t="s">
        <v>4724</v>
      </c>
      <c r="CS251" s="0" t="s">
        <v>4725</v>
      </c>
      <c r="CT251" s="0" t="s">
        <v>2280</v>
      </c>
      <c r="CV251" s="0" t="s">
        <v>203</v>
      </c>
      <c r="CW251" s="0" t="s">
        <v>204</v>
      </c>
      <c r="CX251" s="0" t="s">
        <v>205</v>
      </c>
      <c r="CY251" s="0" t="s">
        <v>3129</v>
      </c>
      <c r="DA251" s="0" t="s">
        <v>207</v>
      </c>
      <c r="DB251" s="0" t="s">
        <v>209</v>
      </c>
      <c r="DC251" s="0" t="s">
        <v>209</v>
      </c>
      <c r="DD251" s="0" t="s">
        <v>209</v>
      </c>
      <c r="DE251" s="0" t="s">
        <v>209</v>
      </c>
      <c r="DF251" s="0" t="s">
        <v>525</v>
      </c>
      <c r="DG251" s="0" t="n">
        <v>40.741737</v>
      </c>
      <c r="DH251" s="0" t="n">
        <v>-73.984856</v>
      </c>
      <c r="DI251" s="0" t="s">
        <v>164</v>
      </c>
      <c r="DJ251" s="0" t="n">
        <v>0</v>
      </c>
      <c r="DK251" s="0" t="s">
        <v>3125</v>
      </c>
      <c r="DL251" s="0" t="s">
        <v>3126</v>
      </c>
      <c r="DM251" s="0" t="s">
        <v>4719</v>
      </c>
      <c r="DN251" s="0" t="s">
        <v>172</v>
      </c>
      <c r="DO251" s="0" t="s">
        <v>214</v>
      </c>
      <c r="DP251" s="0" t="s">
        <v>3129</v>
      </c>
      <c r="DQ251" s="0" t="s">
        <v>172</v>
      </c>
      <c r="DS251" s="0" t="s">
        <v>217</v>
      </c>
      <c r="DU251" s="0" t="s">
        <v>164</v>
      </c>
      <c r="DV251" s="0" t="s">
        <v>3122</v>
      </c>
      <c r="DX251" s="0" t="s">
        <v>209</v>
      </c>
      <c r="EA251" s="0" t="s">
        <v>209</v>
      </c>
      <c r="EB251" s="0" t="s">
        <v>189</v>
      </c>
      <c r="EC251" s="0" t="s">
        <v>209</v>
      </c>
      <c r="EF251" s="0" t="n">
        <v>26</v>
      </c>
      <c r="EG251" s="0" t="s">
        <v>2529</v>
      </c>
      <c r="EH251" s="0" t="s">
        <v>189</v>
      </c>
      <c r="EI251" s="0" t="s">
        <v>4726</v>
      </c>
      <c r="EJ251" s="0" t="s">
        <v>221</v>
      </c>
      <c r="EK251" s="0" t="n">
        <v>0.36</v>
      </c>
      <c r="EL251" s="0" t="n">
        <v>45</v>
      </c>
      <c r="EM251" s="0" t="n">
        <v>9</v>
      </c>
      <c r="EN251" s="0" t="n">
        <v>15</v>
      </c>
      <c r="EO251" s="0" t="n">
        <v>6</v>
      </c>
      <c r="EP251" s="0" t="n">
        <v>15</v>
      </c>
      <c r="EQ251" s="0" t="n">
        <f aca="false">IF($A251="","",IF(AH251="exact",10,IF(AH251="adjacent",5,0)))</f>
        <v>0</v>
      </c>
      <c r="ER251" s="0" t="n">
        <f aca="false">IF($A251="","",IF(R251="Y",15,0))</f>
        <v>0</v>
      </c>
      <c r="ES251" s="0" t="s">
        <v>4727</v>
      </c>
      <c r="EX251" s="0" t="s">
        <v>4728</v>
      </c>
      <c r="FS251" s="0" t="str">
        <f aca="false">IF($A251="","",IF(ISNUMBER(MATCH(U251,{"queued","contacted","replied","call_booked","call_done","yes_in_principle","materials_sent"},0)),"Y","N"))</f>
        <v>N</v>
      </c>
      <c r="FT251" s="0" t="str">
        <f aca="false">IF($A251="","",IF(OR(T251="Y",U251="do_not_contact",AS251&amp;""&lt;&gt;""),"Y","N"))</f>
        <v>N</v>
      </c>
      <c r="FU251" s="0" t="str">
        <f aca="false">IF($A251="","",IF(AP251&amp;""&lt;&gt;"",AP251&amp;"",$A251))</f>
        <v>AO-C-174</v>
      </c>
      <c r="FV251" s="0" t="str">
        <f aca="false">IF($A251="","",IF(COUNTIFS($FU$2:$FU$1000,FU251,$FS$2:$FS$1000,"Y")+COUNTIFS($FU$2:$FU$1000,FU251,$FT$2:$FT$1000,"Y")&gt;0,"Y","N"))</f>
        <v>N</v>
      </c>
      <c r="FW251" s="0" t="str">
        <f aca="false">IF($A251="","",IF(AND(U251="new",T251="N",FT251="N",AT251="Y",FV251="N"),"Y","N"))</f>
        <v>N</v>
      </c>
      <c r="FX251" s="0" t="str">
        <f aca="false">IF($A251="","",IF(FW251&lt;&gt;"Y","N",IF(COUNTIFS($FU$2:$FU$1000,FU251,$FW$2:$FW$1000,"Y",$J$2:$J$1000,"&gt;"&amp;J251)+COUNTIFS($FU$2:$FU$1000,FU251,$FW$2:$FW$1000,"Y",$J$2:$J$1000,J251,$GD$2:$GD$1000,"&lt;"&amp;GD251)=0,"Y","N")))</f>
        <v>N</v>
      </c>
      <c r="FY251" s="0" t="str">
        <f aca="false">IF($A251="","",IF(AND(FW251="Y",FX251="Y",Y251&amp;""&lt;&gt;""),IF(Y251&lt;=10,"Y","N"),"N"))</f>
        <v>N</v>
      </c>
      <c r="FZ251" s="0" t="str">
        <f aca="false">IF(FY251="Y",Y251,"")</f>
        <v/>
      </c>
      <c r="GA251" s="0" t="str">
        <f aca="false">IF($A251="","",IF(AND(I251="walk-in",CN251="pass",U251="new",FT251="N",FV251="N",AQ251&lt;&gt;"Y"),"Y","N"))</f>
        <v>N</v>
      </c>
      <c r="GB251" s="0" t="str">
        <f aca="false">IF(GA251&lt;&gt;"Y","",IF(COUNTIFS($GA$2:$GA$1000,"Y",$J$2:$J$1000,"&gt;"&amp;J251)+COUNTIFS($GA$2:$GA$1000,"Y",$J$2:$J$1000,J251,$GD$2:$GD$1000,"&lt;"&amp;GD251)+1&lt;=25,COUNTIFS($GA$2:$GA$1000,"Y",$J$2:$J$1000,"&gt;"&amp;J251)+COUNTIFS($GA$2:$GA$1000,"Y",$J$2:$J$1000,J251,$GD$2:$GD$1000,"&lt;"&amp;GD251)+1,""))</f>
        <v/>
      </c>
      <c r="GC251" s="0" t="str">
        <f aca="false">IF(AND(_xlfn.ISFORMULA(C251),_xlfn.ISFORMULA(J251)),"Y","N")</f>
        <v>Y</v>
      </c>
      <c r="GD251" s="0" t="n">
        <f aca="false">ROW()-1</f>
        <v>250</v>
      </c>
    </row>
    <row r="252" customFormat="false" ht="15" hidden="false" customHeight="false" outlineLevel="0" collapsed="false">
      <c r="A252" s="0" t="s">
        <v>4729</v>
      </c>
      <c r="B252" s="0" t="s">
        <v>4730</v>
      </c>
      <c r="C252" s="0" t="str">
        <f aca="false">IF($A252="","",IF(AW252="Y",BM252&amp;"",AY252&amp;""))</f>
        <v/>
      </c>
      <c r="D252" s="0" t="str">
        <f aca="false">IF($A252="","",IF(AW252="Y",BN252&amp;"",AZ252&amp;""))</f>
        <v/>
      </c>
      <c r="E252" s="0" t="str">
        <f aca="false">IF($A252="","",IF(AW252="Y",BO252&amp;"",BA252&amp;""))</f>
        <v/>
      </c>
      <c r="F252" s="0" t="str">
        <f aca="false">IF($A252="","",IF(AW252="Y",BP252&amp;"",BB252&amp;""))</f>
        <v/>
      </c>
      <c r="G252" s="0" t="str">
        <f aca="false">IF($A252="","",IF(AW252="Y",BQ252&amp;"",BC252&amp;""))</f>
        <v/>
      </c>
      <c r="H252" s="0" t="str">
        <f aca="false">IF($A252="","",IF(AW252="Y",BR252&amp;"",BD252&amp;""))</f>
        <v>none</v>
      </c>
      <c r="I252" s="0" t="str">
        <f aca="false">IF($A252="","",IF(R252="Y","warm-intro",IF(H252="verified","email",IF(C252&lt;&gt;"","linkedin",CB252&amp;""))))</f>
        <v>linkedin</v>
      </c>
      <c r="J252" s="0" t="n">
        <f aca="false">IF($A252="","",IF(CN252="pass",ROUND(N(EM252)+N(EN252)+N(EO252)+N(EP252)+N(EQ252)+N(ER252),1),0))</f>
        <v>0</v>
      </c>
      <c r="K252" s="0" t="str">
        <f aca="false">IF($A252="","",IF(CN252&lt;&gt;"pass",CA252&amp;"",CA252&amp;"; "&amp;IF(AW252="Y",BZ252&amp;"",BL252&amp;"")&amp;IF(R252="Y","; known to the founder (+15)","")&amp;"."))</f>
        <v>Gated out: inside a coworking space (B-W-020).</v>
      </c>
      <c r="L252" s="0" t="s">
        <v>1794</v>
      </c>
      <c r="R252" s="5" t="s">
        <v>189</v>
      </c>
      <c r="S252" s="0" t="s">
        <v>209</v>
      </c>
      <c r="T252" s="0" t="s">
        <v>189</v>
      </c>
      <c r="U252" s="5" t="s">
        <v>3896</v>
      </c>
      <c r="V252" s="0" t="s">
        <v>4731</v>
      </c>
      <c r="W252" s="0" t="s">
        <v>263</v>
      </c>
      <c r="X252" s="0" t="s">
        <v>3897</v>
      </c>
      <c r="Y252" s="0" t="str">
        <f aca="false">IF(FX252&lt;&gt;"Y","",COUNTIFS($FX$2:$FX$1000,"Y",$J$2:$J$1000,"&gt;"&amp;J252)+COUNTIFS($FX$2:$FX$1000,"Y",$J$2:$J$1000,J252,$GD$2:$GD$1000,"&lt;"&amp;GD252)+1)</f>
        <v/>
      </c>
      <c r="AA252" s="0" t="s">
        <v>189</v>
      </c>
      <c r="AB252" s="0" t="str">
        <f aca="false">IF($A252="","",IF(AW252="Y",BY252&amp;"",BK252&amp;""))</f>
        <v/>
      </c>
      <c r="AC252" s="0" t="str">
        <f aca="false">IF($A252="","",IF(AW252="Y",BS252&amp;"",BE252&amp;""))</f>
        <v/>
      </c>
      <c r="AD252" s="0" t="str">
        <f aca="false">IF($A252="","",IF(AW252="Y",BT252&amp;"",BF252&amp;""))</f>
        <v>none</v>
      </c>
      <c r="AE252" s="0" t="str">
        <f aca="false">IF($A252="","",IF(AW252="Y",BU252&amp;"",BG252&amp;""))</f>
        <v/>
      </c>
      <c r="AF252" s="0" t="str">
        <f aca="false">IF($A252="","",IF(AW252="Y",BV252&amp;"",BH252&amp;""))</f>
        <v/>
      </c>
      <c r="AG252" s="0" t="str">
        <f aca="false">IF($A252="","",IF(AW252="Y",BW252&amp;"",BI252&amp;""))</f>
        <v/>
      </c>
      <c r="AH252" s="0" t="str">
        <f aca="false">IF($A252="","",IF(AW252="Y",BX252&amp;"",BJ252&amp;""))</f>
        <v>none</v>
      </c>
      <c r="AI252" s="0" t="s">
        <v>4732</v>
      </c>
      <c r="AJ252" s="0" t="s">
        <v>4733</v>
      </c>
      <c r="AK252" s="0" t="s">
        <v>3898</v>
      </c>
      <c r="AL252" s="0" t="n">
        <v>5</v>
      </c>
      <c r="AM252" s="0" t="n">
        <v>90</v>
      </c>
      <c r="AN252" s="0" t="s">
        <v>187</v>
      </c>
      <c r="AO252" s="0" t="s">
        <v>1406</v>
      </c>
      <c r="AP252" s="0" t="s">
        <v>4729</v>
      </c>
      <c r="AQ252" s="5" t="s">
        <v>189</v>
      </c>
      <c r="AT252" s="0" t="str">
        <f aca="false">IF($A252="","",IF(AND(CN252="pass",AQ252&lt;&gt;"Y",C252&lt;&gt;"",OR(AX252&lt;&gt;"Y",AV252="Y")),"Y","N"))</f>
        <v>N</v>
      </c>
      <c r="AU252" s="0" t="str">
        <f aca="false">IF($A252="","",_xlfn.TEXTJOIN("; ",TRUE(),IF(CN252&lt;&gt;"pass","gated out",""),IF(AQ252="Y","on hold: "&amp;AR252,""),IF(C252="","no contact named on an opened page",""),IF(AND(AX252="Y",AV252&lt;&gt;"Y"),"Tuesday estimate band "&amp;L252&amp;": founder's call","")))</f>
        <v>gated out; no contact named on an opened page; Tuesday estimate band under-40: founder's call</v>
      </c>
      <c r="AX252" s="0" t="s">
        <v>164</v>
      </c>
      <c r="BC252" s="0" t="str">
        <f aca="false">IF($A252="","",IFERROR(INDEX(Enrichment!$A$2:$GZ$2000,MATCH($A252,INDEX(Enrichment!$A$2:$GZ$2000,0,MATCH("row_id",Enrichment!$A$1:$GZ$1,0)),0),MATCH("work_email",Enrichment!$A$1:$GZ$1,0))&amp;"",""))</f>
        <v/>
      </c>
      <c r="BD252" s="0" t="str">
        <f aca="false">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none</v>
      </c>
      <c r="BF252" s="0" t="s">
        <v>380</v>
      </c>
      <c r="BJ252" s="0" t="s">
        <v>380</v>
      </c>
      <c r="BL252" s="0" t="s">
        <v>896</v>
      </c>
      <c r="BQ252" s="0" t="str">
        <f aca="false">IF($A252="","",IFERROR(INDEX(Enrichment!$A$2:$GZ$2000,MATCH($A252,INDEX(Enrichment!$A$2:$GZ$2000,0,MATCH("row_id",Enrichment!$A$1:$GZ$1,0)),0),MATCH("backup_work_email",Enrichment!$A$1:$GZ$1,0))&amp;"",""))</f>
        <v/>
      </c>
      <c r="BR252" s="0" t="str">
        <f aca="false">IF($A252="","",IF(BQ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none</v>
      </c>
      <c r="BT252" s="0" t="s">
        <v>380</v>
      </c>
      <c r="BX252" s="0" t="s">
        <v>380</v>
      </c>
      <c r="BZ252" s="0" t="s">
        <v>388</v>
      </c>
      <c r="CA252" s="0" t="s">
        <v>4734</v>
      </c>
      <c r="CB252" s="0" t="s">
        <v>196</v>
      </c>
      <c r="CM252" s="0" t="s">
        <v>189</v>
      </c>
      <c r="CN252" s="0" t="s">
        <v>4627</v>
      </c>
      <c r="CO252" s="0" t="s">
        <v>4735</v>
      </c>
      <c r="CP252" s="0" t="s">
        <v>1</v>
      </c>
      <c r="CQ252" s="0" t="s">
        <v>4736</v>
      </c>
      <c r="CR252" s="0" t="s">
        <v>4737</v>
      </c>
      <c r="CS252" s="0" t="s">
        <v>4738</v>
      </c>
      <c r="CT252" s="0" t="s">
        <v>2018</v>
      </c>
      <c r="CV252" s="0" t="s">
        <v>186</v>
      </c>
      <c r="CW252" s="0" t="s">
        <v>204</v>
      </c>
      <c r="CX252" s="0" t="s">
        <v>205</v>
      </c>
      <c r="CY252" s="0" t="s">
        <v>4731</v>
      </c>
      <c r="DA252" s="0" t="s">
        <v>207</v>
      </c>
      <c r="DB252" s="0" t="s">
        <v>208</v>
      </c>
      <c r="DC252" s="0" t="s">
        <v>189</v>
      </c>
      <c r="DD252" s="0" t="s">
        <v>209</v>
      </c>
      <c r="DE252" s="0" t="s">
        <v>4739</v>
      </c>
      <c r="DF252" s="0" t="s">
        <v>311</v>
      </c>
      <c r="DG252" s="0" t="n">
        <v>40.744057</v>
      </c>
      <c r="DH252" s="0" t="n">
        <v>-73.985252</v>
      </c>
      <c r="DI252" s="0" t="s">
        <v>164</v>
      </c>
      <c r="DJ252" s="0" t="n">
        <v>0</v>
      </c>
      <c r="DK252" s="0" t="s">
        <v>4740</v>
      </c>
      <c r="DL252" s="0" t="s">
        <v>4741</v>
      </c>
      <c r="DM252" s="0" t="s">
        <v>4731</v>
      </c>
      <c r="DN252" s="0" t="s">
        <v>263</v>
      </c>
      <c r="DO252" s="0" t="s">
        <v>651</v>
      </c>
      <c r="DP252" s="0" t="s">
        <v>4742</v>
      </c>
      <c r="DQ252" s="0" t="s">
        <v>263</v>
      </c>
      <c r="DS252" s="0" t="s">
        <v>187</v>
      </c>
      <c r="DU252" s="0" t="s">
        <v>164</v>
      </c>
      <c r="DV252" s="0" t="s">
        <v>4743</v>
      </c>
      <c r="DX252" s="0" t="s">
        <v>209</v>
      </c>
      <c r="EA252" s="0" t="s">
        <v>209</v>
      </c>
      <c r="EB252" s="0" t="s">
        <v>189</v>
      </c>
      <c r="EC252" s="0" t="s">
        <v>4744</v>
      </c>
      <c r="ED252" s="0" t="s">
        <v>4731</v>
      </c>
      <c r="EE252" s="0" t="s">
        <v>263</v>
      </c>
      <c r="EF252" s="0" t="n">
        <v>21</v>
      </c>
      <c r="EG252" s="0" t="s">
        <v>2529</v>
      </c>
      <c r="EH252" s="0" t="s">
        <v>189</v>
      </c>
      <c r="EI252" s="0" t="s">
        <v>4745</v>
      </c>
      <c r="EJ252" s="0" t="s">
        <v>221</v>
      </c>
      <c r="EK252" s="0" t="n">
        <v>0.28</v>
      </c>
      <c r="EL252" s="0" t="n">
        <v>22</v>
      </c>
      <c r="EM252" s="0" t="n">
        <v>7</v>
      </c>
      <c r="EN252" s="0" t="n">
        <v>15</v>
      </c>
      <c r="EO252" s="0" t="n">
        <v>-5</v>
      </c>
      <c r="EP252" s="0" t="n">
        <v>5</v>
      </c>
      <c r="EQ252" s="0" t="n">
        <f aca="false">IF($A252="","",IF(AH252="exact",10,IF(AH252="adjacent",5,0)))</f>
        <v>0</v>
      </c>
      <c r="ER252" s="0" t="n">
        <f aca="false">IF($A252="","",IF(R252="Y",15,0))</f>
        <v>0</v>
      </c>
      <c r="ES252" s="0" t="s">
        <v>4727</v>
      </c>
      <c r="EX252" s="0" t="s">
        <v>4746</v>
      </c>
      <c r="EZ252" s="0" t="s">
        <v>4747</v>
      </c>
      <c r="FS252" s="0" t="str">
        <f aca="false">IF($A252="","",IF(ISNUMBER(MATCH(U252,{"queued","contacted","replied","call_booked","call_done","yes_in_principle","materials_sent"},0)),"Y","N"))</f>
        <v>N</v>
      </c>
      <c r="FT252" s="0" t="str">
        <f aca="false">IF($A252="","",IF(OR(T252="Y",U252="do_not_contact",AS252&amp;""&lt;&gt;""),"Y","N"))</f>
        <v>N</v>
      </c>
      <c r="FU252" s="0" t="str">
        <f aca="false">IF($A252="","",IF(AP252&amp;""&lt;&gt;"",AP252&amp;"",$A252))</f>
        <v>AO-C-177</v>
      </c>
      <c r="FV252" s="0" t="str">
        <f aca="false">IF($A252="","",IF(COUNTIFS($FU$2:$FU$1000,FU252,$FS$2:$FS$1000,"Y")+COUNTIFS($FU$2:$FU$1000,FU252,$FT$2:$FT$1000,"Y")&gt;0,"Y","N"))</f>
        <v>N</v>
      </c>
      <c r="FW252" s="0" t="str">
        <f aca="false">IF($A252="","",IF(AND(U252="new",T252="N",FT252="N",AT252="Y",FV252="N"),"Y","N"))</f>
        <v>N</v>
      </c>
      <c r="FX252" s="0" t="str">
        <f aca="false">IF($A252="","",IF(FW252&lt;&gt;"Y","N",IF(COUNTIFS($FU$2:$FU$1000,FU252,$FW$2:$FW$1000,"Y",$J$2:$J$1000,"&gt;"&amp;J252)+COUNTIFS($FU$2:$FU$1000,FU252,$FW$2:$FW$1000,"Y",$J$2:$J$1000,J252,$GD$2:$GD$1000,"&lt;"&amp;GD252)=0,"Y","N")))</f>
        <v>N</v>
      </c>
      <c r="FY252" s="0" t="str">
        <f aca="false">IF($A252="","",IF(AND(FW252="Y",FX252="Y",Y252&amp;""&lt;&gt;""),IF(Y252&lt;=10,"Y","N"),"N"))</f>
        <v>N</v>
      </c>
      <c r="FZ252" s="0" t="str">
        <f aca="false">IF(FY252="Y",Y252,"")</f>
        <v/>
      </c>
      <c r="GA252" s="0" t="str">
        <f aca="false">IF($A252="","",IF(AND(I252="walk-in",CN252="pass",U252="new",FT252="N",FV252="N",AQ252&lt;&gt;"Y"),"Y","N"))</f>
        <v>N</v>
      </c>
      <c r="GB252" s="0" t="str">
        <f aca="false">IF(GA252&lt;&gt;"Y","",IF(COUNTIFS($GA$2:$GA$1000,"Y",$J$2:$J$1000,"&gt;"&amp;J252)+COUNTIFS($GA$2:$GA$1000,"Y",$J$2:$J$1000,J252,$GD$2:$GD$1000,"&lt;"&amp;GD252)+1&lt;=25,COUNTIFS($GA$2:$GA$1000,"Y",$J$2:$J$1000,"&gt;"&amp;J252)+COUNTIFS($GA$2:$GA$1000,"Y",$J$2:$J$1000,J252,$GD$2:$GD$1000,"&lt;"&amp;GD252)+1,""))</f>
        <v/>
      </c>
      <c r="GC252" s="0" t="str">
        <f aca="false">IF(AND(_xlfn.ISFORMULA(C252),_xlfn.ISFORMULA(J252)),"Y","N")</f>
        <v>Y</v>
      </c>
      <c r="GD252" s="0" t="n">
        <f aca="false">ROW()-1</f>
        <v>251</v>
      </c>
    </row>
    <row r="253" customFormat="false" ht="15" hidden="false" customHeight="false" outlineLevel="0" collapsed="false">
      <c r="A253" s="0" t="s">
        <v>4748</v>
      </c>
      <c r="B253" s="0" t="s">
        <v>4749</v>
      </c>
      <c r="C253" s="0" t="str">
        <f aca="false">IF($A253="","",IF(AW253="Y",BM253&amp;"",AY253&amp;""))</f>
        <v/>
      </c>
      <c r="D253" s="0" t="str">
        <f aca="false">IF($A253="","",IF(AW253="Y",BN253&amp;"",AZ253&amp;""))</f>
        <v/>
      </c>
      <c r="E253" s="0" t="str">
        <f aca="false">IF($A253="","",IF(AW253="Y",BO253&amp;"",BA253&amp;""))</f>
        <v/>
      </c>
      <c r="F253" s="0" t="str">
        <f aca="false">IF($A253="","",IF(AW253="Y",BP253&amp;"",BB253&amp;""))</f>
        <v/>
      </c>
      <c r="G253" s="0" t="str">
        <f aca="false">IF($A253="","",IF(AW253="Y",BQ253&amp;"",BC253&amp;""))</f>
        <v/>
      </c>
      <c r="H253" s="0" t="str">
        <f aca="false">IF($A253="","",IF(AW253="Y",BR253&amp;"",BD253&amp;""))</f>
        <v>none</v>
      </c>
      <c r="I253" s="0" t="str">
        <f aca="false">IF($A253="","",IF(R253="Y","warm-intro",IF(H253="verified","email",IF(C253&lt;&gt;"","linkedin",CB253&amp;""))))</f>
        <v>linkedin</v>
      </c>
      <c r="J253" s="0" t="n">
        <f aca="false">IF($A253="","",IF(CN253="pass",ROUND(N(EM253)+N(EN253)+N(EO253)+N(EP253)+N(EQ253)+N(ER253),1),0))</f>
        <v>0</v>
      </c>
      <c r="K253" s="0" t="str">
        <f aca="false">IF($A253="","",IF(CN253&lt;&gt;"pass",CA253&amp;"",CA253&amp;"; "&amp;IF(AW253="Y",BZ253&amp;"",BL253&amp;"")&amp;IF(R253="Y","; known to the founder (+15)","")&amp;"."))</f>
        <v>Gated out: inside a coworking space until its move to this address (B notes); re-check after the move (no date reported): walk by or ask at intake.</v>
      </c>
      <c r="L253" s="0" t="s">
        <v>1794</v>
      </c>
      <c r="O253" s="0" t="s">
        <v>4750</v>
      </c>
      <c r="P253" s="0" t="s">
        <v>4751</v>
      </c>
      <c r="Q253" s="0" t="s">
        <v>4752</v>
      </c>
      <c r="R253" s="5" t="s">
        <v>189</v>
      </c>
      <c r="S253" s="0" t="s">
        <v>209</v>
      </c>
      <c r="T253" s="0" t="s">
        <v>189</v>
      </c>
      <c r="U253" s="5" t="s">
        <v>3896</v>
      </c>
      <c r="V253" s="0" t="s">
        <v>4751</v>
      </c>
      <c r="W253" s="0" t="s">
        <v>263</v>
      </c>
      <c r="X253" s="0" t="s">
        <v>3897</v>
      </c>
      <c r="Y253" s="0" t="str">
        <f aca="false">IF(FX253&lt;&gt;"Y","",COUNTIFS($FX$2:$FX$1000,"Y",$J$2:$J$1000,"&gt;"&amp;J253)+COUNTIFS($FX$2:$FX$1000,"Y",$J$2:$J$1000,J253,$GD$2:$GD$1000,"&lt;"&amp;GD253)+1)</f>
        <v/>
      </c>
      <c r="AA253" s="0" t="s">
        <v>189</v>
      </c>
      <c r="AB253" s="0" t="str">
        <f aca="false">IF($A253="","",IF(AW253="Y",BY253&amp;"",BK253&amp;""))</f>
        <v/>
      </c>
      <c r="AC253" s="0" t="str">
        <f aca="false">IF($A253="","",IF(AW253="Y",BS253&amp;"",BE253&amp;""))</f>
        <v/>
      </c>
      <c r="AD253" s="0" t="str">
        <f aca="false">IF($A253="","",IF(AW253="Y",BT253&amp;"",BF253&amp;""))</f>
        <v>none</v>
      </c>
      <c r="AE253" s="0" t="str">
        <f aca="false">IF($A253="","",IF(AW253="Y",BU253&amp;"",BG253&amp;""))</f>
        <v/>
      </c>
      <c r="AF253" s="0" t="str">
        <f aca="false">IF($A253="","",IF(AW253="Y",BV253&amp;"",BH253&amp;""))</f>
        <v/>
      </c>
      <c r="AG253" s="0" t="str">
        <f aca="false">IF($A253="","",IF(AW253="Y",BW253&amp;"",BI253&amp;""))</f>
        <v/>
      </c>
      <c r="AH253" s="0" t="str">
        <f aca="false">IF($A253="","",IF(AW253="Y",BX253&amp;"",BJ253&amp;""))</f>
        <v>none</v>
      </c>
      <c r="AI253" s="0" t="s">
        <v>2960</v>
      </c>
      <c r="AJ253" s="0" t="s">
        <v>4753</v>
      </c>
      <c r="AK253" s="0" t="s">
        <v>3898</v>
      </c>
      <c r="AL253" s="0" t="n">
        <v>22</v>
      </c>
      <c r="AM253" s="0" t="n">
        <v>48</v>
      </c>
      <c r="AN253" s="0" t="s">
        <v>187</v>
      </c>
      <c r="AO253" s="0" t="s">
        <v>188</v>
      </c>
      <c r="AP253" s="0" t="s">
        <v>4748</v>
      </c>
      <c r="AQ253" s="5" t="s">
        <v>164</v>
      </c>
      <c r="AR253" s="0" t="s">
        <v>4754</v>
      </c>
      <c r="AT253" s="0" t="str">
        <f aca="false">IF($A253="","",IF(AND(CN253="pass",AQ253&lt;&gt;"Y",C253&lt;&gt;"",OR(AX253&lt;&gt;"Y",AV253="Y")),"Y","N"))</f>
        <v>N</v>
      </c>
      <c r="AU253" s="0" t="str">
        <f aca="false">IF($A253="","",_xlfn.TEXTJOIN("; ",TRUE(),IF(CN253&lt;&gt;"pass","gated out",""),IF(AQ253="Y","on hold: "&amp;AR253,""),IF(C253="","no contact named on an opened page",""),IF(AND(AX253="Y",AV253&lt;&gt;"Y"),"Tuesday estimate band "&amp;L253&amp;": founder's call","")))</f>
        <v>gated out; on hold: still in a coworking space until the move; no contact named on an opened page; Tuesday estimate band under-40: founder's call</v>
      </c>
      <c r="AX253" s="0" t="s">
        <v>164</v>
      </c>
      <c r="BC253" s="0" t="str">
        <f aca="false">IF($A253="","",IFERROR(INDEX(Enrichment!$A$2:$GZ$2000,MATCH($A253,INDEX(Enrichment!$A$2:$GZ$2000,0,MATCH("row_id",Enrichment!$A$1:$GZ$1,0)),0),MATCH("work_email",Enrichment!$A$1:$GZ$1,0))&amp;"",""))</f>
        <v/>
      </c>
      <c r="BD253" s="0" t="str">
        <f aca="false">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none</v>
      </c>
      <c r="BF253" s="0" t="s">
        <v>380</v>
      </c>
      <c r="BJ253" s="0" t="s">
        <v>380</v>
      </c>
      <c r="BL253" s="0" t="s">
        <v>896</v>
      </c>
      <c r="BQ253" s="0" t="str">
        <f aca="false">IF($A253="","",IFERROR(INDEX(Enrichment!$A$2:$GZ$2000,MATCH($A253,INDEX(Enrichment!$A$2:$GZ$2000,0,MATCH("row_id",Enrichment!$A$1:$GZ$1,0)),0),MATCH("backup_work_email",Enrichment!$A$1:$GZ$1,0))&amp;"",""))</f>
        <v/>
      </c>
      <c r="BR253" s="0" t="str">
        <f aca="false">IF($A253="","",IF(BQ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none</v>
      </c>
      <c r="BT253" s="0" t="s">
        <v>380</v>
      </c>
      <c r="BX253" s="0" t="s">
        <v>380</v>
      </c>
      <c r="BZ253" s="0" t="s">
        <v>388</v>
      </c>
      <c r="CA253" s="0" t="s">
        <v>4645</v>
      </c>
      <c r="CB253" s="0" t="s">
        <v>196</v>
      </c>
      <c r="CM253" s="0" t="s">
        <v>189</v>
      </c>
      <c r="CN253" s="0" t="s">
        <v>4627</v>
      </c>
      <c r="CO253" s="0" t="s">
        <v>4646</v>
      </c>
      <c r="CP253" s="0" t="s">
        <v>1</v>
      </c>
      <c r="CQ253" s="0" t="s">
        <v>4755</v>
      </c>
      <c r="CR253" s="0" t="s">
        <v>209</v>
      </c>
      <c r="CS253" s="0" t="s">
        <v>4756</v>
      </c>
      <c r="CT253" s="0" t="s">
        <v>1774</v>
      </c>
      <c r="CU253" s="0" t="s">
        <v>2456</v>
      </c>
      <c r="CV253" s="0" t="s">
        <v>298</v>
      </c>
      <c r="CW253" s="0" t="s">
        <v>204</v>
      </c>
      <c r="CX253" s="0" t="s">
        <v>356</v>
      </c>
      <c r="CY253" s="0" t="s">
        <v>4757</v>
      </c>
      <c r="CZ253" s="0" t="s">
        <v>4758</v>
      </c>
      <c r="DA253" s="0" t="s">
        <v>207</v>
      </c>
      <c r="DB253" s="0" t="s">
        <v>259</v>
      </c>
      <c r="DC253" s="0" t="s">
        <v>164</v>
      </c>
      <c r="DD253" s="0" t="s">
        <v>209</v>
      </c>
      <c r="DE253" s="0" t="s">
        <v>209</v>
      </c>
      <c r="DF253" s="0" t="s">
        <v>311</v>
      </c>
      <c r="DG253" s="0" t="n">
        <v>40.746186</v>
      </c>
      <c r="DH253" s="0" t="n">
        <v>-73.985981</v>
      </c>
      <c r="DI253" s="0" t="s">
        <v>164</v>
      </c>
      <c r="DJ253" s="0" t="n">
        <v>0</v>
      </c>
      <c r="DK253" s="0" t="s">
        <v>2966</v>
      </c>
      <c r="DL253" s="0" t="s">
        <v>2967</v>
      </c>
      <c r="DM253" s="0" t="s">
        <v>4751</v>
      </c>
      <c r="DN253" s="0" t="s">
        <v>4752</v>
      </c>
      <c r="DO253" s="0" t="s">
        <v>363</v>
      </c>
      <c r="DP253" s="0" t="s">
        <v>4757</v>
      </c>
      <c r="DQ253" s="0" t="s">
        <v>263</v>
      </c>
      <c r="DS253" s="0" t="s">
        <v>809</v>
      </c>
      <c r="DU253" s="0" t="s">
        <v>189</v>
      </c>
      <c r="DX253" s="0" t="s">
        <v>209</v>
      </c>
      <c r="EA253" s="0" t="s">
        <v>209</v>
      </c>
      <c r="EB253" s="0" t="s">
        <v>189</v>
      </c>
      <c r="EC253" s="0" t="s">
        <v>655</v>
      </c>
      <c r="ED253" s="0" t="s">
        <v>4757</v>
      </c>
      <c r="EE253" s="0" t="s">
        <v>172</v>
      </c>
      <c r="EF253" s="0" t="n">
        <v>32</v>
      </c>
      <c r="EG253" s="0" t="s">
        <v>1322</v>
      </c>
      <c r="EH253" s="0" t="s">
        <v>189</v>
      </c>
      <c r="EI253" s="0" t="s">
        <v>4759</v>
      </c>
      <c r="EJ253" s="0" t="s">
        <v>221</v>
      </c>
      <c r="EK253" s="0" t="n">
        <v>0.23</v>
      </c>
      <c r="EL253" s="0" t="n">
        <v>43.8</v>
      </c>
      <c r="EM253" s="0" t="n">
        <v>5.8</v>
      </c>
      <c r="EN253" s="0" t="n">
        <v>15</v>
      </c>
      <c r="EO253" s="0" t="n">
        <v>15</v>
      </c>
      <c r="EP253" s="0" t="n">
        <v>8</v>
      </c>
      <c r="EQ253" s="0" t="n">
        <f aca="false">IF($A253="","",IF(AH253="exact",10,IF(AH253="adjacent",5,0)))</f>
        <v>0</v>
      </c>
      <c r="ER253" s="0" t="n">
        <f aca="false">IF($A253="","",IF(R253="Y",15,0))</f>
        <v>0</v>
      </c>
      <c r="ES253" s="0" t="s">
        <v>222</v>
      </c>
      <c r="EV253" s="0" t="s">
        <v>2546</v>
      </c>
      <c r="EW253" s="0" t="s">
        <v>224</v>
      </c>
      <c r="EX253" s="0" t="s">
        <v>4760</v>
      </c>
      <c r="FS253" s="0" t="str">
        <f aca="false">IF($A253="","",IF(ISNUMBER(MATCH(U253,{"queued","contacted","replied","call_booked","call_done","yes_in_principle","materials_sent"},0)),"Y","N"))</f>
        <v>N</v>
      </c>
      <c r="FT253" s="0" t="str">
        <f aca="false">IF($A253="","",IF(OR(T253="Y",U253="do_not_contact",AS253&amp;""&lt;&gt;""),"Y","N"))</f>
        <v>N</v>
      </c>
      <c r="FU253" s="0" t="str">
        <f aca="false">IF($A253="","",IF(AP253&amp;""&lt;&gt;"",AP253&amp;"",$A253))</f>
        <v>AO-C-172</v>
      </c>
      <c r="FV253" s="0" t="str">
        <f aca="false">IF($A253="","",IF(COUNTIFS($FU$2:$FU$1000,FU253,$FS$2:$FS$1000,"Y")+COUNTIFS($FU$2:$FU$1000,FU253,$FT$2:$FT$1000,"Y")&gt;0,"Y","N"))</f>
        <v>N</v>
      </c>
      <c r="FW253" s="0" t="str">
        <f aca="false">IF($A253="","",IF(AND(U253="new",T253="N",FT253="N",AT253="Y",FV253="N"),"Y","N"))</f>
        <v>N</v>
      </c>
      <c r="FX253" s="0" t="str">
        <f aca="false">IF($A253="","",IF(FW253&lt;&gt;"Y","N",IF(COUNTIFS($FU$2:$FU$1000,FU253,$FW$2:$FW$1000,"Y",$J$2:$J$1000,"&gt;"&amp;J253)+COUNTIFS($FU$2:$FU$1000,FU253,$FW$2:$FW$1000,"Y",$J$2:$J$1000,J253,$GD$2:$GD$1000,"&lt;"&amp;GD253)=0,"Y","N")))</f>
        <v>N</v>
      </c>
      <c r="FY253" s="0" t="str">
        <f aca="false">IF($A253="","",IF(AND(FW253="Y",FX253="Y",Y253&amp;""&lt;&gt;""),IF(Y253&lt;=10,"Y","N"),"N"))</f>
        <v>N</v>
      </c>
      <c r="FZ253" s="0" t="str">
        <f aca="false">IF(FY253="Y",Y253,"")</f>
        <v/>
      </c>
      <c r="GA253" s="0" t="str">
        <f aca="false">IF($A253="","",IF(AND(I253="walk-in",CN253="pass",U253="new",FT253="N",FV253="N",AQ253&lt;&gt;"Y"),"Y","N"))</f>
        <v>N</v>
      </c>
      <c r="GB253" s="0" t="str">
        <f aca="false">IF(GA253&lt;&gt;"Y","",IF(COUNTIFS($GA$2:$GA$1000,"Y",$J$2:$J$1000,"&gt;"&amp;J253)+COUNTIFS($GA$2:$GA$1000,"Y",$J$2:$J$1000,J253,$GD$2:$GD$1000,"&lt;"&amp;GD253)+1&lt;=25,COUNTIFS($GA$2:$GA$1000,"Y",$J$2:$J$1000,"&gt;"&amp;J253)+COUNTIFS($GA$2:$GA$1000,"Y",$J$2:$J$1000,J253,$GD$2:$GD$1000,"&lt;"&amp;GD253)+1,""))</f>
        <v/>
      </c>
      <c r="GC253" s="0" t="str">
        <f aca="false">IF(AND(_xlfn.ISFORMULA(C253),_xlfn.ISFORMULA(J253)),"Y","N")</f>
        <v>Y</v>
      </c>
      <c r="GD253" s="0" t="n">
        <f aca="false">ROW()-1</f>
        <v>252</v>
      </c>
    </row>
    <row r="254" customFormat="false" ht="15" hidden="false" customHeight="false" outlineLevel="0" collapsed="false">
      <c r="A254" s="0" t="s">
        <v>4761</v>
      </c>
      <c r="B254" s="0" t="s">
        <v>4762</v>
      </c>
      <c r="C254" s="0" t="str">
        <f aca="false">IF($A254="","",IF(AW254="Y",BM254&amp;"",AY254&amp;""))</f>
        <v/>
      </c>
      <c r="D254" s="0" t="str">
        <f aca="false">IF($A254="","",IF(AW254="Y",BN254&amp;"",AZ254&amp;""))</f>
        <v/>
      </c>
      <c r="E254" s="0" t="str">
        <f aca="false">IF($A254="","",IF(AW254="Y",BO254&amp;"",BA254&amp;""))</f>
        <v/>
      </c>
      <c r="F254" s="0" t="str">
        <f aca="false">IF($A254="","",IF(AW254="Y",BP254&amp;"",BB254&amp;""))</f>
        <v/>
      </c>
      <c r="G254" s="0" t="str">
        <f aca="false">IF($A254="","",IF(AW254="Y",BQ254&amp;"",BC254&amp;""))</f>
        <v/>
      </c>
      <c r="H254" s="0" t="str">
        <f aca="false">IF($A254="","",IF(AW254="Y",BR254&amp;"",BD254&amp;""))</f>
        <v>none</v>
      </c>
      <c r="I254" s="0" t="str">
        <f aca="false">IF($A254="","",IF(R254="Y","warm-intro",IF(H254="verified","email",IF(C254&lt;&gt;"","linkedin",CB254&amp;""))))</f>
        <v>linkedin</v>
      </c>
      <c r="J254" s="0" t="n">
        <f aca="false">IF($A254="","",IF(CN254="pass",ROUND(N(EM254)+N(EN254)+N(EO254)+N(EP254)+N(EQ254)+N(ER254),1),0))</f>
        <v>0</v>
      </c>
      <c r="K254" s="0" t="str">
        <f aca="false">IF($A254="","",IF(CN254&lt;&gt;"pass",CA254&amp;"",CA254&amp;"; "&amp;IF(AW254="Y",BZ254&amp;"",BL254&amp;"")&amp;IF(R254="Y","; known to the founder (+15)","")&amp;"."))</f>
        <v>Gated out: inside a coworking space (B-W-013).</v>
      </c>
      <c r="L254" s="0" t="s">
        <v>1794</v>
      </c>
      <c r="R254" s="5" t="s">
        <v>189</v>
      </c>
      <c r="S254" s="0" t="s">
        <v>209</v>
      </c>
      <c r="T254" s="0" t="s">
        <v>189</v>
      </c>
      <c r="U254" s="5" t="s">
        <v>3896</v>
      </c>
      <c r="V254" s="0" t="s">
        <v>3127</v>
      </c>
      <c r="W254" s="0" t="s">
        <v>263</v>
      </c>
      <c r="X254" s="0" t="s">
        <v>3897</v>
      </c>
      <c r="Y254" s="0" t="str">
        <f aca="false">IF(FX254&lt;&gt;"Y","",COUNTIFS($FX$2:$FX$1000,"Y",$J$2:$J$1000,"&gt;"&amp;J254)+COUNTIFS($FX$2:$FX$1000,"Y",$J$2:$J$1000,J254,$GD$2:$GD$1000,"&lt;"&amp;GD254)+1)</f>
        <v/>
      </c>
      <c r="AA254" s="0" t="s">
        <v>189</v>
      </c>
      <c r="AB254" s="0" t="str">
        <f aca="false">IF($A254="","",IF(AW254="Y",BY254&amp;"",BK254&amp;""))</f>
        <v/>
      </c>
      <c r="AC254" s="0" t="str">
        <f aca="false">IF($A254="","",IF(AW254="Y",BS254&amp;"",BE254&amp;""))</f>
        <v/>
      </c>
      <c r="AD254" s="0" t="str">
        <f aca="false">IF($A254="","",IF(AW254="Y",BT254&amp;"",BF254&amp;""))</f>
        <v>none</v>
      </c>
      <c r="AE254" s="0" t="str">
        <f aca="false">IF($A254="","",IF(AW254="Y",BU254&amp;"",BG254&amp;""))</f>
        <v/>
      </c>
      <c r="AF254" s="0" t="str">
        <f aca="false">IF($A254="","",IF(AW254="Y",BV254&amp;"",BH254&amp;""))</f>
        <v/>
      </c>
      <c r="AG254" s="0" t="str">
        <f aca="false">IF($A254="","",IF(AW254="Y",BW254&amp;"",BI254&amp;""))</f>
        <v/>
      </c>
      <c r="AH254" s="0" t="str">
        <f aca="false">IF($A254="","",IF(AW254="Y",BX254&amp;"",BJ254&amp;""))</f>
        <v>none</v>
      </c>
      <c r="AI254" s="0" t="s">
        <v>4720</v>
      </c>
      <c r="AJ254" s="0" t="s">
        <v>209</v>
      </c>
      <c r="AK254" s="0" t="s">
        <v>3933</v>
      </c>
      <c r="AL254" s="0" t="n">
        <v>4</v>
      </c>
      <c r="AM254" s="0" t="n">
        <v>77</v>
      </c>
      <c r="AN254" s="0" t="s">
        <v>187</v>
      </c>
      <c r="AO254" s="0" t="s">
        <v>209</v>
      </c>
      <c r="AP254" s="0" t="s">
        <v>4761</v>
      </c>
      <c r="AQ254" s="5" t="s">
        <v>189</v>
      </c>
      <c r="AT254" s="0" t="str">
        <f aca="false">IF($A254="","",IF(AND(CN254="pass",AQ254&lt;&gt;"Y",C254&lt;&gt;"",OR(AX254&lt;&gt;"Y",AV254="Y")),"Y","N"))</f>
        <v>N</v>
      </c>
      <c r="AU254" s="0" t="str">
        <f aca="false">IF($A254="","",_xlfn.TEXTJOIN("; ",TRUE(),IF(CN254&lt;&gt;"pass","gated out",""),IF(AQ254="Y","on hold: "&amp;AR254,""),IF(C254="","no contact named on an opened page",""),IF(AND(AX254="Y",AV254&lt;&gt;"Y"),"Tuesday estimate band "&amp;L254&amp;": founder's call","")))</f>
        <v>gated out; no contact named on an opened page; Tuesday estimate band under-40: founder's call</v>
      </c>
      <c r="AX254" s="0" t="s">
        <v>164</v>
      </c>
      <c r="BC254" s="0" t="str">
        <f aca="false">IF($A254="","",IFERROR(INDEX(Enrichment!$A$2:$GZ$2000,MATCH($A254,INDEX(Enrichment!$A$2:$GZ$2000,0,MATCH("row_id",Enrichment!$A$1:$GZ$1,0)),0),MATCH("work_email",Enrichment!$A$1:$GZ$1,0))&amp;"",""))</f>
        <v/>
      </c>
      <c r="BD254" s="0" t="str">
        <f aca="false">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none</v>
      </c>
      <c r="BF254" s="0" t="s">
        <v>380</v>
      </c>
      <c r="BJ254" s="0" t="s">
        <v>380</v>
      </c>
      <c r="BL254" s="0" t="s">
        <v>896</v>
      </c>
      <c r="BQ254" s="0" t="str">
        <f aca="false">IF($A254="","",IFERROR(INDEX(Enrichment!$A$2:$GZ$2000,MATCH($A254,INDEX(Enrichment!$A$2:$GZ$2000,0,MATCH("row_id",Enrichment!$A$1:$GZ$1,0)),0),MATCH("backup_work_email",Enrichment!$A$1:$GZ$1,0))&amp;"",""))</f>
        <v/>
      </c>
      <c r="BR254" s="0" t="str">
        <f aca="false">IF($A254="","",IF(BQ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none</v>
      </c>
      <c r="BT254" s="0" t="s">
        <v>380</v>
      </c>
      <c r="BX254" s="0" t="s">
        <v>380</v>
      </c>
      <c r="BZ254" s="0" t="s">
        <v>388</v>
      </c>
      <c r="CA254" s="0" t="s">
        <v>4721</v>
      </c>
      <c r="CB254" s="0" t="s">
        <v>196</v>
      </c>
      <c r="CM254" s="0" t="s">
        <v>189</v>
      </c>
      <c r="CN254" s="0" t="s">
        <v>4627</v>
      </c>
      <c r="CO254" s="0" t="s">
        <v>4722</v>
      </c>
      <c r="CP254" s="0" t="s">
        <v>1</v>
      </c>
      <c r="CQ254" s="0" t="s">
        <v>4763</v>
      </c>
      <c r="CR254" s="0" t="s">
        <v>4764</v>
      </c>
      <c r="CS254" s="0" t="s">
        <v>4765</v>
      </c>
      <c r="CT254" s="0" t="s">
        <v>3167</v>
      </c>
      <c r="CV254" s="0" t="s">
        <v>186</v>
      </c>
      <c r="CW254" s="0" t="s">
        <v>204</v>
      </c>
      <c r="CX254" s="0" t="s">
        <v>205</v>
      </c>
      <c r="CY254" s="0" t="s">
        <v>4766</v>
      </c>
      <c r="DA254" s="0" t="s">
        <v>207</v>
      </c>
      <c r="DB254" s="0" t="s">
        <v>209</v>
      </c>
      <c r="DC254" s="0" t="s">
        <v>209</v>
      </c>
      <c r="DD254" s="0" t="s">
        <v>209</v>
      </c>
      <c r="DE254" s="0" t="s">
        <v>4767</v>
      </c>
      <c r="DF254" s="0" t="s">
        <v>525</v>
      </c>
      <c r="DG254" s="0" t="n">
        <v>40.741737</v>
      </c>
      <c r="DH254" s="0" t="n">
        <v>-73.984856</v>
      </c>
      <c r="DI254" s="0" t="s">
        <v>164</v>
      </c>
      <c r="DJ254" s="0" t="n">
        <v>0</v>
      </c>
      <c r="DK254" s="0" t="s">
        <v>3125</v>
      </c>
      <c r="DL254" s="0" t="s">
        <v>3126</v>
      </c>
      <c r="DM254" s="0" t="s">
        <v>3127</v>
      </c>
      <c r="DN254" s="0" t="s">
        <v>172</v>
      </c>
      <c r="DO254" s="0" t="s">
        <v>4768</v>
      </c>
      <c r="DS254" s="0" t="s">
        <v>809</v>
      </c>
      <c r="DU254" s="0" t="s">
        <v>164</v>
      </c>
      <c r="DV254" s="0" t="s">
        <v>3122</v>
      </c>
      <c r="DX254" s="0" t="s">
        <v>209</v>
      </c>
      <c r="EA254" s="0" t="s">
        <v>209</v>
      </c>
      <c r="EB254" s="0" t="s">
        <v>189</v>
      </c>
      <c r="EC254" s="0" t="s">
        <v>209</v>
      </c>
      <c r="EF254" s="0" t="n">
        <v>18</v>
      </c>
      <c r="EG254" s="0" t="s">
        <v>2529</v>
      </c>
      <c r="EH254" s="0" t="s">
        <v>189</v>
      </c>
      <c r="EI254" s="0" t="s">
        <v>4769</v>
      </c>
      <c r="EJ254" s="0" t="s">
        <v>221</v>
      </c>
      <c r="EK254" s="0" t="n">
        <v>0.22</v>
      </c>
      <c r="EL254" s="0" t="n">
        <v>39.5</v>
      </c>
      <c r="EM254" s="0" t="n">
        <v>5.5</v>
      </c>
      <c r="EN254" s="0" t="n">
        <v>15</v>
      </c>
      <c r="EO254" s="0" t="n">
        <v>6</v>
      </c>
      <c r="EP254" s="0" t="n">
        <v>13</v>
      </c>
      <c r="EQ254" s="0" t="n">
        <f aca="false">IF($A254="","",IF(AH254="exact",10,IF(AH254="adjacent",5,0)))</f>
        <v>0</v>
      </c>
      <c r="ER254" s="0" t="n">
        <f aca="false">IF($A254="","",IF(R254="Y",15,0))</f>
        <v>0</v>
      </c>
      <c r="ES254" s="0" t="s">
        <v>4727</v>
      </c>
      <c r="EX254" s="0" t="s">
        <v>4770</v>
      </c>
      <c r="EZ254" s="0" t="s">
        <v>4771</v>
      </c>
      <c r="FS254" s="0" t="str">
        <f aca="false">IF($A254="","",IF(ISNUMBER(MATCH(U254,{"queued","contacted","replied","call_booked","call_done","yes_in_principle","materials_sent"},0)),"Y","N"))</f>
        <v>N</v>
      </c>
      <c r="FT254" s="0" t="str">
        <f aca="false">IF($A254="","",IF(OR(T254="Y",U254="do_not_contact",AS254&amp;""&lt;&gt;""),"Y","N"))</f>
        <v>N</v>
      </c>
      <c r="FU254" s="0" t="str">
        <f aca="false">IF($A254="","",IF(AP254&amp;""&lt;&gt;"",AP254&amp;"",$A254))</f>
        <v>AO-C-175</v>
      </c>
      <c r="FV254" s="0" t="str">
        <f aca="false">IF($A254="","",IF(COUNTIFS($FU$2:$FU$1000,FU254,$FS$2:$FS$1000,"Y")+COUNTIFS($FU$2:$FU$1000,FU254,$FT$2:$FT$1000,"Y")&gt;0,"Y","N"))</f>
        <v>N</v>
      </c>
      <c r="FW254" s="0" t="str">
        <f aca="false">IF($A254="","",IF(AND(U254="new",T254="N",FT254="N",AT254="Y",FV254="N"),"Y","N"))</f>
        <v>N</v>
      </c>
      <c r="FX254" s="0" t="str">
        <f aca="false">IF($A254="","",IF(FW254&lt;&gt;"Y","N",IF(COUNTIFS($FU$2:$FU$1000,FU254,$FW$2:$FW$1000,"Y",$J$2:$J$1000,"&gt;"&amp;J254)+COUNTIFS($FU$2:$FU$1000,FU254,$FW$2:$FW$1000,"Y",$J$2:$J$1000,J254,$GD$2:$GD$1000,"&lt;"&amp;GD254)=0,"Y","N")))</f>
        <v>N</v>
      </c>
      <c r="FY254" s="0" t="str">
        <f aca="false">IF($A254="","",IF(AND(FW254="Y",FX254="Y",Y254&amp;""&lt;&gt;""),IF(Y254&lt;=10,"Y","N"),"N"))</f>
        <v>N</v>
      </c>
      <c r="FZ254" s="0" t="str">
        <f aca="false">IF(FY254="Y",Y254,"")</f>
        <v/>
      </c>
      <c r="GA254" s="0" t="str">
        <f aca="false">IF($A254="","",IF(AND(I254="walk-in",CN254="pass",U254="new",FT254="N",FV254="N",AQ254&lt;&gt;"Y"),"Y","N"))</f>
        <v>N</v>
      </c>
      <c r="GB254" s="0" t="str">
        <f aca="false">IF(GA254&lt;&gt;"Y","",IF(COUNTIFS($GA$2:$GA$1000,"Y",$J$2:$J$1000,"&gt;"&amp;J254)+COUNTIFS($GA$2:$GA$1000,"Y",$J$2:$J$1000,J254,$GD$2:$GD$1000,"&lt;"&amp;GD254)+1&lt;=25,COUNTIFS($GA$2:$GA$1000,"Y",$J$2:$J$1000,"&gt;"&amp;J254)+COUNTIFS($GA$2:$GA$1000,"Y",$J$2:$J$1000,J254,$GD$2:$GD$1000,"&lt;"&amp;GD254)+1,""))</f>
        <v/>
      </c>
      <c r="GC254" s="0" t="str">
        <f aca="false">IF(AND(_xlfn.ISFORMULA(C254),_xlfn.ISFORMULA(J254)),"Y","N")</f>
        <v>Y</v>
      </c>
      <c r="GD254" s="0" t="n">
        <f aca="false">ROW()-1</f>
        <v>253</v>
      </c>
    </row>
    <row r="255" customFormat="false" ht="15" hidden="false" customHeight="false" outlineLevel="0" collapsed="false">
      <c r="A255" s="0" t="s">
        <v>4772</v>
      </c>
      <c r="B255" s="0" t="s">
        <v>4773</v>
      </c>
      <c r="C255" s="0" t="str">
        <f aca="false">IF($A255="","",IF(AW255="Y",BM255&amp;"",AY255&amp;""))</f>
        <v/>
      </c>
      <c r="D255" s="0" t="str">
        <f aca="false">IF($A255="","",IF(AW255="Y",BN255&amp;"",AZ255&amp;""))</f>
        <v/>
      </c>
      <c r="E255" s="0" t="str">
        <f aca="false">IF($A255="","",IF(AW255="Y",BO255&amp;"",BA255&amp;""))</f>
        <v/>
      </c>
      <c r="F255" s="0" t="str">
        <f aca="false">IF($A255="","",IF(AW255="Y",BP255&amp;"",BB255&amp;""))</f>
        <v/>
      </c>
      <c r="G255" s="0" t="str">
        <f aca="false">IF($A255="","",IF(AW255="Y",BQ255&amp;"",BC255&amp;""))</f>
        <v/>
      </c>
      <c r="H255" s="0" t="str">
        <f aca="false">IF($A255="","",IF(AW255="Y",BR255&amp;"",BD255&amp;""))</f>
        <v>none</v>
      </c>
      <c r="I255" s="0" t="str">
        <f aca="false">IF($A255="","",IF(R255="Y","warm-intro",IF(H255="verified","email",IF(C255&lt;&gt;"","linkedin",CB255&amp;""))))</f>
        <v>linkedin</v>
      </c>
      <c r="J255" s="0" t="n">
        <f aca="false">IF($A255="","",IF(CN255="pass",ROUND(N(EM255)+N(EN255)+N(EO255)+N(EP255)+N(EQ255)+N(ER255),1),0))</f>
        <v>0</v>
      </c>
      <c r="K255" s="0" t="str">
        <f aca="false">IF($A255="","",IF(CN255&lt;&gt;"pass",CA255&amp;"",CA255&amp;"; "&amp;IF(AW255="Y",BZ255&amp;"",BL255&amp;"")&amp;IF(R255="Y","; known to the founder (+15)","")&amp;"."))</f>
        <v>Gated out: Tuesday estimate over 250 (1053 to 2105).</v>
      </c>
      <c r="L255" s="0" t="s">
        <v>976</v>
      </c>
      <c r="R255" s="5" t="s">
        <v>189</v>
      </c>
      <c r="S255" s="0" t="s">
        <v>209</v>
      </c>
      <c r="T255" s="0" t="s">
        <v>189</v>
      </c>
      <c r="U255" s="5" t="s">
        <v>3896</v>
      </c>
      <c r="V255" s="0" t="s">
        <v>531</v>
      </c>
      <c r="W255" s="0" t="s">
        <v>263</v>
      </c>
      <c r="X255" s="0" t="s">
        <v>3897</v>
      </c>
      <c r="Y255" s="0" t="str">
        <f aca="false">IF(FX255&lt;&gt;"Y","",COUNTIFS($FX$2:$FX$1000,"Y",$J$2:$J$1000,"&gt;"&amp;J255)+COUNTIFS($FX$2:$FX$1000,"Y",$J$2:$J$1000,J255,$GD$2:$GD$1000,"&lt;"&amp;GD255)+1)</f>
        <v/>
      </c>
      <c r="AA255" s="0" t="s">
        <v>189</v>
      </c>
      <c r="AB255" s="0" t="str">
        <f aca="false">IF($A255="","",IF(AW255="Y",BY255&amp;"",BK255&amp;""))</f>
        <v/>
      </c>
      <c r="AC255" s="0" t="str">
        <f aca="false">IF($A255="","",IF(AW255="Y",BS255&amp;"",BE255&amp;""))</f>
        <v/>
      </c>
      <c r="AD255" s="0" t="str">
        <f aca="false">IF($A255="","",IF(AW255="Y",BT255&amp;"",BF255&amp;""))</f>
        <v>none</v>
      </c>
      <c r="AE255" s="0" t="str">
        <f aca="false">IF($A255="","",IF(AW255="Y",BU255&amp;"",BG255&amp;""))</f>
        <v/>
      </c>
      <c r="AF255" s="0" t="str">
        <f aca="false">IF($A255="","",IF(AW255="Y",BV255&amp;"",BH255&amp;""))</f>
        <v/>
      </c>
      <c r="AG255" s="0" t="str">
        <f aca="false">IF($A255="","",IF(AW255="Y",BW255&amp;"",BI255&amp;""))</f>
        <v/>
      </c>
      <c r="AH255" s="0" t="str">
        <f aca="false">IF($A255="","",IF(AW255="Y",BX255&amp;"",BJ255&amp;""))</f>
        <v>none</v>
      </c>
      <c r="AI255" s="0" t="s">
        <v>507</v>
      </c>
      <c r="AJ255" s="0" t="s">
        <v>209</v>
      </c>
      <c r="AK255" s="0" t="s">
        <v>3933</v>
      </c>
      <c r="AL255" s="0" t="n">
        <v>1053</v>
      </c>
      <c r="AM255" s="0" t="n">
        <v>2105</v>
      </c>
      <c r="AN255" s="0" t="s">
        <v>187</v>
      </c>
      <c r="AO255" s="0" t="s">
        <v>209</v>
      </c>
      <c r="AP255" s="0" t="s">
        <v>4772</v>
      </c>
      <c r="AQ255" s="5" t="s">
        <v>189</v>
      </c>
      <c r="AT255" s="0" t="str">
        <f aca="false">IF($A255="","",IF(AND(CN255="pass",AQ255&lt;&gt;"Y",C255&lt;&gt;"",OR(AX255&lt;&gt;"Y",AV255="Y")),"Y","N"))</f>
        <v>N</v>
      </c>
      <c r="AU255" s="0" t="str">
        <f aca="false">IF($A255="","",_xlfn.TEXTJOIN("; ",TRUE(),IF(CN255&lt;&gt;"pass","gated out",""),IF(AQ255="Y","on hold: "&amp;AR255,""),IF(C255="","no contact named on an opened page",""),IF(AND(AX255="Y",AV255&lt;&gt;"Y"),"Tuesday estimate band "&amp;L255&amp;": founder's call","")))</f>
        <v>gated out; no contact named on an opened page; Tuesday estimate band over-500: founder's call</v>
      </c>
      <c r="AX255" s="0" t="s">
        <v>164</v>
      </c>
      <c r="BC255" s="0" t="str">
        <f aca="false">IF($A255="","",IFERROR(INDEX(Enrichment!$A$2:$GZ$2000,MATCH($A255,INDEX(Enrichment!$A$2:$GZ$2000,0,MATCH("row_id",Enrichment!$A$1:$GZ$1,0)),0),MATCH("work_email",Enrichment!$A$1:$GZ$1,0))&amp;"",""))</f>
        <v/>
      </c>
      <c r="BD255" s="0" t="str">
        <f aca="false">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none</v>
      </c>
      <c r="BF255" s="0" t="s">
        <v>380</v>
      </c>
      <c r="BJ255" s="0" t="s">
        <v>380</v>
      </c>
      <c r="BL255" s="0" t="s">
        <v>896</v>
      </c>
      <c r="BQ255" s="0" t="str">
        <f aca="false">IF($A255="","",IFERROR(INDEX(Enrichment!$A$2:$GZ$2000,MATCH($A255,INDEX(Enrichment!$A$2:$GZ$2000,0,MATCH("row_id",Enrichment!$A$1:$GZ$1,0)),0),MATCH("backup_work_email",Enrichment!$A$1:$GZ$1,0))&amp;"",""))</f>
        <v/>
      </c>
      <c r="BR255" s="0" t="str">
        <f aca="false">IF($A255="","",IF(BQ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none</v>
      </c>
      <c r="BT255" s="0" t="s">
        <v>380</v>
      </c>
      <c r="BX255" s="0" t="s">
        <v>380</v>
      </c>
      <c r="BZ255" s="0" t="s">
        <v>388</v>
      </c>
      <c r="CA255" s="0" t="s">
        <v>4774</v>
      </c>
      <c r="CB255" s="0" t="s">
        <v>196</v>
      </c>
      <c r="CM255" s="0" t="s">
        <v>189</v>
      </c>
      <c r="CN255" s="0" t="s">
        <v>4627</v>
      </c>
      <c r="CO255" s="0" t="s">
        <v>4775</v>
      </c>
      <c r="CP255" s="0" t="s">
        <v>1</v>
      </c>
      <c r="CQ255" s="0" t="s">
        <v>4776</v>
      </c>
      <c r="CR255" s="0" t="s">
        <v>4777</v>
      </c>
      <c r="CS255" s="0" t="s">
        <v>4778</v>
      </c>
      <c r="CT255" s="0" t="s">
        <v>4779</v>
      </c>
      <c r="CV255" s="0" t="s">
        <v>976</v>
      </c>
      <c r="CW255" s="0" t="s">
        <v>204</v>
      </c>
      <c r="CX255" s="0" t="s">
        <v>205</v>
      </c>
      <c r="CY255" s="0" t="s">
        <v>4780</v>
      </c>
      <c r="DA255" s="0" t="s">
        <v>978</v>
      </c>
      <c r="DB255" s="0" t="s">
        <v>259</v>
      </c>
      <c r="DC255" s="0" t="s">
        <v>164</v>
      </c>
      <c r="DD255" s="0" t="s">
        <v>209</v>
      </c>
      <c r="DE255" s="0" t="s">
        <v>209</v>
      </c>
      <c r="DF255" s="0" t="s">
        <v>525</v>
      </c>
      <c r="DG255" s="0" t="n">
        <v>40.739819</v>
      </c>
      <c r="DH255" s="0" t="n">
        <v>-73.986885</v>
      </c>
      <c r="DI255" s="0" t="s">
        <v>164</v>
      </c>
      <c r="DJ255" s="0" t="n">
        <v>0</v>
      </c>
      <c r="DK255" s="0" t="s">
        <v>526</v>
      </c>
      <c r="DL255" s="0" t="s">
        <v>527</v>
      </c>
      <c r="DM255" s="0" t="s">
        <v>531</v>
      </c>
      <c r="DN255" s="0" t="s">
        <v>263</v>
      </c>
      <c r="DO255" s="0" t="s">
        <v>4768</v>
      </c>
      <c r="DP255" s="0" t="s">
        <v>4780</v>
      </c>
      <c r="DQ255" s="0" t="s">
        <v>263</v>
      </c>
      <c r="DS255" s="0" t="s">
        <v>217</v>
      </c>
      <c r="DU255" s="0" t="s">
        <v>189</v>
      </c>
      <c r="DX255" s="0" t="s">
        <v>267</v>
      </c>
      <c r="DY255" s="0" t="s">
        <v>531</v>
      </c>
      <c r="EA255" s="0" t="s">
        <v>209</v>
      </c>
      <c r="EB255" s="0" t="s">
        <v>189</v>
      </c>
      <c r="EC255" s="0" t="s">
        <v>209</v>
      </c>
      <c r="EF255" s="0" t="n">
        <v>1489</v>
      </c>
      <c r="EG255" s="0" t="s">
        <v>4781</v>
      </c>
      <c r="EH255" s="0" t="s">
        <v>189</v>
      </c>
      <c r="EI255" s="0" t="s">
        <v>4782</v>
      </c>
      <c r="EJ255" s="0" t="s">
        <v>221</v>
      </c>
      <c r="EK255" s="0" t="n">
        <v>0</v>
      </c>
      <c r="EL255" s="0" t="n">
        <v>23</v>
      </c>
      <c r="EM255" s="0" t="n">
        <v>0</v>
      </c>
      <c r="EN255" s="0" t="n">
        <v>2</v>
      </c>
      <c r="EO255" s="0" t="n">
        <v>6</v>
      </c>
      <c r="EP255" s="0" t="n">
        <v>15</v>
      </c>
      <c r="EQ255" s="0" t="n">
        <f aca="false">IF($A255="","",IF(AH255="exact",10,IF(AH255="adjacent",5,0)))</f>
        <v>0</v>
      </c>
      <c r="ER255" s="0" t="n">
        <f aca="false">IF($A255="","",IF(R255="Y",15,0))</f>
        <v>0</v>
      </c>
      <c r="ES255" s="0" t="s">
        <v>982</v>
      </c>
      <c r="ET255" s="0" t="s">
        <v>983</v>
      </c>
      <c r="EU255" s="0" t="s">
        <v>189</v>
      </c>
      <c r="EX255" s="0" t="s">
        <v>4783</v>
      </c>
      <c r="FS255" s="0" t="str">
        <f aca="false">IF($A255="","",IF(ISNUMBER(MATCH(U255,{"queued","contacted","replied","call_booked","call_done","yes_in_principle","materials_sent"},0)),"Y","N"))</f>
        <v>N</v>
      </c>
      <c r="FT255" s="0" t="str">
        <f aca="false">IF($A255="","",IF(OR(T255="Y",U255="do_not_contact",AS255&amp;""&lt;&gt;""),"Y","N"))</f>
        <v>N</v>
      </c>
      <c r="FU255" s="0" t="str">
        <f aca="false">IF($A255="","",IF(AP255&amp;""&lt;&gt;"",AP255&amp;"",$A255))</f>
        <v>AO-C-220</v>
      </c>
      <c r="FV255" s="0" t="str">
        <f aca="false">IF($A255="","",IF(COUNTIFS($FU$2:$FU$1000,FU255,$FS$2:$FS$1000,"Y")+COUNTIFS($FU$2:$FU$1000,FU255,$FT$2:$FT$1000,"Y")&gt;0,"Y","N"))</f>
        <v>N</v>
      </c>
      <c r="FW255" s="0" t="str">
        <f aca="false">IF($A255="","",IF(AND(U255="new",T255="N",FT255="N",AT255="Y",FV255="N"),"Y","N"))</f>
        <v>N</v>
      </c>
      <c r="FX255" s="0" t="str">
        <f aca="false">IF($A255="","",IF(FW255&lt;&gt;"Y","N",IF(COUNTIFS($FU$2:$FU$1000,FU255,$FW$2:$FW$1000,"Y",$J$2:$J$1000,"&gt;"&amp;J255)+COUNTIFS($FU$2:$FU$1000,FU255,$FW$2:$FW$1000,"Y",$J$2:$J$1000,J255,$GD$2:$GD$1000,"&lt;"&amp;GD255)=0,"Y","N")))</f>
        <v>N</v>
      </c>
      <c r="FY255" s="0" t="str">
        <f aca="false">IF($A255="","",IF(AND(FW255="Y",FX255="Y",Y255&amp;""&lt;&gt;""),IF(Y255&lt;=10,"Y","N"),"N"))</f>
        <v>N</v>
      </c>
      <c r="FZ255" s="0" t="str">
        <f aca="false">IF(FY255="Y",Y255,"")</f>
        <v/>
      </c>
      <c r="GA255" s="0" t="str">
        <f aca="false">IF($A255="","",IF(AND(I255="walk-in",CN255="pass",U255="new",FT255="N",FV255="N",AQ255&lt;&gt;"Y"),"Y","N"))</f>
        <v>N</v>
      </c>
      <c r="GB255" s="0" t="str">
        <f aca="false">IF(GA255&lt;&gt;"Y","",IF(COUNTIFS($GA$2:$GA$1000,"Y",$J$2:$J$1000,"&gt;"&amp;J255)+COUNTIFS($GA$2:$GA$1000,"Y",$J$2:$J$1000,J255,$GD$2:$GD$1000,"&lt;"&amp;GD255)+1&lt;=25,COUNTIFS($GA$2:$GA$1000,"Y",$J$2:$J$1000,"&gt;"&amp;J255)+COUNTIFS($GA$2:$GA$1000,"Y",$J$2:$J$1000,J255,$GD$2:$GD$1000,"&lt;"&amp;GD255)+1,""))</f>
        <v/>
      </c>
      <c r="GC255" s="0" t="str">
        <f aca="false">IF(AND(_xlfn.ISFORMULA(C255),_xlfn.ISFORMULA(J255)),"Y","N")</f>
        <v>Y</v>
      </c>
      <c r="GD255" s="0" t="n">
        <f aca="false">ROW()-1</f>
        <v>254</v>
      </c>
    </row>
    <row r="256" customFormat="false" ht="15" hidden="false" customHeight="false" outlineLevel="0" collapsed="false">
      <c r="A256" s="0" t="s">
        <v>4784</v>
      </c>
      <c r="B256" s="0" t="s">
        <v>4785</v>
      </c>
      <c r="C256" s="0" t="str">
        <f aca="false">IF($A256="","",IF(AW256="Y",BM256&amp;"",AY256&amp;""))</f>
        <v/>
      </c>
      <c r="D256" s="0" t="str">
        <f aca="false">IF($A256="","",IF(AW256="Y",BN256&amp;"",AZ256&amp;""))</f>
        <v/>
      </c>
      <c r="E256" s="0" t="str">
        <f aca="false">IF($A256="","",IF(AW256="Y",BO256&amp;"",BA256&amp;""))</f>
        <v/>
      </c>
      <c r="F256" s="0" t="str">
        <f aca="false">IF($A256="","",IF(AW256="Y",BP256&amp;"",BB256&amp;""))</f>
        <v/>
      </c>
      <c r="G256" s="0" t="str">
        <f aca="false">IF($A256="","",IF(AW256="Y",BQ256&amp;"",BC256&amp;""))</f>
        <v/>
      </c>
      <c r="H256" s="0" t="str">
        <f aca="false">IF($A256="","",IF(AW256="Y",BR256&amp;"",BD256&amp;""))</f>
        <v>none</v>
      </c>
      <c r="I256" s="0" t="str">
        <f aca="false">IF($A256="","",IF(R256="Y","warm-intro",IF(H256="verified","email",IF(C256&lt;&gt;"","linkedin",CB256&amp;""))))</f>
        <v>linkedin</v>
      </c>
      <c r="J256" s="0" t="n">
        <f aca="false">IF($A256="","",IF(CN256="pass",ROUND(N(EM256)+N(EN256)+N(EO256)+N(EP256)+N(EQ256)+N(ER256),1),0))</f>
        <v>0</v>
      </c>
      <c r="K256" s="0" t="str">
        <f aca="false">IF($A256="","",IF(CN256&lt;&gt;"pass",CA256&amp;"",CA256&amp;"; "&amp;IF(AW256="Y",BZ256&amp;"",BL256&amp;"")&amp;IF(R256="Y","; known to the founder (+15)","")&amp;"."))</f>
        <v>Gated out: Tuesday estimate over 250 (291 to 582).</v>
      </c>
      <c r="L256" s="0" t="s">
        <v>355</v>
      </c>
      <c r="O256" s="0" t="s">
        <v>4786</v>
      </c>
      <c r="P256" s="0" t="s">
        <v>4787</v>
      </c>
      <c r="Q256" s="0" t="s">
        <v>4788</v>
      </c>
      <c r="R256" s="5" t="s">
        <v>189</v>
      </c>
      <c r="S256" s="0" t="s">
        <v>209</v>
      </c>
      <c r="T256" s="0" t="s">
        <v>189</v>
      </c>
      <c r="U256" s="5" t="s">
        <v>3896</v>
      </c>
      <c r="V256" s="0" t="s">
        <v>4787</v>
      </c>
      <c r="W256" s="0" t="s">
        <v>263</v>
      </c>
      <c r="X256" s="0" t="s">
        <v>3897</v>
      </c>
      <c r="Y256" s="0" t="str">
        <f aca="false">IF(FX256&lt;&gt;"Y","",COUNTIFS($FX$2:$FX$1000,"Y",$J$2:$J$1000,"&gt;"&amp;J256)+COUNTIFS($FX$2:$FX$1000,"Y",$J$2:$J$1000,J256,$GD$2:$GD$1000,"&lt;"&amp;GD256)+1)</f>
        <v/>
      </c>
      <c r="AA256" s="0" t="s">
        <v>189</v>
      </c>
      <c r="AB256" s="0" t="str">
        <f aca="false">IF($A256="","",IF(AW256="Y",BY256&amp;"",BK256&amp;""))</f>
        <v/>
      </c>
      <c r="AC256" s="0" t="str">
        <f aca="false">IF($A256="","",IF(AW256="Y",BS256&amp;"",BE256&amp;""))</f>
        <v/>
      </c>
      <c r="AD256" s="0" t="str">
        <f aca="false">IF($A256="","",IF(AW256="Y",BT256&amp;"",BF256&amp;""))</f>
        <v>none</v>
      </c>
      <c r="AE256" s="0" t="str">
        <f aca="false">IF($A256="","",IF(AW256="Y",BU256&amp;"",BG256&amp;""))</f>
        <v/>
      </c>
      <c r="AF256" s="0" t="str">
        <f aca="false">IF($A256="","",IF(AW256="Y",BV256&amp;"",BH256&amp;""))</f>
        <v/>
      </c>
      <c r="AG256" s="0" t="str">
        <f aca="false">IF($A256="","",IF(AW256="Y",BW256&amp;"",BI256&amp;""))</f>
        <v/>
      </c>
      <c r="AH256" s="0" t="str">
        <f aca="false">IF($A256="","",IF(AW256="Y",BX256&amp;"",BJ256&amp;""))</f>
        <v>none</v>
      </c>
      <c r="AI256" s="0" t="s">
        <v>3855</v>
      </c>
      <c r="AJ256" s="0" t="s">
        <v>4789</v>
      </c>
      <c r="AK256" s="0" t="s">
        <v>3933</v>
      </c>
      <c r="AL256" s="0" t="n">
        <v>291</v>
      </c>
      <c r="AM256" s="0" t="n">
        <v>582</v>
      </c>
      <c r="AN256" s="0" t="s">
        <v>187</v>
      </c>
      <c r="AO256" s="0" t="s">
        <v>188</v>
      </c>
      <c r="AP256" s="0" t="s">
        <v>4784</v>
      </c>
      <c r="AQ256" s="5" t="s">
        <v>189</v>
      </c>
      <c r="AT256" s="0" t="str">
        <f aca="false">IF($A256="","",IF(AND(CN256="pass",AQ256&lt;&gt;"Y",C256&lt;&gt;"",OR(AX256&lt;&gt;"Y",AV256="Y")),"Y","N"))</f>
        <v>N</v>
      </c>
      <c r="AU256" s="0" t="str">
        <f aca="false">IF($A256="","",_xlfn.TEXTJOIN("; ",TRUE(),IF(CN256&lt;&gt;"pass","gated out",""),IF(AQ256="Y","on hold: "&amp;AR256,""),IF(C256="","no contact named on an opened page",""),IF(AND(AX256="Y",AV256&lt;&gt;"Y"),"Tuesday estimate band "&amp;L256&amp;": founder's call","")))</f>
        <v>gated out; no contact named on an opened page; Tuesday estimate band 251-500: founder's call</v>
      </c>
      <c r="AX256" s="0" t="s">
        <v>164</v>
      </c>
      <c r="BC256" s="0" t="str">
        <f aca="false">IF($A256="","",IFERROR(INDEX(Enrichment!$A$2:$GZ$2000,MATCH($A256,INDEX(Enrichment!$A$2:$GZ$2000,0,MATCH("row_id",Enrichment!$A$1:$GZ$1,0)),0),MATCH("work_email",Enrichment!$A$1:$GZ$1,0))&amp;"",""))</f>
        <v/>
      </c>
      <c r="BD256" s="0" t="str">
        <f aca="false">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none</v>
      </c>
      <c r="BF256" s="0" t="s">
        <v>380</v>
      </c>
      <c r="BJ256" s="0" t="s">
        <v>380</v>
      </c>
      <c r="BL256" s="0" t="s">
        <v>837</v>
      </c>
      <c r="BQ256" s="0" t="str">
        <f aca="false">IF($A256="","",IFERROR(INDEX(Enrichment!$A$2:$GZ$2000,MATCH($A256,INDEX(Enrichment!$A$2:$GZ$2000,0,MATCH("row_id",Enrichment!$A$1:$GZ$1,0)),0),MATCH("backup_work_email",Enrichment!$A$1:$GZ$1,0))&amp;"",""))</f>
        <v/>
      </c>
      <c r="BR256" s="0" t="str">
        <f aca="false">IF($A256="","",IF(BQ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none</v>
      </c>
      <c r="BT256" s="0" t="s">
        <v>380</v>
      </c>
      <c r="BX256" s="0" t="s">
        <v>380</v>
      </c>
      <c r="BZ256" s="0" t="s">
        <v>388</v>
      </c>
      <c r="CA256" s="0" t="s">
        <v>4790</v>
      </c>
      <c r="CB256" s="0" t="s">
        <v>196</v>
      </c>
      <c r="CM256" s="0" t="s">
        <v>164</v>
      </c>
      <c r="CN256" s="0" t="s">
        <v>4627</v>
      </c>
      <c r="CO256" s="0" t="s">
        <v>4791</v>
      </c>
      <c r="CP256" s="0" t="s">
        <v>1</v>
      </c>
      <c r="CQ256" s="0" t="s">
        <v>4792</v>
      </c>
      <c r="CR256" s="0" t="s">
        <v>4793</v>
      </c>
      <c r="CS256" s="0" t="s">
        <v>4794</v>
      </c>
      <c r="CT256" s="0" t="s">
        <v>4795</v>
      </c>
      <c r="CV256" s="0" t="s">
        <v>976</v>
      </c>
      <c r="CW256" s="0" t="s">
        <v>204</v>
      </c>
      <c r="CX256" s="0" t="s">
        <v>205</v>
      </c>
      <c r="CY256" s="0" t="s">
        <v>4796</v>
      </c>
      <c r="DA256" s="0" t="s">
        <v>978</v>
      </c>
      <c r="DB256" s="0" t="s">
        <v>2262</v>
      </c>
      <c r="DC256" s="0" t="s">
        <v>189</v>
      </c>
      <c r="DD256" s="0" t="s">
        <v>209</v>
      </c>
      <c r="DE256" s="0" t="s">
        <v>209</v>
      </c>
      <c r="DF256" s="0" t="s">
        <v>525</v>
      </c>
      <c r="DG256" s="0" t="n">
        <v>40.739363</v>
      </c>
      <c r="DH256" s="0" t="n">
        <v>-73.989534</v>
      </c>
      <c r="DI256" s="0" t="s">
        <v>164</v>
      </c>
      <c r="DJ256" s="0" t="n">
        <v>0</v>
      </c>
      <c r="DK256" s="0" t="s">
        <v>3203</v>
      </c>
      <c r="DL256" s="0" t="s">
        <v>3204</v>
      </c>
      <c r="DM256" s="0" t="s">
        <v>4787</v>
      </c>
      <c r="DN256" s="0" t="s">
        <v>4788</v>
      </c>
      <c r="DO256" s="0" t="s">
        <v>363</v>
      </c>
      <c r="DP256" s="0" t="s">
        <v>4797</v>
      </c>
      <c r="DQ256" s="0" t="s">
        <v>263</v>
      </c>
      <c r="DS256" s="0" t="s">
        <v>217</v>
      </c>
      <c r="DU256" s="0" t="s">
        <v>189</v>
      </c>
      <c r="DX256" s="0" t="s">
        <v>267</v>
      </c>
      <c r="DY256" s="0" t="s">
        <v>3206</v>
      </c>
      <c r="EA256" s="0" t="s">
        <v>209</v>
      </c>
      <c r="EB256" s="0" t="s">
        <v>189</v>
      </c>
      <c r="EC256" s="0" t="s">
        <v>655</v>
      </c>
      <c r="ED256" s="0" t="s">
        <v>4797</v>
      </c>
      <c r="EE256" s="0" t="s">
        <v>172</v>
      </c>
      <c r="EF256" s="0" t="n">
        <v>412</v>
      </c>
      <c r="EG256" s="0" t="s">
        <v>4781</v>
      </c>
      <c r="EH256" s="0" t="s">
        <v>164</v>
      </c>
      <c r="EI256" s="0" t="s">
        <v>4798</v>
      </c>
      <c r="EJ256" s="0" t="s">
        <v>221</v>
      </c>
      <c r="EK256" s="0" t="n">
        <v>0</v>
      </c>
      <c r="EL256" s="0" t="n">
        <v>32</v>
      </c>
      <c r="EM256" s="0" t="n">
        <v>0</v>
      </c>
      <c r="EN256" s="0" t="n">
        <v>2</v>
      </c>
      <c r="EO256" s="0" t="n">
        <v>15</v>
      </c>
      <c r="EP256" s="0" t="n">
        <v>15</v>
      </c>
      <c r="EQ256" s="0" t="n">
        <f aca="false">IF($A256="","",IF(AH256="exact",10,IF(AH256="adjacent",5,0)))</f>
        <v>0</v>
      </c>
      <c r="ER256" s="0" t="n">
        <f aca="false">IF($A256="","",IF(R256="Y",15,0))</f>
        <v>0</v>
      </c>
      <c r="ES256" s="0" t="s">
        <v>982</v>
      </c>
      <c r="ET256" s="0" t="s">
        <v>983</v>
      </c>
      <c r="EU256" s="0" t="s">
        <v>189</v>
      </c>
      <c r="EV256" s="0" t="s">
        <v>4799</v>
      </c>
      <c r="EW256" s="0" t="s">
        <v>224</v>
      </c>
      <c r="EX256" s="0" t="s">
        <v>4800</v>
      </c>
      <c r="FS256" s="0" t="str">
        <f aca="false">IF($A256="","",IF(ISNUMBER(MATCH(U256,{"queued","contacted","replied","call_booked","call_done","yes_in_principle","materials_sent"},0)),"Y","N"))</f>
        <v>N</v>
      </c>
      <c r="FT256" s="0" t="str">
        <f aca="false">IF($A256="","",IF(OR(T256="Y",U256="do_not_contact",AS256&amp;""&lt;&gt;""),"Y","N"))</f>
        <v>N</v>
      </c>
      <c r="FU256" s="0" t="str">
        <f aca="false">IF($A256="","",IF(AP256&amp;""&lt;&gt;"",AP256&amp;"",$A256))</f>
        <v>AO-C-213</v>
      </c>
      <c r="FV256" s="0" t="str">
        <f aca="false">IF($A256="","",IF(COUNTIFS($FU$2:$FU$1000,FU256,$FS$2:$FS$1000,"Y")+COUNTIFS($FU$2:$FU$1000,FU256,$FT$2:$FT$1000,"Y")&gt;0,"Y","N"))</f>
        <v>N</v>
      </c>
      <c r="FW256" s="0" t="str">
        <f aca="false">IF($A256="","",IF(AND(U256="new",T256="N",FT256="N",AT256="Y",FV256="N"),"Y","N"))</f>
        <v>N</v>
      </c>
      <c r="FX256" s="0" t="str">
        <f aca="false">IF($A256="","",IF(FW256&lt;&gt;"Y","N",IF(COUNTIFS($FU$2:$FU$1000,FU256,$FW$2:$FW$1000,"Y",$J$2:$J$1000,"&gt;"&amp;J256)+COUNTIFS($FU$2:$FU$1000,FU256,$FW$2:$FW$1000,"Y",$J$2:$J$1000,J256,$GD$2:$GD$1000,"&lt;"&amp;GD256)=0,"Y","N")))</f>
        <v>N</v>
      </c>
      <c r="FY256" s="0" t="str">
        <f aca="false">IF($A256="","",IF(AND(FW256="Y",FX256="Y",Y256&amp;""&lt;&gt;""),IF(Y256&lt;=10,"Y","N"),"N"))</f>
        <v>N</v>
      </c>
      <c r="FZ256" s="0" t="str">
        <f aca="false">IF(FY256="Y",Y256,"")</f>
        <v/>
      </c>
      <c r="GA256" s="0" t="str">
        <f aca="false">IF($A256="","",IF(AND(I256="walk-in",CN256="pass",U256="new",FT256="N",FV256="N",AQ256&lt;&gt;"Y"),"Y","N"))</f>
        <v>N</v>
      </c>
      <c r="GB256" s="0" t="str">
        <f aca="false">IF(GA256&lt;&gt;"Y","",IF(COUNTIFS($GA$2:$GA$1000,"Y",$J$2:$J$1000,"&gt;"&amp;J256)+COUNTIFS($GA$2:$GA$1000,"Y",$J$2:$J$1000,J256,$GD$2:$GD$1000,"&lt;"&amp;GD256)+1&lt;=25,COUNTIFS($GA$2:$GA$1000,"Y",$J$2:$J$1000,"&gt;"&amp;J256)+COUNTIFS($GA$2:$GA$1000,"Y",$J$2:$J$1000,J256,$GD$2:$GD$1000,"&lt;"&amp;GD256)+1,""))</f>
        <v/>
      </c>
      <c r="GC256" s="0" t="str">
        <f aca="false">IF(AND(_xlfn.ISFORMULA(C256),_xlfn.ISFORMULA(J256)),"Y","N")</f>
        <v>Y</v>
      </c>
      <c r="GD256" s="0" t="n">
        <f aca="false">ROW()-1</f>
        <v>255</v>
      </c>
    </row>
    <row r="257" customFormat="false" ht="15" hidden="false" customHeight="false" outlineLevel="0" collapsed="false">
      <c r="A257" s="0" t="s">
        <v>4801</v>
      </c>
      <c r="B257" s="0" t="s">
        <v>4802</v>
      </c>
      <c r="C257" s="0" t="str">
        <f aca="false">IF($A257="","",IF(AW257="Y",BM257&amp;"",AY257&amp;""))</f>
        <v/>
      </c>
      <c r="D257" s="0" t="str">
        <f aca="false">IF($A257="","",IF(AW257="Y",BN257&amp;"",AZ257&amp;""))</f>
        <v/>
      </c>
      <c r="E257" s="0" t="str">
        <f aca="false">IF($A257="","",IF(AW257="Y",BO257&amp;"",BA257&amp;""))</f>
        <v/>
      </c>
      <c r="F257" s="0" t="str">
        <f aca="false">IF($A257="","",IF(AW257="Y",BP257&amp;"",BB257&amp;""))</f>
        <v/>
      </c>
      <c r="G257" s="0" t="str">
        <f aca="false">IF($A257="","",IF(AW257="Y",BQ257&amp;"",BC257&amp;""))</f>
        <v/>
      </c>
      <c r="H257" s="0" t="str">
        <f aca="false">IF($A257="","",IF(AW257="Y",BR257&amp;"",BD257&amp;""))</f>
        <v>none</v>
      </c>
      <c r="I257" s="0" t="str">
        <f aca="false">IF($A257="","",IF(R257="Y","warm-intro",IF(H257="verified","email",IF(C257&lt;&gt;"","linkedin",CB257&amp;""))))</f>
        <v>linkedin</v>
      </c>
      <c r="J257" s="0" t="n">
        <f aca="false">IF($A257="","",IF(CN257="pass",ROUND(N(EM257)+N(EN257)+N(EO257)+N(EP257)+N(EQ257)+N(ER257),1),0))</f>
        <v>0</v>
      </c>
      <c r="K257" s="0" t="str">
        <f aca="false">IF($A257="","",IF(CN257&lt;&gt;"pass",CA257&amp;"",CA257&amp;"; "&amp;IF(AW257="Y",BZ257&amp;"",BL257&amp;"")&amp;IF(R257="Y","; known to the founder (+15)","")&amp;"."))</f>
        <v>Gated out: Tuesday estimate over 250 (1390 to 2780).</v>
      </c>
      <c r="L257" s="0" t="s">
        <v>976</v>
      </c>
      <c r="R257" s="5" t="s">
        <v>189</v>
      </c>
      <c r="S257" s="0" t="s">
        <v>209</v>
      </c>
      <c r="T257" s="0" t="s">
        <v>189</v>
      </c>
      <c r="U257" s="5" t="s">
        <v>3896</v>
      </c>
      <c r="V257" s="0" t="s">
        <v>4169</v>
      </c>
      <c r="W257" s="0" t="s">
        <v>263</v>
      </c>
      <c r="X257" s="0" t="s">
        <v>3897</v>
      </c>
      <c r="Y257" s="0" t="str">
        <f aca="false">IF(FX257&lt;&gt;"Y","",COUNTIFS($FX$2:$FX$1000,"Y",$J$2:$J$1000,"&gt;"&amp;J257)+COUNTIFS($FX$2:$FX$1000,"Y",$J$2:$J$1000,J257,$GD$2:$GD$1000,"&lt;"&amp;GD257)+1)</f>
        <v/>
      </c>
      <c r="AA257" s="0" t="s">
        <v>189</v>
      </c>
      <c r="AB257" s="0" t="str">
        <f aca="false">IF($A257="","",IF(AW257="Y",BY257&amp;"",BK257&amp;""))</f>
        <v/>
      </c>
      <c r="AC257" s="0" t="str">
        <f aca="false">IF($A257="","",IF(AW257="Y",BS257&amp;"",BE257&amp;""))</f>
        <v/>
      </c>
      <c r="AD257" s="0" t="str">
        <f aca="false">IF($A257="","",IF(AW257="Y",BT257&amp;"",BF257&amp;""))</f>
        <v>none</v>
      </c>
      <c r="AE257" s="0" t="str">
        <f aca="false">IF($A257="","",IF(AW257="Y",BU257&amp;"",BG257&amp;""))</f>
        <v/>
      </c>
      <c r="AF257" s="0" t="str">
        <f aca="false">IF($A257="","",IF(AW257="Y",BV257&amp;"",BH257&amp;""))</f>
        <v/>
      </c>
      <c r="AG257" s="0" t="str">
        <f aca="false">IF($A257="","",IF(AW257="Y",BW257&amp;"",BI257&amp;""))</f>
        <v/>
      </c>
      <c r="AH257" s="0" t="str">
        <f aca="false">IF($A257="","",IF(AW257="Y",BX257&amp;"",BJ257&amp;""))</f>
        <v>none</v>
      </c>
      <c r="AI257" s="0" t="s">
        <v>1468</v>
      </c>
      <c r="AJ257" s="0" t="s">
        <v>209</v>
      </c>
      <c r="AK257" s="0" t="s">
        <v>3933</v>
      </c>
      <c r="AL257" s="0" t="n">
        <v>1390</v>
      </c>
      <c r="AM257" s="0" t="n">
        <v>2780</v>
      </c>
      <c r="AN257" s="0" t="s">
        <v>187</v>
      </c>
      <c r="AO257" s="0" t="s">
        <v>209</v>
      </c>
      <c r="AP257" s="0" t="s">
        <v>4801</v>
      </c>
      <c r="AQ257" s="5" t="s">
        <v>189</v>
      </c>
      <c r="AT257" s="0" t="str">
        <f aca="false">IF($A257="","",IF(AND(CN257="pass",AQ257&lt;&gt;"Y",C257&lt;&gt;"",OR(AX257&lt;&gt;"Y",AV257="Y")),"Y","N"))</f>
        <v>N</v>
      </c>
      <c r="AU257" s="0" t="str">
        <f aca="false">IF($A257="","",_xlfn.TEXTJOIN("; ",TRUE(),IF(CN257&lt;&gt;"pass","gated out",""),IF(AQ257="Y","on hold: "&amp;AR257,""),IF(C257="","no contact named on an opened page",""),IF(AND(AX257="Y",AV257&lt;&gt;"Y"),"Tuesday estimate band "&amp;L257&amp;": founder's call","")))</f>
        <v>gated out; no contact named on an opened page; Tuesday estimate band over-500: founder's call</v>
      </c>
      <c r="AX257" s="0" t="s">
        <v>164</v>
      </c>
      <c r="BC257" s="0" t="str">
        <f aca="false">IF($A257="","",IFERROR(INDEX(Enrichment!$A$2:$GZ$2000,MATCH($A257,INDEX(Enrichment!$A$2:$GZ$2000,0,MATCH("row_id",Enrichment!$A$1:$GZ$1,0)),0),MATCH("work_email",Enrichment!$A$1:$GZ$1,0))&amp;"",""))</f>
        <v/>
      </c>
      <c r="BD257" s="0" t="str">
        <f aca="false">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none</v>
      </c>
      <c r="BF257" s="0" t="s">
        <v>380</v>
      </c>
      <c r="BJ257" s="0" t="s">
        <v>380</v>
      </c>
      <c r="BL257" s="0" t="s">
        <v>896</v>
      </c>
      <c r="BQ257" s="0" t="str">
        <f aca="false">IF($A257="","",IFERROR(INDEX(Enrichment!$A$2:$GZ$2000,MATCH($A257,INDEX(Enrichment!$A$2:$GZ$2000,0,MATCH("row_id",Enrichment!$A$1:$GZ$1,0)),0),MATCH("backup_work_email",Enrichment!$A$1:$GZ$1,0))&amp;"",""))</f>
        <v/>
      </c>
      <c r="BR257" s="0" t="str">
        <f aca="false">IF($A257="","",IF(BQ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none</v>
      </c>
      <c r="BT257" s="0" t="s">
        <v>380</v>
      </c>
      <c r="BX257" s="0" t="s">
        <v>380</v>
      </c>
      <c r="BZ257" s="0" t="s">
        <v>388</v>
      </c>
      <c r="CA257" s="0" t="s">
        <v>4803</v>
      </c>
      <c r="CB257" s="0" t="s">
        <v>196</v>
      </c>
      <c r="CM257" s="0" t="s">
        <v>189</v>
      </c>
      <c r="CN257" s="0" t="s">
        <v>4627</v>
      </c>
      <c r="CO257" s="0" t="s">
        <v>4804</v>
      </c>
      <c r="CP257" s="0" t="s">
        <v>1</v>
      </c>
      <c r="CQ257" s="0" t="s">
        <v>4805</v>
      </c>
      <c r="CR257" s="0" t="s">
        <v>4806</v>
      </c>
      <c r="CS257" s="0" t="s">
        <v>4807</v>
      </c>
      <c r="CT257" s="0" t="s">
        <v>4808</v>
      </c>
      <c r="CV257" s="0" t="s">
        <v>976</v>
      </c>
      <c r="CW257" s="0" t="s">
        <v>204</v>
      </c>
      <c r="CX257" s="0" t="s">
        <v>205</v>
      </c>
      <c r="CY257" s="0" t="s">
        <v>4809</v>
      </c>
      <c r="DA257" s="0" t="s">
        <v>2301</v>
      </c>
      <c r="DB257" s="0" t="s">
        <v>209</v>
      </c>
      <c r="DC257" s="0" t="s">
        <v>209</v>
      </c>
      <c r="DD257" s="0" t="s">
        <v>209</v>
      </c>
      <c r="DE257" s="0" t="s">
        <v>209</v>
      </c>
      <c r="DF257" s="0" t="s">
        <v>525</v>
      </c>
      <c r="DG257" s="0" t="n">
        <v>40.741141</v>
      </c>
      <c r="DH257" s="0" t="n">
        <v>-73.987489</v>
      </c>
      <c r="DI257" s="0" t="s">
        <v>164</v>
      </c>
      <c r="DJ257" s="0" t="n">
        <v>0</v>
      </c>
      <c r="DL257" s="0" t="s">
        <v>209</v>
      </c>
      <c r="DM257" s="0" t="s">
        <v>4169</v>
      </c>
      <c r="DN257" s="0" t="s">
        <v>4176</v>
      </c>
      <c r="DO257" s="0" t="s">
        <v>4177</v>
      </c>
      <c r="DP257" s="0" t="s">
        <v>4810</v>
      </c>
      <c r="DQ257" s="0" t="s">
        <v>4811</v>
      </c>
      <c r="DS257" s="0" t="s">
        <v>217</v>
      </c>
      <c r="DU257" s="0" t="s">
        <v>189</v>
      </c>
      <c r="DX257" s="0" t="s">
        <v>209</v>
      </c>
      <c r="EA257" s="0" t="s">
        <v>209</v>
      </c>
      <c r="EB257" s="0" t="s">
        <v>189</v>
      </c>
      <c r="EC257" s="0" t="s">
        <v>209</v>
      </c>
      <c r="EF257" s="0" t="n">
        <v>1966</v>
      </c>
      <c r="EG257" s="0" t="s">
        <v>4781</v>
      </c>
      <c r="EH257" s="0" t="s">
        <v>164</v>
      </c>
      <c r="EI257" s="0" t="s">
        <v>4812</v>
      </c>
      <c r="EJ257" s="0" t="s">
        <v>221</v>
      </c>
      <c r="EK257" s="0" t="n">
        <v>0</v>
      </c>
      <c r="EL257" s="0" t="n">
        <v>21</v>
      </c>
      <c r="EM257" s="0" t="n">
        <v>0</v>
      </c>
      <c r="EN257" s="0" t="n">
        <v>0</v>
      </c>
      <c r="EO257" s="0" t="n">
        <v>6</v>
      </c>
      <c r="EP257" s="0" t="n">
        <v>15</v>
      </c>
      <c r="EQ257" s="0" t="n">
        <f aca="false">IF($A257="","",IF(AH257="exact",10,IF(AH257="adjacent",5,0)))</f>
        <v>0</v>
      </c>
      <c r="ER257" s="0" t="n">
        <f aca="false">IF($A257="","",IF(R257="Y",15,0))</f>
        <v>0</v>
      </c>
      <c r="ES257" s="0" t="s">
        <v>982</v>
      </c>
      <c r="ET257" s="0" t="s">
        <v>2310</v>
      </c>
      <c r="EU257" s="0" t="s">
        <v>189</v>
      </c>
      <c r="EV257" s="0" t="s">
        <v>4813</v>
      </c>
      <c r="EW257" s="0" t="s">
        <v>224</v>
      </c>
      <c r="EX257" s="0" t="s">
        <v>4814</v>
      </c>
      <c r="FS257" s="0" t="str">
        <f aca="false">IF($A257="","",IF(ISNUMBER(MATCH(U257,{"queued","contacted","replied","call_booked","call_done","yes_in_principle","materials_sent"},0)),"Y","N"))</f>
        <v>N</v>
      </c>
      <c r="FT257" s="0" t="str">
        <f aca="false">IF($A257="","",IF(OR(T257="Y",U257="do_not_contact",AS257&amp;""&lt;&gt;""),"Y","N"))</f>
        <v>N</v>
      </c>
      <c r="FU257" s="0" t="str">
        <f aca="false">IF($A257="","",IF(AP257&amp;""&lt;&gt;"",AP257&amp;"",$A257))</f>
        <v>AO-C-236</v>
      </c>
      <c r="FV257" s="0" t="str">
        <f aca="false">IF($A257="","",IF(COUNTIFS($FU$2:$FU$1000,FU257,$FS$2:$FS$1000,"Y")+COUNTIFS($FU$2:$FU$1000,FU257,$FT$2:$FT$1000,"Y")&gt;0,"Y","N"))</f>
        <v>N</v>
      </c>
      <c r="FW257" s="0" t="str">
        <f aca="false">IF($A257="","",IF(AND(U257="new",T257="N",FT257="N",AT257="Y",FV257="N"),"Y","N"))</f>
        <v>N</v>
      </c>
      <c r="FX257" s="0" t="str">
        <f aca="false">IF($A257="","",IF(FW257&lt;&gt;"Y","N",IF(COUNTIFS($FU$2:$FU$1000,FU257,$FW$2:$FW$1000,"Y",$J$2:$J$1000,"&gt;"&amp;J257)+COUNTIFS($FU$2:$FU$1000,FU257,$FW$2:$FW$1000,"Y",$J$2:$J$1000,J257,$GD$2:$GD$1000,"&lt;"&amp;GD257)=0,"Y","N")))</f>
        <v>N</v>
      </c>
      <c r="FY257" s="0" t="str">
        <f aca="false">IF($A257="","",IF(AND(FW257="Y",FX257="Y",Y257&amp;""&lt;&gt;""),IF(Y257&lt;=10,"Y","N"),"N"))</f>
        <v>N</v>
      </c>
      <c r="FZ257" s="0" t="str">
        <f aca="false">IF(FY257="Y",Y257,"")</f>
        <v/>
      </c>
      <c r="GA257" s="0" t="str">
        <f aca="false">IF($A257="","",IF(AND(I257="walk-in",CN257="pass",U257="new",FT257="N",FV257="N",AQ257&lt;&gt;"Y"),"Y","N"))</f>
        <v>N</v>
      </c>
      <c r="GB257" s="0" t="str">
        <f aca="false">IF(GA257&lt;&gt;"Y","",IF(COUNTIFS($GA$2:$GA$1000,"Y",$J$2:$J$1000,"&gt;"&amp;J257)+COUNTIFS($GA$2:$GA$1000,"Y",$J$2:$J$1000,J257,$GD$2:$GD$1000,"&lt;"&amp;GD257)+1&lt;=25,COUNTIFS($GA$2:$GA$1000,"Y",$J$2:$J$1000,"&gt;"&amp;J257)+COUNTIFS($GA$2:$GA$1000,"Y",$J$2:$J$1000,J257,$GD$2:$GD$1000,"&lt;"&amp;GD257)+1,""))</f>
        <v/>
      </c>
      <c r="GC257" s="0" t="str">
        <f aca="false">IF(AND(_xlfn.ISFORMULA(C257),_xlfn.ISFORMULA(J257)),"Y","N")</f>
        <v>Y</v>
      </c>
      <c r="GD257" s="0" t="n">
        <f aca="false">ROW()-1</f>
        <v>256</v>
      </c>
    </row>
    <row r="258" customFormat="false" ht="15" hidden="false" customHeight="false" outlineLevel="0" collapsed="false">
      <c r="A258" s="0" t="s">
        <v>4815</v>
      </c>
      <c r="B258" s="0" t="s">
        <v>4816</v>
      </c>
      <c r="C258" s="0" t="str">
        <f aca="false">IF($A258="","",IF(AW258="Y",BM258&amp;"",AY258&amp;""))</f>
        <v/>
      </c>
      <c r="D258" s="0" t="str">
        <f aca="false">IF($A258="","",IF(AW258="Y",BN258&amp;"",AZ258&amp;""))</f>
        <v/>
      </c>
      <c r="E258" s="0" t="str">
        <f aca="false">IF($A258="","",IF(AW258="Y",BO258&amp;"",BA258&amp;""))</f>
        <v/>
      </c>
      <c r="F258" s="0" t="str">
        <f aca="false">IF($A258="","",IF(AW258="Y",BP258&amp;"",BB258&amp;""))</f>
        <v/>
      </c>
      <c r="G258" s="0" t="str">
        <f aca="false">IF($A258="","",IF(AW258="Y",BQ258&amp;"",BC258&amp;""))</f>
        <v/>
      </c>
      <c r="H258" s="0" t="str">
        <f aca="false">IF($A258="","",IF(AW258="Y",BR258&amp;"",BD258&amp;""))</f>
        <v>none</v>
      </c>
      <c r="I258" s="0" t="str">
        <f aca="false">IF($A258="","",IF(R258="Y","warm-intro",IF(H258="verified","email",IF(C258&lt;&gt;"","linkedin",CB258&amp;""))))</f>
        <v>linkedin</v>
      </c>
      <c r="J258" s="0" t="n">
        <f aca="false">IF($A258="","",IF(CN258="pass",ROUND(N(EM258)+N(EN258)+N(EO258)+N(EP258)+N(EQ258)+N(ER258),1),0))</f>
        <v>0</v>
      </c>
      <c r="K258" s="0" t="str">
        <f aca="false">IF($A258="","",IF(CN258&lt;&gt;"pass",CA258&amp;"",CA258&amp;"; "&amp;IF(AW258="Y",BZ258&amp;"",BL258&amp;"")&amp;IF(R258="Y","; known to the founder (+15)","")&amp;"."))</f>
        <v>Gated out: Tuesday estimate over 250 (1448 to 2897).</v>
      </c>
      <c r="L258" s="0" t="s">
        <v>976</v>
      </c>
      <c r="R258" s="5" t="s">
        <v>189</v>
      </c>
      <c r="S258" s="0" t="s">
        <v>209</v>
      </c>
      <c r="T258" s="0" t="s">
        <v>189</v>
      </c>
      <c r="U258" s="5" t="s">
        <v>3896</v>
      </c>
      <c r="V258" s="0" t="s">
        <v>2384</v>
      </c>
      <c r="W258" s="0" t="s">
        <v>263</v>
      </c>
      <c r="X258" s="0" t="s">
        <v>3897</v>
      </c>
      <c r="Y258" s="0" t="str">
        <f aca="false">IF(FX258&lt;&gt;"Y","",COUNTIFS($FX$2:$FX$1000,"Y",$J$2:$J$1000,"&gt;"&amp;J258)+COUNTIFS($FX$2:$FX$1000,"Y",$J$2:$J$1000,J258,$GD$2:$GD$1000,"&lt;"&amp;GD258)+1)</f>
        <v/>
      </c>
      <c r="AA258" s="0" t="s">
        <v>189</v>
      </c>
      <c r="AB258" s="0" t="str">
        <f aca="false">IF($A258="","",IF(AW258="Y",BY258&amp;"",BK258&amp;""))</f>
        <v/>
      </c>
      <c r="AC258" s="0" t="str">
        <f aca="false">IF($A258="","",IF(AW258="Y",BS258&amp;"",BE258&amp;""))</f>
        <v/>
      </c>
      <c r="AD258" s="0" t="str">
        <f aca="false">IF($A258="","",IF(AW258="Y",BT258&amp;"",BF258&amp;""))</f>
        <v>none</v>
      </c>
      <c r="AE258" s="0" t="str">
        <f aca="false">IF($A258="","",IF(AW258="Y",BU258&amp;"",BG258&amp;""))</f>
        <v/>
      </c>
      <c r="AF258" s="0" t="str">
        <f aca="false">IF($A258="","",IF(AW258="Y",BV258&amp;"",BH258&amp;""))</f>
        <v/>
      </c>
      <c r="AG258" s="0" t="str">
        <f aca="false">IF($A258="","",IF(AW258="Y",BW258&amp;"",BI258&amp;""))</f>
        <v/>
      </c>
      <c r="AH258" s="0" t="str">
        <f aca="false">IF($A258="","",IF(AW258="Y",BX258&amp;"",BJ258&amp;""))</f>
        <v>none</v>
      </c>
      <c r="AI258" s="0" t="s">
        <v>1468</v>
      </c>
      <c r="AJ258" s="0" t="s">
        <v>4817</v>
      </c>
      <c r="AK258" s="0" t="s">
        <v>3933</v>
      </c>
      <c r="AL258" s="0" t="n">
        <v>1448</v>
      </c>
      <c r="AM258" s="0" t="n">
        <v>2897</v>
      </c>
      <c r="AN258" s="0" t="s">
        <v>187</v>
      </c>
      <c r="AO258" s="0" t="s">
        <v>209</v>
      </c>
      <c r="AP258" s="0" t="s">
        <v>4815</v>
      </c>
      <c r="AQ258" s="5" t="s">
        <v>189</v>
      </c>
      <c r="AT258" s="0" t="str">
        <f aca="false">IF($A258="","",IF(AND(CN258="pass",AQ258&lt;&gt;"Y",C258&lt;&gt;"",OR(AX258&lt;&gt;"Y",AV258="Y")),"Y","N"))</f>
        <v>N</v>
      </c>
      <c r="AU258" s="0" t="str">
        <f aca="false">IF($A258="","",_xlfn.TEXTJOIN("; ",TRUE(),IF(CN258&lt;&gt;"pass","gated out",""),IF(AQ258="Y","on hold: "&amp;AR258,""),IF(C258="","no contact named on an opened page",""),IF(AND(AX258="Y",AV258&lt;&gt;"Y"),"Tuesday estimate band "&amp;L258&amp;": founder's call","")))</f>
        <v>gated out; no contact named on an opened page; Tuesday estimate band over-500: founder's call</v>
      </c>
      <c r="AX258" s="0" t="s">
        <v>164</v>
      </c>
      <c r="BC258" s="0" t="str">
        <f aca="false">IF($A258="","",IFERROR(INDEX(Enrichment!$A$2:$GZ$2000,MATCH($A258,INDEX(Enrichment!$A$2:$GZ$2000,0,MATCH("row_id",Enrichment!$A$1:$GZ$1,0)),0),MATCH("work_email",Enrichment!$A$1:$GZ$1,0))&amp;"",""))</f>
        <v/>
      </c>
      <c r="BD258" s="0" t="str">
        <f aca="false">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none</v>
      </c>
      <c r="BF258" s="0" t="s">
        <v>380</v>
      </c>
      <c r="BJ258" s="0" t="s">
        <v>380</v>
      </c>
      <c r="BL258" s="0" t="s">
        <v>896</v>
      </c>
      <c r="BQ258" s="0" t="str">
        <f aca="false">IF($A258="","",IFERROR(INDEX(Enrichment!$A$2:$GZ$2000,MATCH($A258,INDEX(Enrichment!$A$2:$GZ$2000,0,MATCH("row_id",Enrichment!$A$1:$GZ$1,0)),0),MATCH("backup_work_email",Enrichment!$A$1:$GZ$1,0))&amp;"",""))</f>
        <v/>
      </c>
      <c r="BR258" s="0" t="str">
        <f aca="false">IF($A258="","",IF(BQ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none</v>
      </c>
      <c r="BT258" s="0" t="s">
        <v>380</v>
      </c>
      <c r="BX258" s="0" t="s">
        <v>380</v>
      </c>
      <c r="BZ258" s="0" t="s">
        <v>388</v>
      </c>
      <c r="CA258" s="0" t="s">
        <v>4818</v>
      </c>
      <c r="CB258" s="0" t="s">
        <v>196</v>
      </c>
      <c r="CM258" s="0" t="s">
        <v>189</v>
      </c>
      <c r="CN258" s="0" t="s">
        <v>4627</v>
      </c>
      <c r="CO258" s="0" t="s">
        <v>4819</v>
      </c>
      <c r="CP258" s="0" t="s">
        <v>1</v>
      </c>
      <c r="CQ258" s="0" t="s">
        <v>4820</v>
      </c>
      <c r="CR258" s="0" t="s">
        <v>4821</v>
      </c>
      <c r="CS258" s="0" t="s">
        <v>4822</v>
      </c>
      <c r="CT258" s="0" t="s">
        <v>4823</v>
      </c>
      <c r="CV258" s="0" t="s">
        <v>976</v>
      </c>
      <c r="CW258" s="0" t="s">
        <v>204</v>
      </c>
      <c r="CX258" s="0" t="s">
        <v>205</v>
      </c>
      <c r="CY258" s="0" t="s">
        <v>4824</v>
      </c>
      <c r="DA258" s="0" t="s">
        <v>2301</v>
      </c>
      <c r="DB258" s="0" t="s">
        <v>209</v>
      </c>
      <c r="DC258" s="0" t="s">
        <v>209</v>
      </c>
      <c r="DD258" s="0" t="s">
        <v>209</v>
      </c>
      <c r="DE258" s="0" t="s">
        <v>4825</v>
      </c>
      <c r="DF258" s="0" t="s">
        <v>525</v>
      </c>
      <c r="DG258" s="0" t="n">
        <v>40.741141</v>
      </c>
      <c r="DH258" s="0" t="n">
        <v>-73.987489</v>
      </c>
      <c r="DI258" s="0" t="s">
        <v>164</v>
      </c>
      <c r="DJ258" s="0" t="n">
        <v>0</v>
      </c>
      <c r="DL258" s="0" t="s">
        <v>209</v>
      </c>
      <c r="DM258" s="0" t="s">
        <v>2384</v>
      </c>
      <c r="DN258" s="0" t="s">
        <v>676</v>
      </c>
      <c r="DO258" s="0" t="s">
        <v>363</v>
      </c>
      <c r="DP258" s="0" t="s">
        <v>4169</v>
      </c>
      <c r="DQ258" s="0" t="s">
        <v>4176</v>
      </c>
      <c r="DS258" s="0" t="s">
        <v>217</v>
      </c>
      <c r="DU258" s="0" t="s">
        <v>189</v>
      </c>
      <c r="DX258" s="0" t="s">
        <v>209</v>
      </c>
      <c r="EA258" s="0" t="s">
        <v>209</v>
      </c>
      <c r="EB258" s="0" t="s">
        <v>189</v>
      </c>
      <c r="EC258" s="0" t="s">
        <v>209</v>
      </c>
      <c r="EF258" s="0" t="n">
        <v>2048</v>
      </c>
      <c r="EG258" s="0" t="s">
        <v>4781</v>
      </c>
      <c r="EH258" s="0" t="s">
        <v>164</v>
      </c>
      <c r="EI258" s="0" t="s">
        <v>4826</v>
      </c>
      <c r="EJ258" s="0" t="s">
        <v>221</v>
      </c>
      <c r="EK258" s="0" t="n">
        <v>0</v>
      </c>
      <c r="EL258" s="0" t="n">
        <v>21</v>
      </c>
      <c r="EM258" s="0" t="n">
        <v>0</v>
      </c>
      <c r="EN258" s="0" t="n">
        <v>0</v>
      </c>
      <c r="EO258" s="0" t="n">
        <v>6</v>
      </c>
      <c r="EP258" s="0" t="n">
        <v>15</v>
      </c>
      <c r="EQ258" s="0" t="n">
        <f aca="false">IF($A258="","",IF(AH258="exact",10,IF(AH258="adjacent",5,0)))</f>
        <v>0</v>
      </c>
      <c r="ER258" s="0" t="n">
        <f aca="false">IF($A258="","",IF(R258="Y",15,0))</f>
        <v>0</v>
      </c>
      <c r="ES258" s="0" t="s">
        <v>982</v>
      </c>
      <c r="ET258" s="0" t="s">
        <v>2310</v>
      </c>
      <c r="EU258" s="0" t="s">
        <v>189</v>
      </c>
      <c r="EV258" s="0" t="s">
        <v>4827</v>
      </c>
      <c r="EW258" s="0" t="s">
        <v>224</v>
      </c>
      <c r="EX258" s="0" t="s">
        <v>4828</v>
      </c>
      <c r="EZ258" s="0" t="s">
        <v>4829</v>
      </c>
      <c r="FS258" s="0" t="str">
        <f aca="false">IF($A258="","",IF(ISNUMBER(MATCH(U258,{"queued","contacted","replied","call_booked","call_done","yes_in_principle","materials_sent"},0)),"Y","N"))</f>
        <v>N</v>
      </c>
      <c r="FT258" s="0" t="str">
        <f aca="false">IF($A258="","",IF(OR(T258="Y",U258="do_not_contact",AS258&amp;""&lt;&gt;""),"Y","N"))</f>
        <v>N</v>
      </c>
      <c r="FU258" s="0" t="str">
        <f aca="false">IF($A258="","",IF(AP258&amp;""&lt;&gt;"",AP258&amp;"",$A258))</f>
        <v>AO-C-237</v>
      </c>
      <c r="FV258" s="0" t="str">
        <f aca="false">IF($A258="","",IF(COUNTIFS($FU$2:$FU$1000,FU258,$FS$2:$FS$1000,"Y")+COUNTIFS($FU$2:$FU$1000,FU258,$FT$2:$FT$1000,"Y")&gt;0,"Y","N"))</f>
        <v>N</v>
      </c>
      <c r="FW258" s="0" t="str">
        <f aca="false">IF($A258="","",IF(AND(U258="new",T258="N",FT258="N",AT258="Y",FV258="N"),"Y","N"))</f>
        <v>N</v>
      </c>
      <c r="FX258" s="0" t="str">
        <f aca="false">IF($A258="","",IF(FW258&lt;&gt;"Y","N",IF(COUNTIFS($FU$2:$FU$1000,FU258,$FW$2:$FW$1000,"Y",$J$2:$J$1000,"&gt;"&amp;J258)+COUNTIFS($FU$2:$FU$1000,FU258,$FW$2:$FW$1000,"Y",$J$2:$J$1000,J258,$GD$2:$GD$1000,"&lt;"&amp;GD258)=0,"Y","N")))</f>
        <v>N</v>
      </c>
      <c r="FY258" s="0" t="str">
        <f aca="false">IF($A258="","",IF(AND(FW258="Y",FX258="Y",Y258&amp;""&lt;&gt;""),IF(Y258&lt;=10,"Y","N"),"N"))</f>
        <v>N</v>
      </c>
      <c r="FZ258" s="0" t="str">
        <f aca="false">IF(FY258="Y",Y258,"")</f>
        <v/>
      </c>
      <c r="GA258" s="0" t="str">
        <f aca="false">IF($A258="","",IF(AND(I258="walk-in",CN258="pass",U258="new",FT258="N",FV258="N",AQ258&lt;&gt;"Y"),"Y","N"))</f>
        <v>N</v>
      </c>
      <c r="GB258" s="0" t="str">
        <f aca="false">IF(GA258&lt;&gt;"Y","",IF(COUNTIFS($GA$2:$GA$1000,"Y",$J$2:$J$1000,"&gt;"&amp;J258)+COUNTIFS($GA$2:$GA$1000,"Y",$J$2:$J$1000,J258,$GD$2:$GD$1000,"&lt;"&amp;GD258)+1&lt;=25,COUNTIFS($GA$2:$GA$1000,"Y",$J$2:$J$1000,"&gt;"&amp;J258)+COUNTIFS($GA$2:$GA$1000,"Y",$J$2:$J$1000,J258,$GD$2:$GD$1000,"&lt;"&amp;GD258)+1,""))</f>
        <v/>
      </c>
      <c r="GC258" s="0" t="str">
        <f aca="false">IF(AND(_xlfn.ISFORMULA(C258),_xlfn.ISFORMULA(J258)),"Y","N")</f>
        <v>Y</v>
      </c>
      <c r="GD258" s="0" t="n">
        <f aca="false">ROW()-1</f>
        <v>257</v>
      </c>
    </row>
    <row r="259" customFormat="false" ht="15" hidden="false" customHeight="false" outlineLevel="0" collapsed="false">
      <c r="A259" s="0" t="s">
        <v>4830</v>
      </c>
      <c r="B259" s="0" t="s">
        <v>4831</v>
      </c>
      <c r="C259" s="0" t="str">
        <f aca="false">IF($A259="","",IF(AW259="Y",BM259&amp;"",AY259&amp;""))</f>
        <v/>
      </c>
      <c r="D259" s="0" t="str">
        <f aca="false">IF($A259="","",IF(AW259="Y",BN259&amp;"",AZ259&amp;""))</f>
        <v/>
      </c>
      <c r="E259" s="0" t="str">
        <f aca="false">IF($A259="","",IF(AW259="Y",BO259&amp;"",BA259&amp;""))</f>
        <v/>
      </c>
      <c r="F259" s="0" t="str">
        <f aca="false">IF($A259="","",IF(AW259="Y",BP259&amp;"",BB259&amp;""))</f>
        <v/>
      </c>
      <c r="G259" s="0" t="str">
        <f aca="false">IF($A259="","",IF(AW259="Y",BQ259&amp;"",BC259&amp;""))</f>
        <v/>
      </c>
      <c r="H259" s="0" t="str">
        <f aca="false">IF($A259="","",IF(AW259="Y",BR259&amp;"",BD259&amp;""))</f>
        <v>none</v>
      </c>
      <c r="I259" s="0" t="str">
        <f aca="false">IF($A259="","",IF(R259="Y","warm-intro",IF(H259="verified","email",IF(C259&lt;&gt;"","linkedin",CB259&amp;""))))</f>
        <v>linkedin</v>
      </c>
      <c r="J259" s="0" t="n">
        <f aca="false">IF($A259="","",IF(CN259="pass",ROUND(N(EM259)+N(EN259)+N(EO259)+N(EP259)+N(EQ259)+N(ER259),1),0))</f>
        <v>0</v>
      </c>
      <c r="K259" s="0" t="str">
        <f aca="false">IF($A259="","",IF(CN259&lt;&gt;"pass",CA259&amp;"",CA259&amp;"; "&amp;IF(AW259="Y",BZ259&amp;"",BL259&amp;"")&amp;IF(R259="Y","; known to the founder (+15)","")&amp;"."))</f>
        <v>Gated out: inside a coworking space (B-W-013).</v>
      </c>
      <c r="L259" s="0" t="s">
        <v>1794</v>
      </c>
      <c r="R259" s="5" t="s">
        <v>189</v>
      </c>
      <c r="S259" s="0" t="s">
        <v>209</v>
      </c>
      <c r="T259" s="0" t="s">
        <v>189</v>
      </c>
      <c r="U259" s="5" t="s">
        <v>3896</v>
      </c>
      <c r="V259" s="0" t="s">
        <v>3127</v>
      </c>
      <c r="W259" s="0" t="s">
        <v>263</v>
      </c>
      <c r="X259" s="0" t="s">
        <v>3897</v>
      </c>
      <c r="Y259" s="0" t="str">
        <f aca="false">IF(FX259&lt;&gt;"Y","",COUNTIFS($FX$2:$FX$1000,"Y",$J$2:$J$1000,"&gt;"&amp;J259)+COUNTIFS($FX$2:$FX$1000,"Y",$J$2:$J$1000,J259,$GD$2:$GD$1000,"&lt;"&amp;GD259)+1)</f>
        <v/>
      </c>
      <c r="AA259" s="0" t="s">
        <v>189</v>
      </c>
      <c r="AB259" s="0" t="str">
        <f aca="false">IF($A259="","",IF(AW259="Y",BY259&amp;"",BK259&amp;""))</f>
        <v/>
      </c>
      <c r="AC259" s="0" t="str">
        <f aca="false">IF($A259="","",IF(AW259="Y",BS259&amp;"",BE259&amp;""))</f>
        <v/>
      </c>
      <c r="AD259" s="0" t="str">
        <f aca="false">IF($A259="","",IF(AW259="Y",BT259&amp;"",BF259&amp;""))</f>
        <v>none</v>
      </c>
      <c r="AE259" s="0" t="str">
        <f aca="false">IF($A259="","",IF(AW259="Y",BU259&amp;"",BG259&amp;""))</f>
        <v/>
      </c>
      <c r="AF259" s="0" t="str">
        <f aca="false">IF($A259="","",IF(AW259="Y",BV259&amp;"",BH259&amp;""))</f>
        <v/>
      </c>
      <c r="AG259" s="0" t="str">
        <f aca="false">IF($A259="","",IF(AW259="Y",BW259&amp;"",BI259&amp;""))</f>
        <v/>
      </c>
      <c r="AH259" s="0" t="str">
        <f aca="false">IF($A259="","",IF(AW259="Y",BX259&amp;"",BJ259&amp;""))</f>
        <v>none</v>
      </c>
      <c r="AI259" s="0" t="s">
        <v>4720</v>
      </c>
      <c r="AJ259" s="0" t="s">
        <v>412</v>
      </c>
      <c r="AK259" s="0" t="s">
        <v>3933</v>
      </c>
      <c r="AL259" s="0" t="n">
        <v>17</v>
      </c>
      <c r="AM259" s="0" t="n">
        <v>35</v>
      </c>
      <c r="AN259" s="0" t="s">
        <v>187</v>
      </c>
      <c r="AO259" s="0" t="s">
        <v>209</v>
      </c>
      <c r="AP259" s="0" t="s">
        <v>4830</v>
      </c>
      <c r="AQ259" s="5" t="s">
        <v>189</v>
      </c>
      <c r="AT259" s="0" t="str">
        <f aca="false">IF($A259="","",IF(AND(CN259="pass",AQ259&lt;&gt;"Y",C259&lt;&gt;"",OR(AX259&lt;&gt;"Y",AV259="Y")),"Y","N"))</f>
        <v>N</v>
      </c>
      <c r="AU259" s="0" t="str">
        <f aca="false">IF($A259="","",_xlfn.TEXTJOIN("; ",TRUE(),IF(CN259&lt;&gt;"pass","gated out",""),IF(AQ259="Y","on hold: "&amp;AR259,""),IF(C259="","no contact named on an opened page",""),IF(AND(AX259="Y",AV259&lt;&gt;"Y"),"Tuesday estimate band "&amp;L259&amp;": founder's call","")))</f>
        <v>gated out; no contact named on an opened page; Tuesday estimate band under-40: founder's call</v>
      </c>
      <c r="AX259" s="0" t="s">
        <v>164</v>
      </c>
      <c r="BC259" s="0" t="str">
        <f aca="false">IF($A259="","",IFERROR(INDEX(Enrichment!$A$2:$GZ$2000,MATCH($A259,INDEX(Enrichment!$A$2:$GZ$2000,0,MATCH("row_id",Enrichment!$A$1:$GZ$1,0)),0),MATCH("work_email",Enrichment!$A$1:$GZ$1,0))&amp;"",""))</f>
        <v/>
      </c>
      <c r="BD259" s="0" t="str">
        <f aca="false">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none</v>
      </c>
      <c r="BF259" s="0" t="s">
        <v>380</v>
      </c>
      <c r="BJ259" s="0" t="s">
        <v>380</v>
      </c>
      <c r="BL259" s="0" t="s">
        <v>896</v>
      </c>
      <c r="BQ259" s="0" t="str">
        <f aca="false">IF($A259="","",IFERROR(INDEX(Enrichment!$A$2:$GZ$2000,MATCH($A259,INDEX(Enrichment!$A$2:$GZ$2000,0,MATCH("row_id",Enrichment!$A$1:$GZ$1,0)),0),MATCH("backup_work_email",Enrichment!$A$1:$GZ$1,0))&amp;"",""))</f>
        <v/>
      </c>
      <c r="BR259" s="0" t="str">
        <f aca="false">IF($A259="","",IF(BQ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none</v>
      </c>
      <c r="BT259" s="0" t="s">
        <v>380</v>
      </c>
      <c r="BX259" s="0" t="s">
        <v>380</v>
      </c>
      <c r="BZ259" s="0" t="s">
        <v>388</v>
      </c>
      <c r="CA259" s="0" t="s">
        <v>4721</v>
      </c>
      <c r="CB259" s="0" t="s">
        <v>196</v>
      </c>
      <c r="CM259" s="0" t="s">
        <v>189</v>
      </c>
      <c r="CN259" s="0" t="s">
        <v>4627</v>
      </c>
      <c r="CO259" s="0" t="s">
        <v>4722</v>
      </c>
      <c r="CP259" s="0" t="s">
        <v>1</v>
      </c>
      <c r="CQ259" s="0" t="s">
        <v>4832</v>
      </c>
      <c r="CR259" s="0" t="s">
        <v>4833</v>
      </c>
      <c r="CS259" s="0" t="s">
        <v>4834</v>
      </c>
      <c r="CT259" s="0" t="s">
        <v>2081</v>
      </c>
      <c r="CV259" s="0" t="s">
        <v>298</v>
      </c>
      <c r="CW259" s="0" t="s">
        <v>204</v>
      </c>
      <c r="CX259" s="0" t="s">
        <v>205</v>
      </c>
      <c r="CY259" s="0" t="s">
        <v>4835</v>
      </c>
      <c r="DA259" s="0" t="s">
        <v>207</v>
      </c>
      <c r="DB259" s="0" t="s">
        <v>259</v>
      </c>
      <c r="DC259" s="0" t="s">
        <v>164</v>
      </c>
      <c r="DD259" s="0" t="s">
        <v>209</v>
      </c>
      <c r="DE259" s="0" t="s">
        <v>4836</v>
      </c>
      <c r="DF259" s="0" t="s">
        <v>525</v>
      </c>
      <c r="DG259" s="0" t="n">
        <v>40.741737</v>
      </c>
      <c r="DH259" s="0" t="n">
        <v>-73.984856</v>
      </c>
      <c r="DI259" s="0" t="s">
        <v>164</v>
      </c>
      <c r="DJ259" s="0" t="n">
        <v>0</v>
      </c>
      <c r="DK259" s="0" t="s">
        <v>3125</v>
      </c>
      <c r="DL259" s="0" t="s">
        <v>3126</v>
      </c>
      <c r="DM259" s="0" t="s">
        <v>3127</v>
      </c>
      <c r="DN259" s="0" t="s">
        <v>172</v>
      </c>
      <c r="DO259" s="0" t="s">
        <v>4768</v>
      </c>
      <c r="DP259" s="0" t="s">
        <v>4835</v>
      </c>
      <c r="DQ259" s="0" t="s">
        <v>172</v>
      </c>
      <c r="DS259" s="0" t="s">
        <v>217</v>
      </c>
      <c r="DU259" s="0" t="s">
        <v>164</v>
      </c>
      <c r="DV259" s="0" t="s">
        <v>3122</v>
      </c>
      <c r="DX259" s="0" t="s">
        <v>209</v>
      </c>
      <c r="EA259" s="0" t="s">
        <v>209</v>
      </c>
      <c r="EB259" s="0" t="s">
        <v>189</v>
      </c>
      <c r="EC259" s="0" t="s">
        <v>209</v>
      </c>
      <c r="EF259" s="0" t="n">
        <v>24</v>
      </c>
      <c r="EG259" s="0" t="s">
        <v>2529</v>
      </c>
      <c r="EH259" s="0" t="s">
        <v>189</v>
      </c>
      <c r="EI259" s="0" t="s">
        <v>4837</v>
      </c>
      <c r="EJ259" s="0" t="s">
        <v>221</v>
      </c>
      <c r="EK259" s="0" t="n">
        <v>0</v>
      </c>
      <c r="EL259" s="0" t="n">
        <v>36</v>
      </c>
      <c r="EM259" s="0" t="n">
        <v>0</v>
      </c>
      <c r="EN259" s="0" t="n">
        <v>15</v>
      </c>
      <c r="EO259" s="0" t="n">
        <v>6</v>
      </c>
      <c r="EP259" s="0" t="n">
        <v>15</v>
      </c>
      <c r="EQ259" s="0" t="n">
        <f aca="false">IF($A259="","",IF(AH259="exact",10,IF(AH259="adjacent",5,0)))</f>
        <v>0</v>
      </c>
      <c r="ER259" s="0" t="n">
        <f aca="false">IF($A259="","",IF(R259="Y",15,0))</f>
        <v>0</v>
      </c>
      <c r="ES259" s="0" t="s">
        <v>4727</v>
      </c>
      <c r="EX259" s="0" t="s">
        <v>4838</v>
      </c>
      <c r="EZ259" s="0" t="s">
        <v>4839</v>
      </c>
      <c r="FS259" s="0" t="str">
        <f aca="false">IF($A259="","",IF(ISNUMBER(MATCH(U259,{"queued","contacted","replied","call_booked","call_done","yes_in_principle","materials_sent"},0)),"Y","N"))</f>
        <v>N</v>
      </c>
      <c r="FT259" s="0" t="str">
        <f aca="false">IF($A259="","",IF(OR(T259="Y",U259="do_not_contact",AS259&amp;""&lt;&gt;""),"Y","N"))</f>
        <v>N</v>
      </c>
      <c r="FU259" s="0" t="str">
        <f aca="false">IF($A259="","",IF(AP259&amp;""&lt;&gt;"",AP259&amp;"",$A259))</f>
        <v>AO-C-176</v>
      </c>
      <c r="FV259" s="0" t="str">
        <f aca="false">IF($A259="","",IF(COUNTIFS($FU$2:$FU$1000,FU259,$FS$2:$FS$1000,"Y")+COUNTIFS($FU$2:$FU$1000,FU259,$FT$2:$FT$1000,"Y")&gt;0,"Y","N"))</f>
        <v>N</v>
      </c>
      <c r="FW259" s="0" t="str">
        <f aca="false">IF($A259="","",IF(AND(U259="new",T259="N",FT259="N",AT259="Y",FV259="N"),"Y","N"))</f>
        <v>N</v>
      </c>
      <c r="FX259" s="0" t="str">
        <f aca="false">IF($A259="","",IF(FW259&lt;&gt;"Y","N",IF(COUNTIFS($FU$2:$FU$1000,FU259,$FW$2:$FW$1000,"Y",$J$2:$J$1000,"&gt;"&amp;J259)+COUNTIFS($FU$2:$FU$1000,FU259,$FW$2:$FW$1000,"Y",$J$2:$J$1000,J259,$GD$2:$GD$1000,"&lt;"&amp;GD259)=0,"Y","N")))</f>
        <v>N</v>
      </c>
      <c r="FY259" s="0" t="str">
        <f aca="false">IF($A259="","",IF(AND(FW259="Y",FX259="Y",Y259&amp;""&lt;&gt;""),IF(Y259&lt;=10,"Y","N"),"N"))</f>
        <v>N</v>
      </c>
      <c r="FZ259" s="0" t="str">
        <f aca="false">IF(FY259="Y",Y259,"")</f>
        <v/>
      </c>
      <c r="GA259" s="0" t="str">
        <f aca="false">IF($A259="","",IF(AND(I259="walk-in",CN259="pass",U259="new",FT259="N",FV259="N",AQ259&lt;&gt;"Y"),"Y","N"))</f>
        <v>N</v>
      </c>
      <c r="GB259" s="0" t="str">
        <f aca="false">IF(GA259&lt;&gt;"Y","",IF(COUNTIFS($GA$2:$GA$1000,"Y",$J$2:$J$1000,"&gt;"&amp;J259)+COUNTIFS($GA$2:$GA$1000,"Y",$J$2:$J$1000,J259,$GD$2:$GD$1000,"&lt;"&amp;GD259)+1&lt;=25,COUNTIFS($GA$2:$GA$1000,"Y",$J$2:$J$1000,"&gt;"&amp;J259)+COUNTIFS($GA$2:$GA$1000,"Y",$J$2:$J$1000,J259,$GD$2:$GD$1000,"&lt;"&amp;GD259)+1,""))</f>
        <v/>
      </c>
      <c r="GC259" s="0" t="str">
        <f aca="false">IF(AND(_xlfn.ISFORMULA(C259),_xlfn.ISFORMULA(J259)),"Y","N")</f>
        <v>Y</v>
      </c>
      <c r="GD259" s="0" t="n">
        <f aca="false">ROW()-1</f>
        <v>258</v>
      </c>
    </row>
    <row r="260" customFormat="false" ht="15" hidden="false" customHeight="false" outlineLevel="0" collapsed="false">
      <c r="A260" s="0" t="s">
        <v>4840</v>
      </c>
      <c r="B260" s="0" t="s">
        <v>4841</v>
      </c>
      <c r="C260" s="0" t="str">
        <f aca="false">IF($A260="","",IF(AW260="Y",BM260&amp;"",AY260&amp;""))</f>
        <v/>
      </c>
      <c r="D260" s="0" t="str">
        <f aca="false">IF($A260="","",IF(AW260="Y",BN260&amp;"",AZ260&amp;""))</f>
        <v/>
      </c>
      <c r="E260" s="0" t="str">
        <f aca="false">IF($A260="","",IF(AW260="Y",BO260&amp;"",BA260&amp;""))</f>
        <v/>
      </c>
      <c r="F260" s="0" t="str">
        <f aca="false">IF($A260="","",IF(AW260="Y",BP260&amp;"",BB260&amp;""))</f>
        <v/>
      </c>
      <c r="G260" s="0" t="str">
        <f aca="false">IF($A260="","",IF(AW260="Y",BQ260&amp;"",BC260&amp;""))</f>
        <v/>
      </c>
      <c r="H260" s="0" t="str">
        <f aca="false">IF($A260="","",IF(AW260="Y",BR260&amp;"",BD260&amp;""))</f>
        <v>none</v>
      </c>
      <c r="I260" s="0" t="str">
        <f aca="false">IF($A260="","",IF(R260="Y","warm-intro",IF(H260="verified","email",IF(C260&lt;&gt;"","linkedin",CB260&amp;""))))</f>
        <v>linkedin</v>
      </c>
      <c r="J260" s="0" t="n">
        <f aca="false">IF($A260="","",IF(CN260="pass",ROUND(N(EM260)+N(EN260)+N(EO260)+N(EP260)+N(EQ260)+N(ER260),1),0))</f>
        <v>0</v>
      </c>
      <c r="K260" s="0" t="str">
        <f aca="false">IF($A260="","",IF(CN260&lt;&gt;"pass",CA260&amp;"",CA260&amp;"; "&amp;IF(AW260="Y",BZ260&amp;"",BL260&amp;"")&amp;IF(R260="Y","; known to the founder (+15)","")&amp;"."))</f>
        <v>Gated out: Tuesday estimate over 250 (304 to 6078).</v>
      </c>
      <c r="L260" s="0" t="s">
        <v>976</v>
      </c>
      <c r="R260" s="5" t="s">
        <v>189</v>
      </c>
      <c r="S260" s="0" t="s">
        <v>209</v>
      </c>
      <c r="T260" s="0" t="s">
        <v>189</v>
      </c>
      <c r="U260" s="5" t="s">
        <v>3896</v>
      </c>
      <c r="V260" s="0" t="s">
        <v>4842</v>
      </c>
      <c r="W260" s="0" t="s">
        <v>263</v>
      </c>
      <c r="X260" s="0" t="s">
        <v>3897</v>
      </c>
      <c r="Y260" s="0" t="str">
        <f aca="false">IF(FX260&lt;&gt;"Y","",COUNTIFS($FX$2:$FX$1000,"Y",$J$2:$J$1000,"&gt;"&amp;J260)+COUNTIFS($FX$2:$FX$1000,"Y",$J$2:$J$1000,J260,$GD$2:$GD$1000,"&lt;"&amp;GD260)+1)</f>
        <v/>
      </c>
      <c r="AA260" s="0" t="s">
        <v>189</v>
      </c>
      <c r="AB260" s="0" t="str">
        <f aca="false">IF($A260="","",IF(AW260="Y",BY260&amp;"",BK260&amp;""))</f>
        <v/>
      </c>
      <c r="AC260" s="0" t="str">
        <f aca="false">IF($A260="","",IF(AW260="Y",BS260&amp;"",BE260&amp;""))</f>
        <v/>
      </c>
      <c r="AD260" s="0" t="str">
        <f aca="false">IF($A260="","",IF(AW260="Y",BT260&amp;"",BF260&amp;""))</f>
        <v>none</v>
      </c>
      <c r="AE260" s="0" t="str">
        <f aca="false">IF($A260="","",IF(AW260="Y",BU260&amp;"",BG260&amp;""))</f>
        <v/>
      </c>
      <c r="AF260" s="0" t="str">
        <f aca="false">IF($A260="","",IF(AW260="Y",BV260&amp;"",BH260&amp;""))</f>
        <v/>
      </c>
      <c r="AG260" s="0" t="str">
        <f aca="false">IF($A260="","",IF(AW260="Y",BW260&amp;"",BI260&amp;""))</f>
        <v/>
      </c>
      <c r="AH260" s="0" t="str">
        <f aca="false">IF($A260="","",IF(AW260="Y",BX260&amp;"",BJ260&amp;""))</f>
        <v>none</v>
      </c>
      <c r="AI260" s="0" t="s">
        <v>4843</v>
      </c>
      <c r="AJ260" s="0" t="s">
        <v>209</v>
      </c>
      <c r="AK260" s="0" t="s">
        <v>3933</v>
      </c>
      <c r="AL260" s="0" t="n">
        <v>304</v>
      </c>
      <c r="AM260" s="0" t="n">
        <v>6078</v>
      </c>
      <c r="AN260" s="0" t="s">
        <v>187</v>
      </c>
      <c r="AO260" s="0" t="s">
        <v>209</v>
      </c>
      <c r="AP260" s="0" t="s">
        <v>4840</v>
      </c>
      <c r="AQ260" s="5" t="s">
        <v>189</v>
      </c>
      <c r="AT260" s="0" t="str">
        <f aca="false">IF($A260="","",IF(AND(CN260="pass",AQ260&lt;&gt;"Y",C260&lt;&gt;"",OR(AX260&lt;&gt;"Y",AV260="Y")),"Y","N"))</f>
        <v>N</v>
      </c>
      <c r="AU260" s="0" t="str">
        <f aca="false">IF($A260="","",_xlfn.TEXTJOIN("; ",TRUE(),IF(CN260&lt;&gt;"pass","gated out",""),IF(AQ260="Y","on hold: "&amp;AR260,""),IF(C260="","no contact named on an opened page",""),IF(AND(AX260="Y",AV260&lt;&gt;"Y"),"Tuesday estimate band "&amp;L260&amp;": founder's call","")))</f>
        <v>gated out; no contact named on an opened page; Tuesday estimate band over-500: founder's call</v>
      </c>
      <c r="AX260" s="0" t="s">
        <v>164</v>
      </c>
      <c r="BC260" s="0" t="str">
        <f aca="false">IF($A260="","",IFERROR(INDEX(Enrichment!$A$2:$GZ$2000,MATCH($A260,INDEX(Enrichment!$A$2:$GZ$2000,0,MATCH("row_id",Enrichment!$A$1:$GZ$1,0)),0),MATCH("work_email",Enrichment!$A$1:$GZ$1,0))&amp;"",""))</f>
        <v/>
      </c>
      <c r="BD260" s="0" t="str">
        <f aca="false">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none</v>
      </c>
      <c r="BF260" s="0" t="s">
        <v>380</v>
      </c>
      <c r="BJ260" s="0" t="s">
        <v>380</v>
      </c>
      <c r="BL260" s="0" t="s">
        <v>896</v>
      </c>
      <c r="BQ260" s="0" t="str">
        <f aca="false">IF($A260="","",IFERROR(INDEX(Enrichment!$A$2:$GZ$2000,MATCH($A260,INDEX(Enrichment!$A$2:$GZ$2000,0,MATCH("row_id",Enrichment!$A$1:$GZ$1,0)),0),MATCH("backup_work_email",Enrichment!$A$1:$GZ$1,0))&amp;"",""))</f>
        <v/>
      </c>
      <c r="BR260" s="0" t="str">
        <f aca="false">IF($A260="","",IF(BQ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none</v>
      </c>
      <c r="BT260" s="0" t="s">
        <v>380</v>
      </c>
      <c r="BX260" s="0" t="s">
        <v>380</v>
      </c>
      <c r="BZ260" s="0" t="s">
        <v>388</v>
      </c>
      <c r="CA260" s="0" t="s">
        <v>4844</v>
      </c>
      <c r="CB260" s="0" t="s">
        <v>196</v>
      </c>
      <c r="CM260" s="0" t="s">
        <v>189</v>
      </c>
      <c r="CN260" s="0" t="s">
        <v>4627</v>
      </c>
      <c r="CO260" s="0" t="s">
        <v>4845</v>
      </c>
      <c r="CP260" s="0" t="s">
        <v>1</v>
      </c>
      <c r="CQ260" s="0" t="s">
        <v>4846</v>
      </c>
      <c r="CR260" s="0" t="s">
        <v>4847</v>
      </c>
      <c r="CS260" s="0" t="s">
        <v>3498</v>
      </c>
      <c r="CT260" s="0" t="s">
        <v>4848</v>
      </c>
      <c r="CV260" s="0" t="s">
        <v>976</v>
      </c>
      <c r="CW260" s="0" t="s">
        <v>204</v>
      </c>
      <c r="CX260" s="0" t="s">
        <v>205</v>
      </c>
      <c r="CY260" s="0" t="s">
        <v>4849</v>
      </c>
      <c r="DA260" s="0" t="s">
        <v>2301</v>
      </c>
      <c r="DB260" s="0" t="s">
        <v>4850</v>
      </c>
      <c r="DC260" s="0" t="s">
        <v>189</v>
      </c>
      <c r="DD260" s="0" t="s">
        <v>209</v>
      </c>
      <c r="DE260" s="0" t="s">
        <v>209</v>
      </c>
      <c r="DG260" s="0" t="n">
        <v>40.738167</v>
      </c>
      <c r="DH260" s="0" t="n">
        <v>-73.989851</v>
      </c>
      <c r="DI260" s="0" t="s">
        <v>164</v>
      </c>
      <c r="DJ260" s="0" t="n">
        <v>0</v>
      </c>
      <c r="DL260" s="0" t="s">
        <v>209</v>
      </c>
      <c r="DM260" s="0" t="s">
        <v>4842</v>
      </c>
      <c r="DN260" s="0" t="s">
        <v>4851</v>
      </c>
      <c r="DO260" s="0" t="s">
        <v>363</v>
      </c>
      <c r="DP260" s="0" t="s">
        <v>4852</v>
      </c>
      <c r="DQ260" s="0" t="s">
        <v>4853</v>
      </c>
      <c r="DS260" s="0" t="s">
        <v>217</v>
      </c>
      <c r="DU260" s="0" t="s">
        <v>189</v>
      </c>
      <c r="DX260" s="0" t="s">
        <v>209</v>
      </c>
      <c r="EA260" s="0" t="s">
        <v>209</v>
      </c>
      <c r="EB260" s="0" t="s">
        <v>189</v>
      </c>
      <c r="EC260" s="0" t="s">
        <v>209</v>
      </c>
      <c r="EF260" s="0" t="n">
        <v>1359</v>
      </c>
      <c r="EG260" s="0" t="s">
        <v>4781</v>
      </c>
      <c r="EH260" s="0" t="s">
        <v>189</v>
      </c>
      <c r="EI260" s="0" t="s">
        <v>4854</v>
      </c>
      <c r="EJ260" s="0" t="s">
        <v>221</v>
      </c>
      <c r="EK260" s="0" t="n">
        <v>0</v>
      </c>
      <c r="EL260" s="0" t="n">
        <v>21</v>
      </c>
      <c r="EM260" s="0" t="n">
        <v>0</v>
      </c>
      <c r="EN260" s="0" t="n">
        <v>0</v>
      </c>
      <c r="EO260" s="0" t="n">
        <v>6</v>
      </c>
      <c r="EP260" s="0" t="n">
        <v>15</v>
      </c>
      <c r="EQ260" s="0" t="n">
        <f aca="false">IF($A260="","",IF(AH260="exact",10,IF(AH260="adjacent",5,0)))</f>
        <v>0</v>
      </c>
      <c r="ER260" s="0" t="n">
        <f aca="false">IF($A260="","",IF(R260="Y",15,0))</f>
        <v>0</v>
      </c>
      <c r="ES260" s="0" t="s">
        <v>982</v>
      </c>
      <c r="ET260" s="0" t="s">
        <v>2310</v>
      </c>
      <c r="EU260" s="0" t="s">
        <v>189</v>
      </c>
      <c r="EX260" s="0" t="s">
        <v>4855</v>
      </c>
      <c r="FS260" s="0" t="str">
        <f aca="false">IF($A260="","",IF(ISNUMBER(MATCH(U260,{"queued","contacted","replied","call_booked","call_done","yes_in_principle","materials_sent"},0)),"Y","N"))</f>
        <v>N</v>
      </c>
      <c r="FT260" s="0" t="str">
        <f aca="false">IF($A260="","",IF(OR(T260="Y",U260="do_not_contact",AS260&amp;""&lt;&gt;""),"Y","N"))</f>
        <v>N</v>
      </c>
      <c r="FU260" s="0" t="str">
        <f aca="false">IF($A260="","",IF(AP260&amp;""&lt;&gt;"",AP260&amp;"",$A260))</f>
        <v>AO-C-206</v>
      </c>
      <c r="FV260" s="0" t="str">
        <f aca="false">IF($A260="","",IF(COUNTIFS($FU$2:$FU$1000,FU260,$FS$2:$FS$1000,"Y")+COUNTIFS($FU$2:$FU$1000,FU260,$FT$2:$FT$1000,"Y")&gt;0,"Y","N"))</f>
        <v>N</v>
      </c>
      <c r="FW260" s="0" t="str">
        <f aca="false">IF($A260="","",IF(AND(U260="new",T260="N",FT260="N",AT260="Y",FV260="N"),"Y","N"))</f>
        <v>N</v>
      </c>
      <c r="FX260" s="0" t="str">
        <f aca="false">IF($A260="","",IF(FW260&lt;&gt;"Y","N",IF(COUNTIFS($FU$2:$FU$1000,FU260,$FW$2:$FW$1000,"Y",$J$2:$J$1000,"&gt;"&amp;J260)+COUNTIFS($FU$2:$FU$1000,FU260,$FW$2:$FW$1000,"Y",$J$2:$J$1000,J260,$GD$2:$GD$1000,"&lt;"&amp;GD260)=0,"Y","N")))</f>
        <v>N</v>
      </c>
      <c r="FY260" s="0" t="str">
        <f aca="false">IF($A260="","",IF(AND(FW260="Y",FX260="Y",Y260&amp;""&lt;&gt;""),IF(Y260&lt;=10,"Y","N"),"N"))</f>
        <v>N</v>
      </c>
      <c r="FZ260" s="0" t="str">
        <f aca="false">IF(FY260="Y",Y260,"")</f>
        <v/>
      </c>
      <c r="GA260" s="0" t="str">
        <f aca="false">IF($A260="","",IF(AND(I260="walk-in",CN260="pass",U260="new",FT260="N",FV260="N",AQ260&lt;&gt;"Y"),"Y","N"))</f>
        <v>N</v>
      </c>
      <c r="GB260" s="0" t="str">
        <f aca="false">IF(GA260&lt;&gt;"Y","",IF(COUNTIFS($GA$2:$GA$1000,"Y",$J$2:$J$1000,"&gt;"&amp;J260)+COUNTIFS($GA$2:$GA$1000,"Y",$J$2:$J$1000,J260,$GD$2:$GD$1000,"&lt;"&amp;GD260)+1&lt;=25,COUNTIFS($GA$2:$GA$1000,"Y",$J$2:$J$1000,"&gt;"&amp;J260)+COUNTIFS($GA$2:$GA$1000,"Y",$J$2:$J$1000,J260,$GD$2:$GD$1000,"&lt;"&amp;GD260)+1,""))</f>
        <v/>
      </c>
      <c r="GC260" s="0" t="str">
        <f aca="false">IF(AND(_xlfn.ISFORMULA(C260),_xlfn.ISFORMULA(J260)),"Y","N")</f>
        <v>Y</v>
      </c>
      <c r="GD260" s="0" t="n">
        <f aca="false">ROW()-1</f>
        <v>259</v>
      </c>
    </row>
    <row r="261" customFormat="false" ht="15" hidden="false" customHeight="false" outlineLevel="0" collapsed="false">
      <c r="A261" s="0" t="s">
        <v>4856</v>
      </c>
      <c r="B261" s="0" t="s">
        <v>4857</v>
      </c>
      <c r="C261" s="0" t="str">
        <f aca="false">IF($A261="","",IF(AW261="Y",BM261&amp;"",AY261&amp;""))</f>
        <v/>
      </c>
      <c r="D261" s="0" t="str">
        <f aca="false">IF($A261="","",IF(AW261="Y",BN261&amp;"",AZ261&amp;""))</f>
        <v/>
      </c>
      <c r="E261" s="0" t="str">
        <f aca="false">IF($A261="","",IF(AW261="Y",BO261&amp;"",BA261&amp;""))</f>
        <v/>
      </c>
      <c r="F261" s="0" t="str">
        <f aca="false">IF($A261="","",IF(AW261="Y",BP261&amp;"",BB261&amp;""))</f>
        <v/>
      </c>
      <c r="G261" s="0" t="str">
        <f aca="false">IF($A261="","",IF(AW261="Y",BQ261&amp;"",BC261&amp;""))</f>
        <v/>
      </c>
      <c r="H261" s="0" t="str">
        <f aca="false">IF($A261="","",IF(AW261="Y",BR261&amp;"",BD261&amp;""))</f>
        <v>none</v>
      </c>
      <c r="I261" s="0" t="str">
        <f aca="false">IF($A261="","",IF(R261="Y","warm-intro",IF(H261="verified","email",IF(C261&lt;&gt;"","linkedin",CB261&amp;""))))</f>
        <v>linkedin</v>
      </c>
      <c r="J261" s="0" t="n">
        <f aca="false">IF($A261="","",IF(CN261="pass",ROUND(N(EM261)+N(EN261)+N(EO261)+N(EP261)+N(EQ261)+N(ER261),1),0))</f>
        <v>0</v>
      </c>
      <c r="K261" s="0" t="str">
        <f aca="false">IF($A261="","",IF(CN261&lt;&gt;"pass",CA261&amp;"",CA261&amp;"; "&amp;IF(AW261="Y",BZ261&amp;"",BL261&amp;"")&amp;IF(R261="Y","; known to the founder (+15)","")&amp;"."))</f>
        <v>Gated out: Tuesday estimate over 250 (332 to 664).</v>
      </c>
      <c r="L261" s="0" t="s">
        <v>355</v>
      </c>
      <c r="R261" s="5" t="s">
        <v>189</v>
      </c>
      <c r="S261" s="0" t="s">
        <v>209</v>
      </c>
      <c r="T261" s="0" t="s">
        <v>189</v>
      </c>
      <c r="U261" s="5" t="s">
        <v>3896</v>
      </c>
      <c r="V261" s="0" t="s">
        <v>3906</v>
      </c>
      <c r="W261" s="0" t="s">
        <v>263</v>
      </c>
      <c r="X261" s="0" t="s">
        <v>3897</v>
      </c>
      <c r="Y261" s="0" t="str">
        <f aca="false">IF(FX261&lt;&gt;"Y","",COUNTIFS($FX$2:$FX$1000,"Y",$J$2:$J$1000,"&gt;"&amp;J261)+COUNTIFS($FX$2:$FX$1000,"Y",$J$2:$J$1000,J261,$GD$2:$GD$1000,"&lt;"&amp;GD261)+1)</f>
        <v/>
      </c>
      <c r="AA261" s="0" t="s">
        <v>189</v>
      </c>
      <c r="AB261" s="0" t="str">
        <f aca="false">IF($A261="","",IF(AW261="Y",BY261&amp;"",BK261&amp;""))</f>
        <v/>
      </c>
      <c r="AC261" s="0" t="str">
        <f aca="false">IF($A261="","",IF(AW261="Y",BS261&amp;"",BE261&amp;""))</f>
        <v/>
      </c>
      <c r="AD261" s="0" t="str">
        <f aca="false">IF($A261="","",IF(AW261="Y",BT261&amp;"",BF261&amp;""))</f>
        <v>none</v>
      </c>
      <c r="AE261" s="0" t="str">
        <f aca="false">IF($A261="","",IF(AW261="Y",BU261&amp;"",BG261&amp;""))</f>
        <v/>
      </c>
      <c r="AF261" s="0" t="str">
        <f aca="false">IF($A261="","",IF(AW261="Y",BV261&amp;"",BH261&amp;""))</f>
        <v/>
      </c>
      <c r="AG261" s="0" t="str">
        <f aca="false">IF($A261="","",IF(AW261="Y",BW261&amp;"",BI261&amp;""))</f>
        <v/>
      </c>
      <c r="AH261" s="0" t="str">
        <f aca="false">IF($A261="","",IF(AW261="Y",BX261&amp;"",BJ261&amp;""))</f>
        <v>none</v>
      </c>
      <c r="AI261" s="0" t="s">
        <v>2553</v>
      </c>
      <c r="AJ261" s="0" t="s">
        <v>693</v>
      </c>
      <c r="AK261" s="0" t="s">
        <v>4183</v>
      </c>
      <c r="AL261" s="0" t="n">
        <v>332</v>
      </c>
      <c r="AM261" s="0" t="n">
        <v>664</v>
      </c>
      <c r="AN261" s="0" t="s">
        <v>187</v>
      </c>
      <c r="AO261" s="0" t="s">
        <v>209</v>
      </c>
      <c r="AP261" s="0" t="s">
        <v>4856</v>
      </c>
      <c r="AQ261" s="5" t="s">
        <v>164</v>
      </c>
      <c r="AR261" s="0" t="s">
        <v>779</v>
      </c>
      <c r="AT261" s="0" t="str">
        <f aca="false">IF($A261="","",IF(AND(CN261="pass",AQ261&lt;&gt;"Y",C261&lt;&gt;"",OR(AX261&lt;&gt;"Y",AV261="Y")),"Y","N"))</f>
        <v>N</v>
      </c>
      <c r="AU261" s="0" t="str">
        <f aca="false">IF($A261="","",_xlfn.TEXTJOIN("; ",TRUE(),IF(CN261&lt;&gt;"pass","gated out",""),IF(AQ261="Y","on hold: "&amp;AR261,""),IF(C261="","no contact named on an opened page",""),IF(AND(AX261="Y",AV261&lt;&gt;"Y"),"Tuesday estimate band "&amp;L261&amp;": founder's call","")))</f>
        <v>gated out; on hold: lease signed, move not confirmed: check the lobby directory before outreach (B); no contact named on an opened page; Tuesday estimate band 251-500: founder's call</v>
      </c>
      <c r="AX261" s="0" t="s">
        <v>164</v>
      </c>
      <c r="BC261" s="0" t="str">
        <f aca="false">IF($A261="","",IFERROR(INDEX(Enrichment!$A$2:$GZ$2000,MATCH($A261,INDEX(Enrichment!$A$2:$GZ$2000,0,MATCH("row_id",Enrichment!$A$1:$GZ$1,0)),0),MATCH("work_email",Enrichment!$A$1:$GZ$1,0))&amp;"",""))</f>
        <v/>
      </c>
      <c r="BD261" s="0" t="str">
        <f aca="false">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none</v>
      </c>
      <c r="BF261" s="0" t="s">
        <v>380</v>
      </c>
      <c r="BJ261" s="0" t="s">
        <v>380</v>
      </c>
      <c r="BL261" s="0" t="s">
        <v>896</v>
      </c>
      <c r="BQ261" s="0" t="str">
        <f aca="false">IF($A261="","",IFERROR(INDEX(Enrichment!$A$2:$GZ$2000,MATCH($A261,INDEX(Enrichment!$A$2:$GZ$2000,0,MATCH("row_id",Enrichment!$A$1:$GZ$1,0)),0),MATCH("backup_work_email",Enrichment!$A$1:$GZ$1,0))&amp;"",""))</f>
        <v/>
      </c>
      <c r="BR261" s="0" t="str">
        <f aca="false">IF($A261="","",IF(BQ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none</v>
      </c>
      <c r="BT261" s="0" t="s">
        <v>380</v>
      </c>
      <c r="BX261" s="0" t="s">
        <v>380</v>
      </c>
      <c r="BZ261" s="0" t="s">
        <v>388</v>
      </c>
      <c r="CA261" s="0" t="s">
        <v>4858</v>
      </c>
      <c r="CB261" s="0" t="s">
        <v>196</v>
      </c>
      <c r="CM261" s="0" t="s">
        <v>189</v>
      </c>
      <c r="CN261" s="0" t="s">
        <v>4627</v>
      </c>
      <c r="CO261" s="0" t="s">
        <v>4859</v>
      </c>
      <c r="CP261" s="0" t="s">
        <v>1</v>
      </c>
      <c r="CQ261" s="0" t="s">
        <v>4860</v>
      </c>
      <c r="CR261" s="0" t="s">
        <v>4861</v>
      </c>
      <c r="CS261" s="0" t="s">
        <v>4862</v>
      </c>
      <c r="CT261" s="0" t="s">
        <v>4863</v>
      </c>
      <c r="CV261" s="0" t="s">
        <v>976</v>
      </c>
      <c r="CW261" s="0" t="s">
        <v>204</v>
      </c>
      <c r="CX261" s="0" t="s">
        <v>205</v>
      </c>
      <c r="CY261" s="0" t="s">
        <v>4864</v>
      </c>
      <c r="DA261" s="0" t="s">
        <v>978</v>
      </c>
      <c r="DB261" s="0" t="s">
        <v>209</v>
      </c>
      <c r="DC261" s="0" t="s">
        <v>209</v>
      </c>
      <c r="DD261" s="0" t="s">
        <v>209</v>
      </c>
      <c r="DE261" s="0" t="s">
        <v>209</v>
      </c>
      <c r="DF261" s="0" t="s">
        <v>525</v>
      </c>
      <c r="DG261" s="0" t="n">
        <v>40.741761</v>
      </c>
      <c r="DH261" s="0" t="n">
        <v>-73.987033</v>
      </c>
      <c r="DI261" s="0" t="s">
        <v>164</v>
      </c>
      <c r="DJ261" s="0" t="n">
        <v>0</v>
      </c>
      <c r="DK261" s="0" t="s">
        <v>2502</v>
      </c>
      <c r="DL261" s="0" t="s">
        <v>2503</v>
      </c>
      <c r="DM261" s="0" t="s">
        <v>3906</v>
      </c>
      <c r="DN261" s="0" t="s">
        <v>3907</v>
      </c>
      <c r="DO261" s="0" t="s">
        <v>363</v>
      </c>
      <c r="DP261" s="0" t="s">
        <v>4551</v>
      </c>
      <c r="DQ261" s="0" t="s">
        <v>4559</v>
      </c>
      <c r="DS261" s="0" t="s">
        <v>217</v>
      </c>
      <c r="DT261" s="0" t="s">
        <v>209</v>
      </c>
      <c r="DU261" s="0" t="s">
        <v>189</v>
      </c>
      <c r="DX261" s="0" t="s">
        <v>2507</v>
      </c>
      <c r="DY261" s="0" t="s">
        <v>2508</v>
      </c>
      <c r="EA261" s="0" t="s">
        <v>209</v>
      </c>
      <c r="EB261" s="0" t="s">
        <v>189</v>
      </c>
      <c r="EC261" s="0" t="s">
        <v>209</v>
      </c>
      <c r="EF261" s="0" t="n">
        <v>470</v>
      </c>
      <c r="EG261" s="0" t="s">
        <v>4781</v>
      </c>
      <c r="EH261" s="0" t="s">
        <v>164</v>
      </c>
      <c r="EI261" s="0" t="s">
        <v>4865</v>
      </c>
      <c r="EJ261" s="0" t="s">
        <v>221</v>
      </c>
      <c r="EK261" s="0" t="n">
        <v>0</v>
      </c>
      <c r="EL261" s="0" t="n">
        <v>15</v>
      </c>
      <c r="EM261" s="0" t="n">
        <v>0</v>
      </c>
      <c r="EN261" s="0" t="n">
        <v>2</v>
      </c>
      <c r="EO261" s="0" t="n">
        <v>6</v>
      </c>
      <c r="EP261" s="0" t="n">
        <v>7</v>
      </c>
      <c r="EQ261" s="0" t="n">
        <f aca="false">IF($A261="","",IF(AH261="exact",10,IF(AH261="adjacent",5,0)))</f>
        <v>0</v>
      </c>
      <c r="ER261" s="0" t="n">
        <f aca="false">IF($A261="","",IF(R261="Y",15,0))</f>
        <v>0</v>
      </c>
      <c r="ES261" s="0" t="s">
        <v>982</v>
      </c>
      <c r="ET261" s="0" t="s">
        <v>983</v>
      </c>
      <c r="EU261" s="0" t="s">
        <v>189</v>
      </c>
      <c r="EV261" s="0" t="s">
        <v>4866</v>
      </c>
      <c r="EW261" s="0" t="s">
        <v>224</v>
      </c>
      <c r="EX261" s="0" t="s">
        <v>4867</v>
      </c>
      <c r="FS261" s="0" t="str">
        <f aca="false">IF($A261="","",IF(ISNUMBER(MATCH(U261,{"queued","contacted","replied","call_booked","call_done","yes_in_principle","materials_sent"},0)),"Y","N"))</f>
        <v>N</v>
      </c>
      <c r="FT261" s="0" t="str">
        <f aca="false">IF($A261="","",IF(OR(T261="Y",U261="do_not_contact",AS261&amp;""&lt;&gt;""),"Y","N"))</f>
        <v>N</v>
      </c>
      <c r="FU261" s="0" t="str">
        <f aca="false">IF($A261="","",IF(AP261&amp;""&lt;&gt;"",AP261&amp;"",$A261))</f>
        <v>AO-C-243</v>
      </c>
      <c r="FV261" s="0" t="str">
        <f aca="false">IF($A261="","",IF(COUNTIFS($FU$2:$FU$1000,FU261,$FS$2:$FS$1000,"Y")+COUNTIFS($FU$2:$FU$1000,FU261,$FT$2:$FT$1000,"Y")&gt;0,"Y","N"))</f>
        <v>N</v>
      </c>
      <c r="FW261" s="0" t="str">
        <f aca="false">IF($A261="","",IF(AND(U261="new",T261="N",FT261="N",AT261="Y",FV261="N"),"Y","N"))</f>
        <v>N</v>
      </c>
      <c r="FX261" s="0" t="str">
        <f aca="false">IF($A261="","",IF(FW261&lt;&gt;"Y","N",IF(COUNTIFS($FU$2:$FU$1000,FU261,$FW$2:$FW$1000,"Y",$J$2:$J$1000,"&gt;"&amp;J261)+COUNTIFS($FU$2:$FU$1000,FU261,$FW$2:$FW$1000,"Y",$J$2:$J$1000,J261,$GD$2:$GD$1000,"&lt;"&amp;GD261)=0,"Y","N")))</f>
        <v>N</v>
      </c>
      <c r="FY261" s="0" t="str">
        <f aca="false">IF($A261="","",IF(AND(FW261="Y",FX261="Y",Y261&amp;""&lt;&gt;""),IF(Y261&lt;=10,"Y","N"),"N"))</f>
        <v>N</v>
      </c>
      <c r="FZ261" s="0" t="str">
        <f aca="false">IF(FY261="Y",Y261,"")</f>
        <v/>
      </c>
      <c r="GA261" s="0" t="str">
        <f aca="false">IF($A261="","",IF(AND(I261="walk-in",CN261="pass",U261="new",FT261="N",FV261="N",AQ261&lt;&gt;"Y"),"Y","N"))</f>
        <v>N</v>
      </c>
      <c r="GB261" s="0" t="str">
        <f aca="false">IF(GA261&lt;&gt;"Y","",IF(COUNTIFS($GA$2:$GA$1000,"Y",$J$2:$J$1000,"&gt;"&amp;J261)+COUNTIFS($GA$2:$GA$1000,"Y",$J$2:$J$1000,J261,$GD$2:$GD$1000,"&lt;"&amp;GD261)+1&lt;=25,COUNTIFS($GA$2:$GA$1000,"Y",$J$2:$J$1000,"&gt;"&amp;J261)+COUNTIFS($GA$2:$GA$1000,"Y",$J$2:$J$1000,J261,$GD$2:$GD$1000,"&lt;"&amp;GD261)+1,""))</f>
        <v/>
      </c>
      <c r="GC261" s="0" t="str">
        <f aca="false">IF(AND(_xlfn.ISFORMULA(C261),_xlfn.ISFORMULA(J261)),"Y","N")</f>
        <v>Y</v>
      </c>
      <c r="GD261" s="0" t="n">
        <f aca="false">ROW()-1</f>
        <v>260</v>
      </c>
    </row>
    <row r="262" customFormat="false" ht="15" hidden="false" customHeight="false" outlineLevel="0" collapsed="false">
      <c r="A262" s="0" t="s">
        <v>4868</v>
      </c>
      <c r="B262" s="0" t="s">
        <v>4869</v>
      </c>
      <c r="C262" s="0" t="str">
        <f aca="false">IF($A262="","",IF(AW262="Y",BM262&amp;"",AY262&amp;""))</f>
        <v/>
      </c>
      <c r="D262" s="0" t="str">
        <f aca="false">IF($A262="","",IF(AW262="Y",BN262&amp;"",AZ262&amp;""))</f>
        <v/>
      </c>
      <c r="E262" s="0" t="str">
        <f aca="false">IF($A262="","",IF(AW262="Y",BO262&amp;"",BA262&amp;""))</f>
        <v/>
      </c>
      <c r="F262" s="0" t="str">
        <f aca="false">IF($A262="","",IF(AW262="Y",BP262&amp;"",BB262&amp;""))</f>
        <v/>
      </c>
      <c r="G262" s="0" t="str">
        <f aca="false">IF($A262="","",IF(AW262="Y",BQ262&amp;"",BC262&amp;""))</f>
        <v/>
      </c>
      <c r="H262" s="0" t="str">
        <f aca="false">IF($A262="","",IF(AW262="Y",BR262&amp;"",BD262&amp;""))</f>
        <v>none</v>
      </c>
      <c r="I262" s="0" t="str">
        <f aca="false">IF($A262="","",IF(R262="Y","warm-intro",IF(H262="verified","email",IF(C262&lt;&gt;"","linkedin",CB262&amp;""))))</f>
        <v>linkedin</v>
      </c>
      <c r="J262" s="0" t="n">
        <f aca="false">IF($A262="","",IF(CN262="pass",ROUND(N(EM262)+N(EN262)+N(EO262)+N(EP262)+N(EQ262)+N(ER262),1),0))</f>
        <v>0</v>
      </c>
      <c r="K262" s="0" t="str">
        <f aca="false">IF($A262="","",IF(CN262&lt;&gt;"pass",CA262&amp;"",CA262&amp;"; "&amp;IF(AW262="Y",BZ262&amp;"",BL262&amp;"")&amp;IF(R262="Y","; known to the founder (+15)","")&amp;"."))</f>
        <v>Gated out: Tuesday estimate over 250 (255 to 5106).</v>
      </c>
      <c r="L262" s="0" t="s">
        <v>976</v>
      </c>
      <c r="R262" s="5" t="s">
        <v>189</v>
      </c>
      <c r="S262" s="0" t="s">
        <v>209</v>
      </c>
      <c r="T262" s="0" t="s">
        <v>189</v>
      </c>
      <c r="U262" s="5" t="s">
        <v>3896</v>
      </c>
      <c r="V262" s="0" t="s">
        <v>4551</v>
      </c>
      <c r="W262" s="0" t="s">
        <v>263</v>
      </c>
      <c r="X262" s="0" t="s">
        <v>3897</v>
      </c>
      <c r="Y262" s="0" t="str">
        <f aca="false">IF(FX262&lt;&gt;"Y","",COUNTIFS($FX$2:$FX$1000,"Y",$J$2:$J$1000,"&gt;"&amp;J262)+COUNTIFS($FX$2:$FX$1000,"Y",$J$2:$J$1000,J262,$GD$2:$GD$1000,"&lt;"&amp;GD262)+1)</f>
        <v/>
      </c>
      <c r="AA262" s="0" t="s">
        <v>189</v>
      </c>
      <c r="AB262" s="0" t="str">
        <f aca="false">IF($A262="","",IF(AW262="Y",BY262&amp;"",BK262&amp;""))</f>
        <v/>
      </c>
      <c r="AC262" s="0" t="str">
        <f aca="false">IF($A262="","",IF(AW262="Y",BS262&amp;"",BE262&amp;""))</f>
        <v/>
      </c>
      <c r="AD262" s="0" t="str">
        <f aca="false">IF($A262="","",IF(AW262="Y",BT262&amp;"",BF262&amp;""))</f>
        <v>none</v>
      </c>
      <c r="AE262" s="0" t="str">
        <f aca="false">IF($A262="","",IF(AW262="Y",BU262&amp;"",BG262&amp;""))</f>
        <v/>
      </c>
      <c r="AF262" s="0" t="str">
        <f aca="false">IF($A262="","",IF(AW262="Y",BV262&amp;"",BH262&amp;""))</f>
        <v/>
      </c>
      <c r="AG262" s="0" t="str">
        <f aca="false">IF($A262="","",IF(AW262="Y",BW262&amp;"",BI262&amp;""))</f>
        <v/>
      </c>
      <c r="AH262" s="0" t="str">
        <f aca="false">IF($A262="","",IF(AW262="Y",BX262&amp;"",BJ262&amp;""))</f>
        <v>none</v>
      </c>
      <c r="AI262" s="0" t="s">
        <v>2553</v>
      </c>
      <c r="AJ262" s="0" t="s">
        <v>209</v>
      </c>
      <c r="AK262" s="0" t="s">
        <v>3933</v>
      </c>
      <c r="AL262" s="0" t="n">
        <v>255</v>
      </c>
      <c r="AM262" s="0" t="n">
        <v>5106</v>
      </c>
      <c r="AN262" s="0" t="s">
        <v>187</v>
      </c>
      <c r="AO262" s="0" t="s">
        <v>209</v>
      </c>
      <c r="AP262" s="0" t="s">
        <v>4868</v>
      </c>
      <c r="AQ262" s="5" t="s">
        <v>189</v>
      </c>
      <c r="AT262" s="0" t="str">
        <f aca="false">IF($A262="","",IF(AND(CN262="pass",AQ262&lt;&gt;"Y",C262&lt;&gt;"",OR(AX262&lt;&gt;"Y",AV262="Y")),"Y","N"))</f>
        <v>N</v>
      </c>
      <c r="AU262" s="0" t="str">
        <f aca="false">IF($A262="","",_xlfn.TEXTJOIN("; ",TRUE(),IF(CN262&lt;&gt;"pass","gated out",""),IF(AQ262="Y","on hold: "&amp;AR262,""),IF(C262="","no contact named on an opened page",""),IF(AND(AX262="Y",AV262&lt;&gt;"Y"),"Tuesday estimate band "&amp;L262&amp;": founder's call","")))</f>
        <v>gated out; no contact named on an opened page; Tuesday estimate band over-500: founder's call</v>
      </c>
      <c r="AX262" s="0" t="s">
        <v>164</v>
      </c>
      <c r="BC262" s="0" t="str">
        <f aca="false">IF($A262="","",IFERROR(INDEX(Enrichment!$A$2:$GZ$2000,MATCH($A262,INDEX(Enrichment!$A$2:$GZ$2000,0,MATCH("row_id",Enrichment!$A$1:$GZ$1,0)),0),MATCH("work_email",Enrichment!$A$1:$GZ$1,0))&amp;"",""))</f>
        <v/>
      </c>
      <c r="BD262" s="0" t="str">
        <f aca="false">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none</v>
      </c>
      <c r="BF262" s="0" t="s">
        <v>380</v>
      </c>
      <c r="BJ262" s="0" t="s">
        <v>380</v>
      </c>
      <c r="BL262" s="0" t="s">
        <v>896</v>
      </c>
      <c r="BQ262" s="0" t="str">
        <f aca="false">IF($A262="","",IFERROR(INDEX(Enrichment!$A$2:$GZ$2000,MATCH($A262,INDEX(Enrichment!$A$2:$GZ$2000,0,MATCH("row_id",Enrichment!$A$1:$GZ$1,0)),0),MATCH("backup_work_email",Enrichment!$A$1:$GZ$1,0))&amp;"",""))</f>
        <v/>
      </c>
      <c r="BR262" s="0" t="str">
        <f aca="false">IF($A262="","",IF(BQ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none</v>
      </c>
      <c r="BT262" s="0" t="s">
        <v>380</v>
      </c>
      <c r="BX262" s="0" t="s">
        <v>380</v>
      </c>
      <c r="BZ262" s="0" t="s">
        <v>388</v>
      </c>
      <c r="CA262" s="0" t="s">
        <v>4870</v>
      </c>
      <c r="CB262" s="0" t="s">
        <v>196</v>
      </c>
      <c r="CM262" s="0" t="s">
        <v>189</v>
      </c>
      <c r="CN262" s="0" t="s">
        <v>4627</v>
      </c>
      <c r="CO262" s="0" t="s">
        <v>4871</v>
      </c>
      <c r="CP262" s="0" t="s">
        <v>1</v>
      </c>
      <c r="CQ262" s="0" t="s">
        <v>4872</v>
      </c>
      <c r="CR262" s="0" t="s">
        <v>4873</v>
      </c>
      <c r="CS262" s="0" t="s">
        <v>4874</v>
      </c>
      <c r="CT262" s="0" t="s">
        <v>4875</v>
      </c>
      <c r="CV262" s="0" t="s">
        <v>976</v>
      </c>
      <c r="CW262" s="0" t="s">
        <v>204</v>
      </c>
      <c r="CX262" s="0" t="s">
        <v>205</v>
      </c>
      <c r="CY262" s="0" t="s">
        <v>4876</v>
      </c>
      <c r="DA262" s="0" t="s">
        <v>2301</v>
      </c>
      <c r="DB262" s="0" t="s">
        <v>209</v>
      </c>
      <c r="DC262" s="0" t="s">
        <v>209</v>
      </c>
      <c r="DD262" s="0" t="s">
        <v>209</v>
      </c>
      <c r="DE262" s="0" t="s">
        <v>209</v>
      </c>
      <c r="DF262" s="0" t="s">
        <v>525</v>
      </c>
      <c r="DG262" s="0" t="n">
        <v>40.741761</v>
      </c>
      <c r="DH262" s="0" t="n">
        <v>-73.987033</v>
      </c>
      <c r="DI262" s="0" t="s">
        <v>164</v>
      </c>
      <c r="DJ262" s="0" t="n">
        <v>0</v>
      </c>
      <c r="DK262" s="0" t="s">
        <v>2502</v>
      </c>
      <c r="DL262" s="0" t="s">
        <v>2503</v>
      </c>
      <c r="DM262" s="0" t="s">
        <v>4551</v>
      </c>
      <c r="DN262" s="0" t="s">
        <v>4559</v>
      </c>
      <c r="DO262" s="0" t="s">
        <v>4177</v>
      </c>
      <c r="DP262" s="0" t="s">
        <v>4876</v>
      </c>
      <c r="DQ262" s="0" t="s">
        <v>263</v>
      </c>
      <c r="DS262" s="0" t="s">
        <v>217</v>
      </c>
      <c r="DU262" s="0" t="s">
        <v>189</v>
      </c>
      <c r="DX262" s="0" t="s">
        <v>2507</v>
      </c>
      <c r="DY262" s="0" t="s">
        <v>2508</v>
      </c>
      <c r="EA262" s="0" t="s">
        <v>209</v>
      </c>
      <c r="EB262" s="0" t="s">
        <v>189</v>
      </c>
      <c r="EC262" s="0" t="s">
        <v>209</v>
      </c>
      <c r="EF262" s="0" t="n">
        <v>1141</v>
      </c>
      <c r="EG262" s="0" t="s">
        <v>4781</v>
      </c>
      <c r="EH262" s="0" t="s">
        <v>189</v>
      </c>
      <c r="EI262" s="0" t="s">
        <v>4877</v>
      </c>
      <c r="EJ262" s="0" t="s">
        <v>221</v>
      </c>
      <c r="EK262" s="0" t="n">
        <v>0</v>
      </c>
      <c r="EL262" s="0" t="n">
        <v>21</v>
      </c>
      <c r="EM262" s="0" t="n">
        <v>0</v>
      </c>
      <c r="EN262" s="0" t="n">
        <v>0</v>
      </c>
      <c r="EO262" s="0" t="n">
        <v>6</v>
      </c>
      <c r="EP262" s="0" t="n">
        <v>15</v>
      </c>
      <c r="EQ262" s="0" t="n">
        <f aca="false">IF($A262="","",IF(AH262="exact",10,IF(AH262="adjacent",5,0)))</f>
        <v>0</v>
      </c>
      <c r="ER262" s="0" t="n">
        <f aca="false">IF($A262="","",IF(R262="Y",15,0))</f>
        <v>0</v>
      </c>
      <c r="ES262" s="0" t="s">
        <v>982</v>
      </c>
      <c r="ET262" s="0" t="s">
        <v>2310</v>
      </c>
      <c r="EU262" s="0" t="s">
        <v>189</v>
      </c>
      <c r="EX262" s="0" t="s">
        <v>4878</v>
      </c>
      <c r="FS262" s="0" t="str">
        <f aca="false">IF($A262="","",IF(ISNUMBER(MATCH(U262,{"queued","contacted","replied","call_booked","call_done","yes_in_principle","materials_sent"},0)),"Y","N"))</f>
        <v>N</v>
      </c>
      <c r="FT262" s="0" t="str">
        <f aca="false">IF($A262="","",IF(OR(T262="Y",U262="do_not_contact",AS262&amp;""&lt;&gt;""),"Y","N"))</f>
        <v>N</v>
      </c>
      <c r="FU262" s="0" t="str">
        <f aca="false">IF($A262="","",IF(AP262&amp;""&lt;&gt;"",AP262&amp;"",$A262))</f>
        <v>AO-C-244</v>
      </c>
      <c r="FV262" s="0" t="str">
        <f aca="false">IF($A262="","",IF(COUNTIFS($FU$2:$FU$1000,FU262,$FS$2:$FS$1000,"Y")+COUNTIFS($FU$2:$FU$1000,FU262,$FT$2:$FT$1000,"Y")&gt;0,"Y","N"))</f>
        <v>N</v>
      </c>
      <c r="FW262" s="0" t="str">
        <f aca="false">IF($A262="","",IF(AND(U262="new",T262="N",FT262="N",AT262="Y",FV262="N"),"Y","N"))</f>
        <v>N</v>
      </c>
      <c r="FX262" s="0" t="str">
        <f aca="false">IF($A262="","",IF(FW262&lt;&gt;"Y","N",IF(COUNTIFS($FU$2:$FU$1000,FU262,$FW$2:$FW$1000,"Y",$J$2:$J$1000,"&gt;"&amp;J262)+COUNTIFS($FU$2:$FU$1000,FU262,$FW$2:$FW$1000,"Y",$J$2:$J$1000,J262,$GD$2:$GD$1000,"&lt;"&amp;GD262)=0,"Y","N")))</f>
        <v>N</v>
      </c>
      <c r="FY262" s="0" t="str">
        <f aca="false">IF($A262="","",IF(AND(FW262="Y",FX262="Y",Y262&amp;""&lt;&gt;""),IF(Y262&lt;=10,"Y","N"),"N"))</f>
        <v>N</v>
      </c>
      <c r="FZ262" s="0" t="str">
        <f aca="false">IF(FY262="Y",Y262,"")</f>
        <v/>
      </c>
      <c r="GA262" s="0" t="str">
        <f aca="false">IF($A262="","",IF(AND(I262="walk-in",CN262="pass",U262="new",FT262="N",FV262="N",AQ262&lt;&gt;"Y"),"Y","N"))</f>
        <v>N</v>
      </c>
      <c r="GB262" s="0" t="str">
        <f aca="false">IF(GA262&lt;&gt;"Y","",IF(COUNTIFS($GA$2:$GA$1000,"Y",$J$2:$J$1000,"&gt;"&amp;J262)+COUNTIFS($GA$2:$GA$1000,"Y",$J$2:$J$1000,J262,$GD$2:$GD$1000,"&lt;"&amp;GD262)+1&lt;=25,COUNTIFS($GA$2:$GA$1000,"Y",$J$2:$J$1000,"&gt;"&amp;J262)+COUNTIFS($GA$2:$GA$1000,"Y",$J$2:$J$1000,J262,$GD$2:$GD$1000,"&lt;"&amp;GD262)+1,""))</f>
        <v/>
      </c>
      <c r="GC262" s="0" t="str">
        <f aca="false">IF(AND(_xlfn.ISFORMULA(C262),_xlfn.ISFORMULA(J262)),"Y","N")</f>
        <v>Y</v>
      </c>
      <c r="GD262" s="0" t="n">
        <f aca="false">ROW()-1</f>
        <v>261</v>
      </c>
    </row>
    <row r="263" customFormat="false" ht="15" hidden="false" customHeight="false" outlineLevel="0" collapsed="false">
      <c r="A263" s="0" t="s">
        <v>4879</v>
      </c>
      <c r="B263" s="0" t="s">
        <v>4880</v>
      </c>
      <c r="C263" s="0" t="str">
        <f aca="false">IF($A263="","",IF(AW263="Y",BM263&amp;"",AY263&amp;""))</f>
        <v/>
      </c>
      <c r="D263" s="0" t="str">
        <f aca="false">IF($A263="","",IF(AW263="Y",BN263&amp;"",AZ263&amp;""))</f>
        <v/>
      </c>
      <c r="E263" s="0" t="str">
        <f aca="false">IF($A263="","",IF(AW263="Y",BO263&amp;"",BA263&amp;""))</f>
        <v/>
      </c>
      <c r="F263" s="0" t="str">
        <f aca="false">IF($A263="","",IF(AW263="Y",BP263&amp;"",BB263&amp;""))</f>
        <v/>
      </c>
      <c r="G263" s="0" t="str">
        <f aca="false">IF($A263="","",IF(AW263="Y",BQ263&amp;"",BC263&amp;""))</f>
        <v/>
      </c>
      <c r="H263" s="0" t="str">
        <f aca="false">IF($A263="","",IF(AW263="Y",BR263&amp;"",BD263&amp;""))</f>
        <v>none</v>
      </c>
      <c r="I263" s="0" t="str">
        <f aca="false">IF($A263="","",IF(R263="Y","warm-intro",IF(H263="verified","email",IF(C263&lt;&gt;"","linkedin",CB263&amp;""))))</f>
        <v>linkedin</v>
      </c>
      <c r="J263" s="0" t="n">
        <f aca="false">IF($A263="","",IF(CN263="pass",ROUND(N(EM263)+N(EN263)+N(EO263)+N(EP263)+N(EQ263)+N(ER263),1),0))</f>
        <v>0</v>
      </c>
      <c r="K263" s="0" t="str">
        <f aca="false">IF($A263="","",IF(CN263&lt;&gt;"pass",CA263&amp;"",CA263&amp;"; "&amp;IF(AW263="Y",BZ263&amp;"",BL263&amp;"")&amp;IF(R263="Y","; known to the founder (+15)","")&amp;"."))</f>
        <v>Gated out: Tuesday estimate over 250 (400 to 800).</v>
      </c>
      <c r="L263" s="0" t="s">
        <v>976</v>
      </c>
      <c r="R263" s="5" t="s">
        <v>189</v>
      </c>
      <c r="S263" s="0" t="s">
        <v>209</v>
      </c>
      <c r="T263" s="0" t="s">
        <v>189</v>
      </c>
      <c r="U263" s="5" t="s">
        <v>3896</v>
      </c>
      <c r="V263" s="0" t="s">
        <v>4551</v>
      </c>
      <c r="W263" s="0" t="s">
        <v>263</v>
      </c>
      <c r="X263" s="0" t="s">
        <v>3897</v>
      </c>
      <c r="Y263" s="0" t="str">
        <f aca="false">IF(FX263&lt;&gt;"Y","",COUNTIFS($FX$2:$FX$1000,"Y",$J$2:$J$1000,"&gt;"&amp;J263)+COUNTIFS($FX$2:$FX$1000,"Y",$J$2:$J$1000,J263,$GD$2:$GD$1000,"&lt;"&amp;GD263)+1)</f>
        <v/>
      </c>
      <c r="AA263" s="0" t="s">
        <v>189</v>
      </c>
      <c r="AB263" s="0" t="str">
        <f aca="false">IF($A263="","",IF(AW263="Y",BY263&amp;"",BK263&amp;""))</f>
        <v/>
      </c>
      <c r="AC263" s="0" t="str">
        <f aca="false">IF($A263="","",IF(AW263="Y",BS263&amp;"",BE263&amp;""))</f>
        <v/>
      </c>
      <c r="AD263" s="0" t="str">
        <f aca="false">IF($A263="","",IF(AW263="Y",BT263&amp;"",BF263&amp;""))</f>
        <v>none</v>
      </c>
      <c r="AE263" s="0" t="str">
        <f aca="false">IF($A263="","",IF(AW263="Y",BU263&amp;"",BG263&amp;""))</f>
        <v/>
      </c>
      <c r="AF263" s="0" t="str">
        <f aca="false">IF($A263="","",IF(AW263="Y",BV263&amp;"",BH263&amp;""))</f>
        <v/>
      </c>
      <c r="AG263" s="0" t="str">
        <f aca="false">IF($A263="","",IF(AW263="Y",BW263&amp;"",BI263&amp;""))</f>
        <v/>
      </c>
      <c r="AH263" s="0" t="str">
        <f aca="false">IF($A263="","",IF(AW263="Y",BX263&amp;"",BJ263&amp;""))</f>
        <v>none</v>
      </c>
      <c r="AI263" s="0" t="s">
        <v>2553</v>
      </c>
      <c r="AJ263" s="0" t="s">
        <v>209</v>
      </c>
      <c r="AK263" s="0" t="s">
        <v>3933</v>
      </c>
      <c r="AL263" s="0" t="n">
        <v>400</v>
      </c>
      <c r="AM263" s="0" t="n">
        <v>800</v>
      </c>
      <c r="AN263" s="0" t="s">
        <v>187</v>
      </c>
      <c r="AO263" s="0" t="s">
        <v>209</v>
      </c>
      <c r="AP263" s="0" t="s">
        <v>4879</v>
      </c>
      <c r="AQ263" s="5" t="s">
        <v>189</v>
      </c>
      <c r="AT263" s="0" t="str">
        <f aca="false">IF($A263="","",IF(AND(CN263="pass",AQ263&lt;&gt;"Y",C263&lt;&gt;"",OR(AX263&lt;&gt;"Y",AV263="Y")),"Y","N"))</f>
        <v>N</v>
      </c>
      <c r="AU263" s="0" t="str">
        <f aca="false">IF($A263="","",_xlfn.TEXTJOIN("; ",TRUE(),IF(CN263&lt;&gt;"pass","gated out",""),IF(AQ263="Y","on hold: "&amp;AR263,""),IF(C263="","no contact named on an opened page",""),IF(AND(AX263="Y",AV263&lt;&gt;"Y"),"Tuesday estimate band "&amp;L263&amp;": founder's call","")))</f>
        <v>gated out; no contact named on an opened page; Tuesday estimate band over-500: founder's call</v>
      </c>
      <c r="AX263" s="0" t="s">
        <v>164</v>
      </c>
      <c r="BC263" s="0" t="str">
        <f aca="false">IF($A263="","",IFERROR(INDEX(Enrichment!$A$2:$GZ$2000,MATCH($A263,INDEX(Enrichment!$A$2:$GZ$2000,0,MATCH("row_id",Enrichment!$A$1:$GZ$1,0)),0),MATCH("work_email",Enrichment!$A$1:$GZ$1,0))&amp;"",""))</f>
        <v/>
      </c>
      <c r="BD263" s="0" t="str">
        <f aca="false">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none</v>
      </c>
      <c r="BF263" s="0" t="s">
        <v>380</v>
      </c>
      <c r="BJ263" s="0" t="s">
        <v>380</v>
      </c>
      <c r="BL263" s="0" t="s">
        <v>896</v>
      </c>
      <c r="BQ263" s="0" t="str">
        <f aca="false">IF($A263="","",IFERROR(INDEX(Enrichment!$A$2:$GZ$2000,MATCH($A263,INDEX(Enrichment!$A$2:$GZ$2000,0,MATCH("row_id",Enrichment!$A$1:$GZ$1,0)),0),MATCH("backup_work_email",Enrichment!$A$1:$GZ$1,0))&amp;"",""))</f>
        <v/>
      </c>
      <c r="BR263" s="0" t="str">
        <f aca="false">IF($A263="","",IF(BQ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none</v>
      </c>
      <c r="BT263" s="0" t="s">
        <v>380</v>
      </c>
      <c r="BX263" s="0" t="s">
        <v>380</v>
      </c>
      <c r="BZ263" s="0" t="s">
        <v>388</v>
      </c>
      <c r="CA263" s="0" t="s">
        <v>4881</v>
      </c>
      <c r="CB263" s="0" t="s">
        <v>196</v>
      </c>
      <c r="CM263" s="0" t="s">
        <v>189</v>
      </c>
      <c r="CN263" s="0" t="s">
        <v>4627</v>
      </c>
      <c r="CO263" s="0" t="s">
        <v>4882</v>
      </c>
      <c r="CP263" s="0" t="s">
        <v>1</v>
      </c>
      <c r="CQ263" s="0" t="s">
        <v>4883</v>
      </c>
      <c r="CR263" s="0" t="s">
        <v>4884</v>
      </c>
      <c r="CS263" s="0" t="s">
        <v>4885</v>
      </c>
      <c r="CT263" s="0" t="s">
        <v>4886</v>
      </c>
      <c r="CV263" s="0" t="s">
        <v>976</v>
      </c>
      <c r="CW263" s="0" t="s">
        <v>204</v>
      </c>
      <c r="CX263" s="0" t="s">
        <v>205</v>
      </c>
      <c r="CY263" s="0" t="s">
        <v>4887</v>
      </c>
      <c r="DA263" s="0" t="s">
        <v>2301</v>
      </c>
      <c r="DB263" s="0" t="s">
        <v>209</v>
      </c>
      <c r="DC263" s="0" t="s">
        <v>209</v>
      </c>
      <c r="DD263" s="0" t="s">
        <v>209</v>
      </c>
      <c r="DE263" s="0" t="s">
        <v>4888</v>
      </c>
      <c r="DF263" s="0" t="s">
        <v>525</v>
      </c>
      <c r="DG263" s="0" t="n">
        <v>40.741761</v>
      </c>
      <c r="DH263" s="0" t="n">
        <v>-73.987033</v>
      </c>
      <c r="DI263" s="0" t="s">
        <v>164</v>
      </c>
      <c r="DJ263" s="0" t="n">
        <v>0</v>
      </c>
      <c r="DK263" s="0" t="s">
        <v>2502</v>
      </c>
      <c r="DL263" s="0" t="s">
        <v>2503</v>
      </c>
      <c r="DM263" s="0" t="s">
        <v>4551</v>
      </c>
      <c r="DN263" s="0" t="s">
        <v>4559</v>
      </c>
      <c r="DO263" s="0" t="s">
        <v>4177</v>
      </c>
      <c r="DP263" s="0" t="s">
        <v>3906</v>
      </c>
      <c r="DQ263" s="0" t="s">
        <v>3907</v>
      </c>
      <c r="DS263" s="0" t="s">
        <v>217</v>
      </c>
      <c r="DU263" s="0" t="s">
        <v>189</v>
      </c>
      <c r="DX263" s="0" t="s">
        <v>2507</v>
      </c>
      <c r="DY263" s="0" t="s">
        <v>2508</v>
      </c>
      <c r="EA263" s="0" t="s">
        <v>209</v>
      </c>
      <c r="EB263" s="0" t="s">
        <v>189</v>
      </c>
      <c r="EC263" s="0" t="s">
        <v>209</v>
      </c>
      <c r="EF263" s="0" t="n">
        <v>566</v>
      </c>
      <c r="EG263" s="0" t="s">
        <v>4781</v>
      </c>
      <c r="EH263" s="0" t="s">
        <v>164</v>
      </c>
      <c r="EI263" s="0" t="s">
        <v>4889</v>
      </c>
      <c r="EJ263" s="0" t="s">
        <v>221</v>
      </c>
      <c r="EK263" s="0" t="n">
        <v>0</v>
      </c>
      <c r="EL263" s="0" t="n">
        <v>21</v>
      </c>
      <c r="EM263" s="0" t="n">
        <v>0</v>
      </c>
      <c r="EN263" s="0" t="n">
        <v>0</v>
      </c>
      <c r="EO263" s="0" t="n">
        <v>6</v>
      </c>
      <c r="EP263" s="0" t="n">
        <v>15</v>
      </c>
      <c r="EQ263" s="0" t="n">
        <f aca="false">IF($A263="","",IF(AH263="exact",10,IF(AH263="adjacent",5,0)))</f>
        <v>0</v>
      </c>
      <c r="ER263" s="0" t="n">
        <f aca="false">IF($A263="","",IF(R263="Y",15,0))</f>
        <v>0</v>
      </c>
      <c r="ES263" s="0" t="s">
        <v>982</v>
      </c>
      <c r="ET263" s="0" t="s">
        <v>2310</v>
      </c>
      <c r="EU263" s="0" t="s">
        <v>189</v>
      </c>
      <c r="EV263" s="0" t="s">
        <v>4890</v>
      </c>
      <c r="EW263" s="0" t="s">
        <v>224</v>
      </c>
      <c r="EX263" s="0" t="s">
        <v>4891</v>
      </c>
      <c r="EZ263" s="0" t="s">
        <v>4892</v>
      </c>
      <c r="FS263" s="0" t="str">
        <f aca="false">IF($A263="","",IF(ISNUMBER(MATCH(U263,{"queued","contacted","replied","call_booked","call_done","yes_in_principle","materials_sent"},0)),"Y","N"))</f>
        <v>N</v>
      </c>
      <c r="FT263" s="0" t="str">
        <f aca="false">IF($A263="","",IF(OR(T263="Y",U263="do_not_contact",AS263&amp;""&lt;&gt;""),"Y","N"))</f>
        <v>N</v>
      </c>
      <c r="FU263" s="0" t="str">
        <f aca="false">IF($A263="","",IF(AP263&amp;""&lt;&gt;"",AP263&amp;"",$A263))</f>
        <v>AO-C-245</v>
      </c>
      <c r="FV263" s="0" t="str">
        <f aca="false">IF($A263="","",IF(COUNTIFS($FU$2:$FU$1000,FU263,$FS$2:$FS$1000,"Y")+COUNTIFS($FU$2:$FU$1000,FU263,$FT$2:$FT$1000,"Y")&gt;0,"Y","N"))</f>
        <v>N</v>
      </c>
      <c r="FW263" s="0" t="str">
        <f aca="false">IF($A263="","",IF(AND(U263="new",T263="N",FT263="N",AT263="Y",FV263="N"),"Y","N"))</f>
        <v>N</v>
      </c>
      <c r="FX263" s="0" t="str">
        <f aca="false">IF($A263="","",IF(FW263&lt;&gt;"Y","N",IF(COUNTIFS($FU$2:$FU$1000,FU263,$FW$2:$FW$1000,"Y",$J$2:$J$1000,"&gt;"&amp;J263)+COUNTIFS($FU$2:$FU$1000,FU263,$FW$2:$FW$1000,"Y",$J$2:$J$1000,J263,$GD$2:$GD$1000,"&lt;"&amp;GD263)=0,"Y","N")))</f>
        <v>N</v>
      </c>
      <c r="FY263" s="0" t="str">
        <f aca="false">IF($A263="","",IF(AND(FW263="Y",FX263="Y",Y263&amp;""&lt;&gt;""),IF(Y263&lt;=10,"Y","N"),"N"))</f>
        <v>N</v>
      </c>
      <c r="FZ263" s="0" t="str">
        <f aca="false">IF(FY263="Y",Y263,"")</f>
        <v/>
      </c>
      <c r="GA263" s="0" t="str">
        <f aca="false">IF($A263="","",IF(AND(I263="walk-in",CN263="pass",U263="new",FT263="N",FV263="N",AQ263&lt;&gt;"Y"),"Y","N"))</f>
        <v>N</v>
      </c>
      <c r="GB263" s="0" t="str">
        <f aca="false">IF(GA263&lt;&gt;"Y","",IF(COUNTIFS($GA$2:$GA$1000,"Y",$J$2:$J$1000,"&gt;"&amp;J263)+COUNTIFS($GA$2:$GA$1000,"Y",$J$2:$J$1000,J263,$GD$2:$GD$1000,"&lt;"&amp;GD263)+1&lt;=25,COUNTIFS($GA$2:$GA$1000,"Y",$J$2:$J$1000,"&gt;"&amp;J263)+COUNTIFS($GA$2:$GA$1000,"Y",$J$2:$J$1000,J263,$GD$2:$GD$1000,"&lt;"&amp;GD263)+1,""))</f>
        <v/>
      </c>
      <c r="GC263" s="0" t="str">
        <f aca="false">IF(AND(_xlfn.ISFORMULA(C263),_xlfn.ISFORMULA(J263)),"Y","N")</f>
        <v>Y</v>
      </c>
      <c r="GD263" s="0" t="n">
        <f aca="false">ROW()-1</f>
        <v>262</v>
      </c>
    </row>
    <row r="264" customFormat="false" ht="15" hidden="false" customHeight="false" outlineLevel="0" collapsed="false">
      <c r="A264" s="0" t="s">
        <v>4893</v>
      </c>
      <c r="B264" s="0" t="s">
        <v>4894</v>
      </c>
      <c r="C264" s="0" t="str">
        <f aca="false">IF($A264="","",IF(AW264="Y",BM264&amp;"",AY264&amp;""))</f>
        <v/>
      </c>
      <c r="D264" s="0" t="str">
        <f aca="false">IF($A264="","",IF(AW264="Y",BN264&amp;"",AZ264&amp;""))</f>
        <v/>
      </c>
      <c r="E264" s="0" t="str">
        <f aca="false">IF($A264="","",IF(AW264="Y",BO264&amp;"",BA264&amp;""))</f>
        <v/>
      </c>
      <c r="F264" s="0" t="str">
        <f aca="false">IF($A264="","",IF(AW264="Y",BP264&amp;"",BB264&amp;""))</f>
        <v/>
      </c>
      <c r="G264" s="0" t="str">
        <f aca="false">IF($A264="","",IF(AW264="Y",BQ264&amp;"",BC264&amp;""))</f>
        <v/>
      </c>
      <c r="H264" s="0" t="str">
        <f aca="false">IF($A264="","",IF(AW264="Y",BR264&amp;"",BD264&amp;""))</f>
        <v>none</v>
      </c>
      <c r="I264" s="0" t="str">
        <f aca="false">IF($A264="","",IF(R264="Y","warm-intro",IF(H264="verified","email",IF(C264&lt;&gt;"","linkedin",CB264&amp;""))))</f>
        <v>linkedin</v>
      </c>
      <c r="J264" s="0" t="n">
        <f aca="false">IF($A264="","",IF(CN264="pass",ROUND(N(EM264)+N(EN264)+N(EO264)+N(EP264)+N(EQ264)+N(ER264),1),0))</f>
        <v>0</v>
      </c>
      <c r="K264" s="0" t="str">
        <f aca="false">IF($A264="","",IF(CN264&lt;&gt;"pass",CA264&amp;"",CA264&amp;"; "&amp;IF(AW264="Y",BZ264&amp;"",BL264&amp;"")&amp;IF(R264="Y","; known to the founder (+15)","")&amp;"."))</f>
        <v>Gated out: Tuesday estimate over 250 (2140 to 4280).</v>
      </c>
      <c r="L264" s="0" t="s">
        <v>976</v>
      </c>
      <c r="R264" s="5" t="s">
        <v>189</v>
      </c>
      <c r="S264" s="0" t="s">
        <v>209</v>
      </c>
      <c r="T264" s="0" t="s">
        <v>189</v>
      </c>
      <c r="U264" s="5" t="s">
        <v>3896</v>
      </c>
      <c r="V264" s="0" t="s">
        <v>4895</v>
      </c>
      <c r="W264" s="0" t="s">
        <v>263</v>
      </c>
      <c r="X264" s="0" t="s">
        <v>3897</v>
      </c>
      <c r="Y264" s="0" t="str">
        <f aca="false">IF(FX264&lt;&gt;"Y","",COUNTIFS($FX$2:$FX$1000,"Y",$J$2:$J$1000,"&gt;"&amp;J264)+COUNTIFS($FX$2:$FX$1000,"Y",$J$2:$J$1000,J264,$GD$2:$GD$1000,"&lt;"&amp;GD264)+1)</f>
        <v/>
      </c>
      <c r="AA264" s="0" t="s">
        <v>189</v>
      </c>
      <c r="AB264" s="0" t="str">
        <f aca="false">IF($A264="","",IF(AW264="Y",BY264&amp;"",BK264&amp;""))</f>
        <v/>
      </c>
      <c r="AC264" s="0" t="str">
        <f aca="false">IF($A264="","",IF(AW264="Y",BS264&amp;"",BE264&amp;""))</f>
        <v/>
      </c>
      <c r="AD264" s="0" t="str">
        <f aca="false">IF($A264="","",IF(AW264="Y",BT264&amp;"",BF264&amp;""))</f>
        <v>none</v>
      </c>
      <c r="AE264" s="0" t="str">
        <f aca="false">IF($A264="","",IF(AW264="Y",BU264&amp;"",BG264&amp;""))</f>
        <v/>
      </c>
      <c r="AF264" s="0" t="str">
        <f aca="false">IF($A264="","",IF(AW264="Y",BV264&amp;"",BH264&amp;""))</f>
        <v/>
      </c>
      <c r="AG264" s="0" t="str">
        <f aca="false">IF($A264="","",IF(AW264="Y",BW264&amp;"",BI264&amp;""))</f>
        <v/>
      </c>
      <c r="AH264" s="0" t="str">
        <f aca="false">IF($A264="","",IF(AW264="Y",BX264&amp;"",BJ264&amp;""))</f>
        <v>none</v>
      </c>
      <c r="AI264" s="0" t="s">
        <v>4021</v>
      </c>
      <c r="AJ264" s="0" t="s">
        <v>209</v>
      </c>
      <c r="AK264" s="0" t="s">
        <v>3933</v>
      </c>
      <c r="AL264" s="0" t="n">
        <v>2140</v>
      </c>
      <c r="AM264" s="0" t="n">
        <v>4280</v>
      </c>
      <c r="AN264" s="0" t="s">
        <v>187</v>
      </c>
      <c r="AO264" s="0" t="s">
        <v>209</v>
      </c>
      <c r="AP264" s="0" t="s">
        <v>4893</v>
      </c>
      <c r="AQ264" s="5" t="s">
        <v>189</v>
      </c>
      <c r="AT264" s="0" t="str">
        <f aca="false">IF($A264="","",IF(AND(CN264="pass",AQ264&lt;&gt;"Y",C264&lt;&gt;"",OR(AX264&lt;&gt;"Y",AV264="Y")),"Y","N"))</f>
        <v>N</v>
      </c>
      <c r="AU264" s="0" t="str">
        <f aca="false">IF($A264="","",_xlfn.TEXTJOIN("; ",TRUE(),IF(CN264&lt;&gt;"pass","gated out",""),IF(AQ264="Y","on hold: "&amp;AR264,""),IF(C264="","no contact named on an opened page",""),IF(AND(AX264="Y",AV264&lt;&gt;"Y"),"Tuesday estimate band "&amp;L264&amp;": founder's call","")))</f>
        <v>gated out; no contact named on an opened page; Tuesday estimate band over-500: founder's call</v>
      </c>
      <c r="AX264" s="0" t="s">
        <v>164</v>
      </c>
      <c r="BC264" s="0" t="str">
        <f aca="false">IF($A264="","",IFERROR(INDEX(Enrichment!$A$2:$GZ$2000,MATCH($A264,INDEX(Enrichment!$A$2:$GZ$2000,0,MATCH("row_id",Enrichment!$A$1:$GZ$1,0)),0),MATCH("work_email",Enrichment!$A$1:$GZ$1,0))&amp;"",""))</f>
        <v/>
      </c>
      <c r="BD264" s="0" t="str">
        <f aca="false">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none</v>
      </c>
      <c r="BF264" s="0" t="s">
        <v>380</v>
      </c>
      <c r="BJ264" s="0" t="s">
        <v>380</v>
      </c>
      <c r="BL264" s="0" t="s">
        <v>896</v>
      </c>
      <c r="BQ264" s="0" t="str">
        <f aca="false">IF($A264="","",IFERROR(INDEX(Enrichment!$A$2:$GZ$2000,MATCH($A264,INDEX(Enrichment!$A$2:$GZ$2000,0,MATCH("row_id",Enrichment!$A$1:$GZ$1,0)),0),MATCH("backup_work_email",Enrichment!$A$1:$GZ$1,0))&amp;"",""))</f>
        <v/>
      </c>
      <c r="BR264" s="0" t="str">
        <f aca="false">IF($A264="","",IF(BQ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none</v>
      </c>
      <c r="BT264" s="0" t="s">
        <v>380</v>
      </c>
      <c r="BX264" s="0" t="s">
        <v>380</v>
      </c>
      <c r="BZ264" s="0" t="s">
        <v>388</v>
      </c>
      <c r="CA264" s="0" t="s">
        <v>4896</v>
      </c>
      <c r="CB264" s="0" t="s">
        <v>196</v>
      </c>
      <c r="CM264" s="0" t="s">
        <v>189</v>
      </c>
      <c r="CN264" s="0" t="s">
        <v>4627</v>
      </c>
      <c r="CO264" s="0" t="s">
        <v>4897</v>
      </c>
      <c r="CP264" s="0" t="s">
        <v>1</v>
      </c>
      <c r="CQ264" s="0" t="s">
        <v>4898</v>
      </c>
      <c r="CR264" s="0" t="s">
        <v>4899</v>
      </c>
      <c r="CS264" s="0" t="s">
        <v>4900</v>
      </c>
      <c r="CT264" s="0" t="s">
        <v>4901</v>
      </c>
      <c r="CV264" s="0" t="s">
        <v>976</v>
      </c>
      <c r="CW264" s="0" t="s">
        <v>204</v>
      </c>
      <c r="CX264" s="0" t="s">
        <v>205</v>
      </c>
      <c r="CY264" s="0" t="s">
        <v>4902</v>
      </c>
      <c r="DA264" s="0" t="s">
        <v>2301</v>
      </c>
      <c r="DB264" s="0" t="s">
        <v>259</v>
      </c>
      <c r="DC264" s="0" t="s">
        <v>164</v>
      </c>
      <c r="DD264" s="0" t="s">
        <v>209</v>
      </c>
      <c r="DE264" s="0" t="s">
        <v>209</v>
      </c>
      <c r="DF264" s="0" t="s">
        <v>525</v>
      </c>
      <c r="DG264" s="0" t="n">
        <v>40.741986</v>
      </c>
      <c r="DH264" s="0" t="n">
        <v>-73.989477</v>
      </c>
      <c r="DI264" s="0" t="s">
        <v>164</v>
      </c>
      <c r="DJ264" s="0" t="n">
        <v>0</v>
      </c>
      <c r="DL264" s="0" t="s">
        <v>209</v>
      </c>
      <c r="DM264" s="0" t="s">
        <v>4895</v>
      </c>
      <c r="DN264" s="0" t="s">
        <v>4903</v>
      </c>
      <c r="DO264" s="0" t="s">
        <v>363</v>
      </c>
      <c r="DP264" s="0" t="s">
        <v>4902</v>
      </c>
      <c r="DQ264" s="0" t="s">
        <v>263</v>
      </c>
      <c r="DS264" s="0" t="s">
        <v>217</v>
      </c>
      <c r="DU264" s="0" t="s">
        <v>189</v>
      </c>
      <c r="DX264" s="0" t="s">
        <v>209</v>
      </c>
      <c r="EA264" s="0" t="s">
        <v>209</v>
      </c>
      <c r="EB264" s="0" t="s">
        <v>189</v>
      </c>
      <c r="EC264" s="0" t="s">
        <v>209</v>
      </c>
      <c r="EF264" s="0" t="n">
        <v>3026</v>
      </c>
      <c r="EG264" s="0" t="s">
        <v>4781</v>
      </c>
      <c r="EH264" s="0" t="s">
        <v>189</v>
      </c>
      <c r="EI264" s="0" t="s">
        <v>4904</v>
      </c>
      <c r="EJ264" s="0" t="s">
        <v>221</v>
      </c>
      <c r="EK264" s="0" t="n">
        <v>0</v>
      </c>
      <c r="EL264" s="0" t="n">
        <v>21</v>
      </c>
      <c r="EM264" s="0" t="n">
        <v>0</v>
      </c>
      <c r="EN264" s="0" t="n">
        <v>0</v>
      </c>
      <c r="EO264" s="0" t="n">
        <v>6</v>
      </c>
      <c r="EP264" s="0" t="n">
        <v>15</v>
      </c>
      <c r="EQ264" s="0" t="n">
        <f aca="false">IF($A264="","",IF(AH264="exact",10,IF(AH264="adjacent",5,0)))</f>
        <v>0</v>
      </c>
      <c r="ER264" s="0" t="n">
        <f aca="false">IF($A264="","",IF(R264="Y",15,0))</f>
        <v>0</v>
      </c>
      <c r="ES264" s="0" t="s">
        <v>982</v>
      </c>
      <c r="ET264" s="0" t="s">
        <v>2310</v>
      </c>
      <c r="EU264" s="0" t="s">
        <v>189</v>
      </c>
      <c r="EX264" s="0" t="s">
        <v>4905</v>
      </c>
      <c r="FS264" s="0" t="str">
        <f aca="false">IF($A264="","",IF(ISNUMBER(MATCH(U264,{"queued","contacted","replied","call_booked","call_done","yes_in_principle","materials_sent"},0)),"Y","N"))</f>
        <v>N</v>
      </c>
      <c r="FT264" s="0" t="str">
        <f aca="false">IF($A264="","",IF(OR(T264="Y",U264="do_not_contact",AS264&amp;""&lt;&gt;""),"Y","N"))</f>
        <v>N</v>
      </c>
      <c r="FU264" s="0" t="str">
        <f aca="false">IF($A264="","",IF(AP264&amp;""&lt;&gt;"",AP264&amp;"",$A264))</f>
        <v>AO-C-233</v>
      </c>
      <c r="FV264" s="0" t="str">
        <f aca="false">IF($A264="","",IF(COUNTIFS($FU$2:$FU$1000,FU264,$FS$2:$FS$1000,"Y")+COUNTIFS($FU$2:$FU$1000,FU264,$FT$2:$FT$1000,"Y")&gt;0,"Y","N"))</f>
        <v>N</v>
      </c>
      <c r="FW264" s="0" t="str">
        <f aca="false">IF($A264="","",IF(AND(U264="new",T264="N",FT264="N",AT264="Y",FV264="N"),"Y","N"))</f>
        <v>N</v>
      </c>
      <c r="FX264" s="0" t="str">
        <f aca="false">IF($A264="","",IF(FW264&lt;&gt;"Y","N",IF(COUNTIFS($FU$2:$FU$1000,FU264,$FW$2:$FW$1000,"Y",$J$2:$J$1000,"&gt;"&amp;J264)+COUNTIFS($FU$2:$FU$1000,FU264,$FW$2:$FW$1000,"Y",$J$2:$J$1000,J264,$GD$2:$GD$1000,"&lt;"&amp;GD264)=0,"Y","N")))</f>
        <v>N</v>
      </c>
      <c r="FY264" s="0" t="str">
        <f aca="false">IF($A264="","",IF(AND(FW264="Y",FX264="Y",Y264&amp;""&lt;&gt;""),IF(Y264&lt;=10,"Y","N"),"N"))</f>
        <v>N</v>
      </c>
      <c r="FZ264" s="0" t="str">
        <f aca="false">IF(FY264="Y",Y264,"")</f>
        <v/>
      </c>
      <c r="GA264" s="0" t="str">
        <f aca="false">IF($A264="","",IF(AND(I264="walk-in",CN264="pass",U264="new",FT264="N",FV264="N",AQ264&lt;&gt;"Y"),"Y","N"))</f>
        <v>N</v>
      </c>
      <c r="GB264" s="0" t="str">
        <f aca="false">IF(GA264&lt;&gt;"Y","",IF(COUNTIFS($GA$2:$GA$1000,"Y",$J$2:$J$1000,"&gt;"&amp;J264)+COUNTIFS($GA$2:$GA$1000,"Y",$J$2:$J$1000,J264,$GD$2:$GD$1000,"&lt;"&amp;GD264)+1&lt;=25,COUNTIFS($GA$2:$GA$1000,"Y",$J$2:$J$1000,"&gt;"&amp;J264)+COUNTIFS($GA$2:$GA$1000,"Y",$J$2:$J$1000,J264,$GD$2:$GD$1000,"&lt;"&amp;GD264)+1,""))</f>
        <v/>
      </c>
      <c r="GC264" s="0" t="str">
        <f aca="false">IF(AND(_xlfn.ISFORMULA(C264),_xlfn.ISFORMULA(J264)),"Y","N")</f>
        <v>Y</v>
      </c>
      <c r="GD264" s="0" t="n">
        <f aca="false">ROW()-1</f>
        <v>263</v>
      </c>
    </row>
    <row r="265" customFormat="false" ht="15" hidden="false" customHeight="false" outlineLevel="0" collapsed="false">
      <c r="A265" s="0" t="s">
        <v>4906</v>
      </c>
      <c r="B265" s="0" t="s">
        <v>4907</v>
      </c>
      <c r="C265" s="0" t="str">
        <f aca="false">IF($A265="","",IF(AW265="Y",BM265&amp;"",AY265&amp;""))</f>
        <v/>
      </c>
      <c r="D265" s="0" t="str">
        <f aca="false">IF($A265="","",IF(AW265="Y",BN265&amp;"",AZ265&amp;""))</f>
        <v/>
      </c>
      <c r="E265" s="0" t="str">
        <f aca="false">IF($A265="","",IF(AW265="Y",BO265&amp;"",BA265&amp;""))</f>
        <v/>
      </c>
      <c r="F265" s="0" t="str">
        <f aca="false">IF($A265="","",IF(AW265="Y",BP265&amp;"",BB265&amp;""))</f>
        <v/>
      </c>
      <c r="G265" s="0" t="str">
        <f aca="false">IF($A265="","",IF(AW265="Y",BQ265&amp;"",BC265&amp;""))</f>
        <v/>
      </c>
      <c r="H265" s="0" t="str">
        <f aca="false">IF($A265="","",IF(AW265="Y",BR265&amp;"",BD265&amp;""))</f>
        <v>none</v>
      </c>
      <c r="I265" s="0" t="str">
        <f aca="false">IF($A265="","",IF(R265="Y","warm-intro",IF(H265="verified","email",IF(C265&lt;&gt;"","linkedin",CB265&amp;""))))</f>
        <v>linkedin</v>
      </c>
      <c r="J265" s="0" t="n">
        <f aca="false">IF($A265="","",IF(CN265="pass",ROUND(N(EM265)+N(EN265)+N(EO265)+N(EP265)+N(EQ265)+N(ER265),1),0))</f>
        <v>0</v>
      </c>
      <c r="K265" s="0" t="str">
        <f aca="false">IF($A265="","",IF(CN265&lt;&gt;"pass",CA265&amp;"",CA265&amp;"; "&amp;IF(AW265="Y",BZ265&amp;"",BL265&amp;"")&amp;IF(R265="Y","; known to the founder (+15)","")&amp;"."))</f>
        <v>Gated out: Tuesday estimate over 250 (2420 to 48409).</v>
      </c>
      <c r="L265" s="0" t="s">
        <v>976</v>
      </c>
      <c r="R265" s="5" t="s">
        <v>189</v>
      </c>
      <c r="S265" s="0" t="s">
        <v>209</v>
      </c>
      <c r="T265" s="0" t="s">
        <v>189</v>
      </c>
      <c r="U265" s="5" t="s">
        <v>3896</v>
      </c>
      <c r="V265" s="0" t="s">
        <v>4551</v>
      </c>
      <c r="W265" s="0" t="s">
        <v>263</v>
      </c>
      <c r="X265" s="0" t="s">
        <v>3897</v>
      </c>
      <c r="Y265" s="0" t="str">
        <f aca="false">IF(FX265&lt;&gt;"Y","",COUNTIFS($FX$2:$FX$1000,"Y",$J$2:$J$1000,"&gt;"&amp;J265)+COUNTIFS($FX$2:$FX$1000,"Y",$J$2:$J$1000,J265,$GD$2:$GD$1000,"&lt;"&amp;GD265)+1)</f>
        <v/>
      </c>
      <c r="AA265" s="0" t="s">
        <v>189</v>
      </c>
      <c r="AB265" s="0" t="str">
        <f aca="false">IF($A265="","",IF(AW265="Y",BY265&amp;"",BK265&amp;""))</f>
        <v/>
      </c>
      <c r="AC265" s="0" t="str">
        <f aca="false">IF($A265="","",IF(AW265="Y",BS265&amp;"",BE265&amp;""))</f>
        <v/>
      </c>
      <c r="AD265" s="0" t="str">
        <f aca="false">IF($A265="","",IF(AW265="Y",BT265&amp;"",BF265&amp;""))</f>
        <v>none</v>
      </c>
      <c r="AE265" s="0" t="str">
        <f aca="false">IF($A265="","",IF(AW265="Y",BU265&amp;"",BG265&amp;""))</f>
        <v/>
      </c>
      <c r="AF265" s="0" t="str">
        <f aca="false">IF($A265="","",IF(AW265="Y",BV265&amp;"",BH265&amp;""))</f>
        <v/>
      </c>
      <c r="AG265" s="0" t="str">
        <f aca="false">IF($A265="","",IF(AW265="Y",BW265&amp;"",BI265&amp;""))</f>
        <v/>
      </c>
      <c r="AH265" s="0" t="str">
        <f aca="false">IF($A265="","",IF(AW265="Y",BX265&amp;"",BJ265&amp;""))</f>
        <v>none</v>
      </c>
      <c r="AI265" s="0" t="s">
        <v>2553</v>
      </c>
      <c r="AJ265" s="0" t="s">
        <v>209</v>
      </c>
      <c r="AK265" s="0" t="s">
        <v>3933</v>
      </c>
      <c r="AL265" s="0" t="n">
        <v>2420</v>
      </c>
      <c r="AM265" s="0" t="n">
        <v>48409</v>
      </c>
      <c r="AN265" s="0" t="s">
        <v>187</v>
      </c>
      <c r="AO265" s="0" t="s">
        <v>209</v>
      </c>
      <c r="AP265" s="0" t="s">
        <v>4906</v>
      </c>
      <c r="AQ265" s="5" t="s">
        <v>189</v>
      </c>
      <c r="AT265" s="0" t="str">
        <f aca="false">IF($A265="","",IF(AND(CN265="pass",AQ265&lt;&gt;"Y",C265&lt;&gt;"",OR(AX265&lt;&gt;"Y",AV265="Y")),"Y","N"))</f>
        <v>N</v>
      </c>
      <c r="AU265" s="0" t="str">
        <f aca="false">IF($A265="","",_xlfn.TEXTJOIN("; ",TRUE(),IF(CN265&lt;&gt;"pass","gated out",""),IF(AQ265="Y","on hold: "&amp;AR265,""),IF(C265="","no contact named on an opened page",""),IF(AND(AX265="Y",AV265&lt;&gt;"Y"),"Tuesday estimate band "&amp;L265&amp;": founder's call","")))</f>
        <v>gated out; no contact named on an opened page; Tuesday estimate band over-500: founder's call</v>
      </c>
      <c r="AX265" s="0" t="s">
        <v>164</v>
      </c>
      <c r="BC265" s="0" t="str">
        <f aca="false">IF($A265="","",IFERROR(INDEX(Enrichment!$A$2:$GZ$2000,MATCH($A265,INDEX(Enrichment!$A$2:$GZ$2000,0,MATCH("row_id",Enrichment!$A$1:$GZ$1,0)),0),MATCH("work_email",Enrichment!$A$1:$GZ$1,0))&amp;"",""))</f>
        <v/>
      </c>
      <c r="BD265" s="0" t="str">
        <f aca="false">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none</v>
      </c>
      <c r="BF265" s="0" t="s">
        <v>380</v>
      </c>
      <c r="BJ265" s="0" t="s">
        <v>380</v>
      </c>
      <c r="BL265" s="0" t="s">
        <v>896</v>
      </c>
      <c r="BQ265" s="0" t="str">
        <f aca="false">IF($A265="","",IFERROR(INDEX(Enrichment!$A$2:$GZ$2000,MATCH($A265,INDEX(Enrichment!$A$2:$GZ$2000,0,MATCH("row_id",Enrichment!$A$1:$GZ$1,0)),0),MATCH("backup_work_email",Enrichment!$A$1:$GZ$1,0))&amp;"",""))</f>
        <v/>
      </c>
      <c r="BR265" s="0" t="str">
        <f aca="false">IF($A265="","",IF(BQ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none</v>
      </c>
      <c r="BT265" s="0" t="s">
        <v>380</v>
      </c>
      <c r="BX265" s="0" t="s">
        <v>380</v>
      </c>
      <c r="BZ265" s="0" t="s">
        <v>388</v>
      </c>
      <c r="CA265" s="0" t="s">
        <v>4908</v>
      </c>
      <c r="CB265" s="0" t="s">
        <v>196</v>
      </c>
      <c r="CM265" s="0" t="s">
        <v>189</v>
      </c>
      <c r="CN265" s="0" t="s">
        <v>4627</v>
      </c>
      <c r="CO265" s="0" t="s">
        <v>4909</v>
      </c>
      <c r="CP265" s="0" t="s">
        <v>1</v>
      </c>
      <c r="CQ265" s="0" t="s">
        <v>4910</v>
      </c>
      <c r="CR265" s="0" t="s">
        <v>4911</v>
      </c>
      <c r="CS265" s="0" t="s">
        <v>4912</v>
      </c>
      <c r="CT265" s="0" t="s">
        <v>4913</v>
      </c>
      <c r="CV265" s="0" t="s">
        <v>976</v>
      </c>
      <c r="CW265" s="0" t="s">
        <v>204</v>
      </c>
      <c r="CX265" s="0" t="s">
        <v>205</v>
      </c>
      <c r="CY265" s="0" t="s">
        <v>4914</v>
      </c>
      <c r="DA265" s="0" t="s">
        <v>2301</v>
      </c>
      <c r="DB265" s="0" t="s">
        <v>209</v>
      </c>
      <c r="DC265" s="0" t="s">
        <v>209</v>
      </c>
      <c r="DD265" s="0" t="s">
        <v>209</v>
      </c>
      <c r="DE265" s="0" t="s">
        <v>209</v>
      </c>
      <c r="DF265" s="0" t="s">
        <v>525</v>
      </c>
      <c r="DG265" s="0" t="n">
        <v>40.741761</v>
      </c>
      <c r="DH265" s="0" t="n">
        <v>-73.987033</v>
      </c>
      <c r="DI265" s="0" t="s">
        <v>164</v>
      </c>
      <c r="DJ265" s="0" t="n">
        <v>0</v>
      </c>
      <c r="DK265" s="0" t="s">
        <v>2502</v>
      </c>
      <c r="DL265" s="0" t="s">
        <v>2503</v>
      </c>
      <c r="DM265" s="0" t="s">
        <v>4551</v>
      </c>
      <c r="DN265" s="0" t="s">
        <v>4559</v>
      </c>
      <c r="DO265" s="0" t="s">
        <v>4177</v>
      </c>
      <c r="DP265" s="0" t="s">
        <v>3906</v>
      </c>
      <c r="DQ265" s="0" t="s">
        <v>3907</v>
      </c>
      <c r="DS265" s="0" t="s">
        <v>217</v>
      </c>
      <c r="DU265" s="0" t="s">
        <v>189</v>
      </c>
      <c r="DX265" s="0" t="s">
        <v>2507</v>
      </c>
      <c r="DY265" s="0" t="s">
        <v>2508</v>
      </c>
      <c r="EA265" s="0" t="s">
        <v>209</v>
      </c>
      <c r="EB265" s="0" t="s">
        <v>189</v>
      </c>
      <c r="EC265" s="0" t="s">
        <v>209</v>
      </c>
      <c r="EF265" s="0" t="n">
        <v>10824</v>
      </c>
      <c r="EG265" s="0" t="s">
        <v>4781</v>
      </c>
      <c r="EH265" s="0" t="s">
        <v>189</v>
      </c>
      <c r="EI265" s="0" t="s">
        <v>4915</v>
      </c>
      <c r="EJ265" s="0" t="s">
        <v>221</v>
      </c>
      <c r="EK265" s="0" t="n">
        <v>0</v>
      </c>
      <c r="EL265" s="0" t="n">
        <v>21</v>
      </c>
      <c r="EM265" s="0" t="n">
        <v>0</v>
      </c>
      <c r="EN265" s="0" t="n">
        <v>0</v>
      </c>
      <c r="EO265" s="0" t="n">
        <v>6</v>
      </c>
      <c r="EP265" s="0" t="n">
        <v>15</v>
      </c>
      <c r="EQ265" s="0" t="n">
        <f aca="false">IF($A265="","",IF(AH265="exact",10,IF(AH265="adjacent",5,0)))</f>
        <v>0</v>
      </c>
      <c r="ER265" s="0" t="n">
        <f aca="false">IF($A265="","",IF(R265="Y",15,0))</f>
        <v>0</v>
      </c>
      <c r="ES265" s="0" t="s">
        <v>982</v>
      </c>
      <c r="ET265" s="0" t="s">
        <v>2310</v>
      </c>
      <c r="EU265" s="0" t="s">
        <v>189</v>
      </c>
      <c r="EX265" s="0" t="s">
        <v>4916</v>
      </c>
      <c r="FS265" s="0" t="str">
        <f aca="false">IF($A265="","",IF(ISNUMBER(MATCH(U265,{"queued","contacted","replied","call_booked","call_done","yes_in_principle","materials_sent"},0)),"Y","N"))</f>
        <v>N</v>
      </c>
      <c r="FT265" s="0" t="str">
        <f aca="false">IF($A265="","",IF(OR(T265="Y",U265="do_not_contact",AS265&amp;""&lt;&gt;""),"Y","N"))</f>
        <v>N</v>
      </c>
      <c r="FU265" s="0" t="str">
        <f aca="false">IF($A265="","",IF(AP265&amp;""&lt;&gt;"",AP265&amp;"",$A265))</f>
        <v>AO-C-247</v>
      </c>
      <c r="FV265" s="0" t="str">
        <f aca="false">IF($A265="","",IF(COUNTIFS($FU$2:$FU$1000,FU265,$FS$2:$FS$1000,"Y")+COUNTIFS($FU$2:$FU$1000,FU265,$FT$2:$FT$1000,"Y")&gt;0,"Y","N"))</f>
        <v>N</v>
      </c>
      <c r="FW265" s="0" t="str">
        <f aca="false">IF($A265="","",IF(AND(U265="new",T265="N",FT265="N",AT265="Y",FV265="N"),"Y","N"))</f>
        <v>N</v>
      </c>
      <c r="FX265" s="0" t="str">
        <f aca="false">IF($A265="","",IF(FW265&lt;&gt;"Y","N",IF(COUNTIFS($FU$2:$FU$1000,FU265,$FW$2:$FW$1000,"Y",$J$2:$J$1000,"&gt;"&amp;J265)+COUNTIFS($FU$2:$FU$1000,FU265,$FW$2:$FW$1000,"Y",$J$2:$J$1000,J265,$GD$2:$GD$1000,"&lt;"&amp;GD265)=0,"Y","N")))</f>
        <v>N</v>
      </c>
      <c r="FY265" s="0" t="str">
        <f aca="false">IF($A265="","",IF(AND(FW265="Y",FX265="Y",Y265&amp;""&lt;&gt;""),IF(Y265&lt;=10,"Y","N"),"N"))</f>
        <v>N</v>
      </c>
      <c r="FZ265" s="0" t="str">
        <f aca="false">IF(FY265="Y",Y265,"")</f>
        <v/>
      </c>
      <c r="GA265" s="0" t="str">
        <f aca="false">IF($A265="","",IF(AND(I265="walk-in",CN265="pass",U265="new",FT265="N",FV265="N",AQ265&lt;&gt;"Y"),"Y","N"))</f>
        <v>N</v>
      </c>
      <c r="GB265" s="0" t="str">
        <f aca="false">IF(GA265&lt;&gt;"Y","",IF(COUNTIFS($GA$2:$GA$1000,"Y",$J$2:$J$1000,"&gt;"&amp;J265)+COUNTIFS($GA$2:$GA$1000,"Y",$J$2:$J$1000,J265,$GD$2:$GD$1000,"&lt;"&amp;GD265)+1&lt;=25,COUNTIFS($GA$2:$GA$1000,"Y",$J$2:$J$1000,"&gt;"&amp;J265)+COUNTIFS($GA$2:$GA$1000,"Y",$J$2:$J$1000,J265,$GD$2:$GD$1000,"&lt;"&amp;GD265)+1,""))</f>
        <v/>
      </c>
      <c r="GC265" s="0" t="str">
        <f aca="false">IF(AND(_xlfn.ISFORMULA(C265),_xlfn.ISFORMULA(J265)),"Y","N")</f>
        <v>Y</v>
      </c>
      <c r="GD265" s="0" t="n">
        <f aca="false">ROW()-1</f>
        <v>264</v>
      </c>
    </row>
    <row r="266" customFormat="false" ht="15" hidden="false" customHeight="false" outlineLevel="0" collapsed="false">
      <c r="A266" s="0" t="s">
        <v>4917</v>
      </c>
      <c r="B266" s="0" t="s">
        <v>4918</v>
      </c>
      <c r="C266" s="0" t="str">
        <f aca="false">IF($A266="","",IF(AW266="Y",BM266&amp;"",AY266&amp;""))</f>
        <v/>
      </c>
      <c r="D266" s="0" t="str">
        <f aca="false">IF($A266="","",IF(AW266="Y",BN266&amp;"",AZ266&amp;""))</f>
        <v/>
      </c>
      <c r="E266" s="0" t="str">
        <f aca="false">IF($A266="","",IF(AW266="Y",BO266&amp;"",BA266&amp;""))</f>
        <v/>
      </c>
      <c r="F266" s="0" t="str">
        <f aca="false">IF($A266="","",IF(AW266="Y",BP266&amp;"",BB266&amp;""))</f>
        <v/>
      </c>
      <c r="G266" s="0" t="str">
        <f aca="false">IF($A266="","",IF(AW266="Y",BQ266&amp;"",BC266&amp;""))</f>
        <v/>
      </c>
      <c r="H266" s="0" t="str">
        <f aca="false">IF($A266="","",IF(AW266="Y",BR266&amp;"",BD266&amp;""))</f>
        <v>none</v>
      </c>
      <c r="I266" s="0" t="str">
        <f aca="false">IF($A266="","",IF(R266="Y","warm-intro",IF(H266="verified","email",IF(C266&lt;&gt;"","linkedin",CB266&amp;""))))</f>
        <v>linkedin</v>
      </c>
      <c r="J266" s="0" t="n">
        <f aca="false">IF($A266="","",IF(CN266="pass",ROUND(N(EM266)+N(EN266)+N(EO266)+N(EP266)+N(EQ266)+N(ER266),1),0))</f>
        <v>0</v>
      </c>
      <c r="K266" s="0" t="str">
        <f aca="false">IF($A266="","",IF(CN266&lt;&gt;"pass",CA266&amp;"",CA266&amp;"; "&amp;IF(AW266="Y",BZ266&amp;"",BL266&amp;"")&amp;IF(R266="Y","; known to the founder (+15)","")&amp;"."))</f>
        <v>Gated out: Tuesday estimate over 250 (1500 to 3000).</v>
      </c>
      <c r="L266" s="0" t="s">
        <v>976</v>
      </c>
      <c r="R266" s="5" t="s">
        <v>189</v>
      </c>
      <c r="S266" s="0" t="s">
        <v>209</v>
      </c>
      <c r="T266" s="0" t="s">
        <v>189</v>
      </c>
      <c r="U266" s="5" t="s">
        <v>3896</v>
      </c>
      <c r="V266" s="0" t="s">
        <v>4919</v>
      </c>
      <c r="W266" s="0" t="s">
        <v>263</v>
      </c>
      <c r="X266" s="0" t="s">
        <v>3897</v>
      </c>
      <c r="Y266" s="0" t="str">
        <f aca="false">IF(FX266&lt;&gt;"Y","",COUNTIFS($FX$2:$FX$1000,"Y",$J$2:$J$1000,"&gt;"&amp;J266)+COUNTIFS($FX$2:$FX$1000,"Y",$J$2:$J$1000,J266,$GD$2:$GD$1000,"&lt;"&amp;GD266)+1)</f>
        <v/>
      </c>
      <c r="AA266" s="0" t="s">
        <v>189</v>
      </c>
      <c r="AB266" s="0" t="str">
        <f aca="false">IF($A266="","",IF(AW266="Y",BY266&amp;"",BK266&amp;""))</f>
        <v/>
      </c>
      <c r="AC266" s="0" t="str">
        <f aca="false">IF($A266="","",IF(AW266="Y",BS266&amp;"",BE266&amp;""))</f>
        <v/>
      </c>
      <c r="AD266" s="0" t="str">
        <f aca="false">IF($A266="","",IF(AW266="Y",BT266&amp;"",BF266&amp;""))</f>
        <v>none</v>
      </c>
      <c r="AE266" s="0" t="str">
        <f aca="false">IF($A266="","",IF(AW266="Y",BU266&amp;"",BG266&amp;""))</f>
        <v/>
      </c>
      <c r="AF266" s="0" t="str">
        <f aca="false">IF($A266="","",IF(AW266="Y",BV266&amp;"",BH266&amp;""))</f>
        <v/>
      </c>
      <c r="AG266" s="0" t="str">
        <f aca="false">IF($A266="","",IF(AW266="Y",BW266&amp;"",BI266&amp;""))</f>
        <v/>
      </c>
      <c r="AH266" s="0" t="str">
        <f aca="false">IF($A266="","",IF(AW266="Y",BX266&amp;"",BJ266&amp;""))</f>
        <v>none</v>
      </c>
      <c r="AI266" s="0" t="s">
        <v>4920</v>
      </c>
      <c r="AJ266" s="0" t="s">
        <v>4921</v>
      </c>
      <c r="AK266" s="0" t="s">
        <v>3933</v>
      </c>
      <c r="AL266" s="0" t="n">
        <v>1500</v>
      </c>
      <c r="AM266" s="0" t="n">
        <v>3000</v>
      </c>
      <c r="AN266" s="0" t="s">
        <v>187</v>
      </c>
      <c r="AO266" s="0" t="s">
        <v>209</v>
      </c>
      <c r="AP266" s="0" t="s">
        <v>4917</v>
      </c>
      <c r="AQ266" s="5" t="s">
        <v>189</v>
      </c>
      <c r="AT266" s="0" t="str">
        <f aca="false">IF($A266="","",IF(AND(CN266="pass",AQ266&lt;&gt;"Y",C266&lt;&gt;"",OR(AX266&lt;&gt;"Y",AV266="Y")),"Y","N"))</f>
        <v>N</v>
      </c>
      <c r="AU266" s="0" t="str">
        <f aca="false">IF($A266="","",_xlfn.TEXTJOIN("; ",TRUE(),IF(CN266&lt;&gt;"pass","gated out",""),IF(AQ266="Y","on hold: "&amp;AR266,""),IF(C266="","no contact named on an opened page",""),IF(AND(AX266="Y",AV266&lt;&gt;"Y"),"Tuesday estimate band "&amp;L266&amp;": founder's call","")))</f>
        <v>gated out; no contact named on an opened page; Tuesday estimate band over-500: founder's call</v>
      </c>
      <c r="AX266" s="0" t="s">
        <v>164</v>
      </c>
      <c r="BC266" s="0" t="str">
        <f aca="false">IF($A266="","",IFERROR(INDEX(Enrichment!$A$2:$GZ$2000,MATCH($A266,INDEX(Enrichment!$A$2:$GZ$2000,0,MATCH("row_id",Enrichment!$A$1:$GZ$1,0)),0),MATCH("work_email",Enrichment!$A$1:$GZ$1,0))&amp;"",""))</f>
        <v/>
      </c>
      <c r="BD266" s="0" t="str">
        <f aca="false">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none</v>
      </c>
      <c r="BF266" s="0" t="s">
        <v>380</v>
      </c>
      <c r="BJ266" s="0" t="s">
        <v>380</v>
      </c>
      <c r="BL266" s="0" t="s">
        <v>896</v>
      </c>
      <c r="BQ266" s="0" t="str">
        <f aca="false">IF($A266="","",IFERROR(INDEX(Enrichment!$A$2:$GZ$2000,MATCH($A266,INDEX(Enrichment!$A$2:$GZ$2000,0,MATCH("row_id",Enrichment!$A$1:$GZ$1,0)),0),MATCH("backup_work_email",Enrichment!$A$1:$GZ$1,0))&amp;"",""))</f>
        <v/>
      </c>
      <c r="BR266" s="0" t="str">
        <f aca="false">IF($A266="","",IF(BQ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none</v>
      </c>
      <c r="BT266" s="0" t="s">
        <v>380</v>
      </c>
      <c r="BX266" s="0" t="s">
        <v>380</v>
      </c>
      <c r="BZ266" s="0" t="s">
        <v>388</v>
      </c>
      <c r="CA266" s="0" t="s">
        <v>4922</v>
      </c>
      <c r="CB266" s="0" t="s">
        <v>196</v>
      </c>
      <c r="CM266" s="0" t="s">
        <v>189</v>
      </c>
      <c r="CN266" s="0" t="s">
        <v>4627</v>
      </c>
      <c r="CO266" s="0" t="s">
        <v>4923</v>
      </c>
      <c r="CP266" s="0" t="s">
        <v>1</v>
      </c>
      <c r="CQ266" s="0" t="s">
        <v>4924</v>
      </c>
      <c r="CR266" s="0" t="s">
        <v>4925</v>
      </c>
      <c r="CS266" s="0" t="s">
        <v>4926</v>
      </c>
      <c r="CT266" s="0" t="s">
        <v>4597</v>
      </c>
      <c r="CV266" s="0" t="s">
        <v>976</v>
      </c>
      <c r="CW266" s="0" t="s">
        <v>204</v>
      </c>
      <c r="CX266" s="0" t="s">
        <v>205</v>
      </c>
      <c r="CY266" s="0" t="s">
        <v>4927</v>
      </c>
      <c r="DA266" s="0" t="s">
        <v>2301</v>
      </c>
      <c r="DB266" s="0" t="s">
        <v>259</v>
      </c>
      <c r="DC266" s="0" t="s">
        <v>164</v>
      </c>
      <c r="DD266" s="0" t="s">
        <v>209</v>
      </c>
      <c r="DE266" s="0" t="s">
        <v>209</v>
      </c>
      <c r="DF266" s="0" t="s">
        <v>210</v>
      </c>
      <c r="DG266" s="0" t="n">
        <v>40.737622</v>
      </c>
      <c r="DH266" s="0" t="n">
        <v>-73.988544</v>
      </c>
      <c r="DI266" s="0" t="s">
        <v>164</v>
      </c>
      <c r="DJ266" s="0" t="n">
        <v>0</v>
      </c>
      <c r="DL266" s="0" t="s">
        <v>209</v>
      </c>
      <c r="DM266" s="0" t="s">
        <v>4919</v>
      </c>
      <c r="DN266" s="0" t="s">
        <v>263</v>
      </c>
      <c r="DO266" s="0" t="s">
        <v>443</v>
      </c>
      <c r="DP266" s="0" t="s">
        <v>4928</v>
      </c>
      <c r="DQ266" s="0" t="s">
        <v>4929</v>
      </c>
      <c r="DR266" s="0" t="s">
        <v>266</v>
      </c>
      <c r="DS266" s="0" t="s">
        <v>217</v>
      </c>
      <c r="DU266" s="0" t="s">
        <v>189</v>
      </c>
      <c r="DX266" s="0" t="s">
        <v>209</v>
      </c>
      <c r="DZ266" s="0" t="s">
        <v>1700</v>
      </c>
      <c r="EA266" s="0" t="s">
        <v>209</v>
      </c>
      <c r="EB266" s="0" t="s">
        <v>189</v>
      </c>
      <c r="EC266" s="0" t="s">
        <v>209</v>
      </c>
      <c r="EF266" s="0" t="n">
        <v>2121</v>
      </c>
      <c r="EG266" s="0" t="s">
        <v>4781</v>
      </c>
      <c r="EH266" s="0" t="s">
        <v>164</v>
      </c>
      <c r="EI266" s="0" t="s">
        <v>4930</v>
      </c>
      <c r="EJ266" s="0" t="s">
        <v>221</v>
      </c>
      <c r="EK266" s="0" t="n">
        <v>0</v>
      </c>
      <c r="EL266" s="0" t="n">
        <v>21</v>
      </c>
      <c r="EM266" s="0" t="n">
        <v>0</v>
      </c>
      <c r="EN266" s="0" t="n">
        <v>0</v>
      </c>
      <c r="EO266" s="0" t="n">
        <v>6</v>
      </c>
      <c r="EP266" s="0" t="n">
        <v>15</v>
      </c>
      <c r="EQ266" s="0" t="n">
        <f aca="false">IF($A266="","",IF(AH266="exact",10,IF(AH266="adjacent",5,0)))</f>
        <v>0</v>
      </c>
      <c r="ER266" s="0" t="n">
        <f aca="false">IF($A266="","",IF(R266="Y",15,0))</f>
        <v>0</v>
      </c>
      <c r="ES266" s="0" t="s">
        <v>982</v>
      </c>
      <c r="ET266" s="0" t="s">
        <v>2310</v>
      </c>
      <c r="EU266" s="0" t="s">
        <v>189</v>
      </c>
      <c r="EV266" s="0" t="s">
        <v>4931</v>
      </c>
      <c r="EW266" s="0" t="s">
        <v>224</v>
      </c>
      <c r="EX266" s="0" t="s">
        <v>4932</v>
      </c>
      <c r="FS266" s="0" t="str">
        <f aca="false">IF($A266="","",IF(ISNUMBER(MATCH(U266,{"queued","contacted","replied","call_booked","call_done","yes_in_principle","materials_sent"},0)),"Y","N"))</f>
        <v>N</v>
      </c>
      <c r="FT266" s="0" t="str">
        <f aca="false">IF($A266="","",IF(OR(T266="Y",U266="do_not_contact",AS266&amp;""&lt;&gt;""),"Y","N"))</f>
        <v>N</v>
      </c>
      <c r="FU266" s="0" t="str">
        <f aca="false">IF($A266="","",IF(AP266&amp;""&lt;&gt;"",AP266&amp;"",$A266))</f>
        <v>AO-C-203</v>
      </c>
      <c r="FV266" s="0" t="str">
        <f aca="false">IF($A266="","",IF(COUNTIFS($FU$2:$FU$1000,FU266,$FS$2:$FS$1000,"Y")+COUNTIFS($FU$2:$FU$1000,FU266,$FT$2:$FT$1000,"Y")&gt;0,"Y","N"))</f>
        <v>N</v>
      </c>
      <c r="FW266" s="0" t="str">
        <f aca="false">IF($A266="","",IF(AND(U266="new",T266="N",FT266="N",AT266="Y",FV266="N"),"Y","N"))</f>
        <v>N</v>
      </c>
      <c r="FX266" s="0" t="str">
        <f aca="false">IF($A266="","",IF(FW266&lt;&gt;"Y","N",IF(COUNTIFS($FU$2:$FU$1000,FU266,$FW$2:$FW$1000,"Y",$J$2:$J$1000,"&gt;"&amp;J266)+COUNTIFS($FU$2:$FU$1000,FU266,$FW$2:$FW$1000,"Y",$J$2:$J$1000,J266,$GD$2:$GD$1000,"&lt;"&amp;GD266)=0,"Y","N")))</f>
        <v>N</v>
      </c>
      <c r="FY266" s="0" t="str">
        <f aca="false">IF($A266="","",IF(AND(FW266="Y",FX266="Y",Y266&amp;""&lt;&gt;""),IF(Y266&lt;=10,"Y","N"),"N"))</f>
        <v>N</v>
      </c>
      <c r="FZ266" s="0" t="str">
        <f aca="false">IF(FY266="Y",Y266,"")</f>
        <v/>
      </c>
      <c r="GA266" s="0" t="str">
        <f aca="false">IF($A266="","",IF(AND(I266="walk-in",CN266="pass",U266="new",FT266="N",FV266="N",AQ266&lt;&gt;"Y"),"Y","N"))</f>
        <v>N</v>
      </c>
      <c r="GB266" s="0" t="str">
        <f aca="false">IF(GA266&lt;&gt;"Y","",IF(COUNTIFS($GA$2:$GA$1000,"Y",$J$2:$J$1000,"&gt;"&amp;J266)+COUNTIFS($GA$2:$GA$1000,"Y",$J$2:$J$1000,J266,$GD$2:$GD$1000,"&lt;"&amp;GD266)+1&lt;=25,COUNTIFS($GA$2:$GA$1000,"Y",$J$2:$J$1000,"&gt;"&amp;J266)+COUNTIFS($GA$2:$GA$1000,"Y",$J$2:$J$1000,J266,$GD$2:$GD$1000,"&lt;"&amp;GD266)+1,""))</f>
        <v/>
      </c>
      <c r="GC266" s="0" t="str">
        <f aca="false">IF(AND(_xlfn.ISFORMULA(C266),_xlfn.ISFORMULA(J266)),"Y","N")</f>
        <v>Y</v>
      </c>
      <c r="GD266" s="0" t="n">
        <f aca="false">ROW()-1</f>
        <v>265</v>
      </c>
    </row>
    <row r="267" customFormat="false" ht="15" hidden="false" customHeight="false" outlineLevel="0" collapsed="false">
      <c r="A267" s="0" t="s">
        <v>4933</v>
      </c>
      <c r="B267" s="0" t="s">
        <v>4934</v>
      </c>
      <c r="C267" s="0" t="str">
        <f aca="false">IF($A267="","",IF(AW267="Y",BM267&amp;"",AY267&amp;""))</f>
        <v/>
      </c>
      <c r="D267" s="0" t="str">
        <f aca="false">IF($A267="","",IF(AW267="Y",BN267&amp;"",AZ267&amp;""))</f>
        <v/>
      </c>
      <c r="E267" s="0" t="str">
        <f aca="false">IF($A267="","",IF(AW267="Y",BO267&amp;"",BA267&amp;""))</f>
        <v/>
      </c>
      <c r="F267" s="0" t="str">
        <f aca="false">IF($A267="","",IF(AW267="Y",BP267&amp;"",BB267&amp;""))</f>
        <v/>
      </c>
      <c r="G267" s="0" t="str">
        <f aca="false">IF($A267="","",IF(AW267="Y",BQ267&amp;"",BC267&amp;""))</f>
        <v/>
      </c>
      <c r="H267" s="0" t="str">
        <f aca="false">IF($A267="","",IF(AW267="Y",BR267&amp;"",BD267&amp;""))</f>
        <v>none</v>
      </c>
      <c r="I267" s="0" t="str">
        <f aca="false">IF($A267="","",IF(R267="Y","warm-intro",IF(H267="verified","email",IF(C267&lt;&gt;"","linkedin",CB267&amp;""))))</f>
        <v>linkedin</v>
      </c>
      <c r="J267" s="0" t="n">
        <f aca="false">IF($A267="","",IF(CN267="pass",ROUND(N(EM267)+N(EN267)+N(EO267)+N(EP267)+N(EQ267)+N(ER267),1),0))</f>
        <v>0</v>
      </c>
      <c r="K267" s="0" t="str">
        <f aca="false">IF($A267="","",IF(CN267&lt;&gt;"pass",CA267&amp;"",CA267&amp;"; "&amp;IF(AW267="Y",BZ267&amp;"",BL267&amp;"")&amp;IF(R267="Y","; known to the founder (+15)","")&amp;"."))</f>
        <v>Gated out: Tuesday estimate over 250 (609 to 1219).</v>
      </c>
      <c r="L267" s="0" t="s">
        <v>976</v>
      </c>
      <c r="R267" s="5" t="s">
        <v>189</v>
      </c>
      <c r="S267" s="0" t="s">
        <v>209</v>
      </c>
      <c r="T267" s="0" t="s">
        <v>189</v>
      </c>
      <c r="U267" s="5" t="s">
        <v>3896</v>
      </c>
      <c r="V267" s="0" t="s">
        <v>1575</v>
      </c>
      <c r="W267" s="0" t="s">
        <v>263</v>
      </c>
      <c r="X267" s="0" t="s">
        <v>3897</v>
      </c>
      <c r="Y267" s="0" t="str">
        <f aca="false">IF(FX267&lt;&gt;"Y","",COUNTIFS($FX$2:$FX$1000,"Y",$J$2:$J$1000,"&gt;"&amp;J267)+COUNTIFS($FX$2:$FX$1000,"Y",$J$2:$J$1000,J267,$GD$2:$GD$1000,"&lt;"&amp;GD267)+1)</f>
        <v/>
      </c>
      <c r="AA267" s="0" t="s">
        <v>189</v>
      </c>
      <c r="AB267" s="0" t="str">
        <f aca="false">IF($A267="","",IF(AW267="Y",BY267&amp;"",BK267&amp;""))</f>
        <v/>
      </c>
      <c r="AC267" s="0" t="str">
        <f aca="false">IF($A267="","",IF(AW267="Y",BS267&amp;"",BE267&amp;""))</f>
        <v/>
      </c>
      <c r="AD267" s="0" t="str">
        <f aca="false">IF($A267="","",IF(AW267="Y",BT267&amp;"",BF267&amp;""))</f>
        <v>none</v>
      </c>
      <c r="AE267" s="0" t="str">
        <f aca="false">IF($A267="","",IF(AW267="Y",BU267&amp;"",BG267&amp;""))</f>
        <v/>
      </c>
      <c r="AF267" s="0" t="str">
        <f aca="false">IF($A267="","",IF(AW267="Y",BV267&amp;"",BH267&amp;""))</f>
        <v/>
      </c>
      <c r="AG267" s="0" t="str">
        <f aca="false">IF($A267="","",IF(AW267="Y",BW267&amp;"",BI267&amp;""))</f>
        <v/>
      </c>
      <c r="AH267" s="0" t="str">
        <f aca="false">IF($A267="","",IF(AW267="Y",BX267&amp;"",BJ267&amp;""))</f>
        <v>none</v>
      </c>
      <c r="AI267" s="0" t="s">
        <v>1871</v>
      </c>
      <c r="AJ267" s="0" t="s">
        <v>209</v>
      </c>
      <c r="AK267" s="0" t="s">
        <v>3933</v>
      </c>
      <c r="AL267" s="0" t="n">
        <v>609</v>
      </c>
      <c r="AM267" s="0" t="n">
        <v>1219</v>
      </c>
      <c r="AN267" s="0" t="s">
        <v>187</v>
      </c>
      <c r="AO267" s="0" t="s">
        <v>209</v>
      </c>
      <c r="AP267" s="0" t="s">
        <v>4933</v>
      </c>
      <c r="AQ267" s="5" t="s">
        <v>189</v>
      </c>
      <c r="AT267" s="0" t="str">
        <f aca="false">IF($A267="","",IF(AND(CN267="pass",AQ267&lt;&gt;"Y",C267&lt;&gt;"",OR(AX267&lt;&gt;"Y",AV267="Y")),"Y","N"))</f>
        <v>N</v>
      </c>
      <c r="AU267" s="0" t="str">
        <f aca="false">IF($A267="","",_xlfn.TEXTJOIN("; ",TRUE(),IF(CN267&lt;&gt;"pass","gated out",""),IF(AQ267="Y","on hold: "&amp;AR267,""),IF(C267="","no contact named on an opened page",""),IF(AND(AX267="Y",AV267&lt;&gt;"Y"),"Tuesday estimate band "&amp;L267&amp;": founder's call","")))</f>
        <v>gated out; no contact named on an opened page; Tuesday estimate band over-500: founder's call</v>
      </c>
      <c r="AX267" s="0" t="s">
        <v>164</v>
      </c>
      <c r="BC267" s="0" t="str">
        <f aca="false">IF($A267="","",IFERROR(INDEX(Enrichment!$A$2:$GZ$2000,MATCH($A267,INDEX(Enrichment!$A$2:$GZ$2000,0,MATCH("row_id",Enrichment!$A$1:$GZ$1,0)),0),MATCH("work_email",Enrichment!$A$1:$GZ$1,0))&amp;"",""))</f>
        <v/>
      </c>
      <c r="BD267" s="0" t="str">
        <f aca="false">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none</v>
      </c>
      <c r="BF267" s="0" t="s">
        <v>380</v>
      </c>
      <c r="BJ267" s="0" t="s">
        <v>380</v>
      </c>
      <c r="BL267" s="0" t="s">
        <v>896</v>
      </c>
      <c r="BQ267" s="0" t="str">
        <f aca="false">IF($A267="","",IFERROR(INDEX(Enrichment!$A$2:$GZ$2000,MATCH($A267,INDEX(Enrichment!$A$2:$GZ$2000,0,MATCH("row_id",Enrichment!$A$1:$GZ$1,0)),0),MATCH("backup_work_email",Enrichment!$A$1:$GZ$1,0))&amp;"",""))</f>
        <v/>
      </c>
      <c r="BR267" s="0" t="str">
        <f aca="false">IF($A267="","",IF(BQ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none</v>
      </c>
      <c r="BT267" s="0" t="s">
        <v>380</v>
      </c>
      <c r="BX267" s="0" t="s">
        <v>380</v>
      </c>
      <c r="BZ267" s="0" t="s">
        <v>388</v>
      </c>
      <c r="CA267" s="0" t="s">
        <v>4935</v>
      </c>
      <c r="CB267" s="0" t="s">
        <v>196</v>
      </c>
      <c r="CM267" s="0" t="s">
        <v>189</v>
      </c>
      <c r="CN267" s="0" t="s">
        <v>4627</v>
      </c>
      <c r="CO267" s="0" t="s">
        <v>4936</v>
      </c>
      <c r="CP267" s="0" t="s">
        <v>1</v>
      </c>
      <c r="CQ267" s="0" t="s">
        <v>4937</v>
      </c>
      <c r="CR267" s="0" t="s">
        <v>4938</v>
      </c>
      <c r="CS267" s="0" t="s">
        <v>4939</v>
      </c>
      <c r="CT267" s="0" t="s">
        <v>4940</v>
      </c>
      <c r="CV267" s="0" t="s">
        <v>976</v>
      </c>
      <c r="CW267" s="0" t="s">
        <v>204</v>
      </c>
      <c r="CX267" s="0" t="s">
        <v>205</v>
      </c>
      <c r="CY267" s="0" t="s">
        <v>4941</v>
      </c>
      <c r="DA267" s="0" t="s">
        <v>978</v>
      </c>
      <c r="DB267" s="0" t="s">
        <v>259</v>
      </c>
      <c r="DC267" s="0" t="s">
        <v>164</v>
      </c>
      <c r="DD267" s="0" t="s">
        <v>209</v>
      </c>
      <c r="DE267" s="0" t="s">
        <v>4942</v>
      </c>
      <c r="DF267" s="0" t="s">
        <v>525</v>
      </c>
      <c r="DG267" s="0" t="n">
        <v>40.741968</v>
      </c>
      <c r="DH267" s="0" t="n">
        <v>-73.985327</v>
      </c>
      <c r="DI267" s="0" t="s">
        <v>164</v>
      </c>
      <c r="DJ267" s="0" t="n">
        <v>0</v>
      </c>
      <c r="DK267" s="0" t="s">
        <v>1573</v>
      </c>
      <c r="DL267" s="0" t="s">
        <v>1574</v>
      </c>
      <c r="DM267" s="0" t="s">
        <v>1575</v>
      </c>
      <c r="DN267" s="0" t="s">
        <v>1576</v>
      </c>
      <c r="DO267" s="0" t="s">
        <v>363</v>
      </c>
      <c r="DP267" s="0" t="s">
        <v>4943</v>
      </c>
      <c r="DQ267" s="0" t="s">
        <v>172</v>
      </c>
      <c r="DS267" s="0" t="s">
        <v>217</v>
      </c>
      <c r="DU267" s="0" t="s">
        <v>189</v>
      </c>
      <c r="DX267" s="0" t="s">
        <v>209</v>
      </c>
      <c r="EA267" s="0" t="s">
        <v>209</v>
      </c>
      <c r="EB267" s="0" t="s">
        <v>189</v>
      </c>
      <c r="EC267" s="0" t="s">
        <v>209</v>
      </c>
      <c r="EF267" s="0" t="n">
        <v>862</v>
      </c>
      <c r="EG267" s="0" t="s">
        <v>4781</v>
      </c>
      <c r="EH267" s="0" t="s">
        <v>189</v>
      </c>
      <c r="EI267" s="0" t="s">
        <v>4944</v>
      </c>
      <c r="EJ267" s="0" t="s">
        <v>221</v>
      </c>
      <c r="EK267" s="0" t="n">
        <v>0</v>
      </c>
      <c r="EL267" s="0" t="n">
        <v>23</v>
      </c>
      <c r="EM267" s="0" t="n">
        <v>0</v>
      </c>
      <c r="EN267" s="0" t="n">
        <v>2</v>
      </c>
      <c r="EO267" s="0" t="n">
        <v>6</v>
      </c>
      <c r="EP267" s="0" t="n">
        <v>15</v>
      </c>
      <c r="EQ267" s="0" t="n">
        <f aca="false">IF($A267="","",IF(AH267="exact",10,IF(AH267="adjacent",5,0)))</f>
        <v>0</v>
      </c>
      <c r="ER267" s="0" t="n">
        <f aca="false">IF($A267="","",IF(R267="Y",15,0))</f>
        <v>0</v>
      </c>
      <c r="ES267" s="0" t="s">
        <v>982</v>
      </c>
      <c r="ET267" s="0" t="s">
        <v>983</v>
      </c>
      <c r="EU267" s="0" t="s">
        <v>189</v>
      </c>
      <c r="EX267" s="0" t="s">
        <v>4945</v>
      </c>
      <c r="EZ267" s="0" t="s">
        <v>4946</v>
      </c>
      <c r="FS267" s="0" t="str">
        <f aca="false">IF($A267="","",IF(ISNUMBER(MATCH(U267,{"queued","contacted","replied","call_booked","call_done","yes_in_principle","materials_sent"},0)),"Y","N"))</f>
        <v>N</v>
      </c>
      <c r="FT267" s="0" t="str">
        <f aca="false">IF($A267="","",IF(OR(T267="Y",U267="do_not_contact",AS267&amp;""&lt;&gt;""),"Y","N"))</f>
        <v>N</v>
      </c>
      <c r="FU267" s="0" t="str">
        <f aca="false">IF($A267="","",IF(AP267&amp;""&lt;&gt;"",AP267&amp;"",$A267))</f>
        <v>AO-C-256</v>
      </c>
      <c r="FV267" s="0" t="str">
        <f aca="false">IF($A267="","",IF(COUNTIFS($FU$2:$FU$1000,FU267,$FS$2:$FS$1000,"Y")+COUNTIFS($FU$2:$FU$1000,FU267,$FT$2:$FT$1000,"Y")&gt;0,"Y","N"))</f>
        <v>N</v>
      </c>
      <c r="FW267" s="0" t="str">
        <f aca="false">IF($A267="","",IF(AND(U267="new",T267="N",FT267="N",AT267="Y",FV267="N"),"Y","N"))</f>
        <v>N</v>
      </c>
      <c r="FX267" s="0" t="str">
        <f aca="false">IF($A267="","",IF(FW267&lt;&gt;"Y","N",IF(COUNTIFS($FU$2:$FU$1000,FU267,$FW$2:$FW$1000,"Y",$J$2:$J$1000,"&gt;"&amp;J267)+COUNTIFS($FU$2:$FU$1000,FU267,$FW$2:$FW$1000,"Y",$J$2:$J$1000,J267,$GD$2:$GD$1000,"&lt;"&amp;GD267)=0,"Y","N")))</f>
        <v>N</v>
      </c>
      <c r="FY267" s="0" t="str">
        <f aca="false">IF($A267="","",IF(AND(FW267="Y",FX267="Y",Y267&amp;""&lt;&gt;""),IF(Y267&lt;=10,"Y","N"),"N"))</f>
        <v>N</v>
      </c>
      <c r="FZ267" s="0" t="str">
        <f aca="false">IF(FY267="Y",Y267,"")</f>
        <v/>
      </c>
      <c r="GA267" s="0" t="str">
        <f aca="false">IF($A267="","",IF(AND(I267="walk-in",CN267="pass",U267="new",FT267="N",FV267="N",AQ267&lt;&gt;"Y"),"Y","N"))</f>
        <v>N</v>
      </c>
      <c r="GB267" s="0" t="str">
        <f aca="false">IF(GA267&lt;&gt;"Y","",IF(COUNTIFS($GA$2:$GA$1000,"Y",$J$2:$J$1000,"&gt;"&amp;J267)+COUNTIFS($GA$2:$GA$1000,"Y",$J$2:$J$1000,J267,$GD$2:$GD$1000,"&lt;"&amp;GD267)+1&lt;=25,COUNTIFS($GA$2:$GA$1000,"Y",$J$2:$J$1000,"&gt;"&amp;J267)+COUNTIFS($GA$2:$GA$1000,"Y",$J$2:$J$1000,J267,$GD$2:$GD$1000,"&lt;"&amp;GD267)+1,""))</f>
        <v/>
      </c>
      <c r="GC267" s="0" t="str">
        <f aca="false">IF(AND(_xlfn.ISFORMULA(C267),_xlfn.ISFORMULA(J267)),"Y","N")</f>
        <v>Y</v>
      </c>
      <c r="GD267" s="0" t="n">
        <f aca="false">ROW()-1</f>
        <v>266</v>
      </c>
    </row>
    <row r="268" customFormat="false" ht="15" hidden="false" customHeight="false" outlineLevel="0" collapsed="false">
      <c r="A268" s="0" t="s">
        <v>4947</v>
      </c>
      <c r="B268" s="0" t="s">
        <v>4948</v>
      </c>
      <c r="C268" s="0" t="str">
        <f aca="false">IF($A268="","",IF(AW268="Y",BM268&amp;"",AY268&amp;""))</f>
        <v/>
      </c>
      <c r="D268" s="0" t="str">
        <f aca="false">IF($A268="","",IF(AW268="Y",BN268&amp;"",AZ268&amp;""))</f>
        <v/>
      </c>
      <c r="E268" s="0" t="str">
        <f aca="false">IF($A268="","",IF(AW268="Y",BO268&amp;"",BA268&amp;""))</f>
        <v/>
      </c>
      <c r="F268" s="0" t="str">
        <f aca="false">IF($A268="","",IF(AW268="Y",BP268&amp;"",BB268&amp;""))</f>
        <v/>
      </c>
      <c r="G268" s="0" t="str">
        <f aca="false">IF($A268="","",IF(AW268="Y",BQ268&amp;"",BC268&amp;""))</f>
        <v/>
      </c>
      <c r="H268" s="0" t="str">
        <f aca="false">IF($A268="","",IF(AW268="Y",BR268&amp;"",BD268&amp;""))</f>
        <v>none</v>
      </c>
      <c r="I268" s="0" t="str">
        <f aca="false">IF($A268="","",IF(R268="Y","warm-intro",IF(H268="verified","email",IF(C268&lt;&gt;"","linkedin",CB268&amp;""))))</f>
        <v>linkedin</v>
      </c>
      <c r="J268" s="0" t="n">
        <f aca="false">IF($A268="","",IF(CN268="pass",ROUND(N(EM268)+N(EN268)+N(EO268)+N(EP268)+N(EQ268)+N(ER268),1),0))</f>
        <v>0</v>
      </c>
      <c r="K268" s="0" t="str">
        <f aca="false">IF($A268="","",IF(CN268&lt;&gt;"pass",CA268&amp;"",CA268&amp;"; "&amp;IF(AW268="Y",BZ268&amp;"",BL268&amp;"")&amp;IF(R268="Y","; known to the founder (+15)","")&amp;"."))</f>
        <v>Gated out: Tuesday estimate over 250 (36248 to 724960).</v>
      </c>
      <c r="L268" s="0" t="s">
        <v>976</v>
      </c>
      <c r="R268" s="5" t="s">
        <v>189</v>
      </c>
      <c r="S268" s="0" t="s">
        <v>209</v>
      </c>
      <c r="T268" s="0" t="s">
        <v>189</v>
      </c>
      <c r="U268" s="5" t="s">
        <v>3896</v>
      </c>
      <c r="V268" s="0" t="s">
        <v>2366</v>
      </c>
      <c r="W268" s="0" t="s">
        <v>263</v>
      </c>
      <c r="X268" s="0" t="s">
        <v>3897</v>
      </c>
      <c r="Y268" s="0" t="str">
        <f aca="false">IF(FX268&lt;&gt;"Y","",COUNTIFS($FX$2:$FX$1000,"Y",$J$2:$J$1000,"&gt;"&amp;J268)+COUNTIFS($FX$2:$FX$1000,"Y",$J$2:$J$1000,J268,$GD$2:$GD$1000,"&lt;"&amp;GD268)+1)</f>
        <v/>
      </c>
      <c r="AA268" s="0" t="s">
        <v>189</v>
      </c>
      <c r="AB268" s="0" t="str">
        <f aca="false">IF($A268="","",IF(AW268="Y",BY268&amp;"",BK268&amp;""))</f>
        <v/>
      </c>
      <c r="AC268" s="0" t="str">
        <f aca="false">IF($A268="","",IF(AW268="Y",BS268&amp;"",BE268&amp;""))</f>
        <v/>
      </c>
      <c r="AD268" s="0" t="str">
        <f aca="false">IF($A268="","",IF(AW268="Y",BT268&amp;"",BF268&amp;""))</f>
        <v>none</v>
      </c>
      <c r="AE268" s="0" t="str">
        <f aca="false">IF($A268="","",IF(AW268="Y",BU268&amp;"",BG268&amp;""))</f>
        <v/>
      </c>
      <c r="AF268" s="0" t="str">
        <f aca="false">IF($A268="","",IF(AW268="Y",BV268&amp;"",BH268&amp;""))</f>
        <v/>
      </c>
      <c r="AG268" s="0" t="str">
        <f aca="false">IF($A268="","",IF(AW268="Y",BW268&amp;"",BI268&amp;""))</f>
        <v/>
      </c>
      <c r="AH268" s="0" t="str">
        <f aca="false">IF($A268="","",IF(AW268="Y",BX268&amp;"",BJ268&amp;""))</f>
        <v>none</v>
      </c>
      <c r="AI268" s="0" t="s">
        <v>2476</v>
      </c>
      <c r="AJ268" s="0" t="s">
        <v>209</v>
      </c>
      <c r="AK268" s="0" t="s">
        <v>3898</v>
      </c>
      <c r="AL268" s="0" t="n">
        <v>36248</v>
      </c>
      <c r="AM268" s="0" t="n">
        <v>724960</v>
      </c>
      <c r="AN268" s="0" t="s">
        <v>187</v>
      </c>
      <c r="AO268" s="0" t="s">
        <v>209</v>
      </c>
      <c r="AP268" s="0" t="s">
        <v>4947</v>
      </c>
      <c r="AQ268" s="5" t="s">
        <v>189</v>
      </c>
      <c r="AT268" s="0" t="str">
        <f aca="false">IF($A268="","",IF(AND(CN268="pass",AQ268&lt;&gt;"Y",C268&lt;&gt;"",OR(AX268&lt;&gt;"Y",AV268="Y")),"Y","N"))</f>
        <v>N</v>
      </c>
      <c r="AU268" s="0" t="str">
        <f aca="false">IF($A268="","",_xlfn.TEXTJOIN("; ",TRUE(),IF(CN268&lt;&gt;"pass","gated out",""),IF(AQ268="Y","on hold: "&amp;AR268,""),IF(C268="","no contact named on an opened page",""),IF(AND(AX268="Y",AV268&lt;&gt;"Y"),"Tuesday estimate band "&amp;L268&amp;": founder's call","")))</f>
        <v>gated out; no contact named on an opened page; Tuesday estimate band over-500: founder's call</v>
      </c>
      <c r="AX268" s="0" t="s">
        <v>164</v>
      </c>
      <c r="BC268" s="0" t="str">
        <f aca="false">IF($A268="","",IFERROR(INDEX(Enrichment!$A$2:$GZ$2000,MATCH($A268,INDEX(Enrichment!$A$2:$GZ$2000,0,MATCH("row_id",Enrichment!$A$1:$GZ$1,0)),0),MATCH("work_email",Enrichment!$A$1:$GZ$1,0))&amp;"",""))</f>
        <v/>
      </c>
      <c r="BD268" s="0" t="str">
        <f aca="false">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none</v>
      </c>
      <c r="BF268" s="0" t="s">
        <v>380</v>
      </c>
      <c r="BJ268" s="0" t="s">
        <v>380</v>
      </c>
      <c r="BL268" s="0" t="s">
        <v>896</v>
      </c>
      <c r="BQ268" s="0" t="str">
        <f aca="false">IF($A268="","",IFERROR(INDEX(Enrichment!$A$2:$GZ$2000,MATCH($A268,INDEX(Enrichment!$A$2:$GZ$2000,0,MATCH("row_id",Enrichment!$A$1:$GZ$1,0)),0),MATCH("backup_work_email",Enrichment!$A$1:$GZ$1,0))&amp;"",""))</f>
        <v/>
      </c>
      <c r="BR268" s="0" t="str">
        <f aca="false">IF($A268="","",IF(BQ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none</v>
      </c>
      <c r="BT268" s="0" t="s">
        <v>380</v>
      </c>
      <c r="BX268" s="0" t="s">
        <v>380</v>
      </c>
      <c r="BZ268" s="0" t="s">
        <v>388</v>
      </c>
      <c r="CA268" s="0" t="s">
        <v>4949</v>
      </c>
      <c r="CB268" s="0" t="s">
        <v>196</v>
      </c>
      <c r="CM268" s="0" t="s">
        <v>189</v>
      </c>
      <c r="CN268" s="0" t="s">
        <v>4627</v>
      </c>
      <c r="CO268" s="0" t="s">
        <v>4950</v>
      </c>
      <c r="CP268" s="0" t="s">
        <v>1</v>
      </c>
      <c r="CQ268" s="0" t="s">
        <v>4951</v>
      </c>
      <c r="CR268" s="0" t="s">
        <v>4952</v>
      </c>
      <c r="CS268" s="0" t="s">
        <v>4953</v>
      </c>
      <c r="CT268" s="0" t="s">
        <v>4954</v>
      </c>
      <c r="CV268" s="0" t="s">
        <v>976</v>
      </c>
      <c r="CW268" s="0" t="s">
        <v>204</v>
      </c>
      <c r="CX268" s="0" t="s">
        <v>205</v>
      </c>
      <c r="CY268" s="0" t="s">
        <v>4955</v>
      </c>
      <c r="DA268" s="0" t="s">
        <v>2301</v>
      </c>
      <c r="DB268" s="0" t="s">
        <v>209</v>
      </c>
      <c r="DC268" s="0" t="s">
        <v>209</v>
      </c>
      <c r="DD268" s="0" t="s">
        <v>209</v>
      </c>
      <c r="DE268" s="0" t="s">
        <v>209</v>
      </c>
      <c r="DF268" s="0" t="s">
        <v>525</v>
      </c>
      <c r="DG268" s="0" t="n">
        <v>40.740567</v>
      </c>
      <c r="DH268" s="0" t="n">
        <v>-73.985832</v>
      </c>
      <c r="DI268" s="0" t="s">
        <v>164</v>
      </c>
      <c r="DJ268" s="0" t="n">
        <v>0</v>
      </c>
      <c r="DL268" s="0" t="s">
        <v>209</v>
      </c>
      <c r="DM268" s="0" t="s">
        <v>2366</v>
      </c>
      <c r="DN268" s="0" t="s">
        <v>265</v>
      </c>
      <c r="DO268" s="0" t="s">
        <v>363</v>
      </c>
      <c r="DS268" s="0" t="s">
        <v>809</v>
      </c>
      <c r="DU268" s="0" t="s">
        <v>189</v>
      </c>
      <c r="DX268" s="0" t="s">
        <v>209</v>
      </c>
      <c r="DZ268" s="0" t="s">
        <v>1700</v>
      </c>
      <c r="EA268" s="0" t="s">
        <v>209</v>
      </c>
      <c r="EB268" s="0" t="s">
        <v>189</v>
      </c>
      <c r="EC268" s="0" t="s">
        <v>209</v>
      </c>
      <c r="EF268" s="0" t="n">
        <v>162106</v>
      </c>
      <c r="EG268" s="0" t="s">
        <v>4781</v>
      </c>
      <c r="EH268" s="0" t="s">
        <v>189</v>
      </c>
      <c r="EI268" s="0" t="s">
        <v>4956</v>
      </c>
      <c r="EJ268" s="0" t="s">
        <v>221</v>
      </c>
      <c r="EK268" s="0" t="n">
        <v>0</v>
      </c>
      <c r="EL268" s="0" t="n">
        <v>14</v>
      </c>
      <c r="EM268" s="0" t="n">
        <v>0</v>
      </c>
      <c r="EN268" s="0" t="n">
        <v>0</v>
      </c>
      <c r="EO268" s="0" t="n">
        <v>6</v>
      </c>
      <c r="EP268" s="0" t="n">
        <v>8</v>
      </c>
      <c r="EQ268" s="0" t="n">
        <f aca="false">IF($A268="","",IF(AH268="exact",10,IF(AH268="adjacent",5,0)))</f>
        <v>0</v>
      </c>
      <c r="ER268" s="0" t="n">
        <f aca="false">IF($A268="","",IF(R268="Y",15,0))</f>
        <v>0</v>
      </c>
      <c r="ES268" s="0" t="s">
        <v>982</v>
      </c>
      <c r="ET268" s="0" t="s">
        <v>2310</v>
      </c>
      <c r="EU268" s="0" t="s">
        <v>189</v>
      </c>
      <c r="EX268" s="0" t="s">
        <v>4957</v>
      </c>
      <c r="FS268" s="0" t="str">
        <f aca="false">IF($A268="","",IF(ISNUMBER(MATCH(U268,{"queued","contacted","replied","call_booked","call_done","yes_in_principle","materials_sent"},0)),"Y","N"))</f>
        <v>N</v>
      </c>
      <c r="FT268" s="0" t="str">
        <f aca="false">IF($A268="","",IF(OR(T268="Y",U268="do_not_contact",AS268&amp;""&lt;&gt;""),"Y","N"))</f>
        <v>N</v>
      </c>
      <c r="FU268" s="0" t="str">
        <f aca="false">IF($A268="","",IF(AP268&amp;""&lt;&gt;"",AP268&amp;"",$A268))</f>
        <v>AO-C-239</v>
      </c>
      <c r="FV268" s="0" t="str">
        <f aca="false">IF($A268="","",IF(COUNTIFS($FU$2:$FU$1000,FU268,$FS$2:$FS$1000,"Y")+COUNTIFS($FU$2:$FU$1000,FU268,$FT$2:$FT$1000,"Y")&gt;0,"Y","N"))</f>
        <v>N</v>
      </c>
      <c r="FW268" s="0" t="str">
        <f aca="false">IF($A268="","",IF(AND(U268="new",T268="N",FT268="N",AT268="Y",FV268="N"),"Y","N"))</f>
        <v>N</v>
      </c>
      <c r="FX268" s="0" t="str">
        <f aca="false">IF($A268="","",IF(FW268&lt;&gt;"Y","N",IF(COUNTIFS($FU$2:$FU$1000,FU268,$FW$2:$FW$1000,"Y",$J$2:$J$1000,"&gt;"&amp;J268)+COUNTIFS($FU$2:$FU$1000,FU268,$FW$2:$FW$1000,"Y",$J$2:$J$1000,J268,$GD$2:$GD$1000,"&lt;"&amp;GD268)=0,"Y","N")))</f>
        <v>N</v>
      </c>
      <c r="FY268" s="0" t="str">
        <f aca="false">IF($A268="","",IF(AND(FW268="Y",FX268="Y",Y268&amp;""&lt;&gt;""),IF(Y268&lt;=10,"Y","N"),"N"))</f>
        <v>N</v>
      </c>
      <c r="FZ268" s="0" t="str">
        <f aca="false">IF(FY268="Y",Y268,"")</f>
        <v/>
      </c>
      <c r="GA268" s="0" t="str">
        <f aca="false">IF($A268="","",IF(AND(I268="walk-in",CN268="pass",U268="new",FT268="N",FV268="N",AQ268&lt;&gt;"Y"),"Y","N"))</f>
        <v>N</v>
      </c>
      <c r="GB268" s="0" t="str">
        <f aca="false">IF(GA268&lt;&gt;"Y","",IF(COUNTIFS($GA$2:$GA$1000,"Y",$J$2:$J$1000,"&gt;"&amp;J268)+COUNTIFS($GA$2:$GA$1000,"Y",$J$2:$J$1000,J268,$GD$2:$GD$1000,"&lt;"&amp;GD268)+1&lt;=25,COUNTIFS($GA$2:$GA$1000,"Y",$J$2:$J$1000,"&gt;"&amp;J268)+COUNTIFS($GA$2:$GA$1000,"Y",$J$2:$J$1000,J268,$GD$2:$GD$1000,"&lt;"&amp;GD268)+1,""))</f>
        <v/>
      </c>
      <c r="GC268" s="0" t="str">
        <f aca="false">IF(AND(_xlfn.ISFORMULA(C268),_xlfn.ISFORMULA(J268)),"Y","N")</f>
        <v>Y</v>
      </c>
      <c r="GD268" s="0" t="n">
        <f aca="false">ROW()-1</f>
        <v>267</v>
      </c>
    </row>
    <row r="269" customFormat="false" ht="15" hidden="false" customHeight="false" outlineLevel="0" collapsed="false">
      <c r="A269" s="0" t="s">
        <v>4958</v>
      </c>
      <c r="B269" s="0" t="s">
        <v>4959</v>
      </c>
      <c r="C269" s="0" t="str">
        <f aca="false">IF($A269="","",IF(AW269="Y",BM269&amp;"",AY269&amp;""))</f>
        <v/>
      </c>
      <c r="D269" s="0" t="str">
        <f aca="false">IF($A269="","",IF(AW269="Y",BN269&amp;"",AZ269&amp;""))</f>
        <v/>
      </c>
      <c r="E269" s="0" t="str">
        <f aca="false">IF($A269="","",IF(AW269="Y",BO269&amp;"",BA269&amp;""))</f>
        <v/>
      </c>
      <c r="F269" s="0" t="str">
        <f aca="false">IF($A269="","",IF(AW269="Y",BP269&amp;"",BB269&amp;""))</f>
        <v/>
      </c>
      <c r="G269" s="0" t="str">
        <f aca="false">IF($A269="","",IF(AW269="Y",BQ269&amp;"",BC269&amp;""))</f>
        <v/>
      </c>
      <c r="H269" s="0" t="str">
        <f aca="false">IF($A269="","",IF(AW269="Y",BR269&amp;"",BD269&amp;""))</f>
        <v>none</v>
      </c>
      <c r="I269" s="0" t="str">
        <f aca="false">IF($A269="","",IF(R269="Y","warm-intro",IF(H269="verified","email",IF(C269&lt;&gt;"","linkedin",CB269&amp;""))))</f>
        <v>linkedin</v>
      </c>
      <c r="J269" s="0" t="n">
        <f aca="false">IF($A269="","",IF(CN269="pass",ROUND(N(EM269)+N(EN269)+N(EO269)+N(EP269)+N(EQ269)+N(ER269),1),0))</f>
        <v>0</v>
      </c>
      <c r="K269" s="0" t="str">
        <f aca="false">IF($A269="","",IF(CN269&lt;&gt;"pass",CA269&amp;"",CA269&amp;"; "&amp;IF(AW269="Y",BZ269&amp;"",BL269&amp;"")&amp;IF(R269="Y","; known to the founder (+15)","")&amp;"."))</f>
        <v>Gated out: Tuesday estimate over 250 (1569 to 3137).</v>
      </c>
      <c r="L269" s="0" t="s">
        <v>976</v>
      </c>
      <c r="R269" s="5" t="s">
        <v>189</v>
      </c>
      <c r="S269" s="0" t="s">
        <v>209</v>
      </c>
      <c r="T269" s="0" t="s">
        <v>189</v>
      </c>
      <c r="U269" s="5" t="s">
        <v>3896</v>
      </c>
      <c r="V269" s="0" t="s">
        <v>4960</v>
      </c>
      <c r="W269" s="0" t="s">
        <v>263</v>
      </c>
      <c r="X269" s="0" t="s">
        <v>3897</v>
      </c>
      <c r="Y269" s="0" t="str">
        <f aca="false">IF(FX269&lt;&gt;"Y","",COUNTIFS($FX$2:$FX$1000,"Y",$J$2:$J$1000,"&gt;"&amp;J269)+COUNTIFS($FX$2:$FX$1000,"Y",$J$2:$J$1000,J269,$GD$2:$GD$1000,"&lt;"&amp;GD269)+1)</f>
        <v/>
      </c>
      <c r="AA269" s="0" t="s">
        <v>189</v>
      </c>
      <c r="AB269" s="0" t="str">
        <f aca="false">IF($A269="","",IF(AW269="Y",BY269&amp;"",BK269&amp;""))</f>
        <v/>
      </c>
      <c r="AC269" s="0" t="str">
        <f aca="false">IF($A269="","",IF(AW269="Y",BS269&amp;"",BE269&amp;""))</f>
        <v/>
      </c>
      <c r="AD269" s="0" t="str">
        <f aca="false">IF($A269="","",IF(AW269="Y",BT269&amp;"",BF269&amp;""))</f>
        <v>none</v>
      </c>
      <c r="AE269" s="0" t="str">
        <f aca="false">IF($A269="","",IF(AW269="Y",BU269&amp;"",BG269&amp;""))</f>
        <v/>
      </c>
      <c r="AF269" s="0" t="str">
        <f aca="false">IF($A269="","",IF(AW269="Y",BV269&amp;"",BH269&amp;""))</f>
        <v/>
      </c>
      <c r="AG269" s="0" t="str">
        <f aca="false">IF($A269="","",IF(AW269="Y",BW269&amp;"",BI269&amp;""))</f>
        <v/>
      </c>
      <c r="AH269" s="0" t="str">
        <f aca="false">IF($A269="","",IF(AW269="Y",BX269&amp;"",BJ269&amp;""))</f>
        <v>none</v>
      </c>
      <c r="AI269" s="0" t="s">
        <v>4961</v>
      </c>
      <c r="AJ269" s="0" t="s">
        <v>4962</v>
      </c>
      <c r="AK269" s="0" t="s">
        <v>3933</v>
      </c>
      <c r="AL269" s="0" t="n">
        <v>1569</v>
      </c>
      <c r="AM269" s="0" t="n">
        <v>3137</v>
      </c>
      <c r="AN269" s="0" t="s">
        <v>187</v>
      </c>
      <c r="AO269" s="0" t="s">
        <v>209</v>
      </c>
      <c r="AP269" s="0" t="s">
        <v>4958</v>
      </c>
      <c r="AQ269" s="5" t="s">
        <v>189</v>
      </c>
      <c r="AT269" s="0" t="str">
        <f aca="false">IF($A269="","",IF(AND(CN269="pass",AQ269&lt;&gt;"Y",C269&lt;&gt;"",OR(AX269&lt;&gt;"Y",AV269="Y")),"Y","N"))</f>
        <v>N</v>
      </c>
      <c r="AU269" s="0" t="str">
        <f aca="false">IF($A269="","",_xlfn.TEXTJOIN("; ",TRUE(),IF(CN269&lt;&gt;"pass","gated out",""),IF(AQ269="Y","on hold: "&amp;AR269,""),IF(C269="","no contact named on an opened page",""),IF(AND(AX269="Y",AV269&lt;&gt;"Y"),"Tuesday estimate band "&amp;L269&amp;": founder's call","")))</f>
        <v>gated out; no contact named on an opened page; Tuesday estimate band over-500: founder's call</v>
      </c>
      <c r="AX269" s="0" t="s">
        <v>164</v>
      </c>
      <c r="BC269" s="0" t="str">
        <f aca="false">IF($A269="","",IFERROR(INDEX(Enrichment!$A$2:$GZ$2000,MATCH($A269,INDEX(Enrichment!$A$2:$GZ$2000,0,MATCH("row_id",Enrichment!$A$1:$GZ$1,0)),0),MATCH("work_email",Enrichment!$A$1:$GZ$1,0))&amp;"",""))</f>
        <v/>
      </c>
      <c r="BD269" s="0" t="str">
        <f aca="false">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none</v>
      </c>
      <c r="BF269" s="0" t="s">
        <v>380</v>
      </c>
      <c r="BJ269" s="0" t="s">
        <v>380</v>
      </c>
      <c r="BL269" s="0" t="s">
        <v>896</v>
      </c>
      <c r="BQ269" s="0" t="str">
        <f aca="false">IF($A269="","",IFERROR(INDEX(Enrichment!$A$2:$GZ$2000,MATCH($A269,INDEX(Enrichment!$A$2:$GZ$2000,0,MATCH("row_id",Enrichment!$A$1:$GZ$1,0)),0),MATCH("backup_work_email",Enrichment!$A$1:$GZ$1,0))&amp;"",""))</f>
        <v/>
      </c>
      <c r="BR269" s="0" t="str">
        <f aca="false">IF($A269="","",IF(BQ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none</v>
      </c>
      <c r="BT269" s="0" t="s">
        <v>380</v>
      </c>
      <c r="BX269" s="0" t="s">
        <v>380</v>
      </c>
      <c r="BZ269" s="0" t="s">
        <v>388</v>
      </c>
      <c r="CA269" s="0" t="s">
        <v>4963</v>
      </c>
      <c r="CB269" s="0" t="s">
        <v>196</v>
      </c>
      <c r="CM269" s="0" t="s">
        <v>189</v>
      </c>
      <c r="CN269" s="0" t="s">
        <v>4627</v>
      </c>
      <c r="CO269" s="0" t="s">
        <v>4964</v>
      </c>
      <c r="CP269" s="0" t="s">
        <v>1</v>
      </c>
      <c r="CQ269" s="0" t="s">
        <v>4965</v>
      </c>
      <c r="CR269" s="0" t="s">
        <v>4966</v>
      </c>
      <c r="CS269" s="0" t="s">
        <v>4967</v>
      </c>
      <c r="CT269" s="0" t="s">
        <v>4968</v>
      </c>
      <c r="CV269" s="0" t="s">
        <v>976</v>
      </c>
      <c r="CW269" s="0" t="s">
        <v>204</v>
      </c>
      <c r="CX269" s="0" t="s">
        <v>205</v>
      </c>
      <c r="CY269" s="0" t="s">
        <v>4969</v>
      </c>
      <c r="DA269" s="0" t="s">
        <v>2301</v>
      </c>
      <c r="DB269" s="0" t="s">
        <v>4970</v>
      </c>
      <c r="DC269" s="0" t="s">
        <v>189</v>
      </c>
      <c r="DD269" s="0" t="s">
        <v>209</v>
      </c>
      <c r="DE269" s="0" t="s">
        <v>209</v>
      </c>
      <c r="DF269" s="0" t="s">
        <v>311</v>
      </c>
      <c r="DG269" s="0" t="n">
        <v>40.743639</v>
      </c>
      <c r="DH269" s="0" t="n">
        <v>-73.98576</v>
      </c>
      <c r="DI269" s="0" t="s">
        <v>164</v>
      </c>
      <c r="DJ269" s="0" t="n">
        <v>0</v>
      </c>
      <c r="DL269" s="0" t="s">
        <v>209</v>
      </c>
      <c r="DM269" s="0" t="s">
        <v>4960</v>
      </c>
      <c r="DN269" s="0" t="s">
        <v>2527</v>
      </c>
      <c r="DO269" s="0" t="s">
        <v>363</v>
      </c>
      <c r="DS269" s="0" t="s">
        <v>809</v>
      </c>
      <c r="DU269" s="0" t="s">
        <v>189</v>
      </c>
      <c r="DX269" s="0" t="s">
        <v>209</v>
      </c>
      <c r="DZ269" s="0" t="s">
        <v>1700</v>
      </c>
      <c r="EA269" s="0" t="s">
        <v>209</v>
      </c>
      <c r="EB269" s="0" t="s">
        <v>189</v>
      </c>
      <c r="EC269" s="0" t="s">
        <v>209</v>
      </c>
      <c r="EF269" s="0" t="n">
        <v>2219</v>
      </c>
      <c r="EG269" s="0" t="s">
        <v>4781</v>
      </c>
      <c r="EH269" s="0" t="s">
        <v>164</v>
      </c>
      <c r="EI269" s="0" t="s">
        <v>4971</v>
      </c>
      <c r="EJ269" s="0" t="s">
        <v>221</v>
      </c>
      <c r="EK269" s="0" t="n">
        <v>0</v>
      </c>
      <c r="EL269" s="0" t="n">
        <v>19</v>
      </c>
      <c r="EM269" s="0" t="n">
        <v>0</v>
      </c>
      <c r="EN269" s="0" t="n">
        <v>0</v>
      </c>
      <c r="EO269" s="0" t="n">
        <v>6</v>
      </c>
      <c r="EP269" s="0" t="n">
        <v>13</v>
      </c>
      <c r="EQ269" s="0" t="n">
        <f aca="false">IF($A269="","",IF(AH269="exact",10,IF(AH269="adjacent",5,0)))</f>
        <v>0</v>
      </c>
      <c r="ER269" s="0" t="n">
        <f aca="false">IF($A269="","",IF(R269="Y",15,0))</f>
        <v>0</v>
      </c>
      <c r="ES269" s="0" t="s">
        <v>982</v>
      </c>
      <c r="ET269" s="0" t="s">
        <v>2310</v>
      </c>
      <c r="EU269" s="0" t="s">
        <v>189</v>
      </c>
      <c r="EV269" s="0" t="s">
        <v>4972</v>
      </c>
      <c r="EW269" s="0" t="s">
        <v>224</v>
      </c>
      <c r="EX269" s="0" t="s">
        <v>4973</v>
      </c>
      <c r="FS269" s="0" t="str">
        <f aca="false">IF($A269="","",IF(ISNUMBER(MATCH(U269,{"queued","contacted","replied","call_booked","call_done","yes_in_principle","materials_sent"},0)),"Y","N"))</f>
        <v>N</v>
      </c>
      <c r="FT269" s="0" t="str">
        <f aca="false">IF($A269="","",IF(OR(T269="Y",U269="do_not_contact",AS269&amp;""&lt;&gt;""),"Y","N"))</f>
        <v>N</v>
      </c>
      <c r="FU269" s="0" t="str">
        <f aca="false">IF($A269="","",IF(AP269&amp;""&lt;&gt;"",AP269&amp;"",$A269))</f>
        <v>AO-C-264</v>
      </c>
      <c r="FV269" s="0" t="str">
        <f aca="false">IF($A269="","",IF(COUNTIFS($FU$2:$FU$1000,FU269,$FS$2:$FS$1000,"Y")+COUNTIFS($FU$2:$FU$1000,FU269,$FT$2:$FT$1000,"Y")&gt;0,"Y","N"))</f>
        <v>N</v>
      </c>
      <c r="FW269" s="0" t="str">
        <f aca="false">IF($A269="","",IF(AND(U269="new",T269="N",FT269="N",AT269="Y",FV269="N"),"Y","N"))</f>
        <v>N</v>
      </c>
      <c r="FX269" s="0" t="str">
        <f aca="false">IF($A269="","",IF(FW269&lt;&gt;"Y","N",IF(COUNTIFS($FU$2:$FU$1000,FU269,$FW$2:$FW$1000,"Y",$J$2:$J$1000,"&gt;"&amp;J269)+COUNTIFS($FU$2:$FU$1000,FU269,$FW$2:$FW$1000,"Y",$J$2:$J$1000,J269,$GD$2:$GD$1000,"&lt;"&amp;GD269)=0,"Y","N")))</f>
        <v>N</v>
      </c>
      <c r="FY269" s="0" t="str">
        <f aca="false">IF($A269="","",IF(AND(FW269="Y",FX269="Y",Y269&amp;""&lt;&gt;""),IF(Y269&lt;=10,"Y","N"),"N"))</f>
        <v>N</v>
      </c>
      <c r="FZ269" s="0" t="str">
        <f aca="false">IF(FY269="Y",Y269,"")</f>
        <v/>
      </c>
      <c r="GA269" s="0" t="str">
        <f aca="false">IF($A269="","",IF(AND(I269="walk-in",CN269="pass",U269="new",FT269="N",FV269="N",AQ269&lt;&gt;"Y"),"Y","N"))</f>
        <v>N</v>
      </c>
      <c r="GB269" s="0" t="str">
        <f aca="false">IF(GA269&lt;&gt;"Y","",IF(COUNTIFS($GA$2:$GA$1000,"Y",$J$2:$J$1000,"&gt;"&amp;J269)+COUNTIFS($GA$2:$GA$1000,"Y",$J$2:$J$1000,J269,$GD$2:$GD$1000,"&lt;"&amp;GD269)+1&lt;=25,COUNTIFS($GA$2:$GA$1000,"Y",$J$2:$J$1000,"&gt;"&amp;J269)+COUNTIFS($GA$2:$GA$1000,"Y",$J$2:$J$1000,J269,$GD$2:$GD$1000,"&lt;"&amp;GD269)+1,""))</f>
        <v/>
      </c>
      <c r="GC269" s="0" t="str">
        <f aca="false">IF(AND(_xlfn.ISFORMULA(C269),_xlfn.ISFORMULA(J269)),"Y","N")</f>
        <v>Y</v>
      </c>
      <c r="GD269" s="0" t="n">
        <f aca="false">ROW()-1</f>
        <v>268</v>
      </c>
    </row>
    <row r="270" customFormat="false" ht="15" hidden="false" customHeight="false" outlineLevel="0" collapsed="false">
      <c r="A270" s="0" t="s">
        <v>4974</v>
      </c>
      <c r="B270" s="0" t="s">
        <v>4975</v>
      </c>
      <c r="C270" s="0" t="str">
        <f aca="false">IF($A270="","",IF(AW270="Y",BM270&amp;"",AY270&amp;""))</f>
        <v/>
      </c>
      <c r="D270" s="0" t="str">
        <f aca="false">IF($A270="","",IF(AW270="Y",BN270&amp;"",AZ270&amp;""))</f>
        <v/>
      </c>
      <c r="E270" s="0" t="str">
        <f aca="false">IF($A270="","",IF(AW270="Y",BO270&amp;"",BA270&amp;""))</f>
        <v/>
      </c>
      <c r="F270" s="0" t="str">
        <f aca="false">IF($A270="","",IF(AW270="Y",BP270&amp;"",BB270&amp;""))</f>
        <v/>
      </c>
      <c r="G270" s="0" t="str">
        <f aca="false">IF($A270="","",IF(AW270="Y",BQ270&amp;"",BC270&amp;""))</f>
        <v/>
      </c>
      <c r="H270" s="0" t="str">
        <f aca="false">IF($A270="","",IF(AW270="Y",BR270&amp;"",BD270&amp;""))</f>
        <v>none</v>
      </c>
      <c r="I270" s="0" t="str">
        <f aca="false">IF($A270="","",IF(R270="Y","warm-intro",IF(H270="verified","email",IF(C270&lt;&gt;"","linkedin",CB270&amp;""))))</f>
        <v>linkedin</v>
      </c>
      <c r="J270" s="0" t="n">
        <f aca="false">IF($A270="","",IF(CN270="pass",ROUND(N(EM270)+N(EN270)+N(EO270)+N(EP270)+N(EQ270)+N(ER270),1),0))</f>
        <v>0</v>
      </c>
      <c r="K270" s="0" t="str">
        <f aca="false">IF($A270="","",IF(CN270&lt;&gt;"pass",CA270&amp;"",CA270&amp;"; "&amp;IF(AW270="Y",BZ270&amp;"",BL270&amp;"")&amp;IF(R270="Y","; known to the founder (+15)","")&amp;"."))</f>
        <v>Gated out: Tuesday estimate over 250 (1265 to 1708).</v>
      </c>
      <c r="L270" s="0" t="s">
        <v>976</v>
      </c>
      <c r="R270" s="5" t="s">
        <v>189</v>
      </c>
      <c r="S270" s="0" t="s">
        <v>209</v>
      </c>
      <c r="T270" s="0" t="s">
        <v>189</v>
      </c>
      <c r="U270" s="5" t="s">
        <v>3896</v>
      </c>
      <c r="V270" s="0" t="s">
        <v>3486</v>
      </c>
      <c r="W270" s="0" t="s">
        <v>263</v>
      </c>
      <c r="X270" s="0" t="s">
        <v>3897</v>
      </c>
      <c r="Y270" s="0" t="str">
        <f aca="false">IF(FX270&lt;&gt;"Y","",COUNTIFS($FX$2:$FX$1000,"Y",$J$2:$J$1000,"&gt;"&amp;J270)+COUNTIFS($FX$2:$FX$1000,"Y",$J$2:$J$1000,J270,$GD$2:$GD$1000,"&lt;"&amp;GD270)+1)</f>
        <v/>
      </c>
      <c r="AA270" s="0" t="s">
        <v>189</v>
      </c>
      <c r="AB270" s="0" t="str">
        <f aca="false">IF($A270="","",IF(AW270="Y",BY270&amp;"",BK270&amp;""))</f>
        <v/>
      </c>
      <c r="AC270" s="0" t="str">
        <f aca="false">IF($A270="","",IF(AW270="Y",BS270&amp;"",BE270&amp;""))</f>
        <v/>
      </c>
      <c r="AD270" s="0" t="str">
        <f aca="false">IF($A270="","",IF(AW270="Y",BT270&amp;"",BF270&amp;""))</f>
        <v>none</v>
      </c>
      <c r="AE270" s="0" t="str">
        <f aca="false">IF($A270="","",IF(AW270="Y",BU270&amp;"",BG270&amp;""))</f>
        <v/>
      </c>
      <c r="AF270" s="0" t="str">
        <f aca="false">IF($A270="","",IF(AW270="Y",BV270&amp;"",BH270&amp;""))</f>
        <v/>
      </c>
      <c r="AG270" s="0" t="str">
        <f aca="false">IF($A270="","",IF(AW270="Y",BW270&amp;"",BI270&amp;""))</f>
        <v/>
      </c>
      <c r="AH270" s="0" t="str">
        <f aca="false">IF($A270="","",IF(AW270="Y",BX270&amp;"",BJ270&amp;""))</f>
        <v>none</v>
      </c>
      <c r="AI270" s="0" t="s">
        <v>3475</v>
      </c>
      <c r="AJ270" s="0" t="s">
        <v>209</v>
      </c>
      <c r="AK270" s="0" t="s">
        <v>3933</v>
      </c>
      <c r="AL270" s="0" t="n">
        <v>1265</v>
      </c>
      <c r="AM270" s="0" t="n">
        <v>1708</v>
      </c>
      <c r="AN270" s="0" t="s">
        <v>187</v>
      </c>
      <c r="AO270" s="0" t="s">
        <v>209</v>
      </c>
      <c r="AP270" s="0" t="s">
        <v>4974</v>
      </c>
      <c r="AQ270" s="5" t="s">
        <v>189</v>
      </c>
      <c r="AT270" s="0" t="str">
        <f aca="false">IF($A270="","",IF(AND(CN270="pass",AQ270&lt;&gt;"Y",C270&lt;&gt;"",OR(AX270&lt;&gt;"Y",AV270="Y")),"Y","N"))</f>
        <v>N</v>
      </c>
      <c r="AU270" s="0" t="str">
        <f aca="false">IF($A270="","",_xlfn.TEXTJOIN("; ",TRUE(),IF(CN270&lt;&gt;"pass","gated out",""),IF(AQ270="Y","on hold: "&amp;AR270,""),IF(C270="","no contact named on an opened page",""),IF(AND(AX270="Y",AV270&lt;&gt;"Y"),"Tuesday estimate band "&amp;L270&amp;": founder's call","")))</f>
        <v>gated out; no contact named on an opened page; Tuesday estimate band over-500: founder's call</v>
      </c>
      <c r="AX270" s="0" t="s">
        <v>164</v>
      </c>
      <c r="BC270" s="0" t="str">
        <f aca="false">IF($A270="","",IFERROR(INDEX(Enrichment!$A$2:$GZ$2000,MATCH($A270,INDEX(Enrichment!$A$2:$GZ$2000,0,MATCH("row_id",Enrichment!$A$1:$GZ$1,0)),0),MATCH("work_email",Enrichment!$A$1:$GZ$1,0))&amp;"",""))</f>
        <v/>
      </c>
      <c r="BD270" s="0" t="str">
        <f aca="false">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none</v>
      </c>
      <c r="BF270" s="0" t="s">
        <v>380</v>
      </c>
      <c r="BJ270" s="0" t="s">
        <v>380</v>
      </c>
      <c r="BL270" s="0" t="s">
        <v>896</v>
      </c>
      <c r="BQ270" s="0" t="str">
        <f aca="false">IF($A270="","",IFERROR(INDEX(Enrichment!$A$2:$GZ$2000,MATCH($A270,INDEX(Enrichment!$A$2:$GZ$2000,0,MATCH("row_id",Enrichment!$A$1:$GZ$1,0)),0),MATCH("backup_work_email",Enrichment!$A$1:$GZ$1,0))&amp;"",""))</f>
        <v/>
      </c>
      <c r="BR270" s="0" t="str">
        <f aca="false">IF($A270="","",IF(BQ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none</v>
      </c>
      <c r="BT270" s="0" t="s">
        <v>380</v>
      </c>
      <c r="BX270" s="0" t="s">
        <v>380</v>
      </c>
      <c r="BZ270" s="0" t="s">
        <v>388</v>
      </c>
      <c r="CA270" s="0" t="s">
        <v>4976</v>
      </c>
      <c r="CB270" s="0" t="s">
        <v>196</v>
      </c>
      <c r="CM270" s="0" t="s">
        <v>189</v>
      </c>
      <c r="CN270" s="0" t="s">
        <v>4627</v>
      </c>
      <c r="CO270" s="0" t="s">
        <v>4977</v>
      </c>
      <c r="CP270" s="0" t="s">
        <v>1</v>
      </c>
      <c r="CQ270" s="0" t="s">
        <v>4978</v>
      </c>
      <c r="CR270" s="0" t="s">
        <v>4979</v>
      </c>
      <c r="CS270" s="0" t="s">
        <v>4980</v>
      </c>
      <c r="CT270" s="0" t="s">
        <v>4981</v>
      </c>
      <c r="CV270" s="0" t="s">
        <v>976</v>
      </c>
      <c r="CW270" s="0" t="s">
        <v>204</v>
      </c>
      <c r="CX270" s="0" t="s">
        <v>205</v>
      </c>
      <c r="CY270" s="0" t="s">
        <v>4982</v>
      </c>
      <c r="DA270" s="0" t="s">
        <v>2301</v>
      </c>
      <c r="DB270" s="0" t="s">
        <v>4983</v>
      </c>
      <c r="DC270" s="0" t="s">
        <v>189</v>
      </c>
      <c r="DD270" s="0" t="s">
        <v>209</v>
      </c>
      <c r="DE270" s="0" t="s">
        <v>4984</v>
      </c>
      <c r="DF270" s="0" t="s">
        <v>397</v>
      </c>
      <c r="DG270" s="0" t="n">
        <v>40.737788</v>
      </c>
      <c r="DH270" s="0" t="n">
        <v>-73.992555</v>
      </c>
      <c r="DI270" s="0" t="s">
        <v>164</v>
      </c>
      <c r="DJ270" s="0" t="n">
        <v>0</v>
      </c>
      <c r="DK270" s="0" t="s">
        <v>3485</v>
      </c>
      <c r="DL270" s="0" t="s">
        <v>3475</v>
      </c>
      <c r="DM270" s="0" t="s">
        <v>3486</v>
      </c>
      <c r="DN270" s="0" t="s">
        <v>2344</v>
      </c>
      <c r="DO270" s="0" t="s">
        <v>363</v>
      </c>
      <c r="DS270" s="0" t="s">
        <v>809</v>
      </c>
      <c r="DU270" s="0" t="s">
        <v>189</v>
      </c>
      <c r="DX270" s="0" t="s">
        <v>209</v>
      </c>
      <c r="EA270" s="0" t="s">
        <v>209</v>
      </c>
      <c r="EB270" s="0" t="s">
        <v>189</v>
      </c>
      <c r="EC270" s="0" t="s">
        <v>209</v>
      </c>
      <c r="EF270" s="0" t="n">
        <v>1423</v>
      </c>
      <c r="EG270" s="0" t="s">
        <v>4781</v>
      </c>
      <c r="EH270" s="0" t="s">
        <v>164</v>
      </c>
      <c r="EI270" s="0" t="s">
        <v>4985</v>
      </c>
      <c r="EJ270" s="0" t="s">
        <v>221</v>
      </c>
      <c r="EK270" s="0" t="n">
        <v>0</v>
      </c>
      <c r="EL270" s="0" t="n">
        <v>19</v>
      </c>
      <c r="EM270" s="0" t="n">
        <v>0</v>
      </c>
      <c r="EN270" s="0" t="n">
        <v>0</v>
      </c>
      <c r="EO270" s="0" t="n">
        <v>6</v>
      </c>
      <c r="EP270" s="0" t="n">
        <v>13</v>
      </c>
      <c r="EQ270" s="0" t="n">
        <f aca="false">IF($A270="","",IF(AH270="exact",10,IF(AH270="adjacent",5,0)))</f>
        <v>0</v>
      </c>
      <c r="ER270" s="0" t="n">
        <f aca="false">IF($A270="","",IF(R270="Y",15,0))</f>
        <v>0</v>
      </c>
      <c r="ES270" s="0" t="s">
        <v>982</v>
      </c>
      <c r="ET270" s="0" t="s">
        <v>2310</v>
      </c>
      <c r="EU270" s="0" t="s">
        <v>189</v>
      </c>
      <c r="EV270" s="0" t="s">
        <v>4986</v>
      </c>
      <c r="EW270" s="0" t="s">
        <v>224</v>
      </c>
      <c r="EX270" s="0" t="s">
        <v>4987</v>
      </c>
      <c r="EZ270" s="0" t="s">
        <v>4988</v>
      </c>
      <c r="FS270" s="0" t="str">
        <f aca="false">IF($A270="","",IF(ISNUMBER(MATCH(U270,{"queued","contacted","replied","call_booked","call_done","yes_in_principle","materials_sent"},0)),"Y","N"))</f>
        <v>N</v>
      </c>
      <c r="FT270" s="0" t="str">
        <f aca="false">IF($A270="","",IF(OR(T270="Y",U270="do_not_contact",AS270&amp;""&lt;&gt;""),"Y","N"))</f>
        <v>N</v>
      </c>
      <c r="FU270" s="0" t="str">
        <f aca="false">IF($A270="","",IF(AP270&amp;""&lt;&gt;"",AP270&amp;"",$A270))</f>
        <v>AO-C-188</v>
      </c>
      <c r="FV270" s="0" t="str">
        <f aca="false">IF($A270="","",IF(COUNTIFS($FU$2:$FU$1000,FU270,$FS$2:$FS$1000,"Y")+COUNTIFS($FU$2:$FU$1000,FU270,$FT$2:$FT$1000,"Y")&gt;0,"Y","N"))</f>
        <v>N</v>
      </c>
      <c r="FW270" s="0" t="str">
        <f aca="false">IF($A270="","",IF(AND(U270="new",T270="N",FT270="N",AT270="Y",FV270="N"),"Y","N"))</f>
        <v>N</v>
      </c>
      <c r="FX270" s="0" t="str">
        <f aca="false">IF($A270="","",IF(FW270&lt;&gt;"Y","N",IF(COUNTIFS($FU$2:$FU$1000,FU270,$FW$2:$FW$1000,"Y",$J$2:$J$1000,"&gt;"&amp;J270)+COUNTIFS($FU$2:$FU$1000,FU270,$FW$2:$FW$1000,"Y",$J$2:$J$1000,J270,$GD$2:$GD$1000,"&lt;"&amp;GD270)=0,"Y","N")))</f>
        <v>N</v>
      </c>
      <c r="FY270" s="0" t="str">
        <f aca="false">IF($A270="","",IF(AND(FW270="Y",FX270="Y",Y270&amp;""&lt;&gt;""),IF(Y270&lt;=10,"Y","N"),"N"))</f>
        <v>N</v>
      </c>
      <c r="FZ270" s="0" t="str">
        <f aca="false">IF(FY270="Y",Y270,"")</f>
        <v/>
      </c>
      <c r="GA270" s="0" t="str">
        <f aca="false">IF($A270="","",IF(AND(I270="walk-in",CN270="pass",U270="new",FT270="N",FV270="N",AQ270&lt;&gt;"Y"),"Y","N"))</f>
        <v>N</v>
      </c>
      <c r="GB270" s="0" t="str">
        <f aca="false">IF(GA270&lt;&gt;"Y","",IF(COUNTIFS($GA$2:$GA$1000,"Y",$J$2:$J$1000,"&gt;"&amp;J270)+COUNTIFS($GA$2:$GA$1000,"Y",$J$2:$J$1000,J270,$GD$2:$GD$1000,"&lt;"&amp;GD270)+1&lt;=25,COUNTIFS($GA$2:$GA$1000,"Y",$J$2:$J$1000,"&gt;"&amp;J270)+COUNTIFS($GA$2:$GA$1000,"Y",$J$2:$J$1000,J270,$GD$2:$GD$1000,"&lt;"&amp;GD270)+1,""))</f>
        <v/>
      </c>
      <c r="GC270" s="0" t="str">
        <f aca="false">IF(AND(_xlfn.ISFORMULA(C270),_xlfn.ISFORMULA(J270)),"Y","N")</f>
        <v>Y</v>
      </c>
      <c r="GD270" s="0" t="n">
        <f aca="false">ROW()-1</f>
        <v>269</v>
      </c>
    </row>
    <row r="271" customFormat="false" ht="15" hidden="false" customHeight="false" outlineLevel="0" collapsed="false">
      <c r="A271" s="0" t="s">
        <v>4989</v>
      </c>
      <c r="B271" s="0" t="s">
        <v>4990</v>
      </c>
      <c r="C271" s="0" t="str">
        <f aca="false">IF($A271="","",IF(AW271="Y",BM271&amp;"",AY271&amp;""))</f>
        <v/>
      </c>
      <c r="D271" s="0" t="str">
        <f aca="false">IF($A271="","",IF(AW271="Y",BN271&amp;"",AZ271&amp;""))</f>
        <v/>
      </c>
      <c r="E271" s="0" t="str">
        <f aca="false">IF($A271="","",IF(AW271="Y",BO271&amp;"",BA271&amp;""))</f>
        <v/>
      </c>
      <c r="F271" s="0" t="str">
        <f aca="false">IF($A271="","",IF(AW271="Y",BP271&amp;"",BB271&amp;""))</f>
        <v/>
      </c>
      <c r="G271" s="0" t="str">
        <f aca="false">IF($A271="","",IF(AW271="Y",BQ271&amp;"",BC271&amp;""))</f>
        <v/>
      </c>
      <c r="H271" s="0" t="str">
        <f aca="false">IF($A271="","",IF(AW271="Y",BR271&amp;"",BD271&amp;""))</f>
        <v>none</v>
      </c>
      <c r="I271" s="0" t="str">
        <f aca="false">IF($A271="","",IF(R271="Y","warm-intro",IF(H271="verified","email",IF(C271&lt;&gt;"","linkedin",CB271&amp;""))))</f>
        <v>linkedin</v>
      </c>
      <c r="J271" s="0" t="n">
        <f aca="false">IF($A271="","",IF(CN271="pass",ROUND(N(EM271)+N(EN271)+N(EO271)+N(EP271)+N(EQ271)+N(ER271),1),0))</f>
        <v>0</v>
      </c>
      <c r="K271" s="0" t="str">
        <f aca="false">IF($A271="","",IF(CN271&lt;&gt;"pass",CA271&amp;"",CA271&amp;"; "&amp;IF(AW271="Y",BZ271&amp;"",BL271&amp;"")&amp;IF(R271="Y","; known to the founder (+15)","")&amp;"."))</f>
        <v>Gated out: Tuesday estimate over 250 (336 to 672).</v>
      </c>
      <c r="L271" s="0" t="s">
        <v>355</v>
      </c>
      <c r="R271" s="5" t="s">
        <v>189</v>
      </c>
      <c r="S271" s="0" t="s">
        <v>209</v>
      </c>
      <c r="T271" s="0" t="s">
        <v>189</v>
      </c>
      <c r="U271" s="5" t="s">
        <v>3896</v>
      </c>
      <c r="V271" s="0" t="s">
        <v>4991</v>
      </c>
      <c r="W271" s="0" t="s">
        <v>263</v>
      </c>
      <c r="X271" s="0" t="s">
        <v>3897</v>
      </c>
      <c r="Y271" s="0" t="str">
        <f aca="false">IF(FX271&lt;&gt;"Y","",COUNTIFS($FX$2:$FX$1000,"Y",$J$2:$J$1000,"&gt;"&amp;J271)+COUNTIFS($FX$2:$FX$1000,"Y",$J$2:$J$1000,J271,$GD$2:$GD$1000,"&lt;"&amp;GD271)+1)</f>
        <v/>
      </c>
      <c r="AA271" s="0" t="s">
        <v>189</v>
      </c>
      <c r="AB271" s="0" t="str">
        <f aca="false">IF($A271="","",IF(AW271="Y",BY271&amp;"",BK271&amp;""))</f>
        <v/>
      </c>
      <c r="AC271" s="0" t="str">
        <f aca="false">IF($A271="","",IF(AW271="Y",BS271&amp;"",BE271&amp;""))</f>
        <v/>
      </c>
      <c r="AD271" s="0" t="str">
        <f aca="false">IF($A271="","",IF(AW271="Y",BT271&amp;"",BF271&amp;""))</f>
        <v>none</v>
      </c>
      <c r="AE271" s="0" t="str">
        <f aca="false">IF($A271="","",IF(AW271="Y",BU271&amp;"",BG271&amp;""))</f>
        <v/>
      </c>
      <c r="AF271" s="0" t="str">
        <f aca="false">IF($A271="","",IF(AW271="Y",BV271&amp;"",BH271&amp;""))</f>
        <v/>
      </c>
      <c r="AG271" s="0" t="str">
        <f aca="false">IF($A271="","",IF(AW271="Y",BW271&amp;"",BI271&amp;""))</f>
        <v/>
      </c>
      <c r="AH271" s="0" t="str">
        <f aca="false">IF($A271="","",IF(AW271="Y",BX271&amp;"",BJ271&amp;""))</f>
        <v>none</v>
      </c>
      <c r="AI271" s="0" t="s">
        <v>3087</v>
      </c>
      <c r="AJ271" s="0" t="s">
        <v>209</v>
      </c>
      <c r="AK271" s="0" t="s">
        <v>3933</v>
      </c>
      <c r="AL271" s="0" t="n">
        <v>336</v>
      </c>
      <c r="AM271" s="0" t="n">
        <v>672</v>
      </c>
      <c r="AN271" s="0" t="s">
        <v>187</v>
      </c>
      <c r="AO271" s="0" t="s">
        <v>2192</v>
      </c>
      <c r="AP271" s="0" t="s">
        <v>4989</v>
      </c>
      <c r="AQ271" s="5" t="s">
        <v>189</v>
      </c>
      <c r="AT271" s="0" t="str">
        <f aca="false">IF($A271="","",IF(AND(CN271="pass",AQ271&lt;&gt;"Y",C271&lt;&gt;"",OR(AX271&lt;&gt;"Y",AV271="Y")),"Y","N"))</f>
        <v>N</v>
      </c>
      <c r="AU271" s="0" t="str">
        <f aca="false">IF($A271="","",_xlfn.TEXTJOIN("; ",TRUE(),IF(CN271&lt;&gt;"pass","gated out",""),IF(AQ271="Y","on hold: "&amp;AR271,""),IF(C271="","no contact named on an opened page",""),IF(AND(AX271="Y",AV271&lt;&gt;"Y"),"Tuesday estimate band "&amp;L271&amp;": founder's call","")))</f>
        <v>gated out; no contact named on an opened page; Tuesday estimate band 251-500: founder's call</v>
      </c>
      <c r="AX271" s="0" t="s">
        <v>164</v>
      </c>
      <c r="BC271" s="0" t="str">
        <f aca="false">IF($A271="","",IFERROR(INDEX(Enrichment!$A$2:$GZ$2000,MATCH($A271,INDEX(Enrichment!$A$2:$GZ$2000,0,MATCH("row_id",Enrichment!$A$1:$GZ$1,0)),0),MATCH("work_email",Enrichment!$A$1:$GZ$1,0))&amp;"",""))</f>
        <v/>
      </c>
      <c r="BD271" s="0" t="str">
        <f aca="false">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none</v>
      </c>
      <c r="BF271" s="0" t="s">
        <v>380</v>
      </c>
      <c r="BJ271" s="0" t="s">
        <v>380</v>
      </c>
      <c r="BL271" s="0" t="s">
        <v>896</v>
      </c>
      <c r="BQ271" s="0" t="str">
        <f aca="false">IF($A271="","",IFERROR(INDEX(Enrichment!$A$2:$GZ$2000,MATCH($A271,INDEX(Enrichment!$A$2:$GZ$2000,0,MATCH("row_id",Enrichment!$A$1:$GZ$1,0)),0),MATCH("backup_work_email",Enrichment!$A$1:$GZ$1,0))&amp;"",""))</f>
        <v/>
      </c>
      <c r="BR271" s="0" t="str">
        <f aca="false">IF($A271="","",IF(BQ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none</v>
      </c>
      <c r="BT271" s="0" t="s">
        <v>380</v>
      </c>
      <c r="BX271" s="0" t="s">
        <v>380</v>
      </c>
      <c r="BZ271" s="0" t="s">
        <v>388</v>
      </c>
      <c r="CA271" s="0" t="s">
        <v>4992</v>
      </c>
      <c r="CB271" s="0" t="s">
        <v>196</v>
      </c>
      <c r="CM271" s="0" t="s">
        <v>189</v>
      </c>
      <c r="CN271" s="0" t="s">
        <v>4627</v>
      </c>
      <c r="CO271" s="0" t="s">
        <v>4993</v>
      </c>
      <c r="CP271" s="0" t="s">
        <v>1</v>
      </c>
      <c r="CQ271" s="0" t="s">
        <v>4994</v>
      </c>
      <c r="CR271" s="0" t="s">
        <v>4995</v>
      </c>
      <c r="CS271" s="0" t="s">
        <v>4996</v>
      </c>
      <c r="CT271" s="0" t="s">
        <v>2560</v>
      </c>
      <c r="CV271" s="0" t="s">
        <v>976</v>
      </c>
      <c r="CW271" s="0" t="s">
        <v>204</v>
      </c>
      <c r="CX271" s="0" t="s">
        <v>205</v>
      </c>
      <c r="CY271" s="0" t="s">
        <v>4997</v>
      </c>
      <c r="DA271" s="0" t="s">
        <v>978</v>
      </c>
      <c r="DB271" s="0" t="s">
        <v>208</v>
      </c>
      <c r="DC271" s="0" t="s">
        <v>189</v>
      </c>
      <c r="DD271" s="0" t="s">
        <v>209</v>
      </c>
      <c r="DE271" s="0" t="s">
        <v>209</v>
      </c>
      <c r="DF271" s="0" t="s">
        <v>397</v>
      </c>
      <c r="DG271" s="0" t="n">
        <v>40.738461</v>
      </c>
      <c r="DH271" s="0" t="n">
        <v>-73.992523</v>
      </c>
      <c r="DI271" s="0" t="s">
        <v>164</v>
      </c>
      <c r="DJ271" s="0" t="n">
        <v>0</v>
      </c>
      <c r="DL271" s="0" t="s">
        <v>209</v>
      </c>
      <c r="DM271" s="0" t="s">
        <v>4991</v>
      </c>
      <c r="DN271" s="0" t="s">
        <v>4998</v>
      </c>
      <c r="DO271" s="0" t="s">
        <v>363</v>
      </c>
      <c r="DP271" s="0" t="s">
        <v>3095</v>
      </c>
      <c r="DQ271" s="0" t="s">
        <v>3096</v>
      </c>
      <c r="DS271" s="0" t="s">
        <v>809</v>
      </c>
      <c r="DU271" s="0" t="s">
        <v>189</v>
      </c>
      <c r="DX271" s="0" t="s">
        <v>209</v>
      </c>
      <c r="EA271" s="0" t="s">
        <v>209</v>
      </c>
      <c r="EB271" s="0" t="s">
        <v>189</v>
      </c>
      <c r="EC271" s="0" t="s">
        <v>4999</v>
      </c>
      <c r="ED271" s="0" t="s">
        <v>5000</v>
      </c>
      <c r="EE271" s="0" t="s">
        <v>172</v>
      </c>
      <c r="EF271" s="0" t="n">
        <v>475</v>
      </c>
      <c r="EG271" s="0" t="s">
        <v>4781</v>
      </c>
      <c r="EH271" s="0" t="s">
        <v>164</v>
      </c>
      <c r="EI271" s="0" t="s">
        <v>5001</v>
      </c>
      <c r="EJ271" s="0" t="s">
        <v>221</v>
      </c>
      <c r="EK271" s="0" t="n">
        <v>0</v>
      </c>
      <c r="EL271" s="0" t="n">
        <v>27</v>
      </c>
      <c r="EM271" s="0" t="n">
        <v>0</v>
      </c>
      <c r="EN271" s="0" t="n">
        <v>2</v>
      </c>
      <c r="EO271" s="0" t="n">
        <v>12</v>
      </c>
      <c r="EP271" s="0" t="n">
        <v>13</v>
      </c>
      <c r="EQ271" s="0" t="n">
        <f aca="false">IF($A271="","",IF(AH271="exact",10,IF(AH271="adjacent",5,0)))</f>
        <v>0</v>
      </c>
      <c r="ER271" s="0" t="n">
        <f aca="false">IF($A271="","",IF(R271="Y",15,0))</f>
        <v>0</v>
      </c>
      <c r="ES271" s="0" t="s">
        <v>982</v>
      </c>
      <c r="ET271" s="0" t="s">
        <v>983</v>
      </c>
      <c r="EU271" s="0" t="s">
        <v>189</v>
      </c>
      <c r="EV271" s="0" t="s">
        <v>5002</v>
      </c>
      <c r="EW271" s="0" t="s">
        <v>224</v>
      </c>
      <c r="EX271" s="0" t="s">
        <v>5003</v>
      </c>
      <c r="FS271" s="0" t="str">
        <f aca="false">IF($A271="","",IF(ISNUMBER(MATCH(U271,{"queued","contacted","replied","call_booked","call_done","yes_in_principle","materials_sent"},0)),"Y","N"))</f>
        <v>N</v>
      </c>
      <c r="FT271" s="0" t="str">
        <f aca="false">IF($A271="","",IF(OR(T271="Y",U271="do_not_contact",AS271&amp;""&lt;&gt;""),"Y","N"))</f>
        <v>N</v>
      </c>
      <c r="FU271" s="0" t="str">
        <f aca="false">IF($A271="","",IF(AP271&amp;""&lt;&gt;"",AP271&amp;"",$A271))</f>
        <v>AO-C-193</v>
      </c>
      <c r="FV271" s="0" t="str">
        <f aca="false">IF($A271="","",IF(COUNTIFS($FU$2:$FU$1000,FU271,$FS$2:$FS$1000,"Y")+COUNTIFS($FU$2:$FU$1000,FU271,$FT$2:$FT$1000,"Y")&gt;0,"Y","N"))</f>
        <v>N</v>
      </c>
      <c r="FW271" s="0" t="str">
        <f aca="false">IF($A271="","",IF(AND(U271="new",T271="N",FT271="N",AT271="Y",FV271="N"),"Y","N"))</f>
        <v>N</v>
      </c>
      <c r="FX271" s="0" t="str">
        <f aca="false">IF($A271="","",IF(FW271&lt;&gt;"Y","N",IF(COUNTIFS($FU$2:$FU$1000,FU271,$FW$2:$FW$1000,"Y",$J$2:$J$1000,"&gt;"&amp;J271)+COUNTIFS($FU$2:$FU$1000,FU271,$FW$2:$FW$1000,"Y",$J$2:$J$1000,J271,$GD$2:$GD$1000,"&lt;"&amp;GD271)=0,"Y","N")))</f>
        <v>N</v>
      </c>
      <c r="FY271" s="0" t="str">
        <f aca="false">IF($A271="","",IF(AND(FW271="Y",FX271="Y",Y271&amp;""&lt;&gt;""),IF(Y271&lt;=10,"Y","N"),"N"))</f>
        <v>N</v>
      </c>
      <c r="FZ271" s="0" t="str">
        <f aca="false">IF(FY271="Y",Y271,"")</f>
        <v/>
      </c>
      <c r="GA271" s="0" t="str">
        <f aca="false">IF($A271="","",IF(AND(I271="walk-in",CN271="pass",U271="new",FT271="N",FV271="N",AQ271&lt;&gt;"Y"),"Y","N"))</f>
        <v>N</v>
      </c>
      <c r="GB271" s="0" t="str">
        <f aca="false">IF(GA271&lt;&gt;"Y","",IF(COUNTIFS($GA$2:$GA$1000,"Y",$J$2:$J$1000,"&gt;"&amp;J271)+COUNTIFS($GA$2:$GA$1000,"Y",$J$2:$J$1000,J271,$GD$2:$GD$1000,"&lt;"&amp;GD271)+1&lt;=25,COUNTIFS($GA$2:$GA$1000,"Y",$J$2:$J$1000,"&gt;"&amp;J271)+COUNTIFS($GA$2:$GA$1000,"Y",$J$2:$J$1000,J271,$GD$2:$GD$1000,"&lt;"&amp;GD271)+1,""))</f>
        <v/>
      </c>
      <c r="GC271" s="0" t="str">
        <f aca="false">IF(AND(_xlfn.ISFORMULA(C271),_xlfn.ISFORMULA(J271)),"Y","N")</f>
        <v>Y</v>
      </c>
      <c r="GD271" s="0" t="n">
        <f aca="false">ROW()-1</f>
        <v>270</v>
      </c>
    </row>
    <row r="272" customFormat="false" ht="15" hidden="false" customHeight="false" outlineLevel="0" collapsed="false">
      <c r="A272" s="0" t="s">
        <v>5004</v>
      </c>
      <c r="B272" s="0" t="s">
        <v>5005</v>
      </c>
      <c r="C272" s="0" t="str">
        <f aca="false">IF($A272="","",IF(AW272="Y",BM272&amp;"",AY272&amp;""))</f>
        <v/>
      </c>
      <c r="D272" s="0" t="str">
        <f aca="false">IF($A272="","",IF(AW272="Y",BN272&amp;"",AZ272&amp;""))</f>
        <v/>
      </c>
      <c r="E272" s="0" t="str">
        <f aca="false">IF($A272="","",IF(AW272="Y",BO272&amp;"",BA272&amp;""))</f>
        <v/>
      </c>
      <c r="F272" s="0" t="str">
        <f aca="false">IF($A272="","",IF(AW272="Y",BP272&amp;"",BB272&amp;""))</f>
        <v/>
      </c>
      <c r="G272" s="0" t="str">
        <f aca="false">IF($A272="","",IF(AW272="Y",BQ272&amp;"",BC272&amp;""))</f>
        <v/>
      </c>
      <c r="H272" s="0" t="str">
        <f aca="false">IF($A272="","",IF(AW272="Y",BR272&amp;"",BD272&amp;""))</f>
        <v>none</v>
      </c>
      <c r="I272" s="0" t="str">
        <f aca="false">IF($A272="","",IF(R272="Y","warm-intro",IF(H272="verified","email",IF(C272&lt;&gt;"","linkedin",CB272&amp;""))))</f>
        <v>linkedin</v>
      </c>
      <c r="J272" s="0" t="n">
        <f aca="false">IF($A272="","",IF(CN272="pass",ROUND(N(EM272)+N(EN272)+N(EO272)+N(EP272)+N(EQ272)+N(ER272),1),0))</f>
        <v>0</v>
      </c>
      <c r="K272" s="0" t="str">
        <f aca="false">IF($A272="","",IF(CN272&lt;&gt;"pass",CA272&amp;"",CA272&amp;"; "&amp;IF(AW272="Y",BZ272&amp;"",BL272&amp;"")&amp;IF(R272="Y","; known to the founder (+15)","")&amp;"."))</f>
        <v>Gated out: Tuesday estimate over 250 (347 to 6945).</v>
      </c>
      <c r="L272" s="0" t="s">
        <v>976</v>
      </c>
      <c r="R272" s="5" t="s">
        <v>189</v>
      </c>
      <c r="S272" s="0" t="s">
        <v>209</v>
      </c>
      <c r="T272" s="0" t="s">
        <v>189</v>
      </c>
      <c r="U272" s="5" t="s">
        <v>3896</v>
      </c>
      <c r="V272" s="0" t="s">
        <v>5006</v>
      </c>
      <c r="W272" s="0" t="s">
        <v>263</v>
      </c>
      <c r="X272" s="0" t="s">
        <v>3897</v>
      </c>
      <c r="Y272" s="0" t="str">
        <f aca="false">IF(FX272&lt;&gt;"Y","",COUNTIFS($FX$2:$FX$1000,"Y",$J$2:$J$1000,"&gt;"&amp;J272)+COUNTIFS($FX$2:$FX$1000,"Y",$J$2:$J$1000,J272,$GD$2:$GD$1000,"&lt;"&amp;GD272)+1)</f>
        <v/>
      </c>
      <c r="AA272" s="0" t="s">
        <v>189</v>
      </c>
      <c r="AB272" s="0" t="str">
        <f aca="false">IF($A272="","",IF(AW272="Y",BY272&amp;"",BK272&amp;""))</f>
        <v/>
      </c>
      <c r="AC272" s="0" t="str">
        <f aca="false">IF($A272="","",IF(AW272="Y",BS272&amp;"",BE272&amp;""))</f>
        <v/>
      </c>
      <c r="AD272" s="0" t="str">
        <f aca="false">IF($A272="","",IF(AW272="Y",BT272&amp;"",BF272&amp;""))</f>
        <v>none</v>
      </c>
      <c r="AE272" s="0" t="str">
        <f aca="false">IF($A272="","",IF(AW272="Y",BU272&amp;"",BG272&amp;""))</f>
        <v/>
      </c>
      <c r="AF272" s="0" t="str">
        <f aca="false">IF($A272="","",IF(AW272="Y",BV272&amp;"",BH272&amp;""))</f>
        <v/>
      </c>
      <c r="AG272" s="0" t="str">
        <f aca="false">IF($A272="","",IF(AW272="Y",BW272&amp;"",BI272&amp;""))</f>
        <v/>
      </c>
      <c r="AH272" s="0" t="str">
        <f aca="false">IF($A272="","",IF(AW272="Y",BX272&amp;"",BJ272&amp;""))</f>
        <v>none</v>
      </c>
      <c r="AI272" s="0" t="s">
        <v>5007</v>
      </c>
      <c r="AJ272" s="0" t="s">
        <v>209</v>
      </c>
      <c r="AK272" s="0" t="s">
        <v>3933</v>
      </c>
      <c r="AL272" s="0" t="n">
        <v>347</v>
      </c>
      <c r="AM272" s="0" t="n">
        <v>6945</v>
      </c>
      <c r="AN272" s="0" t="s">
        <v>187</v>
      </c>
      <c r="AO272" s="0" t="s">
        <v>209</v>
      </c>
      <c r="AP272" s="0" t="s">
        <v>5004</v>
      </c>
      <c r="AQ272" s="5" t="s">
        <v>189</v>
      </c>
      <c r="AT272" s="0" t="str">
        <f aca="false">IF($A272="","",IF(AND(CN272="pass",AQ272&lt;&gt;"Y",C272&lt;&gt;"",OR(AX272&lt;&gt;"Y",AV272="Y")),"Y","N"))</f>
        <v>N</v>
      </c>
      <c r="AU272" s="0" t="str">
        <f aca="false">IF($A272="","",_xlfn.TEXTJOIN("; ",TRUE(),IF(CN272&lt;&gt;"pass","gated out",""),IF(AQ272="Y","on hold: "&amp;AR272,""),IF(C272="","no contact named on an opened page",""),IF(AND(AX272="Y",AV272&lt;&gt;"Y"),"Tuesday estimate band "&amp;L272&amp;": founder's call","")))</f>
        <v>gated out; no contact named on an opened page; Tuesday estimate band over-500: founder's call</v>
      </c>
      <c r="AX272" s="0" t="s">
        <v>164</v>
      </c>
      <c r="BC272" s="0" t="str">
        <f aca="false">IF($A272="","",IFERROR(INDEX(Enrichment!$A$2:$GZ$2000,MATCH($A272,INDEX(Enrichment!$A$2:$GZ$2000,0,MATCH("row_id",Enrichment!$A$1:$GZ$1,0)),0),MATCH("work_email",Enrichment!$A$1:$GZ$1,0))&amp;"",""))</f>
        <v/>
      </c>
      <c r="BD272" s="0" t="str">
        <f aca="false">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none</v>
      </c>
      <c r="BF272" s="0" t="s">
        <v>380</v>
      </c>
      <c r="BJ272" s="0" t="s">
        <v>380</v>
      </c>
      <c r="BL272" s="0" t="s">
        <v>896</v>
      </c>
      <c r="BQ272" s="0" t="str">
        <f aca="false">IF($A272="","",IFERROR(INDEX(Enrichment!$A$2:$GZ$2000,MATCH($A272,INDEX(Enrichment!$A$2:$GZ$2000,0,MATCH("row_id",Enrichment!$A$1:$GZ$1,0)),0),MATCH("backup_work_email",Enrichment!$A$1:$GZ$1,0))&amp;"",""))</f>
        <v/>
      </c>
      <c r="BR272" s="0" t="str">
        <f aca="false">IF($A272="","",IF(BQ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none</v>
      </c>
      <c r="BT272" s="0" t="s">
        <v>380</v>
      </c>
      <c r="BX272" s="0" t="s">
        <v>380</v>
      </c>
      <c r="BZ272" s="0" t="s">
        <v>388</v>
      </c>
      <c r="CA272" s="0" t="s">
        <v>5008</v>
      </c>
      <c r="CB272" s="0" t="s">
        <v>196</v>
      </c>
      <c r="CM272" s="0" t="s">
        <v>189</v>
      </c>
      <c r="CN272" s="0" t="s">
        <v>4627</v>
      </c>
      <c r="CO272" s="0" t="s">
        <v>5009</v>
      </c>
      <c r="CP272" s="0" t="s">
        <v>1</v>
      </c>
      <c r="CQ272" s="0" t="s">
        <v>5010</v>
      </c>
      <c r="CR272" s="0" t="s">
        <v>5011</v>
      </c>
      <c r="CS272" s="0" t="s">
        <v>5012</v>
      </c>
      <c r="CT272" s="0" t="s">
        <v>5013</v>
      </c>
      <c r="CV272" s="0" t="s">
        <v>976</v>
      </c>
      <c r="CW272" s="0" t="s">
        <v>204</v>
      </c>
      <c r="CX272" s="0" t="s">
        <v>205</v>
      </c>
      <c r="CY272" s="0" t="s">
        <v>5014</v>
      </c>
      <c r="DA272" s="0" t="s">
        <v>2301</v>
      </c>
      <c r="DB272" s="0" t="s">
        <v>209</v>
      </c>
      <c r="DC272" s="0" t="s">
        <v>209</v>
      </c>
      <c r="DD272" s="0" t="s">
        <v>209</v>
      </c>
      <c r="DE272" s="0" t="s">
        <v>5015</v>
      </c>
      <c r="DF272" s="0" t="s">
        <v>210</v>
      </c>
      <c r="DG272" s="0" t="n">
        <v>40.734278</v>
      </c>
      <c r="DH272" s="0" t="n">
        <v>-73.988375</v>
      </c>
      <c r="DI272" s="0" t="s">
        <v>164</v>
      </c>
      <c r="DJ272" s="0" t="n">
        <v>0</v>
      </c>
      <c r="DL272" s="0" t="s">
        <v>209</v>
      </c>
      <c r="DM272" s="0" t="s">
        <v>5006</v>
      </c>
      <c r="DN272" s="0" t="s">
        <v>263</v>
      </c>
      <c r="DO272" s="0" t="s">
        <v>5016</v>
      </c>
      <c r="DS272" s="0" t="s">
        <v>809</v>
      </c>
      <c r="DU272" s="0" t="s">
        <v>189</v>
      </c>
      <c r="DX272" s="0" t="s">
        <v>209</v>
      </c>
      <c r="EA272" s="0" t="s">
        <v>209</v>
      </c>
      <c r="EB272" s="0" t="s">
        <v>189</v>
      </c>
      <c r="EC272" s="0" t="s">
        <v>209</v>
      </c>
      <c r="EF272" s="0" t="n">
        <v>1552</v>
      </c>
      <c r="EG272" s="0" t="s">
        <v>4781</v>
      </c>
      <c r="EH272" s="0" t="s">
        <v>189</v>
      </c>
      <c r="EI272" s="0" t="s">
        <v>5017</v>
      </c>
      <c r="EJ272" s="0" t="s">
        <v>221</v>
      </c>
      <c r="EK272" s="0" t="n">
        <v>0</v>
      </c>
      <c r="EL272" s="0" t="n">
        <v>19</v>
      </c>
      <c r="EM272" s="0" t="n">
        <v>0</v>
      </c>
      <c r="EN272" s="0" t="n">
        <v>0</v>
      </c>
      <c r="EO272" s="0" t="n">
        <v>6</v>
      </c>
      <c r="EP272" s="0" t="n">
        <v>13</v>
      </c>
      <c r="EQ272" s="0" t="n">
        <f aca="false">IF($A272="","",IF(AH272="exact",10,IF(AH272="adjacent",5,0)))</f>
        <v>0</v>
      </c>
      <c r="ER272" s="0" t="n">
        <f aca="false">IF($A272="","",IF(R272="Y",15,0))</f>
        <v>0</v>
      </c>
      <c r="ES272" s="0" t="s">
        <v>982</v>
      </c>
      <c r="ET272" s="0" t="s">
        <v>2310</v>
      </c>
      <c r="EU272" s="0" t="s">
        <v>189</v>
      </c>
      <c r="EX272" s="0" t="s">
        <v>5018</v>
      </c>
      <c r="EZ272" s="0" t="s">
        <v>5019</v>
      </c>
      <c r="FS272" s="0" t="str">
        <f aca="false">IF($A272="","",IF(ISNUMBER(MATCH(U272,{"queued","contacted","replied","call_booked","call_done","yes_in_principle","materials_sent"},0)),"Y","N"))</f>
        <v>N</v>
      </c>
      <c r="FT272" s="0" t="str">
        <f aca="false">IF($A272="","",IF(OR(T272="Y",U272="do_not_contact",AS272&amp;""&lt;&gt;""),"Y","N"))</f>
        <v>N</v>
      </c>
      <c r="FU272" s="0" t="str">
        <f aca="false">IF($A272="","",IF(AP272&amp;""&lt;&gt;"",AP272&amp;"",$A272))</f>
        <v>AO-C-181</v>
      </c>
      <c r="FV272" s="0" t="str">
        <f aca="false">IF($A272="","",IF(COUNTIFS($FU$2:$FU$1000,FU272,$FS$2:$FS$1000,"Y")+COUNTIFS($FU$2:$FU$1000,FU272,$FT$2:$FT$1000,"Y")&gt;0,"Y","N"))</f>
        <v>N</v>
      </c>
      <c r="FW272" s="0" t="str">
        <f aca="false">IF($A272="","",IF(AND(U272="new",T272="N",FT272="N",AT272="Y",FV272="N"),"Y","N"))</f>
        <v>N</v>
      </c>
      <c r="FX272" s="0" t="str">
        <f aca="false">IF($A272="","",IF(FW272&lt;&gt;"Y","N",IF(COUNTIFS($FU$2:$FU$1000,FU272,$FW$2:$FW$1000,"Y",$J$2:$J$1000,"&gt;"&amp;J272)+COUNTIFS($FU$2:$FU$1000,FU272,$FW$2:$FW$1000,"Y",$J$2:$J$1000,J272,$GD$2:$GD$1000,"&lt;"&amp;GD272)=0,"Y","N")))</f>
        <v>N</v>
      </c>
      <c r="FY272" s="0" t="str">
        <f aca="false">IF($A272="","",IF(AND(FW272="Y",FX272="Y",Y272&amp;""&lt;&gt;""),IF(Y272&lt;=10,"Y","N"),"N"))</f>
        <v>N</v>
      </c>
      <c r="FZ272" s="0" t="str">
        <f aca="false">IF(FY272="Y",Y272,"")</f>
        <v/>
      </c>
      <c r="GA272" s="0" t="str">
        <f aca="false">IF($A272="","",IF(AND(I272="walk-in",CN272="pass",U272="new",FT272="N",FV272="N",AQ272&lt;&gt;"Y"),"Y","N"))</f>
        <v>N</v>
      </c>
      <c r="GB272" s="0" t="str">
        <f aca="false">IF(GA272&lt;&gt;"Y","",IF(COUNTIFS($GA$2:$GA$1000,"Y",$J$2:$J$1000,"&gt;"&amp;J272)+COUNTIFS($GA$2:$GA$1000,"Y",$J$2:$J$1000,J272,$GD$2:$GD$1000,"&lt;"&amp;GD272)+1&lt;=25,COUNTIFS($GA$2:$GA$1000,"Y",$J$2:$J$1000,"&gt;"&amp;J272)+COUNTIFS($GA$2:$GA$1000,"Y",$J$2:$J$1000,J272,$GD$2:$GD$1000,"&lt;"&amp;GD272)+1,""))</f>
        <v/>
      </c>
      <c r="GC272" s="0" t="str">
        <f aca="false">IF(AND(_xlfn.ISFORMULA(C272),_xlfn.ISFORMULA(J272)),"Y","N")</f>
        <v>Y</v>
      </c>
      <c r="GD272" s="0" t="n">
        <f aca="false">ROW()-1</f>
        <v>271</v>
      </c>
    </row>
    <row r="273" customFormat="false" ht="15" hidden="false" customHeight="false" outlineLevel="0" collapsed="false">
      <c r="A273" s="0" t="s">
        <v>5020</v>
      </c>
      <c r="B273" s="0" t="s">
        <v>5021</v>
      </c>
      <c r="C273" s="0" t="str">
        <f aca="false">IF($A273="","",IF(AW273="Y",BM273&amp;"",AY273&amp;""))</f>
        <v/>
      </c>
      <c r="D273" s="0" t="str">
        <f aca="false">IF($A273="","",IF(AW273="Y",BN273&amp;"",AZ273&amp;""))</f>
        <v/>
      </c>
      <c r="E273" s="0" t="str">
        <f aca="false">IF($A273="","",IF(AW273="Y",BO273&amp;"",BA273&amp;""))</f>
        <v/>
      </c>
      <c r="F273" s="0" t="str">
        <f aca="false">IF($A273="","",IF(AW273="Y",BP273&amp;"",BB273&amp;""))</f>
        <v/>
      </c>
      <c r="G273" s="0" t="str">
        <f aca="false">IF($A273="","",IF(AW273="Y",BQ273&amp;"",BC273&amp;""))</f>
        <v/>
      </c>
      <c r="H273" s="0" t="str">
        <f aca="false">IF($A273="","",IF(AW273="Y",BR273&amp;"",BD273&amp;""))</f>
        <v>none</v>
      </c>
      <c r="I273" s="0" t="str">
        <f aca="false">IF($A273="","",IF(R273="Y","warm-intro",IF(H273="verified","email",IF(C273&lt;&gt;"","linkedin",CB273&amp;""))))</f>
        <v>linkedin</v>
      </c>
      <c r="J273" s="0" t="n">
        <f aca="false">IF($A273="","",IF(CN273="pass",ROUND(N(EM273)+N(EN273)+N(EO273)+N(EP273)+N(EQ273)+N(ER273),1),0))</f>
        <v>0</v>
      </c>
      <c r="K273" s="0" t="str">
        <f aca="false">IF($A273="","",IF(CN273&lt;&gt;"pass",CA273&amp;"",CA273&amp;"; "&amp;IF(AW273="Y",BZ273&amp;"",BL273&amp;"")&amp;IF(R273="Y","; known to the founder (+15)","")&amp;"."))</f>
        <v>Gated out: Tuesday estimate over 250 (722 to 920).</v>
      </c>
      <c r="L273" s="0" t="s">
        <v>976</v>
      </c>
      <c r="R273" s="5" t="s">
        <v>189</v>
      </c>
      <c r="S273" s="0" t="s">
        <v>209</v>
      </c>
      <c r="T273" s="0" t="s">
        <v>189</v>
      </c>
      <c r="U273" s="5" t="s">
        <v>3896</v>
      </c>
      <c r="V273" s="0" t="s">
        <v>4895</v>
      </c>
      <c r="W273" s="0" t="s">
        <v>263</v>
      </c>
      <c r="X273" s="0" t="s">
        <v>3897</v>
      </c>
      <c r="Y273" s="0" t="str">
        <f aca="false">IF(FX273&lt;&gt;"Y","",COUNTIFS($FX$2:$FX$1000,"Y",$J$2:$J$1000,"&gt;"&amp;J273)+COUNTIFS($FX$2:$FX$1000,"Y",$J$2:$J$1000,J273,$GD$2:$GD$1000,"&lt;"&amp;GD273)+1)</f>
        <v/>
      </c>
      <c r="AA273" s="0" t="s">
        <v>189</v>
      </c>
      <c r="AB273" s="0" t="str">
        <f aca="false">IF($A273="","",IF(AW273="Y",BY273&amp;"",BK273&amp;""))</f>
        <v/>
      </c>
      <c r="AC273" s="0" t="str">
        <f aca="false">IF($A273="","",IF(AW273="Y",BS273&amp;"",BE273&amp;""))</f>
        <v/>
      </c>
      <c r="AD273" s="0" t="str">
        <f aca="false">IF($A273="","",IF(AW273="Y",BT273&amp;"",BF273&amp;""))</f>
        <v>none</v>
      </c>
      <c r="AE273" s="0" t="str">
        <f aca="false">IF($A273="","",IF(AW273="Y",BU273&amp;"",BG273&amp;""))</f>
        <v/>
      </c>
      <c r="AF273" s="0" t="str">
        <f aca="false">IF($A273="","",IF(AW273="Y",BV273&amp;"",BH273&amp;""))</f>
        <v/>
      </c>
      <c r="AG273" s="0" t="str">
        <f aca="false">IF($A273="","",IF(AW273="Y",BW273&amp;"",BI273&amp;""))</f>
        <v/>
      </c>
      <c r="AH273" s="0" t="str">
        <f aca="false">IF($A273="","",IF(AW273="Y",BX273&amp;"",BJ273&amp;""))</f>
        <v>none</v>
      </c>
      <c r="AI273" s="0" t="s">
        <v>4021</v>
      </c>
      <c r="AJ273" s="0" t="s">
        <v>209</v>
      </c>
      <c r="AK273" s="0" t="s">
        <v>3933</v>
      </c>
      <c r="AL273" s="0" t="n">
        <v>722</v>
      </c>
      <c r="AM273" s="0" t="n">
        <v>920</v>
      </c>
      <c r="AN273" s="0" t="s">
        <v>187</v>
      </c>
      <c r="AO273" s="0" t="s">
        <v>209</v>
      </c>
      <c r="AP273" s="0" t="s">
        <v>5020</v>
      </c>
      <c r="AQ273" s="5" t="s">
        <v>189</v>
      </c>
      <c r="AT273" s="0" t="str">
        <f aca="false">IF($A273="","",IF(AND(CN273="pass",AQ273&lt;&gt;"Y",C273&lt;&gt;"",OR(AX273&lt;&gt;"Y",AV273="Y")),"Y","N"))</f>
        <v>N</v>
      </c>
      <c r="AU273" s="0" t="str">
        <f aca="false">IF($A273="","",_xlfn.TEXTJOIN("; ",TRUE(),IF(CN273&lt;&gt;"pass","gated out",""),IF(AQ273="Y","on hold: "&amp;AR273,""),IF(C273="","no contact named on an opened page",""),IF(AND(AX273="Y",AV273&lt;&gt;"Y"),"Tuesday estimate band "&amp;L273&amp;": founder's call","")))</f>
        <v>gated out; no contact named on an opened page; Tuesday estimate band over-500: founder's call</v>
      </c>
      <c r="AX273" s="0" t="s">
        <v>164</v>
      </c>
      <c r="BC273" s="0" t="str">
        <f aca="false">IF($A273="","",IFERROR(INDEX(Enrichment!$A$2:$GZ$2000,MATCH($A273,INDEX(Enrichment!$A$2:$GZ$2000,0,MATCH("row_id",Enrichment!$A$1:$GZ$1,0)),0),MATCH("work_email",Enrichment!$A$1:$GZ$1,0))&amp;"",""))</f>
        <v/>
      </c>
      <c r="BD273" s="0" t="str">
        <f aca="false">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none</v>
      </c>
      <c r="BF273" s="0" t="s">
        <v>380</v>
      </c>
      <c r="BJ273" s="0" t="s">
        <v>380</v>
      </c>
      <c r="BL273" s="0" t="s">
        <v>896</v>
      </c>
      <c r="BQ273" s="0" t="str">
        <f aca="false">IF($A273="","",IFERROR(INDEX(Enrichment!$A$2:$GZ$2000,MATCH($A273,INDEX(Enrichment!$A$2:$GZ$2000,0,MATCH("row_id",Enrichment!$A$1:$GZ$1,0)),0),MATCH("backup_work_email",Enrichment!$A$1:$GZ$1,0))&amp;"",""))</f>
        <v/>
      </c>
      <c r="BR273" s="0" t="str">
        <f aca="false">IF($A273="","",IF(BQ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none</v>
      </c>
      <c r="BT273" s="0" t="s">
        <v>380</v>
      </c>
      <c r="BX273" s="0" t="s">
        <v>380</v>
      </c>
      <c r="BZ273" s="0" t="s">
        <v>388</v>
      </c>
      <c r="CA273" s="0" t="s">
        <v>5022</v>
      </c>
      <c r="CB273" s="0" t="s">
        <v>196</v>
      </c>
      <c r="CM273" s="0" t="s">
        <v>189</v>
      </c>
      <c r="CN273" s="0" t="s">
        <v>4627</v>
      </c>
      <c r="CO273" s="0" t="s">
        <v>5023</v>
      </c>
      <c r="CP273" s="0" t="s">
        <v>1</v>
      </c>
      <c r="CQ273" s="0" t="s">
        <v>5024</v>
      </c>
      <c r="CR273" s="0" t="s">
        <v>5025</v>
      </c>
      <c r="CS273" s="0" t="s">
        <v>5026</v>
      </c>
      <c r="CT273" s="0" t="s">
        <v>5027</v>
      </c>
      <c r="CV273" s="0" t="s">
        <v>976</v>
      </c>
      <c r="CW273" s="0" t="s">
        <v>204</v>
      </c>
      <c r="CX273" s="0" t="s">
        <v>205</v>
      </c>
      <c r="CY273" s="0" t="s">
        <v>5028</v>
      </c>
      <c r="DA273" s="0" t="s">
        <v>2301</v>
      </c>
      <c r="DB273" s="0" t="s">
        <v>209</v>
      </c>
      <c r="DC273" s="0" t="s">
        <v>209</v>
      </c>
      <c r="DD273" s="0" t="s">
        <v>209</v>
      </c>
      <c r="DE273" s="0" t="s">
        <v>209</v>
      </c>
      <c r="DF273" s="0" t="s">
        <v>525</v>
      </c>
      <c r="DG273" s="0" t="n">
        <v>40.741986</v>
      </c>
      <c r="DH273" s="0" t="n">
        <v>-73.989477</v>
      </c>
      <c r="DI273" s="0" t="s">
        <v>164</v>
      </c>
      <c r="DJ273" s="0" t="n">
        <v>0</v>
      </c>
      <c r="DL273" s="0" t="s">
        <v>209</v>
      </c>
      <c r="DM273" s="0" t="s">
        <v>4895</v>
      </c>
      <c r="DN273" s="0" t="s">
        <v>4903</v>
      </c>
      <c r="DO273" s="0" t="s">
        <v>363</v>
      </c>
      <c r="DS273" s="0" t="s">
        <v>809</v>
      </c>
      <c r="DU273" s="0" t="s">
        <v>189</v>
      </c>
      <c r="DX273" s="0" t="s">
        <v>209</v>
      </c>
      <c r="EA273" s="0" t="s">
        <v>209</v>
      </c>
      <c r="EB273" s="0" t="s">
        <v>189</v>
      </c>
      <c r="EC273" s="0" t="s">
        <v>209</v>
      </c>
      <c r="EF273" s="0" t="n">
        <v>767</v>
      </c>
      <c r="EG273" s="0" t="s">
        <v>4781</v>
      </c>
      <c r="EH273" s="0" t="s">
        <v>164</v>
      </c>
      <c r="EI273" s="0" t="s">
        <v>5029</v>
      </c>
      <c r="EJ273" s="0" t="s">
        <v>221</v>
      </c>
      <c r="EK273" s="0" t="n">
        <v>0</v>
      </c>
      <c r="EL273" s="0" t="n">
        <v>19</v>
      </c>
      <c r="EM273" s="0" t="n">
        <v>0</v>
      </c>
      <c r="EN273" s="0" t="n">
        <v>0</v>
      </c>
      <c r="EO273" s="0" t="n">
        <v>6</v>
      </c>
      <c r="EP273" s="0" t="n">
        <v>13</v>
      </c>
      <c r="EQ273" s="0" t="n">
        <f aca="false">IF($A273="","",IF(AH273="exact",10,IF(AH273="adjacent",5,0)))</f>
        <v>0</v>
      </c>
      <c r="ER273" s="0" t="n">
        <f aca="false">IF($A273="","",IF(R273="Y",15,0))</f>
        <v>0</v>
      </c>
      <c r="ES273" s="0" t="s">
        <v>982</v>
      </c>
      <c r="ET273" s="0" t="s">
        <v>2310</v>
      </c>
      <c r="EU273" s="0" t="s">
        <v>189</v>
      </c>
      <c r="EV273" s="0" t="s">
        <v>5030</v>
      </c>
      <c r="EW273" s="0" t="s">
        <v>224</v>
      </c>
      <c r="EX273" s="0" t="s">
        <v>5031</v>
      </c>
      <c r="FS273" s="0" t="str">
        <f aca="false">IF($A273="","",IF(ISNUMBER(MATCH(U273,{"queued","contacted","replied","call_booked","call_done","yes_in_principle","materials_sent"},0)),"Y","N"))</f>
        <v>N</v>
      </c>
      <c r="FT273" s="0" t="str">
        <f aca="false">IF($A273="","",IF(OR(T273="Y",U273="do_not_contact",AS273&amp;""&lt;&gt;""),"Y","N"))</f>
        <v>N</v>
      </c>
      <c r="FU273" s="0" t="str">
        <f aca="false">IF($A273="","",IF(AP273&amp;""&lt;&gt;"",AP273&amp;"",$A273))</f>
        <v>AO-C-229</v>
      </c>
      <c r="FV273" s="0" t="str">
        <f aca="false">IF($A273="","",IF(COUNTIFS($FU$2:$FU$1000,FU273,$FS$2:$FS$1000,"Y")+COUNTIFS($FU$2:$FU$1000,FU273,$FT$2:$FT$1000,"Y")&gt;0,"Y","N"))</f>
        <v>N</v>
      </c>
      <c r="FW273" s="0" t="str">
        <f aca="false">IF($A273="","",IF(AND(U273="new",T273="N",FT273="N",AT273="Y",FV273="N"),"Y","N"))</f>
        <v>N</v>
      </c>
      <c r="FX273" s="0" t="str">
        <f aca="false">IF($A273="","",IF(FW273&lt;&gt;"Y","N",IF(COUNTIFS($FU$2:$FU$1000,FU273,$FW$2:$FW$1000,"Y",$J$2:$J$1000,"&gt;"&amp;J273)+COUNTIFS($FU$2:$FU$1000,FU273,$FW$2:$FW$1000,"Y",$J$2:$J$1000,J273,$GD$2:$GD$1000,"&lt;"&amp;GD273)=0,"Y","N")))</f>
        <v>N</v>
      </c>
      <c r="FY273" s="0" t="str">
        <f aca="false">IF($A273="","",IF(AND(FW273="Y",FX273="Y",Y273&amp;""&lt;&gt;""),IF(Y273&lt;=10,"Y","N"),"N"))</f>
        <v>N</v>
      </c>
      <c r="FZ273" s="0" t="str">
        <f aca="false">IF(FY273="Y",Y273,"")</f>
        <v/>
      </c>
      <c r="GA273" s="0" t="str">
        <f aca="false">IF($A273="","",IF(AND(I273="walk-in",CN273="pass",U273="new",FT273="N",FV273="N",AQ273&lt;&gt;"Y"),"Y","N"))</f>
        <v>N</v>
      </c>
      <c r="GB273" s="0" t="str">
        <f aca="false">IF(GA273&lt;&gt;"Y","",IF(COUNTIFS($GA$2:$GA$1000,"Y",$J$2:$J$1000,"&gt;"&amp;J273)+COUNTIFS($GA$2:$GA$1000,"Y",$J$2:$J$1000,J273,$GD$2:$GD$1000,"&lt;"&amp;GD273)+1&lt;=25,COUNTIFS($GA$2:$GA$1000,"Y",$J$2:$J$1000,"&gt;"&amp;J273)+COUNTIFS($GA$2:$GA$1000,"Y",$J$2:$J$1000,J273,$GD$2:$GD$1000,"&lt;"&amp;GD273)+1,""))</f>
        <v/>
      </c>
      <c r="GC273" s="0" t="str">
        <f aca="false">IF(AND(_xlfn.ISFORMULA(C273),_xlfn.ISFORMULA(J273)),"Y","N")</f>
        <v>Y</v>
      </c>
      <c r="GD273" s="0" t="n">
        <f aca="false">ROW()-1</f>
        <v>272</v>
      </c>
    </row>
    <row r="274" customFormat="false" ht="15" hidden="false" customHeight="false" outlineLevel="0" collapsed="false">
      <c r="A274" s="0" t="s">
        <v>5032</v>
      </c>
      <c r="B274" s="0" t="s">
        <v>5033</v>
      </c>
      <c r="C274" s="0" t="str">
        <f aca="false">IF($A274="","",IF(AW274="Y",BM274&amp;"",AY274&amp;""))</f>
        <v/>
      </c>
      <c r="D274" s="0" t="str">
        <f aca="false">IF($A274="","",IF(AW274="Y",BN274&amp;"",AZ274&amp;""))</f>
        <v/>
      </c>
      <c r="E274" s="0" t="str">
        <f aca="false">IF($A274="","",IF(AW274="Y",BO274&amp;"",BA274&amp;""))</f>
        <v/>
      </c>
      <c r="F274" s="0" t="str">
        <f aca="false">IF($A274="","",IF(AW274="Y",BP274&amp;"",BB274&amp;""))</f>
        <v/>
      </c>
      <c r="G274" s="0" t="str">
        <f aca="false">IF($A274="","",IF(AW274="Y",BQ274&amp;"",BC274&amp;""))</f>
        <v/>
      </c>
      <c r="H274" s="0" t="str">
        <f aca="false">IF($A274="","",IF(AW274="Y",BR274&amp;"",BD274&amp;""))</f>
        <v>none</v>
      </c>
      <c r="I274" s="0" t="str">
        <f aca="false">IF($A274="","",IF(R274="Y","warm-intro",IF(H274="verified","email",IF(C274&lt;&gt;"","linkedin",CB274&amp;""))))</f>
        <v>linkedin</v>
      </c>
      <c r="J274" s="0" t="n">
        <f aca="false">IF($A274="","",IF(CN274="pass",ROUND(N(EM274)+N(EN274)+N(EO274)+N(EP274)+N(EQ274)+N(ER274),1),0))</f>
        <v>0</v>
      </c>
      <c r="K274" s="0" t="str">
        <f aca="false">IF($A274="","",IF(CN274&lt;&gt;"pass",CA274&amp;"",CA274&amp;"; "&amp;IF(AW274="Y",BZ274&amp;"",BL274&amp;"")&amp;IF(R274="Y","; known to the founder (+15)","")&amp;"."))</f>
        <v>Gated out: Tuesday estimate over 250 (629 to 12579).</v>
      </c>
      <c r="L274" s="0" t="s">
        <v>976</v>
      </c>
      <c r="R274" s="5" t="s">
        <v>189</v>
      </c>
      <c r="S274" s="0" t="s">
        <v>209</v>
      </c>
      <c r="T274" s="0" t="s">
        <v>189</v>
      </c>
      <c r="U274" s="5" t="s">
        <v>3896</v>
      </c>
      <c r="V274" s="0" t="s">
        <v>4169</v>
      </c>
      <c r="W274" s="0" t="s">
        <v>263</v>
      </c>
      <c r="X274" s="0" t="s">
        <v>3897</v>
      </c>
      <c r="Y274" s="0" t="str">
        <f aca="false">IF(FX274&lt;&gt;"Y","",COUNTIFS($FX$2:$FX$1000,"Y",$J$2:$J$1000,"&gt;"&amp;J274)+COUNTIFS($FX$2:$FX$1000,"Y",$J$2:$J$1000,J274,$GD$2:$GD$1000,"&lt;"&amp;GD274)+1)</f>
        <v/>
      </c>
      <c r="AA274" s="0" t="s">
        <v>189</v>
      </c>
      <c r="AB274" s="0" t="str">
        <f aca="false">IF($A274="","",IF(AW274="Y",BY274&amp;"",BK274&amp;""))</f>
        <v/>
      </c>
      <c r="AC274" s="0" t="str">
        <f aca="false">IF($A274="","",IF(AW274="Y",BS274&amp;"",BE274&amp;""))</f>
        <v/>
      </c>
      <c r="AD274" s="0" t="str">
        <f aca="false">IF($A274="","",IF(AW274="Y",BT274&amp;"",BF274&amp;""))</f>
        <v>none</v>
      </c>
      <c r="AE274" s="0" t="str">
        <f aca="false">IF($A274="","",IF(AW274="Y",BU274&amp;"",BG274&amp;""))</f>
        <v/>
      </c>
      <c r="AF274" s="0" t="str">
        <f aca="false">IF($A274="","",IF(AW274="Y",BV274&amp;"",BH274&amp;""))</f>
        <v/>
      </c>
      <c r="AG274" s="0" t="str">
        <f aca="false">IF($A274="","",IF(AW274="Y",BW274&amp;"",BI274&amp;""))</f>
        <v/>
      </c>
      <c r="AH274" s="0" t="str">
        <f aca="false">IF($A274="","",IF(AW274="Y",BX274&amp;"",BJ274&amp;""))</f>
        <v>none</v>
      </c>
      <c r="AI274" s="0" t="s">
        <v>1468</v>
      </c>
      <c r="AJ274" s="0" t="s">
        <v>209</v>
      </c>
      <c r="AK274" s="0" t="s">
        <v>3933</v>
      </c>
      <c r="AL274" s="0" t="n">
        <v>629</v>
      </c>
      <c r="AM274" s="0" t="n">
        <v>12579</v>
      </c>
      <c r="AN274" s="0" t="s">
        <v>187</v>
      </c>
      <c r="AO274" s="0" t="s">
        <v>209</v>
      </c>
      <c r="AP274" s="0" t="s">
        <v>5032</v>
      </c>
      <c r="AQ274" s="5" t="s">
        <v>189</v>
      </c>
      <c r="AT274" s="0" t="str">
        <f aca="false">IF($A274="","",IF(AND(CN274="pass",AQ274&lt;&gt;"Y",C274&lt;&gt;"",OR(AX274&lt;&gt;"Y",AV274="Y")),"Y","N"))</f>
        <v>N</v>
      </c>
      <c r="AU274" s="0" t="str">
        <f aca="false">IF($A274="","",_xlfn.TEXTJOIN("; ",TRUE(),IF(CN274&lt;&gt;"pass","gated out",""),IF(AQ274="Y","on hold: "&amp;AR274,""),IF(C274="","no contact named on an opened page",""),IF(AND(AX274="Y",AV274&lt;&gt;"Y"),"Tuesday estimate band "&amp;L274&amp;": founder's call","")))</f>
        <v>gated out; no contact named on an opened page; Tuesday estimate band over-500: founder's call</v>
      </c>
      <c r="AX274" s="0" t="s">
        <v>164</v>
      </c>
      <c r="BC274" s="0" t="str">
        <f aca="false">IF($A274="","",IFERROR(INDEX(Enrichment!$A$2:$GZ$2000,MATCH($A274,INDEX(Enrichment!$A$2:$GZ$2000,0,MATCH("row_id",Enrichment!$A$1:$GZ$1,0)),0),MATCH("work_email",Enrichment!$A$1:$GZ$1,0))&amp;"",""))</f>
        <v/>
      </c>
      <c r="BD274" s="0" t="str">
        <f aca="false">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none</v>
      </c>
      <c r="BF274" s="0" t="s">
        <v>380</v>
      </c>
      <c r="BJ274" s="0" t="s">
        <v>380</v>
      </c>
      <c r="BL274" s="0" t="s">
        <v>896</v>
      </c>
      <c r="BQ274" s="0" t="str">
        <f aca="false">IF($A274="","",IFERROR(INDEX(Enrichment!$A$2:$GZ$2000,MATCH($A274,INDEX(Enrichment!$A$2:$GZ$2000,0,MATCH("row_id",Enrichment!$A$1:$GZ$1,0)),0),MATCH("backup_work_email",Enrichment!$A$1:$GZ$1,0))&amp;"",""))</f>
        <v/>
      </c>
      <c r="BR274" s="0" t="str">
        <f aca="false">IF($A274="","",IF(BQ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none</v>
      </c>
      <c r="BT274" s="0" t="s">
        <v>380</v>
      </c>
      <c r="BX274" s="0" t="s">
        <v>380</v>
      </c>
      <c r="BZ274" s="0" t="s">
        <v>388</v>
      </c>
      <c r="CA274" s="0" t="s">
        <v>5034</v>
      </c>
      <c r="CB274" s="0" t="s">
        <v>196</v>
      </c>
      <c r="CM274" s="0" t="s">
        <v>189</v>
      </c>
      <c r="CN274" s="0" t="s">
        <v>4627</v>
      </c>
      <c r="CO274" s="0" t="s">
        <v>5035</v>
      </c>
      <c r="CP274" s="0" t="s">
        <v>1</v>
      </c>
      <c r="CQ274" s="0" t="s">
        <v>5036</v>
      </c>
      <c r="CR274" s="0" t="s">
        <v>5037</v>
      </c>
      <c r="CS274" s="0" t="s">
        <v>5038</v>
      </c>
      <c r="CT274" s="0" t="s">
        <v>5039</v>
      </c>
      <c r="CV274" s="0" t="s">
        <v>976</v>
      </c>
      <c r="CW274" s="0" t="s">
        <v>204</v>
      </c>
      <c r="CX274" s="0" t="s">
        <v>205</v>
      </c>
      <c r="CY274" s="0" t="s">
        <v>5040</v>
      </c>
      <c r="DA274" s="0" t="s">
        <v>2301</v>
      </c>
      <c r="DB274" s="0" t="s">
        <v>209</v>
      </c>
      <c r="DC274" s="0" t="s">
        <v>209</v>
      </c>
      <c r="DD274" s="0" t="s">
        <v>209</v>
      </c>
      <c r="DE274" s="0" t="s">
        <v>5041</v>
      </c>
      <c r="DF274" s="0" t="s">
        <v>525</v>
      </c>
      <c r="DG274" s="0" t="n">
        <v>40.741141</v>
      </c>
      <c r="DH274" s="0" t="n">
        <v>-73.987489</v>
      </c>
      <c r="DI274" s="0" t="s">
        <v>164</v>
      </c>
      <c r="DJ274" s="0" t="n">
        <v>0</v>
      </c>
      <c r="DL274" s="0" t="s">
        <v>209</v>
      </c>
      <c r="DM274" s="0" t="s">
        <v>4169</v>
      </c>
      <c r="DN274" s="0" t="s">
        <v>4176</v>
      </c>
      <c r="DO274" s="0" t="s">
        <v>4177</v>
      </c>
      <c r="DS274" s="0" t="s">
        <v>809</v>
      </c>
      <c r="DU274" s="0" t="s">
        <v>189</v>
      </c>
      <c r="DX274" s="0" t="s">
        <v>209</v>
      </c>
      <c r="EA274" s="0" t="s">
        <v>209</v>
      </c>
      <c r="EB274" s="0" t="s">
        <v>189</v>
      </c>
      <c r="EC274" s="0" t="s">
        <v>209</v>
      </c>
      <c r="EF274" s="0" t="n">
        <v>2813</v>
      </c>
      <c r="EG274" s="0" t="s">
        <v>4781</v>
      </c>
      <c r="EH274" s="0" t="s">
        <v>189</v>
      </c>
      <c r="EI274" s="0" t="s">
        <v>5042</v>
      </c>
      <c r="EJ274" s="0" t="s">
        <v>221</v>
      </c>
      <c r="EK274" s="0" t="n">
        <v>0</v>
      </c>
      <c r="EL274" s="0" t="n">
        <v>19</v>
      </c>
      <c r="EM274" s="0" t="n">
        <v>0</v>
      </c>
      <c r="EN274" s="0" t="n">
        <v>0</v>
      </c>
      <c r="EO274" s="0" t="n">
        <v>6</v>
      </c>
      <c r="EP274" s="0" t="n">
        <v>13</v>
      </c>
      <c r="EQ274" s="0" t="n">
        <f aca="false">IF($A274="","",IF(AH274="exact",10,IF(AH274="adjacent",5,0)))</f>
        <v>0</v>
      </c>
      <c r="ER274" s="0" t="n">
        <f aca="false">IF($A274="","",IF(R274="Y",15,0))</f>
        <v>0</v>
      </c>
      <c r="ES274" s="0" t="s">
        <v>982</v>
      </c>
      <c r="ET274" s="0" t="s">
        <v>2310</v>
      </c>
      <c r="EU274" s="0" t="s">
        <v>189</v>
      </c>
      <c r="EX274" s="0" t="s">
        <v>5043</v>
      </c>
      <c r="EZ274" s="0" t="s">
        <v>5044</v>
      </c>
      <c r="FS274" s="0" t="str">
        <f aca="false">IF($A274="","",IF(ISNUMBER(MATCH(U274,{"queued","contacted","replied","call_booked","call_done","yes_in_principle","materials_sent"},0)),"Y","N"))</f>
        <v>N</v>
      </c>
      <c r="FT274" s="0" t="str">
        <f aca="false">IF($A274="","",IF(OR(T274="Y",U274="do_not_contact",AS274&amp;""&lt;&gt;""),"Y","N"))</f>
        <v>N</v>
      </c>
      <c r="FU274" s="0" t="str">
        <f aca="false">IF($A274="","",IF(AP274&amp;""&lt;&gt;"",AP274&amp;"",$A274))</f>
        <v>AO-C-235</v>
      </c>
      <c r="FV274" s="0" t="str">
        <f aca="false">IF($A274="","",IF(COUNTIFS($FU$2:$FU$1000,FU274,$FS$2:$FS$1000,"Y")+COUNTIFS($FU$2:$FU$1000,FU274,$FT$2:$FT$1000,"Y")&gt;0,"Y","N"))</f>
        <v>N</v>
      </c>
      <c r="FW274" s="0" t="str">
        <f aca="false">IF($A274="","",IF(AND(U274="new",T274="N",FT274="N",AT274="Y",FV274="N"),"Y","N"))</f>
        <v>N</v>
      </c>
      <c r="FX274" s="0" t="str">
        <f aca="false">IF($A274="","",IF(FW274&lt;&gt;"Y","N",IF(COUNTIFS($FU$2:$FU$1000,FU274,$FW$2:$FW$1000,"Y",$J$2:$J$1000,"&gt;"&amp;J274)+COUNTIFS($FU$2:$FU$1000,FU274,$FW$2:$FW$1000,"Y",$J$2:$J$1000,J274,$GD$2:$GD$1000,"&lt;"&amp;GD274)=0,"Y","N")))</f>
        <v>N</v>
      </c>
      <c r="FY274" s="0" t="str">
        <f aca="false">IF($A274="","",IF(AND(FW274="Y",FX274="Y",Y274&amp;""&lt;&gt;""),IF(Y274&lt;=10,"Y","N"),"N"))</f>
        <v>N</v>
      </c>
      <c r="FZ274" s="0" t="str">
        <f aca="false">IF(FY274="Y",Y274,"")</f>
        <v/>
      </c>
      <c r="GA274" s="0" t="str">
        <f aca="false">IF($A274="","",IF(AND(I274="walk-in",CN274="pass",U274="new",FT274="N",FV274="N",AQ274&lt;&gt;"Y"),"Y","N"))</f>
        <v>N</v>
      </c>
      <c r="GB274" s="0" t="str">
        <f aca="false">IF(GA274&lt;&gt;"Y","",IF(COUNTIFS($GA$2:$GA$1000,"Y",$J$2:$J$1000,"&gt;"&amp;J274)+COUNTIFS($GA$2:$GA$1000,"Y",$J$2:$J$1000,J274,$GD$2:$GD$1000,"&lt;"&amp;GD274)+1&lt;=25,COUNTIFS($GA$2:$GA$1000,"Y",$J$2:$J$1000,"&gt;"&amp;J274)+COUNTIFS($GA$2:$GA$1000,"Y",$J$2:$J$1000,J274,$GD$2:$GD$1000,"&lt;"&amp;GD274)+1,""))</f>
        <v/>
      </c>
      <c r="GC274" s="0" t="str">
        <f aca="false">IF(AND(_xlfn.ISFORMULA(C274),_xlfn.ISFORMULA(J274)),"Y","N")</f>
        <v>Y</v>
      </c>
      <c r="GD274" s="0" t="n">
        <f aca="false">ROW()-1</f>
        <v>273</v>
      </c>
    </row>
    <row r="275" customFormat="false" ht="15" hidden="false" customHeight="false" outlineLevel="0" collapsed="false">
      <c r="A275" s="0" t="s">
        <v>5045</v>
      </c>
      <c r="B275" s="0" t="s">
        <v>5046</v>
      </c>
      <c r="C275" s="0" t="str">
        <f aca="false">IF($A275="","",IF(AW275="Y",BM275&amp;"",AY275&amp;""))</f>
        <v/>
      </c>
      <c r="D275" s="0" t="str">
        <f aca="false">IF($A275="","",IF(AW275="Y",BN275&amp;"",AZ275&amp;""))</f>
        <v/>
      </c>
      <c r="E275" s="0" t="str">
        <f aca="false">IF($A275="","",IF(AW275="Y",BO275&amp;"",BA275&amp;""))</f>
        <v/>
      </c>
      <c r="F275" s="0" t="str">
        <f aca="false">IF($A275="","",IF(AW275="Y",BP275&amp;"",BB275&amp;""))</f>
        <v/>
      </c>
      <c r="G275" s="0" t="str">
        <f aca="false">IF($A275="","",IF(AW275="Y",BQ275&amp;"",BC275&amp;""))</f>
        <v/>
      </c>
      <c r="H275" s="0" t="str">
        <f aca="false">IF($A275="","",IF(AW275="Y",BR275&amp;"",BD275&amp;""))</f>
        <v>none</v>
      </c>
      <c r="I275" s="0" t="str">
        <f aca="false">IF($A275="","",IF(R275="Y","warm-intro",IF(H275="verified","email",IF(C275&lt;&gt;"","linkedin",CB275&amp;""))))</f>
        <v>linkedin</v>
      </c>
      <c r="J275" s="0" t="n">
        <f aca="false">IF($A275="","",IF(CN275="pass",ROUND(N(EM275)+N(EN275)+N(EO275)+N(EP275)+N(EQ275)+N(ER275),1),0))</f>
        <v>0</v>
      </c>
      <c r="K275" s="0" t="str">
        <f aca="false">IF($A275="","",IF(CN275&lt;&gt;"pass",CA275&amp;"",CA275&amp;"; "&amp;IF(AW275="Y",BZ275&amp;"",BL275&amp;"")&amp;IF(R275="Y","; known to the founder (+15)","")&amp;"."))</f>
        <v>Gated out: Tuesday estimate over 250 (1000 to 1596).</v>
      </c>
      <c r="L275" s="0" t="s">
        <v>976</v>
      </c>
      <c r="R275" s="5" t="s">
        <v>189</v>
      </c>
      <c r="S275" s="0" t="s">
        <v>209</v>
      </c>
      <c r="T275" s="0" t="s">
        <v>189</v>
      </c>
      <c r="U275" s="5" t="s">
        <v>3896</v>
      </c>
      <c r="V275" s="0" t="s">
        <v>4895</v>
      </c>
      <c r="W275" s="0" t="s">
        <v>263</v>
      </c>
      <c r="X275" s="0" t="s">
        <v>3897</v>
      </c>
      <c r="Y275" s="0" t="str">
        <f aca="false">IF(FX275&lt;&gt;"Y","",COUNTIFS($FX$2:$FX$1000,"Y",$J$2:$J$1000,"&gt;"&amp;J275)+COUNTIFS($FX$2:$FX$1000,"Y",$J$2:$J$1000,J275,$GD$2:$GD$1000,"&lt;"&amp;GD275)+1)</f>
        <v/>
      </c>
      <c r="AA275" s="0" t="s">
        <v>189</v>
      </c>
      <c r="AB275" s="0" t="str">
        <f aca="false">IF($A275="","",IF(AW275="Y",BY275&amp;"",BK275&amp;""))</f>
        <v/>
      </c>
      <c r="AC275" s="0" t="str">
        <f aca="false">IF($A275="","",IF(AW275="Y",BS275&amp;"",BE275&amp;""))</f>
        <v/>
      </c>
      <c r="AD275" s="0" t="str">
        <f aca="false">IF($A275="","",IF(AW275="Y",BT275&amp;"",BF275&amp;""))</f>
        <v>none</v>
      </c>
      <c r="AE275" s="0" t="str">
        <f aca="false">IF($A275="","",IF(AW275="Y",BU275&amp;"",BG275&amp;""))</f>
        <v/>
      </c>
      <c r="AF275" s="0" t="str">
        <f aca="false">IF($A275="","",IF(AW275="Y",BV275&amp;"",BH275&amp;""))</f>
        <v/>
      </c>
      <c r="AG275" s="0" t="str">
        <f aca="false">IF($A275="","",IF(AW275="Y",BW275&amp;"",BI275&amp;""))</f>
        <v/>
      </c>
      <c r="AH275" s="0" t="str">
        <f aca="false">IF($A275="","",IF(AW275="Y",BX275&amp;"",BJ275&amp;""))</f>
        <v>none</v>
      </c>
      <c r="AI275" s="0" t="s">
        <v>4021</v>
      </c>
      <c r="AJ275" s="0" t="s">
        <v>5047</v>
      </c>
      <c r="AK275" s="0" t="s">
        <v>4183</v>
      </c>
      <c r="AL275" s="0" t="n">
        <v>1000</v>
      </c>
      <c r="AM275" s="0" t="n">
        <v>1596</v>
      </c>
      <c r="AN275" s="0" t="s">
        <v>187</v>
      </c>
      <c r="AO275" s="0" t="s">
        <v>209</v>
      </c>
      <c r="AP275" s="0" t="s">
        <v>5045</v>
      </c>
      <c r="AQ275" s="5" t="s">
        <v>164</v>
      </c>
      <c r="AR275" s="0" t="s">
        <v>779</v>
      </c>
      <c r="AT275" s="0" t="str">
        <f aca="false">IF($A275="","",IF(AND(CN275="pass",AQ275&lt;&gt;"Y",C275&lt;&gt;"",OR(AX275&lt;&gt;"Y",AV275="Y")),"Y","N"))</f>
        <v>N</v>
      </c>
      <c r="AU275" s="0" t="str">
        <f aca="false">IF($A275="","",_xlfn.TEXTJOIN("; ",TRUE(),IF(CN275&lt;&gt;"pass","gated out",""),IF(AQ275="Y","on hold: "&amp;AR275,""),IF(C275="","no contact named on an opened page",""),IF(AND(AX275="Y",AV275&lt;&gt;"Y"),"Tuesday estimate band "&amp;L275&amp;": founder's call","")))</f>
        <v>gated out; on hold: lease signed, move not confirmed: check the lobby directory before outreach (B); no contact named on an opened page; Tuesday estimate band over-500: founder's call</v>
      </c>
      <c r="AX275" s="0" t="s">
        <v>164</v>
      </c>
      <c r="BC275" s="0" t="str">
        <f aca="false">IF($A275="","",IFERROR(INDEX(Enrichment!$A$2:$GZ$2000,MATCH($A275,INDEX(Enrichment!$A$2:$GZ$2000,0,MATCH("row_id",Enrichment!$A$1:$GZ$1,0)),0),MATCH("work_email",Enrichment!$A$1:$GZ$1,0))&amp;"",""))</f>
        <v/>
      </c>
      <c r="BD275" s="0" t="str">
        <f aca="false">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none</v>
      </c>
      <c r="BF275" s="0" t="s">
        <v>380</v>
      </c>
      <c r="BJ275" s="0" t="s">
        <v>380</v>
      </c>
      <c r="BL275" s="0" t="s">
        <v>896</v>
      </c>
      <c r="BQ275" s="0" t="str">
        <f aca="false">IF($A275="","",IFERROR(INDEX(Enrichment!$A$2:$GZ$2000,MATCH($A275,INDEX(Enrichment!$A$2:$GZ$2000,0,MATCH("row_id",Enrichment!$A$1:$GZ$1,0)),0),MATCH("backup_work_email",Enrichment!$A$1:$GZ$1,0))&amp;"",""))</f>
        <v/>
      </c>
      <c r="BR275" s="0" t="str">
        <f aca="false">IF($A275="","",IF(BQ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none</v>
      </c>
      <c r="BT275" s="0" t="s">
        <v>380</v>
      </c>
      <c r="BX275" s="0" t="s">
        <v>380</v>
      </c>
      <c r="BZ275" s="0" t="s">
        <v>388</v>
      </c>
      <c r="CA275" s="0" t="s">
        <v>5048</v>
      </c>
      <c r="CB275" s="0" t="s">
        <v>196</v>
      </c>
      <c r="CM275" s="0" t="s">
        <v>189</v>
      </c>
      <c r="CN275" s="0" t="s">
        <v>4627</v>
      </c>
      <c r="CO275" s="0" t="s">
        <v>5049</v>
      </c>
      <c r="CP275" s="0" t="s">
        <v>1</v>
      </c>
      <c r="CQ275" s="0" t="s">
        <v>5050</v>
      </c>
      <c r="CR275" s="0" t="s">
        <v>5051</v>
      </c>
      <c r="CS275" s="0" t="s">
        <v>5052</v>
      </c>
      <c r="CT275" s="0" t="s">
        <v>5053</v>
      </c>
      <c r="CV275" s="0" t="s">
        <v>976</v>
      </c>
      <c r="CW275" s="0" t="s">
        <v>204</v>
      </c>
      <c r="CX275" s="0" t="s">
        <v>205</v>
      </c>
      <c r="CY275" s="0" t="s">
        <v>5054</v>
      </c>
      <c r="DA275" s="0" t="s">
        <v>978</v>
      </c>
      <c r="DB275" s="0" t="s">
        <v>209</v>
      </c>
      <c r="DC275" s="0" t="s">
        <v>209</v>
      </c>
      <c r="DD275" s="0" t="s">
        <v>209</v>
      </c>
      <c r="DE275" s="0" t="s">
        <v>5055</v>
      </c>
      <c r="DF275" s="0" t="s">
        <v>525</v>
      </c>
      <c r="DG275" s="0" t="n">
        <v>40.741986</v>
      </c>
      <c r="DH275" s="0" t="n">
        <v>-73.989477</v>
      </c>
      <c r="DI275" s="0" t="s">
        <v>164</v>
      </c>
      <c r="DJ275" s="0" t="n">
        <v>0</v>
      </c>
      <c r="DL275" s="0" t="s">
        <v>209</v>
      </c>
      <c r="DM275" s="0" t="s">
        <v>4895</v>
      </c>
      <c r="DN275" s="0" t="s">
        <v>4903</v>
      </c>
      <c r="DO275" s="0" t="s">
        <v>363</v>
      </c>
      <c r="DP275" s="0" t="s">
        <v>5056</v>
      </c>
      <c r="DQ275" s="0" t="s">
        <v>2441</v>
      </c>
      <c r="DS275" s="0" t="s">
        <v>809</v>
      </c>
      <c r="DT275" s="0" t="s">
        <v>209</v>
      </c>
      <c r="DU275" s="0" t="s">
        <v>189</v>
      </c>
      <c r="DX275" s="0" t="s">
        <v>209</v>
      </c>
      <c r="EA275" s="0" t="s">
        <v>209</v>
      </c>
      <c r="EB275" s="0" t="s">
        <v>189</v>
      </c>
      <c r="EC275" s="0" t="s">
        <v>209</v>
      </c>
      <c r="EF275" s="0" t="n">
        <v>1263</v>
      </c>
      <c r="EG275" s="0" t="s">
        <v>4781</v>
      </c>
      <c r="EH275" s="0" t="s">
        <v>164</v>
      </c>
      <c r="EI275" s="0" t="s">
        <v>5057</v>
      </c>
      <c r="EJ275" s="0" t="s">
        <v>221</v>
      </c>
      <c r="EK275" s="0" t="n">
        <v>0</v>
      </c>
      <c r="EL275" s="0" t="n">
        <v>13</v>
      </c>
      <c r="EM275" s="0" t="n">
        <v>0</v>
      </c>
      <c r="EN275" s="0" t="n">
        <v>2</v>
      </c>
      <c r="EO275" s="0" t="n">
        <v>6</v>
      </c>
      <c r="EP275" s="0" t="n">
        <v>5</v>
      </c>
      <c r="EQ275" s="0" t="n">
        <f aca="false">IF($A275="","",IF(AH275="exact",10,IF(AH275="adjacent",5,0)))</f>
        <v>0</v>
      </c>
      <c r="ER275" s="0" t="n">
        <f aca="false">IF($A275="","",IF(R275="Y",15,0))</f>
        <v>0</v>
      </c>
      <c r="ES275" s="0" t="s">
        <v>982</v>
      </c>
      <c r="ET275" s="0" t="s">
        <v>983</v>
      </c>
      <c r="EU275" s="0" t="s">
        <v>189</v>
      </c>
      <c r="EV275" s="0" t="s">
        <v>5058</v>
      </c>
      <c r="EW275" s="0" t="s">
        <v>224</v>
      </c>
      <c r="EX275" s="0" t="s">
        <v>5059</v>
      </c>
      <c r="EZ275" s="0" t="s">
        <v>5060</v>
      </c>
      <c r="FS275" s="0" t="str">
        <f aca="false">IF($A275="","",IF(ISNUMBER(MATCH(U275,{"queued","contacted","replied","call_booked","call_done","yes_in_principle","materials_sent"},0)),"Y","N"))</f>
        <v>N</v>
      </c>
      <c r="FT275" s="0" t="str">
        <f aca="false">IF($A275="","",IF(OR(T275="Y",U275="do_not_contact",AS275&amp;""&lt;&gt;""),"Y","N"))</f>
        <v>N</v>
      </c>
      <c r="FU275" s="0" t="str">
        <f aca="false">IF($A275="","",IF(AP275&amp;""&lt;&gt;"",AP275&amp;"",$A275))</f>
        <v>AO-C-230</v>
      </c>
      <c r="FV275" s="0" t="str">
        <f aca="false">IF($A275="","",IF(COUNTIFS($FU$2:$FU$1000,FU275,$FS$2:$FS$1000,"Y")+COUNTIFS($FU$2:$FU$1000,FU275,$FT$2:$FT$1000,"Y")&gt;0,"Y","N"))</f>
        <v>N</v>
      </c>
      <c r="FW275" s="0" t="str">
        <f aca="false">IF($A275="","",IF(AND(U275="new",T275="N",FT275="N",AT275="Y",FV275="N"),"Y","N"))</f>
        <v>N</v>
      </c>
      <c r="FX275" s="0" t="str">
        <f aca="false">IF($A275="","",IF(FW275&lt;&gt;"Y","N",IF(COUNTIFS($FU$2:$FU$1000,FU275,$FW$2:$FW$1000,"Y",$J$2:$J$1000,"&gt;"&amp;J275)+COUNTIFS($FU$2:$FU$1000,FU275,$FW$2:$FW$1000,"Y",$J$2:$J$1000,J275,$GD$2:$GD$1000,"&lt;"&amp;GD275)=0,"Y","N")))</f>
        <v>N</v>
      </c>
      <c r="FY275" s="0" t="str">
        <f aca="false">IF($A275="","",IF(AND(FW275="Y",FX275="Y",Y275&amp;""&lt;&gt;""),IF(Y275&lt;=10,"Y","N"),"N"))</f>
        <v>N</v>
      </c>
      <c r="FZ275" s="0" t="str">
        <f aca="false">IF(FY275="Y",Y275,"")</f>
        <v/>
      </c>
      <c r="GA275" s="0" t="str">
        <f aca="false">IF($A275="","",IF(AND(I275="walk-in",CN275="pass",U275="new",FT275="N",FV275="N",AQ275&lt;&gt;"Y"),"Y","N"))</f>
        <v>N</v>
      </c>
      <c r="GB275" s="0" t="str">
        <f aca="false">IF(GA275&lt;&gt;"Y","",IF(COUNTIFS($GA$2:$GA$1000,"Y",$J$2:$J$1000,"&gt;"&amp;J275)+COUNTIFS($GA$2:$GA$1000,"Y",$J$2:$J$1000,J275,$GD$2:$GD$1000,"&lt;"&amp;GD275)+1&lt;=25,COUNTIFS($GA$2:$GA$1000,"Y",$J$2:$J$1000,"&gt;"&amp;J275)+COUNTIFS($GA$2:$GA$1000,"Y",$J$2:$J$1000,J275,$GD$2:$GD$1000,"&lt;"&amp;GD275)+1,""))</f>
        <v/>
      </c>
      <c r="GC275" s="0" t="str">
        <f aca="false">IF(AND(_xlfn.ISFORMULA(C275),_xlfn.ISFORMULA(J275)),"Y","N")</f>
        <v>Y</v>
      </c>
      <c r="GD275" s="0" t="n">
        <f aca="false">ROW()-1</f>
        <v>274</v>
      </c>
    </row>
    <row r="276" customFormat="false" ht="15" hidden="false" customHeight="false" outlineLevel="0" collapsed="false">
      <c r="A276" s="0" t="s">
        <v>5061</v>
      </c>
      <c r="B276" s="0" t="s">
        <v>5062</v>
      </c>
      <c r="C276" s="0" t="str">
        <f aca="false">IF($A276="","",IF(AW276="Y",BM276&amp;"",AY276&amp;""))</f>
        <v/>
      </c>
      <c r="D276" s="0" t="str">
        <f aca="false">IF($A276="","",IF(AW276="Y",BN276&amp;"",AZ276&amp;""))</f>
        <v/>
      </c>
      <c r="E276" s="0" t="str">
        <f aca="false">IF($A276="","",IF(AW276="Y",BO276&amp;"",BA276&amp;""))</f>
        <v/>
      </c>
      <c r="F276" s="0" t="str">
        <f aca="false">IF($A276="","",IF(AW276="Y",BP276&amp;"",BB276&amp;""))</f>
        <v/>
      </c>
      <c r="G276" s="0" t="str">
        <f aca="false">IF($A276="","",IF(AW276="Y",BQ276&amp;"",BC276&amp;""))</f>
        <v/>
      </c>
      <c r="H276" s="0" t="str">
        <f aca="false">IF($A276="","",IF(AW276="Y",BR276&amp;"",BD276&amp;""))</f>
        <v>none</v>
      </c>
      <c r="I276" s="0" t="str">
        <f aca="false">IF($A276="","",IF(R276="Y","warm-intro",IF(H276="verified","email",IF(C276&lt;&gt;"","linkedin",CB276&amp;""))))</f>
        <v>linkedin</v>
      </c>
      <c r="J276" s="0" t="n">
        <f aca="false">IF($A276="","",IF(CN276="pass",ROUND(N(EM276)+N(EN276)+N(EO276)+N(EP276)+N(EQ276)+N(ER276),1),0))</f>
        <v>0</v>
      </c>
      <c r="K276" s="0" t="str">
        <f aca="false">IF($A276="","",IF(CN276&lt;&gt;"pass",CA276&amp;"",CA276&amp;"; "&amp;IF(AW276="Y",BZ276&amp;"",BL276&amp;"")&amp;IF(R276="Y","; known to the founder (+15)","")&amp;"."))</f>
        <v>Gated out: Tuesday estimate over 250 (894 to 1788).</v>
      </c>
      <c r="L276" s="0" t="s">
        <v>976</v>
      </c>
      <c r="R276" s="5" t="s">
        <v>189</v>
      </c>
      <c r="S276" s="0" t="s">
        <v>209</v>
      </c>
      <c r="T276" s="0" t="s">
        <v>189</v>
      </c>
      <c r="U276" s="5" t="s">
        <v>3896</v>
      </c>
      <c r="V276" s="0" t="s">
        <v>4895</v>
      </c>
      <c r="W276" s="0" t="s">
        <v>263</v>
      </c>
      <c r="X276" s="0" t="s">
        <v>3897</v>
      </c>
      <c r="Y276" s="0" t="str">
        <f aca="false">IF(FX276&lt;&gt;"Y","",COUNTIFS($FX$2:$FX$1000,"Y",$J$2:$J$1000,"&gt;"&amp;J276)+COUNTIFS($FX$2:$FX$1000,"Y",$J$2:$J$1000,J276,$GD$2:$GD$1000,"&lt;"&amp;GD276)+1)</f>
        <v/>
      </c>
      <c r="AA276" s="0" t="s">
        <v>189</v>
      </c>
      <c r="AB276" s="0" t="str">
        <f aca="false">IF($A276="","",IF(AW276="Y",BY276&amp;"",BK276&amp;""))</f>
        <v/>
      </c>
      <c r="AC276" s="0" t="str">
        <f aca="false">IF($A276="","",IF(AW276="Y",BS276&amp;"",BE276&amp;""))</f>
        <v/>
      </c>
      <c r="AD276" s="0" t="str">
        <f aca="false">IF($A276="","",IF(AW276="Y",BT276&amp;"",BF276&amp;""))</f>
        <v>none</v>
      </c>
      <c r="AE276" s="0" t="str">
        <f aca="false">IF($A276="","",IF(AW276="Y",BU276&amp;"",BG276&amp;""))</f>
        <v/>
      </c>
      <c r="AF276" s="0" t="str">
        <f aca="false">IF($A276="","",IF(AW276="Y",BV276&amp;"",BH276&amp;""))</f>
        <v/>
      </c>
      <c r="AG276" s="0" t="str">
        <f aca="false">IF($A276="","",IF(AW276="Y",BW276&amp;"",BI276&amp;""))</f>
        <v/>
      </c>
      <c r="AH276" s="0" t="str">
        <f aca="false">IF($A276="","",IF(AW276="Y",BX276&amp;"",BJ276&amp;""))</f>
        <v>none</v>
      </c>
      <c r="AI276" s="0" t="s">
        <v>4021</v>
      </c>
      <c r="AJ276" s="0" t="s">
        <v>209</v>
      </c>
      <c r="AK276" s="0" t="s">
        <v>3933</v>
      </c>
      <c r="AL276" s="0" t="n">
        <v>894</v>
      </c>
      <c r="AM276" s="0" t="n">
        <v>1788</v>
      </c>
      <c r="AN276" s="0" t="s">
        <v>187</v>
      </c>
      <c r="AO276" s="0" t="s">
        <v>209</v>
      </c>
      <c r="AP276" s="0" t="s">
        <v>5061</v>
      </c>
      <c r="AQ276" s="5" t="s">
        <v>189</v>
      </c>
      <c r="AT276" s="0" t="str">
        <f aca="false">IF($A276="","",IF(AND(CN276="pass",AQ276&lt;&gt;"Y",C276&lt;&gt;"",OR(AX276&lt;&gt;"Y",AV276="Y")),"Y","N"))</f>
        <v>N</v>
      </c>
      <c r="AU276" s="0" t="str">
        <f aca="false">IF($A276="","",_xlfn.TEXTJOIN("; ",TRUE(),IF(CN276&lt;&gt;"pass","gated out",""),IF(AQ276="Y","on hold: "&amp;AR276,""),IF(C276="","no contact named on an opened page",""),IF(AND(AX276="Y",AV276&lt;&gt;"Y"),"Tuesday estimate band "&amp;L276&amp;": founder's call","")))</f>
        <v>gated out; no contact named on an opened page; Tuesday estimate band over-500: founder's call</v>
      </c>
      <c r="AX276" s="0" t="s">
        <v>164</v>
      </c>
      <c r="BC276" s="0" t="str">
        <f aca="false">IF($A276="","",IFERROR(INDEX(Enrichment!$A$2:$GZ$2000,MATCH($A276,INDEX(Enrichment!$A$2:$GZ$2000,0,MATCH("row_id",Enrichment!$A$1:$GZ$1,0)),0),MATCH("work_email",Enrichment!$A$1:$GZ$1,0))&amp;"",""))</f>
        <v/>
      </c>
      <c r="BD276" s="0" t="str">
        <f aca="false">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none</v>
      </c>
      <c r="BF276" s="0" t="s">
        <v>380</v>
      </c>
      <c r="BJ276" s="0" t="s">
        <v>380</v>
      </c>
      <c r="BL276" s="0" t="s">
        <v>896</v>
      </c>
      <c r="BQ276" s="0" t="str">
        <f aca="false">IF($A276="","",IFERROR(INDEX(Enrichment!$A$2:$GZ$2000,MATCH($A276,INDEX(Enrichment!$A$2:$GZ$2000,0,MATCH("row_id",Enrichment!$A$1:$GZ$1,0)),0),MATCH("backup_work_email",Enrichment!$A$1:$GZ$1,0))&amp;"",""))</f>
        <v/>
      </c>
      <c r="BR276" s="0" t="str">
        <f aca="false">IF($A276="","",IF(BQ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none</v>
      </c>
      <c r="BT276" s="0" t="s">
        <v>380</v>
      </c>
      <c r="BX276" s="0" t="s">
        <v>380</v>
      </c>
      <c r="BZ276" s="0" t="s">
        <v>388</v>
      </c>
      <c r="CA276" s="0" t="s">
        <v>5063</v>
      </c>
      <c r="CB276" s="0" t="s">
        <v>196</v>
      </c>
      <c r="CM276" s="0" t="s">
        <v>189</v>
      </c>
      <c r="CN276" s="0" t="s">
        <v>4627</v>
      </c>
      <c r="CO276" s="0" t="s">
        <v>5064</v>
      </c>
      <c r="CP276" s="0" t="s">
        <v>1</v>
      </c>
      <c r="CQ276" s="0" t="s">
        <v>5065</v>
      </c>
      <c r="CR276" s="0" t="s">
        <v>5066</v>
      </c>
      <c r="CS276" s="0" t="s">
        <v>5067</v>
      </c>
      <c r="CT276" s="0" t="s">
        <v>5068</v>
      </c>
      <c r="CV276" s="0" t="s">
        <v>976</v>
      </c>
      <c r="CW276" s="0" t="s">
        <v>204</v>
      </c>
      <c r="CX276" s="0" t="s">
        <v>205</v>
      </c>
      <c r="CY276" s="0" t="s">
        <v>5069</v>
      </c>
      <c r="DA276" s="0" t="s">
        <v>978</v>
      </c>
      <c r="DB276" s="0" t="s">
        <v>259</v>
      </c>
      <c r="DC276" s="0" t="s">
        <v>164</v>
      </c>
      <c r="DD276" s="0" t="s">
        <v>209</v>
      </c>
      <c r="DE276" s="0" t="s">
        <v>209</v>
      </c>
      <c r="DF276" s="0" t="s">
        <v>525</v>
      </c>
      <c r="DG276" s="0" t="n">
        <v>40.741986</v>
      </c>
      <c r="DH276" s="0" t="n">
        <v>-73.989477</v>
      </c>
      <c r="DI276" s="0" t="s">
        <v>164</v>
      </c>
      <c r="DJ276" s="0" t="n">
        <v>0</v>
      </c>
      <c r="DL276" s="0" t="s">
        <v>209</v>
      </c>
      <c r="DM276" s="0" t="s">
        <v>4895</v>
      </c>
      <c r="DN276" s="0" t="s">
        <v>4903</v>
      </c>
      <c r="DO276" s="0" t="s">
        <v>363</v>
      </c>
      <c r="DS276" s="0" t="s">
        <v>809</v>
      </c>
      <c r="DU276" s="0" t="s">
        <v>189</v>
      </c>
      <c r="DX276" s="0" t="s">
        <v>209</v>
      </c>
      <c r="EA276" s="0" t="s">
        <v>209</v>
      </c>
      <c r="EB276" s="0" t="s">
        <v>189</v>
      </c>
      <c r="EC276" s="0" t="s">
        <v>209</v>
      </c>
      <c r="EF276" s="0" t="n">
        <v>1264</v>
      </c>
      <c r="EG276" s="0" t="s">
        <v>4781</v>
      </c>
      <c r="EH276" s="0" t="s">
        <v>189</v>
      </c>
      <c r="EI276" s="0" t="s">
        <v>5070</v>
      </c>
      <c r="EJ276" s="0" t="s">
        <v>221</v>
      </c>
      <c r="EK276" s="0" t="n">
        <v>0</v>
      </c>
      <c r="EL276" s="0" t="n">
        <v>21</v>
      </c>
      <c r="EM276" s="0" t="n">
        <v>0</v>
      </c>
      <c r="EN276" s="0" t="n">
        <v>2</v>
      </c>
      <c r="EO276" s="0" t="n">
        <v>6</v>
      </c>
      <c r="EP276" s="0" t="n">
        <v>13</v>
      </c>
      <c r="EQ276" s="0" t="n">
        <f aca="false">IF($A276="","",IF(AH276="exact",10,IF(AH276="adjacent",5,0)))</f>
        <v>0</v>
      </c>
      <c r="ER276" s="0" t="n">
        <f aca="false">IF($A276="","",IF(R276="Y",15,0))</f>
        <v>0</v>
      </c>
      <c r="ES276" s="0" t="s">
        <v>982</v>
      </c>
      <c r="ET276" s="0" t="s">
        <v>983</v>
      </c>
      <c r="EU276" s="0" t="s">
        <v>189</v>
      </c>
      <c r="EX276" s="0" t="s">
        <v>5071</v>
      </c>
      <c r="FS276" s="0" t="str">
        <f aca="false">IF($A276="","",IF(ISNUMBER(MATCH(U276,{"queued","contacted","replied","call_booked","call_done","yes_in_principle","materials_sent"},0)),"Y","N"))</f>
        <v>N</v>
      </c>
      <c r="FT276" s="0" t="str">
        <f aca="false">IF($A276="","",IF(OR(T276="Y",U276="do_not_contact",AS276&amp;""&lt;&gt;""),"Y","N"))</f>
        <v>N</v>
      </c>
      <c r="FU276" s="0" t="str">
        <f aca="false">IF($A276="","",IF(AP276&amp;""&lt;&gt;"",AP276&amp;"",$A276))</f>
        <v>AO-C-231</v>
      </c>
      <c r="FV276" s="0" t="str">
        <f aca="false">IF($A276="","",IF(COUNTIFS($FU$2:$FU$1000,FU276,$FS$2:$FS$1000,"Y")+COUNTIFS($FU$2:$FU$1000,FU276,$FT$2:$FT$1000,"Y")&gt;0,"Y","N"))</f>
        <v>N</v>
      </c>
      <c r="FW276" s="0" t="str">
        <f aca="false">IF($A276="","",IF(AND(U276="new",T276="N",FT276="N",AT276="Y",FV276="N"),"Y","N"))</f>
        <v>N</v>
      </c>
      <c r="FX276" s="0" t="str">
        <f aca="false">IF($A276="","",IF(FW276&lt;&gt;"Y","N",IF(COUNTIFS($FU$2:$FU$1000,FU276,$FW$2:$FW$1000,"Y",$J$2:$J$1000,"&gt;"&amp;J276)+COUNTIFS($FU$2:$FU$1000,FU276,$FW$2:$FW$1000,"Y",$J$2:$J$1000,J276,$GD$2:$GD$1000,"&lt;"&amp;GD276)=0,"Y","N")))</f>
        <v>N</v>
      </c>
      <c r="FY276" s="0" t="str">
        <f aca="false">IF($A276="","",IF(AND(FW276="Y",FX276="Y",Y276&amp;""&lt;&gt;""),IF(Y276&lt;=10,"Y","N"),"N"))</f>
        <v>N</v>
      </c>
      <c r="FZ276" s="0" t="str">
        <f aca="false">IF(FY276="Y",Y276,"")</f>
        <v/>
      </c>
      <c r="GA276" s="0" t="str">
        <f aca="false">IF($A276="","",IF(AND(I276="walk-in",CN276="pass",U276="new",FT276="N",FV276="N",AQ276&lt;&gt;"Y"),"Y","N"))</f>
        <v>N</v>
      </c>
      <c r="GB276" s="0" t="str">
        <f aca="false">IF(GA276&lt;&gt;"Y","",IF(COUNTIFS($GA$2:$GA$1000,"Y",$J$2:$J$1000,"&gt;"&amp;J276)+COUNTIFS($GA$2:$GA$1000,"Y",$J$2:$J$1000,J276,$GD$2:$GD$1000,"&lt;"&amp;GD276)+1&lt;=25,COUNTIFS($GA$2:$GA$1000,"Y",$J$2:$J$1000,"&gt;"&amp;J276)+COUNTIFS($GA$2:$GA$1000,"Y",$J$2:$J$1000,J276,$GD$2:$GD$1000,"&lt;"&amp;GD276)+1,""))</f>
        <v/>
      </c>
      <c r="GC276" s="0" t="str">
        <f aca="false">IF(AND(_xlfn.ISFORMULA(C276),_xlfn.ISFORMULA(J276)),"Y","N")</f>
        <v>Y</v>
      </c>
      <c r="GD276" s="0" t="n">
        <f aca="false">ROW()-1</f>
        <v>275</v>
      </c>
    </row>
    <row r="277" customFormat="false" ht="15" hidden="false" customHeight="false" outlineLevel="0" collapsed="false">
      <c r="A277" s="0" t="s">
        <v>5072</v>
      </c>
      <c r="B277" s="0" t="s">
        <v>5073</v>
      </c>
      <c r="C277" s="0" t="str">
        <f aca="false">IF($A277="","",IF(AW277="Y",BM277&amp;"",AY277&amp;""))</f>
        <v/>
      </c>
      <c r="D277" s="0" t="str">
        <f aca="false">IF($A277="","",IF(AW277="Y",BN277&amp;"",AZ277&amp;""))</f>
        <v/>
      </c>
      <c r="E277" s="0" t="str">
        <f aca="false">IF($A277="","",IF(AW277="Y",BO277&amp;"",BA277&amp;""))</f>
        <v/>
      </c>
      <c r="F277" s="0" t="str">
        <f aca="false">IF($A277="","",IF(AW277="Y",BP277&amp;"",BB277&amp;""))</f>
        <v/>
      </c>
      <c r="G277" s="0" t="str">
        <f aca="false">IF($A277="","",IF(AW277="Y",BQ277&amp;"",BC277&amp;""))</f>
        <v/>
      </c>
      <c r="H277" s="0" t="str">
        <f aca="false">IF($A277="","",IF(AW277="Y",BR277&amp;"",BD277&amp;""))</f>
        <v>none</v>
      </c>
      <c r="I277" s="0" t="str">
        <f aca="false">IF($A277="","",IF(R277="Y","warm-intro",IF(H277="verified","email",IF(C277&lt;&gt;"","linkedin",CB277&amp;""))))</f>
        <v>linkedin</v>
      </c>
      <c r="J277" s="0" t="n">
        <f aca="false">IF($A277="","",IF(CN277="pass",ROUND(N(EM277)+N(EN277)+N(EO277)+N(EP277)+N(EQ277)+N(ER277),1),0))</f>
        <v>0</v>
      </c>
      <c r="K277" s="0" t="str">
        <f aca="false">IF($A277="","",IF(CN277&lt;&gt;"pass",CA277&amp;"",CA277&amp;"; "&amp;IF(AW277="Y",BZ277&amp;"",BL277&amp;"")&amp;IF(R277="Y","; known to the founder (+15)","")&amp;"."))</f>
        <v>Gated out: Tuesday estimate under 30 (14 to 28).</v>
      </c>
      <c r="L277" s="0" t="s">
        <v>1794</v>
      </c>
      <c r="O277" s="0" t="s">
        <v>5074</v>
      </c>
      <c r="P277" s="0" t="s">
        <v>1804</v>
      </c>
      <c r="Q277" s="0" t="s">
        <v>603</v>
      </c>
      <c r="R277" s="5" t="s">
        <v>189</v>
      </c>
      <c r="S277" s="0" t="s">
        <v>209</v>
      </c>
      <c r="T277" s="0" t="s">
        <v>189</v>
      </c>
      <c r="U277" s="5" t="s">
        <v>3896</v>
      </c>
      <c r="V277" s="0" t="s">
        <v>1804</v>
      </c>
      <c r="W277" s="0" t="s">
        <v>263</v>
      </c>
      <c r="X277" s="0" t="s">
        <v>3897</v>
      </c>
      <c r="Y277" s="0" t="str">
        <f aca="false">IF(FX277&lt;&gt;"Y","",COUNTIFS($FX$2:$FX$1000,"Y",$J$2:$J$1000,"&gt;"&amp;J277)+COUNTIFS($FX$2:$FX$1000,"Y",$J$2:$J$1000,J277,$GD$2:$GD$1000,"&lt;"&amp;GD277)+1)</f>
        <v/>
      </c>
      <c r="AA277" s="0" t="s">
        <v>189</v>
      </c>
      <c r="AB277" s="0" t="str">
        <f aca="false">IF($A277="","",IF(AW277="Y",BY277&amp;"",BK277&amp;""))</f>
        <v/>
      </c>
      <c r="AC277" s="0" t="str">
        <f aca="false">IF($A277="","",IF(AW277="Y",BS277&amp;"",BE277&amp;""))</f>
        <v/>
      </c>
      <c r="AD277" s="0" t="str">
        <f aca="false">IF($A277="","",IF(AW277="Y",BT277&amp;"",BF277&amp;""))</f>
        <v>none</v>
      </c>
      <c r="AE277" s="0" t="str">
        <f aca="false">IF($A277="","",IF(AW277="Y",BU277&amp;"",BG277&amp;""))</f>
        <v/>
      </c>
      <c r="AF277" s="0" t="str">
        <f aca="false">IF($A277="","",IF(AW277="Y",BV277&amp;"",BH277&amp;""))</f>
        <v/>
      </c>
      <c r="AG277" s="0" t="str">
        <f aca="false">IF($A277="","",IF(AW277="Y",BW277&amp;"",BI277&amp;""))</f>
        <v/>
      </c>
      <c r="AH277" s="0" t="str">
        <f aca="false">IF($A277="","",IF(AW277="Y",BX277&amp;"",BJ277&amp;""))</f>
        <v>none</v>
      </c>
      <c r="AI277" s="0" t="s">
        <v>338</v>
      </c>
      <c r="AJ277" s="0" t="s">
        <v>508</v>
      </c>
      <c r="AK277" s="0" t="s">
        <v>4183</v>
      </c>
      <c r="AL277" s="0" t="n">
        <v>14</v>
      </c>
      <c r="AM277" s="0" t="n">
        <v>28</v>
      </c>
      <c r="AN277" s="0" t="s">
        <v>187</v>
      </c>
      <c r="AO277" s="0" t="s">
        <v>209</v>
      </c>
      <c r="AP277" s="0" t="s">
        <v>5072</v>
      </c>
      <c r="AQ277" s="5" t="s">
        <v>164</v>
      </c>
      <c r="AR277" s="0" t="s">
        <v>779</v>
      </c>
      <c r="AT277" s="0" t="str">
        <f aca="false">IF($A277="","",IF(AND(CN277="pass",AQ277&lt;&gt;"Y",C277&lt;&gt;"",OR(AX277&lt;&gt;"Y",AV277="Y")),"Y","N"))</f>
        <v>N</v>
      </c>
      <c r="AU277" s="0" t="str">
        <f aca="false">IF($A277="","",_xlfn.TEXTJOIN("; ",TRUE(),IF(CN277&lt;&gt;"pass","gated out",""),IF(AQ277="Y","on hold: "&amp;AR277,""),IF(C277="","no contact named on an opened page",""),IF(AND(AX277="Y",AV277&lt;&gt;"Y"),"Tuesday estimate band "&amp;L277&amp;": founder's call","")))</f>
        <v>gated out; on hold: lease signed, move not confirmed: check the lobby directory before outreach (B); no contact named on an opened page; Tuesday estimate band under-40: founder's call</v>
      </c>
      <c r="AX277" s="0" t="s">
        <v>164</v>
      </c>
      <c r="BC277" s="0" t="str">
        <f aca="false">IF($A277="","",IFERROR(INDEX(Enrichment!$A$2:$GZ$2000,MATCH($A277,INDEX(Enrichment!$A$2:$GZ$2000,0,MATCH("row_id",Enrichment!$A$1:$GZ$1,0)),0),MATCH("work_email",Enrichment!$A$1:$GZ$1,0))&amp;"",""))</f>
        <v/>
      </c>
      <c r="BD277" s="0" t="str">
        <f aca="false">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none</v>
      </c>
      <c r="BF277" s="0" t="s">
        <v>380</v>
      </c>
      <c r="BJ277" s="0" t="s">
        <v>380</v>
      </c>
      <c r="BL277" s="0" t="s">
        <v>896</v>
      </c>
      <c r="BQ277" s="0" t="str">
        <f aca="false">IF($A277="","",IFERROR(INDEX(Enrichment!$A$2:$GZ$2000,MATCH($A277,INDEX(Enrichment!$A$2:$GZ$2000,0,MATCH("row_id",Enrichment!$A$1:$GZ$1,0)),0),MATCH("backup_work_email",Enrichment!$A$1:$GZ$1,0))&amp;"",""))</f>
        <v/>
      </c>
      <c r="BR277" s="0" t="str">
        <f aca="false">IF($A277="","",IF(BQ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none</v>
      </c>
      <c r="BT277" s="0" t="s">
        <v>380</v>
      </c>
      <c r="BX277" s="0" t="s">
        <v>380</v>
      </c>
      <c r="BZ277" s="0" t="s">
        <v>388</v>
      </c>
      <c r="CA277" s="0" t="s">
        <v>5075</v>
      </c>
      <c r="CB277" s="0" t="s">
        <v>196</v>
      </c>
      <c r="CM277" s="0" t="s">
        <v>189</v>
      </c>
      <c r="CN277" s="0" t="s">
        <v>4627</v>
      </c>
      <c r="CO277" s="0" t="s">
        <v>5076</v>
      </c>
      <c r="CP277" s="0" t="s">
        <v>1</v>
      </c>
      <c r="CQ277" s="0" t="s">
        <v>5077</v>
      </c>
      <c r="CR277" s="0" t="s">
        <v>5078</v>
      </c>
      <c r="CS277" s="0" t="s">
        <v>5079</v>
      </c>
      <c r="CT277" s="0" t="s">
        <v>1204</v>
      </c>
      <c r="CV277" s="0" t="s">
        <v>298</v>
      </c>
      <c r="CW277" s="0" t="s">
        <v>204</v>
      </c>
      <c r="CX277" s="0" t="s">
        <v>205</v>
      </c>
      <c r="CY277" s="0" t="s">
        <v>5080</v>
      </c>
      <c r="DA277" s="0" t="s">
        <v>207</v>
      </c>
      <c r="DB277" s="0" t="s">
        <v>259</v>
      </c>
      <c r="DC277" s="0" t="s">
        <v>164</v>
      </c>
      <c r="DD277" s="0" t="s">
        <v>209</v>
      </c>
      <c r="DE277" s="0" t="s">
        <v>5081</v>
      </c>
      <c r="DF277" s="0" t="s">
        <v>311</v>
      </c>
      <c r="DG277" s="0" t="n">
        <v>40.742833</v>
      </c>
      <c r="DH277" s="0" t="n">
        <v>-73.984174</v>
      </c>
      <c r="DI277" s="0" t="s">
        <v>164</v>
      </c>
      <c r="DJ277" s="0" t="n">
        <v>0</v>
      </c>
      <c r="DK277" s="0" t="s">
        <v>359</v>
      </c>
      <c r="DL277" s="0" t="s">
        <v>360</v>
      </c>
      <c r="DM277" s="0" t="s">
        <v>1804</v>
      </c>
      <c r="DN277" s="0" t="s">
        <v>603</v>
      </c>
      <c r="DO277" s="0" t="s">
        <v>363</v>
      </c>
      <c r="DP277" s="0" t="s">
        <v>361</v>
      </c>
      <c r="DQ277" s="0" t="s">
        <v>362</v>
      </c>
      <c r="DS277" s="0" t="s">
        <v>809</v>
      </c>
      <c r="DT277" s="0" t="s">
        <v>209</v>
      </c>
      <c r="DU277" s="0" t="s">
        <v>189</v>
      </c>
      <c r="DX277" s="0" t="s">
        <v>209</v>
      </c>
      <c r="EA277" s="0" t="s">
        <v>209</v>
      </c>
      <c r="EB277" s="0" t="s">
        <v>189</v>
      </c>
      <c r="EC277" s="0" t="s">
        <v>209</v>
      </c>
      <c r="EF277" s="0" t="n">
        <v>20</v>
      </c>
      <c r="EG277" s="0" t="s">
        <v>5082</v>
      </c>
      <c r="EH277" s="0" t="s">
        <v>189</v>
      </c>
      <c r="EI277" s="0" t="s">
        <v>5083</v>
      </c>
      <c r="EJ277" s="0" t="s">
        <v>221</v>
      </c>
      <c r="EK277" s="0" t="n">
        <v>0</v>
      </c>
      <c r="EL277" s="0" t="n">
        <v>26</v>
      </c>
      <c r="EM277" s="0" t="n">
        <v>0</v>
      </c>
      <c r="EN277" s="0" t="n">
        <v>15</v>
      </c>
      <c r="EO277" s="0" t="n">
        <v>6</v>
      </c>
      <c r="EP277" s="0" t="n">
        <v>5</v>
      </c>
      <c r="EQ277" s="0" t="n">
        <f aca="false">IF($A277="","",IF(AH277="exact",10,IF(AH277="adjacent",5,0)))</f>
        <v>0</v>
      </c>
      <c r="ER277" s="0" t="n">
        <f aca="false">IF($A277="","",IF(R277="Y",15,0))</f>
        <v>0</v>
      </c>
      <c r="ES277" s="0" t="s">
        <v>222</v>
      </c>
      <c r="EV277" s="0" t="s">
        <v>5084</v>
      </c>
      <c r="EW277" s="0" t="s">
        <v>224</v>
      </c>
      <c r="EX277" s="0" t="s">
        <v>5085</v>
      </c>
      <c r="EZ277" s="0" t="s">
        <v>5086</v>
      </c>
      <c r="FS277" s="0" t="str">
        <f aca="false">IF($A277="","",IF(ISNUMBER(MATCH(U277,{"queued","contacted","replied","call_booked","call_done","yes_in_principle","materials_sent"},0)),"Y","N"))</f>
        <v>N</v>
      </c>
      <c r="FT277" s="0" t="str">
        <f aca="false">IF($A277="","",IF(OR(T277="Y",U277="do_not_contact",AS277&amp;""&lt;&gt;""),"Y","N"))</f>
        <v>N</v>
      </c>
      <c r="FU277" s="0" t="str">
        <f aca="false">IF($A277="","",IF(AP277&amp;""&lt;&gt;"",AP277&amp;"",$A277))</f>
        <v>AO-C-159</v>
      </c>
      <c r="FV277" s="0" t="str">
        <f aca="false">IF($A277="","",IF(COUNTIFS($FU$2:$FU$1000,FU277,$FS$2:$FS$1000,"Y")+COUNTIFS($FU$2:$FU$1000,FU277,$FT$2:$FT$1000,"Y")&gt;0,"Y","N"))</f>
        <v>N</v>
      </c>
      <c r="FW277" s="0" t="str">
        <f aca="false">IF($A277="","",IF(AND(U277="new",T277="N",FT277="N",AT277="Y",FV277="N"),"Y","N"))</f>
        <v>N</v>
      </c>
      <c r="FX277" s="0" t="str">
        <f aca="false">IF($A277="","",IF(FW277&lt;&gt;"Y","N",IF(COUNTIFS($FU$2:$FU$1000,FU277,$FW$2:$FW$1000,"Y",$J$2:$J$1000,"&gt;"&amp;J277)+COUNTIFS($FU$2:$FU$1000,FU277,$FW$2:$FW$1000,"Y",$J$2:$J$1000,J277,$GD$2:$GD$1000,"&lt;"&amp;GD277)=0,"Y","N")))</f>
        <v>N</v>
      </c>
      <c r="FY277" s="0" t="str">
        <f aca="false">IF($A277="","",IF(AND(FW277="Y",FX277="Y",Y277&amp;""&lt;&gt;""),IF(Y277&lt;=10,"Y","N"),"N"))</f>
        <v>N</v>
      </c>
      <c r="FZ277" s="0" t="str">
        <f aca="false">IF(FY277="Y",Y277,"")</f>
        <v/>
      </c>
      <c r="GA277" s="0" t="str">
        <f aca="false">IF($A277="","",IF(AND(I277="walk-in",CN277="pass",U277="new",FT277="N",FV277="N",AQ277&lt;&gt;"Y"),"Y","N"))</f>
        <v>N</v>
      </c>
      <c r="GB277" s="0" t="str">
        <f aca="false">IF(GA277&lt;&gt;"Y","",IF(COUNTIFS($GA$2:$GA$1000,"Y",$J$2:$J$1000,"&gt;"&amp;J277)+COUNTIFS($GA$2:$GA$1000,"Y",$J$2:$J$1000,J277,$GD$2:$GD$1000,"&lt;"&amp;GD277)+1&lt;=25,COUNTIFS($GA$2:$GA$1000,"Y",$J$2:$J$1000,"&gt;"&amp;J277)+COUNTIFS($GA$2:$GA$1000,"Y",$J$2:$J$1000,J277,$GD$2:$GD$1000,"&lt;"&amp;GD277)+1,""))</f>
        <v/>
      </c>
      <c r="GC277" s="0" t="str">
        <f aca="false">IF(AND(_xlfn.ISFORMULA(C277),_xlfn.ISFORMULA(J277)),"Y","N")</f>
        <v>Y</v>
      </c>
      <c r="GD277" s="0" t="n">
        <f aca="false">ROW()-1</f>
        <v>276</v>
      </c>
    </row>
    <row r="278" customFormat="false" ht="15" hidden="false" customHeight="false" outlineLevel="0" collapsed="false">
      <c r="A278" s="0" t="s">
        <v>5087</v>
      </c>
      <c r="B278" s="0" t="s">
        <v>5088</v>
      </c>
      <c r="C278" s="0" t="str">
        <f aca="false">IF($A278="","",IF(AW278="Y",BM278&amp;"",AY278&amp;""))</f>
        <v/>
      </c>
      <c r="D278" s="0" t="str">
        <f aca="false">IF($A278="","",IF(AW278="Y",BN278&amp;"",AZ278&amp;""))</f>
        <v/>
      </c>
      <c r="E278" s="0" t="str">
        <f aca="false">IF($A278="","",IF(AW278="Y",BO278&amp;"",BA278&amp;""))</f>
        <v/>
      </c>
      <c r="F278" s="0" t="str">
        <f aca="false">IF($A278="","",IF(AW278="Y",BP278&amp;"",BB278&amp;""))</f>
        <v/>
      </c>
      <c r="G278" s="0" t="str">
        <f aca="false">IF($A278="","",IF(AW278="Y",BQ278&amp;"",BC278&amp;""))</f>
        <v/>
      </c>
      <c r="H278" s="0" t="str">
        <f aca="false">IF($A278="","",IF(AW278="Y",BR278&amp;"",BD278&amp;""))</f>
        <v>none</v>
      </c>
      <c r="I278" s="0" t="str">
        <f aca="false">IF($A278="","",IF(R278="Y","warm-intro",IF(H278="verified","email",IF(C278&lt;&gt;"","linkedin",CB278&amp;""))))</f>
        <v>linkedin</v>
      </c>
      <c r="J278" s="0" t="n">
        <f aca="false">IF($A278="","",IF(CN278="pass",ROUND(N(EM278)+N(EN278)+N(EO278)+N(EP278)+N(EQ278)+N(ER278),1),0))</f>
        <v>0</v>
      </c>
      <c r="K278" s="0" t="str">
        <f aca="false">IF($A278="","",IF(CN278&lt;&gt;"pass",CA278&amp;"",CA278&amp;"; "&amp;IF(AW278="Y",BZ278&amp;"",BL278&amp;"")&amp;IF(R278="Y","; known to the founder (+15)","")&amp;"."))</f>
        <v>Gated out: Tuesday estimate over 250 (361 to 722).</v>
      </c>
      <c r="L278" s="0" t="s">
        <v>976</v>
      </c>
      <c r="R278" s="5" t="s">
        <v>189</v>
      </c>
      <c r="S278" s="0" t="s">
        <v>209</v>
      </c>
      <c r="T278" s="0" t="s">
        <v>189</v>
      </c>
      <c r="U278" s="5" t="s">
        <v>3896</v>
      </c>
      <c r="V278" s="0" t="s">
        <v>5089</v>
      </c>
      <c r="W278" s="0" t="s">
        <v>263</v>
      </c>
      <c r="X278" s="0" t="s">
        <v>3897</v>
      </c>
      <c r="Y278" s="0" t="str">
        <f aca="false">IF(FX278&lt;&gt;"Y","",COUNTIFS($FX$2:$FX$1000,"Y",$J$2:$J$1000,"&gt;"&amp;J278)+COUNTIFS($FX$2:$FX$1000,"Y",$J$2:$J$1000,J278,$GD$2:$GD$1000,"&lt;"&amp;GD278)+1)</f>
        <v/>
      </c>
      <c r="AA278" s="0" t="s">
        <v>189</v>
      </c>
      <c r="AB278" s="0" t="str">
        <f aca="false">IF($A278="","",IF(AW278="Y",BY278&amp;"",BK278&amp;""))</f>
        <v/>
      </c>
      <c r="AC278" s="0" t="str">
        <f aca="false">IF($A278="","",IF(AW278="Y",BS278&amp;"",BE278&amp;""))</f>
        <v/>
      </c>
      <c r="AD278" s="0" t="str">
        <f aca="false">IF($A278="","",IF(AW278="Y",BT278&amp;"",BF278&amp;""))</f>
        <v>none</v>
      </c>
      <c r="AE278" s="0" t="str">
        <f aca="false">IF($A278="","",IF(AW278="Y",BU278&amp;"",BG278&amp;""))</f>
        <v/>
      </c>
      <c r="AF278" s="0" t="str">
        <f aca="false">IF($A278="","",IF(AW278="Y",BV278&amp;"",BH278&amp;""))</f>
        <v/>
      </c>
      <c r="AG278" s="0" t="str">
        <f aca="false">IF($A278="","",IF(AW278="Y",BW278&amp;"",BI278&amp;""))</f>
        <v/>
      </c>
      <c r="AH278" s="0" t="str">
        <f aca="false">IF($A278="","",IF(AW278="Y",BX278&amp;"",BJ278&amp;""))</f>
        <v>none</v>
      </c>
      <c r="AI278" s="0" t="s">
        <v>5090</v>
      </c>
      <c r="AJ278" s="0" t="s">
        <v>5091</v>
      </c>
      <c r="AK278" s="0" t="s">
        <v>3933</v>
      </c>
      <c r="AL278" s="0" t="n">
        <v>361</v>
      </c>
      <c r="AM278" s="0" t="n">
        <v>722</v>
      </c>
      <c r="AN278" s="0" t="s">
        <v>187</v>
      </c>
      <c r="AO278" s="0" t="s">
        <v>209</v>
      </c>
      <c r="AP278" s="0" t="s">
        <v>5087</v>
      </c>
      <c r="AQ278" s="5" t="s">
        <v>189</v>
      </c>
      <c r="AT278" s="0" t="str">
        <f aca="false">IF($A278="","",IF(AND(CN278="pass",AQ278&lt;&gt;"Y",C278&lt;&gt;"",OR(AX278&lt;&gt;"Y",AV278="Y")),"Y","N"))</f>
        <v>N</v>
      </c>
      <c r="AU278" s="0" t="str">
        <f aca="false">IF($A278="","",_xlfn.TEXTJOIN("; ",TRUE(),IF(CN278&lt;&gt;"pass","gated out",""),IF(AQ278="Y","on hold: "&amp;AR278,""),IF(C278="","no contact named on an opened page",""),IF(AND(AX278="Y",AV278&lt;&gt;"Y"),"Tuesday estimate band "&amp;L278&amp;": founder's call","")))</f>
        <v>gated out; no contact named on an opened page; Tuesday estimate band over-500: founder's call</v>
      </c>
      <c r="AX278" s="0" t="s">
        <v>164</v>
      </c>
      <c r="BC278" s="0" t="str">
        <f aca="false">IF($A278="","",IFERROR(INDEX(Enrichment!$A$2:$GZ$2000,MATCH($A278,INDEX(Enrichment!$A$2:$GZ$2000,0,MATCH("row_id",Enrichment!$A$1:$GZ$1,0)),0),MATCH("work_email",Enrichment!$A$1:$GZ$1,0))&amp;"",""))</f>
        <v/>
      </c>
      <c r="BD278" s="0" t="str">
        <f aca="false">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none</v>
      </c>
      <c r="BF278" s="0" t="s">
        <v>380</v>
      </c>
      <c r="BJ278" s="0" t="s">
        <v>380</v>
      </c>
      <c r="BL278" s="0" t="s">
        <v>896</v>
      </c>
      <c r="BQ278" s="0" t="str">
        <f aca="false">IF($A278="","",IFERROR(INDEX(Enrichment!$A$2:$GZ$2000,MATCH($A278,INDEX(Enrichment!$A$2:$GZ$2000,0,MATCH("row_id",Enrichment!$A$1:$GZ$1,0)),0),MATCH("backup_work_email",Enrichment!$A$1:$GZ$1,0))&amp;"",""))</f>
        <v/>
      </c>
      <c r="BR278" s="0" t="str">
        <f aca="false">IF($A278="","",IF(BQ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none</v>
      </c>
      <c r="BT278" s="0" t="s">
        <v>380</v>
      </c>
      <c r="BX278" s="0" t="s">
        <v>380</v>
      </c>
      <c r="BZ278" s="0" t="s">
        <v>388</v>
      </c>
      <c r="CA278" s="0" t="s">
        <v>5092</v>
      </c>
      <c r="CB278" s="0" t="s">
        <v>196</v>
      </c>
      <c r="CM278" s="0" t="s">
        <v>189</v>
      </c>
      <c r="CN278" s="0" t="s">
        <v>4627</v>
      </c>
      <c r="CO278" s="0" t="s">
        <v>5093</v>
      </c>
      <c r="CP278" s="0" t="s">
        <v>1</v>
      </c>
      <c r="CQ278" s="0" t="s">
        <v>5094</v>
      </c>
      <c r="CR278" s="0" t="s">
        <v>5095</v>
      </c>
      <c r="CS278" s="0" t="s">
        <v>5096</v>
      </c>
      <c r="CT278" s="0" t="s">
        <v>1138</v>
      </c>
      <c r="CV278" s="0" t="s">
        <v>976</v>
      </c>
      <c r="CW278" s="0" t="s">
        <v>204</v>
      </c>
      <c r="CX278" s="0" t="s">
        <v>205</v>
      </c>
      <c r="CY278" s="0" t="s">
        <v>5097</v>
      </c>
      <c r="DA278" s="0" t="s">
        <v>978</v>
      </c>
      <c r="DB278" s="0" t="s">
        <v>209</v>
      </c>
      <c r="DC278" s="0" t="s">
        <v>209</v>
      </c>
      <c r="DD278" s="0" t="s">
        <v>5098</v>
      </c>
      <c r="DE278" s="0" t="s">
        <v>5099</v>
      </c>
      <c r="DG278" s="0" t="n">
        <v>40.740049</v>
      </c>
      <c r="DH278" s="0" t="n">
        <v>-73.986717</v>
      </c>
      <c r="DI278" s="0" t="s">
        <v>164</v>
      </c>
      <c r="DJ278" s="0" t="n">
        <v>0</v>
      </c>
      <c r="DL278" s="0" t="s">
        <v>209</v>
      </c>
      <c r="DM278" s="0" t="s">
        <v>5089</v>
      </c>
      <c r="DN278" s="0" t="s">
        <v>5100</v>
      </c>
      <c r="DO278" s="0" t="s">
        <v>363</v>
      </c>
      <c r="DP278" s="0" t="s">
        <v>5101</v>
      </c>
      <c r="DQ278" s="0" t="s">
        <v>5102</v>
      </c>
      <c r="DS278" s="0" t="s">
        <v>809</v>
      </c>
      <c r="DU278" s="0" t="s">
        <v>189</v>
      </c>
      <c r="DX278" s="0" t="s">
        <v>209</v>
      </c>
      <c r="EA278" s="0" t="s">
        <v>209</v>
      </c>
      <c r="EB278" s="0" t="s">
        <v>189</v>
      </c>
      <c r="EC278" s="0" t="s">
        <v>209</v>
      </c>
      <c r="EF278" s="0" t="n">
        <v>511</v>
      </c>
      <c r="EG278" s="0" t="s">
        <v>4781</v>
      </c>
      <c r="EH278" s="0" t="s">
        <v>164</v>
      </c>
      <c r="EI278" s="0" t="s">
        <v>5103</v>
      </c>
      <c r="EJ278" s="0" t="s">
        <v>221</v>
      </c>
      <c r="EK278" s="0" t="n">
        <v>0</v>
      </c>
      <c r="EL278" s="0" t="n">
        <v>17</v>
      </c>
      <c r="EM278" s="0" t="n">
        <v>0</v>
      </c>
      <c r="EN278" s="0" t="n">
        <v>-2</v>
      </c>
      <c r="EO278" s="0" t="n">
        <v>6</v>
      </c>
      <c r="EP278" s="0" t="n">
        <v>13</v>
      </c>
      <c r="EQ278" s="0" t="n">
        <f aca="false">IF($A278="","",IF(AH278="exact",10,IF(AH278="adjacent",5,0)))</f>
        <v>0</v>
      </c>
      <c r="ER278" s="0" t="n">
        <f aca="false">IF($A278="","",IF(R278="Y",15,0))</f>
        <v>0</v>
      </c>
      <c r="ES278" s="0" t="s">
        <v>982</v>
      </c>
      <c r="ET278" s="0" t="s">
        <v>983</v>
      </c>
      <c r="EU278" s="0" t="s">
        <v>189</v>
      </c>
      <c r="EV278" s="0" t="s">
        <v>5104</v>
      </c>
      <c r="EW278" s="0" t="s">
        <v>224</v>
      </c>
      <c r="EX278" s="0" t="s">
        <v>5105</v>
      </c>
      <c r="EZ278" s="0" t="s">
        <v>5106</v>
      </c>
      <c r="FS278" s="0" t="str">
        <f aca="false">IF($A278="","",IF(ISNUMBER(MATCH(U278,{"queued","contacted","replied","call_booked","call_done","yes_in_principle","materials_sent"},0)),"Y","N"))</f>
        <v>N</v>
      </c>
      <c r="FT278" s="0" t="str">
        <f aca="false">IF($A278="","",IF(OR(T278="Y",U278="do_not_contact",AS278&amp;""&lt;&gt;""),"Y","N"))</f>
        <v>N</v>
      </c>
      <c r="FU278" s="0" t="str">
        <f aca="false">IF($A278="","",IF(AP278&amp;""&lt;&gt;"",AP278&amp;"",$A278))</f>
        <v>AO-C-226</v>
      </c>
      <c r="FV278" s="0" t="str">
        <f aca="false">IF($A278="","",IF(COUNTIFS($FU$2:$FU$1000,FU278,$FS$2:$FS$1000,"Y")+COUNTIFS($FU$2:$FU$1000,FU278,$FT$2:$FT$1000,"Y")&gt;0,"Y","N"))</f>
        <v>N</v>
      </c>
      <c r="FW278" s="0" t="str">
        <f aca="false">IF($A278="","",IF(AND(U278="new",T278="N",FT278="N",AT278="Y",FV278="N"),"Y","N"))</f>
        <v>N</v>
      </c>
      <c r="FX278" s="0" t="str">
        <f aca="false">IF($A278="","",IF(FW278&lt;&gt;"Y","N",IF(COUNTIFS($FU$2:$FU$1000,FU278,$FW$2:$FW$1000,"Y",$J$2:$J$1000,"&gt;"&amp;J278)+COUNTIFS($FU$2:$FU$1000,FU278,$FW$2:$FW$1000,"Y",$J$2:$J$1000,J278,$GD$2:$GD$1000,"&lt;"&amp;GD278)=0,"Y","N")))</f>
        <v>N</v>
      </c>
      <c r="FY278" s="0" t="str">
        <f aca="false">IF($A278="","",IF(AND(FW278="Y",FX278="Y",Y278&amp;""&lt;&gt;""),IF(Y278&lt;=10,"Y","N"),"N"))</f>
        <v>N</v>
      </c>
      <c r="FZ278" s="0" t="str">
        <f aca="false">IF(FY278="Y",Y278,"")</f>
        <v/>
      </c>
      <c r="GA278" s="0" t="str">
        <f aca="false">IF($A278="","",IF(AND(I278="walk-in",CN278="pass",U278="new",FT278="N",FV278="N",AQ278&lt;&gt;"Y"),"Y","N"))</f>
        <v>N</v>
      </c>
      <c r="GB278" s="0" t="str">
        <f aca="false">IF(GA278&lt;&gt;"Y","",IF(COUNTIFS($GA$2:$GA$1000,"Y",$J$2:$J$1000,"&gt;"&amp;J278)+COUNTIFS($GA$2:$GA$1000,"Y",$J$2:$J$1000,J278,$GD$2:$GD$1000,"&lt;"&amp;GD278)+1&lt;=25,COUNTIFS($GA$2:$GA$1000,"Y",$J$2:$J$1000,"&gt;"&amp;J278)+COUNTIFS($GA$2:$GA$1000,"Y",$J$2:$J$1000,J278,$GD$2:$GD$1000,"&lt;"&amp;GD278)+1,""))</f>
        <v/>
      </c>
      <c r="GC278" s="0" t="str">
        <f aca="false">IF(AND(_xlfn.ISFORMULA(C278),_xlfn.ISFORMULA(J278)),"Y","N")</f>
        <v>Y</v>
      </c>
      <c r="GD278" s="0" t="n">
        <f aca="false">ROW()-1</f>
        <v>277</v>
      </c>
    </row>
    <row r="279" customFormat="false" ht="15" hidden="false" customHeight="false" outlineLevel="0" collapsed="false">
      <c r="A279" s="0" t="s">
        <v>5107</v>
      </c>
      <c r="B279" s="0" t="s">
        <v>5108</v>
      </c>
      <c r="C279" s="0" t="str">
        <f aca="false">IF($A279="","",IF(AW279="Y",BM279&amp;"",AY279&amp;""))</f>
        <v/>
      </c>
      <c r="D279" s="0" t="str">
        <f aca="false">IF($A279="","",IF(AW279="Y",BN279&amp;"",AZ279&amp;""))</f>
        <v/>
      </c>
      <c r="E279" s="0" t="str">
        <f aca="false">IF($A279="","",IF(AW279="Y",BO279&amp;"",BA279&amp;""))</f>
        <v/>
      </c>
      <c r="F279" s="0" t="str">
        <f aca="false">IF($A279="","",IF(AW279="Y",BP279&amp;"",BB279&amp;""))</f>
        <v/>
      </c>
      <c r="G279" s="0" t="str">
        <f aca="false">IF($A279="","",IF(AW279="Y",BQ279&amp;"",BC279&amp;""))</f>
        <v/>
      </c>
      <c r="H279" s="0" t="str">
        <f aca="false">IF($A279="","",IF(AW279="Y",BR279&amp;"",BD279&amp;""))</f>
        <v>none</v>
      </c>
      <c r="I279" s="0" t="str">
        <f aca="false">IF($A279="","",IF(R279="Y","warm-intro",IF(H279="verified","email",IF(C279&lt;&gt;"","linkedin",CB279&amp;""))))</f>
        <v>linkedin</v>
      </c>
      <c r="J279" s="0" t="n">
        <f aca="false">IF($A279="","",IF(CN279="pass",ROUND(N(EM279)+N(EN279)+N(EO279)+N(EP279)+N(EQ279)+N(ER279),1),0))</f>
        <v>0</v>
      </c>
      <c r="K279" s="0" t="str">
        <f aca="false">IF($A279="","",IF(CN279&lt;&gt;"pass",CA279&amp;"",CA279&amp;"; "&amp;IF(AW279="Y",BZ279&amp;"",BL279&amp;"")&amp;IF(R279="Y","; known to the founder (+15)","")&amp;"."))</f>
        <v>Gated out: Tuesday estimate over 250 (360 to 720).</v>
      </c>
      <c r="L279" s="0" t="s">
        <v>976</v>
      </c>
      <c r="R279" s="5" t="s">
        <v>189</v>
      </c>
      <c r="S279" s="0" t="s">
        <v>209</v>
      </c>
      <c r="T279" s="0" t="s">
        <v>189</v>
      </c>
      <c r="U279" s="5" t="s">
        <v>3896</v>
      </c>
      <c r="V279" s="0" t="s">
        <v>3956</v>
      </c>
      <c r="W279" s="0" t="s">
        <v>263</v>
      </c>
      <c r="X279" s="0" t="s">
        <v>3897</v>
      </c>
      <c r="Y279" s="0" t="str">
        <f aca="false">IF(FX279&lt;&gt;"Y","",COUNTIFS($FX$2:$FX$1000,"Y",$J$2:$J$1000,"&gt;"&amp;J279)+COUNTIFS($FX$2:$FX$1000,"Y",$J$2:$J$1000,J279,$GD$2:$GD$1000,"&lt;"&amp;GD279)+1)</f>
        <v/>
      </c>
      <c r="AA279" s="0" t="s">
        <v>189</v>
      </c>
      <c r="AB279" s="0" t="str">
        <f aca="false">IF($A279="","",IF(AW279="Y",BY279&amp;"",BK279&amp;""))</f>
        <v/>
      </c>
      <c r="AC279" s="0" t="str">
        <f aca="false">IF($A279="","",IF(AW279="Y",BS279&amp;"",BE279&amp;""))</f>
        <v/>
      </c>
      <c r="AD279" s="0" t="str">
        <f aca="false">IF($A279="","",IF(AW279="Y",BT279&amp;"",BF279&amp;""))</f>
        <v>none</v>
      </c>
      <c r="AE279" s="0" t="str">
        <f aca="false">IF($A279="","",IF(AW279="Y",BU279&amp;"",BG279&amp;""))</f>
        <v/>
      </c>
      <c r="AF279" s="0" t="str">
        <f aca="false">IF($A279="","",IF(AW279="Y",BV279&amp;"",BH279&amp;""))</f>
        <v/>
      </c>
      <c r="AG279" s="0" t="str">
        <f aca="false">IF($A279="","",IF(AW279="Y",BW279&amp;"",BI279&amp;""))</f>
        <v/>
      </c>
      <c r="AH279" s="0" t="str">
        <f aca="false">IF($A279="","",IF(AW279="Y",BX279&amp;"",BJ279&amp;""))</f>
        <v>none</v>
      </c>
      <c r="AI279" s="0" t="s">
        <v>3957</v>
      </c>
      <c r="AJ279" s="0" t="s">
        <v>209</v>
      </c>
      <c r="AK279" s="0" t="s">
        <v>3933</v>
      </c>
      <c r="AL279" s="0" t="n">
        <v>360</v>
      </c>
      <c r="AM279" s="0" t="n">
        <v>720</v>
      </c>
      <c r="AN279" s="0" t="s">
        <v>187</v>
      </c>
      <c r="AO279" s="0" t="s">
        <v>209</v>
      </c>
      <c r="AP279" s="0" t="s">
        <v>5107</v>
      </c>
      <c r="AQ279" s="5" t="s">
        <v>189</v>
      </c>
      <c r="AT279" s="0" t="str">
        <f aca="false">IF($A279="","",IF(AND(CN279="pass",AQ279&lt;&gt;"Y",C279&lt;&gt;"",OR(AX279&lt;&gt;"Y",AV279="Y")),"Y","N"))</f>
        <v>N</v>
      </c>
      <c r="AU279" s="0" t="str">
        <f aca="false">IF($A279="","",_xlfn.TEXTJOIN("; ",TRUE(),IF(CN279&lt;&gt;"pass","gated out",""),IF(AQ279="Y","on hold: "&amp;AR279,""),IF(C279="","no contact named on an opened page",""),IF(AND(AX279="Y",AV279&lt;&gt;"Y"),"Tuesday estimate band "&amp;L279&amp;": founder's call","")))</f>
        <v>gated out; no contact named on an opened page; Tuesday estimate band over-500: founder's call</v>
      </c>
      <c r="AX279" s="0" t="s">
        <v>164</v>
      </c>
      <c r="BC279" s="0" t="str">
        <f aca="false">IF($A279="","",IFERROR(INDEX(Enrichment!$A$2:$GZ$2000,MATCH($A279,INDEX(Enrichment!$A$2:$GZ$2000,0,MATCH("row_id",Enrichment!$A$1:$GZ$1,0)),0),MATCH("work_email",Enrichment!$A$1:$GZ$1,0))&amp;"",""))</f>
        <v/>
      </c>
      <c r="BD279" s="0" t="str">
        <f aca="false">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none</v>
      </c>
      <c r="BF279" s="0" t="s">
        <v>380</v>
      </c>
      <c r="BJ279" s="0" t="s">
        <v>380</v>
      </c>
      <c r="BL279" s="0" t="s">
        <v>896</v>
      </c>
      <c r="BQ279" s="0" t="str">
        <f aca="false">IF($A279="","",IFERROR(INDEX(Enrichment!$A$2:$GZ$2000,MATCH($A279,INDEX(Enrichment!$A$2:$GZ$2000,0,MATCH("row_id",Enrichment!$A$1:$GZ$1,0)),0),MATCH("backup_work_email",Enrichment!$A$1:$GZ$1,0))&amp;"",""))</f>
        <v/>
      </c>
      <c r="BR279" s="0" t="str">
        <f aca="false">IF($A279="","",IF(BQ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none</v>
      </c>
      <c r="BT279" s="0" t="s">
        <v>380</v>
      </c>
      <c r="BX279" s="0" t="s">
        <v>380</v>
      </c>
      <c r="BZ279" s="0" t="s">
        <v>388</v>
      </c>
      <c r="CA279" s="0" t="s">
        <v>5109</v>
      </c>
      <c r="CB279" s="0" t="s">
        <v>196</v>
      </c>
      <c r="CM279" s="0" t="s">
        <v>189</v>
      </c>
      <c r="CN279" s="0" t="s">
        <v>4627</v>
      </c>
      <c r="CO279" s="0" t="s">
        <v>5110</v>
      </c>
      <c r="CP279" s="0" t="s">
        <v>1</v>
      </c>
      <c r="CQ279" s="0" t="s">
        <v>5111</v>
      </c>
      <c r="CR279" s="0" t="s">
        <v>5112</v>
      </c>
      <c r="CS279" s="0" t="s">
        <v>5113</v>
      </c>
      <c r="CT279" s="0" t="s">
        <v>5114</v>
      </c>
      <c r="CV279" s="0" t="s">
        <v>976</v>
      </c>
      <c r="CW279" s="0" t="s">
        <v>204</v>
      </c>
      <c r="CX279" s="0" t="s">
        <v>205</v>
      </c>
      <c r="CY279" s="0" t="s">
        <v>5115</v>
      </c>
      <c r="DA279" s="0" t="s">
        <v>2301</v>
      </c>
      <c r="DB279" s="0" t="s">
        <v>259</v>
      </c>
      <c r="DC279" s="0" t="s">
        <v>164</v>
      </c>
      <c r="DD279" s="0" t="s">
        <v>209</v>
      </c>
      <c r="DE279" s="0" t="s">
        <v>5116</v>
      </c>
      <c r="DF279" s="0" t="s">
        <v>397</v>
      </c>
      <c r="DG279" s="0" t="n">
        <v>40.7409</v>
      </c>
      <c r="DH279" s="0" t="n">
        <v>-73.994512</v>
      </c>
      <c r="DI279" s="0" t="s">
        <v>164</v>
      </c>
      <c r="DJ279" s="0" t="n">
        <v>0</v>
      </c>
      <c r="DK279" s="0" t="s">
        <v>3965</v>
      </c>
      <c r="DL279" s="0" t="s">
        <v>3966</v>
      </c>
      <c r="DM279" s="0" t="s">
        <v>3956</v>
      </c>
      <c r="DN279" s="0" t="s">
        <v>3076</v>
      </c>
      <c r="DO279" s="0" t="s">
        <v>363</v>
      </c>
      <c r="DP279" s="0" t="s">
        <v>5117</v>
      </c>
      <c r="DQ279" s="0" t="s">
        <v>5118</v>
      </c>
      <c r="DS279" s="0" t="s">
        <v>809</v>
      </c>
      <c r="DU279" s="0" t="s">
        <v>189</v>
      </c>
      <c r="DX279" s="0" t="s">
        <v>209</v>
      </c>
      <c r="EA279" s="0" t="s">
        <v>209</v>
      </c>
      <c r="EB279" s="0" t="s">
        <v>189</v>
      </c>
      <c r="EC279" s="0" t="s">
        <v>209</v>
      </c>
      <c r="EF279" s="0" t="n">
        <v>509</v>
      </c>
      <c r="EG279" s="0" t="s">
        <v>4781</v>
      </c>
      <c r="EH279" s="0" t="s">
        <v>164</v>
      </c>
      <c r="EI279" s="0" t="s">
        <v>5119</v>
      </c>
      <c r="EJ279" s="0" t="s">
        <v>221</v>
      </c>
      <c r="EK279" s="0" t="n">
        <v>0</v>
      </c>
      <c r="EL279" s="0" t="n">
        <v>19</v>
      </c>
      <c r="EM279" s="0" t="n">
        <v>0</v>
      </c>
      <c r="EN279" s="0" t="n">
        <v>0</v>
      </c>
      <c r="EO279" s="0" t="n">
        <v>6</v>
      </c>
      <c r="EP279" s="0" t="n">
        <v>13</v>
      </c>
      <c r="EQ279" s="0" t="n">
        <f aca="false">IF($A279="","",IF(AH279="exact",10,IF(AH279="adjacent",5,0)))</f>
        <v>0</v>
      </c>
      <c r="ER279" s="0" t="n">
        <f aca="false">IF($A279="","",IF(R279="Y",15,0))</f>
        <v>0</v>
      </c>
      <c r="ES279" s="0" t="s">
        <v>982</v>
      </c>
      <c r="ET279" s="0" t="s">
        <v>2310</v>
      </c>
      <c r="EU279" s="0" t="s">
        <v>189</v>
      </c>
      <c r="EV279" s="0" t="s">
        <v>5120</v>
      </c>
      <c r="EW279" s="0" t="s">
        <v>224</v>
      </c>
      <c r="EX279" s="0" t="s">
        <v>5121</v>
      </c>
      <c r="EZ279" s="0" t="s">
        <v>5122</v>
      </c>
      <c r="FS279" s="0" t="str">
        <f aca="false">IF($A279="","",IF(ISNUMBER(MATCH(U279,{"queued","contacted","replied","call_booked","call_done","yes_in_principle","materials_sent"},0)),"Y","N"))</f>
        <v>N</v>
      </c>
      <c r="FT279" s="0" t="str">
        <f aca="false">IF($A279="","",IF(OR(T279="Y",U279="do_not_contact",AS279&amp;""&lt;&gt;""),"Y","N"))</f>
        <v>N</v>
      </c>
      <c r="FU279" s="0" t="str">
        <f aca="false">IF($A279="","",IF(AP279&amp;""&lt;&gt;"",AP279&amp;"",$A279))</f>
        <v>AO-C-209</v>
      </c>
      <c r="FV279" s="0" t="str">
        <f aca="false">IF($A279="","",IF(COUNTIFS($FU$2:$FU$1000,FU279,$FS$2:$FS$1000,"Y")+COUNTIFS($FU$2:$FU$1000,FU279,$FT$2:$FT$1000,"Y")&gt;0,"Y","N"))</f>
        <v>N</v>
      </c>
      <c r="FW279" s="0" t="str">
        <f aca="false">IF($A279="","",IF(AND(U279="new",T279="N",FT279="N",AT279="Y",FV279="N"),"Y","N"))</f>
        <v>N</v>
      </c>
      <c r="FX279" s="0" t="str">
        <f aca="false">IF($A279="","",IF(FW279&lt;&gt;"Y","N",IF(COUNTIFS($FU$2:$FU$1000,FU279,$FW$2:$FW$1000,"Y",$J$2:$J$1000,"&gt;"&amp;J279)+COUNTIFS($FU$2:$FU$1000,FU279,$FW$2:$FW$1000,"Y",$J$2:$J$1000,J279,$GD$2:$GD$1000,"&lt;"&amp;GD279)=0,"Y","N")))</f>
        <v>N</v>
      </c>
      <c r="FY279" s="0" t="str">
        <f aca="false">IF($A279="","",IF(AND(FW279="Y",FX279="Y",Y279&amp;""&lt;&gt;""),IF(Y279&lt;=10,"Y","N"),"N"))</f>
        <v>N</v>
      </c>
      <c r="FZ279" s="0" t="str">
        <f aca="false">IF(FY279="Y",Y279,"")</f>
        <v/>
      </c>
      <c r="GA279" s="0" t="str">
        <f aca="false">IF($A279="","",IF(AND(I279="walk-in",CN279="pass",U279="new",FT279="N",FV279="N",AQ279&lt;&gt;"Y"),"Y","N"))</f>
        <v>N</v>
      </c>
      <c r="GB279" s="0" t="str">
        <f aca="false">IF(GA279&lt;&gt;"Y","",IF(COUNTIFS($GA$2:$GA$1000,"Y",$J$2:$J$1000,"&gt;"&amp;J279)+COUNTIFS($GA$2:$GA$1000,"Y",$J$2:$J$1000,J279,$GD$2:$GD$1000,"&lt;"&amp;GD279)+1&lt;=25,COUNTIFS($GA$2:$GA$1000,"Y",$J$2:$J$1000,"&gt;"&amp;J279)+COUNTIFS($GA$2:$GA$1000,"Y",$J$2:$J$1000,J279,$GD$2:$GD$1000,"&lt;"&amp;GD279)+1,""))</f>
        <v/>
      </c>
      <c r="GC279" s="0" t="str">
        <f aca="false">IF(AND(_xlfn.ISFORMULA(C279),_xlfn.ISFORMULA(J279)),"Y","N")</f>
        <v>Y</v>
      </c>
      <c r="GD279" s="0" t="n">
        <f aca="false">ROW()-1</f>
        <v>278</v>
      </c>
    </row>
    <row r="280" customFormat="false" ht="15" hidden="false" customHeight="false" outlineLevel="0" collapsed="false">
      <c r="A280" s="0" t="s">
        <v>5123</v>
      </c>
      <c r="B280" s="0" t="s">
        <v>5124</v>
      </c>
      <c r="C280" s="0" t="str">
        <f aca="false">IF($A280="","",IF(AW280="Y",BM280&amp;"",AY280&amp;""))</f>
        <v/>
      </c>
      <c r="D280" s="0" t="str">
        <f aca="false">IF($A280="","",IF(AW280="Y",BN280&amp;"",AZ280&amp;""))</f>
        <v/>
      </c>
      <c r="E280" s="0" t="str">
        <f aca="false">IF($A280="","",IF(AW280="Y",BO280&amp;"",BA280&amp;""))</f>
        <v/>
      </c>
      <c r="F280" s="0" t="str">
        <f aca="false">IF($A280="","",IF(AW280="Y",BP280&amp;"",BB280&amp;""))</f>
        <v/>
      </c>
      <c r="G280" s="0" t="str">
        <f aca="false">IF($A280="","",IF(AW280="Y",BQ280&amp;"",BC280&amp;""))</f>
        <v/>
      </c>
      <c r="H280" s="0" t="str">
        <f aca="false">IF($A280="","",IF(AW280="Y",BR280&amp;"",BD280&amp;""))</f>
        <v>none</v>
      </c>
      <c r="I280" s="0" t="str">
        <f aca="false">IF($A280="","",IF(R280="Y","warm-intro",IF(H280="verified","email",IF(C280&lt;&gt;"","linkedin",CB280&amp;""))))</f>
        <v>linkedin</v>
      </c>
      <c r="J280" s="0" t="n">
        <f aca="false">IF($A280="","",IF(CN280="pass",ROUND(N(EM280)+N(EN280)+N(EO280)+N(EP280)+N(EQ280)+N(ER280),1),0))</f>
        <v>0</v>
      </c>
      <c r="K280" s="0" t="str">
        <f aca="false">IF($A280="","",IF(CN280&lt;&gt;"pass",CA280&amp;"",CA280&amp;"; "&amp;IF(AW280="Y",BZ280&amp;"",BL280&amp;"")&amp;IF(R280="Y","; known to the founder (+15)","")&amp;"."))</f>
        <v>Gated out: Tuesday estimate under 30 (20 to 27).</v>
      </c>
      <c r="L280" s="0" t="s">
        <v>1794</v>
      </c>
      <c r="R280" s="5" t="s">
        <v>189</v>
      </c>
      <c r="S280" s="0" t="s">
        <v>209</v>
      </c>
      <c r="T280" s="0" t="s">
        <v>189</v>
      </c>
      <c r="U280" s="5" t="s">
        <v>3896</v>
      </c>
      <c r="V280" s="0" t="s">
        <v>2228</v>
      </c>
      <c r="W280" s="0" t="s">
        <v>263</v>
      </c>
      <c r="X280" s="0" t="s">
        <v>3897</v>
      </c>
      <c r="Y280" s="0" t="str">
        <f aca="false">IF(FX280&lt;&gt;"Y","",COUNTIFS($FX$2:$FX$1000,"Y",$J$2:$J$1000,"&gt;"&amp;J280)+COUNTIFS($FX$2:$FX$1000,"Y",$J$2:$J$1000,J280,$GD$2:$GD$1000,"&lt;"&amp;GD280)+1)</f>
        <v/>
      </c>
      <c r="AA280" s="0" t="s">
        <v>189</v>
      </c>
      <c r="AB280" s="0" t="str">
        <f aca="false">IF($A280="","",IF(AW280="Y",BY280&amp;"",BK280&amp;""))</f>
        <v/>
      </c>
      <c r="AC280" s="0" t="str">
        <f aca="false">IF($A280="","",IF(AW280="Y",BS280&amp;"",BE280&amp;""))</f>
        <v/>
      </c>
      <c r="AD280" s="0" t="str">
        <f aca="false">IF($A280="","",IF(AW280="Y",BT280&amp;"",BF280&amp;""))</f>
        <v>none</v>
      </c>
      <c r="AE280" s="0" t="str">
        <f aca="false">IF($A280="","",IF(AW280="Y",BU280&amp;"",BG280&amp;""))</f>
        <v/>
      </c>
      <c r="AF280" s="0" t="str">
        <f aca="false">IF($A280="","",IF(AW280="Y",BV280&amp;"",BH280&amp;""))</f>
        <v/>
      </c>
      <c r="AG280" s="0" t="str">
        <f aca="false">IF($A280="","",IF(AW280="Y",BW280&amp;"",BI280&amp;""))</f>
        <v/>
      </c>
      <c r="AH280" s="0" t="str">
        <f aca="false">IF($A280="","",IF(AW280="Y",BX280&amp;"",BJ280&amp;""))</f>
        <v>none</v>
      </c>
      <c r="AI280" s="0" t="s">
        <v>2354</v>
      </c>
      <c r="AJ280" s="0" t="s">
        <v>209</v>
      </c>
      <c r="AK280" s="0" t="s">
        <v>3933</v>
      </c>
      <c r="AL280" s="0" t="n">
        <v>20</v>
      </c>
      <c r="AM280" s="0" t="n">
        <v>27</v>
      </c>
      <c r="AN280" s="0" t="s">
        <v>187</v>
      </c>
      <c r="AO280" s="0" t="s">
        <v>209</v>
      </c>
      <c r="AP280" s="0" t="s">
        <v>5123</v>
      </c>
      <c r="AQ280" s="5" t="s">
        <v>189</v>
      </c>
      <c r="AT280" s="0" t="str">
        <f aca="false">IF($A280="","",IF(AND(CN280="pass",AQ280&lt;&gt;"Y",C280&lt;&gt;"",OR(AX280&lt;&gt;"Y",AV280="Y")),"Y","N"))</f>
        <v>N</v>
      </c>
      <c r="AU280" s="0" t="str">
        <f aca="false">IF($A280="","",_xlfn.TEXTJOIN("; ",TRUE(),IF(CN280&lt;&gt;"pass","gated out",""),IF(AQ280="Y","on hold: "&amp;AR280,""),IF(C280="","no contact named on an opened page",""),IF(AND(AX280="Y",AV280&lt;&gt;"Y"),"Tuesday estimate band "&amp;L280&amp;": founder's call","")))</f>
        <v>gated out; no contact named on an opened page; Tuesday estimate band under-40: founder's call</v>
      </c>
      <c r="AX280" s="0" t="s">
        <v>164</v>
      </c>
      <c r="BC280" s="0" t="str">
        <f aca="false">IF($A280="","",IFERROR(INDEX(Enrichment!$A$2:$GZ$2000,MATCH($A280,INDEX(Enrichment!$A$2:$GZ$2000,0,MATCH("row_id",Enrichment!$A$1:$GZ$1,0)),0),MATCH("work_email",Enrichment!$A$1:$GZ$1,0))&amp;"",""))</f>
        <v/>
      </c>
      <c r="BD280" s="0" t="str">
        <f aca="false">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none</v>
      </c>
      <c r="BF280" s="0" t="s">
        <v>380</v>
      </c>
      <c r="BJ280" s="0" t="s">
        <v>380</v>
      </c>
      <c r="BL280" s="0" t="s">
        <v>896</v>
      </c>
      <c r="BQ280" s="0" t="str">
        <f aca="false">IF($A280="","",IFERROR(INDEX(Enrichment!$A$2:$GZ$2000,MATCH($A280,INDEX(Enrichment!$A$2:$GZ$2000,0,MATCH("row_id",Enrichment!$A$1:$GZ$1,0)),0),MATCH("backup_work_email",Enrichment!$A$1:$GZ$1,0))&amp;"",""))</f>
        <v/>
      </c>
      <c r="BR280" s="0" t="str">
        <f aca="false">IF($A280="","",IF(BQ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none</v>
      </c>
      <c r="BT280" s="0" t="s">
        <v>380</v>
      </c>
      <c r="BX280" s="0" t="s">
        <v>380</v>
      </c>
      <c r="BZ280" s="0" t="s">
        <v>388</v>
      </c>
      <c r="CA280" s="0" t="s">
        <v>5125</v>
      </c>
      <c r="CB280" s="0" t="s">
        <v>196</v>
      </c>
      <c r="CM280" s="0" t="s">
        <v>189</v>
      </c>
      <c r="CN280" s="0" t="s">
        <v>4627</v>
      </c>
      <c r="CO280" s="0" t="s">
        <v>5126</v>
      </c>
      <c r="CP280" s="0" t="s">
        <v>1</v>
      </c>
      <c r="CQ280" s="0" t="s">
        <v>5127</v>
      </c>
      <c r="CR280" s="0" t="s">
        <v>5128</v>
      </c>
      <c r="CS280" s="0" t="s">
        <v>5129</v>
      </c>
      <c r="CT280" s="0" t="s">
        <v>967</v>
      </c>
      <c r="CV280" s="0" t="s">
        <v>298</v>
      </c>
      <c r="CW280" s="0" t="s">
        <v>204</v>
      </c>
      <c r="CX280" s="0" t="s">
        <v>205</v>
      </c>
      <c r="CY280" s="0" t="s">
        <v>5130</v>
      </c>
      <c r="DA280" s="0" t="s">
        <v>207</v>
      </c>
      <c r="DB280" s="0" t="s">
        <v>5131</v>
      </c>
      <c r="DC280" s="0" t="s">
        <v>189</v>
      </c>
      <c r="DD280" s="0" t="s">
        <v>209</v>
      </c>
      <c r="DE280" s="0" t="s">
        <v>5132</v>
      </c>
      <c r="DF280" s="0" t="s">
        <v>525</v>
      </c>
      <c r="DG280" s="0" t="n">
        <v>40.741548</v>
      </c>
      <c r="DH280" s="0" t="n">
        <v>-73.993007</v>
      </c>
      <c r="DI280" s="0" t="s">
        <v>164</v>
      </c>
      <c r="DJ280" s="0" t="n">
        <v>0</v>
      </c>
      <c r="DK280" s="0" t="s">
        <v>2226</v>
      </c>
      <c r="DL280" s="0" t="s">
        <v>2227</v>
      </c>
      <c r="DM280" s="0" t="s">
        <v>2228</v>
      </c>
      <c r="DN280" s="0" t="s">
        <v>2229</v>
      </c>
      <c r="DO280" s="0" t="s">
        <v>363</v>
      </c>
      <c r="DS280" s="0" t="s">
        <v>809</v>
      </c>
      <c r="DU280" s="0" t="s">
        <v>189</v>
      </c>
      <c r="DX280" s="0" t="s">
        <v>209</v>
      </c>
      <c r="EA280" s="0" t="s">
        <v>209</v>
      </c>
      <c r="EB280" s="0" t="s">
        <v>189</v>
      </c>
      <c r="EC280" s="0" t="s">
        <v>209</v>
      </c>
      <c r="EF280" s="0" t="n">
        <v>23</v>
      </c>
      <c r="EG280" s="0" t="s">
        <v>5082</v>
      </c>
      <c r="EH280" s="0" t="s">
        <v>164</v>
      </c>
      <c r="EI280" s="0" t="s">
        <v>5133</v>
      </c>
      <c r="EJ280" s="0" t="s">
        <v>221</v>
      </c>
      <c r="EK280" s="0" t="n">
        <v>0</v>
      </c>
      <c r="EL280" s="0" t="n">
        <v>34</v>
      </c>
      <c r="EM280" s="0" t="n">
        <v>0</v>
      </c>
      <c r="EN280" s="0" t="n">
        <v>15</v>
      </c>
      <c r="EO280" s="0" t="n">
        <v>6</v>
      </c>
      <c r="EP280" s="0" t="n">
        <v>13</v>
      </c>
      <c r="EQ280" s="0" t="n">
        <f aca="false">IF($A280="","",IF(AH280="exact",10,IF(AH280="adjacent",5,0)))</f>
        <v>0</v>
      </c>
      <c r="ER280" s="0" t="n">
        <f aca="false">IF($A280="","",IF(R280="Y",15,0))</f>
        <v>0</v>
      </c>
      <c r="ES280" s="0" t="s">
        <v>222</v>
      </c>
      <c r="EV280" s="0" t="s">
        <v>3300</v>
      </c>
      <c r="EW280" s="0" t="s">
        <v>224</v>
      </c>
      <c r="EX280" s="0" t="s">
        <v>5134</v>
      </c>
      <c r="EZ280" s="0" t="s">
        <v>5135</v>
      </c>
      <c r="FS280" s="0" t="str">
        <f aca="false">IF($A280="","",IF(ISNUMBER(MATCH(U280,{"queued","contacted","replied","call_booked","call_done","yes_in_principle","materials_sent"},0)),"Y","N"))</f>
        <v>N</v>
      </c>
      <c r="FT280" s="0" t="str">
        <f aca="false">IF($A280="","",IF(OR(T280="Y",U280="do_not_contact",AS280&amp;""&lt;&gt;""),"Y","N"))</f>
        <v>N</v>
      </c>
      <c r="FU280" s="0" t="str">
        <f aca="false">IF($A280="","",IF(AP280&amp;""&lt;&gt;"",AP280&amp;"",$A280))</f>
        <v>AO-C-078</v>
      </c>
      <c r="FV280" s="0" t="str">
        <f aca="false">IF($A280="","",IF(COUNTIFS($FU$2:$FU$1000,FU280,$FS$2:$FS$1000,"Y")+COUNTIFS($FU$2:$FU$1000,FU280,$FT$2:$FT$1000,"Y")&gt;0,"Y","N"))</f>
        <v>N</v>
      </c>
      <c r="FW280" s="0" t="str">
        <f aca="false">IF($A280="","",IF(AND(U280="new",T280="N",FT280="N",AT280="Y",FV280="N"),"Y","N"))</f>
        <v>N</v>
      </c>
      <c r="FX280" s="0" t="str">
        <f aca="false">IF($A280="","",IF(FW280&lt;&gt;"Y","N",IF(COUNTIFS($FU$2:$FU$1000,FU280,$FW$2:$FW$1000,"Y",$J$2:$J$1000,"&gt;"&amp;J280)+COUNTIFS($FU$2:$FU$1000,FU280,$FW$2:$FW$1000,"Y",$J$2:$J$1000,J280,$GD$2:$GD$1000,"&lt;"&amp;GD280)=0,"Y","N")))</f>
        <v>N</v>
      </c>
      <c r="FY280" s="0" t="str">
        <f aca="false">IF($A280="","",IF(AND(FW280="Y",FX280="Y",Y280&amp;""&lt;&gt;""),IF(Y280&lt;=10,"Y","N"),"N"))</f>
        <v>N</v>
      </c>
      <c r="FZ280" s="0" t="str">
        <f aca="false">IF(FY280="Y",Y280,"")</f>
        <v/>
      </c>
      <c r="GA280" s="0" t="str">
        <f aca="false">IF($A280="","",IF(AND(I280="walk-in",CN280="pass",U280="new",FT280="N",FV280="N",AQ280&lt;&gt;"Y"),"Y","N"))</f>
        <v>N</v>
      </c>
      <c r="GB280" s="0" t="str">
        <f aca="false">IF(GA280&lt;&gt;"Y","",IF(COUNTIFS($GA$2:$GA$1000,"Y",$J$2:$J$1000,"&gt;"&amp;J280)+COUNTIFS($GA$2:$GA$1000,"Y",$J$2:$J$1000,J280,$GD$2:$GD$1000,"&lt;"&amp;GD280)+1&lt;=25,COUNTIFS($GA$2:$GA$1000,"Y",$J$2:$J$1000,"&gt;"&amp;J280)+COUNTIFS($GA$2:$GA$1000,"Y",$J$2:$J$1000,J280,$GD$2:$GD$1000,"&lt;"&amp;GD280)+1,""))</f>
        <v/>
      </c>
      <c r="GC280" s="0" t="str">
        <f aca="false">IF(AND(_xlfn.ISFORMULA(C280),_xlfn.ISFORMULA(J280)),"Y","N")</f>
        <v>Y</v>
      </c>
      <c r="GD280" s="0" t="n">
        <f aca="false">ROW()-1</f>
        <v>279</v>
      </c>
    </row>
    <row r="281" customFormat="false" ht="15" hidden="false" customHeight="false" outlineLevel="0" collapsed="false">
      <c r="A281" s="0" t="s">
        <v>5136</v>
      </c>
      <c r="B281" s="0" t="s">
        <v>5137</v>
      </c>
      <c r="C281" s="0" t="str">
        <f aca="false">IF($A281="","",IF(AW281="Y",BM281&amp;"",AY281&amp;""))</f>
        <v/>
      </c>
      <c r="D281" s="0" t="str">
        <f aca="false">IF($A281="","",IF(AW281="Y",BN281&amp;"",AZ281&amp;""))</f>
        <v/>
      </c>
      <c r="E281" s="0" t="str">
        <f aca="false">IF($A281="","",IF(AW281="Y",BO281&amp;"",BA281&amp;""))</f>
        <v/>
      </c>
      <c r="F281" s="0" t="str">
        <f aca="false">IF($A281="","",IF(AW281="Y",BP281&amp;"",BB281&amp;""))</f>
        <v/>
      </c>
      <c r="G281" s="0" t="str">
        <f aca="false">IF($A281="","",IF(AW281="Y",BQ281&amp;"",BC281&amp;""))</f>
        <v/>
      </c>
      <c r="H281" s="0" t="str">
        <f aca="false">IF($A281="","",IF(AW281="Y",BR281&amp;"",BD281&amp;""))</f>
        <v>none</v>
      </c>
      <c r="I281" s="0" t="str">
        <f aca="false">IF($A281="","",IF(R281="Y","warm-intro",IF(H281="verified","email",IF(C281&lt;&gt;"","linkedin",CB281&amp;""))))</f>
        <v>linkedin</v>
      </c>
      <c r="J281" s="0" t="n">
        <f aca="false">IF($A281="","",IF(CN281="pass",ROUND(N(EM281)+N(EN281)+N(EO281)+N(EP281)+N(EQ281)+N(ER281),1),0))</f>
        <v>0</v>
      </c>
      <c r="K281" s="0" t="str">
        <f aca="false">IF($A281="","",IF(CN281&lt;&gt;"pass",CA281&amp;"",CA281&amp;"; "&amp;IF(AW281="Y",BZ281&amp;"",BL281&amp;"")&amp;IF(R281="Y","; known to the founder (+15)","")&amp;"."))</f>
        <v>Gated out: Tuesday estimate over 250 (314 to 627).</v>
      </c>
      <c r="L281" s="0" t="s">
        <v>355</v>
      </c>
      <c r="O281" s="0" t="s">
        <v>5138</v>
      </c>
      <c r="P281" s="0" t="s">
        <v>3906</v>
      </c>
      <c r="Q281" s="0" t="s">
        <v>3907</v>
      </c>
      <c r="R281" s="5" t="s">
        <v>189</v>
      </c>
      <c r="S281" s="0" t="s">
        <v>209</v>
      </c>
      <c r="T281" s="0" t="s">
        <v>189</v>
      </c>
      <c r="U281" s="5" t="s">
        <v>3896</v>
      </c>
      <c r="V281" s="0" t="s">
        <v>3906</v>
      </c>
      <c r="W281" s="0" t="s">
        <v>263</v>
      </c>
      <c r="X281" s="0" t="s">
        <v>3897</v>
      </c>
      <c r="Y281" s="0" t="str">
        <f aca="false">IF(FX281&lt;&gt;"Y","",COUNTIFS($FX$2:$FX$1000,"Y",$J$2:$J$1000,"&gt;"&amp;J281)+COUNTIFS($FX$2:$FX$1000,"Y",$J$2:$J$1000,J281,$GD$2:$GD$1000,"&lt;"&amp;GD281)+1)</f>
        <v/>
      </c>
      <c r="AA281" s="0" t="s">
        <v>189</v>
      </c>
      <c r="AB281" s="0" t="str">
        <f aca="false">IF($A281="","",IF(AW281="Y",BY281&amp;"",BK281&amp;""))</f>
        <v/>
      </c>
      <c r="AC281" s="0" t="str">
        <f aca="false">IF($A281="","",IF(AW281="Y",BS281&amp;"",BE281&amp;""))</f>
        <v/>
      </c>
      <c r="AD281" s="0" t="str">
        <f aca="false">IF($A281="","",IF(AW281="Y",BT281&amp;"",BF281&amp;""))</f>
        <v>none</v>
      </c>
      <c r="AE281" s="0" t="str">
        <f aca="false">IF($A281="","",IF(AW281="Y",BU281&amp;"",BG281&amp;""))</f>
        <v/>
      </c>
      <c r="AF281" s="0" t="str">
        <f aca="false">IF($A281="","",IF(AW281="Y",BV281&amp;"",BH281&amp;""))</f>
        <v/>
      </c>
      <c r="AG281" s="0" t="str">
        <f aca="false">IF($A281="","",IF(AW281="Y",BW281&amp;"",BI281&amp;""))</f>
        <v/>
      </c>
      <c r="AH281" s="0" t="str">
        <f aca="false">IF($A281="","",IF(AW281="Y",BX281&amp;"",BJ281&amp;""))</f>
        <v>none</v>
      </c>
      <c r="AI281" s="0" t="s">
        <v>2553</v>
      </c>
      <c r="AJ281" s="0" t="s">
        <v>623</v>
      </c>
      <c r="AK281" s="0" t="s">
        <v>4183</v>
      </c>
      <c r="AL281" s="0" t="n">
        <v>314</v>
      </c>
      <c r="AM281" s="0" t="n">
        <v>627</v>
      </c>
      <c r="AN281" s="0" t="s">
        <v>187</v>
      </c>
      <c r="AO281" s="0" t="s">
        <v>209</v>
      </c>
      <c r="AP281" s="0" t="s">
        <v>5136</v>
      </c>
      <c r="AQ281" s="5" t="s">
        <v>164</v>
      </c>
      <c r="AR281" s="0" t="s">
        <v>779</v>
      </c>
      <c r="AT281" s="0" t="str">
        <f aca="false">IF($A281="","",IF(AND(CN281="pass",AQ281&lt;&gt;"Y",C281&lt;&gt;"",OR(AX281&lt;&gt;"Y",AV281="Y")),"Y","N"))</f>
        <v>N</v>
      </c>
      <c r="AU281" s="0" t="str">
        <f aca="false">IF($A281="","",_xlfn.TEXTJOIN("; ",TRUE(),IF(CN281&lt;&gt;"pass","gated out",""),IF(AQ281="Y","on hold: "&amp;AR281,""),IF(C281="","no contact named on an opened page",""),IF(AND(AX281="Y",AV281&lt;&gt;"Y"),"Tuesday estimate band "&amp;L281&amp;": founder's call","")))</f>
        <v>gated out; on hold: lease signed, move not confirmed: check the lobby directory before outreach (B); no contact named on an opened page; Tuesday estimate band 251-500: founder's call</v>
      </c>
      <c r="AX281" s="0" t="s">
        <v>164</v>
      </c>
      <c r="BC281" s="0" t="str">
        <f aca="false">IF($A281="","",IFERROR(INDEX(Enrichment!$A$2:$GZ$2000,MATCH($A281,INDEX(Enrichment!$A$2:$GZ$2000,0,MATCH("row_id",Enrichment!$A$1:$GZ$1,0)),0),MATCH("work_email",Enrichment!$A$1:$GZ$1,0))&amp;"",""))</f>
        <v/>
      </c>
      <c r="BD281" s="0" t="str">
        <f aca="false">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none</v>
      </c>
      <c r="BF281" s="0" t="s">
        <v>380</v>
      </c>
      <c r="BJ281" s="0" t="s">
        <v>380</v>
      </c>
      <c r="BL281" s="0" t="s">
        <v>896</v>
      </c>
      <c r="BQ281" s="0" t="str">
        <f aca="false">IF($A281="","",IFERROR(INDEX(Enrichment!$A$2:$GZ$2000,MATCH($A281,INDEX(Enrichment!$A$2:$GZ$2000,0,MATCH("row_id",Enrichment!$A$1:$GZ$1,0)),0),MATCH("backup_work_email",Enrichment!$A$1:$GZ$1,0))&amp;"",""))</f>
        <v/>
      </c>
      <c r="BR281" s="0" t="str">
        <f aca="false">IF($A281="","",IF(BQ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none</v>
      </c>
      <c r="BT281" s="0" t="s">
        <v>380</v>
      </c>
      <c r="BX281" s="0" t="s">
        <v>380</v>
      </c>
      <c r="BZ281" s="0" t="s">
        <v>388</v>
      </c>
      <c r="CA281" s="0" t="s">
        <v>5139</v>
      </c>
      <c r="CB281" s="0" t="s">
        <v>196</v>
      </c>
      <c r="CM281" s="0" t="s">
        <v>189</v>
      </c>
      <c r="CN281" s="0" t="s">
        <v>4627</v>
      </c>
      <c r="CO281" s="0" t="s">
        <v>5140</v>
      </c>
      <c r="CP281" s="0" t="s">
        <v>1</v>
      </c>
      <c r="CQ281" s="0" t="s">
        <v>5141</v>
      </c>
      <c r="CR281" s="0" t="s">
        <v>5142</v>
      </c>
      <c r="CS281" s="0" t="s">
        <v>1470</v>
      </c>
      <c r="CT281" s="0" t="s">
        <v>5143</v>
      </c>
      <c r="CV281" s="0" t="s">
        <v>976</v>
      </c>
      <c r="CW281" s="0" t="s">
        <v>204</v>
      </c>
      <c r="CX281" s="0" t="s">
        <v>205</v>
      </c>
      <c r="CY281" s="0" t="s">
        <v>5144</v>
      </c>
      <c r="DA281" s="0" t="s">
        <v>978</v>
      </c>
      <c r="DB281" s="0" t="s">
        <v>259</v>
      </c>
      <c r="DC281" s="0" t="s">
        <v>164</v>
      </c>
      <c r="DD281" s="0" t="s">
        <v>209</v>
      </c>
      <c r="DE281" s="0" t="s">
        <v>5145</v>
      </c>
      <c r="DF281" s="0" t="s">
        <v>525</v>
      </c>
      <c r="DG281" s="0" t="n">
        <v>40.741761</v>
      </c>
      <c r="DH281" s="0" t="n">
        <v>-73.987033</v>
      </c>
      <c r="DI281" s="0" t="s">
        <v>164</v>
      </c>
      <c r="DJ281" s="0" t="n">
        <v>0</v>
      </c>
      <c r="DK281" s="0" t="s">
        <v>2502</v>
      </c>
      <c r="DL281" s="0" t="s">
        <v>2503</v>
      </c>
      <c r="DM281" s="0" t="s">
        <v>3906</v>
      </c>
      <c r="DN281" s="0" t="s">
        <v>3907</v>
      </c>
      <c r="DO281" s="0" t="s">
        <v>363</v>
      </c>
      <c r="DP281" s="0" t="s">
        <v>5146</v>
      </c>
      <c r="DQ281" s="0" t="s">
        <v>5147</v>
      </c>
      <c r="DS281" s="0" t="s">
        <v>809</v>
      </c>
      <c r="DT281" s="0" t="s">
        <v>209</v>
      </c>
      <c r="DU281" s="0" t="s">
        <v>189</v>
      </c>
      <c r="DX281" s="0" t="s">
        <v>2507</v>
      </c>
      <c r="DY281" s="0" t="s">
        <v>2508</v>
      </c>
      <c r="EA281" s="0" t="s">
        <v>209</v>
      </c>
      <c r="EB281" s="0" t="s">
        <v>189</v>
      </c>
      <c r="EC281" s="0" t="s">
        <v>209</v>
      </c>
      <c r="EF281" s="0" t="n">
        <v>444</v>
      </c>
      <c r="EG281" s="0" t="s">
        <v>4781</v>
      </c>
      <c r="EH281" s="0" t="s">
        <v>189</v>
      </c>
      <c r="EI281" s="0" t="s">
        <v>5148</v>
      </c>
      <c r="EJ281" s="0" t="s">
        <v>221</v>
      </c>
      <c r="EK281" s="0" t="n">
        <v>0</v>
      </c>
      <c r="EL281" s="0" t="n">
        <v>13</v>
      </c>
      <c r="EM281" s="0" t="n">
        <v>0</v>
      </c>
      <c r="EN281" s="0" t="n">
        <v>2</v>
      </c>
      <c r="EO281" s="0" t="n">
        <v>6</v>
      </c>
      <c r="EP281" s="0" t="n">
        <v>5</v>
      </c>
      <c r="EQ281" s="0" t="n">
        <f aca="false">IF($A281="","",IF(AH281="exact",10,IF(AH281="adjacent",5,0)))</f>
        <v>0</v>
      </c>
      <c r="ER281" s="0" t="n">
        <f aca="false">IF($A281="","",IF(R281="Y",15,0))</f>
        <v>0</v>
      </c>
      <c r="ES281" s="0" t="s">
        <v>982</v>
      </c>
      <c r="ET281" s="0" t="s">
        <v>983</v>
      </c>
      <c r="EU281" s="0" t="s">
        <v>189</v>
      </c>
      <c r="EV281" s="0" t="s">
        <v>5149</v>
      </c>
      <c r="EW281" s="0" t="s">
        <v>224</v>
      </c>
      <c r="EX281" s="0" t="s">
        <v>5150</v>
      </c>
      <c r="EZ281" s="0" t="s">
        <v>5151</v>
      </c>
      <c r="FS281" s="0" t="str">
        <f aca="false">IF($A281="","",IF(ISNUMBER(MATCH(U281,{"queued","contacted","replied","call_booked","call_done","yes_in_principle","materials_sent"},0)),"Y","N"))</f>
        <v>N</v>
      </c>
      <c r="FT281" s="0" t="str">
        <f aca="false">IF($A281="","",IF(OR(T281="Y",U281="do_not_contact",AS281&amp;""&lt;&gt;""),"Y","N"))</f>
        <v>N</v>
      </c>
      <c r="FU281" s="0" t="str">
        <f aca="false">IF($A281="","",IF(AP281&amp;""&lt;&gt;"",AP281&amp;"",$A281))</f>
        <v>AO-C-242</v>
      </c>
      <c r="FV281" s="0" t="str">
        <f aca="false">IF($A281="","",IF(COUNTIFS($FU$2:$FU$1000,FU281,$FS$2:$FS$1000,"Y")+COUNTIFS($FU$2:$FU$1000,FU281,$FT$2:$FT$1000,"Y")&gt;0,"Y","N"))</f>
        <v>N</v>
      </c>
      <c r="FW281" s="0" t="str">
        <f aca="false">IF($A281="","",IF(AND(U281="new",T281="N",FT281="N",AT281="Y",FV281="N"),"Y","N"))</f>
        <v>N</v>
      </c>
      <c r="FX281" s="0" t="str">
        <f aca="false">IF($A281="","",IF(FW281&lt;&gt;"Y","N",IF(COUNTIFS($FU$2:$FU$1000,FU281,$FW$2:$FW$1000,"Y",$J$2:$J$1000,"&gt;"&amp;J281)+COUNTIFS($FU$2:$FU$1000,FU281,$FW$2:$FW$1000,"Y",$J$2:$J$1000,J281,$GD$2:$GD$1000,"&lt;"&amp;GD281)=0,"Y","N")))</f>
        <v>N</v>
      </c>
      <c r="FY281" s="0" t="str">
        <f aca="false">IF($A281="","",IF(AND(FW281="Y",FX281="Y",Y281&amp;""&lt;&gt;""),IF(Y281&lt;=10,"Y","N"),"N"))</f>
        <v>N</v>
      </c>
      <c r="FZ281" s="0" t="str">
        <f aca="false">IF(FY281="Y",Y281,"")</f>
        <v/>
      </c>
      <c r="GA281" s="0" t="str">
        <f aca="false">IF($A281="","",IF(AND(I281="walk-in",CN281="pass",U281="new",FT281="N",FV281="N",AQ281&lt;&gt;"Y"),"Y","N"))</f>
        <v>N</v>
      </c>
      <c r="GB281" s="0" t="str">
        <f aca="false">IF(GA281&lt;&gt;"Y","",IF(COUNTIFS($GA$2:$GA$1000,"Y",$J$2:$J$1000,"&gt;"&amp;J281)+COUNTIFS($GA$2:$GA$1000,"Y",$J$2:$J$1000,J281,$GD$2:$GD$1000,"&lt;"&amp;GD281)+1&lt;=25,COUNTIFS($GA$2:$GA$1000,"Y",$J$2:$J$1000,"&gt;"&amp;J281)+COUNTIFS($GA$2:$GA$1000,"Y",$J$2:$J$1000,J281,$GD$2:$GD$1000,"&lt;"&amp;GD281)+1,""))</f>
        <v/>
      </c>
      <c r="GC281" s="0" t="str">
        <f aca="false">IF(AND(_xlfn.ISFORMULA(C281),_xlfn.ISFORMULA(J281)),"Y","N")</f>
        <v>Y</v>
      </c>
      <c r="GD281" s="0" t="n">
        <f aca="false">ROW()-1</f>
        <v>280</v>
      </c>
    </row>
    <row r="282" customFormat="false" ht="15" hidden="false" customHeight="false" outlineLevel="0" collapsed="false">
      <c r="A282" s="0" t="s">
        <v>5152</v>
      </c>
      <c r="B282" s="0" t="s">
        <v>5153</v>
      </c>
      <c r="C282" s="0" t="str">
        <f aca="false">IF($A282="","",IF(AW282="Y",BM282&amp;"",AY282&amp;""))</f>
        <v/>
      </c>
      <c r="D282" s="0" t="str">
        <f aca="false">IF($A282="","",IF(AW282="Y",BN282&amp;"",AZ282&amp;""))</f>
        <v/>
      </c>
      <c r="E282" s="0" t="str">
        <f aca="false">IF($A282="","",IF(AW282="Y",BO282&amp;"",BA282&amp;""))</f>
        <v/>
      </c>
      <c r="F282" s="0" t="str">
        <f aca="false">IF($A282="","",IF(AW282="Y",BP282&amp;"",BB282&amp;""))</f>
        <v/>
      </c>
      <c r="G282" s="0" t="str">
        <f aca="false">IF($A282="","",IF(AW282="Y",BQ282&amp;"",BC282&amp;""))</f>
        <v/>
      </c>
      <c r="H282" s="0" t="str">
        <f aca="false">IF($A282="","",IF(AW282="Y",BR282&amp;"",BD282&amp;""))</f>
        <v>none</v>
      </c>
      <c r="I282" s="0" t="str">
        <f aca="false">IF($A282="","",IF(R282="Y","warm-intro",IF(H282="verified","email",IF(C282&lt;&gt;"","linkedin",CB282&amp;""))))</f>
        <v>linkedin</v>
      </c>
      <c r="J282" s="0" t="n">
        <f aca="false">IF($A282="","",IF(CN282="pass",ROUND(N(EM282)+N(EN282)+N(EO282)+N(EP282)+N(EQ282)+N(ER282),1),0))</f>
        <v>0</v>
      </c>
      <c r="K282" s="0" t="str">
        <f aca="false">IF($A282="","",IF(CN282&lt;&gt;"pass",CA282&amp;"",CA282&amp;"; "&amp;IF(AW282="Y",BZ282&amp;"",BL282&amp;"")&amp;IF(R282="Y","; known to the founder (+15)","")&amp;"."))</f>
        <v>Gated out: Tuesday estimate over 250 (892 to 1696).</v>
      </c>
      <c r="L282" s="0" t="s">
        <v>976</v>
      </c>
      <c r="R282" s="5" t="s">
        <v>189</v>
      </c>
      <c r="S282" s="0" t="s">
        <v>209</v>
      </c>
      <c r="T282" s="0" t="s">
        <v>189</v>
      </c>
      <c r="U282" s="5" t="s">
        <v>3896</v>
      </c>
      <c r="V282" s="0" t="s">
        <v>5154</v>
      </c>
      <c r="W282" s="0" t="s">
        <v>263</v>
      </c>
      <c r="X282" s="0" t="s">
        <v>3897</v>
      </c>
      <c r="Y282" s="0" t="str">
        <f aca="false">IF(FX282&lt;&gt;"Y","",COUNTIFS($FX$2:$FX$1000,"Y",$J$2:$J$1000,"&gt;"&amp;J282)+COUNTIFS($FX$2:$FX$1000,"Y",$J$2:$J$1000,J282,$GD$2:$GD$1000,"&lt;"&amp;GD282)+1)</f>
        <v/>
      </c>
      <c r="AA282" s="0" t="s">
        <v>189</v>
      </c>
      <c r="AB282" s="0" t="str">
        <f aca="false">IF($A282="","",IF(AW282="Y",BY282&amp;"",BK282&amp;""))</f>
        <v/>
      </c>
      <c r="AC282" s="0" t="str">
        <f aca="false">IF($A282="","",IF(AW282="Y",BS282&amp;"",BE282&amp;""))</f>
        <v/>
      </c>
      <c r="AD282" s="0" t="str">
        <f aca="false">IF($A282="","",IF(AW282="Y",BT282&amp;"",BF282&amp;""))</f>
        <v>none</v>
      </c>
      <c r="AE282" s="0" t="str">
        <f aca="false">IF($A282="","",IF(AW282="Y",BU282&amp;"",BG282&amp;""))</f>
        <v/>
      </c>
      <c r="AF282" s="0" t="str">
        <f aca="false">IF($A282="","",IF(AW282="Y",BV282&amp;"",BH282&amp;""))</f>
        <v/>
      </c>
      <c r="AG282" s="0" t="str">
        <f aca="false">IF($A282="","",IF(AW282="Y",BW282&amp;"",BI282&amp;""))</f>
        <v/>
      </c>
      <c r="AH282" s="0" t="str">
        <f aca="false">IF($A282="","",IF(AW282="Y",BX282&amp;"",BJ282&amp;""))</f>
        <v>none</v>
      </c>
      <c r="AI282" s="0" t="s">
        <v>5155</v>
      </c>
      <c r="AJ282" s="0" t="s">
        <v>209</v>
      </c>
      <c r="AK282" s="0" t="s">
        <v>3933</v>
      </c>
      <c r="AL282" s="0" t="n">
        <v>892</v>
      </c>
      <c r="AM282" s="0" t="n">
        <v>1696</v>
      </c>
      <c r="AN282" s="0" t="s">
        <v>187</v>
      </c>
      <c r="AO282" s="0" t="s">
        <v>209</v>
      </c>
      <c r="AP282" s="0" t="s">
        <v>5152</v>
      </c>
      <c r="AQ282" s="5" t="s">
        <v>189</v>
      </c>
      <c r="AT282" s="0" t="str">
        <f aca="false">IF($A282="","",IF(AND(CN282="pass",AQ282&lt;&gt;"Y",C282&lt;&gt;"",OR(AX282&lt;&gt;"Y",AV282="Y")),"Y","N"))</f>
        <v>N</v>
      </c>
      <c r="AU282" s="0" t="str">
        <f aca="false">IF($A282="","",_xlfn.TEXTJOIN("; ",TRUE(),IF(CN282&lt;&gt;"pass","gated out",""),IF(AQ282="Y","on hold: "&amp;AR282,""),IF(C282="","no contact named on an opened page",""),IF(AND(AX282="Y",AV282&lt;&gt;"Y"),"Tuesday estimate band "&amp;L282&amp;": founder's call","")))</f>
        <v>gated out; no contact named on an opened page; Tuesday estimate band over-500: founder's call</v>
      </c>
      <c r="AX282" s="0" t="s">
        <v>164</v>
      </c>
      <c r="BC282" s="0" t="str">
        <f aca="false">IF($A282="","",IFERROR(INDEX(Enrichment!$A$2:$GZ$2000,MATCH($A282,INDEX(Enrichment!$A$2:$GZ$2000,0,MATCH("row_id",Enrichment!$A$1:$GZ$1,0)),0),MATCH("work_email",Enrichment!$A$1:$GZ$1,0))&amp;"",""))</f>
        <v/>
      </c>
      <c r="BD282" s="0" t="str">
        <f aca="false">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none</v>
      </c>
      <c r="BF282" s="0" t="s">
        <v>380</v>
      </c>
      <c r="BJ282" s="0" t="s">
        <v>380</v>
      </c>
      <c r="BL282" s="0" t="s">
        <v>896</v>
      </c>
      <c r="BQ282" s="0" t="str">
        <f aca="false">IF($A282="","",IFERROR(INDEX(Enrichment!$A$2:$GZ$2000,MATCH($A282,INDEX(Enrichment!$A$2:$GZ$2000,0,MATCH("row_id",Enrichment!$A$1:$GZ$1,0)),0),MATCH("backup_work_email",Enrichment!$A$1:$GZ$1,0))&amp;"",""))</f>
        <v/>
      </c>
      <c r="BR282" s="0" t="str">
        <f aca="false">IF($A282="","",IF(BQ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none</v>
      </c>
      <c r="BT282" s="0" t="s">
        <v>380</v>
      </c>
      <c r="BX282" s="0" t="s">
        <v>380</v>
      </c>
      <c r="BZ282" s="0" t="s">
        <v>388</v>
      </c>
      <c r="CA282" s="0" t="s">
        <v>5156</v>
      </c>
      <c r="CB282" s="0" t="s">
        <v>196</v>
      </c>
      <c r="CM282" s="0" t="s">
        <v>189</v>
      </c>
      <c r="CN282" s="0" t="s">
        <v>4627</v>
      </c>
      <c r="CO282" s="0" t="s">
        <v>5157</v>
      </c>
      <c r="CP282" s="0" t="s">
        <v>1</v>
      </c>
      <c r="CQ282" s="0" t="s">
        <v>5158</v>
      </c>
      <c r="CR282" s="0" t="s">
        <v>5159</v>
      </c>
      <c r="CS282" s="0" t="s">
        <v>5160</v>
      </c>
      <c r="CT282" s="0" t="s">
        <v>5161</v>
      </c>
      <c r="CV282" s="0" t="s">
        <v>976</v>
      </c>
      <c r="CW282" s="0" t="s">
        <v>204</v>
      </c>
      <c r="CX282" s="0" t="s">
        <v>205</v>
      </c>
      <c r="CY282" s="0" t="s">
        <v>5162</v>
      </c>
      <c r="DA282" s="0" t="s">
        <v>2301</v>
      </c>
      <c r="DB282" s="0" t="s">
        <v>5163</v>
      </c>
      <c r="DC282" s="0" t="s">
        <v>189</v>
      </c>
      <c r="DD282" s="0" t="s">
        <v>209</v>
      </c>
      <c r="DE282" s="0" t="s">
        <v>209</v>
      </c>
      <c r="DG282" s="0" t="n">
        <v>40.739548</v>
      </c>
      <c r="DH282" s="0" t="n">
        <v>-73.991273</v>
      </c>
      <c r="DI282" s="0" t="s">
        <v>164</v>
      </c>
      <c r="DJ282" s="0" t="n">
        <v>0</v>
      </c>
      <c r="DL282" s="0" t="s">
        <v>209</v>
      </c>
      <c r="DM282" s="0" t="s">
        <v>5154</v>
      </c>
      <c r="DN282" s="0" t="s">
        <v>4042</v>
      </c>
      <c r="DO282" s="0" t="s">
        <v>363</v>
      </c>
      <c r="DP282" s="0" t="s">
        <v>5164</v>
      </c>
      <c r="DQ282" s="0" t="s">
        <v>5165</v>
      </c>
      <c r="DS282" s="0" t="s">
        <v>809</v>
      </c>
      <c r="DU282" s="0" t="s">
        <v>189</v>
      </c>
      <c r="DX282" s="0" t="s">
        <v>209</v>
      </c>
      <c r="EA282" s="0" t="s">
        <v>209</v>
      </c>
      <c r="EB282" s="0" t="s">
        <v>189</v>
      </c>
      <c r="EC282" s="0" t="s">
        <v>209</v>
      </c>
      <c r="EF282" s="0" t="n">
        <v>1230</v>
      </c>
      <c r="EG282" s="0" t="s">
        <v>4781</v>
      </c>
      <c r="EH282" s="0" t="s">
        <v>164</v>
      </c>
      <c r="EI282" s="0" t="s">
        <v>5166</v>
      </c>
      <c r="EJ282" s="0" t="s">
        <v>221</v>
      </c>
      <c r="EK282" s="0" t="n">
        <v>0</v>
      </c>
      <c r="EL282" s="0" t="n">
        <v>19</v>
      </c>
      <c r="EM282" s="0" t="n">
        <v>0</v>
      </c>
      <c r="EN282" s="0" t="n">
        <v>0</v>
      </c>
      <c r="EO282" s="0" t="n">
        <v>6</v>
      </c>
      <c r="EP282" s="0" t="n">
        <v>13</v>
      </c>
      <c r="EQ282" s="0" t="n">
        <f aca="false">IF($A282="","",IF(AH282="exact",10,IF(AH282="adjacent",5,0)))</f>
        <v>0</v>
      </c>
      <c r="ER282" s="0" t="n">
        <f aca="false">IF($A282="","",IF(R282="Y",15,0))</f>
        <v>0</v>
      </c>
      <c r="ES282" s="0" t="s">
        <v>982</v>
      </c>
      <c r="ET282" s="0" t="s">
        <v>2310</v>
      </c>
      <c r="EU282" s="0" t="s">
        <v>189</v>
      </c>
      <c r="EV282" s="0" t="s">
        <v>5167</v>
      </c>
      <c r="EW282" s="0" t="s">
        <v>224</v>
      </c>
      <c r="EX282" s="0" t="s">
        <v>5168</v>
      </c>
      <c r="FS282" s="0" t="str">
        <f aca="false">IF($A282="","",IF(ISNUMBER(MATCH(U282,{"queued","contacted","replied","call_booked","call_done","yes_in_principle","materials_sent"},0)),"Y","N"))</f>
        <v>N</v>
      </c>
      <c r="FT282" s="0" t="str">
        <f aca="false">IF($A282="","",IF(OR(T282="Y",U282="do_not_contact",AS282&amp;""&lt;&gt;""),"Y","N"))</f>
        <v>N</v>
      </c>
      <c r="FU282" s="0" t="str">
        <f aca="false">IF($A282="","",IF(AP282&amp;""&lt;&gt;"",AP282&amp;"",$A282))</f>
        <v>AO-C-211</v>
      </c>
      <c r="FV282" s="0" t="str">
        <f aca="false">IF($A282="","",IF(COUNTIFS($FU$2:$FU$1000,FU282,$FS$2:$FS$1000,"Y")+COUNTIFS($FU$2:$FU$1000,FU282,$FT$2:$FT$1000,"Y")&gt;0,"Y","N"))</f>
        <v>N</v>
      </c>
      <c r="FW282" s="0" t="str">
        <f aca="false">IF($A282="","",IF(AND(U282="new",T282="N",FT282="N",AT282="Y",FV282="N"),"Y","N"))</f>
        <v>N</v>
      </c>
      <c r="FX282" s="0" t="str">
        <f aca="false">IF($A282="","",IF(FW282&lt;&gt;"Y","N",IF(COUNTIFS($FU$2:$FU$1000,FU282,$FW$2:$FW$1000,"Y",$J$2:$J$1000,"&gt;"&amp;J282)+COUNTIFS($FU$2:$FU$1000,FU282,$FW$2:$FW$1000,"Y",$J$2:$J$1000,J282,$GD$2:$GD$1000,"&lt;"&amp;GD282)=0,"Y","N")))</f>
        <v>N</v>
      </c>
      <c r="FY282" s="0" t="str">
        <f aca="false">IF($A282="","",IF(AND(FW282="Y",FX282="Y",Y282&amp;""&lt;&gt;""),IF(Y282&lt;=10,"Y","N"),"N"))</f>
        <v>N</v>
      </c>
      <c r="FZ282" s="0" t="str">
        <f aca="false">IF(FY282="Y",Y282,"")</f>
        <v/>
      </c>
      <c r="GA282" s="0" t="str">
        <f aca="false">IF($A282="","",IF(AND(I282="walk-in",CN282="pass",U282="new",FT282="N",FV282="N",AQ282&lt;&gt;"Y"),"Y","N"))</f>
        <v>N</v>
      </c>
      <c r="GB282" s="0" t="str">
        <f aca="false">IF(GA282&lt;&gt;"Y","",IF(COUNTIFS($GA$2:$GA$1000,"Y",$J$2:$J$1000,"&gt;"&amp;J282)+COUNTIFS($GA$2:$GA$1000,"Y",$J$2:$J$1000,J282,$GD$2:$GD$1000,"&lt;"&amp;GD282)+1&lt;=25,COUNTIFS($GA$2:$GA$1000,"Y",$J$2:$J$1000,"&gt;"&amp;J282)+COUNTIFS($GA$2:$GA$1000,"Y",$J$2:$J$1000,J282,$GD$2:$GD$1000,"&lt;"&amp;GD282)+1,""))</f>
        <v/>
      </c>
      <c r="GC282" s="0" t="str">
        <f aca="false">IF(AND(_xlfn.ISFORMULA(C282),_xlfn.ISFORMULA(J282)),"Y","N")</f>
        <v>Y</v>
      </c>
      <c r="GD282" s="0" t="n">
        <f aca="false">ROW()-1</f>
        <v>281</v>
      </c>
    </row>
    <row r="283" customFormat="false" ht="15" hidden="false" customHeight="false" outlineLevel="0" collapsed="false">
      <c r="A283" s="0" t="s">
        <v>5169</v>
      </c>
      <c r="B283" s="0" t="s">
        <v>5170</v>
      </c>
      <c r="C283" s="0" t="str">
        <f aca="false">IF($A283="","",IF(AW283="Y",BM283&amp;"",AY283&amp;""))</f>
        <v/>
      </c>
      <c r="D283" s="0" t="str">
        <f aca="false">IF($A283="","",IF(AW283="Y",BN283&amp;"",AZ283&amp;""))</f>
        <v/>
      </c>
      <c r="E283" s="0" t="str">
        <f aca="false">IF($A283="","",IF(AW283="Y",BO283&amp;"",BA283&amp;""))</f>
        <v/>
      </c>
      <c r="F283" s="0" t="str">
        <f aca="false">IF($A283="","",IF(AW283="Y",BP283&amp;"",BB283&amp;""))</f>
        <v/>
      </c>
      <c r="G283" s="0" t="str">
        <f aca="false">IF($A283="","",IF(AW283="Y",BQ283&amp;"",BC283&amp;""))</f>
        <v/>
      </c>
      <c r="H283" s="0" t="str">
        <f aca="false">IF($A283="","",IF(AW283="Y",BR283&amp;"",BD283&amp;""))</f>
        <v>none</v>
      </c>
      <c r="I283" s="0" t="str">
        <f aca="false">IF($A283="","",IF(R283="Y","warm-intro",IF(H283="verified","email",IF(C283&lt;&gt;"","linkedin",CB283&amp;""))))</f>
        <v>linkedin</v>
      </c>
      <c r="J283" s="0" t="n">
        <f aca="false">IF($A283="","",IF(CN283="pass",ROUND(N(EM283)+N(EN283)+N(EO283)+N(EP283)+N(EQ283)+N(ER283),1),0))</f>
        <v>0</v>
      </c>
      <c r="K283" s="0" t="str">
        <f aca="false">IF($A283="","",IF(CN283&lt;&gt;"pass",CA283&amp;"",CA283&amp;"; "&amp;IF(AW283="Y",BZ283&amp;"",BL283&amp;"")&amp;IF(R283="Y","; known to the founder (+15)","")&amp;"."))</f>
        <v>Gated out: Tuesday estimate over 250 (600 to 1200).</v>
      </c>
      <c r="L283" s="0" t="s">
        <v>976</v>
      </c>
      <c r="R283" s="5" t="s">
        <v>189</v>
      </c>
      <c r="S283" s="0" t="s">
        <v>209</v>
      </c>
      <c r="T283" s="0" t="s">
        <v>189</v>
      </c>
      <c r="U283" s="5" t="s">
        <v>3896</v>
      </c>
      <c r="V283" s="0" t="s">
        <v>3095</v>
      </c>
      <c r="W283" s="0" t="s">
        <v>263</v>
      </c>
      <c r="X283" s="0" t="s">
        <v>3897</v>
      </c>
      <c r="Y283" s="0" t="str">
        <f aca="false">IF(FX283&lt;&gt;"Y","",COUNTIFS($FX$2:$FX$1000,"Y",$J$2:$J$1000,"&gt;"&amp;J283)+COUNTIFS($FX$2:$FX$1000,"Y",$J$2:$J$1000,J283,$GD$2:$GD$1000,"&lt;"&amp;GD283)+1)</f>
        <v/>
      </c>
      <c r="AA283" s="0" t="s">
        <v>189</v>
      </c>
      <c r="AB283" s="0" t="str">
        <f aca="false">IF($A283="","",IF(AW283="Y",BY283&amp;"",BK283&amp;""))</f>
        <v/>
      </c>
      <c r="AC283" s="0" t="str">
        <f aca="false">IF($A283="","",IF(AW283="Y",BS283&amp;"",BE283&amp;""))</f>
        <v/>
      </c>
      <c r="AD283" s="0" t="str">
        <f aca="false">IF($A283="","",IF(AW283="Y",BT283&amp;"",BF283&amp;""))</f>
        <v>none</v>
      </c>
      <c r="AE283" s="0" t="str">
        <f aca="false">IF($A283="","",IF(AW283="Y",BU283&amp;"",BG283&amp;""))</f>
        <v/>
      </c>
      <c r="AF283" s="0" t="str">
        <f aca="false">IF($A283="","",IF(AW283="Y",BV283&amp;"",BH283&amp;""))</f>
        <v/>
      </c>
      <c r="AG283" s="0" t="str">
        <f aca="false">IF($A283="","",IF(AW283="Y",BW283&amp;"",BI283&amp;""))</f>
        <v/>
      </c>
      <c r="AH283" s="0" t="str">
        <f aca="false">IF($A283="","",IF(AW283="Y",BX283&amp;"",BJ283&amp;""))</f>
        <v>none</v>
      </c>
      <c r="AI283" s="0" t="s">
        <v>3087</v>
      </c>
      <c r="AJ283" s="0" t="s">
        <v>5171</v>
      </c>
      <c r="AK283" s="0" t="s">
        <v>3933</v>
      </c>
      <c r="AL283" s="0" t="n">
        <v>600</v>
      </c>
      <c r="AM283" s="0" t="n">
        <v>1200</v>
      </c>
      <c r="AN283" s="0" t="s">
        <v>187</v>
      </c>
      <c r="AO283" s="0" t="s">
        <v>209</v>
      </c>
      <c r="AP283" s="0" t="s">
        <v>5169</v>
      </c>
      <c r="AQ283" s="5" t="s">
        <v>189</v>
      </c>
      <c r="AT283" s="0" t="str">
        <f aca="false">IF($A283="","",IF(AND(CN283="pass",AQ283&lt;&gt;"Y",C283&lt;&gt;"",OR(AX283&lt;&gt;"Y",AV283="Y")),"Y","N"))</f>
        <v>N</v>
      </c>
      <c r="AU283" s="0" t="str">
        <f aca="false">IF($A283="","",_xlfn.TEXTJOIN("; ",TRUE(),IF(CN283&lt;&gt;"pass","gated out",""),IF(AQ283="Y","on hold: "&amp;AR283,""),IF(C283="","no contact named on an opened page",""),IF(AND(AX283="Y",AV283&lt;&gt;"Y"),"Tuesday estimate band "&amp;L283&amp;": founder's call","")))</f>
        <v>gated out; no contact named on an opened page; Tuesday estimate band over-500: founder's call</v>
      </c>
      <c r="AX283" s="0" t="s">
        <v>164</v>
      </c>
      <c r="BC283" s="0" t="str">
        <f aca="false">IF($A283="","",IFERROR(INDEX(Enrichment!$A$2:$GZ$2000,MATCH($A283,INDEX(Enrichment!$A$2:$GZ$2000,0,MATCH("row_id",Enrichment!$A$1:$GZ$1,0)),0),MATCH("work_email",Enrichment!$A$1:$GZ$1,0))&amp;"",""))</f>
        <v/>
      </c>
      <c r="BD283" s="0" t="str">
        <f aca="false">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none</v>
      </c>
      <c r="BF283" s="0" t="s">
        <v>380</v>
      </c>
      <c r="BJ283" s="0" t="s">
        <v>380</v>
      </c>
      <c r="BL283" s="0" t="s">
        <v>896</v>
      </c>
      <c r="BQ283" s="0" t="str">
        <f aca="false">IF($A283="","",IFERROR(INDEX(Enrichment!$A$2:$GZ$2000,MATCH($A283,INDEX(Enrichment!$A$2:$GZ$2000,0,MATCH("row_id",Enrichment!$A$1:$GZ$1,0)),0),MATCH("backup_work_email",Enrichment!$A$1:$GZ$1,0))&amp;"",""))</f>
        <v/>
      </c>
      <c r="BR283" s="0" t="str">
        <f aca="false">IF($A283="","",IF(BQ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none</v>
      </c>
      <c r="BT283" s="0" t="s">
        <v>380</v>
      </c>
      <c r="BX283" s="0" t="s">
        <v>380</v>
      </c>
      <c r="BZ283" s="0" t="s">
        <v>388</v>
      </c>
      <c r="CA283" s="0" t="s">
        <v>5172</v>
      </c>
      <c r="CB283" s="0" t="s">
        <v>196</v>
      </c>
      <c r="CM283" s="0" t="s">
        <v>189</v>
      </c>
      <c r="CN283" s="0" t="s">
        <v>4627</v>
      </c>
      <c r="CO283" s="0" t="s">
        <v>5173</v>
      </c>
      <c r="CP283" s="0" t="s">
        <v>1</v>
      </c>
      <c r="CQ283" s="0" t="s">
        <v>5174</v>
      </c>
      <c r="CR283" s="0" t="s">
        <v>5175</v>
      </c>
      <c r="CS283" s="0" t="s">
        <v>5176</v>
      </c>
      <c r="CT283" s="0" t="s">
        <v>5177</v>
      </c>
      <c r="CV283" s="0" t="s">
        <v>976</v>
      </c>
      <c r="CW283" s="0" t="s">
        <v>204</v>
      </c>
      <c r="CX283" s="0" t="s">
        <v>205</v>
      </c>
      <c r="CY283" s="0" t="s">
        <v>5178</v>
      </c>
      <c r="DA283" s="0" t="s">
        <v>2301</v>
      </c>
      <c r="DB283" s="0" t="s">
        <v>5179</v>
      </c>
      <c r="DC283" s="0" t="s">
        <v>189</v>
      </c>
      <c r="DD283" s="0" t="s">
        <v>209</v>
      </c>
      <c r="DE283" s="0" t="s">
        <v>209</v>
      </c>
      <c r="DF283" s="0" t="s">
        <v>397</v>
      </c>
      <c r="DG283" s="0" t="n">
        <v>40.738461</v>
      </c>
      <c r="DH283" s="0" t="n">
        <v>-73.992523</v>
      </c>
      <c r="DI283" s="0" t="s">
        <v>164</v>
      </c>
      <c r="DJ283" s="0" t="n">
        <v>0</v>
      </c>
      <c r="DL283" s="0" t="s">
        <v>209</v>
      </c>
      <c r="DM283" s="0" t="s">
        <v>3095</v>
      </c>
      <c r="DN283" s="0" t="s">
        <v>3096</v>
      </c>
      <c r="DO283" s="0" t="s">
        <v>363</v>
      </c>
      <c r="DP283" s="0" t="s">
        <v>4991</v>
      </c>
      <c r="DQ283" s="0" t="s">
        <v>4998</v>
      </c>
      <c r="DS283" s="0" t="s">
        <v>809</v>
      </c>
      <c r="DU283" s="0" t="s">
        <v>189</v>
      </c>
      <c r="DX283" s="0" t="s">
        <v>209</v>
      </c>
      <c r="EA283" s="0" t="s">
        <v>209</v>
      </c>
      <c r="EB283" s="0" t="s">
        <v>189</v>
      </c>
      <c r="EC283" s="0" t="s">
        <v>209</v>
      </c>
      <c r="EF283" s="0" t="n">
        <v>849</v>
      </c>
      <c r="EG283" s="0" t="s">
        <v>4781</v>
      </c>
      <c r="EH283" s="0" t="s">
        <v>164</v>
      </c>
      <c r="EI283" s="0" t="s">
        <v>5180</v>
      </c>
      <c r="EJ283" s="0" t="s">
        <v>221</v>
      </c>
      <c r="EK283" s="0" t="n">
        <v>0</v>
      </c>
      <c r="EL283" s="0" t="n">
        <v>19</v>
      </c>
      <c r="EM283" s="0" t="n">
        <v>0</v>
      </c>
      <c r="EN283" s="0" t="n">
        <v>0</v>
      </c>
      <c r="EO283" s="0" t="n">
        <v>6</v>
      </c>
      <c r="EP283" s="0" t="n">
        <v>13</v>
      </c>
      <c r="EQ283" s="0" t="n">
        <f aca="false">IF($A283="","",IF(AH283="exact",10,IF(AH283="adjacent",5,0)))</f>
        <v>0</v>
      </c>
      <c r="ER283" s="0" t="n">
        <f aca="false">IF($A283="","",IF(R283="Y",15,0))</f>
        <v>0</v>
      </c>
      <c r="ES283" s="0" t="s">
        <v>982</v>
      </c>
      <c r="ET283" s="0" t="s">
        <v>2310</v>
      </c>
      <c r="EU283" s="0" t="s">
        <v>189</v>
      </c>
      <c r="EV283" s="0" t="s">
        <v>5181</v>
      </c>
      <c r="EW283" s="0" t="s">
        <v>224</v>
      </c>
      <c r="EX283" s="0" t="s">
        <v>5182</v>
      </c>
      <c r="FS283" s="0" t="str">
        <f aca="false">IF($A283="","",IF(ISNUMBER(MATCH(U283,{"queued","contacted","replied","call_booked","call_done","yes_in_principle","materials_sent"},0)),"Y","N"))</f>
        <v>N</v>
      </c>
      <c r="FT283" s="0" t="str">
        <f aca="false">IF($A283="","",IF(OR(T283="Y",U283="do_not_contact",AS283&amp;""&lt;&gt;""),"Y","N"))</f>
        <v>N</v>
      </c>
      <c r="FU283" s="0" t="str">
        <f aca="false">IF($A283="","",IF(AP283&amp;""&lt;&gt;"",AP283&amp;"",$A283))</f>
        <v>AO-C-194</v>
      </c>
      <c r="FV283" s="0" t="str">
        <f aca="false">IF($A283="","",IF(COUNTIFS($FU$2:$FU$1000,FU283,$FS$2:$FS$1000,"Y")+COUNTIFS($FU$2:$FU$1000,FU283,$FT$2:$FT$1000,"Y")&gt;0,"Y","N"))</f>
        <v>N</v>
      </c>
      <c r="FW283" s="0" t="str">
        <f aca="false">IF($A283="","",IF(AND(U283="new",T283="N",FT283="N",AT283="Y",FV283="N"),"Y","N"))</f>
        <v>N</v>
      </c>
      <c r="FX283" s="0" t="str">
        <f aca="false">IF($A283="","",IF(FW283&lt;&gt;"Y","N",IF(COUNTIFS($FU$2:$FU$1000,FU283,$FW$2:$FW$1000,"Y",$J$2:$J$1000,"&gt;"&amp;J283)+COUNTIFS($FU$2:$FU$1000,FU283,$FW$2:$FW$1000,"Y",$J$2:$J$1000,J283,$GD$2:$GD$1000,"&lt;"&amp;GD283)=0,"Y","N")))</f>
        <v>N</v>
      </c>
      <c r="FY283" s="0" t="str">
        <f aca="false">IF($A283="","",IF(AND(FW283="Y",FX283="Y",Y283&amp;""&lt;&gt;""),IF(Y283&lt;=10,"Y","N"),"N"))</f>
        <v>N</v>
      </c>
      <c r="FZ283" s="0" t="str">
        <f aca="false">IF(FY283="Y",Y283,"")</f>
        <v/>
      </c>
      <c r="GA283" s="0" t="str">
        <f aca="false">IF($A283="","",IF(AND(I283="walk-in",CN283="pass",U283="new",FT283="N",FV283="N",AQ283&lt;&gt;"Y"),"Y","N"))</f>
        <v>N</v>
      </c>
      <c r="GB283" s="0" t="str">
        <f aca="false">IF(GA283&lt;&gt;"Y","",IF(COUNTIFS($GA$2:$GA$1000,"Y",$J$2:$J$1000,"&gt;"&amp;J283)+COUNTIFS($GA$2:$GA$1000,"Y",$J$2:$J$1000,J283,$GD$2:$GD$1000,"&lt;"&amp;GD283)+1&lt;=25,COUNTIFS($GA$2:$GA$1000,"Y",$J$2:$J$1000,"&gt;"&amp;J283)+COUNTIFS($GA$2:$GA$1000,"Y",$J$2:$J$1000,J283,$GD$2:$GD$1000,"&lt;"&amp;GD283)+1,""))</f>
        <v/>
      </c>
      <c r="GC283" s="0" t="str">
        <f aca="false">IF(AND(_xlfn.ISFORMULA(C283),_xlfn.ISFORMULA(J283)),"Y","N")</f>
        <v>Y</v>
      </c>
      <c r="GD283" s="0" t="n">
        <f aca="false">ROW()-1</f>
        <v>282</v>
      </c>
    </row>
    <row r="284" customFormat="false" ht="15" hidden="false" customHeight="false" outlineLevel="0" collapsed="false">
      <c r="A284" s="0" t="s">
        <v>5183</v>
      </c>
      <c r="B284" s="0" t="s">
        <v>5184</v>
      </c>
      <c r="C284" s="0" t="str">
        <f aca="false">IF($A284="","",IF(AW284="Y",BM284&amp;"",AY284&amp;""))</f>
        <v/>
      </c>
      <c r="D284" s="0" t="str">
        <f aca="false">IF($A284="","",IF(AW284="Y",BN284&amp;"",AZ284&amp;""))</f>
        <v/>
      </c>
      <c r="E284" s="0" t="str">
        <f aca="false">IF($A284="","",IF(AW284="Y",BO284&amp;"",BA284&amp;""))</f>
        <v/>
      </c>
      <c r="F284" s="0" t="str">
        <f aca="false">IF($A284="","",IF(AW284="Y",BP284&amp;"",BB284&amp;""))</f>
        <v/>
      </c>
      <c r="G284" s="0" t="str">
        <f aca="false">IF($A284="","",IF(AW284="Y",BQ284&amp;"",BC284&amp;""))</f>
        <v/>
      </c>
      <c r="H284" s="0" t="str">
        <f aca="false">IF($A284="","",IF(AW284="Y",BR284&amp;"",BD284&amp;""))</f>
        <v>none</v>
      </c>
      <c r="I284" s="0" t="str">
        <f aca="false">IF($A284="","",IF(R284="Y","warm-intro",IF(H284="verified","email",IF(C284&lt;&gt;"","linkedin",CB284&amp;""))))</f>
        <v>linkedin</v>
      </c>
      <c r="J284" s="0" t="n">
        <f aca="false">IF($A284="","",IF(CN284="pass",ROUND(N(EM284)+N(EN284)+N(EO284)+N(EP284)+N(EQ284)+N(ER284),1),0))</f>
        <v>0</v>
      </c>
      <c r="K284" s="0" t="str">
        <f aca="false">IF($A284="","",IF(CN284&lt;&gt;"pass",CA284&amp;"",CA284&amp;"; "&amp;IF(AW284="Y",BZ284&amp;"",BL284&amp;"")&amp;IF(R284="Y","; known to the founder (+15)","")&amp;"."))</f>
        <v>Gated out: Tuesday estimate under 30 (20 to 20).</v>
      </c>
      <c r="L284" s="0" t="s">
        <v>1794</v>
      </c>
      <c r="O284" s="0" t="s">
        <v>5185</v>
      </c>
      <c r="P284" s="0" t="s">
        <v>682</v>
      </c>
      <c r="Q284" s="0" t="s">
        <v>683</v>
      </c>
      <c r="R284" s="5" t="s">
        <v>189</v>
      </c>
      <c r="S284" s="0" t="s">
        <v>209</v>
      </c>
      <c r="T284" s="0" t="s">
        <v>189</v>
      </c>
      <c r="U284" s="5" t="s">
        <v>3896</v>
      </c>
      <c r="V284" s="0" t="s">
        <v>682</v>
      </c>
      <c r="W284" s="0" t="s">
        <v>263</v>
      </c>
      <c r="X284" s="0" t="s">
        <v>3897</v>
      </c>
      <c r="Y284" s="0" t="str">
        <f aca="false">IF(FX284&lt;&gt;"Y","",COUNTIFS($FX$2:$FX$1000,"Y",$J$2:$J$1000,"&gt;"&amp;J284)+COUNTIFS($FX$2:$FX$1000,"Y",$J$2:$J$1000,J284,$GD$2:$GD$1000,"&lt;"&amp;GD284)+1)</f>
        <v/>
      </c>
      <c r="AA284" s="0" t="s">
        <v>189</v>
      </c>
      <c r="AB284" s="0" t="str">
        <f aca="false">IF($A284="","",IF(AW284="Y",BY284&amp;"",BK284&amp;""))</f>
        <v/>
      </c>
      <c r="AC284" s="0" t="str">
        <f aca="false">IF($A284="","",IF(AW284="Y",BS284&amp;"",BE284&amp;""))</f>
        <v/>
      </c>
      <c r="AD284" s="0" t="str">
        <f aca="false">IF($A284="","",IF(AW284="Y",BT284&amp;"",BF284&amp;""))</f>
        <v>none</v>
      </c>
      <c r="AE284" s="0" t="str">
        <f aca="false">IF($A284="","",IF(AW284="Y",BU284&amp;"",BG284&amp;""))</f>
        <v/>
      </c>
      <c r="AF284" s="0" t="str">
        <f aca="false">IF($A284="","",IF(AW284="Y",BV284&amp;"",BH284&amp;""))</f>
        <v/>
      </c>
      <c r="AG284" s="0" t="str">
        <f aca="false">IF($A284="","",IF(AW284="Y",BW284&amp;"",BI284&amp;""))</f>
        <v/>
      </c>
      <c r="AH284" s="0" t="str">
        <f aca="false">IF($A284="","",IF(AW284="Y",BX284&amp;"",BJ284&amp;""))</f>
        <v>none</v>
      </c>
      <c r="AI284" s="0" t="s">
        <v>668</v>
      </c>
      <c r="AJ284" s="0" t="s">
        <v>669</v>
      </c>
      <c r="AK284" s="0" t="s">
        <v>4183</v>
      </c>
      <c r="AL284" s="0" t="n">
        <v>20</v>
      </c>
      <c r="AM284" s="0" t="n">
        <v>20</v>
      </c>
      <c r="AN284" s="0" t="s">
        <v>809</v>
      </c>
      <c r="AO284" s="0" t="s">
        <v>209</v>
      </c>
      <c r="AP284" s="0" t="s">
        <v>5183</v>
      </c>
      <c r="AQ284" s="5" t="s">
        <v>164</v>
      </c>
      <c r="AR284" s="0" t="s">
        <v>779</v>
      </c>
      <c r="AT284" s="0" t="str">
        <f aca="false">IF($A284="","",IF(AND(CN284="pass",AQ284&lt;&gt;"Y",C284&lt;&gt;"",OR(AX284&lt;&gt;"Y",AV284="Y")),"Y","N"))</f>
        <v>N</v>
      </c>
      <c r="AU284" s="0" t="str">
        <f aca="false">IF($A284="","",_xlfn.TEXTJOIN("; ",TRUE(),IF(CN284&lt;&gt;"pass","gated out",""),IF(AQ284="Y","on hold: "&amp;AR284,""),IF(C284="","no contact named on an opened page",""),IF(AND(AX284="Y",AV284&lt;&gt;"Y"),"Tuesday estimate band "&amp;L284&amp;": founder's call","")))</f>
        <v>gated out; on hold: lease signed, move not confirmed: check the lobby directory before outreach (B); no contact named on an opened page; Tuesday estimate band under-40: founder's call</v>
      </c>
      <c r="AX284" s="0" t="s">
        <v>164</v>
      </c>
      <c r="BC284" s="0" t="str">
        <f aca="false">IF($A284="","",IFERROR(INDEX(Enrichment!$A$2:$GZ$2000,MATCH($A284,INDEX(Enrichment!$A$2:$GZ$2000,0,MATCH("row_id",Enrichment!$A$1:$GZ$1,0)),0),MATCH("work_email",Enrichment!$A$1:$GZ$1,0))&amp;"",""))</f>
        <v/>
      </c>
      <c r="BD284" s="0" t="str">
        <f aca="false">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none</v>
      </c>
      <c r="BF284" s="0" t="s">
        <v>380</v>
      </c>
      <c r="BJ284" s="0" t="s">
        <v>380</v>
      </c>
      <c r="BL284" s="0" t="s">
        <v>896</v>
      </c>
      <c r="BQ284" s="0" t="str">
        <f aca="false">IF($A284="","",IFERROR(INDEX(Enrichment!$A$2:$GZ$2000,MATCH($A284,INDEX(Enrichment!$A$2:$GZ$2000,0,MATCH("row_id",Enrichment!$A$1:$GZ$1,0)),0),MATCH("backup_work_email",Enrichment!$A$1:$GZ$1,0))&amp;"",""))</f>
        <v/>
      </c>
      <c r="BR284" s="0" t="str">
        <f aca="false">IF($A284="","",IF(BQ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none</v>
      </c>
      <c r="BT284" s="0" t="s">
        <v>380</v>
      </c>
      <c r="BX284" s="0" t="s">
        <v>380</v>
      </c>
      <c r="BZ284" s="0" t="s">
        <v>388</v>
      </c>
      <c r="CA284" s="0" t="s">
        <v>5186</v>
      </c>
      <c r="CB284" s="0" t="s">
        <v>196</v>
      </c>
      <c r="CM284" s="0" t="s">
        <v>189</v>
      </c>
      <c r="CN284" s="0" t="s">
        <v>4627</v>
      </c>
      <c r="CO284" s="0" t="s">
        <v>5187</v>
      </c>
      <c r="CP284" s="0" t="s">
        <v>1</v>
      </c>
      <c r="CQ284" s="0" t="s">
        <v>5188</v>
      </c>
      <c r="CR284" s="0" t="s">
        <v>5189</v>
      </c>
      <c r="CS284" s="0" t="s">
        <v>5190</v>
      </c>
      <c r="CT284" s="0" t="s">
        <v>991</v>
      </c>
      <c r="CU284" s="0" t="s">
        <v>2456</v>
      </c>
      <c r="CV284" s="0" t="s">
        <v>1794</v>
      </c>
      <c r="CW284" s="0" t="s">
        <v>1715</v>
      </c>
      <c r="CX284" s="0" t="s">
        <v>5191</v>
      </c>
      <c r="CY284" s="0" t="s">
        <v>682</v>
      </c>
      <c r="CZ284" s="0" t="s">
        <v>5192</v>
      </c>
      <c r="DA284" s="0" t="s">
        <v>207</v>
      </c>
      <c r="DB284" s="0" t="s">
        <v>259</v>
      </c>
      <c r="DC284" s="0" t="s">
        <v>164</v>
      </c>
      <c r="DD284" s="0" t="s">
        <v>209</v>
      </c>
      <c r="DE284" s="0" t="s">
        <v>5193</v>
      </c>
      <c r="DF284" s="0" t="s">
        <v>525</v>
      </c>
      <c r="DG284" s="0" t="n">
        <v>40.742771</v>
      </c>
      <c r="DH284" s="0" t="n">
        <v>-73.991782</v>
      </c>
      <c r="DI284" s="0" t="s">
        <v>164</v>
      </c>
      <c r="DJ284" s="0" t="n">
        <v>0</v>
      </c>
      <c r="DK284" s="0" t="s">
        <v>680</v>
      </c>
      <c r="DL284" s="0" t="s">
        <v>681</v>
      </c>
      <c r="DM284" s="0" t="s">
        <v>682</v>
      </c>
      <c r="DN284" s="0" t="s">
        <v>683</v>
      </c>
      <c r="DO284" s="0" t="s">
        <v>363</v>
      </c>
      <c r="DP284" s="0" t="s">
        <v>5194</v>
      </c>
      <c r="DQ284" s="0" t="s">
        <v>5102</v>
      </c>
      <c r="DS284" s="0" t="s">
        <v>809</v>
      </c>
      <c r="DT284" s="0" t="s">
        <v>5195</v>
      </c>
      <c r="DU284" s="0" t="s">
        <v>189</v>
      </c>
      <c r="DX284" s="0" t="s">
        <v>209</v>
      </c>
      <c r="EA284" s="0" t="s">
        <v>209</v>
      </c>
      <c r="EB284" s="0" t="s">
        <v>189</v>
      </c>
      <c r="EC284" s="0" t="s">
        <v>209</v>
      </c>
      <c r="EF284" s="0" t="n">
        <v>20</v>
      </c>
      <c r="EG284" s="0" t="s">
        <v>5082</v>
      </c>
      <c r="EH284" s="0" t="s">
        <v>189</v>
      </c>
      <c r="EI284" s="0" t="s">
        <v>5196</v>
      </c>
      <c r="EJ284" s="0" t="s">
        <v>221</v>
      </c>
      <c r="EK284" s="0" t="n">
        <v>0</v>
      </c>
      <c r="EL284" s="0" t="n">
        <v>31</v>
      </c>
      <c r="EM284" s="0" t="n">
        <v>5</v>
      </c>
      <c r="EN284" s="0" t="n">
        <v>15</v>
      </c>
      <c r="EO284" s="0" t="n">
        <v>6</v>
      </c>
      <c r="EP284" s="0" t="n">
        <v>5</v>
      </c>
      <c r="EQ284" s="0" t="n">
        <f aca="false">IF($A284="","",IF(AH284="exact",10,IF(AH284="adjacent",5,0)))</f>
        <v>0</v>
      </c>
      <c r="ER284" s="0" t="n">
        <f aca="false">IF($A284="","",IF(R284="Y",15,0))</f>
        <v>0</v>
      </c>
      <c r="ES284" s="0" t="s">
        <v>222</v>
      </c>
      <c r="EV284" s="0" t="s">
        <v>686</v>
      </c>
      <c r="EW284" s="0" t="s">
        <v>224</v>
      </c>
      <c r="EX284" s="0" t="s">
        <v>5197</v>
      </c>
      <c r="EZ284" s="0" t="s">
        <v>5198</v>
      </c>
      <c r="FS284" s="0" t="str">
        <f aca="false">IF($A284="","",IF(ISNUMBER(MATCH(U284,{"queued","contacted","replied","call_booked","call_done","yes_in_principle","materials_sent"},0)),"Y","N"))</f>
        <v>N</v>
      </c>
      <c r="FT284" s="0" t="str">
        <f aca="false">IF($A284="","",IF(OR(T284="Y",U284="do_not_contact",AS284&amp;""&lt;&gt;""),"Y","N"))</f>
        <v>N</v>
      </c>
      <c r="FU284" s="0" t="str">
        <f aca="false">IF($A284="","",IF(AP284&amp;""&lt;&gt;"",AP284&amp;"",$A284))</f>
        <v>AO-C-097</v>
      </c>
      <c r="FV284" s="0" t="str">
        <f aca="false">IF($A284="","",IF(COUNTIFS($FU$2:$FU$1000,FU284,$FS$2:$FS$1000,"Y")+COUNTIFS($FU$2:$FU$1000,FU284,$FT$2:$FT$1000,"Y")&gt;0,"Y","N"))</f>
        <v>N</v>
      </c>
      <c r="FW284" s="0" t="str">
        <f aca="false">IF($A284="","",IF(AND(U284="new",T284="N",FT284="N",AT284="Y",FV284="N"),"Y","N"))</f>
        <v>N</v>
      </c>
      <c r="FX284" s="0" t="str">
        <f aca="false">IF($A284="","",IF(FW284&lt;&gt;"Y","N",IF(COUNTIFS($FU$2:$FU$1000,FU284,$FW$2:$FW$1000,"Y",$J$2:$J$1000,"&gt;"&amp;J284)+COUNTIFS($FU$2:$FU$1000,FU284,$FW$2:$FW$1000,"Y",$J$2:$J$1000,J284,$GD$2:$GD$1000,"&lt;"&amp;GD284)=0,"Y","N")))</f>
        <v>N</v>
      </c>
      <c r="FY284" s="0" t="str">
        <f aca="false">IF($A284="","",IF(AND(FW284="Y",FX284="Y",Y284&amp;""&lt;&gt;""),IF(Y284&lt;=10,"Y","N"),"N"))</f>
        <v>N</v>
      </c>
      <c r="FZ284" s="0" t="str">
        <f aca="false">IF(FY284="Y",Y284,"")</f>
        <v/>
      </c>
      <c r="GA284" s="0" t="str">
        <f aca="false">IF($A284="","",IF(AND(I284="walk-in",CN284="pass",U284="new",FT284="N",FV284="N",AQ284&lt;&gt;"Y"),"Y","N"))</f>
        <v>N</v>
      </c>
      <c r="GB284" s="0" t="str">
        <f aca="false">IF(GA284&lt;&gt;"Y","",IF(COUNTIFS($GA$2:$GA$1000,"Y",$J$2:$J$1000,"&gt;"&amp;J284)+COUNTIFS($GA$2:$GA$1000,"Y",$J$2:$J$1000,J284,$GD$2:$GD$1000,"&lt;"&amp;GD284)+1&lt;=25,COUNTIFS($GA$2:$GA$1000,"Y",$J$2:$J$1000,"&gt;"&amp;J284)+COUNTIFS($GA$2:$GA$1000,"Y",$J$2:$J$1000,J284,$GD$2:$GD$1000,"&lt;"&amp;GD284)+1,""))</f>
        <v/>
      </c>
      <c r="GC284" s="0" t="str">
        <f aca="false">IF(AND(_xlfn.ISFORMULA(C284),_xlfn.ISFORMULA(J284)),"Y","N")</f>
        <v>Y</v>
      </c>
      <c r="GD284" s="0" t="n">
        <f aca="false">ROW()-1</f>
        <v>283</v>
      </c>
    </row>
    <row r="285" customFormat="false" ht="15" hidden="false" customHeight="false" outlineLevel="0" collapsed="false">
      <c r="A285" s="0" t="s">
        <v>5199</v>
      </c>
      <c r="B285" s="0" t="s">
        <v>5200</v>
      </c>
      <c r="C285" s="0" t="str">
        <f aca="false">IF($A285="","",IF(AW285="Y",BM285&amp;"",AY285&amp;""))</f>
        <v/>
      </c>
      <c r="D285" s="0" t="str">
        <f aca="false">IF($A285="","",IF(AW285="Y",BN285&amp;"",AZ285&amp;""))</f>
        <v/>
      </c>
      <c r="E285" s="0" t="str">
        <f aca="false">IF($A285="","",IF(AW285="Y",BO285&amp;"",BA285&amp;""))</f>
        <v/>
      </c>
      <c r="F285" s="0" t="str">
        <f aca="false">IF($A285="","",IF(AW285="Y",BP285&amp;"",BB285&amp;""))</f>
        <v/>
      </c>
      <c r="G285" s="0" t="str">
        <f aca="false">IF($A285="","",IF(AW285="Y",BQ285&amp;"",BC285&amp;""))</f>
        <v/>
      </c>
      <c r="H285" s="0" t="str">
        <f aca="false">IF($A285="","",IF(AW285="Y",BR285&amp;"",BD285&amp;""))</f>
        <v>none</v>
      </c>
      <c r="I285" s="0" t="str">
        <f aca="false">IF($A285="","",IF(R285="Y","warm-intro",IF(H285="verified","email",IF(C285&lt;&gt;"","linkedin",CB285&amp;""))))</f>
        <v>linkedin</v>
      </c>
      <c r="J285" s="0" t="n">
        <f aca="false">IF($A285="","",IF(CN285="pass",ROUND(N(EM285)+N(EN285)+N(EO285)+N(EP285)+N(EQ285)+N(ER285),1),0))</f>
        <v>0</v>
      </c>
      <c r="K285" s="0" t="str">
        <f aca="false">IF($A285="","",IF(CN285&lt;&gt;"pass",CA285&amp;"",CA285&amp;"; "&amp;IF(AW285="Y",BZ285&amp;"",BL285&amp;"")&amp;IF(R285="Y","; known to the founder (+15)","")&amp;"."))</f>
        <v>Gated out: Tuesday estimate over 250 (370 to 7391).</v>
      </c>
      <c r="L285" s="0" t="s">
        <v>976</v>
      </c>
      <c r="R285" s="5" t="s">
        <v>189</v>
      </c>
      <c r="S285" s="0" t="s">
        <v>209</v>
      </c>
      <c r="T285" s="0" t="s">
        <v>189</v>
      </c>
      <c r="U285" s="5" t="s">
        <v>3896</v>
      </c>
      <c r="V285" s="0" t="s">
        <v>4169</v>
      </c>
      <c r="W285" s="0" t="s">
        <v>263</v>
      </c>
      <c r="X285" s="0" t="s">
        <v>3897</v>
      </c>
      <c r="Y285" s="0" t="str">
        <f aca="false">IF(FX285&lt;&gt;"Y","",COUNTIFS($FX$2:$FX$1000,"Y",$J$2:$J$1000,"&gt;"&amp;J285)+COUNTIFS($FX$2:$FX$1000,"Y",$J$2:$J$1000,J285,$GD$2:$GD$1000,"&lt;"&amp;GD285)+1)</f>
        <v/>
      </c>
      <c r="AA285" s="0" t="s">
        <v>189</v>
      </c>
      <c r="AB285" s="0" t="str">
        <f aca="false">IF($A285="","",IF(AW285="Y",BY285&amp;"",BK285&amp;""))</f>
        <v/>
      </c>
      <c r="AC285" s="0" t="str">
        <f aca="false">IF($A285="","",IF(AW285="Y",BS285&amp;"",BE285&amp;""))</f>
        <v/>
      </c>
      <c r="AD285" s="0" t="str">
        <f aca="false">IF($A285="","",IF(AW285="Y",BT285&amp;"",BF285&amp;""))</f>
        <v>none</v>
      </c>
      <c r="AE285" s="0" t="str">
        <f aca="false">IF($A285="","",IF(AW285="Y",BU285&amp;"",BG285&amp;""))</f>
        <v/>
      </c>
      <c r="AF285" s="0" t="str">
        <f aca="false">IF($A285="","",IF(AW285="Y",BV285&amp;"",BH285&amp;""))</f>
        <v/>
      </c>
      <c r="AG285" s="0" t="str">
        <f aca="false">IF($A285="","",IF(AW285="Y",BW285&amp;"",BI285&amp;""))</f>
        <v/>
      </c>
      <c r="AH285" s="0" t="str">
        <f aca="false">IF($A285="","",IF(AW285="Y",BX285&amp;"",BJ285&amp;""))</f>
        <v>none</v>
      </c>
      <c r="AI285" s="0" t="s">
        <v>1468</v>
      </c>
      <c r="AJ285" s="0" t="s">
        <v>209</v>
      </c>
      <c r="AK285" s="0" t="s">
        <v>3933</v>
      </c>
      <c r="AL285" s="0" t="n">
        <v>370</v>
      </c>
      <c r="AM285" s="0" t="n">
        <v>7391</v>
      </c>
      <c r="AN285" s="0" t="s">
        <v>187</v>
      </c>
      <c r="AO285" s="0" t="s">
        <v>209</v>
      </c>
      <c r="AP285" s="0" t="s">
        <v>5199</v>
      </c>
      <c r="AQ285" s="5" t="s">
        <v>189</v>
      </c>
      <c r="AT285" s="0" t="str">
        <f aca="false">IF($A285="","",IF(AND(CN285="pass",AQ285&lt;&gt;"Y",C285&lt;&gt;"",OR(AX285&lt;&gt;"Y",AV285="Y")),"Y","N"))</f>
        <v>N</v>
      </c>
      <c r="AU285" s="0" t="str">
        <f aca="false">IF($A285="","",_xlfn.TEXTJOIN("; ",TRUE(),IF(CN285&lt;&gt;"pass","gated out",""),IF(AQ285="Y","on hold: "&amp;AR285,""),IF(C285="","no contact named on an opened page",""),IF(AND(AX285="Y",AV285&lt;&gt;"Y"),"Tuesday estimate band "&amp;L285&amp;": founder's call","")))</f>
        <v>gated out; no contact named on an opened page; Tuesday estimate band over-500: founder's call</v>
      </c>
      <c r="AX285" s="0" t="s">
        <v>164</v>
      </c>
      <c r="BC285" s="0" t="str">
        <f aca="false">IF($A285="","",IFERROR(INDEX(Enrichment!$A$2:$GZ$2000,MATCH($A285,INDEX(Enrichment!$A$2:$GZ$2000,0,MATCH("row_id",Enrichment!$A$1:$GZ$1,0)),0),MATCH("work_email",Enrichment!$A$1:$GZ$1,0))&amp;"",""))</f>
        <v/>
      </c>
      <c r="BD285" s="0" t="str">
        <f aca="false">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none</v>
      </c>
      <c r="BF285" s="0" t="s">
        <v>380</v>
      </c>
      <c r="BJ285" s="0" t="s">
        <v>380</v>
      </c>
      <c r="BL285" s="0" t="s">
        <v>896</v>
      </c>
      <c r="BQ285" s="0" t="str">
        <f aca="false">IF($A285="","",IFERROR(INDEX(Enrichment!$A$2:$GZ$2000,MATCH($A285,INDEX(Enrichment!$A$2:$GZ$2000,0,MATCH("row_id",Enrichment!$A$1:$GZ$1,0)),0),MATCH("backup_work_email",Enrichment!$A$1:$GZ$1,0))&amp;"",""))</f>
        <v/>
      </c>
      <c r="BR285" s="0" t="str">
        <f aca="false">IF($A285="","",IF(BQ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none</v>
      </c>
      <c r="BT285" s="0" t="s">
        <v>380</v>
      </c>
      <c r="BX285" s="0" t="s">
        <v>380</v>
      </c>
      <c r="BZ285" s="0" t="s">
        <v>388</v>
      </c>
      <c r="CA285" s="0" t="s">
        <v>5201</v>
      </c>
      <c r="CB285" s="0" t="s">
        <v>196</v>
      </c>
      <c r="CM285" s="0" t="s">
        <v>189</v>
      </c>
      <c r="CN285" s="0" t="s">
        <v>4627</v>
      </c>
      <c r="CO285" s="0" t="s">
        <v>5202</v>
      </c>
      <c r="CP285" s="0" t="s">
        <v>1</v>
      </c>
      <c r="CQ285" s="0" t="s">
        <v>5203</v>
      </c>
      <c r="CR285" s="0" t="s">
        <v>5204</v>
      </c>
      <c r="CS285" s="0" t="s">
        <v>5205</v>
      </c>
      <c r="CT285" s="0" t="s">
        <v>5206</v>
      </c>
      <c r="CV285" s="0" t="s">
        <v>976</v>
      </c>
      <c r="CW285" s="0" t="s">
        <v>204</v>
      </c>
      <c r="CX285" s="0" t="s">
        <v>205</v>
      </c>
      <c r="CY285" s="0" t="s">
        <v>5207</v>
      </c>
      <c r="DA285" s="0" t="s">
        <v>2301</v>
      </c>
      <c r="DB285" s="0" t="s">
        <v>209</v>
      </c>
      <c r="DC285" s="0" t="s">
        <v>209</v>
      </c>
      <c r="DD285" s="0" t="s">
        <v>209</v>
      </c>
      <c r="DE285" s="0" t="s">
        <v>5208</v>
      </c>
      <c r="DF285" s="0" t="s">
        <v>525</v>
      </c>
      <c r="DG285" s="0" t="n">
        <v>40.741141</v>
      </c>
      <c r="DH285" s="0" t="n">
        <v>-73.987489</v>
      </c>
      <c r="DI285" s="0" t="s">
        <v>164</v>
      </c>
      <c r="DJ285" s="0" t="n">
        <v>0</v>
      </c>
      <c r="DL285" s="0" t="s">
        <v>209</v>
      </c>
      <c r="DM285" s="0" t="s">
        <v>4169</v>
      </c>
      <c r="DN285" s="0" t="s">
        <v>4176</v>
      </c>
      <c r="DO285" s="0" t="s">
        <v>4177</v>
      </c>
      <c r="DS285" s="0" t="s">
        <v>809</v>
      </c>
      <c r="DU285" s="0" t="s">
        <v>189</v>
      </c>
      <c r="DX285" s="0" t="s">
        <v>209</v>
      </c>
      <c r="EA285" s="0" t="s">
        <v>209</v>
      </c>
      <c r="EB285" s="0" t="s">
        <v>189</v>
      </c>
      <c r="EC285" s="0" t="s">
        <v>209</v>
      </c>
      <c r="EF285" s="0" t="n">
        <v>1654</v>
      </c>
      <c r="EG285" s="0" t="s">
        <v>4781</v>
      </c>
      <c r="EH285" s="0" t="s">
        <v>189</v>
      </c>
      <c r="EI285" s="0" t="s">
        <v>5209</v>
      </c>
      <c r="EJ285" s="0" t="s">
        <v>221</v>
      </c>
      <c r="EK285" s="0" t="n">
        <v>0</v>
      </c>
      <c r="EL285" s="0" t="n">
        <v>19</v>
      </c>
      <c r="EM285" s="0" t="n">
        <v>0</v>
      </c>
      <c r="EN285" s="0" t="n">
        <v>0</v>
      </c>
      <c r="EO285" s="0" t="n">
        <v>6</v>
      </c>
      <c r="EP285" s="0" t="n">
        <v>13</v>
      </c>
      <c r="EQ285" s="0" t="n">
        <f aca="false">IF($A285="","",IF(AH285="exact",10,IF(AH285="adjacent",5,0)))</f>
        <v>0</v>
      </c>
      <c r="ER285" s="0" t="n">
        <f aca="false">IF($A285="","",IF(R285="Y",15,0))</f>
        <v>0</v>
      </c>
      <c r="ES285" s="0" t="s">
        <v>982</v>
      </c>
      <c r="ET285" s="0" t="s">
        <v>2310</v>
      </c>
      <c r="EU285" s="0" t="s">
        <v>189</v>
      </c>
      <c r="EX285" s="0" t="s">
        <v>5210</v>
      </c>
      <c r="EZ285" s="0" t="s">
        <v>5211</v>
      </c>
      <c r="FS285" s="0" t="str">
        <f aca="false">IF($A285="","",IF(ISNUMBER(MATCH(U285,{"queued","contacted","replied","call_booked","call_done","yes_in_principle","materials_sent"},0)),"Y","N"))</f>
        <v>N</v>
      </c>
      <c r="FT285" s="0" t="str">
        <f aca="false">IF($A285="","",IF(OR(T285="Y",U285="do_not_contact",AS285&amp;""&lt;&gt;""),"Y","N"))</f>
        <v>N</v>
      </c>
      <c r="FU285" s="0" t="str">
        <f aca="false">IF($A285="","",IF(AP285&amp;""&lt;&gt;"",AP285&amp;"",$A285))</f>
        <v>AO-C-238</v>
      </c>
      <c r="FV285" s="0" t="str">
        <f aca="false">IF($A285="","",IF(COUNTIFS($FU$2:$FU$1000,FU285,$FS$2:$FS$1000,"Y")+COUNTIFS($FU$2:$FU$1000,FU285,$FT$2:$FT$1000,"Y")&gt;0,"Y","N"))</f>
        <v>N</v>
      </c>
      <c r="FW285" s="0" t="str">
        <f aca="false">IF($A285="","",IF(AND(U285="new",T285="N",FT285="N",AT285="Y",FV285="N"),"Y","N"))</f>
        <v>N</v>
      </c>
      <c r="FX285" s="0" t="str">
        <f aca="false">IF($A285="","",IF(FW285&lt;&gt;"Y","N",IF(COUNTIFS($FU$2:$FU$1000,FU285,$FW$2:$FW$1000,"Y",$J$2:$J$1000,"&gt;"&amp;J285)+COUNTIFS($FU$2:$FU$1000,FU285,$FW$2:$FW$1000,"Y",$J$2:$J$1000,J285,$GD$2:$GD$1000,"&lt;"&amp;GD285)=0,"Y","N")))</f>
        <v>N</v>
      </c>
      <c r="FY285" s="0" t="str">
        <f aca="false">IF($A285="","",IF(AND(FW285="Y",FX285="Y",Y285&amp;""&lt;&gt;""),IF(Y285&lt;=10,"Y","N"),"N"))</f>
        <v>N</v>
      </c>
      <c r="FZ285" s="0" t="str">
        <f aca="false">IF(FY285="Y",Y285,"")</f>
        <v/>
      </c>
      <c r="GA285" s="0" t="str">
        <f aca="false">IF($A285="","",IF(AND(I285="walk-in",CN285="pass",U285="new",FT285="N",FV285="N",AQ285&lt;&gt;"Y"),"Y","N"))</f>
        <v>N</v>
      </c>
      <c r="GB285" s="0" t="str">
        <f aca="false">IF(GA285&lt;&gt;"Y","",IF(COUNTIFS($GA$2:$GA$1000,"Y",$J$2:$J$1000,"&gt;"&amp;J285)+COUNTIFS($GA$2:$GA$1000,"Y",$J$2:$J$1000,J285,$GD$2:$GD$1000,"&lt;"&amp;GD285)+1&lt;=25,COUNTIFS($GA$2:$GA$1000,"Y",$J$2:$J$1000,"&gt;"&amp;J285)+COUNTIFS($GA$2:$GA$1000,"Y",$J$2:$J$1000,J285,$GD$2:$GD$1000,"&lt;"&amp;GD285)+1,""))</f>
        <v/>
      </c>
      <c r="GC285" s="0" t="str">
        <f aca="false">IF(AND(_xlfn.ISFORMULA(C285),_xlfn.ISFORMULA(J285)),"Y","N")</f>
        <v>Y</v>
      </c>
      <c r="GD285" s="0" t="n">
        <f aca="false">ROW()-1</f>
        <v>284</v>
      </c>
    </row>
    <row r="286" customFormat="false" ht="15" hidden="false" customHeight="false" outlineLevel="0" collapsed="false">
      <c r="A286" s="0" t="s">
        <v>5212</v>
      </c>
      <c r="B286" s="0" t="s">
        <v>5213</v>
      </c>
      <c r="C286" s="0" t="str">
        <f aca="false">IF($A286="","",IF(AW286="Y",BM286&amp;"",AY286&amp;""))</f>
        <v/>
      </c>
      <c r="D286" s="0" t="str">
        <f aca="false">IF($A286="","",IF(AW286="Y",BN286&amp;"",AZ286&amp;""))</f>
        <v/>
      </c>
      <c r="E286" s="0" t="str">
        <f aca="false">IF($A286="","",IF(AW286="Y",BO286&amp;"",BA286&amp;""))</f>
        <v/>
      </c>
      <c r="F286" s="0" t="str">
        <f aca="false">IF($A286="","",IF(AW286="Y",BP286&amp;"",BB286&amp;""))</f>
        <v/>
      </c>
      <c r="G286" s="0" t="str">
        <f aca="false">IF($A286="","",IF(AW286="Y",BQ286&amp;"",BC286&amp;""))</f>
        <v/>
      </c>
      <c r="H286" s="0" t="str">
        <f aca="false">IF($A286="","",IF(AW286="Y",BR286&amp;"",BD286&amp;""))</f>
        <v>none</v>
      </c>
      <c r="I286" s="0" t="str">
        <f aca="false">IF($A286="","",IF(R286="Y","warm-intro",IF(H286="verified","email",IF(C286&lt;&gt;"","linkedin",CB286&amp;""))))</f>
        <v>linkedin</v>
      </c>
      <c r="J286" s="0" t="n">
        <f aca="false">IF($A286="","",IF(CN286="pass",ROUND(N(EM286)+N(EN286)+N(EO286)+N(EP286)+N(EQ286)+N(ER286),1),0))</f>
        <v>0</v>
      </c>
      <c r="K286" s="0" t="str">
        <f aca="false">IF($A286="","",IF(CN286&lt;&gt;"pass",CA286&amp;"",CA286&amp;"; "&amp;IF(AW286="Y",BZ286&amp;"",BL286&amp;"")&amp;IF(R286="Y","; known to the founder (+15)","")&amp;"."))</f>
        <v>Gated out: Tuesday estimate over 250 (374 to 749).</v>
      </c>
      <c r="L286" s="0" t="s">
        <v>976</v>
      </c>
      <c r="R286" s="5" t="s">
        <v>189</v>
      </c>
      <c r="S286" s="0" t="s">
        <v>209</v>
      </c>
      <c r="T286" s="0" t="s">
        <v>189</v>
      </c>
      <c r="U286" s="5" t="s">
        <v>3896</v>
      </c>
      <c r="V286" s="0" t="s">
        <v>5214</v>
      </c>
      <c r="W286" s="0" t="s">
        <v>263</v>
      </c>
      <c r="X286" s="0" t="s">
        <v>3897</v>
      </c>
      <c r="Y286" s="0" t="str">
        <f aca="false">IF(FX286&lt;&gt;"Y","",COUNTIFS($FX$2:$FX$1000,"Y",$J$2:$J$1000,"&gt;"&amp;J286)+COUNTIFS($FX$2:$FX$1000,"Y",$J$2:$J$1000,J286,$GD$2:$GD$1000,"&lt;"&amp;GD286)+1)</f>
        <v/>
      </c>
      <c r="AA286" s="0" t="s">
        <v>189</v>
      </c>
      <c r="AB286" s="0" t="str">
        <f aca="false">IF($A286="","",IF(AW286="Y",BY286&amp;"",BK286&amp;""))</f>
        <v/>
      </c>
      <c r="AC286" s="0" t="str">
        <f aca="false">IF($A286="","",IF(AW286="Y",BS286&amp;"",BE286&amp;""))</f>
        <v/>
      </c>
      <c r="AD286" s="0" t="str">
        <f aca="false">IF($A286="","",IF(AW286="Y",BT286&amp;"",BF286&amp;""))</f>
        <v>none</v>
      </c>
      <c r="AE286" s="0" t="str">
        <f aca="false">IF($A286="","",IF(AW286="Y",BU286&amp;"",BG286&amp;""))</f>
        <v/>
      </c>
      <c r="AF286" s="0" t="str">
        <f aca="false">IF($A286="","",IF(AW286="Y",BV286&amp;"",BH286&amp;""))</f>
        <v/>
      </c>
      <c r="AG286" s="0" t="str">
        <f aca="false">IF($A286="","",IF(AW286="Y",BW286&amp;"",BI286&amp;""))</f>
        <v/>
      </c>
      <c r="AH286" s="0" t="str">
        <f aca="false">IF($A286="","",IF(AW286="Y",BX286&amp;"",BJ286&amp;""))</f>
        <v>none</v>
      </c>
      <c r="AI286" s="0" t="s">
        <v>1403</v>
      </c>
      <c r="AJ286" s="0" t="s">
        <v>209</v>
      </c>
      <c r="AK286" s="0" t="s">
        <v>3933</v>
      </c>
      <c r="AL286" s="0" t="n">
        <v>374</v>
      </c>
      <c r="AM286" s="0" t="n">
        <v>749</v>
      </c>
      <c r="AN286" s="0" t="s">
        <v>187</v>
      </c>
      <c r="AO286" s="0" t="s">
        <v>209</v>
      </c>
      <c r="AP286" s="0" t="s">
        <v>5212</v>
      </c>
      <c r="AQ286" s="5" t="s">
        <v>189</v>
      </c>
      <c r="AT286" s="0" t="str">
        <f aca="false">IF($A286="","",IF(AND(CN286="pass",AQ286&lt;&gt;"Y",C286&lt;&gt;"",OR(AX286&lt;&gt;"Y",AV286="Y")),"Y","N"))</f>
        <v>N</v>
      </c>
      <c r="AU286" s="0" t="str">
        <f aca="false">IF($A286="","",_xlfn.TEXTJOIN("; ",TRUE(),IF(CN286&lt;&gt;"pass","gated out",""),IF(AQ286="Y","on hold: "&amp;AR286,""),IF(C286="","no contact named on an opened page",""),IF(AND(AX286="Y",AV286&lt;&gt;"Y"),"Tuesday estimate band "&amp;L286&amp;": founder's call","")))</f>
        <v>gated out; no contact named on an opened page; Tuesday estimate band over-500: founder's call</v>
      </c>
      <c r="AX286" s="0" t="s">
        <v>164</v>
      </c>
      <c r="BC286" s="0" t="str">
        <f aca="false">IF($A286="","",IFERROR(INDEX(Enrichment!$A$2:$GZ$2000,MATCH($A286,INDEX(Enrichment!$A$2:$GZ$2000,0,MATCH("row_id",Enrichment!$A$1:$GZ$1,0)),0),MATCH("work_email",Enrichment!$A$1:$GZ$1,0))&amp;"",""))</f>
        <v/>
      </c>
      <c r="BD286" s="0" t="str">
        <f aca="false">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none</v>
      </c>
      <c r="BF286" s="0" t="s">
        <v>380</v>
      </c>
      <c r="BJ286" s="0" t="s">
        <v>380</v>
      </c>
      <c r="BL286" s="0" t="s">
        <v>896</v>
      </c>
      <c r="BQ286" s="0" t="str">
        <f aca="false">IF($A286="","",IFERROR(INDEX(Enrichment!$A$2:$GZ$2000,MATCH($A286,INDEX(Enrichment!$A$2:$GZ$2000,0,MATCH("row_id",Enrichment!$A$1:$GZ$1,0)),0),MATCH("backup_work_email",Enrichment!$A$1:$GZ$1,0))&amp;"",""))</f>
        <v/>
      </c>
      <c r="BR286" s="0" t="str">
        <f aca="false">IF($A286="","",IF(BQ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none</v>
      </c>
      <c r="BT286" s="0" t="s">
        <v>380</v>
      </c>
      <c r="BX286" s="0" t="s">
        <v>380</v>
      </c>
      <c r="BZ286" s="0" t="s">
        <v>388</v>
      </c>
      <c r="CA286" s="0" t="s">
        <v>5215</v>
      </c>
      <c r="CB286" s="0" t="s">
        <v>196</v>
      </c>
      <c r="CM286" s="0" t="s">
        <v>189</v>
      </c>
      <c r="CN286" s="0" t="s">
        <v>4627</v>
      </c>
      <c r="CO286" s="0" t="s">
        <v>5216</v>
      </c>
      <c r="CP286" s="0" t="s">
        <v>1</v>
      </c>
      <c r="CQ286" s="0" t="s">
        <v>5217</v>
      </c>
      <c r="CR286" s="0" t="s">
        <v>5218</v>
      </c>
      <c r="CS286" s="0" t="s">
        <v>1338</v>
      </c>
      <c r="CT286" s="0" t="s">
        <v>5219</v>
      </c>
      <c r="CV286" s="0" t="s">
        <v>976</v>
      </c>
      <c r="CW286" s="0" t="s">
        <v>204</v>
      </c>
      <c r="CX286" s="0" t="s">
        <v>205</v>
      </c>
      <c r="CY286" s="0" t="s">
        <v>5220</v>
      </c>
      <c r="DA286" s="0" t="s">
        <v>978</v>
      </c>
      <c r="DB286" s="0" t="s">
        <v>259</v>
      </c>
      <c r="DC286" s="0" t="s">
        <v>164</v>
      </c>
      <c r="DD286" s="0" t="s">
        <v>209</v>
      </c>
      <c r="DE286" s="0" t="s">
        <v>5221</v>
      </c>
      <c r="DF286" s="0" t="s">
        <v>210</v>
      </c>
      <c r="DG286" s="0" t="n">
        <v>40.738809</v>
      </c>
      <c r="DH286" s="0" t="n">
        <v>-73.991356</v>
      </c>
      <c r="DI286" s="0" t="s">
        <v>164</v>
      </c>
      <c r="DJ286" s="0" t="n">
        <v>0</v>
      </c>
      <c r="DK286" s="0" t="s">
        <v>648</v>
      </c>
      <c r="DL286" s="0" t="s">
        <v>649</v>
      </c>
      <c r="DM286" s="0" t="s">
        <v>5214</v>
      </c>
      <c r="DN286" s="0" t="s">
        <v>263</v>
      </c>
      <c r="DO286" s="0" t="s">
        <v>214</v>
      </c>
      <c r="DS286" s="0" t="s">
        <v>809</v>
      </c>
      <c r="DU286" s="0" t="s">
        <v>189</v>
      </c>
      <c r="DX286" s="0" t="s">
        <v>267</v>
      </c>
      <c r="DY286" s="0" t="s">
        <v>654</v>
      </c>
      <c r="EA286" s="0" t="s">
        <v>209</v>
      </c>
      <c r="EB286" s="0" t="s">
        <v>189</v>
      </c>
      <c r="EC286" s="0" t="s">
        <v>209</v>
      </c>
      <c r="EF286" s="0" t="n">
        <v>529</v>
      </c>
      <c r="EG286" s="0" t="s">
        <v>4781</v>
      </c>
      <c r="EH286" s="0" t="s">
        <v>189</v>
      </c>
      <c r="EI286" s="0" t="s">
        <v>5222</v>
      </c>
      <c r="EJ286" s="0" t="s">
        <v>221</v>
      </c>
      <c r="EK286" s="0" t="n">
        <v>0</v>
      </c>
      <c r="EL286" s="0" t="n">
        <v>21</v>
      </c>
      <c r="EM286" s="0" t="n">
        <v>0</v>
      </c>
      <c r="EN286" s="0" t="n">
        <v>2</v>
      </c>
      <c r="EO286" s="0" t="n">
        <v>6</v>
      </c>
      <c r="EP286" s="0" t="n">
        <v>13</v>
      </c>
      <c r="EQ286" s="0" t="n">
        <f aca="false">IF($A286="","",IF(AH286="exact",10,IF(AH286="adjacent",5,0)))</f>
        <v>0</v>
      </c>
      <c r="ER286" s="0" t="n">
        <f aca="false">IF($A286="","",IF(R286="Y",15,0))</f>
        <v>0</v>
      </c>
      <c r="ES286" s="0" t="s">
        <v>982</v>
      </c>
      <c r="ET286" s="0" t="s">
        <v>983</v>
      </c>
      <c r="EU286" s="0" t="s">
        <v>189</v>
      </c>
      <c r="EX286" s="0" t="s">
        <v>5223</v>
      </c>
      <c r="EZ286" s="0" t="s">
        <v>5224</v>
      </c>
      <c r="FS286" s="0" t="str">
        <f aca="false">IF($A286="","",IF(ISNUMBER(MATCH(U286,{"queued","contacted","replied","call_booked","call_done","yes_in_principle","materials_sent"},0)),"Y","N"))</f>
        <v>N</v>
      </c>
      <c r="FT286" s="0" t="str">
        <f aca="false">IF($A286="","",IF(OR(T286="Y",U286="do_not_contact",AS286&amp;""&lt;&gt;""),"Y","N"))</f>
        <v>N</v>
      </c>
      <c r="FU286" s="0" t="str">
        <f aca="false">IF($A286="","",IF(AP286&amp;""&lt;&gt;"",AP286&amp;"",$A286))</f>
        <v>AO-C-204</v>
      </c>
      <c r="FV286" s="0" t="str">
        <f aca="false">IF($A286="","",IF(COUNTIFS($FU$2:$FU$1000,FU286,$FS$2:$FS$1000,"Y")+COUNTIFS($FU$2:$FU$1000,FU286,$FT$2:$FT$1000,"Y")&gt;0,"Y","N"))</f>
        <v>N</v>
      </c>
      <c r="FW286" s="0" t="str">
        <f aca="false">IF($A286="","",IF(AND(U286="new",T286="N",FT286="N",AT286="Y",FV286="N"),"Y","N"))</f>
        <v>N</v>
      </c>
      <c r="FX286" s="0" t="str">
        <f aca="false">IF($A286="","",IF(FW286&lt;&gt;"Y","N",IF(COUNTIFS($FU$2:$FU$1000,FU286,$FW$2:$FW$1000,"Y",$J$2:$J$1000,"&gt;"&amp;J286)+COUNTIFS($FU$2:$FU$1000,FU286,$FW$2:$FW$1000,"Y",$J$2:$J$1000,J286,$GD$2:$GD$1000,"&lt;"&amp;GD286)=0,"Y","N")))</f>
        <v>N</v>
      </c>
      <c r="FY286" s="0" t="str">
        <f aca="false">IF($A286="","",IF(AND(FW286="Y",FX286="Y",Y286&amp;""&lt;&gt;""),IF(Y286&lt;=10,"Y","N"),"N"))</f>
        <v>N</v>
      </c>
      <c r="FZ286" s="0" t="str">
        <f aca="false">IF(FY286="Y",Y286,"")</f>
        <v/>
      </c>
      <c r="GA286" s="0" t="str">
        <f aca="false">IF($A286="","",IF(AND(I286="walk-in",CN286="pass",U286="new",FT286="N",FV286="N",AQ286&lt;&gt;"Y"),"Y","N"))</f>
        <v>N</v>
      </c>
      <c r="GB286" s="0" t="str">
        <f aca="false">IF(GA286&lt;&gt;"Y","",IF(COUNTIFS($GA$2:$GA$1000,"Y",$J$2:$J$1000,"&gt;"&amp;J286)+COUNTIFS($GA$2:$GA$1000,"Y",$J$2:$J$1000,J286,$GD$2:$GD$1000,"&lt;"&amp;GD286)+1&lt;=25,COUNTIFS($GA$2:$GA$1000,"Y",$J$2:$J$1000,"&gt;"&amp;J286)+COUNTIFS($GA$2:$GA$1000,"Y",$J$2:$J$1000,J286,$GD$2:$GD$1000,"&lt;"&amp;GD286)+1,""))</f>
        <v/>
      </c>
      <c r="GC286" s="0" t="str">
        <f aca="false">IF(AND(_xlfn.ISFORMULA(C286),_xlfn.ISFORMULA(J286)),"Y","N")</f>
        <v>Y</v>
      </c>
      <c r="GD286" s="0" t="n">
        <f aca="false">ROW()-1</f>
        <v>285</v>
      </c>
    </row>
    <row r="287" customFormat="false" ht="15" hidden="false" customHeight="false" outlineLevel="0" collapsed="false">
      <c r="A287" s="0" t="s">
        <v>5225</v>
      </c>
      <c r="B287" s="0" t="s">
        <v>5226</v>
      </c>
      <c r="C287" s="0" t="str">
        <f aca="false">IF($A287="","",IF(AW287="Y",BM287&amp;"",AY287&amp;""))</f>
        <v/>
      </c>
      <c r="D287" s="0" t="str">
        <f aca="false">IF($A287="","",IF(AW287="Y",BN287&amp;"",AZ287&amp;""))</f>
        <v/>
      </c>
      <c r="E287" s="0" t="str">
        <f aca="false">IF($A287="","",IF(AW287="Y",BO287&amp;"",BA287&amp;""))</f>
        <v/>
      </c>
      <c r="F287" s="0" t="str">
        <f aca="false">IF($A287="","",IF(AW287="Y",BP287&amp;"",BB287&amp;""))</f>
        <v/>
      </c>
      <c r="G287" s="0" t="str">
        <f aca="false">IF($A287="","",IF(AW287="Y",BQ287&amp;"",BC287&amp;""))</f>
        <v/>
      </c>
      <c r="H287" s="0" t="str">
        <f aca="false">IF($A287="","",IF(AW287="Y",BR287&amp;"",BD287&amp;""))</f>
        <v>none</v>
      </c>
      <c r="I287" s="0" t="str">
        <f aca="false">IF($A287="","",IF(R287="Y","warm-intro",IF(H287="verified","email",IF(C287&lt;&gt;"","linkedin",CB287&amp;""))))</f>
        <v>linkedin</v>
      </c>
      <c r="J287" s="0" t="n">
        <f aca="false">IF($A287="","",IF(CN287="pass",ROUND(N(EM287)+N(EN287)+N(EO287)+N(EP287)+N(EQ287)+N(ER287),1),0))</f>
        <v>0</v>
      </c>
      <c r="K287" s="0" t="str">
        <f aca="false">IF($A287="","",IF(CN287&lt;&gt;"pass",CA287&amp;"",CA287&amp;"; "&amp;IF(AW287="Y",BZ287&amp;"",BL287&amp;"")&amp;IF(R287="Y","; known to the founder (+15)","")&amp;"."))</f>
        <v>Gated out: Tuesday estimate over 250 (404 to 808).</v>
      </c>
      <c r="L287" s="0" t="s">
        <v>976</v>
      </c>
      <c r="O287" s="0" t="s">
        <v>5227</v>
      </c>
      <c r="P287" s="0" t="s">
        <v>5228</v>
      </c>
      <c r="Q287" s="0" t="s">
        <v>2876</v>
      </c>
      <c r="R287" s="5" t="s">
        <v>189</v>
      </c>
      <c r="S287" s="0" t="s">
        <v>209</v>
      </c>
      <c r="T287" s="0" t="s">
        <v>189</v>
      </c>
      <c r="U287" s="5" t="s">
        <v>3896</v>
      </c>
      <c r="V287" s="0" t="s">
        <v>5228</v>
      </c>
      <c r="W287" s="0" t="s">
        <v>263</v>
      </c>
      <c r="X287" s="0" t="s">
        <v>3897</v>
      </c>
      <c r="Y287" s="0" t="str">
        <f aca="false">IF(FX287&lt;&gt;"Y","",COUNTIFS($FX$2:$FX$1000,"Y",$J$2:$J$1000,"&gt;"&amp;J287)+COUNTIFS($FX$2:$FX$1000,"Y",$J$2:$J$1000,J287,$GD$2:$GD$1000,"&lt;"&amp;GD287)+1)</f>
        <v/>
      </c>
      <c r="AA287" s="0" t="s">
        <v>189</v>
      </c>
      <c r="AB287" s="0" t="str">
        <f aca="false">IF($A287="","",IF(AW287="Y",BY287&amp;"",BK287&amp;""))</f>
        <v/>
      </c>
      <c r="AC287" s="0" t="str">
        <f aca="false">IF($A287="","",IF(AW287="Y",BS287&amp;"",BE287&amp;""))</f>
        <v/>
      </c>
      <c r="AD287" s="0" t="str">
        <f aca="false">IF($A287="","",IF(AW287="Y",BT287&amp;"",BF287&amp;""))</f>
        <v>none</v>
      </c>
      <c r="AE287" s="0" t="str">
        <f aca="false">IF($A287="","",IF(AW287="Y",BU287&amp;"",BG287&amp;""))</f>
        <v/>
      </c>
      <c r="AF287" s="0" t="str">
        <f aca="false">IF($A287="","",IF(AW287="Y",BV287&amp;"",BH287&amp;""))</f>
        <v/>
      </c>
      <c r="AG287" s="0" t="str">
        <f aca="false">IF($A287="","",IF(AW287="Y",BW287&amp;"",BI287&amp;""))</f>
        <v/>
      </c>
      <c r="AH287" s="0" t="str">
        <f aca="false">IF($A287="","",IF(AW287="Y",BX287&amp;"",BJ287&amp;""))</f>
        <v>none</v>
      </c>
      <c r="AI287" s="0" t="s">
        <v>5229</v>
      </c>
      <c r="AJ287" s="0" t="s">
        <v>209</v>
      </c>
      <c r="AK287" s="0" t="s">
        <v>4459</v>
      </c>
      <c r="AL287" s="0" t="n">
        <v>404</v>
      </c>
      <c r="AM287" s="0" t="n">
        <v>808</v>
      </c>
      <c r="AN287" s="0" t="s">
        <v>187</v>
      </c>
      <c r="AO287" s="0" t="s">
        <v>209</v>
      </c>
      <c r="AP287" s="0" t="s">
        <v>5225</v>
      </c>
      <c r="AQ287" s="5" t="s">
        <v>164</v>
      </c>
      <c r="AR287" s="0" t="s">
        <v>2978</v>
      </c>
      <c r="AT287" s="0" t="str">
        <f aca="false">IF($A287="","",IF(AND(CN287="pass",AQ287&lt;&gt;"Y",C287&lt;&gt;"",OR(AX287&lt;&gt;"Y",AV287="Y")),"Y","N"))</f>
        <v>N</v>
      </c>
      <c r="AU287" s="0" t="str">
        <f aca="false">IF($A287="","",_xlfn.TEXTJOIN("; ",TRUE(),IF(CN287&lt;&gt;"pass","gated out",""),IF(AQ287="Y","on hold: "&amp;AR287,""),IF(C287="","no contact named on an opened page",""),IF(AND(AX287="Y",AV287&lt;&gt;"Y"),"Tuesday estimate band "&amp;L287&amp;": founder's call","")))</f>
        <v>gated out; on hold: moving out of this address: confirm where the office will be before outreach (B); no contact named on an opened page; Tuesday estimate band over-500: founder's call</v>
      </c>
      <c r="AX287" s="0" t="s">
        <v>164</v>
      </c>
      <c r="BC287" s="0" t="str">
        <f aca="false">IF($A287="","",IFERROR(INDEX(Enrichment!$A$2:$GZ$2000,MATCH($A287,INDEX(Enrichment!$A$2:$GZ$2000,0,MATCH("row_id",Enrichment!$A$1:$GZ$1,0)),0),MATCH("work_email",Enrichment!$A$1:$GZ$1,0))&amp;"",""))</f>
        <v/>
      </c>
      <c r="BD287" s="0" t="str">
        <f aca="false">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none</v>
      </c>
      <c r="BF287" s="0" t="s">
        <v>380</v>
      </c>
      <c r="BJ287" s="0" t="s">
        <v>380</v>
      </c>
      <c r="BL287" s="0" t="s">
        <v>896</v>
      </c>
      <c r="BQ287" s="0" t="str">
        <f aca="false">IF($A287="","",IFERROR(INDEX(Enrichment!$A$2:$GZ$2000,MATCH($A287,INDEX(Enrichment!$A$2:$GZ$2000,0,MATCH("row_id",Enrichment!$A$1:$GZ$1,0)),0),MATCH("backup_work_email",Enrichment!$A$1:$GZ$1,0))&amp;"",""))</f>
        <v/>
      </c>
      <c r="BR287" s="0" t="str">
        <f aca="false">IF($A287="","",IF(BQ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none</v>
      </c>
      <c r="BT287" s="0" t="s">
        <v>380</v>
      </c>
      <c r="BX287" s="0" t="s">
        <v>380</v>
      </c>
      <c r="BZ287" s="0" t="s">
        <v>388</v>
      </c>
      <c r="CA287" s="0" t="s">
        <v>5230</v>
      </c>
      <c r="CB287" s="0" t="s">
        <v>196</v>
      </c>
      <c r="CM287" s="0" t="s">
        <v>189</v>
      </c>
      <c r="CN287" s="0" t="s">
        <v>4627</v>
      </c>
      <c r="CO287" s="0" t="s">
        <v>5231</v>
      </c>
      <c r="CP287" s="0" t="s">
        <v>1</v>
      </c>
      <c r="CQ287" s="0" t="s">
        <v>5232</v>
      </c>
      <c r="CR287" s="0" t="s">
        <v>5233</v>
      </c>
      <c r="CS287" s="0" t="s">
        <v>4555</v>
      </c>
      <c r="CT287" s="0" t="s">
        <v>5234</v>
      </c>
      <c r="CV287" s="0" t="s">
        <v>976</v>
      </c>
      <c r="CW287" s="0" t="s">
        <v>204</v>
      </c>
      <c r="CX287" s="0" t="s">
        <v>205</v>
      </c>
      <c r="CY287" s="0" t="s">
        <v>5235</v>
      </c>
      <c r="DA287" s="0" t="s">
        <v>978</v>
      </c>
      <c r="DB287" s="0" t="s">
        <v>209</v>
      </c>
      <c r="DC287" s="0" t="s">
        <v>209</v>
      </c>
      <c r="DD287" s="0" t="s">
        <v>209</v>
      </c>
      <c r="DE287" s="0" t="s">
        <v>5236</v>
      </c>
      <c r="DF287" s="0" t="s">
        <v>525</v>
      </c>
      <c r="DG287" s="0" t="n">
        <v>40.743196</v>
      </c>
      <c r="DH287" s="0" t="n">
        <v>-73.99084</v>
      </c>
      <c r="DI287" s="0" t="s">
        <v>164</v>
      </c>
      <c r="DJ287" s="0" t="n">
        <v>0</v>
      </c>
      <c r="DL287" s="0" t="s">
        <v>209</v>
      </c>
      <c r="DM287" s="0" t="s">
        <v>5228</v>
      </c>
      <c r="DN287" s="0" t="s">
        <v>2876</v>
      </c>
      <c r="DO287" s="0" t="s">
        <v>363</v>
      </c>
      <c r="DS287" s="0" t="s">
        <v>809</v>
      </c>
      <c r="DT287" s="0" t="s">
        <v>209</v>
      </c>
      <c r="DU287" s="0" t="s">
        <v>189</v>
      </c>
      <c r="DX287" s="0" t="s">
        <v>209</v>
      </c>
      <c r="EA287" s="0" t="s">
        <v>209</v>
      </c>
      <c r="EB287" s="0" t="s">
        <v>189</v>
      </c>
      <c r="EC287" s="0" t="s">
        <v>209</v>
      </c>
      <c r="EF287" s="0" t="n">
        <v>571</v>
      </c>
      <c r="EG287" s="0" t="s">
        <v>4781</v>
      </c>
      <c r="EH287" s="0" t="s">
        <v>164</v>
      </c>
      <c r="EI287" s="0" t="s">
        <v>5237</v>
      </c>
      <c r="EJ287" s="0" t="s">
        <v>221</v>
      </c>
      <c r="EK287" s="0" t="n">
        <v>0</v>
      </c>
      <c r="EL287" s="0" t="n">
        <v>11</v>
      </c>
      <c r="EM287" s="0" t="n">
        <v>0</v>
      </c>
      <c r="EN287" s="0" t="n">
        <v>2</v>
      </c>
      <c r="EO287" s="0" t="n">
        <v>6</v>
      </c>
      <c r="EP287" s="0" t="n">
        <v>3</v>
      </c>
      <c r="EQ287" s="0" t="n">
        <f aca="false">IF($A287="","",IF(AH287="exact",10,IF(AH287="adjacent",5,0)))</f>
        <v>0</v>
      </c>
      <c r="ER287" s="0" t="n">
        <f aca="false">IF($A287="","",IF(R287="Y",15,0))</f>
        <v>0</v>
      </c>
      <c r="ES287" s="0" t="s">
        <v>982</v>
      </c>
      <c r="ET287" s="0" t="s">
        <v>983</v>
      </c>
      <c r="EU287" s="0" t="s">
        <v>189</v>
      </c>
      <c r="EV287" s="0" t="s">
        <v>5238</v>
      </c>
      <c r="EW287" s="0" t="s">
        <v>5239</v>
      </c>
      <c r="EX287" s="0" t="s">
        <v>5240</v>
      </c>
      <c r="EZ287" s="0" t="s">
        <v>5241</v>
      </c>
      <c r="FS287" s="0" t="str">
        <f aca="false">IF($A287="","",IF(ISNUMBER(MATCH(U287,{"queued","contacted","replied","call_booked","call_done","yes_in_principle","materials_sent"},0)),"Y","N"))</f>
        <v>N</v>
      </c>
      <c r="FT287" s="0" t="str">
        <f aca="false">IF($A287="","",IF(OR(T287="Y",U287="do_not_contact",AS287&amp;""&lt;&gt;""),"Y","N"))</f>
        <v>N</v>
      </c>
      <c r="FU287" s="0" t="str">
        <f aca="false">IF($A287="","",IF(AP287&amp;""&lt;&gt;"",AP287&amp;"",$A287))</f>
        <v>AO-C-241</v>
      </c>
      <c r="FV287" s="0" t="str">
        <f aca="false">IF($A287="","",IF(COUNTIFS($FU$2:$FU$1000,FU287,$FS$2:$FS$1000,"Y")+COUNTIFS($FU$2:$FU$1000,FU287,$FT$2:$FT$1000,"Y")&gt;0,"Y","N"))</f>
        <v>N</v>
      </c>
      <c r="FW287" s="0" t="str">
        <f aca="false">IF($A287="","",IF(AND(U287="new",T287="N",FT287="N",AT287="Y",FV287="N"),"Y","N"))</f>
        <v>N</v>
      </c>
      <c r="FX287" s="0" t="str">
        <f aca="false">IF($A287="","",IF(FW287&lt;&gt;"Y","N",IF(COUNTIFS($FU$2:$FU$1000,FU287,$FW$2:$FW$1000,"Y",$J$2:$J$1000,"&gt;"&amp;J287)+COUNTIFS($FU$2:$FU$1000,FU287,$FW$2:$FW$1000,"Y",$J$2:$J$1000,J287,$GD$2:$GD$1000,"&lt;"&amp;GD287)=0,"Y","N")))</f>
        <v>N</v>
      </c>
      <c r="FY287" s="0" t="str">
        <f aca="false">IF($A287="","",IF(AND(FW287="Y",FX287="Y",Y287&amp;""&lt;&gt;""),IF(Y287&lt;=10,"Y","N"),"N"))</f>
        <v>N</v>
      </c>
      <c r="FZ287" s="0" t="str">
        <f aca="false">IF(FY287="Y",Y287,"")</f>
        <v/>
      </c>
      <c r="GA287" s="0" t="str">
        <f aca="false">IF($A287="","",IF(AND(I287="walk-in",CN287="pass",U287="new",FT287="N",FV287="N",AQ287&lt;&gt;"Y"),"Y","N"))</f>
        <v>N</v>
      </c>
      <c r="GB287" s="0" t="str">
        <f aca="false">IF(GA287&lt;&gt;"Y","",IF(COUNTIFS($GA$2:$GA$1000,"Y",$J$2:$J$1000,"&gt;"&amp;J287)+COUNTIFS($GA$2:$GA$1000,"Y",$J$2:$J$1000,J287,$GD$2:$GD$1000,"&lt;"&amp;GD287)+1&lt;=25,COUNTIFS($GA$2:$GA$1000,"Y",$J$2:$J$1000,"&gt;"&amp;J287)+COUNTIFS($GA$2:$GA$1000,"Y",$J$2:$J$1000,J287,$GD$2:$GD$1000,"&lt;"&amp;GD287)+1,""))</f>
        <v/>
      </c>
      <c r="GC287" s="0" t="str">
        <f aca="false">IF(AND(_xlfn.ISFORMULA(C287),_xlfn.ISFORMULA(J287)),"Y","N")</f>
        <v>Y</v>
      </c>
      <c r="GD287" s="0" t="n">
        <f aca="false">ROW()-1</f>
        <v>286</v>
      </c>
    </row>
    <row r="288" customFormat="false" ht="15" hidden="false" customHeight="false" outlineLevel="0" collapsed="false">
      <c r="A288" s="0" t="s">
        <v>5242</v>
      </c>
      <c r="B288" s="0" t="s">
        <v>5243</v>
      </c>
      <c r="C288" s="0" t="str">
        <f aca="false">IF($A288="","",IF(AW288="Y",BM288&amp;"",AY288&amp;""))</f>
        <v/>
      </c>
      <c r="D288" s="0" t="str">
        <f aca="false">IF($A288="","",IF(AW288="Y",BN288&amp;"",AZ288&amp;""))</f>
        <v/>
      </c>
      <c r="E288" s="0" t="str">
        <f aca="false">IF($A288="","",IF(AW288="Y",BO288&amp;"",BA288&amp;""))</f>
        <v/>
      </c>
      <c r="F288" s="0" t="str">
        <f aca="false">IF($A288="","",IF(AW288="Y",BP288&amp;"",BB288&amp;""))</f>
        <v/>
      </c>
      <c r="G288" s="0" t="str">
        <f aca="false">IF($A288="","",IF(AW288="Y",BQ288&amp;"",BC288&amp;""))</f>
        <v/>
      </c>
      <c r="H288" s="0" t="str">
        <f aca="false">IF($A288="","",IF(AW288="Y",BR288&amp;"",BD288&amp;""))</f>
        <v>none</v>
      </c>
      <c r="I288" s="0" t="str">
        <f aca="false">IF($A288="","",IF(R288="Y","warm-intro",IF(H288="verified","email",IF(C288&lt;&gt;"","linkedin",CB288&amp;""))))</f>
        <v>linkedin</v>
      </c>
      <c r="J288" s="0" t="n">
        <f aca="false">IF($A288="","",IF(CN288="pass",ROUND(N(EM288)+N(EN288)+N(EO288)+N(EP288)+N(EQ288)+N(ER288),1),0))</f>
        <v>0</v>
      </c>
      <c r="K288" s="0" t="str">
        <f aca="false">IF($A288="","",IF(CN288&lt;&gt;"pass",CA288&amp;"",CA288&amp;"; "&amp;IF(AW288="Y",BZ288&amp;"",BL288&amp;"")&amp;IF(R288="Y","; known to the founder (+15)","")&amp;"."))</f>
        <v>Gated out: Tuesday estimate over 250 (314 to 627).</v>
      </c>
      <c r="L288" s="0" t="s">
        <v>355</v>
      </c>
      <c r="R288" s="5" t="s">
        <v>189</v>
      </c>
      <c r="S288" s="0" t="s">
        <v>209</v>
      </c>
      <c r="T288" s="0" t="s">
        <v>189</v>
      </c>
      <c r="U288" s="5" t="s">
        <v>3896</v>
      </c>
      <c r="V288" s="0" t="s">
        <v>5244</v>
      </c>
      <c r="W288" s="0" t="s">
        <v>263</v>
      </c>
      <c r="X288" s="0" t="s">
        <v>3897</v>
      </c>
      <c r="Y288" s="0" t="str">
        <f aca="false">IF(FX288&lt;&gt;"Y","",COUNTIFS($FX$2:$FX$1000,"Y",$J$2:$J$1000,"&gt;"&amp;J288)+COUNTIFS($FX$2:$FX$1000,"Y",$J$2:$J$1000,J288,$GD$2:$GD$1000,"&lt;"&amp;GD288)+1)</f>
        <v/>
      </c>
      <c r="AA288" s="0" t="s">
        <v>189</v>
      </c>
      <c r="AB288" s="0" t="str">
        <f aca="false">IF($A288="","",IF(AW288="Y",BY288&amp;"",BK288&amp;""))</f>
        <v/>
      </c>
      <c r="AC288" s="0" t="str">
        <f aca="false">IF($A288="","",IF(AW288="Y",BS288&amp;"",BE288&amp;""))</f>
        <v/>
      </c>
      <c r="AD288" s="0" t="str">
        <f aca="false">IF($A288="","",IF(AW288="Y",BT288&amp;"",BF288&amp;""))</f>
        <v>none</v>
      </c>
      <c r="AE288" s="0" t="str">
        <f aca="false">IF($A288="","",IF(AW288="Y",BU288&amp;"",BG288&amp;""))</f>
        <v/>
      </c>
      <c r="AF288" s="0" t="str">
        <f aca="false">IF($A288="","",IF(AW288="Y",BV288&amp;"",BH288&amp;""))</f>
        <v/>
      </c>
      <c r="AG288" s="0" t="str">
        <f aca="false">IF($A288="","",IF(AW288="Y",BW288&amp;"",BI288&amp;""))</f>
        <v/>
      </c>
      <c r="AH288" s="0" t="str">
        <f aca="false">IF($A288="","",IF(AW288="Y",BX288&amp;"",BJ288&amp;""))</f>
        <v>none</v>
      </c>
      <c r="AI288" s="0" t="s">
        <v>3836</v>
      </c>
      <c r="AJ288" s="0" t="s">
        <v>456</v>
      </c>
      <c r="AK288" s="0" t="s">
        <v>3933</v>
      </c>
      <c r="AL288" s="0" t="n">
        <v>314</v>
      </c>
      <c r="AM288" s="0" t="n">
        <v>627</v>
      </c>
      <c r="AN288" s="0" t="s">
        <v>187</v>
      </c>
      <c r="AO288" s="0" t="s">
        <v>209</v>
      </c>
      <c r="AP288" s="0" t="s">
        <v>5242</v>
      </c>
      <c r="AQ288" s="5" t="s">
        <v>189</v>
      </c>
      <c r="AT288" s="0" t="str">
        <f aca="false">IF($A288="","",IF(AND(CN288="pass",AQ288&lt;&gt;"Y",C288&lt;&gt;"",OR(AX288&lt;&gt;"Y",AV288="Y")),"Y","N"))</f>
        <v>N</v>
      </c>
      <c r="AU288" s="0" t="str">
        <f aca="false">IF($A288="","",_xlfn.TEXTJOIN("; ",TRUE(),IF(CN288&lt;&gt;"pass","gated out",""),IF(AQ288="Y","on hold: "&amp;AR288,""),IF(C288="","no contact named on an opened page",""),IF(AND(AX288="Y",AV288&lt;&gt;"Y"),"Tuesday estimate band "&amp;L288&amp;": founder's call","")))</f>
        <v>gated out; no contact named on an opened page; Tuesday estimate band 251-500: founder's call</v>
      </c>
      <c r="AX288" s="0" t="s">
        <v>164</v>
      </c>
      <c r="BC288" s="0" t="str">
        <f aca="false">IF($A288="","",IFERROR(INDEX(Enrichment!$A$2:$GZ$2000,MATCH($A288,INDEX(Enrichment!$A$2:$GZ$2000,0,MATCH("row_id",Enrichment!$A$1:$GZ$1,0)),0),MATCH("work_email",Enrichment!$A$1:$GZ$1,0))&amp;"",""))</f>
        <v/>
      </c>
      <c r="BD288" s="0" t="str">
        <f aca="false">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none</v>
      </c>
      <c r="BF288" s="0" t="s">
        <v>380</v>
      </c>
      <c r="BJ288" s="0" t="s">
        <v>380</v>
      </c>
      <c r="BL288" s="0" t="s">
        <v>896</v>
      </c>
      <c r="BQ288" s="0" t="str">
        <f aca="false">IF($A288="","",IFERROR(INDEX(Enrichment!$A$2:$GZ$2000,MATCH($A288,INDEX(Enrichment!$A$2:$GZ$2000,0,MATCH("row_id",Enrichment!$A$1:$GZ$1,0)),0),MATCH("backup_work_email",Enrichment!$A$1:$GZ$1,0))&amp;"",""))</f>
        <v/>
      </c>
      <c r="BR288" s="0" t="str">
        <f aca="false">IF($A288="","",IF(BQ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none</v>
      </c>
      <c r="BT288" s="0" t="s">
        <v>380</v>
      </c>
      <c r="BX288" s="0" t="s">
        <v>380</v>
      </c>
      <c r="BZ288" s="0" t="s">
        <v>388</v>
      </c>
      <c r="CA288" s="0" t="s">
        <v>5139</v>
      </c>
      <c r="CB288" s="0" t="s">
        <v>196</v>
      </c>
      <c r="CM288" s="0" t="s">
        <v>189</v>
      </c>
      <c r="CN288" s="0" t="s">
        <v>4627</v>
      </c>
      <c r="CO288" s="0" t="s">
        <v>5140</v>
      </c>
      <c r="CP288" s="0" t="s">
        <v>1</v>
      </c>
      <c r="CQ288" s="0" t="s">
        <v>5245</v>
      </c>
      <c r="CR288" s="0" t="s">
        <v>5246</v>
      </c>
      <c r="CS288" s="0" t="s">
        <v>5247</v>
      </c>
      <c r="CT288" s="0" t="s">
        <v>5143</v>
      </c>
      <c r="CV288" s="0" t="s">
        <v>976</v>
      </c>
      <c r="CW288" s="0" t="s">
        <v>204</v>
      </c>
      <c r="CX288" s="0" t="s">
        <v>205</v>
      </c>
      <c r="CY288" s="0" t="s">
        <v>5248</v>
      </c>
      <c r="DA288" s="0" t="s">
        <v>978</v>
      </c>
      <c r="DB288" s="0" t="s">
        <v>259</v>
      </c>
      <c r="DC288" s="0" t="s">
        <v>164</v>
      </c>
      <c r="DD288" s="0" t="s">
        <v>209</v>
      </c>
      <c r="DE288" s="0" t="s">
        <v>5249</v>
      </c>
      <c r="DF288" s="0" t="s">
        <v>397</v>
      </c>
      <c r="DG288" s="0" t="n">
        <v>40.738939</v>
      </c>
      <c r="DH288" s="0" t="n">
        <v>-73.993331</v>
      </c>
      <c r="DI288" s="0" t="s">
        <v>164</v>
      </c>
      <c r="DJ288" s="0" t="n">
        <v>0</v>
      </c>
      <c r="DK288" s="0" t="s">
        <v>3835</v>
      </c>
      <c r="DL288" s="0" t="s">
        <v>3836</v>
      </c>
      <c r="DM288" s="0" t="s">
        <v>5244</v>
      </c>
      <c r="DN288" s="0" t="s">
        <v>5147</v>
      </c>
      <c r="DO288" s="0" t="s">
        <v>443</v>
      </c>
      <c r="DR288" s="0" t="s">
        <v>266</v>
      </c>
      <c r="DS288" s="0" t="s">
        <v>809</v>
      </c>
      <c r="DU288" s="0" t="s">
        <v>189</v>
      </c>
      <c r="DX288" s="0" t="s">
        <v>209</v>
      </c>
      <c r="EA288" s="0" t="s">
        <v>209</v>
      </c>
      <c r="EB288" s="0" t="s">
        <v>189</v>
      </c>
      <c r="EC288" s="0" t="s">
        <v>209</v>
      </c>
      <c r="EF288" s="0" t="n">
        <v>444</v>
      </c>
      <c r="EG288" s="0" t="s">
        <v>4781</v>
      </c>
      <c r="EH288" s="0" t="s">
        <v>189</v>
      </c>
      <c r="EI288" s="0" t="s">
        <v>5148</v>
      </c>
      <c r="EJ288" s="0" t="s">
        <v>221</v>
      </c>
      <c r="EK288" s="0" t="n">
        <v>0</v>
      </c>
      <c r="EL288" s="0" t="n">
        <v>21</v>
      </c>
      <c r="EM288" s="0" t="n">
        <v>0</v>
      </c>
      <c r="EN288" s="0" t="n">
        <v>2</v>
      </c>
      <c r="EO288" s="0" t="n">
        <v>6</v>
      </c>
      <c r="EP288" s="0" t="n">
        <v>13</v>
      </c>
      <c r="EQ288" s="0" t="n">
        <f aca="false">IF($A288="","",IF(AH288="exact",10,IF(AH288="adjacent",5,0)))</f>
        <v>0</v>
      </c>
      <c r="ER288" s="0" t="n">
        <f aca="false">IF($A288="","",IF(R288="Y",15,0))</f>
        <v>0</v>
      </c>
      <c r="ES288" s="0" t="s">
        <v>982</v>
      </c>
      <c r="ET288" s="0" t="s">
        <v>983</v>
      </c>
      <c r="EU288" s="0" t="s">
        <v>189</v>
      </c>
      <c r="EX288" s="0" t="s">
        <v>5250</v>
      </c>
      <c r="EZ288" s="0" t="s">
        <v>5251</v>
      </c>
      <c r="FS288" s="0" t="str">
        <f aca="false">IF($A288="","",IF(ISNUMBER(MATCH(U288,{"queued","contacted","replied","call_booked","call_done","yes_in_principle","materials_sent"},0)),"Y","N"))</f>
        <v>N</v>
      </c>
      <c r="FT288" s="0" t="str">
        <f aca="false">IF($A288="","",IF(OR(T288="Y",U288="do_not_contact",AS288&amp;""&lt;&gt;""),"Y","N"))</f>
        <v>N</v>
      </c>
      <c r="FU288" s="0" t="str">
        <f aca="false">IF($A288="","",IF(AP288&amp;""&lt;&gt;"",AP288&amp;"",$A288))</f>
        <v>AO-C-192</v>
      </c>
      <c r="FV288" s="0" t="str">
        <f aca="false">IF($A288="","",IF(COUNTIFS($FU$2:$FU$1000,FU288,$FS$2:$FS$1000,"Y")+COUNTIFS($FU$2:$FU$1000,FU288,$FT$2:$FT$1000,"Y")&gt;0,"Y","N"))</f>
        <v>N</v>
      </c>
      <c r="FW288" s="0" t="str">
        <f aca="false">IF($A288="","",IF(AND(U288="new",T288="N",FT288="N",AT288="Y",FV288="N"),"Y","N"))</f>
        <v>N</v>
      </c>
      <c r="FX288" s="0" t="str">
        <f aca="false">IF($A288="","",IF(FW288&lt;&gt;"Y","N",IF(COUNTIFS($FU$2:$FU$1000,FU288,$FW$2:$FW$1000,"Y",$J$2:$J$1000,"&gt;"&amp;J288)+COUNTIFS($FU$2:$FU$1000,FU288,$FW$2:$FW$1000,"Y",$J$2:$J$1000,J288,$GD$2:$GD$1000,"&lt;"&amp;GD288)=0,"Y","N")))</f>
        <v>N</v>
      </c>
      <c r="FY288" s="0" t="str">
        <f aca="false">IF($A288="","",IF(AND(FW288="Y",FX288="Y",Y288&amp;""&lt;&gt;""),IF(Y288&lt;=10,"Y","N"),"N"))</f>
        <v>N</v>
      </c>
      <c r="FZ288" s="0" t="str">
        <f aca="false">IF(FY288="Y",Y288,"")</f>
        <v/>
      </c>
      <c r="GA288" s="0" t="str">
        <f aca="false">IF($A288="","",IF(AND(I288="walk-in",CN288="pass",U288="new",FT288="N",FV288="N",AQ288&lt;&gt;"Y"),"Y","N"))</f>
        <v>N</v>
      </c>
      <c r="GB288" s="0" t="str">
        <f aca="false">IF(GA288&lt;&gt;"Y","",IF(COUNTIFS($GA$2:$GA$1000,"Y",$J$2:$J$1000,"&gt;"&amp;J288)+COUNTIFS($GA$2:$GA$1000,"Y",$J$2:$J$1000,J288,$GD$2:$GD$1000,"&lt;"&amp;GD288)+1&lt;=25,COUNTIFS($GA$2:$GA$1000,"Y",$J$2:$J$1000,"&gt;"&amp;J288)+COUNTIFS($GA$2:$GA$1000,"Y",$J$2:$J$1000,J288,$GD$2:$GD$1000,"&lt;"&amp;GD288)+1,""))</f>
        <v/>
      </c>
      <c r="GC288" s="0" t="str">
        <f aca="false">IF(AND(_xlfn.ISFORMULA(C288),_xlfn.ISFORMULA(J288)),"Y","N")</f>
        <v>Y</v>
      </c>
      <c r="GD288" s="0" t="n">
        <f aca="false">ROW()-1</f>
        <v>287</v>
      </c>
    </row>
    <row r="289" customFormat="false" ht="15" hidden="false" customHeight="false" outlineLevel="0" collapsed="false">
      <c r="A289" s="0" t="s">
        <v>5252</v>
      </c>
      <c r="B289" s="0" t="s">
        <v>5253</v>
      </c>
      <c r="C289" s="0" t="str">
        <f aca="false">IF($A289="","",IF(AW289="Y",BM289&amp;"",AY289&amp;""))</f>
        <v/>
      </c>
      <c r="D289" s="0" t="str">
        <f aca="false">IF($A289="","",IF(AW289="Y",BN289&amp;"",AZ289&amp;""))</f>
        <v/>
      </c>
      <c r="E289" s="0" t="str">
        <f aca="false">IF($A289="","",IF(AW289="Y",BO289&amp;"",BA289&amp;""))</f>
        <v/>
      </c>
      <c r="F289" s="0" t="str">
        <f aca="false">IF($A289="","",IF(AW289="Y",BP289&amp;"",BB289&amp;""))</f>
        <v/>
      </c>
      <c r="G289" s="0" t="str">
        <f aca="false">IF($A289="","",IF(AW289="Y",BQ289&amp;"",BC289&amp;""))</f>
        <v/>
      </c>
      <c r="H289" s="0" t="str">
        <f aca="false">IF($A289="","",IF(AW289="Y",BR289&amp;"",BD289&amp;""))</f>
        <v>none</v>
      </c>
      <c r="I289" s="0" t="str">
        <f aca="false">IF($A289="","",IF(R289="Y","warm-intro",IF(H289="verified","email",IF(C289&lt;&gt;"","linkedin",CB289&amp;""))))</f>
        <v>linkedin</v>
      </c>
      <c r="J289" s="0" t="n">
        <f aca="false">IF($A289="","",IF(CN289="pass",ROUND(N(EM289)+N(EN289)+N(EO289)+N(EP289)+N(EQ289)+N(ER289),1),0))</f>
        <v>0</v>
      </c>
      <c r="K289" s="0" t="str">
        <f aca="false">IF($A289="","",IF(CN289&lt;&gt;"pass",CA289&amp;"",CA289&amp;"; "&amp;IF(AW289="Y",BZ289&amp;"",BL289&amp;"")&amp;IF(R289="Y","; known to the founder (+15)","")&amp;"."))</f>
        <v>Gated out: Tuesday estimate under 30 (14 to 28).</v>
      </c>
      <c r="L289" s="0" t="s">
        <v>1794</v>
      </c>
      <c r="O289" s="0" t="s">
        <v>5254</v>
      </c>
      <c r="P289" s="0" t="s">
        <v>5255</v>
      </c>
      <c r="Q289" s="0" t="s">
        <v>4090</v>
      </c>
      <c r="R289" s="5" t="s">
        <v>189</v>
      </c>
      <c r="S289" s="0" t="s">
        <v>209</v>
      </c>
      <c r="T289" s="0" t="s">
        <v>189</v>
      </c>
      <c r="U289" s="5" t="s">
        <v>3896</v>
      </c>
      <c r="V289" s="0" t="s">
        <v>5255</v>
      </c>
      <c r="W289" s="0" t="s">
        <v>263</v>
      </c>
      <c r="X289" s="0" t="s">
        <v>3897</v>
      </c>
      <c r="Y289" s="0" t="str">
        <f aca="false">IF(FX289&lt;&gt;"Y","",COUNTIFS($FX$2:$FX$1000,"Y",$J$2:$J$1000,"&gt;"&amp;J289)+COUNTIFS($FX$2:$FX$1000,"Y",$J$2:$J$1000,J289,$GD$2:$GD$1000,"&lt;"&amp;GD289)+1)</f>
        <v/>
      </c>
      <c r="AA289" s="0" t="s">
        <v>189</v>
      </c>
      <c r="AB289" s="0" t="str">
        <f aca="false">IF($A289="","",IF(AW289="Y",BY289&amp;"",BK289&amp;""))</f>
        <v/>
      </c>
      <c r="AC289" s="0" t="str">
        <f aca="false">IF($A289="","",IF(AW289="Y",BS289&amp;"",BE289&amp;""))</f>
        <v/>
      </c>
      <c r="AD289" s="0" t="str">
        <f aca="false">IF($A289="","",IF(AW289="Y",BT289&amp;"",BF289&amp;""))</f>
        <v>none</v>
      </c>
      <c r="AE289" s="0" t="str">
        <f aca="false">IF($A289="","",IF(AW289="Y",BU289&amp;"",BG289&amp;""))</f>
        <v/>
      </c>
      <c r="AF289" s="0" t="str">
        <f aca="false">IF($A289="","",IF(AW289="Y",BV289&amp;"",BH289&amp;""))</f>
        <v/>
      </c>
      <c r="AG289" s="0" t="str">
        <f aca="false">IF($A289="","",IF(AW289="Y",BW289&amp;"",BI289&amp;""))</f>
        <v/>
      </c>
      <c r="AH289" s="0" t="str">
        <f aca="false">IF($A289="","",IF(AW289="Y",BX289&amp;"",BJ289&amp;""))</f>
        <v>none</v>
      </c>
      <c r="AI289" s="0" t="s">
        <v>1261</v>
      </c>
      <c r="AJ289" s="0" t="s">
        <v>735</v>
      </c>
      <c r="AK289" s="0" t="s">
        <v>3933</v>
      </c>
      <c r="AL289" s="0" t="n">
        <v>14</v>
      </c>
      <c r="AM289" s="0" t="n">
        <v>28</v>
      </c>
      <c r="AN289" s="0" t="s">
        <v>187</v>
      </c>
      <c r="AO289" s="0" t="s">
        <v>209</v>
      </c>
      <c r="AP289" s="0" t="s">
        <v>5252</v>
      </c>
      <c r="AQ289" s="5" t="s">
        <v>189</v>
      </c>
      <c r="AT289" s="0" t="str">
        <f aca="false">IF($A289="","",IF(AND(CN289="pass",AQ289&lt;&gt;"Y",C289&lt;&gt;"",OR(AX289&lt;&gt;"Y",AV289="Y")),"Y","N"))</f>
        <v>N</v>
      </c>
      <c r="AU289" s="0" t="str">
        <f aca="false">IF($A289="","",_xlfn.TEXTJOIN("; ",TRUE(),IF(CN289&lt;&gt;"pass","gated out",""),IF(AQ289="Y","on hold: "&amp;AR289,""),IF(C289="","no contact named on an opened page",""),IF(AND(AX289="Y",AV289&lt;&gt;"Y"),"Tuesday estimate band "&amp;L289&amp;": founder's call","")))</f>
        <v>gated out; no contact named on an opened page; Tuesday estimate band under-40: founder's call</v>
      </c>
      <c r="AX289" s="0" t="s">
        <v>164</v>
      </c>
      <c r="BC289" s="0" t="str">
        <f aca="false">IF($A289="","",IFERROR(INDEX(Enrichment!$A$2:$GZ$2000,MATCH($A289,INDEX(Enrichment!$A$2:$GZ$2000,0,MATCH("row_id",Enrichment!$A$1:$GZ$1,0)),0),MATCH("work_email",Enrichment!$A$1:$GZ$1,0))&amp;"",""))</f>
        <v/>
      </c>
      <c r="BD289" s="0" t="str">
        <f aca="false">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none</v>
      </c>
      <c r="BF289" s="0" t="s">
        <v>380</v>
      </c>
      <c r="BJ289" s="0" t="s">
        <v>380</v>
      </c>
      <c r="BL289" s="0" t="s">
        <v>896</v>
      </c>
      <c r="BQ289" s="0" t="str">
        <f aca="false">IF($A289="","",IFERROR(INDEX(Enrichment!$A$2:$GZ$2000,MATCH($A289,INDEX(Enrichment!$A$2:$GZ$2000,0,MATCH("row_id",Enrichment!$A$1:$GZ$1,0)),0),MATCH("backup_work_email",Enrichment!$A$1:$GZ$1,0))&amp;"",""))</f>
        <v/>
      </c>
      <c r="BR289" s="0" t="str">
        <f aca="false">IF($A289="","",IF(BQ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none</v>
      </c>
      <c r="BT289" s="0" t="s">
        <v>380</v>
      </c>
      <c r="BX289" s="0" t="s">
        <v>380</v>
      </c>
      <c r="BZ289" s="0" t="s">
        <v>388</v>
      </c>
      <c r="CA289" s="0" t="s">
        <v>5075</v>
      </c>
      <c r="CB289" s="0" t="s">
        <v>196</v>
      </c>
      <c r="CM289" s="0" t="s">
        <v>189</v>
      </c>
      <c r="CN289" s="0" t="s">
        <v>4627</v>
      </c>
      <c r="CO289" s="0" t="s">
        <v>5076</v>
      </c>
      <c r="CP289" s="0" t="s">
        <v>1</v>
      </c>
      <c r="CQ289" s="0" t="s">
        <v>5256</v>
      </c>
      <c r="CR289" s="0" t="s">
        <v>5257</v>
      </c>
      <c r="CS289" s="0" t="s">
        <v>5258</v>
      </c>
      <c r="CT289" s="0" t="s">
        <v>1204</v>
      </c>
      <c r="CV289" s="0" t="s">
        <v>298</v>
      </c>
      <c r="CW289" s="0" t="s">
        <v>204</v>
      </c>
      <c r="CX289" s="0" t="s">
        <v>205</v>
      </c>
      <c r="CY289" s="0" t="s">
        <v>5259</v>
      </c>
      <c r="DA289" s="0" t="s">
        <v>207</v>
      </c>
      <c r="DB289" s="0" t="s">
        <v>259</v>
      </c>
      <c r="DC289" s="0" t="s">
        <v>164</v>
      </c>
      <c r="DD289" s="0" t="s">
        <v>209</v>
      </c>
      <c r="DE289" s="0" t="s">
        <v>5260</v>
      </c>
      <c r="DF289" s="0" t="s">
        <v>525</v>
      </c>
      <c r="DG289" s="0" t="n">
        <v>40.739961</v>
      </c>
      <c r="DH289" s="0" t="n">
        <v>-73.990971</v>
      </c>
      <c r="DI289" s="0" t="s">
        <v>164</v>
      </c>
      <c r="DJ289" s="0" t="n">
        <v>0</v>
      </c>
      <c r="DK289" s="0" t="s">
        <v>1716</v>
      </c>
      <c r="DL289" s="0" t="s">
        <v>1717</v>
      </c>
      <c r="DM289" s="0" t="s">
        <v>5255</v>
      </c>
      <c r="DN289" s="0" t="s">
        <v>4090</v>
      </c>
      <c r="DO289" s="0" t="s">
        <v>363</v>
      </c>
      <c r="DS289" s="0" t="s">
        <v>809</v>
      </c>
      <c r="DU289" s="0" t="s">
        <v>189</v>
      </c>
      <c r="DX289" s="0" t="s">
        <v>209</v>
      </c>
      <c r="EA289" s="0" t="s">
        <v>209</v>
      </c>
      <c r="EB289" s="0" t="s">
        <v>189</v>
      </c>
      <c r="EC289" s="0" t="s">
        <v>209</v>
      </c>
      <c r="EF289" s="0" t="n">
        <v>20</v>
      </c>
      <c r="EG289" s="0" t="s">
        <v>5082</v>
      </c>
      <c r="EH289" s="0" t="s">
        <v>189</v>
      </c>
      <c r="EI289" s="0" t="s">
        <v>5083</v>
      </c>
      <c r="EJ289" s="0" t="s">
        <v>221</v>
      </c>
      <c r="EK289" s="0" t="n">
        <v>0</v>
      </c>
      <c r="EL289" s="0" t="n">
        <v>34</v>
      </c>
      <c r="EM289" s="0" t="n">
        <v>0</v>
      </c>
      <c r="EN289" s="0" t="n">
        <v>15</v>
      </c>
      <c r="EO289" s="0" t="n">
        <v>6</v>
      </c>
      <c r="EP289" s="0" t="n">
        <v>13</v>
      </c>
      <c r="EQ289" s="0" t="n">
        <f aca="false">IF($A289="","",IF(AH289="exact",10,IF(AH289="adjacent",5,0)))</f>
        <v>0</v>
      </c>
      <c r="ER289" s="0" t="n">
        <f aca="false">IF($A289="","",IF(R289="Y",15,0))</f>
        <v>0</v>
      </c>
      <c r="ES289" s="0" t="s">
        <v>222</v>
      </c>
      <c r="EV289" s="0" t="s">
        <v>5261</v>
      </c>
      <c r="EW289" s="0" t="s">
        <v>224</v>
      </c>
      <c r="EX289" s="0" t="s">
        <v>5262</v>
      </c>
      <c r="EZ289" s="0" t="s">
        <v>5263</v>
      </c>
      <c r="FS289" s="0" t="str">
        <f aca="false">IF($A289="","",IF(ISNUMBER(MATCH(U289,{"queued","contacted","replied","call_booked","call_done","yes_in_principle","materials_sent"},0)),"Y","N"))</f>
        <v>N</v>
      </c>
      <c r="FT289" s="0" t="str">
        <f aca="false">IF($A289="","",IF(OR(T289="Y",U289="do_not_contact",AS289&amp;""&lt;&gt;""),"Y","N"))</f>
        <v>N</v>
      </c>
      <c r="FU289" s="0" t="str">
        <f aca="false">IF($A289="","",IF(AP289&amp;""&lt;&gt;"",AP289&amp;"",$A289))</f>
        <v>AO-C-060</v>
      </c>
      <c r="FV289" s="0" t="str">
        <f aca="false">IF($A289="","",IF(COUNTIFS($FU$2:$FU$1000,FU289,$FS$2:$FS$1000,"Y")+COUNTIFS($FU$2:$FU$1000,FU289,$FT$2:$FT$1000,"Y")&gt;0,"Y","N"))</f>
        <v>N</v>
      </c>
      <c r="FW289" s="0" t="str">
        <f aca="false">IF($A289="","",IF(AND(U289="new",T289="N",FT289="N",AT289="Y",FV289="N"),"Y","N"))</f>
        <v>N</v>
      </c>
      <c r="FX289" s="0" t="str">
        <f aca="false">IF($A289="","",IF(FW289&lt;&gt;"Y","N",IF(COUNTIFS($FU$2:$FU$1000,FU289,$FW$2:$FW$1000,"Y",$J$2:$J$1000,"&gt;"&amp;J289)+COUNTIFS($FU$2:$FU$1000,FU289,$FW$2:$FW$1000,"Y",$J$2:$J$1000,J289,$GD$2:$GD$1000,"&lt;"&amp;GD289)=0,"Y","N")))</f>
        <v>N</v>
      </c>
      <c r="FY289" s="0" t="str">
        <f aca="false">IF($A289="","",IF(AND(FW289="Y",FX289="Y",Y289&amp;""&lt;&gt;""),IF(Y289&lt;=10,"Y","N"),"N"))</f>
        <v>N</v>
      </c>
      <c r="FZ289" s="0" t="str">
        <f aca="false">IF(FY289="Y",Y289,"")</f>
        <v/>
      </c>
      <c r="GA289" s="0" t="str">
        <f aca="false">IF($A289="","",IF(AND(I289="walk-in",CN289="pass",U289="new",FT289="N",FV289="N",AQ289&lt;&gt;"Y"),"Y","N"))</f>
        <v>N</v>
      </c>
      <c r="GB289" s="0" t="str">
        <f aca="false">IF(GA289&lt;&gt;"Y","",IF(COUNTIFS($GA$2:$GA$1000,"Y",$J$2:$J$1000,"&gt;"&amp;J289)+COUNTIFS($GA$2:$GA$1000,"Y",$J$2:$J$1000,J289,$GD$2:$GD$1000,"&lt;"&amp;GD289)+1&lt;=25,COUNTIFS($GA$2:$GA$1000,"Y",$J$2:$J$1000,"&gt;"&amp;J289)+COUNTIFS($GA$2:$GA$1000,"Y",$J$2:$J$1000,J289,$GD$2:$GD$1000,"&lt;"&amp;GD289)+1,""))</f>
        <v/>
      </c>
      <c r="GC289" s="0" t="str">
        <f aca="false">IF(AND(_xlfn.ISFORMULA(C289),_xlfn.ISFORMULA(J289)),"Y","N")</f>
        <v>Y</v>
      </c>
      <c r="GD289" s="0" t="n">
        <f aca="false">ROW()-1</f>
        <v>288</v>
      </c>
    </row>
    <row r="290" customFormat="false" ht="15" hidden="false" customHeight="false" outlineLevel="0" collapsed="false">
      <c r="A290" s="0" t="s">
        <v>5264</v>
      </c>
      <c r="B290" s="0" t="s">
        <v>5265</v>
      </c>
      <c r="C290" s="0" t="str">
        <f aca="false">IF($A290="","",IF(AW290="Y",BM290&amp;"",AY290&amp;""))</f>
        <v/>
      </c>
      <c r="D290" s="0" t="str">
        <f aca="false">IF($A290="","",IF(AW290="Y",BN290&amp;"",AZ290&amp;""))</f>
        <v/>
      </c>
      <c r="E290" s="0" t="str">
        <f aca="false">IF($A290="","",IF(AW290="Y",BO290&amp;"",BA290&amp;""))</f>
        <v/>
      </c>
      <c r="F290" s="0" t="str">
        <f aca="false">IF($A290="","",IF(AW290="Y",BP290&amp;"",BB290&amp;""))</f>
        <v/>
      </c>
      <c r="G290" s="0" t="str">
        <f aca="false">IF($A290="","",IF(AW290="Y",BQ290&amp;"",BC290&amp;""))</f>
        <v/>
      </c>
      <c r="H290" s="0" t="str">
        <f aca="false">IF($A290="","",IF(AW290="Y",BR290&amp;"",BD290&amp;""))</f>
        <v>none</v>
      </c>
      <c r="I290" s="0" t="str">
        <f aca="false">IF($A290="","",IF(R290="Y","warm-intro",IF(H290="verified","email",IF(C290&lt;&gt;"","linkedin",CB290&amp;""))))</f>
        <v>linkedin</v>
      </c>
      <c r="J290" s="0" t="n">
        <f aca="false">IF($A290="","",IF(CN290="pass",ROUND(N(EM290)+N(EN290)+N(EO290)+N(EP290)+N(EQ290)+N(ER290),1),0))</f>
        <v>0</v>
      </c>
      <c r="K290" s="0" t="str">
        <f aca="false">IF($A290="","",IF(CN290&lt;&gt;"pass",CA290&amp;"",CA290&amp;"; "&amp;IF(AW290="Y",BZ290&amp;"",BL290&amp;"")&amp;IF(R290="Y","; known to the founder (+15)","")&amp;"."))</f>
        <v>Gated out: Tuesday estimate over 250 (899 to 1109).</v>
      </c>
      <c r="L290" s="0" t="s">
        <v>976</v>
      </c>
      <c r="O290" s="0" t="s">
        <v>5266</v>
      </c>
      <c r="P290" s="0" t="s">
        <v>5267</v>
      </c>
      <c r="Q290" s="0" t="s">
        <v>5268</v>
      </c>
      <c r="R290" s="5" t="s">
        <v>189</v>
      </c>
      <c r="S290" s="0" t="s">
        <v>209</v>
      </c>
      <c r="T290" s="0" t="s">
        <v>189</v>
      </c>
      <c r="U290" s="5" t="s">
        <v>3896</v>
      </c>
      <c r="V290" s="0" t="s">
        <v>5267</v>
      </c>
      <c r="W290" s="0" t="s">
        <v>263</v>
      </c>
      <c r="X290" s="0" t="s">
        <v>3897</v>
      </c>
      <c r="Y290" s="0" t="str">
        <f aca="false">IF(FX290&lt;&gt;"Y","",COUNTIFS($FX$2:$FX$1000,"Y",$J$2:$J$1000,"&gt;"&amp;J290)+COUNTIFS($FX$2:$FX$1000,"Y",$J$2:$J$1000,J290,$GD$2:$GD$1000,"&lt;"&amp;GD290)+1)</f>
        <v/>
      </c>
      <c r="AA290" s="0" t="s">
        <v>189</v>
      </c>
      <c r="AB290" s="0" t="str">
        <f aca="false">IF($A290="","",IF(AW290="Y",BY290&amp;"",BK290&amp;""))</f>
        <v/>
      </c>
      <c r="AC290" s="0" t="str">
        <f aca="false">IF($A290="","",IF(AW290="Y",BS290&amp;"",BE290&amp;""))</f>
        <v/>
      </c>
      <c r="AD290" s="0" t="str">
        <f aca="false">IF($A290="","",IF(AW290="Y",BT290&amp;"",BF290&amp;""))</f>
        <v>none</v>
      </c>
      <c r="AE290" s="0" t="str">
        <f aca="false">IF($A290="","",IF(AW290="Y",BU290&amp;"",BG290&amp;""))</f>
        <v/>
      </c>
      <c r="AF290" s="0" t="str">
        <f aca="false">IF($A290="","",IF(AW290="Y",BV290&amp;"",BH290&amp;""))</f>
        <v/>
      </c>
      <c r="AG290" s="0" t="str">
        <f aca="false">IF($A290="","",IF(AW290="Y",BW290&amp;"",BI290&amp;""))</f>
        <v/>
      </c>
      <c r="AH290" s="0" t="str">
        <f aca="false">IF($A290="","",IF(AW290="Y",BX290&amp;"",BJ290&amp;""))</f>
        <v>none</v>
      </c>
      <c r="AI290" s="0" t="s">
        <v>5269</v>
      </c>
      <c r="AJ290" s="0" t="s">
        <v>209</v>
      </c>
      <c r="AK290" s="0" t="s">
        <v>3933</v>
      </c>
      <c r="AL290" s="0" t="n">
        <v>899</v>
      </c>
      <c r="AM290" s="0" t="n">
        <v>1109</v>
      </c>
      <c r="AN290" s="0" t="s">
        <v>187</v>
      </c>
      <c r="AO290" s="0" t="s">
        <v>209</v>
      </c>
      <c r="AP290" s="0" t="s">
        <v>5264</v>
      </c>
      <c r="AQ290" s="5" t="s">
        <v>189</v>
      </c>
      <c r="AT290" s="0" t="str">
        <f aca="false">IF($A290="","",IF(AND(CN290="pass",AQ290&lt;&gt;"Y",C290&lt;&gt;"",OR(AX290&lt;&gt;"Y",AV290="Y")),"Y","N"))</f>
        <v>N</v>
      </c>
      <c r="AU290" s="0" t="str">
        <f aca="false">IF($A290="","",_xlfn.TEXTJOIN("; ",TRUE(),IF(CN290&lt;&gt;"pass","gated out",""),IF(AQ290="Y","on hold: "&amp;AR290,""),IF(C290="","no contact named on an opened page",""),IF(AND(AX290="Y",AV290&lt;&gt;"Y"),"Tuesday estimate band "&amp;L290&amp;": founder's call","")))</f>
        <v>gated out; no contact named on an opened page; Tuesday estimate band over-500: founder's call</v>
      </c>
      <c r="AX290" s="0" t="s">
        <v>164</v>
      </c>
      <c r="BC290" s="0" t="str">
        <f aca="false">IF($A290="","",IFERROR(INDEX(Enrichment!$A$2:$GZ$2000,MATCH($A290,INDEX(Enrichment!$A$2:$GZ$2000,0,MATCH("row_id",Enrichment!$A$1:$GZ$1,0)),0),MATCH("work_email",Enrichment!$A$1:$GZ$1,0))&amp;"",""))</f>
        <v/>
      </c>
      <c r="BD290" s="0" t="str">
        <f aca="false">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none</v>
      </c>
      <c r="BF290" s="0" t="s">
        <v>380</v>
      </c>
      <c r="BJ290" s="0" t="s">
        <v>380</v>
      </c>
      <c r="BL290" s="0" t="s">
        <v>896</v>
      </c>
      <c r="BQ290" s="0" t="str">
        <f aca="false">IF($A290="","",IFERROR(INDEX(Enrichment!$A$2:$GZ$2000,MATCH($A290,INDEX(Enrichment!$A$2:$GZ$2000,0,MATCH("row_id",Enrichment!$A$1:$GZ$1,0)),0),MATCH("backup_work_email",Enrichment!$A$1:$GZ$1,0))&amp;"",""))</f>
        <v/>
      </c>
      <c r="BR290" s="0" t="str">
        <f aca="false">IF($A290="","",IF(BQ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none</v>
      </c>
      <c r="BT290" s="0" t="s">
        <v>380</v>
      </c>
      <c r="BX290" s="0" t="s">
        <v>380</v>
      </c>
      <c r="BZ290" s="0" t="s">
        <v>388</v>
      </c>
      <c r="CA290" s="0" t="s">
        <v>5270</v>
      </c>
      <c r="CB290" s="0" t="s">
        <v>196</v>
      </c>
      <c r="CM290" s="0" t="s">
        <v>189</v>
      </c>
      <c r="CN290" s="0" t="s">
        <v>4627</v>
      </c>
      <c r="CO290" s="0" t="s">
        <v>5271</v>
      </c>
      <c r="CP290" s="0" t="s">
        <v>1</v>
      </c>
      <c r="CQ290" s="0" t="s">
        <v>5272</v>
      </c>
      <c r="CR290" s="0" t="s">
        <v>5273</v>
      </c>
      <c r="CS290" s="0" t="s">
        <v>5274</v>
      </c>
      <c r="CT290" s="0" t="s">
        <v>5275</v>
      </c>
      <c r="CV290" s="0" t="s">
        <v>976</v>
      </c>
      <c r="CW290" s="0" t="s">
        <v>204</v>
      </c>
      <c r="CX290" s="0" t="s">
        <v>205</v>
      </c>
      <c r="CY290" s="0" t="s">
        <v>5276</v>
      </c>
      <c r="DA290" s="0" t="s">
        <v>978</v>
      </c>
      <c r="DB290" s="0" t="s">
        <v>259</v>
      </c>
      <c r="DC290" s="0" t="s">
        <v>164</v>
      </c>
      <c r="DD290" s="0" t="s">
        <v>209</v>
      </c>
      <c r="DE290" s="0" t="s">
        <v>5277</v>
      </c>
      <c r="DF290" s="0" t="s">
        <v>210</v>
      </c>
      <c r="DG290" s="0" t="n">
        <v>40.737275</v>
      </c>
      <c r="DH290" s="0" t="n">
        <v>-73.988244</v>
      </c>
      <c r="DI290" s="0" t="s">
        <v>164</v>
      </c>
      <c r="DJ290" s="0" t="n">
        <v>0</v>
      </c>
      <c r="DL290" s="0" t="s">
        <v>209</v>
      </c>
      <c r="DM290" s="0" t="s">
        <v>5267</v>
      </c>
      <c r="DN290" s="0" t="s">
        <v>5268</v>
      </c>
      <c r="DO290" s="0" t="s">
        <v>363</v>
      </c>
      <c r="DS290" s="0" t="s">
        <v>809</v>
      </c>
      <c r="DU290" s="0" t="s">
        <v>189</v>
      </c>
      <c r="DX290" s="0" t="s">
        <v>209</v>
      </c>
      <c r="EA290" s="0" t="s">
        <v>209</v>
      </c>
      <c r="EB290" s="0" t="s">
        <v>189</v>
      </c>
      <c r="EC290" s="0" t="s">
        <v>209</v>
      </c>
      <c r="EF290" s="0" t="n">
        <v>924</v>
      </c>
      <c r="EG290" s="0" t="s">
        <v>4781</v>
      </c>
      <c r="EH290" s="0" t="s">
        <v>164</v>
      </c>
      <c r="EI290" s="0" t="s">
        <v>5278</v>
      </c>
      <c r="EJ290" s="0" t="s">
        <v>221</v>
      </c>
      <c r="EK290" s="0" t="n">
        <v>0</v>
      </c>
      <c r="EL290" s="0" t="n">
        <v>21</v>
      </c>
      <c r="EM290" s="0" t="n">
        <v>0</v>
      </c>
      <c r="EN290" s="0" t="n">
        <v>2</v>
      </c>
      <c r="EO290" s="0" t="n">
        <v>6</v>
      </c>
      <c r="EP290" s="0" t="n">
        <v>13</v>
      </c>
      <c r="EQ290" s="0" t="n">
        <f aca="false">IF($A290="","",IF(AH290="exact",10,IF(AH290="adjacent",5,0)))</f>
        <v>0</v>
      </c>
      <c r="ER290" s="0" t="n">
        <f aca="false">IF($A290="","",IF(R290="Y",15,0))</f>
        <v>0</v>
      </c>
      <c r="ES290" s="0" t="s">
        <v>982</v>
      </c>
      <c r="ET290" s="0" t="s">
        <v>983</v>
      </c>
      <c r="EU290" s="0" t="s">
        <v>189</v>
      </c>
      <c r="EV290" s="0" t="s">
        <v>5279</v>
      </c>
      <c r="EW290" s="0" t="s">
        <v>224</v>
      </c>
      <c r="EX290" s="0" t="s">
        <v>5280</v>
      </c>
      <c r="EZ290" s="0" t="s">
        <v>5281</v>
      </c>
      <c r="FS290" s="0" t="str">
        <f aca="false">IF($A290="","",IF(ISNUMBER(MATCH(U290,{"queued","contacted","replied","call_booked","call_done","yes_in_principle","materials_sent"},0)),"Y","N"))</f>
        <v>N</v>
      </c>
      <c r="FT290" s="0" t="str">
        <f aca="false">IF($A290="","",IF(OR(T290="Y",U290="do_not_contact",AS290&amp;""&lt;&gt;""),"Y","N"))</f>
        <v>N</v>
      </c>
      <c r="FU290" s="0" t="str">
        <f aca="false">IF($A290="","",IF(AP290&amp;""&lt;&gt;"",AP290&amp;"",$A290))</f>
        <v>AO-C-199</v>
      </c>
      <c r="FV290" s="0" t="str">
        <f aca="false">IF($A290="","",IF(COUNTIFS($FU$2:$FU$1000,FU290,$FS$2:$FS$1000,"Y")+COUNTIFS($FU$2:$FU$1000,FU290,$FT$2:$FT$1000,"Y")&gt;0,"Y","N"))</f>
        <v>N</v>
      </c>
      <c r="FW290" s="0" t="str">
        <f aca="false">IF($A290="","",IF(AND(U290="new",T290="N",FT290="N",AT290="Y",FV290="N"),"Y","N"))</f>
        <v>N</v>
      </c>
      <c r="FX290" s="0" t="str">
        <f aca="false">IF($A290="","",IF(FW290&lt;&gt;"Y","N",IF(COUNTIFS($FU$2:$FU$1000,FU290,$FW$2:$FW$1000,"Y",$J$2:$J$1000,"&gt;"&amp;J290)+COUNTIFS($FU$2:$FU$1000,FU290,$FW$2:$FW$1000,"Y",$J$2:$J$1000,J290,$GD$2:$GD$1000,"&lt;"&amp;GD290)=0,"Y","N")))</f>
        <v>N</v>
      </c>
      <c r="FY290" s="0" t="str">
        <f aca="false">IF($A290="","",IF(AND(FW290="Y",FX290="Y",Y290&amp;""&lt;&gt;""),IF(Y290&lt;=10,"Y","N"),"N"))</f>
        <v>N</v>
      </c>
      <c r="FZ290" s="0" t="str">
        <f aca="false">IF(FY290="Y",Y290,"")</f>
        <v/>
      </c>
      <c r="GA290" s="0" t="str">
        <f aca="false">IF($A290="","",IF(AND(I290="walk-in",CN290="pass",U290="new",FT290="N",FV290="N",AQ290&lt;&gt;"Y"),"Y","N"))</f>
        <v>N</v>
      </c>
      <c r="GB290" s="0" t="str">
        <f aca="false">IF(GA290&lt;&gt;"Y","",IF(COUNTIFS($GA$2:$GA$1000,"Y",$J$2:$J$1000,"&gt;"&amp;J290)+COUNTIFS($GA$2:$GA$1000,"Y",$J$2:$J$1000,J290,$GD$2:$GD$1000,"&lt;"&amp;GD290)+1&lt;=25,COUNTIFS($GA$2:$GA$1000,"Y",$J$2:$J$1000,"&gt;"&amp;J290)+COUNTIFS($GA$2:$GA$1000,"Y",$J$2:$J$1000,J290,$GD$2:$GD$1000,"&lt;"&amp;GD290)+1,""))</f>
        <v/>
      </c>
      <c r="GC290" s="0" t="str">
        <f aca="false">IF(AND(_xlfn.ISFORMULA(C290),_xlfn.ISFORMULA(J290)),"Y","N")</f>
        <v>Y</v>
      </c>
      <c r="GD290" s="0" t="n">
        <f aca="false">ROW()-1</f>
        <v>289</v>
      </c>
    </row>
    <row r="291" customFormat="false" ht="15" hidden="false" customHeight="false" outlineLevel="0" collapsed="false">
      <c r="A291" s="0" t="s">
        <v>5282</v>
      </c>
      <c r="B291" s="0" t="s">
        <v>5283</v>
      </c>
      <c r="C291" s="0" t="str">
        <f aca="false">IF($A291="","",IF(AW291="Y",BM291&amp;"",AY291&amp;""))</f>
        <v/>
      </c>
      <c r="D291" s="0" t="str">
        <f aca="false">IF($A291="","",IF(AW291="Y",BN291&amp;"",AZ291&amp;""))</f>
        <v/>
      </c>
      <c r="E291" s="0" t="str">
        <f aca="false">IF($A291="","",IF(AW291="Y",BO291&amp;"",BA291&amp;""))</f>
        <v/>
      </c>
      <c r="F291" s="0" t="str">
        <f aca="false">IF($A291="","",IF(AW291="Y",BP291&amp;"",BB291&amp;""))</f>
        <v/>
      </c>
      <c r="G291" s="0" t="str">
        <f aca="false">IF($A291="","",IF(AW291="Y",BQ291&amp;"",BC291&amp;""))</f>
        <v/>
      </c>
      <c r="H291" s="0" t="str">
        <f aca="false">IF($A291="","",IF(AW291="Y",BR291&amp;"",BD291&amp;""))</f>
        <v>none</v>
      </c>
      <c r="I291" s="0" t="str">
        <f aca="false">IF($A291="","",IF(R291="Y","warm-intro",IF(H291="verified","email",IF(C291&lt;&gt;"","linkedin",CB291&amp;""))))</f>
        <v>linkedin</v>
      </c>
      <c r="J291" s="0" t="n">
        <f aca="false">IF($A291="","",IF(CN291="pass",ROUND(N(EM291)+N(EN291)+N(EO291)+N(EP291)+N(EQ291)+N(ER291),1),0))</f>
        <v>0</v>
      </c>
      <c r="K291" s="0" t="str">
        <f aca="false">IF($A291="","",IF(CN291&lt;&gt;"pass",CA291&amp;"",CA291&amp;"; "&amp;IF(AW291="Y",BZ291&amp;"",BL291&amp;"")&amp;IF(R291="Y","; known to the founder (+15)","")&amp;"."))</f>
        <v>Gated out: Tuesday estimate over 250 (561 to 1123).</v>
      </c>
      <c r="L291" s="0" t="s">
        <v>976</v>
      </c>
      <c r="R291" s="5" t="s">
        <v>189</v>
      </c>
      <c r="S291" s="0" t="s">
        <v>209</v>
      </c>
      <c r="T291" s="0" t="s">
        <v>189</v>
      </c>
      <c r="U291" s="5" t="s">
        <v>3896</v>
      </c>
      <c r="V291" s="0" t="s">
        <v>5284</v>
      </c>
      <c r="W291" s="0" t="s">
        <v>263</v>
      </c>
      <c r="X291" s="0" t="s">
        <v>3897</v>
      </c>
      <c r="Y291" s="0" t="str">
        <f aca="false">IF(FX291&lt;&gt;"Y","",COUNTIFS($FX$2:$FX$1000,"Y",$J$2:$J$1000,"&gt;"&amp;J291)+COUNTIFS($FX$2:$FX$1000,"Y",$J$2:$J$1000,J291,$GD$2:$GD$1000,"&lt;"&amp;GD291)+1)</f>
        <v/>
      </c>
      <c r="AA291" s="0" t="s">
        <v>189</v>
      </c>
      <c r="AB291" s="0" t="str">
        <f aca="false">IF($A291="","",IF(AW291="Y",BY291&amp;"",BK291&amp;""))</f>
        <v/>
      </c>
      <c r="AC291" s="0" t="str">
        <f aca="false">IF($A291="","",IF(AW291="Y",BS291&amp;"",BE291&amp;""))</f>
        <v/>
      </c>
      <c r="AD291" s="0" t="str">
        <f aca="false">IF($A291="","",IF(AW291="Y",BT291&amp;"",BF291&amp;""))</f>
        <v>none</v>
      </c>
      <c r="AE291" s="0" t="str">
        <f aca="false">IF($A291="","",IF(AW291="Y",BU291&amp;"",BG291&amp;""))</f>
        <v/>
      </c>
      <c r="AF291" s="0" t="str">
        <f aca="false">IF($A291="","",IF(AW291="Y",BV291&amp;"",BH291&amp;""))</f>
        <v/>
      </c>
      <c r="AG291" s="0" t="str">
        <f aca="false">IF($A291="","",IF(AW291="Y",BW291&amp;"",BI291&amp;""))</f>
        <v/>
      </c>
      <c r="AH291" s="0" t="str">
        <f aca="false">IF($A291="","",IF(AW291="Y",BX291&amp;"",BJ291&amp;""))</f>
        <v>none</v>
      </c>
      <c r="AI291" s="0" t="s">
        <v>4500</v>
      </c>
      <c r="AJ291" s="0" t="s">
        <v>209</v>
      </c>
      <c r="AK291" s="0" t="s">
        <v>3898</v>
      </c>
      <c r="AL291" s="0" t="n">
        <v>561</v>
      </c>
      <c r="AM291" s="0" t="n">
        <v>1123</v>
      </c>
      <c r="AN291" s="0" t="s">
        <v>187</v>
      </c>
      <c r="AO291" s="0" t="s">
        <v>209</v>
      </c>
      <c r="AP291" s="0" t="s">
        <v>5282</v>
      </c>
      <c r="AQ291" s="5" t="s">
        <v>189</v>
      </c>
      <c r="AT291" s="0" t="str">
        <f aca="false">IF($A291="","",IF(AND(CN291="pass",AQ291&lt;&gt;"Y",C291&lt;&gt;"",OR(AX291&lt;&gt;"Y",AV291="Y")),"Y","N"))</f>
        <v>N</v>
      </c>
      <c r="AU291" s="0" t="str">
        <f aca="false">IF($A291="","",_xlfn.TEXTJOIN("; ",TRUE(),IF(CN291&lt;&gt;"pass","gated out",""),IF(AQ291="Y","on hold: "&amp;AR291,""),IF(C291="","no contact named on an opened page",""),IF(AND(AX291="Y",AV291&lt;&gt;"Y"),"Tuesday estimate band "&amp;L291&amp;": founder's call","")))</f>
        <v>gated out; no contact named on an opened page; Tuesday estimate band over-500: founder's call</v>
      </c>
      <c r="AX291" s="0" t="s">
        <v>164</v>
      </c>
      <c r="BC291" s="0" t="str">
        <f aca="false">IF($A291="","",IFERROR(INDEX(Enrichment!$A$2:$GZ$2000,MATCH($A291,INDEX(Enrichment!$A$2:$GZ$2000,0,MATCH("row_id",Enrichment!$A$1:$GZ$1,0)),0),MATCH("work_email",Enrichment!$A$1:$GZ$1,0))&amp;"",""))</f>
        <v/>
      </c>
      <c r="BD291" s="0" t="str">
        <f aca="false">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none</v>
      </c>
      <c r="BF291" s="0" t="s">
        <v>380</v>
      </c>
      <c r="BJ291" s="0" t="s">
        <v>380</v>
      </c>
      <c r="BL291" s="0" t="s">
        <v>896</v>
      </c>
      <c r="BQ291" s="0" t="str">
        <f aca="false">IF($A291="","",IFERROR(INDEX(Enrichment!$A$2:$GZ$2000,MATCH($A291,INDEX(Enrichment!$A$2:$GZ$2000,0,MATCH("row_id",Enrichment!$A$1:$GZ$1,0)),0),MATCH("backup_work_email",Enrichment!$A$1:$GZ$1,0))&amp;"",""))</f>
        <v/>
      </c>
      <c r="BR291" s="0" t="str">
        <f aca="false">IF($A291="","",IF(BQ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none</v>
      </c>
      <c r="BT291" s="0" t="s">
        <v>380</v>
      </c>
      <c r="BX291" s="0" t="s">
        <v>380</v>
      </c>
      <c r="BZ291" s="0" t="s">
        <v>388</v>
      </c>
      <c r="CA291" s="0" t="s">
        <v>5285</v>
      </c>
      <c r="CB291" s="0" t="s">
        <v>196</v>
      </c>
      <c r="CM291" s="0" t="s">
        <v>189</v>
      </c>
      <c r="CN291" s="0" t="s">
        <v>4627</v>
      </c>
      <c r="CO291" s="0" t="s">
        <v>5286</v>
      </c>
      <c r="CP291" s="0" t="s">
        <v>1</v>
      </c>
      <c r="CQ291" s="0" t="s">
        <v>5287</v>
      </c>
      <c r="CR291" s="0" t="s">
        <v>5288</v>
      </c>
      <c r="CS291" s="0" t="s">
        <v>5289</v>
      </c>
      <c r="CT291" s="0" t="s">
        <v>5290</v>
      </c>
      <c r="CV291" s="0" t="s">
        <v>976</v>
      </c>
      <c r="CW291" s="0" t="s">
        <v>204</v>
      </c>
      <c r="CX291" s="0" t="s">
        <v>205</v>
      </c>
      <c r="CY291" s="0" t="s">
        <v>5291</v>
      </c>
      <c r="DA291" s="0" t="s">
        <v>978</v>
      </c>
      <c r="DB291" s="0" t="s">
        <v>209</v>
      </c>
      <c r="DC291" s="0" t="s">
        <v>209</v>
      </c>
      <c r="DD291" s="0" t="s">
        <v>209</v>
      </c>
      <c r="DE291" s="0" t="s">
        <v>209</v>
      </c>
      <c r="DF291" s="0" t="s">
        <v>397</v>
      </c>
      <c r="DG291" s="0" t="n">
        <v>40.740084</v>
      </c>
      <c r="DH291" s="0" t="n">
        <v>-73.994613</v>
      </c>
      <c r="DI291" s="0" t="s">
        <v>164</v>
      </c>
      <c r="DJ291" s="0" t="n">
        <v>0</v>
      </c>
      <c r="DK291" s="0" t="s">
        <v>3362</v>
      </c>
      <c r="DL291" s="0" t="s">
        <v>3363</v>
      </c>
      <c r="DM291" s="0" t="s">
        <v>5284</v>
      </c>
      <c r="DN291" s="0" t="s">
        <v>5292</v>
      </c>
      <c r="DO291" s="0" t="s">
        <v>363</v>
      </c>
      <c r="DS291" s="0" t="s">
        <v>187</v>
      </c>
      <c r="DU291" s="0" t="s">
        <v>189</v>
      </c>
      <c r="DX291" s="0" t="s">
        <v>2507</v>
      </c>
      <c r="DY291" s="0" t="s">
        <v>3366</v>
      </c>
      <c r="EA291" s="0" t="s">
        <v>209</v>
      </c>
      <c r="EB291" s="0" t="s">
        <v>189</v>
      </c>
      <c r="EC291" s="0" t="s">
        <v>209</v>
      </c>
      <c r="EF291" s="0" t="n">
        <v>794</v>
      </c>
      <c r="EG291" s="0" t="s">
        <v>4781</v>
      </c>
      <c r="EH291" s="0" t="s">
        <v>164</v>
      </c>
      <c r="EI291" s="0" t="s">
        <v>5293</v>
      </c>
      <c r="EJ291" s="0" t="s">
        <v>221</v>
      </c>
      <c r="EK291" s="0" t="n">
        <v>0</v>
      </c>
      <c r="EL291" s="0" t="n">
        <v>13</v>
      </c>
      <c r="EM291" s="0" t="n">
        <v>0</v>
      </c>
      <c r="EN291" s="0" t="n">
        <v>2</v>
      </c>
      <c r="EO291" s="0" t="n">
        <v>6</v>
      </c>
      <c r="EP291" s="0" t="n">
        <v>5</v>
      </c>
      <c r="EQ291" s="0" t="n">
        <f aca="false">IF($A291="","",IF(AH291="exact",10,IF(AH291="adjacent",5,0)))</f>
        <v>0</v>
      </c>
      <c r="ER291" s="0" t="n">
        <f aca="false">IF($A291="","",IF(R291="Y",15,0))</f>
        <v>0</v>
      </c>
      <c r="ES291" s="0" t="s">
        <v>982</v>
      </c>
      <c r="ET291" s="0" t="s">
        <v>983</v>
      </c>
      <c r="EU291" s="0" t="s">
        <v>189</v>
      </c>
      <c r="EV291" s="0" t="s">
        <v>5294</v>
      </c>
      <c r="EW291" s="0" t="s">
        <v>224</v>
      </c>
      <c r="EX291" s="0" t="s">
        <v>5295</v>
      </c>
      <c r="FS291" s="0" t="str">
        <f aca="false">IF($A291="","",IF(ISNUMBER(MATCH(U291,{"queued","contacted","replied","call_booked","call_done","yes_in_principle","materials_sent"},0)),"Y","N"))</f>
        <v>N</v>
      </c>
      <c r="FT291" s="0" t="str">
        <f aca="false">IF($A291="","",IF(OR(T291="Y",U291="do_not_contact",AS291&amp;""&lt;&gt;""),"Y","N"))</f>
        <v>N</v>
      </c>
      <c r="FU291" s="0" t="str">
        <f aca="false">IF($A291="","",IF(AP291&amp;""&lt;&gt;"",AP291&amp;"",$A291))</f>
        <v>AO-C-202</v>
      </c>
      <c r="FV291" s="0" t="str">
        <f aca="false">IF($A291="","",IF(COUNTIFS($FU$2:$FU$1000,FU291,$FS$2:$FS$1000,"Y")+COUNTIFS($FU$2:$FU$1000,FU291,$FT$2:$FT$1000,"Y")&gt;0,"Y","N"))</f>
        <v>N</v>
      </c>
      <c r="FW291" s="0" t="str">
        <f aca="false">IF($A291="","",IF(AND(U291="new",T291="N",FT291="N",AT291="Y",FV291="N"),"Y","N"))</f>
        <v>N</v>
      </c>
      <c r="FX291" s="0" t="str">
        <f aca="false">IF($A291="","",IF(FW291&lt;&gt;"Y","N",IF(COUNTIFS($FU$2:$FU$1000,FU291,$FW$2:$FW$1000,"Y",$J$2:$J$1000,"&gt;"&amp;J291)+COUNTIFS($FU$2:$FU$1000,FU291,$FW$2:$FW$1000,"Y",$J$2:$J$1000,J291,$GD$2:$GD$1000,"&lt;"&amp;GD291)=0,"Y","N")))</f>
        <v>N</v>
      </c>
      <c r="FY291" s="0" t="str">
        <f aca="false">IF($A291="","",IF(AND(FW291="Y",FX291="Y",Y291&amp;""&lt;&gt;""),IF(Y291&lt;=10,"Y","N"),"N"))</f>
        <v>N</v>
      </c>
      <c r="FZ291" s="0" t="str">
        <f aca="false">IF(FY291="Y",Y291,"")</f>
        <v/>
      </c>
      <c r="GA291" s="0" t="str">
        <f aca="false">IF($A291="","",IF(AND(I291="walk-in",CN291="pass",U291="new",FT291="N",FV291="N",AQ291&lt;&gt;"Y"),"Y","N"))</f>
        <v>N</v>
      </c>
      <c r="GB291" s="0" t="str">
        <f aca="false">IF(GA291&lt;&gt;"Y","",IF(COUNTIFS($GA$2:$GA$1000,"Y",$J$2:$J$1000,"&gt;"&amp;J291)+COUNTIFS($GA$2:$GA$1000,"Y",$J$2:$J$1000,J291,$GD$2:$GD$1000,"&lt;"&amp;GD291)+1&lt;=25,COUNTIFS($GA$2:$GA$1000,"Y",$J$2:$J$1000,"&gt;"&amp;J291)+COUNTIFS($GA$2:$GA$1000,"Y",$J$2:$J$1000,J291,$GD$2:$GD$1000,"&lt;"&amp;GD291)+1,""))</f>
        <v/>
      </c>
      <c r="GC291" s="0" t="str">
        <f aca="false">IF(AND(_xlfn.ISFORMULA(C291),_xlfn.ISFORMULA(J291)),"Y","N")</f>
        <v>Y</v>
      </c>
      <c r="GD291" s="0" t="n">
        <f aca="false">ROW()-1</f>
        <v>290</v>
      </c>
    </row>
    <row r="292" customFormat="false" ht="15" hidden="false" customHeight="false" outlineLevel="0" collapsed="false">
      <c r="A292" s="0" t="s">
        <v>5296</v>
      </c>
      <c r="B292" s="0" t="s">
        <v>5297</v>
      </c>
      <c r="C292" s="0" t="str">
        <f aca="false">IF($A292="","",IF(AW292="Y",BM292&amp;"",AY292&amp;""))</f>
        <v/>
      </c>
      <c r="D292" s="0" t="str">
        <f aca="false">IF($A292="","",IF(AW292="Y",BN292&amp;"",AZ292&amp;""))</f>
        <v/>
      </c>
      <c r="E292" s="0" t="str">
        <f aca="false">IF($A292="","",IF(AW292="Y",BO292&amp;"",BA292&amp;""))</f>
        <v/>
      </c>
      <c r="F292" s="0" t="str">
        <f aca="false">IF($A292="","",IF(AW292="Y",BP292&amp;"",BB292&amp;""))</f>
        <v/>
      </c>
      <c r="G292" s="0" t="str">
        <f aca="false">IF($A292="","",IF(AW292="Y",BQ292&amp;"",BC292&amp;""))</f>
        <v/>
      </c>
      <c r="H292" s="0" t="str">
        <f aca="false">IF($A292="","",IF(AW292="Y",BR292&amp;"",BD292&amp;""))</f>
        <v>none</v>
      </c>
      <c r="I292" s="0" t="str">
        <f aca="false">IF($A292="","",IF(R292="Y","warm-intro",IF(H292="verified","email",IF(C292&lt;&gt;"","linkedin",CB292&amp;""))))</f>
        <v>linkedin</v>
      </c>
      <c r="J292" s="0" t="n">
        <f aca="false">IF($A292="","",IF(CN292="pass",ROUND(N(EM292)+N(EN292)+N(EO292)+N(EP292)+N(EQ292)+N(ER292),1),0))</f>
        <v>0</v>
      </c>
      <c r="K292" s="0" t="str">
        <f aca="false">IF($A292="","",IF(CN292&lt;&gt;"pass",CA292&amp;"",CA292&amp;"; "&amp;IF(AW292="Y",BZ292&amp;"",BL292&amp;"")&amp;IF(R292="Y","; known to the founder (+15)","")&amp;"."))</f>
        <v>Gated out: Tuesday estimate over 250 (256 to 513).</v>
      </c>
      <c r="L292" s="0" t="s">
        <v>355</v>
      </c>
      <c r="R292" s="5" t="s">
        <v>189</v>
      </c>
      <c r="S292" s="0" t="s">
        <v>209</v>
      </c>
      <c r="T292" s="0" t="s">
        <v>189</v>
      </c>
      <c r="U292" s="5" t="s">
        <v>3896</v>
      </c>
      <c r="V292" s="0" t="s">
        <v>5298</v>
      </c>
      <c r="W292" s="0" t="s">
        <v>263</v>
      </c>
      <c r="X292" s="0" t="s">
        <v>3897</v>
      </c>
      <c r="Y292" s="0" t="str">
        <f aca="false">IF(FX292&lt;&gt;"Y","",COUNTIFS($FX$2:$FX$1000,"Y",$J$2:$J$1000,"&gt;"&amp;J292)+COUNTIFS($FX$2:$FX$1000,"Y",$J$2:$J$1000,J292,$GD$2:$GD$1000,"&lt;"&amp;GD292)+1)</f>
        <v/>
      </c>
      <c r="AA292" s="0" t="s">
        <v>189</v>
      </c>
      <c r="AB292" s="0" t="str">
        <f aca="false">IF($A292="","",IF(AW292="Y",BY292&amp;"",BK292&amp;""))</f>
        <v/>
      </c>
      <c r="AC292" s="0" t="str">
        <f aca="false">IF($A292="","",IF(AW292="Y",BS292&amp;"",BE292&amp;""))</f>
        <v/>
      </c>
      <c r="AD292" s="0" t="str">
        <f aca="false">IF($A292="","",IF(AW292="Y",BT292&amp;"",BF292&amp;""))</f>
        <v>none</v>
      </c>
      <c r="AE292" s="0" t="str">
        <f aca="false">IF($A292="","",IF(AW292="Y",BU292&amp;"",BG292&amp;""))</f>
        <v/>
      </c>
      <c r="AF292" s="0" t="str">
        <f aca="false">IF($A292="","",IF(AW292="Y",BV292&amp;"",BH292&amp;""))</f>
        <v/>
      </c>
      <c r="AG292" s="0" t="str">
        <f aca="false">IF($A292="","",IF(AW292="Y",BW292&amp;"",BI292&amp;""))</f>
        <v/>
      </c>
      <c r="AH292" s="0" t="str">
        <f aca="false">IF($A292="","",IF(AW292="Y",BX292&amp;"",BJ292&amp;""))</f>
        <v>none</v>
      </c>
      <c r="AI292" s="0" t="s">
        <v>3855</v>
      </c>
      <c r="AJ292" s="0" t="s">
        <v>5299</v>
      </c>
      <c r="AK292" s="0" t="s">
        <v>3898</v>
      </c>
      <c r="AL292" s="0" t="n">
        <v>256</v>
      </c>
      <c r="AM292" s="0" t="n">
        <v>513</v>
      </c>
      <c r="AN292" s="0" t="s">
        <v>187</v>
      </c>
      <c r="AO292" s="0" t="s">
        <v>209</v>
      </c>
      <c r="AP292" s="0" t="s">
        <v>5296</v>
      </c>
      <c r="AQ292" s="5" t="s">
        <v>189</v>
      </c>
      <c r="AT292" s="0" t="str">
        <f aca="false">IF($A292="","",IF(AND(CN292="pass",AQ292&lt;&gt;"Y",C292&lt;&gt;"",OR(AX292&lt;&gt;"Y",AV292="Y")),"Y","N"))</f>
        <v>N</v>
      </c>
      <c r="AU292" s="0" t="str">
        <f aca="false">IF($A292="","",_xlfn.TEXTJOIN("; ",TRUE(),IF(CN292&lt;&gt;"pass","gated out",""),IF(AQ292="Y","on hold: "&amp;AR292,""),IF(C292="","no contact named on an opened page",""),IF(AND(AX292="Y",AV292&lt;&gt;"Y"),"Tuesday estimate band "&amp;L292&amp;": founder's call","")))</f>
        <v>gated out; no contact named on an opened page; Tuesday estimate band 251-500: founder's call</v>
      </c>
      <c r="AX292" s="0" t="s">
        <v>164</v>
      </c>
      <c r="BC292" s="0" t="str">
        <f aca="false">IF($A292="","",IFERROR(INDEX(Enrichment!$A$2:$GZ$2000,MATCH($A292,INDEX(Enrichment!$A$2:$GZ$2000,0,MATCH("row_id",Enrichment!$A$1:$GZ$1,0)),0),MATCH("work_email",Enrichment!$A$1:$GZ$1,0))&amp;"",""))</f>
        <v/>
      </c>
      <c r="BD292" s="0" t="str">
        <f aca="false">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none</v>
      </c>
      <c r="BF292" s="0" t="s">
        <v>380</v>
      </c>
      <c r="BJ292" s="0" t="s">
        <v>380</v>
      </c>
      <c r="BL292" s="0" t="s">
        <v>896</v>
      </c>
      <c r="BQ292" s="0" t="str">
        <f aca="false">IF($A292="","",IFERROR(INDEX(Enrichment!$A$2:$GZ$2000,MATCH($A292,INDEX(Enrichment!$A$2:$GZ$2000,0,MATCH("row_id",Enrichment!$A$1:$GZ$1,0)),0),MATCH("backup_work_email",Enrichment!$A$1:$GZ$1,0))&amp;"",""))</f>
        <v/>
      </c>
      <c r="BR292" s="0" t="str">
        <f aca="false">IF($A292="","",IF(BQ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none</v>
      </c>
      <c r="BT292" s="0" t="s">
        <v>380</v>
      </c>
      <c r="BX292" s="0" t="s">
        <v>380</v>
      </c>
      <c r="BZ292" s="0" t="s">
        <v>388</v>
      </c>
      <c r="CA292" s="0" t="s">
        <v>5300</v>
      </c>
      <c r="CB292" s="0" t="s">
        <v>196</v>
      </c>
      <c r="CM292" s="0" t="s">
        <v>189</v>
      </c>
      <c r="CN292" s="0" t="s">
        <v>4627</v>
      </c>
      <c r="CO292" s="0" t="s">
        <v>5301</v>
      </c>
      <c r="CP292" s="0" t="s">
        <v>1</v>
      </c>
      <c r="CQ292" s="0" t="s">
        <v>5302</v>
      </c>
      <c r="CR292" s="0" t="s">
        <v>5303</v>
      </c>
      <c r="CS292" s="0" t="s">
        <v>5304</v>
      </c>
      <c r="CT292" s="0" t="s">
        <v>2640</v>
      </c>
      <c r="CV292" s="0" t="s">
        <v>976</v>
      </c>
      <c r="CW292" s="0" t="s">
        <v>204</v>
      </c>
      <c r="CX292" s="0" t="s">
        <v>205</v>
      </c>
      <c r="CY292" s="0" t="s">
        <v>5305</v>
      </c>
      <c r="DA292" s="0" t="s">
        <v>1351</v>
      </c>
      <c r="DB292" s="0" t="s">
        <v>259</v>
      </c>
      <c r="DC292" s="0" t="s">
        <v>164</v>
      </c>
      <c r="DD292" s="0" t="s">
        <v>209</v>
      </c>
      <c r="DE292" s="0" t="s">
        <v>209</v>
      </c>
      <c r="DF292" s="0" t="s">
        <v>525</v>
      </c>
      <c r="DG292" s="0" t="n">
        <v>40.739363</v>
      </c>
      <c r="DH292" s="0" t="n">
        <v>-73.989534</v>
      </c>
      <c r="DI292" s="0" t="s">
        <v>164</v>
      </c>
      <c r="DJ292" s="0" t="n">
        <v>0</v>
      </c>
      <c r="DK292" s="0" t="s">
        <v>3203</v>
      </c>
      <c r="DL292" s="0" t="s">
        <v>3204</v>
      </c>
      <c r="DM292" s="0" t="s">
        <v>5298</v>
      </c>
      <c r="DN292" s="0" t="s">
        <v>5306</v>
      </c>
      <c r="DO292" s="0" t="s">
        <v>363</v>
      </c>
      <c r="DP292" s="0" t="s">
        <v>3206</v>
      </c>
      <c r="DQ292" s="0" t="s">
        <v>5307</v>
      </c>
      <c r="DS292" s="0" t="s">
        <v>187</v>
      </c>
      <c r="DU292" s="0" t="s">
        <v>189</v>
      </c>
      <c r="DX292" s="0" t="s">
        <v>267</v>
      </c>
      <c r="DY292" s="0" t="s">
        <v>3206</v>
      </c>
      <c r="EA292" s="0" t="s">
        <v>209</v>
      </c>
      <c r="EB292" s="0" t="s">
        <v>189</v>
      </c>
      <c r="EC292" s="0" t="s">
        <v>209</v>
      </c>
      <c r="EF292" s="0" t="n">
        <v>362</v>
      </c>
      <c r="EG292" s="0" t="s">
        <v>4781</v>
      </c>
      <c r="EH292" s="0" t="s">
        <v>189</v>
      </c>
      <c r="EI292" s="0" t="s">
        <v>5308</v>
      </c>
      <c r="EJ292" s="0" t="s">
        <v>221</v>
      </c>
      <c r="EK292" s="0" t="n">
        <v>0</v>
      </c>
      <c r="EL292" s="0" t="n">
        <v>17</v>
      </c>
      <c r="EM292" s="0" t="n">
        <v>0</v>
      </c>
      <c r="EN292" s="0" t="n">
        <v>6</v>
      </c>
      <c r="EO292" s="0" t="n">
        <v>6</v>
      </c>
      <c r="EP292" s="0" t="n">
        <v>5</v>
      </c>
      <c r="EQ292" s="0" t="n">
        <f aca="false">IF($A292="","",IF(AH292="exact",10,IF(AH292="adjacent",5,0)))</f>
        <v>0</v>
      </c>
      <c r="ER292" s="0" t="n">
        <f aca="false">IF($A292="","",IF(R292="Y",15,0))</f>
        <v>0</v>
      </c>
      <c r="ES292" s="0" t="s">
        <v>982</v>
      </c>
      <c r="ET292" s="0" t="s">
        <v>1360</v>
      </c>
      <c r="EU292" s="0" t="s">
        <v>189</v>
      </c>
      <c r="EV292" s="0" t="s">
        <v>4799</v>
      </c>
      <c r="EW292" s="0" t="s">
        <v>224</v>
      </c>
      <c r="EX292" s="0" t="s">
        <v>5309</v>
      </c>
      <c r="FS292" s="0" t="str">
        <f aca="false">IF($A292="","",IF(ISNUMBER(MATCH(U292,{"queued","contacted","replied","call_booked","call_done","yes_in_principle","materials_sent"},0)),"Y","N"))</f>
        <v>N</v>
      </c>
      <c r="FT292" s="0" t="str">
        <f aca="false">IF($A292="","",IF(OR(T292="Y",U292="do_not_contact",AS292&amp;""&lt;&gt;""),"Y","N"))</f>
        <v>N</v>
      </c>
      <c r="FU292" s="0" t="str">
        <f aca="false">IF($A292="","",IF(AP292&amp;""&lt;&gt;"",AP292&amp;"",$A292))</f>
        <v>AO-C-214</v>
      </c>
      <c r="FV292" s="0" t="str">
        <f aca="false">IF($A292="","",IF(COUNTIFS($FU$2:$FU$1000,FU292,$FS$2:$FS$1000,"Y")+COUNTIFS($FU$2:$FU$1000,FU292,$FT$2:$FT$1000,"Y")&gt;0,"Y","N"))</f>
        <v>N</v>
      </c>
      <c r="FW292" s="0" t="str">
        <f aca="false">IF($A292="","",IF(AND(U292="new",T292="N",FT292="N",AT292="Y",FV292="N"),"Y","N"))</f>
        <v>N</v>
      </c>
      <c r="FX292" s="0" t="str">
        <f aca="false">IF($A292="","",IF(FW292&lt;&gt;"Y","N",IF(COUNTIFS($FU$2:$FU$1000,FU292,$FW$2:$FW$1000,"Y",$J$2:$J$1000,"&gt;"&amp;J292)+COUNTIFS($FU$2:$FU$1000,FU292,$FW$2:$FW$1000,"Y",$J$2:$J$1000,J292,$GD$2:$GD$1000,"&lt;"&amp;GD292)=0,"Y","N")))</f>
        <v>N</v>
      </c>
      <c r="FY292" s="0" t="str">
        <f aca="false">IF($A292="","",IF(AND(FW292="Y",FX292="Y",Y292&amp;""&lt;&gt;""),IF(Y292&lt;=10,"Y","N"),"N"))</f>
        <v>N</v>
      </c>
      <c r="FZ292" s="0" t="str">
        <f aca="false">IF(FY292="Y",Y292,"")</f>
        <v/>
      </c>
      <c r="GA292" s="0" t="str">
        <f aca="false">IF($A292="","",IF(AND(I292="walk-in",CN292="pass",U292="new",FT292="N",FV292="N",AQ292&lt;&gt;"Y"),"Y","N"))</f>
        <v>N</v>
      </c>
      <c r="GB292" s="0" t="str">
        <f aca="false">IF(GA292&lt;&gt;"Y","",IF(COUNTIFS($GA$2:$GA$1000,"Y",$J$2:$J$1000,"&gt;"&amp;J292)+COUNTIFS($GA$2:$GA$1000,"Y",$J$2:$J$1000,J292,$GD$2:$GD$1000,"&lt;"&amp;GD292)+1&lt;=25,COUNTIFS($GA$2:$GA$1000,"Y",$J$2:$J$1000,"&gt;"&amp;J292)+COUNTIFS($GA$2:$GA$1000,"Y",$J$2:$J$1000,J292,$GD$2:$GD$1000,"&lt;"&amp;GD292)+1,""))</f>
        <v/>
      </c>
      <c r="GC292" s="0" t="str">
        <f aca="false">IF(AND(_xlfn.ISFORMULA(C292),_xlfn.ISFORMULA(J292)),"Y","N")</f>
        <v>Y</v>
      </c>
      <c r="GD292" s="0" t="n">
        <f aca="false">ROW()-1</f>
        <v>291</v>
      </c>
    </row>
    <row r="293" customFormat="false" ht="15" hidden="false" customHeight="false" outlineLevel="0" collapsed="false">
      <c r="A293" s="0" t="s">
        <v>5310</v>
      </c>
      <c r="B293" s="0" t="s">
        <v>5311</v>
      </c>
      <c r="C293" s="0" t="str">
        <f aca="false">IF($A293="","",IF(AW293="Y",BM293&amp;"",AY293&amp;""))</f>
        <v/>
      </c>
      <c r="D293" s="0" t="str">
        <f aca="false">IF($A293="","",IF(AW293="Y",BN293&amp;"",AZ293&amp;""))</f>
        <v/>
      </c>
      <c r="E293" s="0" t="str">
        <f aca="false">IF($A293="","",IF(AW293="Y",BO293&amp;"",BA293&amp;""))</f>
        <v/>
      </c>
      <c r="F293" s="0" t="str">
        <f aca="false">IF($A293="","",IF(AW293="Y",BP293&amp;"",BB293&amp;""))</f>
        <v/>
      </c>
      <c r="G293" s="0" t="str">
        <f aca="false">IF($A293="","",IF(AW293="Y",BQ293&amp;"",BC293&amp;""))</f>
        <v/>
      </c>
      <c r="H293" s="0" t="str">
        <f aca="false">IF($A293="","",IF(AW293="Y",BR293&amp;"",BD293&amp;""))</f>
        <v>none</v>
      </c>
      <c r="I293" s="0" t="str">
        <f aca="false">IF($A293="","",IF(R293="Y","warm-intro",IF(H293="verified","email",IF(C293&lt;&gt;"","linkedin",CB293&amp;""))))</f>
        <v>linkedin</v>
      </c>
      <c r="J293" s="0" t="n">
        <f aca="false">IF($A293="","",IF(CN293="pass",ROUND(N(EM293)+N(EN293)+N(EO293)+N(EP293)+N(EQ293)+N(ER293),1),0))</f>
        <v>0</v>
      </c>
      <c r="K293" s="0" t="str">
        <f aca="false">IF($A293="","",IF(CN293&lt;&gt;"pass",CA293&amp;"",CA293&amp;"; "&amp;IF(AW293="Y",BZ293&amp;"",BL293&amp;"")&amp;IF(R293="Y","; known to the founder (+15)","")&amp;"."))</f>
        <v>Gated out: Tuesday estimate over 250 (914 to 1040).</v>
      </c>
      <c r="L293" s="0" t="s">
        <v>976</v>
      </c>
      <c r="R293" s="5" t="s">
        <v>189</v>
      </c>
      <c r="S293" s="0" t="s">
        <v>209</v>
      </c>
      <c r="T293" s="0" t="s">
        <v>189</v>
      </c>
      <c r="U293" s="5" t="s">
        <v>3896</v>
      </c>
      <c r="V293" s="0" t="s">
        <v>5312</v>
      </c>
      <c r="W293" s="0" t="s">
        <v>263</v>
      </c>
      <c r="X293" s="0" t="s">
        <v>3897</v>
      </c>
      <c r="Y293" s="0" t="str">
        <f aca="false">IF(FX293&lt;&gt;"Y","",COUNTIFS($FX$2:$FX$1000,"Y",$J$2:$J$1000,"&gt;"&amp;J293)+COUNTIFS($FX$2:$FX$1000,"Y",$J$2:$J$1000,J293,$GD$2:$GD$1000,"&lt;"&amp;GD293)+1)</f>
        <v/>
      </c>
      <c r="AA293" s="0" t="s">
        <v>189</v>
      </c>
      <c r="AB293" s="0" t="str">
        <f aca="false">IF($A293="","",IF(AW293="Y",BY293&amp;"",BK293&amp;""))</f>
        <v/>
      </c>
      <c r="AC293" s="0" t="str">
        <f aca="false">IF($A293="","",IF(AW293="Y",BS293&amp;"",BE293&amp;""))</f>
        <v/>
      </c>
      <c r="AD293" s="0" t="str">
        <f aca="false">IF($A293="","",IF(AW293="Y",BT293&amp;"",BF293&amp;""))</f>
        <v>none</v>
      </c>
      <c r="AE293" s="0" t="str">
        <f aca="false">IF($A293="","",IF(AW293="Y",BU293&amp;"",BG293&amp;""))</f>
        <v/>
      </c>
      <c r="AF293" s="0" t="str">
        <f aca="false">IF($A293="","",IF(AW293="Y",BV293&amp;"",BH293&amp;""))</f>
        <v/>
      </c>
      <c r="AG293" s="0" t="str">
        <f aca="false">IF($A293="","",IF(AW293="Y",BW293&amp;"",BI293&amp;""))</f>
        <v/>
      </c>
      <c r="AH293" s="0" t="str">
        <f aca="false">IF($A293="","",IF(AW293="Y",BX293&amp;"",BJ293&amp;""))</f>
        <v>none</v>
      </c>
      <c r="AI293" s="0" t="s">
        <v>5313</v>
      </c>
      <c r="AJ293" s="0" t="s">
        <v>5314</v>
      </c>
      <c r="AK293" s="0" t="s">
        <v>3898</v>
      </c>
      <c r="AL293" s="0" t="n">
        <v>914</v>
      </c>
      <c r="AM293" s="0" t="n">
        <v>1040</v>
      </c>
      <c r="AN293" s="0" t="s">
        <v>187</v>
      </c>
      <c r="AO293" s="0" t="s">
        <v>209</v>
      </c>
      <c r="AP293" s="0" t="s">
        <v>5310</v>
      </c>
      <c r="AQ293" s="5" t="s">
        <v>189</v>
      </c>
      <c r="AT293" s="0" t="str">
        <f aca="false">IF($A293="","",IF(AND(CN293="pass",AQ293&lt;&gt;"Y",C293&lt;&gt;"",OR(AX293&lt;&gt;"Y",AV293="Y")),"Y","N"))</f>
        <v>N</v>
      </c>
      <c r="AU293" s="0" t="str">
        <f aca="false">IF($A293="","",_xlfn.TEXTJOIN("; ",TRUE(),IF(CN293&lt;&gt;"pass","gated out",""),IF(AQ293="Y","on hold: "&amp;AR293,""),IF(C293="","no contact named on an opened page",""),IF(AND(AX293="Y",AV293&lt;&gt;"Y"),"Tuesday estimate band "&amp;L293&amp;": founder's call","")))</f>
        <v>gated out; no contact named on an opened page; Tuesday estimate band over-500: founder's call</v>
      </c>
      <c r="AX293" s="0" t="s">
        <v>164</v>
      </c>
      <c r="BC293" s="0" t="str">
        <f aca="false">IF($A293="","",IFERROR(INDEX(Enrichment!$A$2:$GZ$2000,MATCH($A293,INDEX(Enrichment!$A$2:$GZ$2000,0,MATCH("row_id",Enrichment!$A$1:$GZ$1,0)),0),MATCH("work_email",Enrichment!$A$1:$GZ$1,0))&amp;"",""))</f>
        <v/>
      </c>
      <c r="BD293" s="0" t="str">
        <f aca="false">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none</v>
      </c>
      <c r="BF293" s="0" t="s">
        <v>380</v>
      </c>
      <c r="BJ293" s="0" t="s">
        <v>380</v>
      </c>
      <c r="BL293" s="0" t="s">
        <v>896</v>
      </c>
      <c r="BQ293" s="0" t="str">
        <f aca="false">IF($A293="","",IFERROR(INDEX(Enrichment!$A$2:$GZ$2000,MATCH($A293,INDEX(Enrichment!$A$2:$GZ$2000,0,MATCH("row_id",Enrichment!$A$1:$GZ$1,0)),0),MATCH("backup_work_email",Enrichment!$A$1:$GZ$1,0))&amp;"",""))</f>
        <v/>
      </c>
      <c r="BR293" s="0" t="str">
        <f aca="false">IF($A293="","",IF(BQ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none</v>
      </c>
      <c r="BT293" s="0" t="s">
        <v>380</v>
      </c>
      <c r="BX293" s="0" t="s">
        <v>380</v>
      </c>
      <c r="BZ293" s="0" t="s">
        <v>388</v>
      </c>
      <c r="CA293" s="0" t="s">
        <v>5315</v>
      </c>
      <c r="CB293" s="0" t="s">
        <v>196</v>
      </c>
      <c r="CM293" s="0" t="s">
        <v>189</v>
      </c>
      <c r="CN293" s="0" t="s">
        <v>4627</v>
      </c>
      <c r="CO293" s="0" t="s">
        <v>5316</v>
      </c>
      <c r="CP293" s="0" t="s">
        <v>1</v>
      </c>
      <c r="CQ293" s="0" t="s">
        <v>5317</v>
      </c>
      <c r="CR293" s="0" t="s">
        <v>5318</v>
      </c>
      <c r="CS293" s="0" t="s">
        <v>5319</v>
      </c>
      <c r="CT293" s="0" t="s">
        <v>5320</v>
      </c>
      <c r="CV293" s="0" t="s">
        <v>976</v>
      </c>
      <c r="CW293" s="0" t="s">
        <v>204</v>
      </c>
      <c r="CX293" s="0" t="s">
        <v>205</v>
      </c>
      <c r="CY293" s="0" t="s">
        <v>5321</v>
      </c>
      <c r="DA293" s="0" t="s">
        <v>978</v>
      </c>
      <c r="DB293" s="0" t="s">
        <v>259</v>
      </c>
      <c r="DC293" s="0" t="s">
        <v>164</v>
      </c>
      <c r="DD293" s="0" t="s">
        <v>209</v>
      </c>
      <c r="DE293" s="0" t="s">
        <v>5322</v>
      </c>
      <c r="DF293" s="0" t="s">
        <v>397</v>
      </c>
      <c r="DG293" s="0" t="n">
        <v>40.739723</v>
      </c>
      <c r="DH293" s="0" t="n">
        <v>-73.992339</v>
      </c>
      <c r="DI293" s="0" t="s">
        <v>164</v>
      </c>
      <c r="DJ293" s="0" t="n">
        <v>0</v>
      </c>
      <c r="DL293" s="0" t="s">
        <v>209</v>
      </c>
      <c r="DM293" s="0" t="s">
        <v>5312</v>
      </c>
      <c r="DN293" s="0" t="s">
        <v>263</v>
      </c>
      <c r="DO293" s="0" t="s">
        <v>651</v>
      </c>
      <c r="DP293" s="0" t="s">
        <v>5323</v>
      </c>
      <c r="DQ293" s="0" t="s">
        <v>5324</v>
      </c>
      <c r="DS293" s="0" t="s">
        <v>187</v>
      </c>
      <c r="DU293" s="0" t="s">
        <v>189</v>
      </c>
      <c r="DX293" s="0" t="s">
        <v>209</v>
      </c>
      <c r="DZ293" s="0" t="s">
        <v>1700</v>
      </c>
      <c r="EA293" s="0" t="s">
        <v>209</v>
      </c>
      <c r="EB293" s="0" t="s">
        <v>189</v>
      </c>
      <c r="EC293" s="0" t="s">
        <v>209</v>
      </c>
      <c r="EF293" s="0" t="n">
        <v>914</v>
      </c>
      <c r="EG293" s="0" t="s">
        <v>4781</v>
      </c>
      <c r="EH293" s="0" t="s">
        <v>164</v>
      </c>
      <c r="EI293" s="0" t="s">
        <v>5325</v>
      </c>
      <c r="EJ293" s="0" t="s">
        <v>221</v>
      </c>
      <c r="EK293" s="0" t="n">
        <v>0</v>
      </c>
      <c r="EL293" s="0" t="n">
        <v>13</v>
      </c>
      <c r="EM293" s="0" t="n">
        <v>0</v>
      </c>
      <c r="EN293" s="0" t="n">
        <v>2</v>
      </c>
      <c r="EO293" s="0" t="n">
        <v>6</v>
      </c>
      <c r="EP293" s="0" t="n">
        <v>5</v>
      </c>
      <c r="EQ293" s="0" t="n">
        <f aca="false">IF($A293="","",IF(AH293="exact",10,IF(AH293="adjacent",5,0)))</f>
        <v>0</v>
      </c>
      <c r="ER293" s="0" t="n">
        <f aca="false">IF($A293="","",IF(R293="Y",15,0))</f>
        <v>0</v>
      </c>
      <c r="ES293" s="0" t="s">
        <v>982</v>
      </c>
      <c r="ET293" s="0" t="s">
        <v>983</v>
      </c>
      <c r="EU293" s="0" t="s">
        <v>189</v>
      </c>
      <c r="EV293" s="0" t="s">
        <v>5326</v>
      </c>
      <c r="EW293" s="0" t="s">
        <v>224</v>
      </c>
      <c r="EX293" s="0" t="s">
        <v>5327</v>
      </c>
      <c r="EZ293" s="0" t="s">
        <v>5328</v>
      </c>
      <c r="FS293" s="0" t="str">
        <f aca="false">IF($A293="","",IF(ISNUMBER(MATCH(U293,{"queued","contacted","replied","call_booked","call_done","yes_in_principle","materials_sent"},0)),"Y","N"))</f>
        <v>N</v>
      </c>
      <c r="FT293" s="0" t="str">
        <f aca="false">IF($A293="","",IF(OR(T293="Y",U293="do_not_contact",AS293&amp;""&lt;&gt;""),"Y","N"))</f>
        <v>N</v>
      </c>
      <c r="FU293" s="0" t="str">
        <f aca="false">IF($A293="","",IF(AP293&amp;""&lt;&gt;"",AP293&amp;"",$A293))</f>
        <v>AO-C-208</v>
      </c>
      <c r="FV293" s="0" t="str">
        <f aca="false">IF($A293="","",IF(COUNTIFS($FU$2:$FU$1000,FU293,$FS$2:$FS$1000,"Y")+COUNTIFS($FU$2:$FU$1000,FU293,$FT$2:$FT$1000,"Y")&gt;0,"Y","N"))</f>
        <v>N</v>
      </c>
      <c r="FW293" s="0" t="str">
        <f aca="false">IF($A293="","",IF(AND(U293="new",T293="N",FT293="N",AT293="Y",FV293="N"),"Y","N"))</f>
        <v>N</v>
      </c>
      <c r="FX293" s="0" t="str">
        <f aca="false">IF($A293="","",IF(FW293&lt;&gt;"Y","N",IF(COUNTIFS($FU$2:$FU$1000,FU293,$FW$2:$FW$1000,"Y",$J$2:$J$1000,"&gt;"&amp;J293)+COUNTIFS($FU$2:$FU$1000,FU293,$FW$2:$FW$1000,"Y",$J$2:$J$1000,J293,$GD$2:$GD$1000,"&lt;"&amp;GD293)=0,"Y","N")))</f>
        <v>N</v>
      </c>
      <c r="FY293" s="0" t="str">
        <f aca="false">IF($A293="","",IF(AND(FW293="Y",FX293="Y",Y293&amp;""&lt;&gt;""),IF(Y293&lt;=10,"Y","N"),"N"))</f>
        <v>N</v>
      </c>
      <c r="FZ293" s="0" t="str">
        <f aca="false">IF(FY293="Y",Y293,"")</f>
        <v/>
      </c>
      <c r="GA293" s="0" t="str">
        <f aca="false">IF($A293="","",IF(AND(I293="walk-in",CN293="pass",U293="new",FT293="N",FV293="N",AQ293&lt;&gt;"Y"),"Y","N"))</f>
        <v>N</v>
      </c>
      <c r="GB293" s="0" t="str">
        <f aca="false">IF(GA293&lt;&gt;"Y","",IF(COUNTIFS($GA$2:$GA$1000,"Y",$J$2:$J$1000,"&gt;"&amp;J293)+COUNTIFS($GA$2:$GA$1000,"Y",$J$2:$J$1000,J293,$GD$2:$GD$1000,"&lt;"&amp;GD293)+1&lt;=25,COUNTIFS($GA$2:$GA$1000,"Y",$J$2:$J$1000,"&gt;"&amp;J293)+COUNTIFS($GA$2:$GA$1000,"Y",$J$2:$J$1000,J293,$GD$2:$GD$1000,"&lt;"&amp;GD293)+1,""))</f>
        <v/>
      </c>
      <c r="GC293" s="0" t="str">
        <f aca="false">IF(AND(_xlfn.ISFORMULA(C293),_xlfn.ISFORMULA(J293)),"Y","N")</f>
        <v>Y</v>
      </c>
      <c r="GD293" s="0" t="n">
        <f aca="false">ROW()-1</f>
        <v>292</v>
      </c>
    </row>
    <row r="294" customFormat="false" ht="15" hidden="false" customHeight="false" outlineLevel="0" collapsed="false">
      <c r="A294" s="0" t="s">
        <v>5329</v>
      </c>
      <c r="B294" s="0" t="s">
        <v>5330</v>
      </c>
      <c r="C294" s="0" t="str">
        <f aca="false">IF($A294="","",IF(AW294="Y",BM294&amp;"",AY294&amp;""))</f>
        <v/>
      </c>
      <c r="D294" s="0" t="str">
        <f aca="false">IF($A294="","",IF(AW294="Y",BN294&amp;"",AZ294&amp;""))</f>
        <v/>
      </c>
      <c r="E294" s="0" t="str">
        <f aca="false">IF($A294="","",IF(AW294="Y",BO294&amp;"",BA294&amp;""))</f>
        <v/>
      </c>
      <c r="F294" s="0" t="str">
        <f aca="false">IF($A294="","",IF(AW294="Y",BP294&amp;"",BB294&amp;""))</f>
        <v/>
      </c>
      <c r="G294" s="0" t="str">
        <f aca="false">IF($A294="","",IF(AW294="Y",BQ294&amp;"",BC294&amp;""))</f>
        <v/>
      </c>
      <c r="H294" s="0" t="str">
        <f aca="false">IF($A294="","",IF(AW294="Y",BR294&amp;"",BD294&amp;""))</f>
        <v>none</v>
      </c>
      <c r="I294" s="0" t="str">
        <f aca="false">IF($A294="","",IF(R294="Y","warm-intro",IF(H294="verified","email",IF(C294&lt;&gt;"","linkedin",CB294&amp;""))))</f>
        <v>linkedin</v>
      </c>
      <c r="J294" s="0" t="n">
        <f aca="false">IF($A294="","",IF(CN294="pass",ROUND(N(EM294)+N(EN294)+N(EO294)+N(EP294)+N(EQ294)+N(ER294),1),0))</f>
        <v>0</v>
      </c>
      <c r="K294" s="0" t="str">
        <f aca="false">IF($A294="","",IF(CN294&lt;&gt;"pass",CA294&amp;"",CA294&amp;"; "&amp;IF(AW294="Y",BZ294&amp;"",BL294&amp;"")&amp;IF(R294="Y","; known to the founder (+15)","")&amp;"."))</f>
        <v>Gated out: outside the cluster (0.2 blocks outside the line).</v>
      </c>
      <c r="L294" s="0" t="s">
        <v>209</v>
      </c>
      <c r="R294" s="5" t="s">
        <v>189</v>
      </c>
      <c r="S294" s="0" t="s">
        <v>209</v>
      </c>
      <c r="T294" s="0" t="s">
        <v>189</v>
      </c>
      <c r="U294" s="5" t="s">
        <v>3896</v>
      </c>
      <c r="V294" s="0" t="s">
        <v>5331</v>
      </c>
      <c r="W294" s="0" t="s">
        <v>263</v>
      </c>
      <c r="X294" s="0" t="s">
        <v>3897</v>
      </c>
      <c r="Y294" s="0" t="str">
        <f aca="false">IF(FX294&lt;&gt;"Y","",COUNTIFS($FX$2:$FX$1000,"Y",$J$2:$J$1000,"&gt;"&amp;J294)+COUNTIFS($FX$2:$FX$1000,"Y",$J$2:$J$1000,J294,$GD$2:$GD$1000,"&lt;"&amp;GD294)+1)</f>
        <v/>
      </c>
      <c r="AA294" s="0" t="s">
        <v>189</v>
      </c>
      <c r="AB294" s="0" t="str">
        <f aca="false">IF($A294="","",IF(AW294="Y",BY294&amp;"",BK294&amp;""))</f>
        <v/>
      </c>
      <c r="AC294" s="0" t="str">
        <f aca="false">IF($A294="","",IF(AW294="Y",BS294&amp;"",BE294&amp;""))</f>
        <v/>
      </c>
      <c r="AD294" s="0" t="str">
        <f aca="false">IF($A294="","",IF(AW294="Y",BT294&amp;"",BF294&amp;""))</f>
        <v>none</v>
      </c>
      <c r="AE294" s="0" t="str">
        <f aca="false">IF($A294="","",IF(AW294="Y",BU294&amp;"",BG294&amp;""))</f>
        <v/>
      </c>
      <c r="AF294" s="0" t="str">
        <f aca="false">IF($A294="","",IF(AW294="Y",BV294&amp;"",BH294&amp;""))</f>
        <v/>
      </c>
      <c r="AG294" s="0" t="str">
        <f aca="false">IF($A294="","",IF(AW294="Y",BW294&amp;"",BI294&amp;""))</f>
        <v/>
      </c>
      <c r="AH294" s="0" t="str">
        <f aca="false">IF($A294="","",IF(AW294="Y",BX294&amp;"",BJ294&amp;""))</f>
        <v>none</v>
      </c>
      <c r="AI294" s="0" t="s">
        <v>5332</v>
      </c>
      <c r="AJ294" s="0" t="s">
        <v>494</v>
      </c>
      <c r="AK294" s="0" t="s">
        <v>3933</v>
      </c>
      <c r="AL294" s="0" t="s">
        <v>209</v>
      </c>
      <c r="AM294" s="0" t="s">
        <v>209</v>
      </c>
      <c r="AN294" s="0" t="s">
        <v>380</v>
      </c>
      <c r="AO294" s="0" t="s">
        <v>209</v>
      </c>
      <c r="AP294" s="0" t="s">
        <v>5329</v>
      </c>
      <c r="AQ294" s="5" t="s">
        <v>189</v>
      </c>
      <c r="AT294" s="0" t="str">
        <f aca="false">IF($A294="","",IF(AND(CN294="pass",AQ294&lt;&gt;"Y",C294&lt;&gt;"",OR(AX294&lt;&gt;"Y",AV294="Y")),"Y","N"))</f>
        <v>N</v>
      </c>
      <c r="AU294" s="0" t="str">
        <f aca="false">IF($A294="","",_xlfn.TEXTJOIN("; ",TRUE(),IF(CN294&lt;&gt;"pass","gated out",""),IF(AQ294="Y","on hold: "&amp;AR294,""),IF(C294="","no contact named on an opened page",""),IF(AND(AX294="Y",AV294&lt;&gt;"Y"),"Tuesday estimate band "&amp;L294&amp;": founder's call","")))</f>
        <v>gated out; no contact named on an opened page</v>
      </c>
      <c r="AX294" s="0" t="s">
        <v>189</v>
      </c>
      <c r="BC294" s="0" t="str">
        <f aca="false">IF($A294="","",IFERROR(INDEX(Enrichment!$A$2:$GZ$2000,MATCH($A294,INDEX(Enrichment!$A$2:$GZ$2000,0,MATCH("row_id",Enrichment!$A$1:$GZ$1,0)),0),MATCH("work_email",Enrichment!$A$1:$GZ$1,0))&amp;"",""))</f>
        <v/>
      </c>
      <c r="BD294" s="0" t="str">
        <f aca="false">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none</v>
      </c>
      <c r="BF294" s="0" t="s">
        <v>380</v>
      </c>
      <c r="BJ294" s="0" t="s">
        <v>380</v>
      </c>
      <c r="BL294" s="0" t="s">
        <v>896</v>
      </c>
      <c r="BQ294" s="0" t="str">
        <f aca="false">IF($A294="","",IFERROR(INDEX(Enrichment!$A$2:$GZ$2000,MATCH($A294,INDEX(Enrichment!$A$2:$GZ$2000,0,MATCH("row_id",Enrichment!$A$1:$GZ$1,0)),0),MATCH("backup_work_email",Enrichment!$A$1:$GZ$1,0))&amp;"",""))</f>
        <v/>
      </c>
      <c r="BR294" s="0" t="str">
        <f aca="false">IF($A294="","",IF(BQ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none</v>
      </c>
      <c r="BT294" s="0" t="s">
        <v>380</v>
      </c>
      <c r="BX294" s="0" t="s">
        <v>380</v>
      </c>
      <c r="BZ294" s="0" t="s">
        <v>388</v>
      </c>
      <c r="CA294" s="0" t="s">
        <v>5333</v>
      </c>
      <c r="CB294" s="0" t="s">
        <v>196</v>
      </c>
      <c r="CM294" s="0" t="s">
        <v>189</v>
      </c>
      <c r="CN294" s="0" t="s">
        <v>4627</v>
      </c>
      <c r="CO294" s="0" t="s">
        <v>5334</v>
      </c>
      <c r="CP294" s="0" t="s">
        <v>1</v>
      </c>
      <c r="CQ294" s="0" t="s">
        <v>5335</v>
      </c>
      <c r="CR294" s="0" t="s">
        <v>5336</v>
      </c>
      <c r="CS294" s="0" t="s">
        <v>5096</v>
      </c>
      <c r="CT294" s="0" t="s">
        <v>209</v>
      </c>
      <c r="CV294" s="0" t="s">
        <v>209</v>
      </c>
      <c r="CW294" s="0" t="s">
        <v>209</v>
      </c>
      <c r="CX294" s="0" t="s">
        <v>2712</v>
      </c>
      <c r="DA294" s="0" t="s">
        <v>209</v>
      </c>
      <c r="DB294" s="0" t="s">
        <v>209</v>
      </c>
      <c r="DC294" s="0" t="s">
        <v>209</v>
      </c>
      <c r="DD294" s="0" t="s">
        <v>209</v>
      </c>
      <c r="DE294" s="0" t="s">
        <v>209</v>
      </c>
      <c r="DF294" s="0" t="s">
        <v>311</v>
      </c>
      <c r="DG294" s="0" t="n">
        <v>40.745308</v>
      </c>
      <c r="DH294" s="0" t="n">
        <v>-73.98356</v>
      </c>
      <c r="DI294" s="0" t="s">
        <v>189</v>
      </c>
      <c r="DJ294" s="0" t="n">
        <v>0.2</v>
      </c>
      <c r="DL294" s="0" t="s">
        <v>209</v>
      </c>
      <c r="DM294" s="0" t="s">
        <v>5331</v>
      </c>
      <c r="DN294" s="0" t="s">
        <v>263</v>
      </c>
      <c r="DO294" s="0" t="s">
        <v>214</v>
      </c>
      <c r="DP294" s="0" t="s">
        <v>5337</v>
      </c>
      <c r="DQ294" s="0" t="s">
        <v>5338</v>
      </c>
      <c r="DS294" s="0" t="s">
        <v>217</v>
      </c>
      <c r="DU294" s="0" t="s">
        <v>189</v>
      </c>
      <c r="DX294" s="0" t="s">
        <v>209</v>
      </c>
      <c r="EA294" s="0" t="s">
        <v>209</v>
      </c>
      <c r="EB294" s="0" t="s">
        <v>189</v>
      </c>
      <c r="EC294" s="0" t="s">
        <v>209</v>
      </c>
      <c r="EF294" s="0" t="s">
        <v>209</v>
      </c>
      <c r="EH294" s="0" t="s">
        <v>189</v>
      </c>
      <c r="EI294" s="0" t="s">
        <v>2716</v>
      </c>
      <c r="EJ294" s="0" t="s">
        <v>221</v>
      </c>
      <c r="EK294" s="0" t="s">
        <v>209</v>
      </c>
      <c r="EL294" s="0" t="n">
        <v>36</v>
      </c>
      <c r="EM294" s="0" t="n">
        <v>7</v>
      </c>
      <c r="EN294" s="0" t="n">
        <v>8</v>
      </c>
      <c r="EO294" s="0" t="n">
        <v>6</v>
      </c>
      <c r="EP294" s="0" t="n">
        <v>15</v>
      </c>
      <c r="EQ294" s="0" t="n">
        <f aca="false">IF($A294="","",IF(AH294="exact",10,IF(AH294="adjacent",5,0)))</f>
        <v>0</v>
      </c>
      <c r="ER294" s="0" t="n">
        <f aca="false">IF($A294="","",IF(R294="Y",15,0))</f>
        <v>0</v>
      </c>
      <c r="ES294" s="0" t="s">
        <v>4636</v>
      </c>
      <c r="ET294" s="0" t="s">
        <v>4637</v>
      </c>
      <c r="EU294" s="0" t="s">
        <v>189</v>
      </c>
      <c r="EV294" s="0" t="s">
        <v>5339</v>
      </c>
      <c r="EW294" s="0" t="s">
        <v>224</v>
      </c>
      <c r="EX294" s="0" t="s">
        <v>5340</v>
      </c>
      <c r="FS294" s="0" t="str">
        <f aca="false">IF($A294="","",IF(ISNUMBER(MATCH(U294,{"queued","contacted","replied","call_booked","call_done","yes_in_principle","materials_sent"},0)),"Y","N"))</f>
        <v>N</v>
      </c>
      <c r="FT294" s="0" t="str">
        <f aca="false">IF($A294="","",IF(OR(T294="Y",U294="do_not_contact",AS294&amp;""&lt;&gt;""),"Y","N"))</f>
        <v>N</v>
      </c>
      <c r="FU294" s="0" t="str">
        <f aca="false">IF($A294="","",IF(AP294&amp;""&lt;&gt;"",AP294&amp;"",$A294))</f>
        <v>AO-C-275</v>
      </c>
      <c r="FV294" s="0" t="str">
        <f aca="false">IF($A294="","",IF(COUNTIFS($FU$2:$FU$1000,FU294,$FS$2:$FS$1000,"Y")+COUNTIFS($FU$2:$FU$1000,FU294,$FT$2:$FT$1000,"Y")&gt;0,"Y","N"))</f>
        <v>N</v>
      </c>
      <c r="FW294" s="0" t="str">
        <f aca="false">IF($A294="","",IF(AND(U294="new",T294="N",FT294="N",AT294="Y",FV294="N"),"Y","N"))</f>
        <v>N</v>
      </c>
      <c r="FX294" s="0" t="str">
        <f aca="false">IF($A294="","",IF(FW294&lt;&gt;"Y","N",IF(COUNTIFS($FU$2:$FU$1000,FU294,$FW$2:$FW$1000,"Y",$J$2:$J$1000,"&gt;"&amp;J294)+COUNTIFS($FU$2:$FU$1000,FU294,$FW$2:$FW$1000,"Y",$J$2:$J$1000,J294,$GD$2:$GD$1000,"&lt;"&amp;GD294)=0,"Y","N")))</f>
        <v>N</v>
      </c>
      <c r="FY294" s="0" t="str">
        <f aca="false">IF($A294="","",IF(AND(FW294="Y",FX294="Y",Y294&amp;""&lt;&gt;""),IF(Y294&lt;=10,"Y","N"),"N"))</f>
        <v>N</v>
      </c>
      <c r="FZ294" s="0" t="str">
        <f aca="false">IF(FY294="Y",Y294,"")</f>
        <v/>
      </c>
      <c r="GA294" s="0" t="str">
        <f aca="false">IF($A294="","",IF(AND(I294="walk-in",CN294="pass",U294="new",FT294="N",FV294="N",AQ294&lt;&gt;"Y"),"Y","N"))</f>
        <v>N</v>
      </c>
      <c r="GB294" s="0" t="str">
        <f aca="false">IF(GA294&lt;&gt;"Y","",IF(COUNTIFS($GA$2:$GA$1000,"Y",$J$2:$J$1000,"&gt;"&amp;J294)+COUNTIFS($GA$2:$GA$1000,"Y",$J$2:$J$1000,J294,$GD$2:$GD$1000,"&lt;"&amp;GD294)+1&lt;=25,COUNTIFS($GA$2:$GA$1000,"Y",$J$2:$J$1000,"&gt;"&amp;J294)+COUNTIFS($GA$2:$GA$1000,"Y",$J$2:$J$1000,J294,$GD$2:$GD$1000,"&lt;"&amp;GD294)+1,""))</f>
        <v/>
      </c>
      <c r="GC294" s="0" t="str">
        <f aca="false">IF(AND(_xlfn.ISFORMULA(C294),_xlfn.ISFORMULA(J294)),"Y","N")</f>
        <v>Y</v>
      </c>
      <c r="GD294" s="0" t="n">
        <f aca="false">ROW()-1</f>
        <v>293</v>
      </c>
    </row>
    <row r="295" customFormat="false" ht="15" hidden="false" customHeight="false" outlineLevel="0" collapsed="false">
      <c r="A295" s="0" t="s">
        <v>5341</v>
      </c>
      <c r="B295" s="0" t="s">
        <v>5342</v>
      </c>
      <c r="C295" s="0" t="str">
        <f aca="false">IF($A295="","",IF(AW295="Y",BM295&amp;"",AY295&amp;""))</f>
        <v/>
      </c>
      <c r="D295" s="0" t="str">
        <f aca="false">IF($A295="","",IF(AW295="Y",BN295&amp;"",AZ295&amp;""))</f>
        <v/>
      </c>
      <c r="E295" s="0" t="str">
        <f aca="false">IF($A295="","",IF(AW295="Y",BO295&amp;"",BA295&amp;""))</f>
        <v/>
      </c>
      <c r="F295" s="0" t="str">
        <f aca="false">IF($A295="","",IF(AW295="Y",BP295&amp;"",BB295&amp;""))</f>
        <v/>
      </c>
      <c r="G295" s="0" t="str">
        <f aca="false">IF($A295="","",IF(AW295="Y",BQ295&amp;"",BC295&amp;""))</f>
        <v/>
      </c>
      <c r="H295" s="0" t="str">
        <f aca="false">IF($A295="","",IF(AW295="Y",BR295&amp;"",BD295&amp;""))</f>
        <v>none</v>
      </c>
      <c r="I295" s="0" t="str">
        <f aca="false">IF($A295="","",IF(R295="Y","warm-intro",IF(H295="verified","email",IF(C295&lt;&gt;"","linkedin",CB295&amp;""))))</f>
        <v>linkedin</v>
      </c>
      <c r="J295" s="0" t="n">
        <f aca="false">IF($A295="","",IF(CN295="pass",ROUND(N(EM295)+N(EN295)+N(EO295)+N(EP295)+N(EQ295)+N(ER295),1),0))</f>
        <v>0</v>
      </c>
      <c r="K295" s="0" t="str">
        <f aca="false">IF($A295="","",IF(CN295&lt;&gt;"pass",CA295&amp;"",CA295&amp;"; "&amp;IF(AW295="Y",BZ295&amp;"",BL295&amp;"")&amp;IF(R295="Y","; known to the founder (+15)","")&amp;"."))</f>
        <v>Gated out: inside a coworking space (B-W-011).</v>
      </c>
      <c r="L295" s="0" t="s">
        <v>209</v>
      </c>
      <c r="R295" s="5" t="s">
        <v>189</v>
      </c>
      <c r="S295" s="0" t="s">
        <v>209</v>
      </c>
      <c r="T295" s="0" t="s">
        <v>189</v>
      </c>
      <c r="U295" s="5" t="s">
        <v>3896</v>
      </c>
      <c r="V295" s="0" t="s">
        <v>5343</v>
      </c>
      <c r="W295" s="0" t="s">
        <v>263</v>
      </c>
      <c r="X295" s="0" t="s">
        <v>3897</v>
      </c>
      <c r="Y295" s="0" t="str">
        <f aca="false">IF(FX295&lt;&gt;"Y","",COUNTIFS($FX$2:$FX$1000,"Y",$J$2:$J$1000,"&gt;"&amp;J295)+COUNTIFS($FX$2:$FX$1000,"Y",$J$2:$J$1000,J295,$GD$2:$GD$1000,"&lt;"&amp;GD295)+1)</f>
        <v/>
      </c>
      <c r="AA295" s="0" t="s">
        <v>189</v>
      </c>
      <c r="AB295" s="0" t="str">
        <f aca="false">IF($A295="","",IF(AW295="Y",BY295&amp;"",BK295&amp;""))</f>
        <v/>
      </c>
      <c r="AC295" s="0" t="str">
        <f aca="false">IF($A295="","",IF(AW295="Y",BS295&amp;"",BE295&amp;""))</f>
        <v/>
      </c>
      <c r="AD295" s="0" t="str">
        <f aca="false">IF($A295="","",IF(AW295="Y",BT295&amp;"",BF295&amp;""))</f>
        <v>none</v>
      </c>
      <c r="AE295" s="0" t="str">
        <f aca="false">IF($A295="","",IF(AW295="Y",BU295&amp;"",BG295&amp;""))</f>
        <v/>
      </c>
      <c r="AF295" s="0" t="str">
        <f aca="false">IF($A295="","",IF(AW295="Y",BV295&amp;"",BH295&amp;""))</f>
        <v/>
      </c>
      <c r="AG295" s="0" t="str">
        <f aca="false">IF($A295="","",IF(AW295="Y",BW295&amp;"",BI295&amp;""))</f>
        <v/>
      </c>
      <c r="AH295" s="0" t="str">
        <f aca="false">IF($A295="","",IF(AW295="Y",BX295&amp;"",BJ295&amp;""))</f>
        <v>none</v>
      </c>
      <c r="AI295" s="0" t="s">
        <v>5344</v>
      </c>
      <c r="AJ295" s="0" t="s">
        <v>182</v>
      </c>
      <c r="AK295" s="0" t="s">
        <v>3933</v>
      </c>
      <c r="AL295" s="0" t="s">
        <v>209</v>
      </c>
      <c r="AM295" s="0" t="s">
        <v>209</v>
      </c>
      <c r="AN295" s="0" t="s">
        <v>380</v>
      </c>
      <c r="AO295" s="0" t="s">
        <v>209</v>
      </c>
      <c r="AP295" s="0" t="s">
        <v>5341</v>
      </c>
      <c r="AQ295" s="5" t="s">
        <v>189</v>
      </c>
      <c r="AT295" s="0" t="str">
        <f aca="false">IF($A295="","",IF(AND(CN295="pass",AQ295&lt;&gt;"Y",C295&lt;&gt;"",OR(AX295&lt;&gt;"Y",AV295="Y")),"Y","N"))</f>
        <v>N</v>
      </c>
      <c r="AU295" s="0" t="str">
        <f aca="false">IF($A295="","",_xlfn.TEXTJOIN("; ",TRUE(),IF(CN295&lt;&gt;"pass","gated out",""),IF(AQ295="Y","on hold: "&amp;AR295,""),IF(C295="","no contact named on an opened page",""),IF(AND(AX295="Y",AV295&lt;&gt;"Y"),"Tuesday estimate band "&amp;L295&amp;": founder's call","")))</f>
        <v>gated out; no contact named on an opened page</v>
      </c>
      <c r="AX295" s="0" t="s">
        <v>189</v>
      </c>
      <c r="BC295" s="0" t="str">
        <f aca="false">IF($A295="","",IFERROR(INDEX(Enrichment!$A$2:$GZ$2000,MATCH($A295,INDEX(Enrichment!$A$2:$GZ$2000,0,MATCH("row_id",Enrichment!$A$1:$GZ$1,0)),0),MATCH("work_email",Enrichment!$A$1:$GZ$1,0))&amp;"",""))</f>
        <v/>
      </c>
      <c r="BD295" s="0" t="str">
        <f aca="false">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none</v>
      </c>
      <c r="BF295" s="0" t="s">
        <v>380</v>
      </c>
      <c r="BJ295" s="0" t="s">
        <v>380</v>
      </c>
      <c r="BL295" s="0" t="s">
        <v>896</v>
      </c>
      <c r="BQ295" s="0" t="str">
        <f aca="false">IF($A295="","",IFERROR(INDEX(Enrichment!$A$2:$GZ$2000,MATCH($A295,INDEX(Enrichment!$A$2:$GZ$2000,0,MATCH("row_id",Enrichment!$A$1:$GZ$1,0)),0),MATCH("backup_work_email",Enrichment!$A$1:$GZ$1,0))&amp;"",""))</f>
        <v/>
      </c>
      <c r="BR295" s="0" t="str">
        <f aca="false">IF($A295="","",IF(BQ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none</v>
      </c>
      <c r="BT295" s="0" t="s">
        <v>380</v>
      </c>
      <c r="BX295" s="0" t="s">
        <v>380</v>
      </c>
      <c r="BZ295" s="0" t="s">
        <v>388</v>
      </c>
      <c r="CA295" s="0" t="s">
        <v>5345</v>
      </c>
      <c r="CB295" s="0" t="s">
        <v>196</v>
      </c>
      <c r="CM295" s="0" t="s">
        <v>189</v>
      </c>
      <c r="CN295" s="0" t="s">
        <v>4627</v>
      </c>
      <c r="CO295" s="0" t="s">
        <v>5346</v>
      </c>
      <c r="CP295" s="0" t="s">
        <v>1</v>
      </c>
      <c r="CQ295" s="0" t="s">
        <v>5347</v>
      </c>
      <c r="CR295" s="0" t="s">
        <v>5348</v>
      </c>
      <c r="CS295" s="0" t="s">
        <v>5349</v>
      </c>
      <c r="CT295" s="0" t="s">
        <v>209</v>
      </c>
      <c r="CV295" s="0" t="s">
        <v>209</v>
      </c>
      <c r="CW295" s="0" t="s">
        <v>209</v>
      </c>
      <c r="CX295" s="0" t="s">
        <v>2712</v>
      </c>
      <c r="DA295" s="0" t="s">
        <v>209</v>
      </c>
      <c r="DB295" s="0" t="s">
        <v>209</v>
      </c>
      <c r="DC295" s="0" t="s">
        <v>209</v>
      </c>
      <c r="DD295" s="0" t="s">
        <v>209</v>
      </c>
      <c r="DE295" s="0" t="s">
        <v>209</v>
      </c>
      <c r="DF295" s="0" t="s">
        <v>525</v>
      </c>
      <c r="DG295" s="0" t="n">
        <v>40.74293</v>
      </c>
      <c r="DH295" s="0" t="n">
        <v>-73.989315</v>
      </c>
      <c r="DI295" s="0" t="s">
        <v>164</v>
      </c>
      <c r="DJ295" s="0" t="n">
        <v>0</v>
      </c>
      <c r="DK295" s="0" t="s">
        <v>1082</v>
      </c>
      <c r="DL295" s="0" t="s">
        <v>1083</v>
      </c>
      <c r="DM295" s="0" t="s">
        <v>5343</v>
      </c>
      <c r="DN295" s="0" t="s">
        <v>263</v>
      </c>
      <c r="DO295" s="0" t="s">
        <v>214</v>
      </c>
      <c r="DP295" s="0" t="s">
        <v>1826</v>
      </c>
      <c r="DQ295" s="0" t="s">
        <v>1827</v>
      </c>
      <c r="DS295" s="0" t="s">
        <v>217</v>
      </c>
      <c r="DU295" s="0" t="s">
        <v>164</v>
      </c>
      <c r="DV295" s="0" t="s">
        <v>3767</v>
      </c>
      <c r="DX295" s="0" t="s">
        <v>267</v>
      </c>
      <c r="DY295" s="0" t="s">
        <v>1086</v>
      </c>
      <c r="EA295" s="0" t="s">
        <v>209</v>
      </c>
      <c r="EB295" s="0" t="s">
        <v>189</v>
      </c>
      <c r="EC295" s="0" t="s">
        <v>209</v>
      </c>
      <c r="EF295" s="0" t="s">
        <v>209</v>
      </c>
      <c r="EH295" s="0" t="s">
        <v>189</v>
      </c>
      <c r="EI295" s="0" t="s">
        <v>2716</v>
      </c>
      <c r="EJ295" s="0" t="s">
        <v>221</v>
      </c>
      <c r="EK295" s="0" t="s">
        <v>209</v>
      </c>
      <c r="EL295" s="0" t="n">
        <v>36</v>
      </c>
      <c r="EM295" s="0" t="n">
        <v>7</v>
      </c>
      <c r="EN295" s="0" t="n">
        <v>8</v>
      </c>
      <c r="EO295" s="0" t="n">
        <v>6</v>
      </c>
      <c r="EP295" s="0" t="n">
        <v>15</v>
      </c>
      <c r="EQ295" s="0" t="n">
        <f aca="false">IF($A295="","",IF(AH295="exact",10,IF(AH295="adjacent",5,0)))</f>
        <v>0</v>
      </c>
      <c r="ER295" s="0" t="n">
        <f aca="false">IF($A295="","",IF(R295="Y",15,0))</f>
        <v>0</v>
      </c>
      <c r="ES295" s="0" t="s">
        <v>4727</v>
      </c>
      <c r="EX295" s="0" t="s">
        <v>5350</v>
      </c>
      <c r="FS295" s="0" t="str">
        <f aca="false">IF($A295="","",IF(ISNUMBER(MATCH(U295,{"queued","contacted","replied","call_booked","call_done","yes_in_principle","materials_sent"},0)),"Y","N"))</f>
        <v>N</v>
      </c>
      <c r="FT295" s="0" t="str">
        <f aca="false">IF($A295="","",IF(OR(T295="Y",U295="do_not_contact",AS295&amp;""&lt;&gt;""),"Y","N"))</f>
        <v>N</v>
      </c>
      <c r="FU295" s="0" t="str">
        <f aca="false">IF($A295="","",IF(AP295&amp;""&lt;&gt;"",AP295&amp;"",$A295))</f>
        <v>AO-C-173</v>
      </c>
      <c r="FV295" s="0" t="str">
        <f aca="false">IF($A295="","",IF(COUNTIFS($FU$2:$FU$1000,FU295,$FS$2:$FS$1000,"Y")+COUNTIFS($FU$2:$FU$1000,FU295,$FT$2:$FT$1000,"Y")&gt;0,"Y","N"))</f>
        <v>N</v>
      </c>
      <c r="FW295" s="0" t="str">
        <f aca="false">IF($A295="","",IF(AND(U295="new",T295="N",FT295="N",AT295="Y",FV295="N"),"Y","N"))</f>
        <v>N</v>
      </c>
      <c r="FX295" s="0" t="str">
        <f aca="false">IF($A295="","",IF(FW295&lt;&gt;"Y","N",IF(COUNTIFS($FU$2:$FU$1000,FU295,$FW$2:$FW$1000,"Y",$J$2:$J$1000,"&gt;"&amp;J295)+COUNTIFS($FU$2:$FU$1000,FU295,$FW$2:$FW$1000,"Y",$J$2:$J$1000,J295,$GD$2:$GD$1000,"&lt;"&amp;GD295)=0,"Y","N")))</f>
        <v>N</v>
      </c>
      <c r="FY295" s="0" t="str">
        <f aca="false">IF($A295="","",IF(AND(FW295="Y",FX295="Y",Y295&amp;""&lt;&gt;""),IF(Y295&lt;=10,"Y","N"),"N"))</f>
        <v>N</v>
      </c>
      <c r="FZ295" s="0" t="str">
        <f aca="false">IF(FY295="Y",Y295,"")</f>
        <v/>
      </c>
      <c r="GA295" s="0" t="str">
        <f aca="false">IF($A295="","",IF(AND(I295="walk-in",CN295="pass",U295="new",FT295="N",FV295="N",AQ295&lt;&gt;"Y"),"Y","N"))</f>
        <v>N</v>
      </c>
      <c r="GB295" s="0" t="str">
        <f aca="false">IF(GA295&lt;&gt;"Y","",IF(COUNTIFS($GA$2:$GA$1000,"Y",$J$2:$J$1000,"&gt;"&amp;J295)+COUNTIFS($GA$2:$GA$1000,"Y",$J$2:$J$1000,J295,$GD$2:$GD$1000,"&lt;"&amp;GD295)+1&lt;=25,COUNTIFS($GA$2:$GA$1000,"Y",$J$2:$J$1000,"&gt;"&amp;J295)+COUNTIFS($GA$2:$GA$1000,"Y",$J$2:$J$1000,J295,$GD$2:$GD$1000,"&lt;"&amp;GD295)+1,""))</f>
        <v/>
      </c>
      <c r="GC295" s="0" t="str">
        <f aca="false">IF(AND(_xlfn.ISFORMULA(C295),_xlfn.ISFORMULA(J295)),"Y","N")</f>
        <v>Y</v>
      </c>
      <c r="GD295" s="0" t="n">
        <f aca="false">ROW()-1</f>
        <v>294</v>
      </c>
    </row>
    <row r="296" customFormat="false" ht="15" hidden="false" customHeight="false" outlineLevel="0" collapsed="false">
      <c r="A296" s="0" t="s">
        <v>5351</v>
      </c>
      <c r="B296" s="0" t="s">
        <v>5352</v>
      </c>
      <c r="C296" s="0" t="str">
        <f aca="false">IF($A296="","",IF(AW296="Y",BM296&amp;"",AY296&amp;""))</f>
        <v/>
      </c>
      <c r="D296" s="0" t="str">
        <f aca="false">IF($A296="","",IF(AW296="Y",BN296&amp;"",AZ296&amp;""))</f>
        <v/>
      </c>
      <c r="E296" s="0" t="str">
        <f aca="false">IF($A296="","",IF(AW296="Y",BO296&amp;"",BA296&amp;""))</f>
        <v/>
      </c>
      <c r="F296" s="0" t="str">
        <f aca="false">IF($A296="","",IF(AW296="Y",BP296&amp;"",BB296&amp;""))</f>
        <v/>
      </c>
      <c r="G296" s="0" t="str">
        <f aca="false">IF($A296="","",IF(AW296="Y",BQ296&amp;"",BC296&amp;""))</f>
        <v/>
      </c>
      <c r="H296" s="0" t="str">
        <f aca="false">IF($A296="","",IF(AW296="Y",BR296&amp;"",BD296&amp;""))</f>
        <v>none</v>
      </c>
      <c r="I296" s="0" t="str">
        <f aca="false">IF($A296="","",IF(R296="Y","warm-intro",IF(H296="verified","email",IF(C296&lt;&gt;"","linkedin",CB296&amp;""))))</f>
        <v>linkedin</v>
      </c>
      <c r="J296" s="0" t="n">
        <f aca="false">IF($A296="","",IF(CN296="pass",ROUND(N(EM296)+N(EN296)+N(EO296)+N(EP296)+N(EQ296)+N(ER296),1),0))</f>
        <v>0</v>
      </c>
      <c r="K296" s="0" t="str">
        <f aca="false">IF($A296="","",IF(CN296&lt;&gt;"pass",CA296&amp;"",CA296&amp;"; "&amp;IF(AW296="Y",BZ296&amp;"",BL296&amp;"")&amp;IF(R296="Y","; known to the founder (+15)","")&amp;"."))</f>
        <v>Gated out: outside the cluster (0.1 blocks outside the line).</v>
      </c>
      <c r="L296" s="0" t="s">
        <v>209</v>
      </c>
      <c r="R296" s="5" t="s">
        <v>189</v>
      </c>
      <c r="S296" s="0" t="s">
        <v>209</v>
      </c>
      <c r="T296" s="0" t="s">
        <v>189</v>
      </c>
      <c r="U296" s="5" t="s">
        <v>3896</v>
      </c>
      <c r="V296" s="0" t="s">
        <v>5353</v>
      </c>
      <c r="W296" s="0" t="s">
        <v>263</v>
      </c>
      <c r="X296" s="0" t="s">
        <v>3897</v>
      </c>
      <c r="Y296" s="0" t="str">
        <f aca="false">IF(FX296&lt;&gt;"Y","",COUNTIFS($FX$2:$FX$1000,"Y",$J$2:$J$1000,"&gt;"&amp;J296)+COUNTIFS($FX$2:$FX$1000,"Y",$J$2:$J$1000,J296,$GD$2:$GD$1000,"&lt;"&amp;GD296)+1)</f>
        <v/>
      </c>
      <c r="AA296" s="0" t="s">
        <v>189</v>
      </c>
      <c r="AB296" s="0" t="str">
        <f aca="false">IF($A296="","",IF(AW296="Y",BY296&amp;"",BK296&amp;""))</f>
        <v/>
      </c>
      <c r="AC296" s="0" t="str">
        <f aca="false">IF($A296="","",IF(AW296="Y",BS296&amp;"",BE296&amp;""))</f>
        <v/>
      </c>
      <c r="AD296" s="0" t="str">
        <f aca="false">IF($A296="","",IF(AW296="Y",BT296&amp;"",BF296&amp;""))</f>
        <v>none</v>
      </c>
      <c r="AE296" s="0" t="str">
        <f aca="false">IF($A296="","",IF(AW296="Y",BU296&amp;"",BG296&amp;""))</f>
        <v/>
      </c>
      <c r="AF296" s="0" t="str">
        <f aca="false">IF($A296="","",IF(AW296="Y",BV296&amp;"",BH296&amp;""))</f>
        <v/>
      </c>
      <c r="AG296" s="0" t="str">
        <f aca="false">IF($A296="","",IF(AW296="Y",BW296&amp;"",BI296&amp;""))</f>
        <v/>
      </c>
      <c r="AH296" s="0" t="str">
        <f aca="false">IF($A296="","",IF(AW296="Y",BX296&amp;"",BJ296&amp;""))</f>
        <v>none</v>
      </c>
      <c r="AI296" s="0" t="s">
        <v>5354</v>
      </c>
      <c r="AJ296" s="0" t="s">
        <v>5355</v>
      </c>
      <c r="AK296" s="0" t="s">
        <v>5356</v>
      </c>
      <c r="AL296" s="0" t="s">
        <v>209</v>
      </c>
      <c r="AM296" s="0" t="s">
        <v>209</v>
      </c>
      <c r="AN296" s="0" t="s">
        <v>380</v>
      </c>
      <c r="AO296" s="0" t="s">
        <v>209</v>
      </c>
      <c r="AP296" s="0" t="s">
        <v>5357</v>
      </c>
      <c r="AQ296" s="5" t="s">
        <v>189</v>
      </c>
      <c r="AT296" s="0" t="str">
        <f aca="false">IF($A296="","",IF(AND(CN296="pass",AQ296&lt;&gt;"Y",C296&lt;&gt;"",OR(AX296&lt;&gt;"Y",AV296="Y")),"Y","N"))</f>
        <v>N</v>
      </c>
      <c r="AU296" s="0" t="str">
        <f aca="false">IF($A296="","",_xlfn.TEXTJOIN("; ",TRUE(),IF(CN296&lt;&gt;"pass","gated out",""),IF(AQ296="Y","on hold: "&amp;AR296,""),IF(C296="","no contact named on an opened page",""),IF(AND(AX296="Y",AV296&lt;&gt;"Y"),"Tuesday estimate band "&amp;L296&amp;": founder's call","")))</f>
        <v>gated out; no contact named on an opened page</v>
      </c>
      <c r="AX296" s="0" t="s">
        <v>189</v>
      </c>
      <c r="BC296" s="0" t="str">
        <f aca="false">IF($A296="","",IFERROR(INDEX(Enrichment!$A$2:$GZ$2000,MATCH($A296,INDEX(Enrichment!$A$2:$GZ$2000,0,MATCH("row_id",Enrichment!$A$1:$GZ$1,0)),0),MATCH("work_email",Enrichment!$A$1:$GZ$1,0))&amp;"",""))</f>
        <v/>
      </c>
      <c r="BD296" s="0" t="str">
        <f aca="false">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none</v>
      </c>
      <c r="BF296" s="0" t="s">
        <v>380</v>
      </c>
      <c r="BJ296" s="0" t="s">
        <v>380</v>
      </c>
      <c r="BL296" s="0" t="s">
        <v>896</v>
      </c>
      <c r="BQ296" s="0" t="str">
        <f aca="false">IF($A296="","",IFERROR(INDEX(Enrichment!$A$2:$GZ$2000,MATCH($A296,INDEX(Enrichment!$A$2:$GZ$2000,0,MATCH("row_id",Enrichment!$A$1:$GZ$1,0)),0),MATCH("backup_work_email",Enrichment!$A$1:$GZ$1,0))&amp;"",""))</f>
        <v/>
      </c>
      <c r="BR296" s="0" t="str">
        <f aca="false">IF($A296="","",IF(BQ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none</v>
      </c>
      <c r="BT296" s="0" t="s">
        <v>380</v>
      </c>
      <c r="BX296" s="0" t="s">
        <v>380</v>
      </c>
      <c r="BZ296" s="0" t="s">
        <v>388</v>
      </c>
      <c r="CA296" s="0" t="s">
        <v>4679</v>
      </c>
      <c r="CB296" s="0" t="s">
        <v>196</v>
      </c>
      <c r="CM296" s="0" t="s">
        <v>189</v>
      </c>
      <c r="CN296" s="0" t="s">
        <v>4627</v>
      </c>
      <c r="CO296" s="0" t="s">
        <v>4680</v>
      </c>
      <c r="CP296" s="0" t="s">
        <v>3121</v>
      </c>
      <c r="CQ296" s="0" t="s">
        <v>5358</v>
      </c>
      <c r="CR296" s="0" t="s">
        <v>5359</v>
      </c>
      <c r="CS296" s="0" t="s">
        <v>3118</v>
      </c>
      <c r="CT296" s="0" t="s">
        <v>209</v>
      </c>
      <c r="CV296" s="0" t="s">
        <v>209</v>
      </c>
      <c r="CW296" s="0" t="s">
        <v>209</v>
      </c>
      <c r="DA296" s="0" t="s">
        <v>209</v>
      </c>
      <c r="DB296" s="0" t="s">
        <v>3123</v>
      </c>
      <c r="DC296" s="0" t="s">
        <v>209</v>
      </c>
      <c r="DD296" s="0" t="s">
        <v>5360</v>
      </c>
      <c r="DF296" s="0" t="s">
        <v>525</v>
      </c>
      <c r="DG296" s="0" t="n">
        <v>40.740111</v>
      </c>
      <c r="DH296" s="0" t="n">
        <v>-73.985459</v>
      </c>
      <c r="DI296" s="0" t="s">
        <v>189</v>
      </c>
      <c r="DJ296" s="0" t="n">
        <v>0.1</v>
      </c>
      <c r="DL296" s="0" t="s">
        <v>209</v>
      </c>
      <c r="DM296" s="0" t="s">
        <v>5353</v>
      </c>
      <c r="DN296" s="0" t="s">
        <v>263</v>
      </c>
      <c r="DO296" s="0" t="s">
        <v>3128</v>
      </c>
      <c r="DP296" s="0" t="s">
        <v>5361</v>
      </c>
      <c r="DS296" s="0" t="s">
        <v>217</v>
      </c>
      <c r="DU296" s="0" t="s">
        <v>189</v>
      </c>
      <c r="DV296" s="0" t="s">
        <v>5358</v>
      </c>
      <c r="DW296" s="0" t="s">
        <v>3130</v>
      </c>
      <c r="DX296" s="0" t="s">
        <v>209</v>
      </c>
      <c r="EA296" s="0" t="s">
        <v>209</v>
      </c>
      <c r="EB296" s="0" t="s">
        <v>189</v>
      </c>
      <c r="EC296" s="0" t="s">
        <v>209</v>
      </c>
      <c r="EF296" s="0" t="s">
        <v>209</v>
      </c>
      <c r="EH296" s="0" t="s">
        <v>189</v>
      </c>
      <c r="EI296" s="0" t="s">
        <v>3131</v>
      </c>
      <c r="EJ296" s="0" t="s">
        <v>221</v>
      </c>
      <c r="EK296" s="0" t="s">
        <v>209</v>
      </c>
      <c r="EL296" s="0" t="n">
        <v>36</v>
      </c>
      <c r="EM296" s="0" t="n">
        <v>7</v>
      </c>
      <c r="EN296" s="0" t="n">
        <v>8</v>
      </c>
      <c r="EO296" s="0" t="n">
        <v>6</v>
      </c>
      <c r="EP296" s="0" t="n">
        <v>15</v>
      </c>
      <c r="EQ296" s="0" t="n">
        <f aca="false">IF($A296="","",IF(AH296="exact",10,IF(AH296="adjacent",5,0)))</f>
        <v>0</v>
      </c>
      <c r="ER296" s="0" t="n">
        <f aca="false">IF($A296="","",IF(R296="Y",15,0))</f>
        <v>0</v>
      </c>
      <c r="ES296" s="0" t="s">
        <v>3121</v>
      </c>
      <c r="EX296" s="0" t="s">
        <v>5362</v>
      </c>
      <c r="FA296" s="0" t="s">
        <v>5363</v>
      </c>
      <c r="FS296" s="0" t="str">
        <f aca="false">IF($A296="","",IF(ISNUMBER(MATCH(U296,{"queued","contacted","replied","call_booked","call_done","yes_in_principle","materials_sent"},0)),"Y","N"))</f>
        <v>N</v>
      </c>
      <c r="FT296" s="0" t="str">
        <f aca="false">IF($A296="","",IF(OR(T296="Y",U296="do_not_contact",AS296&amp;""&lt;&gt;""),"Y","N"))</f>
        <v>N</v>
      </c>
      <c r="FU296" s="0" t="str">
        <f aca="false">IF($A296="","",IF(AP296&amp;""&lt;&gt;"",AP296&amp;"",$A296))</f>
        <v>grp-W025-W028</v>
      </c>
      <c r="FV296" s="0" t="str">
        <f aca="false">IF($A296="","",IF(COUNTIFS($FU$2:$FU$1000,FU296,$FS$2:$FS$1000,"Y")+COUNTIFS($FU$2:$FU$1000,FU296,$FT$2:$FT$1000,"Y")&gt;0,"Y","N"))</f>
        <v>N</v>
      </c>
      <c r="FW296" s="0" t="str">
        <f aca="false">IF($A296="","",IF(AND(U296="new",T296="N",FT296="N",AT296="Y",FV296="N"),"Y","N"))</f>
        <v>N</v>
      </c>
      <c r="FX296" s="0" t="str">
        <f aca="false">IF($A296="","",IF(FW296&lt;&gt;"Y","N",IF(COUNTIFS($FU$2:$FU$1000,FU296,$FW$2:$FW$1000,"Y",$J$2:$J$1000,"&gt;"&amp;J296)+COUNTIFS($FU$2:$FU$1000,FU296,$FW$2:$FW$1000,"Y",$J$2:$J$1000,J296,$GD$2:$GD$1000,"&lt;"&amp;GD296)=0,"Y","N")))</f>
        <v>N</v>
      </c>
      <c r="FY296" s="0" t="str">
        <f aca="false">IF($A296="","",IF(AND(FW296="Y",FX296="Y",Y296&amp;""&lt;&gt;""),IF(Y296&lt;=10,"Y","N"),"N"))</f>
        <v>N</v>
      </c>
      <c r="FZ296" s="0" t="str">
        <f aca="false">IF(FY296="Y",Y296,"")</f>
        <v/>
      </c>
      <c r="GA296" s="0" t="str">
        <f aca="false">IF($A296="","",IF(AND(I296="walk-in",CN296="pass",U296="new",FT296="N",FV296="N",AQ296&lt;&gt;"Y"),"Y","N"))</f>
        <v>N</v>
      </c>
      <c r="GB296" s="0" t="str">
        <f aca="false">IF(GA296&lt;&gt;"Y","",IF(COUNTIFS($GA$2:$GA$1000,"Y",$J$2:$J$1000,"&gt;"&amp;J296)+COUNTIFS($GA$2:$GA$1000,"Y",$J$2:$J$1000,J296,$GD$2:$GD$1000,"&lt;"&amp;GD296)+1&lt;=25,COUNTIFS($GA$2:$GA$1000,"Y",$J$2:$J$1000,"&gt;"&amp;J296)+COUNTIFS($GA$2:$GA$1000,"Y",$J$2:$J$1000,J296,$GD$2:$GD$1000,"&lt;"&amp;GD296)+1,""))</f>
        <v/>
      </c>
      <c r="GC296" s="0" t="str">
        <f aca="false">IF(AND(_xlfn.ISFORMULA(C296),_xlfn.ISFORMULA(J296)),"Y","N")</f>
        <v>Y</v>
      </c>
      <c r="GD296" s="0" t="n">
        <f aca="false">ROW()-1</f>
        <v>295</v>
      </c>
    </row>
    <row r="297" customFormat="false" ht="15" hidden="false" customHeight="false" outlineLevel="0" collapsed="false">
      <c r="A297" s="0" t="s">
        <v>5364</v>
      </c>
      <c r="B297" s="0" t="s">
        <v>5365</v>
      </c>
      <c r="C297" s="0" t="str">
        <f aca="false">IF($A297="","",IF(AW297="Y",BM297&amp;"",AY297&amp;""))</f>
        <v/>
      </c>
      <c r="D297" s="0" t="str">
        <f aca="false">IF($A297="","",IF(AW297="Y",BN297&amp;"",AZ297&amp;""))</f>
        <v/>
      </c>
      <c r="E297" s="0" t="str">
        <f aca="false">IF($A297="","",IF(AW297="Y",BO297&amp;"",BA297&amp;""))</f>
        <v/>
      </c>
      <c r="F297" s="0" t="str">
        <f aca="false">IF($A297="","",IF(AW297="Y",BP297&amp;"",BB297&amp;""))</f>
        <v/>
      </c>
      <c r="G297" s="0" t="str">
        <f aca="false">IF($A297="","",IF(AW297="Y",BQ297&amp;"",BC297&amp;""))</f>
        <v/>
      </c>
      <c r="H297" s="0" t="str">
        <f aca="false">IF($A297="","",IF(AW297="Y",BR297&amp;"",BD297&amp;""))</f>
        <v>none</v>
      </c>
      <c r="I297" s="0" t="str">
        <f aca="false">IF($A297="","",IF(R297="Y","warm-intro",IF(H297="verified","email",IF(C297&lt;&gt;"","linkedin",CB297&amp;""))))</f>
        <v>linkedin</v>
      </c>
      <c r="J297" s="0" t="n">
        <f aca="false">IF($A297="","",IF(CN297="pass",ROUND(N(EM297)+N(EN297)+N(EO297)+N(EP297)+N(EQ297)+N(ER297),1),0))</f>
        <v>0</v>
      </c>
      <c r="K297" s="0" t="str">
        <f aca="false">IF($A297="","",IF(CN297&lt;&gt;"pass",CA297&amp;"",CA297&amp;"; "&amp;IF(AW297="Y",BZ297&amp;"",BL297&amp;"")&amp;IF(R297="Y","; known to the founder (+15)","")&amp;"."))</f>
        <v>Gated out: outside the cluster (0.2 blocks outside the line).</v>
      </c>
      <c r="L297" s="0" t="s">
        <v>209</v>
      </c>
      <c r="R297" s="5" t="s">
        <v>189</v>
      </c>
      <c r="S297" s="0" t="s">
        <v>209</v>
      </c>
      <c r="T297" s="0" t="s">
        <v>189</v>
      </c>
      <c r="U297" s="5" t="s">
        <v>3896</v>
      </c>
      <c r="V297" s="0" t="s">
        <v>5361</v>
      </c>
      <c r="W297" s="0" t="s">
        <v>263</v>
      </c>
      <c r="X297" s="0" t="s">
        <v>3897</v>
      </c>
      <c r="Y297" s="0" t="str">
        <f aca="false">IF(FX297&lt;&gt;"Y","",COUNTIFS($FX$2:$FX$1000,"Y",$J$2:$J$1000,"&gt;"&amp;J297)+COUNTIFS($FX$2:$FX$1000,"Y",$J$2:$J$1000,J297,$GD$2:$GD$1000,"&lt;"&amp;GD297)+1)</f>
        <v/>
      </c>
      <c r="AA297" s="0" t="s">
        <v>189</v>
      </c>
      <c r="AB297" s="0" t="str">
        <f aca="false">IF($A297="","",IF(AW297="Y",BY297&amp;"",BK297&amp;""))</f>
        <v/>
      </c>
      <c r="AC297" s="0" t="str">
        <f aca="false">IF($A297="","",IF(AW297="Y",BS297&amp;"",BE297&amp;""))</f>
        <v/>
      </c>
      <c r="AD297" s="0" t="str">
        <f aca="false">IF($A297="","",IF(AW297="Y",BT297&amp;"",BF297&amp;""))</f>
        <v>none</v>
      </c>
      <c r="AE297" s="0" t="str">
        <f aca="false">IF($A297="","",IF(AW297="Y",BU297&amp;"",BG297&amp;""))</f>
        <v/>
      </c>
      <c r="AF297" s="0" t="str">
        <f aca="false">IF($A297="","",IF(AW297="Y",BV297&amp;"",BH297&amp;""))</f>
        <v/>
      </c>
      <c r="AG297" s="0" t="str">
        <f aca="false">IF($A297="","",IF(AW297="Y",BW297&amp;"",BI297&amp;""))</f>
        <v/>
      </c>
      <c r="AH297" s="0" t="str">
        <f aca="false">IF($A297="","",IF(AW297="Y",BX297&amp;"",BJ297&amp;""))</f>
        <v>none</v>
      </c>
      <c r="AI297" s="0" t="s">
        <v>5366</v>
      </c>
      <c r="AJ297" s="0" t="s">
        <v>5355</v>
      </c>
      <c r="AK297" s="0" t="s">
        <v>5356</v>
      </c>
      <c r="AL297" s="0" t="s">
        <v>209</v>
      </c>
      <c r="AM297" s="0" t="s">
        <v>209</v>
      </c>
      <c r="AN297" s="0" t="s">
        <v>380</v>
      </c>
      <c r="AO297" s="0" t="s">
        <v>209</v>
      </c>
      <c r="AP297" s="0" t="s">
        <v>5357</v>
      </c>
      <c r="AQ297" s="5" t="s">
        <v>189</v>
      </c>
      <c r="AT297" s="0" t="str">
        <f aca="false">IF($A297="","",IF(AND(CN297="pass",AQ297&lt;&gt;"Y",C297&lt;&gt;"",OR(AX297&lt;&gt;"Y",AV297="Y")),"Y","N"))</f>
        <v>N</v>
      </c>
      <c r="AU297" s="0" t="str">
        <f aca="false">IF($A297="","",_xlfn.TEXTJOIN("; ",TRUE(),IF(CN297&lt;&gt;"pass","gated out",""),IF(AQ297="Y","on hold: "&amp;AR297,""),IF(C297="","no contact named on an opened page",""),IF(AND(AX297="Y",AV297&lt;&gt;"Y"),"Tuesday estimate band "&amp;L297&amp;": founder's call","")))</f>
        <v>gated out; no contact named on an opened page</v>
      </c>
      <c r="AX297" s="0" t="s">
        <v>189</v>
      </c>
      <c r="BC297" s="0" t="str">
        <f aca="false">IF($A297="","",IFERROR(INDEX(Enrichment!$A$2:$GZ$2000,MATCH($A297,INDEX(Enrichment!$A$2:$GZ$2000,0,MATCH("row_id",Enrichment!$A$1:$GZ$1,0)),0),MATCH("work_email",Enrichment!$A$1:$GZ$1,0))&amp;"",""))</f>
        <v/>
      </c>
      <c r="BD297" s="0" t="str">
        <f aca="false">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none</v>
      </c>
      <c r="BF297" s="0" t="s">
        <v>380</v>
      </c>
      <c r="BJ297" s="0" t="s">
        <v>380</v>
      </c>
      <c r="BL297" s="0" t="s">
        <v>896</v>
      </c>
      <c r="BQ297" s="0" t="str">
        <f aca="false">IF($A297="","",IFERROR(INDEX(Enrichment!$A$2:$GZ$2000,MATCH($A297,INDEX(Enrichment!$A$2:$GZ$2000,0,MATCH("row_id",Enrichment!$A$1:$GZ$1,0)),0),MATCH("backup_work_email",Enrichment!$A$1:$GZ$1,0))&amp;"",""))</f>
        <v/>
      </c>
      <c r="BR297" s="0" t="str">
        <f aca="false">IF($A297="","",IF(BQ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none</v>
      </c>
      <c r="BT297" s="0" t="s">
        <v>380</v>
      </c>
      <c r="BX297" s="0" t="s">
        <v>380</v>
      </c>
      <c r="BZ297" s="0" t="s">
        <v>388</v>
      </c>
      <c r="CA297" s="0" t="s">
        <v>5333</v>
      </c>
      <c r="CB297" s="0" t="s">
        <v>196</v>
      </c>
      <c r="CM297" s="0" t="s">
        <v>189</v>
      </c>
      <c r="CN297" s="0" t="s">
        <v>4627</v>
      </c>
      <c r="CO297" s="0" t="s">
        <v>5334</v>
      </c>
      <c r="CP297" s="0" t="s">
        <v>3121</v>
      </c>
      <c r="CQ297" s="0" t="s">
        <v>5367</v>
      </c>
      <c r="CR297" s="0" t="s">
        <v>5359</v>
      </c>
      <c r="CS297" s="0" t="s">
        <v>3118</v>
      </c>
      <c r="CT297" s="0" t="s">
        <v>209</v>
      </c>
      <c r="CV297" s="0" t="s">
        <v>209</v>
      </c>
      <c r="CW297" s="0" t="s">
        <v>209</v>
      </c>
      <c r="DA297" s="0" t="s">
        <v>209</v>
      </c>
      <c r="DB297" s="0" t="s">
        <v>3123</v>
      </c>
      <c r="DC297" s="0" t="s">
        <v>209</v>
      </c>
      <c r="DD297" s="0" t="s">
        <v>5360</v>
      </c>
      <c r="DF297" s="0" t="s">
        <v>210</v>
      </c>
      <c r="DG297" s="0" t="n">
        <v>40.734347</v>
      </c>
      <c r="DH297" s="0" t="n">
        <v>-73.992229</v>
      </c>
      <c r="DI297" s="0" t="s">
        <v>189</v>
      </c>
      <c r="DJ297" s="0" t="n">
        <v>0.2</v>
      </c>
      <c r="DL297" s="0" t="s">
        <v>209</v>
      </c>
      <c r="DM297" s="0" t="s">
        <v>5361</v>
      </c>
      <c r="DN297" s="0" t="s">
        <v>5368</v>
      </c>
      <c r="DO297" s="0" t="s">
        <v>363</v>
      </c>
      <c r="DP297" s="0" t="s">
        <v>5353</v>
      </c>
      <c r="DS297" s="0" t="s">
        <v>217</v>
      </c>
      <c r="DU297" s="0" t="s">
        <v>189</v>
      </c>
      <c r="DV297" s="0" t="s">
        <v>5367</v>
      </c>
      <c r="DW297" s="0" t="s">
        <v>3130</v>
      </c>
      <c r="DX297" s="0" t="s">
        <v>209</v>
      </c>
      <c r="EA297" s="0" t="s">
        <v>209</v>
      </c>
      <c r="EB297" s="0" t="s">
        <v>189</v>
      </c>
      <c r="EC297" s="0" t="s">
        <v>209</v>
      </c>
      <c r="EF297" s="0" t="s">
        <v>209</v>
      </c>
      <c r="EH297" s="0" t="s">
        <v>189</v>
      </c>
      <c r="EI297" s="0" t="s">
        <v>3131</v>
      </c>
      <c r="EJ297" s="0" t="s">
        <v>221</v>
      </c>
      <c r="EK297" s="0" t="s">
        <v>209</v>
      </c>
      <c r="EL297" s="0" t="n">
        <v>36</v>
      </c>
      <c r="EM297" s="0" t="n">
        <v>7</v>
      </c>
      <c r="EN297" s="0" t="n">
        <v>8</v>
      </c>
      <c r="EO297" s="0" t="n">
        <v>6</v>
      </c>
      <c r="EP297" s="0" t="n">
        <v>15</v>
      </c>
      <c r="EQ297" s="0" t="n">
        <f aca="false">IF($A297="","",IF(AH297="exact",10,IF(AH297="adjacent",5,0)))</f>
        <v>0</v>
      </c>
      <c r="ER297" s="0" t="n">
        <f aca="false">IF($A297="","",IF(R297="Y",15,0))</f>
        <v>0</v>
      </c>
      <c r="ES297" s="0" t="s">
        <v>3121</v>
      </c>
      <c r="EX297" s="0" t="s">
        <v>5369</v>
      </c>
      <c r="FA297" s="0" t="s">
        <v>5370</v>
      </c>
      <c r="FS297" s="0" t="str">
        <f aca="false">IF($A297="","",IF(ISNUMBER(MATCH(U297,{"queued","contacted","replied","call_booked","call_done","yes_in_principle","materials_sent"},0)),"Y","N"))</f>
        <v>N</v>
      </c>
      <c r="FT297" s="0" t="str">
        <f aca="false">IF($A297="","",IF(OR(T297="Y",U297="do_not_contact",AS297&amp;""&lt;&gt;""),"Y","N"))</f>
        <v>N</v>
      </c>
      <c r="FU297" s="0" t="str">
        <f aca="false">IF($A297="","",IF(AP297&amp;""&lt;&gt;"",AP297&amp;"",$A297))</f>
        <v>grp-W025-W028</v>
      </c>
      <c r="FV297" s="0" t="str">
        <f aca="false">IF($A297="","",IF(COUNTIFS($FU$2:$FU$1000,FU297,$FS$2:$FS$1000,"Y")+COUNTIFS($FU$2:$FU$1000,FU297,$FT$2:$FT$1000,"Y")&gt;0,"Y","N"))</f>
        <v>N</v>
      </c>
      <c r="FW297" s="0" t="str">
        <f aca="false">IF($A297="","",IF(AND(U297="new",T297="N",FT297="N",AT297="Y",FV297="N"),"Y","N"))</f>
        <v>N</v>
      </c>
      <c r="FX297" s="0" t="str">
        <f aca="false">IF($A297="","",IF(FW297&lt;&gt;"Y","N",IF(COUNTIFS($FU$2:$FU$1000,FU297,$FW$2:$FW$1000,"Y",$J$2:$J$1000,"&gt;"&amp;J297)+COUNTIFS($FU$2:$FU$1000,FU297,$FW$2:$FW$1000,"Y",$J$2:$J$1000,J297,$GD$2:$GD$1000,"&lt;"&amp;GD297)=0,"Y","N")))</f>
        <v>N</v>
      </c>
      <c r="FY297" s="0" t="str">
        <f aca="false">IF($A297="","",IF(AND(FW297="Y",FX297="Y",Y297&amp;""&lt;&gt;""),IF(Y297&lt;=10,"Y","N"),"N"))</f>
        <v>N</v>
      </c>
      <c r="FZ297" s="0" t="str">
        <f aca="false">IF(FY297="Y",Y297,"")</f>
        <v/>
      </c>
      <c r="GA297" s="0" t="str">
        <f aca="false">IF($A297="","",IF(AND(I297="walk-in",CN297="pass",U297="new",FT297="N",FV297="N",AQ297&lt;&gt;"Y"),"Y","N"))</f>
        <v>N</v>
      </c>
      <c r="GB297" s="0" t="str">
        <f aca="false">IF(GA297&lt;&gt;"Y","",IF(COUNTIFS($GA$2:$GA$1000,"Y",$J$2:$J$1000,"&gt;"&amp;J297)+COUNTIFS($GA$2:$GA$1000,"Y",$J$2:$J$1000,J297,$GD$2:$GD$1000,"&lt;"&amp;GD297)+1&lt;=25,COUNTIFS($GA$2:$GA$1000,"Y",$J$2:$J$1000,"&gt;"&amp;J297)+COUNTIFS($GA$2:$GA$1000,"Y",$J$2:$J$1000,J297,$GD$2:$GD$1000,"&lt;"&amp;GD297)+1,""))</f>
        <v/>
      </c>
      <c r="GC297" s="0" t="str">
        <f aca="false">IF(AND(_xlfn.ISFORMULA(C297),_xlfn.ISFORMULA(J297)),"Y","N")</f>
        <v>Y</v>
      </c>
      <c r="GD297" s="0" t="n">
        <f aca="false">ROW()-1</f>
        <v>296</v>
      </c>
    </row>
    <row r="298" customFormat="false" ht="15" hidden="false" customHeight="false" outlineLevel="0" collapsed="false">
      <c r="A298" s="0" t="s">
        <v>5371</v>
      </c>
      <c r="B298" s="0" t="s">
        <v>5372</v>
      </c>
      <c r="C298" s="0" t="str">
        <f aca="false">IF($A298="","",IF(AW298="Y",BM298&amp;"",AY298&amp;""))</f>
        <v/>
      </c>
      <c r="D298" s="0" t="str">
        <f aca="false">IF($A298="","",IF(AW298="Y",BN298&amp;"",AZ298&amp;""))</f>
        <v/>
      </c>
      <c r="E298" s="0" t="str">
        <f aca="false">IF($A298="","",IF(AW298="Y",BO298&amp;"",BA298&amp;""))</f>
        <v/>
      </c>
      <c r="F298" s="0" t="str">
        <f aca="false">IF($A298="","",IF(AW298="Y",BP298&amp;"",BB298&amp;""))</f>
        <v/>
      </c>
      <c r="G298" s="0" t="str">
        <f aca="false">IF($A298="","",IF(AW298="Y",BQ298&amp;"",BC298&amp;""))</f>
        <v/>
      </c>
      <c r="H298" s="0" t="str">
        <f aca="false">IF($A298="","",IF(AW298="Y",BR298&amp;"",BD298&amp;""))</f>
        <v>none</v>
      </c>
      <c r="I298" s="0" t="str">
        <f aca="false">IF($A298="","",IF(R298="Y","warm-intro",IF(H298="verified","email",IF(C298&lt;&gt;"","linkedin",CB298&amp;""))))</f>
        <v>linkedin</v>
      </c>
      <c r="J298" s="0" t="n">
        <f aca="false">IF($A298="","",IF(CN298="pass",ROUND(N(EM298)+N(EN298)+N(EO298)+N(EP298)+N(EQ298)+N(ER298),1),0))</f>
        <v>0</v>
      </c>
      <c r="K298" s="0" t="str">
        <f aca="false">IF($A298="","",IF(CN298&lt;&gt;"pass",CA298&amp;"",CA298&amp;"; "&amp;IF(AW298="Y",BZ298&amp;"",BL298&amp;"")&amp;IF(R298="Y","; known to the founder (+15)","")&amp;"."))</f>
        <v>Gated out: outside the cluster (0.2 blocks outside the line).</v>
      </c>
      <c r="L298" s="0" t="s">
        <v>209</v>
      </c>
      <c r="O298" s="0" t="s">
        <v>5373</v>
      </c>
      <c r="P298" s="0" t="s">
        <v>5374</v>
      </c>
      <c r="Q298" s="0" t="s">
        <v>5375</v>
      </c>
      <c r="R298" s="5" t="s">
        <v>189</v>
      </c>
      <c r="S298" s="0" t="s">
        <v>209</v>
      </c>
      <c r="T298" s="0" t="s">
        <v>189</v>
      </c>
      <c r="U298" s="5" t="s">
        <v>3896</v>
      </c>
      <c r="V298" s="0" t="s">
        <v>5374</v>
      </c>
      <c r="W298" s="0" t="s">
        <v>263</v>
      </c>
      <c r="X298" s="0" t="s">
        <v>3897</v>
      </c>
      <c r="Y298" s="0" t="str">
        <f aca="false">IF(FX298&lt;&gt;"Y","",COUNTIFS($FX$2:$FX$1000,"Y",$J$2:$J$1000,"&gt;"&amp;J298)+COUNTIFS($FX$2:$FX$1000,"Y",$J$2:$J$1000,J298,$GD$2:$GD$1000,"&lt;"&amp;GD298)+1)</f>
        <v/>
      </c>
      <c r="AA298" s="0" t="s">
        <v>189</v>
      </c>
      <c r="AB298" s="0" t="str">
        <f aca="false">IF($A298="","",IF(AW298="Y",BY298&amp;"",BK298&amp;""))</f>
        <v/>
      </c>
      <c r="AC298" s="0" t="str">
        <f aca="false">IF($A298="","",IF(AW298="Y",BS298&amp;"",BE298&amp;""))</f>
        <v/>
      </c>
      <c r="AD298" s="0" t="str">
        <f aca="false">IF($A298="","",IF(AW298="Y",BT298&amp;"",BF298&amp;""))</f>
        <v>none</v>
      </c>
      <c r="AE298" s="0" t="str">
        <f aca="false">IF($A298="","",IF(AW298="Y",BU298&amp;"",BG298&amp;""))</f>
        <v/>
      </c>
      <c r="AF298" s="0" t="str">
        <f aca="false">IF($A298="","",IF(AW298="Y",BV298&amp;"",BH298&amp;""))</f>
        <v/>
      </c>
      <c r="AG298" s="0" t="str">
        <f aca="false">IF($A298="","",IF(AW298="Y",BW298&amp;"",BI298&amp;""))</f>
        <v/>
      </c>
      <c r="AH298" s="0" t="str">
        <f aca="false">IF($A298="","",IF(AW298="Y",BX298&amp;"",BJ298&amp;""))</f>
        <v>none</v>
      </c>
      <c r="AI298" s="0" t="s">
        <v>5332</v>
      </c>
      <c r="AJ298" s="0" t="s">
        <v>5376</v>
      </c>
      <c r="AK298" s="0" t="s">
        <v>3933</v>
      </c>
      <c r="AL298" s="0" t="s">
        <v>209</v>
      </c>
      <c r="AM298" s="0" t="s">
        <v>209</v>
      </c>
      <c r="AN298" s="0" t="s">
        <v>380</v>
      </c>
      <c r="AO298" s="0" t="s">
        <v>209</v>
      </c>
      <c r="AP298" s="0" t="s">
        <v>5371</v>
      </c>
      <c r="AQ298" s="5" t="s">
        <v>189</v>
      </c>
      <c r="AT298" s="0" t="str">
        <f aca="false">IF($A298="","",IF(AND(CN298="pass",AQ298&lt;&gt;"Y",C298&lt;&gt;"",OR(AX298&lt;&gt;"Y",AV298="Y")),"Y","N"))</f>
        <v>N</v>
      </c>
      <c r="AU298" s="0" t="str">
        <f aca="false">IF($A298="","",_xlfn.TEXTJOIN("; ",TRUE(),IF(CN298&lt;&gt;"pass","gated out",""),IF(AQ298="Y","on hold: "&amp;AR298,""),IF(C298="","no contact named on an opened page",""),IF(AND(AX298="Y",AV298&lt;&gt;"Y"),"Tuesday estimate band "&amp;L298&amp;": founder's call","")))</f>
        <v>gated out; no contact named on an opened page</v>
      </c>
      <c r="AX298" s="0" t="s">
        <v>189</v>
      </c>
      <c r="BC298" s="0" t="str">
        <f aca="false">IF($A298="","",IFERROR(INDEX(Enrichment!$A$2:$GZ$2000,MATCH($A298,INDEX(Enrichment!$A$2:$GZ$2000,0,MATCH("row_id",Enrichment!$A$1:$GZ$1,0)),0),MATCH("work_email",Enrichment!$A$1:$GZ$1,0))&amp;"",""))</f>
        <v/>
      </c>
      <c r="BD298" s="0" t="str">
        <f aca="false">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none</v>
      </c>
      <c r="BF298" s="0" t="s">
        <v>380</v>
      </c>
      <c r="BJ298" s="0" t="s">
        <v>380</v>
      </c>
      <c r="BL298" s="0" t="s">
        <v>896</v>
      </c>
      <c r="BQ298" s="0" t="str">
        <f aca="false">IF($A298="","",IFERROR(INDEX(Enrichment!$A$2:$GZ$2000,MATCH($A298,INDEX(Enrichment!$A$2:$GZ$2000,0,MATCH("row_id",Enrichment!$A$1:$GZ$1,0)),0),MATCH("backup_work_email",Enrichment!$A$1:$GZ$1,0))&amp;"",""))</f>
        <v/>
      </c>
      <c r="BR298" s="0" t="str">
        <f aca="false">IF($A298="","",IF(BQ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none</v>
      </c>
      <c r="BT298" s="0" t="s">
        <v>380</v>
      </c>
      <c r="BX298" s="0" t="s">
        <v>380</v>
      </c>
      <c r="BZ298" s="0" t="s">
        <v>388</v>
      </c>
      <c r="CA298" s="0" t="s">
        <v>5333</v>
      </c>
      <c r="CB298" s="0" t="s">
        <v>196</v>
      </c>
      <c r="CM298" s="0" t="s">
        <v>189</v>
      </c>
      <c r="CN298" s="0" t="s">
        <v>4627</v>
      </c>
      <c r="CO298" s="0" t="s">
        <v>5334</v>
      </c>
      <c r="CP298" s="0" t="s">
        <v>1</v>
      </c>
      <c r="CQ298" s="0" t="s">
        <v>5377</v>
      </c>
      <c r="CR298" s="0" t="s">
        <v>5378</v>
      </c>
      <c r="CS298" s="0" t="s">
        <v>5379</v>
      </c>
      <c r="CT298" s="0" t="s">
        <v>209</v>
      </c>
      <c r="CV298" s="0" t="s">
        <v>209</v>
      </c>
      <c r="CW298" s="0" t="s">
        <v>209</v>
      </c>
      <c r="CX298" s="0" t="s">
        <v>2712</v>
      </c>
      <c r="DA298" s="0" t="s">
        <v>209</v>
      </c>
      <c r="DB298" s="0" t="s">
        <v>209</v>
      </c>
      <c r="DC298" s="0" t="s">
        <v>209</v>
      </c>
      <c r="DD298" s="0" t="s">
        <v>209</v>
      </c>
      <c r="DE298" s="0" t="s">
        <v>5380</v>
      </c>
      <c r="DF298" s="0" t="s">
        <v>311</v>
      </c>
      <c r="DG298" s="0" t="n">
        <v>40.745308</v>
      </c>
      <c r="DH298" s="0" t="n">
        <v>-73.98356</v>
      </c>
      <c r="DI298" s="0" t="s">
        <v>189</v>
      </c>
      <c r="DJ298" s="0" t="n">
        <v>0.2</v>
      </c>
      <c r="DL298" s="0" t="s">
        <v>209</v>
      </c>
      <c r="DM298" s="0" t="s">
        <v>5374</v>
      </c>
      <c r="DN298" s="0" t="s">
        <v>5375</v>
      </c>
      <c r="DO298" s="0" t="s">
        <v>363</v>
      </c>
      <c r="DP298" s="0" t="s">
        <v>5381</v>
      </c>
      <c r="DQ298" s="0" t="s">
        <v>263</v>
      </c>
      <c r="DS298" s="0" t="s">
        <v>217</v>
      </c>
      <c r="DU298" s="0" t="s">
        <v>189</v>
      </c>
      <c r="DX298" s="0" t="s">
        <v>209</v>
      </c>
      <c r="EA298" s="0" t="s">
        <v>209</v>
      </c>
      <c r="EB298" s="0" t="s">
        <v>189</v>
      </c>
      <c r="EC298" s="0" t="s">
        <v>209</v>
      </c>
      <c r="EF298" s="0" t="s">
        <v>209</v>
      </c>
      <c r="EH298" s="0" t="s">
        <v>189</v>
      </c>
      <c r="EI298" s="0" t="s">
        <v>2716</v>
      </c>
      <c r="EJ298" s="0" t="s">
        <v>221</v>
      </c>
      <c r="EK298" s="0" t="s">
        <v>209</v>
      </c>
      <c r="EL298" s="0" t="n">
        <v>36</v>
      </c>
      <c r="EM298" s="0" t="n">
        <v>7</v>
      </c>
      <c r="EN298" s="0" t="n">
        <v>8</v>
      </c>
      <c r="EO298" s="0" t="n">
        <v>6</v>
      </c>
      <c r="EP298" s="0" t="n">
        <v>15</v>
      </c>
      <c r="EQ298" s="0" t="n">
        <f aca="false">IF($A298="","",IF(AH298="exact",10,IF(AH298="adjacent",5,0)))</f>
        <v>0</v>
      </c>
      <c r="ER298" s="0" t="n">
        <f aca="false">IF($A298="","",IF(R298="Y",15,0))</f>
        <v>0</v>
      </c>
      <c r="ES298" s="0" t="s">
        <v>4636</v>
      </c>
      <c r="ET298" s="0" t="s">
        <v>4637</v>
      </c>
      <c r="EU298" s="0" t="s">
        <v>189</v>
      </c>
      <c r="EV298" s="0" t="s">
        <v>5382</v>
      </c>
      <c r="EW298" s="0" t="s">
        <v>224</v>
      </c>
      <c r="EX298" s="0" t="s">
        <v>5383</v>
      </c>
      <c r="EZ298" s="0" t="s">
        <v>5384</v>
      </c>
      <c r="FS298" s="0" t="str">
        <f aca="false">IF($A298="","",IF(ISNUMBER(MATCH(U298,{"queued","contacted","replied","call_booked","call_done","yes_in_principle","materials_sent"},0)),"Y","N"))</f>
        <v>N</v>
      </c>
      <c r="FT298" s="0" t="str">
        <f aca="false">IF($A298="","",IF(OR(T298="Y",U298="do_not_contact",AS298&amp;""&lt;&gt;""),"Y","N"))</f>
        <v>N</v>
      </c>
      <c r="FU298" s="0" t="str">
        <f aca="false">IF($A298="","",IF(AP298&amp;""&lt;&gt;"",AP298&amp;"",$A298))</f>
        <v>AO-C-276</v>
      </c>
      <c r="FV298" s="0" t="str">
        <f aca="false">IF($A298="","",IF(COUNTIFS($FU$2:$FU$1000,FU298,$FS$2:$FS$1000,"Y")+COUNTIFS($FU$2:$FU$1000,FU298,$FT$2:$FT$1000,"Y")&gt;0,"Y","N"))</f>
        <v>N</v>
      </c>
      <c r="FW298" s="0" t="str">
        <f aca="false">IF($A298="","",IF(AND(U298="new",T298="N",FT298="N",AT298="Y",FV298="N"),"Y","N"))</f>
        <v>N</v>
      </c>
      <c r="FX298" s="0" t="str">
        <f aca="false">IF($A298="","",IF(FW298&lt;&gt;"Y","N",IF(COUNTIFS($FU$2:$FU$1000,FU298,$FW$2:$FW$1000,"Y",$J$2:$J$1000,"&gt;"&amp;J298)+COUNTIFS($FU$2:$FU$1000,FU298,$FW$2:$FW$1000,"Y",$J$2:$J$1000,J298,$GD$2:$GD$1000,"&lt;"&amp;GD298)=0,"Y","N")))</f>
        <v>N</v>
      </c>
      <c r="FY298" s="0" t="str">
        <f aca="false">IF($A298="","",IF(AND(FW298="Y",FX298="Y",Y298&amp;""&lt;&gt;""),IF(Y298&lt;=10,"Y","N"),"N"))</f>
        <v>N</v>
      </c>
      <c r="FZ298" s="0" t="str">
        <f aca="false">IF(FY298="Y",Y298,"")</f>
        <v/>
      </c>
      <c r="GA298" s="0" t="str">
        <f aca="false">IF($A298="","",IF(AND(I298="walk-in",CN298="pass",U298="new",FT298="N",FV298="N",AQ298&lt;&gt;"Y"),"Y","N"))</f>
        <v>N</v>
      </c>
      <c r="GB298" s="0" t="str">
        <f aca="false">IF(GA298&lt;&gt;"Y","",IF(COUNTIFS($GA$2:$GA$1000,"Y",$J$2:$J$1000,"&gt;"&amp;J298)+COUNTIFS($GA$2:$GA$1000,"Y",$J$2:$J$1000,J298,$GD$2:$GD$1000,"&lt;"&amp;GD298)+1&lt;=25,COUNTIFS($GA$2:$GA$1000,"Y",$J$2:$J$1000,"&gt;"&amp;J298)+COUNTIFS($GA$2:$GA$1000,"Y",$J$2:$J$1000,J298,$GD$2:$GD$1000,"&lt;"&amp;GD298)+1,""))</f>
        <v/>
      </c>
      <c r="GC298" s="0" t="str">
        <f aca="false">IF(AND(_xlfn.ISFORMULA(C298),_xlfn.ISFORMULA(J298)),"Y","N")</f>
        <v>Y</v>
      </c>
      <c r="GD298" s="0" t="n">
        <f aca="false">ROW()-1</f>
        <v>297</v>
      </c>
    </row>
    <row r="299" customFormat="false" ht="15" hidden="false" customHeight="false" outlineLevel="0" collapsed="false">
      <c r="A299" s="0" t="s">
        <v>5385</v>
      </c>
      <c r="B299" s="0" t="s">
        <v>5386</v>
      </c>
      <c r="C299" s="0" t="str">
        <f aca="false">IF($A299="","",IF(AW299="Y",BM299&amp;"",AY299&amp;""))</f>
        <v/>
      </c>
      <c r="D299" s="0" t="str">
        <f aca="false">IF($A299="","",IF(AW299="Y",BN299&amp;"",AZ299&amp;""))</f>
        <v/>
      </c>
      <c r="E299" s="0" t="str">
        <f aca="false">IF($A299="","",IF(AW299="Y",BO299&amp;"",BA299&amp;""))</f>
        <v/>
      </c>
      <c r="F299" s="0" t="str">
        <f aca="false">IF($A299="","",IF(AW299="Y",BP299&amp;"",BB299&amp;""))</f>
        <v/>
      </c>
      <c r="G299" s="0" t="str">
        <f aca="false">IF($A299="","",IF(AW299="Y",BQ299&amp;"",BC299&amp;""))</f>
        <v/>
      </c>
      <c r="H299" s="0" t="str">
        <f aca="false">IF($A299="","",IF(AW299="Y",BR299&amp;"",BD299&amp;""))</f>
        <v>none</v>
      </c>
      <c r="I299" s="0" t="str">
        <f aca="false">IF($A299="","",IF(R299="Y","warm-intro",IF(H299="verified","email",IF(C299&lt;&gt;"","linkedin",CB299&amp;""))))</f>
        <v>linkedin</v>
      </c>
      <c r="J299" s="0" t="n">
        <f aca="false">IF($A299="","",IF(CN299="pass",ROUND(N(EM299)+N(EN299)+N(EO299)+N(EP299)+N(EQ299)+N(ER299),1),0))</f>
        <v>0</v>
      </c>
      <c r="K299" s="0" t="str">
        <f aca="false">IF($A299="","",IF(CN299&lt;&gt;"pass",CA299&amp;"",CA299&amp;"; "&amp;IF(AW299="Y",BZ299&amp;"",BL299&amp;"")&amp;IF(R299="Y","; known to the founder (+15)","")&amp;"."))</f>
        <v>Gated out: outside the cluster (2.0 blocks outside the line).</v>
      </c>
      <c r="L299" s="0" t="s">
        <v>209</v>
      </c>
      <c r="R299" s="5" t="s">
        <v>189</v>
      </c>
      <c r="S299" s="0" t="s">
        <v>209</v>
      </c>
      <c r="T299" s="0" t="s">
        <v>189</v>
      </c>
      <c r="U299" s="5" t="s">
        <v>3896</v>
      </c>
      <c r="V299" s="0" t="s">
        <v>5387</v>
      </c>
      <c r="W299" s="0" t="s">
        <v>263</v>
      </c>
      <c r="X299" s="0" t="s">
        <v>3897</v>
      </c>
      <c r="Y299" s="0" t="str">
        <f aca="false">IF(FX299&lt;&gt;"Y","",COUNTIFS($FX$2:$FX$1000,"Y",$J$2:$J$1000,"&gt;"&amp;J299)+COUNTIFS($FX$2:$FX$1000,"Y",$J$2:$J$1000,J299,$GD$2:$GD$1000,"&lt;"&amp;GD299)+1)</f>
        <v/>
      </c>
      <c r="AA299" s="0" t="s">
        <v>189</v>
      </c>
      <c r="AB299" s="0" t="str">
        <f aca="false">IF($A299="","",IF(AW299="Y",BY299&amp;"",BK299&amp;""))</f>
        <v/>
      </c>
      <c r="AC299" s="0" t="str">
        <f aca="false">IF($A299="","",IF(AW299="Y",BS299&amp;"",BE299&amp;""))</f>
        <v/>
      </c>
      <c r="AD299" s="0" t="str">
        <f aca="false">IF($A299="","",IF(AW299="Y",BT299&amp;"",BF299&amp;""))</f>
        <v>none</v>
      </c>
      <c r="AE299" s="0" t="str">
        <f aca="false">IF($A299="","",IF(AW299="Y",BU299&amp;"",BG299&amp;""))</f>
        <v/>
      </c>
      <c r="AF299" s="0" t="str">
        <f aca="false">IF($A299="","",IF(AW299="Y",BV299&amp;"",BH299&amp;""))</f>
        <v/>
      </c>
      <c r="AG299" s="0" t="str">
        <f aca="false">IF($A299="","",IF(AW299="Y",BW299&amp;"",BI299&amp;""))</f>
        <v/>
      </c>
      <c r="AH299" s="0" t="str">
        <f aca="false">IF($A299="","",IF(AW299="Y",BX299&amp;"",BJ299&amp;""))</f>
        <v>none</v>
      </c>
      <c r="AI299" s="0" t="s">
        <v>5388</v>
      </c>
      <c r="AJ299" s="0" t="s">
        <v>5389</v>
      </c>
      <c r="AK299" s="0" t="s">
        <v>5356</v>
      </c>
      <c r="AL299" s="0" t="s">
        <v>209</v>
      </c>
      <c r="AM299" s="0" t="s">
        <v>209</v>
      </c>
      <c r="AN299" s="0" t="s">
        <v>380</v>
      </c>
      <c r="AO299" s="0" t="s">
        <v>209</v>
      </c>
      <c r="AP299" s="0" t="s">
        <v>5385</v>
      </c>
      <c r="AQ299" s="5" t="s">
        <v>189</v>
      </c>
      <c r="AT299" s="0" t="str">
        <f aca="false">IF($A299="","",IF(AND(CN299="pass",AQ299&lt;&gt;"Y",C299&lt;&gt;"",OR(AX299&lt;&gt;"Y",AV299="Y")),"Y","N"))</f>
        <v>N</v>
      </c>
      <c r="AU299" s="0" t="str">
        <f aca="false">IF($A299="","",_xlfn.TEXTJOIN("; ",TRUE(),IF(CN299&lt;&gt;"pass","gated out",""),IF(AQ299="Y","on hold: "&amp;AR299,""),IF(C299="","no contact named on an opened page",""),IF(AND(AX299="Y",AV299&lt;&gt;"Y"),"Tuesday estimate band "&amp;L299&amp;": founder's call","")))</f>
        <v>gated out; no contact named on an opened page</v>
      </c>
      <c r="AX299" s="0" t="s">
        <v>189</v>
      </c>
      <c r="BC299" s="0" t="str">
        <f aca="false">IF($A299="","",IFERROR(INDEX(Enrichment!$A$2:$GZ$2000,MATCH($A299,INDEX(Enrichment!$A$2:$GZ$2000,0,MATCH("row_id",Enrichment!$A$1:$GZ$1,0)),0),MATCH("work_email",Enrichment!$A$1:$GZ$1,0))&amp;"",""))</f>
        <v/>
      </c>
      <c r="BD299" s="0" t="str">
        <f aca="false">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none</v>
      </c>
      <c r="BF299" s="0" t="s">
        <v>380</v>
      </c>
      <c r="BJ299" s="0" t="s">
        <v>380</v>
      </c>
      <c r="BL299" s="0" t="s">
        <v>896</v>
      </c>
      <c r="BQ299" s="0" t="str">
        <f aca="false">IF($A299="","",IFERROR(INDEX(Enrichment!$A$2:$GZ$2000,MATCH($A299,INDEX(Enrichment!$A$2:$GZ$2000,0,MATCH("row_id",Enrichment!$A$1:$GZ$1,0)),0),MATCH("backup_work_email",Enrichment!$A$1:$GZ$1,0))&amp;"",""))</f>
        <v/>
      </c>
      <c r="BR299" s="0" t="str">
        <f aca="false">IF($A299="","",IF(BQ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none</v>
      </c>
      <c r="BT299" s="0" t="s">
        <v>380</v>
      </c>
      <c r="BX299" s="0" t="s">
        <v>380</v>
      </c>
      <c r="BZ299" s="0" t="s">
        <v>388</v>
      </c>
      <c r="CA299" s="0" t="s">
        <v>5390</v>
      </c>
      <c r="CB299" s="0" t="s">
        <v>196</v>
      </c>
      <c r="CM299" s="0" t="s">
        <v>189</v>
      </c>
      <c r="CN299" s="0" t="s">
        <v>4627</v>
      </c>
      <c r="CO299" s="0" t="s">
        <v>5391</v>
      </c>
      <c r="CP299" s="0" t="s">
        <v>3121</v>
      </c>
      <c r="CQ299" s="0" t="s">
        <v>5392</v>
      </c>
      <c r="CR299" s="0" t="s">
        <v>5393</v>
      </c>
      <c r="CS299" s="0" t="s">
        <v>3118</v>
      </c>
      <c r="CT299" s="0" t="s">
        <v>209</v>
      </c>
      <c r="CV299" s="0" t="s">
        <v>209</v>
      </c>
      <c r="CW299" s="0" t="s">
        <v>209</v>
      </c>
      <c r="DA299" s="0" t="s">
        <v>209</v>
      </c>
      <c r="DB299" s="0" t="s">
        <v>3123</v>
      </c>
      <c r="DC299" s="0" t="s">
        <v>209</v>
      </c>
      <c r="DD299" s="0" t="s">
        <v>5394</v>
      </c>
      <c r="DF299" s="0" t="s">
        <v>311</v>
      </c>
      <c r="DG299" s="0" t="n">
        <v>40.746221</v>
      </c>
      <c r="DH299" s="0" t="n">
        <v>-73.982288</v>
      </c>
      <c r="DI299" s="0" t="s">
        <v>189</v>
      </c>
      <c r="DJ299" s="0" t="n">
        <v>2</v>
      </c>
      <c r="DL299" s="0" t="s">
        <v>209</v>
      </c>
      <c r="DM299" s="0" t="s">
        <v>5387</v>
      </c>
      <c r="DN299" s="0" t="s">
        <v>263</v>
      </c>
      <c r="DO299" s="0" t="s">
        <v>3128</v>
      </c>
      <c r="DP299" s="0" t="s">
        <v>5395</v>
      </c>
      <c r="DS299" s="0" t="s">
        <v>809</v>
      </c>
      <c r="DU299" s="0" t="s">
        <v>189</v>
      </c>
      <c r="DV299" s="0" t="s">
        <v>5392</v>
      </c>
      <c r="DW299" s="0" t="s">
        <v>3130</v>
      </c>
      <c r="DX299" s="0" t="s">
        <v>209</v>
      </c>
      <c r="EA299" s="0" t="s">
        <v>209</v>
      </c>
      <c r="EB299" s="0" t="s">
        <v>189</v>
      </c>
      <c r="EC299" s="0" t="s">
        <v>209</v>
      </c>
      <c r="EF299" s="0" t="s">
        <v>209</v>
      </c>
      <c r="EH299" s="0" t="s">
        <v>189</v>
      </c>
      <c r="EI299" s="0" t="s">
        <v>3131</v>
      </c>
      <c r="EJ299" s="0" t="s">
        <v>221</v>
      </c>
      <c r="EK299" s="0" t="s">
        <v>209</v>
      </c>
      <c r="EL299" s="0" t="n">
        <v>34</v>
      </c>
      <c r="EM299" s="0" t="n">
        <v>7</v>
      </c>
      <c r="EN299" s="0" t="n">
        <v>8</v>
      </c>
      <c r="EO299" s="0" t="n">
        <v>6</v>
      </c>
      <c r="EP299" s="0" t="n">
        <v>13</v>
      </c>
      <c r="EQ299" s="0" t="n">
        <f aca="false">IF($A299="","",IF(AH299="exact",10,IF(AH299="adjacent",5,0)))</f>
        <v>0</v>
      </c>
      <c r="ER299" s="0" t="n">
        <f aca="false">IF($A299="","",IF(R299="Y",15,0))</f>
        <v>0</v>
      </c>
      <c r="ES299" s="0" t="s">
        <v>3121</v>
      </c>
      <c r="EX299" s="0" t="s">
        <v>5396</v>
      </c>
      <c r="FS299" s="0" t="str">
        <f aca="false">IF($A299="","",IF(ISNUMBER(MATCH(U299,{"queued","contacted","replied","call_booked","call_done","yes_in_principle","materials_sent"},0)),"Y","N"))</f>
        <v>N</v>
      </c>
      <c r="FT299" s="0" t="str">
        <f aca="false">IF($A299="","",IF(OR(T299="Y",U299="do_not_contact",AS299&amp;""&lt;&gt;""),"Y","N"))</f>
        <v>N</v>
      </c>
      <c r="FU299" s="0" t="str">
        <f aca="false">IF($A299="","",IF(AP299&amp;""&lt;&gt;"",AP299&amp;"",$A299))</f>
        <v>AO-W-032</v>
      </c>
      <c r="FV299" s="0" t="str">
        <f aca="false">IF($A299="","",IF(COUNTIFS($FU$2:$FU$1000,FU299,$FS$2:$FS$1000,"Y")+COUNTIFS($FU$2:$FU$1000,FU299,$FT$2:$FT$1000,"Y")&gt;0,"Y","N"))</f>
        <v>N</v>
      </c>
      <c r="FW299" s="0" t="str">
        <f aca="false">IF($A299="","",IF(AND(U299="new",T299="N",FT299="N",AT299="Y",FV299="N"),"Y","N"))</f>
        <v>N</v>
      </c>
      <c r="FX299" s="0" t="str">
        <f aca="false">IF($A299="","",IF(FW299&lt;&gt;"Y","N",IF(COUNTIFS($FU$2:$FU$1000,FU299,$FW$2:$FW$1000,"Y",$J$2:$J$1000,"&gt;"&amp;J299)+COUNTIFS($FU$2:$FU$1000,FU299,$FW$2:$FW$1000,"Y",$J$2:$J$1000,J299,$GD$2:$GD$1000,"&lt;"&amp;GD299)=0,"Y","N")))</f>
        <v>N</v>
      </c>
      <c r="FY299" s="0" t="str">
        <f aca="false">IF($A299="","",IF(AND(FW299="Y",FX299="Y",Y299&amp;""&lt;&gt;""),IF(Y299&lt;=10,"Y","N"),"N"))</f>
        <v>N</v>
      </c>
      <c r="FZ299" s="0" t="str">
        <f aca="false">IF(FY299="Y",Y299,"")</f>
        <v/>
      </c>
      <c r="GA299" s="0" t="str">
        <f aca="false">IF($A299="","",IF(AND(I299="walk-in",CN299="pass",U299="new",FT299="N",FV299="N",AQ299&lt;&gt;"Y"),"Y","N"))</f>
        <v>N</v>
      </c>
      <c r="GB299" s="0" t="str">
        <f aca="false">IF(GA299&lt;&gt;"Y","",IF(COUNTIFS($GA$2:$GA$1000,"Y",$J$2:$J$1000,"&gt;"&amp;J299)+COUNTIFS($GA$2:$GA$1000,"Y",$J$2:$J$1000,J299,$GD$2:$GD$1000,"&lt;"&amp;GD299)+1&lt;=25,COUNTIFS($GA$2:$GA$1000,"Y",$J$2:$J$1000,"&gt;"&amp;J299)+COUNTIFS($GA$2:$GA$1000,"Y",$J$2:$J$1000,J299,$GD$2:$GD$1000,"&lt;"&amp;GD299)+1,""))</f>
        <v/>
      </c>
      <c r="GC299" s="0" t="str">
        <f aca="false">IF(AND(_xlfn.ISFORMULA(C299),_xlfn.ISFORMULA(J299)),"Y","N")</f>
        <v>Y</v>
      </c>
      <c r="GD299" s="0" t="n">
        <f aca="false">ROW()-1</f>
        <v>298</v>
      </c>
    </row>
    <row r="300" customFormat="false" ht="15" hidden="false" customHeight="false" outlineLevel="0" collapsed="false">
      <c r="A300" s="0" t="s">
        <v>5397</v>
      </c>
      <c r="B300" s="0" t="s">
        <v>5398</v>
      </c>
      <c r="C300" s="0" t="str">
        <f aca="false">IF($A300="","",IF(AW300="Y",BM300&amp;"",AY300&amp;""))</f>
        <v/>
      </c>
      <c r="D300" s="0" t="str">
        <f aca="false">IF($A300="","",IF(AW300="Y",BN300&amp;"",AZ300&amp;""))</f>
        <v/>
      </c>
      <c r="E300" s="0" t="str">
        <f aca="false">IF($A300="","",IF(AW300="Y",BO300&amp;"",BA300&amp;""))</f>
        <v/>
      </c>
      <c r="F300" s="0" t="str">
        <f aca="false">IF($A300="","",IF(AW300="Y",BP300&amp;"",BB300&amp;""))</f>
        <v/>
      </c>
      <c r="G300" s="0" t="str">
        <f aca="false">IF($A300="","",IF(AW300="Y",BQ300&amp;"",BC300&amp;""))</f>
        <v/>
      </c>
      <c r="H300" s="0" t="str">
        <f aca="false">IF($A300="","",IF(AW300="Y",BR300&amp;"",BD300&amp;""))</f>
        <v>none</v>
      </c>
      <c r="I300" s="0" t="str">
        <f aca="false">IF($A300="","",IF(R300="Y","warm-intro",IF(H300="verified","email",IF(C300&lt;&gt;"","linkedin",CB300&amp;""))))</f>
        <v>linkedin</v>
      </c>
      <c r="J300" s="0" t="n">
        <f aca="false">IF($A300="","",IF(CN300="pass",ROUND(N(EM300)+N(EN300)+N(EO300)+N(EP300)+N(EQ300)+N(ER300),1),0))</f>
        <v>0</v>
      </c>
      <c r="K300" s="0" t="str">
        <f aca="false">IF($A300="","",IF(CN300&lt;&gt;"pass",CA300&amp;"",CA300&amp;"; "&amp;IF(AW300="Y",BZ300&amp;"",BL300&amp;"")&amp;IF(R300="Y","; known to the founder (+15)","")&amp;"."))</f>
        <v>Gated out: operator control of the pantry not shown (pantry_control=unknown).</v>
      </c>
      <c r="L300" s="0" t="s">
        <v>209</v>
      </c>
      <c r="R300" s="5" t="s">
        <v>189</v>
      </c>
      <c r="S300" s="0" t="s">
        <v>209</v>
      </c>
      <c r="T300" s="0" t="s">
        <v>189</v>
      </c>
      <c r="U300" s="5" t="s">
        <v>3896</v>
      </c>
      <c r="V300" s="0" t="s">
        <v>3486</v>
      </c>
      <c r="W300" s="0" t="s">
        <v>172</v>
      </c>
      <c r="X300" s="0" t="s">
        <v>3897</v>
      </c>
      <c r="Y300" s="0" t="str">
        <f aca="false">IF(FX300&lt;&gt;"Y","",COUNTIFS($FX$2:$FX$1000,"Y",$J$2:$J$1000,"&gt;"&amp;J300)+COUNTIFS($FX$2:$FX$1000,"Y",$J$2:$J$1000,J300,$GD$2:$GD$1000,"&lt;"&amp;GD300)+1)</f>
        <v/>
      </c>
      <c r="AA300" s="0" t="s">
        <v>189</v>
      </c>
      <c r="AB300" s="0" t="str">
        <f aca="false">IF($A300="","",IF(AW300="Y",BY300&amp;"",BK300&amp;""))</f>
        <v/>
      </c>
      <c r="AC300" s="0" t="str">
        <f aca="false">IF($A300="","",IF(AW300="Y",BS300&amp;"",BE300&amp;""))</f>
        <v/>
      </c>
      <c r="AD300" s="0" t="str">
        <f aca="false">IF($A300="","",IF(AW300="Y",BT300&amp;"",BF300&amp;""))</f>
        <v>none</v>
      </c>
      <c r="AE300" s="0" t="str">
        <f aca="false">IF($A300="","",IF(AW300="Y",BU300&amp;"",BG300&amp;""))</f>
        <v/>
      </c>
      <c r="AF300" s="0" t="str">
        <f aca="false">IF($A300="","",IF(AW300="Y",BV300&amp;"",BH300&amp;""))</f>
        <v/>
      </c>
      <c r="AG300" s="0" t="str">
        <f aca="false">IF($A300="","",IF(AW300="Y",BW300&amp;"",BI300&amp;""))</f>
        <v/>
      </c>
      <c r="AH300" s="0" t="str">
        <f aca="false">IF($A300="","",IF(AW300="Y",BX300&amp;"",BJ300&amp;""))</f>
        <v>none</v>
      </c>
      <c r="AI300" s="0" t="s">
        <v>5399</v>
      </c>
      <c r="AJ300" s="0" t="s">
        <v>209</v>
      </c>
      <c r="AK300" s="0" t="s">
        <v>740</v>
      </c>
      <c r="AL300" s="0" t="s">
        <v>209</v>
      </c>
      <c r="AM300" s="0" t="s">
        <v>209</v>
      </c>
      <c r="AN300" s="0" t="s">
        <v>380</v>
      </c>
      <c r="AO300" s="0" t="s">
        <v>209</v>
      </c>
      <c r="AP300" s="0" t="s">
        <v>5397</v>
      </c>
      <c r="AQ300" s="5" t="s">
        <v>189</v>
      </c>
      <c r="AT300" s="0" t="str">
        <f aca="false">IF($A300="","",IF(AND(CN300="pass",AQ300&lt;&gt;"Y",C300&lt;&gt;"",OR(AX300&lt;&gt;"Y",AV300="Y")),"Y","N"))</f>
        <v>N</v>
      </c>
      <c r="AU300" s="0" t="str">
        <f aca="false">IF($A300="","",_xlfn.TEXTJOIN("; ",TRUE(),IF(CN300&lt;&gt;"pass","gated out",""),IF(AQ300="Y","on hold: "&amp;AR300,""),IF(C300="","no contact named on an opened page",""),IF(AND(AX300="Y",AV300&lt;&gt;"Y"),"Tuesday estimate band "&amp;L300&amp;": founder's call","")))</f>
        <v>gated out; no contact named on an opened page</v>
      </c>
      <c r="AX300" s="0" t="s">
        <v>189</v>
      </c>
      <c r="BC300" s="0" t="str">
        <f aca="false">IF($A300="","",IFERROR(INDEX(Enrichment!$A$2:$GZ$2000,MATCH($A300,INDEX(Enrichment!$A$2:$GZ$2000,0,MATCH("row_id",Enrichment!$A$1:$GZ$1,0)),0),MATCH("work_email",Enrichment!$A$1:$GZ$1,0))&amp;"",""))</f>
        <v/>
      </c>
      <c r="BD300" s="0" t="str">
        <f aca="false">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none</v>
      </c>
      <c r="BF300" s="0" t="s">
        <v>380</v>
      </c>
      <c r="BJ300" s="0" t="s">
        <v>380</v>
      </c>
      <c r="BL300" s="0" t="s">
        <v>896</v>
      </c>
      <c r="BQ300" s="0" t="str">
        <f aca="false">IF($A300="","",IFERROR(INDEX(Enrichment!$A$2:$GZ$2000,MATCH($A300,INDEX(Enrichment!$A$2:$GZ$2000,0,MATCH("row_id",Enrichment!$A$1:$GZ$1,0)),0),MATCH("backup_work_email",Enrichment!$A$1:$GZ$1,0))&amp;"",""))</f>
        <v/>
      </c>
      <c r="BR300" s="0" t="str">
        <f aca="false">IF($A300="","",IF(BQ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none</v>
      </c>
      <c r="BT300" s="0" t="s">
        <v>380</v>
      </c>
      <c r="BX300" s="0" t="s">
        <v>380</v>
      </c>
      <c r="BZ300" s="0" t="s">
        <v>388</v>
      </c>
      <c r="CA300" s="0" t="s">
        <v>5400</v>
      </c>
      <c r="CB300" s="0" t="s">
        <v>196</v>
      </c>
      <c r="CM300" s="0" t="s">
        <v>189</v>
      </c>
      <c r="CN300" s="0" t="s">
        <v>4627</v>
      </c>
      <c r="CO300" s="0" t="s">
        <v>5401</v>
      </c>
      <c r="CP300" s="0" t="s">
        <v>3121</v>
      </c>
      <c r="CQ300" s="0" t="s">
        <v>5402</v>
      </c>
      <c r="CR300" s="0" t="s">
        <v>209</v>
      </c>
      <c r="CS300" s="0" t="s">
        <v>3118</v>
      </c>
      <c r="CT300" s="0" t="s">
        <v>209</v>
      </c>
      <c r="CV300" s="0" t="s">
        <v>209</v>
      </c>
      <c r="CW300" s="0" t="s">
        <v>209</v>
      </c>
      <c r="DA300" s="0" t="s">
        <v>209</v>
      </c>
      <c r="DB300" s="0" t="s">
        <v>3123</v>
      </c>
      <c r="DC300" s="0" t="s">
        <v>209</v>
      </c>
      <c r="DD300" s="0" t="s">
        <v>5403</v>
      </c>
      <c r="DF300" s="0" t="s">
        <v>397</v>
      </c>
      <c r="DG300" s="0" t="n">
        <v>40.737788</v>
      </c>
      <c r="DH300" s="0" t="n">
        <v>-73.992555</v>
      </c>
      <c r="DI300" s="0" t="s">
        <v>164</v>
      </c>
      <c r="DJ300" s="0" t="n">
        <v>0</v>
      </c>
      <c r="DK300" s="0" t="s">
        <v>3485</v>
      </c>
      <c r="DL300" s="0" t="s">
        <v>3475</v>
      </c>
      <c r="DM300" s="0" t="s">
        <v>3486</v>
      </c>
      <c r="DN300" s="0" t="s">
        <v>5404</v>
      </c>
      <c r="DO300" s="0" t="s">
        <v>363</v>
      </c>
      <c r="DS300" s="0" t="s">
        <v>809</v>
      </c>
      <c r="DU300" s="0" t="s">
        <v>189</v>
      </c>
      <c r="DV300" s="0" t="s">
        <v>5402</v>
      </c>
      <c r="DW300" s="0" t="s">
        <v>209</v>
      </c>
      <c r="DX300" s="0" t="s">
        <v>209</v>
      </c>
      <c r="EA300" s="0" t="s">
        <v>209</v>
      </c>
      <c r="EB300" s="0" t="s">
        <v>189</v>
      </c>
      <c r="EC300" s="0" t="s">
        <v>209</v>
      </c>
      <c r="EF300" s="0" t="s">
        <v>209</v>
      </c>
      <c r="EH300" s="0" t="s">
        <v>189</v>
      </c>
      <c r="EI300" s="0" t="s">
        <v>3131</v>
      </c>
      <c r="EJ300" s="0" t="s">
        <v>221</v>
      </c>
      <c r="EK300" s="0" t="s">
        <v>209</v>
      </c>
      <c r="EL300" s="0" t="n">
        <v>26</v>
      </c>
      <c r="EM300" s="0" t="n">
        <v>7</v>
      </c>
      <c r="EN300" s="0" t="n">
        <v>8</v>
      </c>
      <c r="EO300" s="0" t="n">
        <v>6</v>
      </c>
      <c r="EP300" s="0" t="n">
        <v>5</v>
      </c>
      <c r="EQ300" s="0" t="n">
        <f aca="false">IF($A300="","",IF(AH300="exact",10,IF(AH300="adjacent",5,0)))</f>
        <v>0</v>
      </c>
      <c r="ER300" s="0" t="n">
        <f aca="false">IF($A300="","",IF(R300="Y",15,0))</f>
        <v>0</v>
      </c>
      <c r="ES300" s="0" t="s">
        <v>3121</v>
      </c>
      <c r="EX300" s="0" t="s">
        <v>5405</v>
      </c>
      <c r="FS300" s="0" t="str">
        <f aca="false">IF($A300="","",IF(ISNUMBER(MATCH(U300,{"queued","contacted","replied","call_booked","call_done","yes_in_principle","materials_sent"},0)),"Y","N"))</f>
        <v>N</v>
      </c>
      <c r="FT300" s="0" t="str">
        <f aca="false">IF($A300="","",IF(OR(T300="Y",U300="do_not_contact",AS300&amp;""&lt;&gt;""),"Y","N"))</f>
        <v>N</v>
      </c>
      <c r="FU300" s="0" t="str">
        <f aca="false">IF($A300="","",IF(AP300&amp;""&lt;&gt;"",AP300&amp;"",$A300))</f>
        <v>AO-W-002</v>
      </c>
      <c r="FV300" s="0" t="str">
        <f aca="false">IF($A300="","",IF(COUNTIFS($FU$2:$FU$1000,FU300,$FS$2:$FS$1000,"Y")+COUNTIFS($FU$2:$FU$1000,FU300,$FT$2:$FT$1000,"Y")&gt;0,"Y","N"))</f>
        <v>N</v>
      </c>
      <c r="FW300" s="0" t="str">
        <f aca="false">IF($A300="","",IF(AND(U300="new",T300="N",FT300="N",AT300="Y",FV300="N"),"Y","N"))</f>
        <v>N</v>
      </c>
      <c r="FX300" s="0" t="str">
        <f aca="false">IF($A300="","",IF(FW300&lt;&gt;"Y","N",IF(COUNTIFS($FU$2:$FU$1000,FU300,$FW$2:$FW$1000,"Y",$J$2:$J$1000,"&gt;"&amp;J300)+COUNTIFS($FU$2:$FU$1000,FU300,$FW$2:$FW$1000,"Y",$J$2:$J$1000,J300,$GD$2:$GD$1000,"&lt;"&amp;GD300)=0,"Y","N")))</f>
        <v>N</v>
      </c>
      <c r="FY300" s="0" t="str">
        <f aca="false">IF($A300="","",IF(AND(FW300="Y",FX300="Y",Y300&amp;""&lt;&gt;""),IF(Y300&lt;=10,"Y","N"),"N"))</f>
        <v>N</v>
      </c>
      <c r="FZ300" s="0" t="str">
        <f aca="false">IF(FY300="Y",Y300,"")</f>
        <v/>
      </c>
      <c r="GA300" s="0" t="str">
        <f aca="false">IF($A300="","",IF(AND(I300="walk-in",CN300="pass",U300="new",FT300="N",FV300="N",AQ300&lt;&gt;"Y"),"Y","N"))</f>
        <v>N</v>
      </c>
      <c r="GB300" s="0" t="str">
        <f aca="false">IF(GA300&lt;&gt;"Y","",IF(COUNTIFS($GA$2:$GA$1000,"Y",$J$2:$J$1000,"&gt;"&amp;J300)+COUNTIFS($GA$2:$GA$1000,"Y",$J$2:$J$1000,J300,$GD$2:$GD$1000,"&lt;"&amp;GD300)+1&lt;=25,COUNTIFS($GA$2:$GA$1000,"Y",$J$2:$J$1000,"&gt;"&amp;J300)+COUNTIFS($GA$2:$GA$1000,"Y",$J$2:$J$1000,J300,$GD$2:$GD$1000,"&lt;"&amp;GD300)+1,""))</f>
        <v/>
      </c>
      <c r="GC300" s="0" t="str">
        <f aca="false">IF(AND(_xlfn.ISFORMULA(C300),_xlfn.ISFORMULA(J300)),"Y","N")</f>
        <v>Y</v>
      </c>
      <c r="GD300" s="0" t="n">
        <f aca="false">ROW()-1</f>
        <v>299</v>
      </c>
    </row>
    <row r="301" customFormat="false" ht="15" hidden="false" customHeight="false" outlineLevel="0" collapsed="false">
      <c r="A301" s="0" t="s">
        <v>5406</v>
      </c>
      <c r="B301" s="0" t="s">
        <v>5407</v>
      </c>
      <c r="C301" s="0" t="str">
        <f aca="false">IF($A301="","",IF(AW301="Y",BM301&amp;"",AY301&amp;""))</f>
        <v/>
      </c>
      <c r="D301" s="0" t="str">
        <f aca="false">IF($A301="","",IF(AW301="Y",BN301&amp;"",AZ301&amp;""))</f>
        <v/>
      </c>
      <c r="E301" s="0" t="str">
        <f aca="false">IF($A301="","",IF(AW301="Y",BO301&amp;"",BA301&amp;""))</f>
        <v/>
      </c>
      <c r="F301" s="0" t="str">
        <f aca="false">IF($A301="","",IF(AW301="Y",BP301&amp;"",BB301&amp;""))</f>
        <v/>
      </c>
      <c r="G301" s="0" t="str">
        <f aca="false">IF($A301="","",IF(AW301="Y",BQ301&amp;"",BC301&amp;""))</f>
        <v/>
      </c>
      <c r="H301" s="0" t="str">
        <f aca="false">IF($A301="","",IF(AW301="Y",BR301&amp;"",BD301&amp;""))</f>
        <v>none</v>
      </c>
      <c r="I301" s="0" t="str">
        <f aca="false">IF($A301="","",IF(R301="Y","warm-intro",IF(H301="verified","email",IF(C301&lt;&gt;"","linkedin",CB301&amp;""))))</f>
        <v>linkedin</v>
      </c>
      <c r="J301" s="0" t="n">
        <f aca="false">IF($A301="","",IF(CN301="pass",ROUND(N(EM301)+N(EN301)+N(EO301)+N(EP301)+N(EQ301)+N(ER301),1),0))</f>
        <v>0</v>
      </c>
      <c r="K301" s="0" t="str">
        <f aca="false">IF($A301="","",IF(CN301&lt;&gt;"pass",CA301&amp;"",CA301&amp;"; "&amp;IF(AW301="Y",BZ301&amp;"",BL301&amp;"")&amp;IF(R301="Y","; known to the founder (+15)","")&amp;"."))</f>
        <v>Gated out: outside the cluster (0.3 blocks outside the line).</v>
      </c>
      <c r="L301" s="0" t="s">
        <v>209</v>
      </c>
      <c r="R301" s="5" t="s">
        <v>189</v>
      </c>
      <c r="S301" s="0" t="s">
        <v>209</v>
      </c>
      <c r="T301" s="0" t="s">
        <v>189</v>
      </c>
      <c r="U301" s="5" t="s">
        <v>3896</v>
      </c>
      <c r="V301" s="0" t="s">
        <v>3184</v>
      </c>
      <c r="W301" s="0" t="s">
        <v>263</v>
      </c>
      <c r="X301" s="0" t="s">
        <v>3897</v>
      </c>
      <c r="Y301" s="0" t="str">
        <f aca="false">IF(FX301&lt;&gt;"Y","",COUNTIFS($FX$2:$FX$1000,"Y",$J$2:$J$1000,"&gt;"&amp;J301)+COUNTIFS($FX$2:$FX$1000,"Y",$J$2:$J$1000,J301,$GD$2:$GD$1000,"&lt;"&amp;GD301)+1)</f>
        <v/>
      </c>
      <c r="AA301" s="0" t="s">
        <v>189</v>
      </c>
      <c r="AB301" s="0" t="str">
        <f aca="false">IF($A301="","",IF(AW301="Y",BY301&amp;"",BK301&amp;""))</f>
        <v/>
      </c>
      <c r="AC301" s="0" t="str">
        <f aca="false">IF($A301="","",IF(AW301="Y",BS301&amp;"",BE301&amp;""))</f>
        <v/>
      </c>
      <c r="AD301" s="0" t="str">
        <f aca="false">IF($A301="","",IF(AW301="Y",BT301&amp;"",BF301&amp;""))</f>
        <v>none</v>
      </c>
      <c r="AE301" s="0" t="str">
        <f aca="false">IF($A301="","",IF(AW301="Y",BU301&amp;"",BG301&amp;""))</f>
        <v/>
      </c>
      <c r="AF301" s="0" t="str">
        <f aca="false">IF($A301="","",IF(AW301="Y",BV301&amp;"",BH301&amp;""))</f>
        <v/>
      </c>
      <c r="AG301" s="0" t="str">
        <f aca="false">IF($A301="","",IF(AW301="Y",BW301&amp;"",BI301&amp;""))</f>
        <v/>
      </c>
      <c r="AH301" s="0" t="str">
        <f aca="false">IF($A301="","",IF(AW301="Y",BX301&amp;"",BJ301&amp;""))</f>
        <v>none</v>
      </c>
      <c r="AI301" s="0" t="s">
        <v>5408</v>
      </c>
      <c r="AJ301" s="0" t="s">
        <v>3180</v>
      </c>
      <c r="AK301" s="0" t="s">
        <v>5356</v>
      </c>
      <c r="AL301" s="0" t="s">
        <v>209</v>
      </c>
      <c r="AM301" s="0" t="s">
        <v>209</v>
      </c>
      <c r="AN301" s="0" t="s">
        <v>380</v>
      </c>
      <c r="AO301" s="0" t="s">
        <v>209</v>
      </c>
      <c r="AP301" s="0" t="s">
        <v>3181</v>
      </c>
      <c r="AQ301" s="5" t="s">
        <v>189</v>
      </c>
      <c r="AT301" s="0" t="str">
        <f aca="false">IF($A301="","",IF(AND(CN301="pass",AQ301&lt;&gt;"Y",C301&lt;&gt;"",OR(AX301&lt;&gt;"Y",AV301="Y")),"Y","N"))</f>
        <v>N</v>
      </c>
      <c r="AU301" s="0" t="str">
        <f aca="false">IF($A301="","",_xlfn.TEXTJOIN("; ",TRUE(),IF(CN301&lt;&gt;"pass","gated out",""),IF(AQ301="Y","on hold: "&amp;AR301,""),IF(C301="","no contact named on an opened page",""),IF(AND(AX301="Y",AV301&lt;&gt;"Y"),"Tuesday estimate band "&amp;L301&amp;": founder's call","")))</f>
        <v>gated out; no contact named on an opened page</v>
      </c>
      <c r="AX301" s="0" t="s">
        <v>189</v>
      </c>
      <c r="BC301" s="0" t="str">
        <f aca="false">IF($A301="","",IFERROR(INDEX(Enrichment!$A$2:$GZ$2000,MATCH($A301,INDEX(Enrichment!$A$2:$GZ$2000,0,MATCH("row_id",Enrichment!$A$1:$GZ$1,0)),0),MATCH("work_email",Enrichment!$A$1:$GZ$1,0))&amp;"",""))</f>
        <v/>
      </c>
      <c r="BD301" s="0" t="str">
        <f aca="false">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none</v>
      </c>
      <c r="BF301" s="0" t="s">
        <v>380</v>
      </c>
      <c r="BJ301" s="0" t="s">
        <v>380</v>
      </c>
      <c r="BL301" s="0" t="s">
        <v>896</v>
      </c>
      <c r="BQ301" s="0" t="str">
        <f aca="false">IF($A301="","",IFERROR(INDEX(Enrichment!$A$2:$GZ$2000,MATCH($A301,INDEX(Enrichment!$A$2:$GZ$2000,0,MATCH("row_id",Enrichment!$A$1:$GZ$1,0)),0),MATCH("backup_work_email",Enrichment!$A$1:$GZ$1,0))&amp;"",""))</f>
        <v/>
      </c>
      <c r="BR301" s="0" t="str">
        <f aca="false">IF($A301="","",IF(BQ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none</v>
      </c>
      <c r="BT301" s="0" t="s">
        <v>380</v>
      </c>
      <c r="BX301" s="0" t="s">
        <v>380</v>
      </c>
      <c r="BZ301" s="0" t="s">
        <v>388</v>
      </c>
      <c r="CA301" s="0" t="s">
        <v>5409</v>
      </c>
      <c r="CB301" s="0" t="s">
        <v>196</v>
      </c>
      <c r="CM301" s="0" t="s">
        <v>189</v>
      </c>
      <c r="CN301" s="0" t="s">
        <v>4627</v>
      </c>
      <c r="CO301" s="0" t="s">
        <v>5410</v>
      </c>
      <c r="CP301" s="0" t="s">
        <v>3121</v>
      </c>
      <c r="CQ301" s="0" t="s">
        <v>5411</v>
      </c>
      <c r="CR301" s="0" t="s">
        <v>3176</v>
      </c>
      <c r="CS301" s="0" t="s">
        <v>3118</v>
      </c>
      <c r="CT301" s="0" t="s">
        <v>209</v>
      </c>
      <c r="CV301" s="0" t="s">
        <v>209</v>
      </c>
      <c r="CW301" s="0" t="s">
        <v>209</v>
      </c>
      <c r="DA301" s="0" t="s">
        <v>209</v>
      </c>
      <c r="DB301" s="0" t="s">
        <v>3123</v>
      </c>
      <c r="DC301" s="0" t="s">
        <v>209</v>
      </c>
      <c r="DD301" s="0" t="s">
        <v>3183</v>
      </c>
      <c r="DF301" s="0" t="s">
        <v>525</v>
      </c>
      <c r="DG301" s="0" t="n">
        <v>40.739621</v>
      </c>
      <c r="DH301" s="0" t="n">
        <v>-73.985632</v>
      </c>
      <c r="DI301" s="0" t="s">
        <v>189</v>
      </c>
      <c r="DJ301" s="0" t="n">
        <v>0.3</v>
      </c>
      <c r="DL301" s="0" t="s">
        <v>209</v>
      </c>
      <c r="DM301" s="0" t="s">
        <v>3184</v>
      </c>
      <c r="DN301" s="0" t="s">
        <v>263</v>
      </c>
      <c r="DO301" s="0" t="s">
        <v>3128</v>
      </c>
      <c r="DP301" s="0" t="s">
        <v>3667</v>
      </c>
      <c r="DS301" s="0" t="s">
        <v>809</v>
      </c>
      <c r="DU301" s="0" t="s">
        <v>189</v>
      </c>
      <c r="DV301" s="0" t="s">
        <v>5411</v>
      </c>
      <c r="DW301" s="0" t="s">
        <v>3130</v>
      </c>
      <c r="DX301" s="0" t="s">
        <v>209</v>
      </c>
      <c r="EA301" s="0" t="s">
        <v>209</v>
      </c>
      <c r="EB301" s="0" t="s">
        <v>189</v>
      </c>
      <c r="EC301" s="0" t="s">
        <v>209</v>
      </c>
      <c r="EF301" s="0" t="s">
        <v>209</v>
      </c>
      <c r="EH301" s="0" t="s">
        <v>189</v>
      </c>
      <c r="EI301" s="0" t="s">
        <v>3131</v>
      </c>
      <c r="EJ301" s="0" t="s">
        <v>221</v>
      </c>
      <c r="EK301" s="0" t="s">
        <v>209</v>
      </c>
      <c r="EL301" s="0" t="n">
        <v>34</v>
      </c>
      <c r="EM301" s="0" t="n">
        <v>7</v>
      </c>
      <c r="EN301" s="0" t="n">
        <v>8</v>
      </c>
      <c r="EO301" s="0" t="n">
        <v>6</v>
      </c>
      <c r="EP301" s="0" t="n">
        <v>13</v>
      </c>
      <c r="EQ301" s="0" t="n">
        <f aca="false">IF($A301="","",IF(AH301="exact",10,IF(AH301="adjacent",5,0)))</f>
        <v>0</v>
      </c>
      <c r="ER301" s="0" t="n">
        <f aca="false">IF($A301="","",IF(R301="Y",15,0))</f>
        <v>0</v>
      </c>
      <c r="ES301" s="0" t="s">
        <v>3121</v>
      </c>
      <c r="EX301" s="0" t="s">
        <v>5412</v>
      </c>
      <c r="FA301" s="0" t="s">
        <v>5413</v>
      </c>
      <c r="FS301" s="0" t="str">
        <f aca="false">IF($A301="","",IF(ISNUMBER(MATCH(U301,{"queued","contacted","replied","call_booked","call_done","yes_in_principle","materials_sent"},0)),"Y","N"))</f>
        <v>N</v>
      </c>
      <c r="FT301" s="0" t="str">
        <f aca="false">IF($A301="","",IF(OR(T301="Y",U301="do_not_contact",AS301&amp;""&lt;&gt;""),"Y","N"))</f>
        <v>N</v>
      </c>
      <c r="FU301" s="0" t="str">
        <f aca="false">IF($A301="","",IF(AP301&amp;""&lt;&gt;"",AP301&amp;"",$A301))</f>
        <v>grp-W003-W005-W007-W008-W014-W016-W027</v>
      </c>
      <c r="FV301" s="0" t="str">
        <f aca="false">IF($A301="","",IF(COUNTIFS($FU$2:$FU$1000,FU301,$FS$2:$FS$1000,"Y")+COUNTIFS($FU$2:$FU$1000,FU301,$FT$2:$FT$1000,"Y")&gt;0,"Y","N"))</f>
        <v>N</v>
      </c>
      <c r="FW301" s="0" t="str">
        <f aca="false">IF($A301="","",IF(AND(U301="new",T301="N",FT301="N",AT301="Y",FV301="N"),"Y","N"))</f>
        <v>N</v>
      </c>
      <c r="FX301" s="0" t="str">
        <f aca="false">IF($A301="","",IF(FW301&lt;&gt;"Y","N",IF(COUNTIFS($FU$2:$FU$1000,FU301,$FW$2:$FW$1000,"Y",$J$2:$J$1000,"&gt;"&amp;J301)+COUNTIFS($FU$2:$FU$1000,FU301,$FW$2:$FW$1000,"Y",$J$2:$J$1000,J301,$GD$2:$GD$1000,"&lt;"&amp;GD301)=0,"Y","N")))</f>
        <v>N</v>
      </c>
      <c r="FY301" s="0" t="str">
        <f aca="false">IF($A301="","",IF(AND(FW301="Y",FX301="Y",Y301&amp;""&lt;&gt;""),IF(Y301&lt;=10,"Y","N"),"N"))</f>
        <v>N</v>
      </c>
      <c r="FZ301" s="0" t="str">
        <f aca="false">IF(FY301="Y",Y301,"")</f>
        <v/>
      </c>
      <c r="GA301" s="0" t="str">
        <f aca="false">IF($A301="","",IF(AND(I301="walk-in",CN301="pass",U301="new",FT301="N",FV301="N",AQ301&lt;&gt;"Y"),"Y","N"))</f>
        <v>N</v>
      </c>
      <c r="GB301" s="0" t="str">
        <f aca="false">IF(GA301&lt;&gt;"Y","",IF(COUNTIFS($GA$2:$GA$1000,"Y",$J$2:$J$1000,"&gt;"&amp;J301)+COUNTIFS($GA$2:$GA$1000,"Y",$J$2:$J$1000,J301,$GD$2:$GD$1000,"&lt;"&amp;GD301)+1&lt;=25,COUNTIFS($GA$2:$GA$1000,"Y",$J$2:$J$1000,"&gt;"&amp;J301)+COUNTIFS($GA$2:$GA$1000,"Y",$J$2:$J$1000,J301,$GD$2:$GD$1000,"&lt;"&amp;GD301)+1,""))</f>
        <v/>
      </c>
      <c r="GC301" s="0" t="str">
        <f aca="false">IF(AND(_xlfn.ISFORMULA(C301),_xlfn.ISFORMULA(J301)),"Y","N")</f>
        <v>Y</v>
      </c>
      <c r="GD301" s="0" t="n">
        <f aca="false">ROW()-1</f>
        <v>300</v>
      </c>
    </row>
    <row r="302" customFormat="false" ht="15" hidden="false" customHeight="false" outlineLevel="0" collapsed="false">
      <c r="A302" s="0" t="s">
        <v>5414</v>
      </c>
      <c r="B302" s="0" t="s">
        <v>5415</v>
      </c>
      <c r="C302" s="0" t="str">
        <f aca="false">IF($A302="","",IF(AW302="Y",BM302&amp;"",AY302&amp;""))</f>
        <v/>
      </c>
      <c r="D302" s="0" t="str">
        <f aca="false">IF($A302="","",IF(AW302="Y",BN302&amp;"",AZ302&amp;""))</f>
        <v/>
      </c>
      <c r="E302" s="0" t="str">
        <f aca="false">IF($A302="","",IF(AW302="Y",BO302&amp;"",BA302&amp;""))</f>
        <v/>
      </c>
      <c r="F302" s="0" t="str">
        <f aca="false">IF($A302="","",IF(AW302="Y",BP302&amp;"",BB302&amp;""))</f>
        <v/>
      </c>
      <c r="G302" s="0" t="str">
        <f aca="false">IF($A302="","",IF(AW302="Y",BQ302&amp;"",BC302&amp;""))</f>
        <v/>
      </c>
      <c r="H302" s="0" t="str">
        <f aca="false">IF($A302="","",IF(AW302="Y",BR302&amp;"",BD302&amp;""))</f>
        <v>none</v>
      </c>
      <c r="I302" s="0" t="str">
        <f aca="false">IF($A302="","",IF(R302="Y","warm-intro",IF(H302="verified","email",IF(C302&lt;&gt;"","linkedin",CB302&amp;""))))</f>
        <v>linkedin</v>
      </c>
      <c r="J302" s="0" t="n">
        <f aca="false">IF($A302="","",IF(CN302="pass",ROUND(N(EM302)+N(EN302)+N(EO302)+N(EP302)+N(EQ302)+N(ER302),1),0))</f>
        <v>0</v>
      </c>
      <c r="K302" s="0" t="str">
        <f aca="false">IF($A302="","",IF(CN302&lt;&gt;"pass",CA302&amp;"",CA302&amp;"; "&amp;IF(AW302="Y",BZ302&amp;"",BL302&amp;"")&amp;IF(R302="Y","; known to the founder (+15)","")&amp;"."))</f>
        <v>Gated out: outside the cluster (0.8 blocks outside the line).</v>
      </c>
      <c r="L302" s="0" t="s">
        <v>209</v>
      </c>
      <c r="R302" s="5" t="s">
        <v>189</v>
      </c>
      <c r="S302" s="0" t="s">
        <v>209</v>
      </c>
      <c r="T302" s="0" t="s">
        <v>189</v>
      </c>
      <c r="U302" s="5" t="s">
        <v>3896</v>
      </c>
      <c r="V302" s="0" t="s">
        <v>5416</v>
      </c>
      <c r="W302" s="0" t="s">
        <v>263</v>
      </c>
      <c r="X302" s="0" t="s">
        <v>3897</v>
      </c>
      <c r="Y302" s="0" t="str">
        <f aca="false">IF(FX302&lt;&gt;"Y","",COUNTIFS($FX$2:$FX$1000,"Y",$J$2:$J$1000,"&gt;"&amp;J302)+COUNTIFS($FX$2:$FX$1000,"Y",$J$2:$J$1000,J302,$GD$2:$GD$1000,"&lt;"&amp;GD302)+1)</f>
        <v/>
      </c>
      <c r="AA302" s="0" t="s">
        <v>189</v>
      </c>
      <c r="AB302" s="0" t="str">
        <f aca="false">IF($A302="","",IF(AW302="Y",BY302&amp;"",BK302&amp;""))</f>
        <v/>
      </c>
      <c r="AC302" s="0" t="str">
        <f aca="false">IF($A302="","",IF(AW302="Y",BS302&amp;"",BE302&amp;""))</f>
        <v/>
      </c>
      <c r="AD302" s="0" t="str">
        <f aca="false">IF($A302="","",IF(AW302="Y",BT302&amp;"",BF302&amp;""))</f>
        <v>none</v>
      </c>
      <c r="AE302" s="0" t="str">
        <f aca="false">IF($A302="","",IF(AW302="Y",BU302&amp;"",BG302&amp;""))</f>
        <v/>
      </c>
      <c r="AF302" s="0" t="str">
        <f aca="false">IF($A302="","",IF(AW302="Y",BV302&amp;"",BH302&amp;""))</f>
        <v/>
      </c>
      <c r="AG302" s="0" t="str">
        <f aca="false">IF($A302="","",IF(AW302="Y",BW302&amp;"",BI302&amp;""))</f>
        <v/>
      </c>
      <c r="AH302" s="0" t="str">
        <f aca="false">IF($A302="","",IF(AW302="Y",BX302&amp;"",BJ302&amp;""))</f>
        <v>none</v>
      </c>
      <c r="AI302" s="0" t="s">
        <v>5417</v>
      </c>
      <c r="AJ302" s="0" t="s">
        <v>209</v>
      </c>
      <c r="AK302" s="0" t="s">
        <v>5356</v>
      </c>
      <c r="AL302" s="0" t="s">
        <v>209</v>
      </c>
      <c r="AM302" s="0" t="s">
        <v>209</v>
      </c>
      <c r="AN302" s="0" t="s">
        <v>380</v>
      </c>
      <c r="AO302" s="0" t="s">
        <v>209</v>
      </c>
      <c r="AP302" s="0" t="s">
        <v>3832</v>
      </c>
      <c r="AQ302" s="5" t="s">
        <v>189</v>
      </c>
      <c r="AT302" s="0" t="str">
        <f aca="false">IF($A302="","",IF(AND(CN302="pass",AQ302&lt;&gt;"Y",C302&lt;&gt;"",OR(AX302&lt;&gt;"Y",AV302="Y")),"Y","N"))</f>
        <v>N</v>
      </c>
      <c r="AU302" s="0" t="str">
        <f aca="false">IF($A302="","",_xlfn.TEXTJOIN("; ",TRUE(),IF(CN302&lt;&gt;"pass","gated out",""),IF(AQ302="Y","on hold: "&amp;AR302,""),IF(C302="","no contact named on an opened page",""),IF(AND(AX302="Y",AV302&lt;&gt;"Y"),"Tuesday estimate band "&amp;L302&amp;": founder's call","")))</f>
        <v>gated out; no contact named on an opened page</v>
      </c>
      <c r="AX302" s="0" t="s">
        <v>189</v>
      </c>
      <c r="BC302" s="0" t="str">
        <f aca="false">IF($A302="","",IFERROR(INDEX(Enrichment!$A$2:$GZ$2000,MATCH($A302,INDEX(Enrichment!$A$2:$GZ$2000,0,MATCH("row_id",Enrichment!$A$1:$GZ$1,0)),0),MATCH("work_email",Enrichment!$A$1:$GZ$1,0))&amp;"",""))</f>
        <v/>
      </c>
      <c r="BD302" s="0" t="str">
        <f aca="false">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none</v>
      </c>
      <c r="BF302" s="0" t="s">
        <v>380</v>
      </c>
      <c r="BJ302" s="0" t="s">
        <v>380</v>
      </c>
      <c r="BL302" s="0" t="s">
        <v>896</v>
      </c>
      <c r="BQ302" s="0" t="str">
        <f aca="false">IF($A302="","",IFERROR(INDEX(Enrichment!$A$2:$GZ$2000,MATCH($A302,INDEX(Enrichment!$A$2:$GZ$2000,0,MATCH("row_id",Enrichment!$A$1:$GZ$1,0)),0),MATCH("backup_work_email",Enrichment!$A$1:$GZ$1,0))&amp;"",""))</f>
        <v/>
      </c>
      <c r="BR302" s="0" t="str">
        <f aca="false">IF($A302="","",IF(BQ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none</v>
      </c>
      <c r="BT302" s="0" t="s">
        <v>380</v>
      </c>
      <c r="BX302" s="0" t="s">
        <v>380</v>
      </c>
      <c r="BZ302" s="0" t="s">
        <v>388</v>
      </c>
      <c r="CA302" s="0" t="s">
        <v>5418</v>
      </c>
      <c r="CB302" s="0" t="s">
        <v>196</v>
      </c>
      <c r="CM302" s="0" t="s">
        <v>189</v>
      </c>
      <c r="CN302" s="0" t="s">
        <v>4627</v>
      </c>
      <c r="CO302" s="0" t="s">
        <v>5419</v>
      </c>
      <c r="CP302" s="0" t="s">
        <v>3121</v>
      </c>
      <c r="CQ302" s="0" t="s">
        <v>5420</v>
      </c>
      <c r="CR302" s="0" t="s">
        <v>3828</v>
      </c>
      <c r="CS302" s="0" t="s">
        <v>3118</v>
      </c>
      <c r="CT302" s="0" t="s">
        <v>209</v>
      </c>
      <c r="CV302" s="0" t="s">
        <v>209</v>
      </c>
      <c r="CW302" s="0" t="s">
        <v>209</v>
      </c>
      <c r="DA302" s="0" t="s">
        <v>209</v>
      </c>
      <c r="DB302" s="0" t="s">
        <v>3123</v>
      </c>
      <c r="DC302" s="0" t="s">
        <v>209</v>
      </c>
      <c r="DD302" s="0" t="s">
        <v>3834</v>
      </c>
      <c r="DF302" s="0" t="s">
        <v>311</v>
      </c>
      <c r="DG302" s="0" t="n">
        <v>40.746008</v>
      </c>
      <c r="DH302" s="0" t="n">
        <v>-73.984034</v>
      </c>
      <c r="DI302" s="0" t="s">
        <v>189</v>
      </c>
      <c r="DJ302" s="0" t="n">
        <v>0.8</v>
      </c>
      <c r="DL302" s="0" t="s">
        <v>209</v>
      </c>
      <c r="DM302" s="0" t="s">
        <v>5416</v>
      </c>
      <c r="DN302" s="0" t="s">
        <v>263</v>
      </c>
      <c r="DO302" s="0" t="s">
        <v>3128</v>
      </c>
      <c r="DS302" s="0" t="s">
        <v>809</v>
      </c>
      <c r="DU302" s="0" t="s">
        <v>189</v>
      </c>
      <c r="DV302" s="0" t="s">
        <v>5420</v>
      </c>
      <c r="DW302" s="0" t="s">
        <v>3130</v>
      </c>
      <c r="DX302" s="0" t="s">
        <v>209</v>
      </c>
      <c r="EA302" s="0" t="s">
        <v>209</v>
      </c>
      <c r="EB302" s="0" t="s">
        <v>189</v>
      </c>
      <c r="EC302" s="0" t="s">
        <v>209</v>
      </c>
      <c r="EF302" s="0" t="s">
        <v>209</v>
      </c>
      <c r="EH302" s="0" t="s">
        <v>189</v>
      </c>
      <c r="EI302" s="0" t="s">
        <v>3131</v>
      </c>
      <c r="EJ302" s="0" t="s">
        <v>221</v>
      </c>
      <c r="EK302" s="0" t="s">
        <v>209</v>
      </c>
      <c r="EL302" s="0" t="n">
        <v>34</v>
      </c>
      <c r="EM302" s="0" t="n">
        <v>7</v>
      </c>
      <c r="EN302" s="0" t="n">
        <v>8</v>
      </c>
      <c r="EO302" s="0" t="n">
        <v>6</v>
      </c>
      <c r="EP302" s="0" t="n">
        <v>13</v>
      </c>
      <c r="EQ302" s="0" t="n">
        <f aca="false">IF($A302="","",IF(AH302="exact",10,IF(AH302="adjacent",5,0)))</f>
        <v>0</v>
      </c>
      <c r="ER302" s="0" t="n">
        <f aca="false">IF($A302="","",IF(R302="Y",15,0))</f>
        <v>0</v>
      </c>
      <c r="ES302" s="0" t="s">
        <v>3121</v>
      </c>
      <c r="EX302" s="0" t="s">
        <v>5421</v>
      </c>
      <c r="FA302" s="0" t="s">
        <v>5422</v>
      </c>
      <c r="FS302" s="0" t="str">
        <f aca="false">IF($A302="","",IF(ISNUMBER(MATCH(U302,{"queued","contacted","replied","call_booked","call_done","yes_in_principle","materials_sent"},0)),"Y","N"))</f>
        <v>N</v>
      </c>
      <c r="FT302" s="0" t="str">
        <f aca="false">IF($A302="","",IF(OR(T302="Y",U302="do_not_contact",AS302&amp;""&lt;&gt;""),"Y","N"))</f>
        <v>N</v>
      </c>
      <c r="FU302" s="0" t="str">
        <f aca="false">IF($A302="","",IF(AP302&amp;""&lt;&gt;"",AP302&amp;"",$A302))</f>
        <v>grp-W004-W018-W020-W024-W026-W029</v>
      </c>
      <c r="FV302" s="0" t="str">
        <f aca="false">IF($A302="","",IF(COUNTIFS($FU$2:$FU$1000,FU302,$FS$2:$FS$1000,"Y")+COUNTIFS($FU$2:$FU$1000,FU302,$FT$2:$FT$1000,"Y")&gt;0,"Y","N"))</f>
        <v>N</v>
      </c>
      <c r="FW302" s="0" t="str">
        <f aca="false">IF($A302="","",IF(AND(U302="new",T302="N",FT302="N",AT302="Y",FV302="N"),"Y","N"))</f>
        <v>N</v>
      </c>
      <c r="FX302" s="0" t="str">
        <f aca="false">IF($A302="","",IF(FW302&lt;&gt;"Y","N",IF(COUNTIFS($FU$2:$FU$1000,FU302,$FW$2:$FW$1000,"Y",$J$2:$J$1000,"&gt;"&amp;J302)+COUNTIFS($FU$2:$FU$1000,FU302,$FW$2:$FW$1000,"Y",$J$2:$J$1000,J302,$GD$2:$GD$1000,"&lt;"&amp;GD302)=0,"Y","N")))</f>
        <v>N</v>
      </c>
      <c r="FY302" s="0" t="str">
        <f aca="false">IF($A302="","",IF(AND(FW302="Y",FX302="Y",Y302&amp;""&lt;&gt;""),IF(Y302&lt;=10,"Y","N"),"N"))</f>
        <v>N</v>
      </c>
      <c r="FZ302" s="0" t="str">
        <f aca="false">IF(FY302="Y",Y302,"")</f>
        <v/>
      </c>
      <c r="GA302" s="0" t="str">
        <f aca="false">IF($A302="","",IF(AND(I302="walk-in",CN302="pass",U302="new",FT302="N",FV302="N",AQ302&lt;&gt;"Y"),"Y","N"))</f>
        <v>N</v>
      </c>
      <c r="GB302" s="0" t="str">
        <f aca="false">IF(GA302&lt;&gt;"Y","",IF(COUNTIFS($GA$2:$GA$1000,"Y",$J$2:$J$1000,"&gt;"&amp;J302)+COUNTIFS($GA$2:$GA$1000,"Y",$J$2:$J$1000,J302,$GD$2:$GD$1000,"&lt;"&amp;GD302)+1&lt;=25,COUNTIFS($GA$2:$GA$1000,"Y",$J$2:$J$1000,"&gt;"&amp;J302)+COUNTIFS($GA$2:$GA$1000,"Y",$J$2:$J$1000,J302,$GD$2:$GD$1000,"&lt;"&amp;GD302)+1,""))</f>
        <v/>
      </c>
      <c r="GC302" s="0" t="str">
        <f aca="false">IF(AND(_xlfn.ISFORMULA(C302),_xlfn.ISFORMULA(J302)),"Y","N")</f>
        <v>Y</v>
      </c>
      <c r="GD302" s="0" t="n">
        <f aca="false">ROW()-1</f>
        <v>301</v>
      </c>
    </row>
    <row r="303" customFormat="false" ht="15" hidden="false" customHeight="false" outlineLevel="0" collapsed="false">
      <c r="A303" s="0" t="s">
        <v>5423</v>
      </c>
      <c r="B303" s="0" t="s">
        <v>5424</v>
      </c>
      <c r="C303" s="0" t="str">
        <f aca="false">IF($A303="","",IF(AW303="Y",BM303&amp;"",AY303&amp;""))</f>
        <v/>
      </c>
      <c r="D303" s="0" t="str">
        <f aca="false">IF($A303="","",IF(AW303="Y",BN303&amp;"",AZ303&amp;""))</f>
        <v/>
      </c>
      <c r="E303" s="0" t="str">
        <f aca="false">IF($A303="","",IF(AW303="Y",BO303&amp;"",BA303&amp;""))</f>
        <v/>
      </c>
      <c r="F303" s="0" t="str">
        <f aca="false">IF($A303="","",IF(AW303="Y",BP303&amp;"",BB303&amp;""))</f>
        <v/>
      </c>
      <c r="G303" s="0" t="str">
        <f aca="false">IF($A303="","",IF(AW303="Y",BQ303&amp;"",BC303&amp;""))</f>
        <v/>
      </c>
      <c r="H303" s="0" t="str">
        <f aca="false">IF($A303="","",IF(AW303="Y",BR303&amp;"",BD303&amp;""))</f>
        <v>none</v>
      </c>
      <c r="I303" s="0" t="str">
        <f aca="false">IF($A303="","",IF(R303="Y","warm-intro",IF(H303="verified","email",IF(C303&lt;&gt;"","linkedin",CB303&amp;""))))</f>
        <v>linkedin</v>
      </c>
      <c r="J303" s="0" t="n">
        <f aca="false">IF($A303="","",IF(CN303="pass",ROUND(N(EM303)+N(EN303)+N(EO303)+N(EP303)+N(EQ303)+N(ER303),1),0))</f>
        <v>0</v>
      </c>
      <c r="K303" s="0" t="str">
        <f aca="false">IF($A303="","",IF(CN303&lt;&gt;"pass",CA303&amp;"",CA303&amp;"; "&amp;IF(AW303="Y",BZ303&amp;"",BL303&amp;"")&amp;IF(R303="Y","; known to the founder (+15)","")&amp;"."))</f>
        <v>Gated out: outside the cluster (0.9 blocks outside the line).</v>
      </c>
      <c r="L303" s="0" t="s">
        <v>209</v>
      </c>
      <c r="R303" s="5" t="s">
        <v>189</v>
      </c>
      <c r="S303" s="0" t="s">
        <v>209</v>
      </c>
      <c r="T303" s="0" t="s">
        <v>189</v>
      </c>
      <c r="U303" s="5" t="s">
        <v>3896</v>
      </c>
      <c r="V303" s="0" t="s">
        <v>5425</v>
      </c>
      <c r="W303" s="0" t="s">
        <v>263</v>
      </c>
      <c r="X303" s="0" t="s">
        <v>3897</v>
      </c>
      <c r="Y303" s="0" t="str">
        <f aca="false">IF(FX303&lt;&gt;"Y","",COUNTIFS($FX$2:$FX$1000,"Y",$J$2:$J$1000,"&gt;"&amp;J303)+COUNTIFS($FX$2:$FX$1000,"Y",$J$2:$J$1000,J303,$GD$2:$GD$1000,"&lt;"&amp;GD303)+1)</f>
        <v/>
      </c>
      <c r="AA303" s="0" t="s">
        <v>189</v>
      </c>
      <c r="AB303" s="0" t="str">
        <f aca="false">IF($A303="","",IF(AW303="Y",BY303&amp;"",BK303&amp;""))</f>
        <v/>
      </c>
      <c r="AC303" s="0" t="str">
        <f aca="false">IF($A303="","",IF(AW303="Y",BS303&amp;"",BE303&amp;""))</f>
        <v/>
      </c>
      <c r="AD303" s="0" t="str">
        <f aca="false">IF($A303="","",IF(AW303="Y",BT303&amp;"",BF303&amp;""))</f>
        <v>none</v>
      </c>
      <c r="AE303" s="0" t="str">
        <f aca="false">IF($A303="","",IF(AW303="Y",BU303&amp;"",BG303&amp;""))</f>
        <v/>
      </c>
      <c r="AF303" s="0" t="str">
        <f aca="false">IF($A303="","",IF(AW303="Y",BV303&amp;"",BH303&amp;""))</f>
        <v/>
      </c>
      <c r="AG303" s="0" t="str">
        <f aca="false">IF($A303="","",IF(AW303="Y",BW303&amp;"",BI303&amp;""))</f>
        <v/>
      </c>
      <c r="AH303" s="0" t="str">
        <f aca="false">IF($A303="","",IF(AW303="Y",BX303&amp;"",BJ303&amp;""))</f>
        <v>none</v>
      </c>
      <c r="AI303" s="0" t="s">
        <v>5426</v>
      </c>
      <c r="AJ303" s="0" t="s">
        <v>209</v>
      </c>
      <c r="AK303" s="0" t="s">
        <v>5356</v>
      </c>
      <c r="AL303" s="0" t="s">
        <v>209</v>
      </c>
      <c r="AM303" s="0" t="s">
        <v>209</v>
      </c>
      <c r="AN303" s="0" t="s">
        <v>380</v>
      </c>
      <c r="AO303" s="0" t="s">
        <v>209</v>
      </c>
      <c r="AP303" s="0" t="s">
        <v>3832</v>
      </c>
      <c r="AQ303" s="5" t="s">
        <v>189</v>
      </c>
      <c r="AT303" s="0" t="str">
        <f aca="false">IF($A303="","",IF(AND(CN303="pass",AQ303&lt;&gt;"Y",C303&lt;&gt;"",OR(AX303&lt;&gt;"Y",AV303="Y")),"Y","N"))</f>
        <v>N</v>
      </c>
      <c r="AU303" s="0" t="str">
        <f aca="false">IF($A303="","",_xlfn.TEXTJOIN("; ",TRUE(),IF(CN303&lt;&gt;"pass","gated out",""),IF(AQ303="Y","on hold: "&amp;AR303,""),IF(C303="","no contact named on an opened page",""),IF(AND(AX303="Y",AV303&lt;&gt;"Y"),"Tuesday estimate band "&amp;L303&amp;": founder's call","")))</f>
        <v>gated out; no contact named on an opened page</v>
      </c>
      <c r="AX303" s="0" t="s">
        <v>189</v>
      </c>
      <c r="BC303" s="0" t="str">
        <f aca="false">IF($A303="","",IFERROR(INDEX(Enrichment!$A$2:$GZ$2000,MATCH($A303,INDEX(Enrichment!$A$2:$GZ$2000,0,MATCH("row_id",Enrichment!$A$1:$GZ$1,0)),0),MATCH("work_email",Enrichment!$A$1:$GZ$1,0))&amp;"",""))</f>
        <v/>
      </c>
      <c r="BD303" s="0" t="str">
        <f aca="false">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none</v>
      </c>
      <c r="BF303" s="0" t="s">
        <v>380</v>
      </c>
      <c r="BJ303" s="0" t="s">
        <v>380</v>
      </c>
      <c r="BL303" s="0" t="s">
        <v>896</v>
      </c>
      <c r="BQ303" s="0" t="str">
        <f aca="false">IF($A303="","",IFERROR(INDEX(Enrichment!$A$2:$GZ$2000,MATCH($A303,INDEX(Enrichment!$A$2:$GZ$2000,0,MATCH("row_id",Enrichment!$A$1:$GZ$1,0)),0),MATCH("backup_work_email",Enrichment!$A$1:$GZ$1,0))&amp;"",""))</f>
        <v/>
      </c>
      <c r="BR303" s="0" t="str">
        <f aca="false">IF($A303="","",IF(BQ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none</v>
      </c>
      <c r="BT303" s="0" t="s">
        <v>380</v>
      </c>
      <c r="BX303" s="0" t="s">
        <v>380</v>
      </c>
      <c r="BZ303" s="0" t="s">
        <v>388</v>
      </c>
      <c r="CA303" s="0" t="s">
        <v>5427</v>
      </c>
      <c r="CB303" s="0" t="s">
        <v>196</v>
      </c>
      <c r="CM303" s="0" t="s">
        <v>189</v>
      </c>
      <c r="CN303" s="0" t="s">
        <v>4627</v>
      </c>
      <c r="CO303" s="0" t="s">
        <v>5428</v>
      </c>
      <c r="CP303" s="0" t="s">
        <v>3121</v>
      </c>
      <c r="CQ303" s="0" t="s">
        <v>5429</v>
      </c>
      <c r="CR303" s="0" t="s">
        <v>3828</v>
      </c>
      <c r="CS303" s="0" t="s">
        <v>3118</v>
      </c>
      <c r="CT303" s="0" t="s">
        <v>209</v>
      </c>
      <c r="CV303" s="0" t="s">
        <v>209</v>
      </c>
      <c r="CW303" s="0" t="s">
        <v>209</v>
      </c>
      <c r="DA303" s="0" t="s">
        <v>209</v>
      </c>
      <c r="DB303" s="0" t="s">
        <v>3123</v>
      </c>
      <c r="DC303" s="0" t="s">
        <v>209</v>
      </c>
      <c r="DD303" s="0" t="s">
        <v>3834</v>
      </c>
      <c r="DF303" s="0" t="s">
        <v>210</v>
      </c>
      <c r="DG303" s="0" t="n">
        <v>40.735166</v>
      </c>
      <c r="DH303" s="0" t="n">
        <v>-73.988236</v>
      </c>
      <c r="DI303" s="0" t="s">
        <v>189</v>
      </c>
      <c r="DJ303" s="0" t="n">
        <v>0.9</v>
      </c>
      <c r="DL303" s="0" t="s">
        <v>209</v>
      </c>
      <c r="DM303" s="0" t="s">
        <v>5425</v>
      </c>
      <c r="DN303" s="0" t="s">
        <v>263</v>
      </c>
      <c r="DO303" s="0" t="s">
        <v>3128</v>
      </c>
      <c r="DS303" s="0" t="s">
        <v>809</v>
      </c>
      <c r="DU303" s="0" t="s">
        <v>189</v>
      </c>
      <c r="DV303" s="0" t="s">
        <v>5429</v>
      </c>
      <c r="DW303" s="0" t="s">
        <v>3130</v>
      </c>
      <c r="DX303" s="0" t="s">
        <v>209</v>
      </c>
      <c r="EA303" s="0" t="s">
        <v>209</v>
      </c>
      <c r="EB303" s="0" t="s">
        <v>189</v>
      </c>
      <c r="EC303" s="0" t="s">
        <v>209</v>
      </c>
      <c r="EF303" s="0" t="s">
        <v>209</v>
      </c>
      <c r="EH303" s="0" t="s">
        <v>189</v>
      </c>
      <c r="EI303" s="0" t="s">
        <v>3131</v>
      </c>
      <c r="EJ303" s="0" t="s">
        <v>221</v>
      </c>
      <c r="EK303" s="0" t="s">
        <v>209</v>
      </c>
      <c r="EL303" s="0" t="n">
        <v>34</v>
      </c>
      <c r="EM303" s="0" t="n">
        <v>7</v>
      </c>
      <c r="EN303" s="0" t="n">
        <v>8</v>
      </c>
      <c r="EO303" s="0" t="n">
        <v>6</v>
      </c>
      <c r="EP303" s="0" t="n">
        <v>13</v>
      </c>
      <c r="EQ303" s="0" t="n">
        <f aca="false">IF($A303="","",IF(AH303="exact",10,IF(AH303="adjacent",5,0)))</f>
        <v>0</v>
      </c>
      <c r="ER303" s="0" t="n">
        <f aca="false">IF($A303="","",IF(R303="Y",15,0))</f>
        <v>0</v>
      </c>
      <c r="ES303" s="0" t="s">
        <v>3121</v>
      </c>
      <c r="EX303" s="0" t="s">
        <v>5430</v>
      </c>
      <c r="FA303" s="0" t="s">
        <v>5431</v>
      </c>
      <c r="FS303" s="0" t="str">
        <f aca="false">IF($A303="","",IF(ISNUMBER(MATCH(U303,{"queued","contacted","replied","call_booked","call_done","yes_in_principle","materials_sent"},0)),"Y","N"))</f>
        <v>N</v>
      </c>
      <c r="FT303" s="0" t="str">
        <f aca="false">IF($A303="","",IF(OR(T303="Y",U303="do_not_contact",AS303&amp;""&lt;&gt;""),"Y","N"))</f>
        <v>N</v>
      </c>
      <c r="FU303" s="0" t="str">
        <f aca="false">IF($A303="","",IF(AP303&amp;""&lt;&gt;"",AP303&amp;"",$A303))</f>
        <v>grp-W004-W018-W020-W024-W026-W029</v>
      </c>
      <c r="FV303" s="0" t="str">
        <f aca="false">IF($A303="","",IF(COUNTIFS($FU$2:$FU$1000,FU303,$FS$2:$FS$1000,"Y")+COUNTIFS($FU$2:$FU$1000,FU303,$FT$2:$FT$1000,"Y")&gt;0,"Y","N"))</f>
        <v>N</v>
      </c>
      <c r="FW303" s="0" t="str">
        <f aca="false">IF($A303="","",IF(AND(U303="new",T303="N",FT303="N",AT303="Y",FV303="N"),"Y","N"))</f>
        <v>N</v>
      </c>
      <c r="FX303" s="0" t="str">
        <f aca="false">IF($A303="","",IF(FW303&lt;&gt;"Y","N",IF(COUNTIFS($FU$2:$FU$1000,FU303,$FW$2:$FW$1000,"Y",$J$2:$J$1000,"&gt;"&amp;J303)+COUNTIFS($FU$2:$FU$1000,FU303,$FW$2:$FW$1000,"Y",$J$2:$J$1000,J303,$GD$2:$GD$1000,"&lt;"&amp;GD303)=0,"Y","N")))</f>
        <v>N</v>
      </c>
      <c r="FY303" s="0" t="str">
        <f aca="false">IF($A303="","",IF(AND(FW303="Y",FX303="Y",Y303&amp;""&lt;&gt;""),IF(Y303&lt;=10,"Y","N"),"N"))</f>
        <v>N</v>
      </c>
      <c r="FZ303" s="0" t="str">
        <f aca="false">IF(FY303="Y",Y303,"")</f>
        <v/>
      </c>
      <c r="GA303" s="0" t="str">
        <f aca="false">IF($A303="","",IF(AND(I303="walk-in",CN303="pass",U303="new",FT303="N",FV303="N",AQ303&lt;&gt;"Y"),"Y","N"))</f>
        <v>N</v>
      </c>
      <c r="GB303" s="0" t="str">
        <f aca="false">IF(GA303&lt;&gt;"Y","",IF(COUNTIFS($GA$2:$GA$1000,"Y",$J$2:$J$1000,"&gt;"&amp;J303)+COUNTIFS($GA$2:$GA$1000,"Y",$J$2:$J$1000,J303,$GD$2:$GD$1000,"&lt;"&amp;GD303)+1&lt;=25,COUNTIFS($GA$2:$GA$1000,"Y",$J$2:$J$1000,"&gt;"&amp;J303)+COUNTIFS($GA$2:$GA$1000,"Y",$J$2:$J$1000,J303,$GD$2:$GD$1000,"&lt;"&amp;GD303)+1,""))</f>
        <v/>
      </c>
      <c r="GC303" s="0" t="str">
        <f aca="false">IF(AND(_xlfn.ISFORMULA(C303),_xlfn.ISFORMULA(J303)),"Y","N")</f>
        <v>Y</v>
      </c>
      <c r="GD303" s="0" t="n">
        <f aca="false">ROW()-1</f>
        <v>302</v>
      </c>
    </row>
    <row r="304" customFormat="false" ht="15" hidden="false" customHeight="false" outlineLevel="0" collapsed="false">
      <c r="A304" s="0" t="s">
        <v>5432</v>
      </c>
      <c r="B304" s="0" t="s">
        <v>5433</v>
      </c>
      <c r="C304" s="0" t="str">
        <f aca="false">IF($A304="","",IF(AW304="Y",BM304&amp;"",AY304&amp;""))</f>
        <v/>
      </c>
      <c r="D304" s="0" t="str">
        <f aca="false">IF($A304="","",IF(AW304="Y",BN304&amp;"",AZ304&amp;""))</f>
        <v/>
      </c>
      <c r="E304" s="0" t="str">
        <f aca="false">IF($A304="","",IF(AW304="Y",BO304&amp;"",BA304&amp;""))</f>
        <v/>
      </c>
      <c r="F304" s="0" t="str">
        <f aca="false">IF($A304="","",IF(AW304="Y",BP304&amp;"",BB304&amp;""))</f>
        <v/>
      </c>
      <c r="G304" s="0" t="str">
        <f aca="false">IF($A304="","",IF(AW304="Y",BQ304&amp;"",BC304&amp;""))</f>
        <v/>
      </c>
      <c r="H304" s="0" t="str">
        <f aca="false">IF($A304="","",IF(AW304="Y",BR304&amp;"",BD304&amp;""))</f>
        <v>none</v>
      </c>
      <c r="I304" s="0" t="str">
        <f aca="false">IF($A304="","",IF(R304="Y","warm-intro",IF(H304="verified","email",IF(C304&lt;&gt;"","linkedin",CB304&amp;""))))</f>
        <v>linkedin</v>
      </c>
      <c r="J304" s="0" t="n">
        <f aca="false">IF($A304="","",IF(CN304="pass",ROUND(N(EM304)+N(EN304)+N(EO304)+N(EP304)+N(EQ304)+N(ER304),1),0))</f>
        <v>0</v>
      </c>
      <c r="K304" s="0" t="str">
        <f aca="false">IF($A304="","",IF(CN304&lt;&gt;"pass",CA304&amp;"",CA304&amp;"; "&amp;IF(AW304="Y",BZ304&amp;"",BL304&amp;"")&amp;IF(R304="Y","; known to the founder (+15)","")&amp;"."))</f>
        <v>Gated out: operator control of the pantry not shown (pantry_control=unknown).</v>
      </c>
      <c r="L304" s="0" t="s">
        <v>209</v>
      </c>
      <c r="R304" s="5" t="s">
        <v>189</v>
      </c>
      <c r="S304" s="0" t="s">
        <v>209</v>
      </c>
      <c r="T304" s="0" t="s">
        <v>189</v>
      </c>
      <c r="U304" s="5" t="s">
        <v>3896</v>
      </c>
      <c r="V304" s="0" t="s">
        <v>5434</v>
      </c>
      <c r="W304" s="0" t="s">
        <v>263</v>
      </c>
      <c r="X304" s="0" t="s">
        <v>3897</v>
      </c>
      <c r="Y304" s="0" t="str">
        <f aca="false">IF(FX304&lt;&gt;"Y","",COUNTIFS($FX$2:$FX$1000,"Y",$J$2:$J$1000,"&gt;"&amp;J304)+COUNTIFS($FX$2:$FX$1000,"Y",$J$2:$J$1000,J304,$GD$2:$GD$1000,"&lt;"&amp;GD304)+1)</f>
        <v/>
      </c>
      <c r="AA304" s="0" t="s">
        <v>189</v>
      </c>
      <c r="AB304" s="0" t="str">
        <f aca="false">IF($A304="","",IF(AW304="Y",BY304&amp;"",BK304&amp;""))</f>
        <v/>
      </c>
      <c r="AC304" s="0" t="str">
        <f aca="false">IF($A304="","",IF(AW304="Y",BS304&amp;"",BE304&amp;""))</f>
        <v/>
      </c>
      <c r="AD304" s="0" t="str">
        <f aca="false">IF($A304="","",IF(AW304="Y",BT304&amp;"",BF304&amp;""))</f>
        <v>none</v>
      </c>
      <c r="AE304" s="0" t="str">
        <f aca="false">IF($A304="","",IF(AW304="Y",BU304&amp;"",BG304&amp;""))</f>
        <v/>
      </c>
      <c r="AF304" s="0" t="str">
        <f aca="false">IF($A304="","",IF(AW304="Y",BV304&amp;"",BH304&amp;""))</f>
        <v/>
      </c>
      <c r="AG304" s="0" t="str">
        <f aca="false">IF($A304="","",IF(AW304="Y",BW304&amp;"",BI304&amp;""))</f>
        <v/>
      </c>
      <c r="AH304" s="0" t="str">
        <f aca="false">IF($A304="","",IF(AW304="Y",BX304&amp;"",BJ304&amp;""))</f>
        <v>none</v>
      </c>
      <c r="AI304" s="0" t="s">
        <v>5435</v>
      </c>
      <c r="AJ304" s="0" t="s">
        <v>3802</v>
      </c>
      <c r="AK304" s="0" t="s">
        <v>740</v>
      </c>
      <c r="AL304" s="0" t="s">
        <v>209</v>
      </c>
      <c r="AM304" s="0" t="s">
        <v>209</v>
      </c>
      <c r="AN304" s="0" t="s">
        <v>380</v>
      </c>
      <c r="AO304" s="0" t="s">
        <v>209</v>
      </c>
      <c r="AP304" s="0" t="s">
        <v>5432</v>
      </c>
      <c r="AQ304" s="5" t="s">
        <v>189</v>
      </c>
      <c r="AT304" s="0" t="str">
        <f aca="false">IF($A304="","",IF(AND(CN304="pass",AQ304&lt;&gt;"Y",C304&lt;&gt;"",OR(AX304&lt;&gt;"Y",AV304="Y")),"Y","N"))</f>
        <v>N</v>
      </c>
      <c r="AU304" s="0" t="str">
        <f aca="false">IF($A304="","",_xlfn.TEXTJOIN("; ",TRUE(),IF(CN304&lt;&gt;"pass","gated out",""),IF(AQ304="Y","on hold: "&amp;AR304,""),IF(C304="","no contact named on an opened page",""),IF(AND(AX304="Y",AV304&lt;&gt;"Y"),"Tuesday estimate band "&amp;L304&amp;": founder's call","")))</f>
        <v>gated out; no contact named on an opened page</v>
      </c>
      <c r="AX304" s="0" t="s">
        <v>189</v>
      </c>
      <c r="BC304" s="0" t="str">
        <f aca="false">IF($A304="","",IFERROR(INDEX(Enrichment!$A$2:$GZ$2000,MATCH($A304,INDEX(Enrichment!$A$2:$GZ$2000,0,MATCH("row_id",Enrichment!$A$1:$GZ$1,0)),0),MATCH("work_email",Enrichment!$A$1:$GZ$1,0))&amp;"",""))</f>
        <v/>
      </c>
      <c r="BD304" s="0" t="str">
        <f aca="false">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none</v>
      </c>
      <c r="BF304" s="0" t="s">
        <v>380</v>
      </c>
      <c r="BJ304" s="0" t="s">
        <v>380</v>
      </c>
      <c r="BL304" s="0" t="s">
        <v>896</v>
      </c>
      <c r="BQ304" s="0" t="str">
        <f aca="false">IF($A304="","",IFERROR(INDEX(Enrichment!$A$2:$GZ$2000,MATCH($A304,INDEX(Enrichment!$A$2:$GZ$2000,0,MATCH("row_id",Enrichment!$A$1:$GZ$1,0)),0),MATCH("backup_work_email",Enrichment!$A$1:$GZ$1,0))&amp;"",""))</f>
        <v/>
      </c>
      <c r="BR304" s="0" t="str">
        <f aca="false">IF($A304="","",IF(BQ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none</v>
      </c>
      <c r="BT304" s="0" t="s">
        <v>380</v>
      </c>
      <c r="BX304" s="0" t="s">
        <v>380</v>
      </c>
      <c r="BZ304" s="0" t="s">
        <v>388</v>
      </c>
      <c r="CA304" s="0" t="s">
        <v>5400</v>
      </c>
      <c r="CB304" s="0" t="s">
        <v>196</v>
      </c>
      <c r="CM304" s="0" t="s">
        <v>189</v>
      </c>
      <c r="CN304" s="0" t="s">
        <v>4627</v>
      </c>
      <c r="CO304" s="0" t="s">
        <v>5401</v>
      </c>
      <c r="CP304" s="0" t="s">
        <v>3121</v>
      </c>
      <c r="CQ304" s="0" t="s">
        <v>5436</v>
      </c>
      <c r="CR304" s="0" t="s">
        <v>209</v>
      </c>
      <c r="CS304" s="0" t="s">
        <v>3118</v>
      </c>
      <c r="CT304" s="0" t="s">
        <v>209</v>
      </c>
      <c r="CV304" s="0" t="s">
        <v>209</v>
      </c>
      <c r="CW304" s="0" t="s">
        <v>209</v>
      </c>
      <c r="DA304" s="0" t="s">
        <v>209</v>
      </c>
      <c r="DB304" s="0" t="s">
        <v>3123</v>
      </c>
      <c r="DC304" s="0" t="s">
        <v>209</v>
      </c>
      <c r="DD304" s="0" t="s">
        <v>5437</v>
      </c>
      <c r="DF304" s="0" t="s">
        <v>525</v>
      </c>
      <c r="DG304" s="0" t="n">
        <v>40.739588</v>
      </c>
      <c r="DH304" s="0" t="n">
        <v>-73.986574</v>
      </c>
      <c r="DI304" s="0" t="s">
        <v>164</v>
      </c>
      <c r="DJ304" s="0" t="n">
        <v>0</v>
      </c>
      <c r="DK304" s="0" t="s">
        <v>5438</v>
      </c>
      <c r="DL304" s="0" t="s">
        <v>5439</v>
      </c>
      <c r="DM304" s="0" t="s">
        <v>5434</v>
      </c>
      <c r="DN304" s="0" t="s">
        <v>5440</v>
      </c>
      <c r="DO304" s="0" t="s">
        <v>443</v>
      </c>
      <c r="DP304" s="0" t="s">
        <v>3667</v>
      </c>
      <c r="DS304" s="0" t="s">
        <v>187</v>
      </c>
      <c r="DU304" s="0" t="s">
        <v>189</v>
      </c>
      <c r="DV304" s="0" t="s">
        <v>5436</v>
      </c>
      <c r="DW304" s="0" t="s">
        <v>209</v>
      </c>
      <c r="DX304" s="0" t="s">
        <v>209</v>
      </c>
      <c r="EA304" s="0" t="s">
        <v>209</v>
      </c>
      <c r="EB304" s="0" t="s">
        <v>189</v>
      </c>
      <c r="EC304" s="0" t="s">
        <v>209</v>
      </c>
      <c r="EF304" s="0" t="s">
        <v>209</v>
      </c>
      <c r="EH304" s="0" t="s">
        <v>189</v>
      </c>
      <c r="EI304" s="0" t="s">
        <v>3131</v>
      </c>
      <c r="EJ304" s="0" t="s">
        <v>221</v>
      </c>
      <c r="EK304" s="0" t="s">
        <v>209</v>
      </c>
      <c r="EL304" s="0" t="n">
        <v>23</v>
      </c>
      <c r="EM304" s="0" t="n">
        <v>7</v>
      </c>
      <c r="EN304" s="0" t="n">
        <v>8</v>
      </c>
      <c r="EO304" s="0" t="n">
        <v>6</v>
      </c>
      <c r="EP304" s="0" t="n">
        <v>2</v>
      </c>
      <c r="EQ304" s="0" t="n">
        <f aca="false">IF($A304="","",IF(AH304="exact",10,IF(AH304="adjacent",5,0)))</f>
        <v>0</v>
      </c>
      <c r="ER304" s="0" t="n">
        <f aca="false">IF($A304="","",IF(R304="Y",15,0))</f>
        <v>0</v>
      </c>
      <c r="ES304" s="0" t="s">
        <v>3121</v>
      </c>
      <c r="EX304" s="0" t="s">
        <v>5441</v>
      </c>
      <c r="FS304" s="0" t="str">
        <f aca="false">IF($A304="","",IF(ISNUMBER(MATCH(U304,{"queued","contacted","replied","call_booked","call_done","yes_in_principle","materials_sent"},0)),"Y","N"))</f>
        <v>N</v>
      </c>
      <c r="FT304" s="0" t="str">
        <f aca="false">IF($A304="","",IF(OR(T304="Y",U304="do_not_contact",AS304&amp;""&lt;&gt;""),"Y","N"))</f>
        <v>N</v>
      </c>
      <c r="FU304" s="0" t="str">
        <f aca="false">IF($A304="","",IF(AP304&amp;""&lt;&gt;"",AP304&amp;"",$A304))</f>
        <v>AO-W-009</v>
      </c>
      <c r="FV304" s="0" t="str">
        <f aca="false">IF($A304="","",IF(COUNTIFS($FU$2:$FU$1000,FU304,$FS$2:$FS$1000,"Y")+COUNTIFS($FU$2:$FU$1000,FU304,$FT$2:$FT$1000,"Y")&gt;0,"Y","N"))</f>
        <v>N</v>
      </c>
      <c r="FW304" s="0" t="str">
        <f aca="false">IF($A304="","",IF(AND(U304="new",T304="N",FT304="N",AT304="Y",FV304="N"),"Y","N"))</f>
        <v>N</v>
      </c>
      <c r="FX304" s="0" t="str">
        <f aca="false">IF($A304="","",IF(FW304&lt;&gt;"Y","N",IF(COUNTIFS($FU$2:$FU$1000,FU304,$FW$2:$FW$1000,"Y",$J$2:$J$1000,"&gt;"&amp;J304)+COUNTIFS($FU$2:$FU$1000,FU304,$FW$2:$FW$1000,"Y",$J$2:$J$1000,J304,$GD$2:$GD$1000,"&lt;"&amp;GD304)=0,"Y","N")))</f>
        <v>N</v>
      </c>
      <c r="FY304" s="0" t="str">
        <f aca="false">IF($A304="","",IF(AND(FW304="Y",FX304="Y",Y304&amp;""&lt;&gt;""),IF(Y304&lt;=10,"Y","N"),"N"))</f>
        <v>N</v>
      </c>
      <c r="FZ304" s="0" t="str">
        <f aca="false">IF(FY304="Y",Y304,"")</f>
        <v/>
      </c>
      <c r="GA304" s="0" t="str">
        <f aca="false">IF($A304="","",IF(AND(I304="walk-in",CN304="pass",U304="new",FT304="N",FV304="N",AQ304&lt;&gt;"Y"),"Y","N"))</f>
        <v>N</v>
      </c>
      <c r="GB304" s="0" t="str">
        <f aca="false">IF(GA304&lt;&gt;"Y","",IF(COUNTIFS($GA$2:$GA$1000,"Y",$J$2:$J$1000,"&gt;"&amp;J304)+COUNTIFS($GA$2:$GA$1000,"Y",$J$2:$J$1000,J304,$GD$2:$GD$1000,"&lt;"&amp;GD304)+1&lt;=25,COUNTIFS($GA$2:$GA$1000,"Y",$J$2:$J$1000,"&gt;"&amp;J304)+COUNTIFS($GA$2:$GA$1000,"Y",$J$2:$J$1000,J304,$GD$2:$GD$1000,"&lt;"&amp;GD304)+1,""))</f>
        <v/>
      </c>
      <c r="GC304" s="0" t="str">
        <f aca="false">IF(AND(_xlfn.ISFORMULA(C304),_xlfn.ISFORMULA(J304)),"Y","N")</f>
        <v>Y</v>
      </c>
      <c r="GD304" s="0" t="n">
        <f aca="false">ROW()-1</f>
        <v>303</v>
      </c>
    </row>
    <row r="305" customFormat="false" ht="15" hidden="false" customHeight="false" outlineLevel="0" collapsed="false">
      <c r="A305" s="0" t="s">
        <v>5442</v>
      </c>
      <c r="B305" s="0" t="s">
        <v>5443</v>
      </c>
      <c r="C305" s="0" t="str">
        <f aca="false">IF($A305="","",IF(AW305="Y",BM305&amp;"",AY305&amp;""))</f>
        <v/>
      </c>
      <c r="D305" s="0" t="str">
        <f aca="false">IF($A305="","",IF(AW305="Y",BN305&amp;"",AZ305&amp;""))</f>
        <v/>
      </c>
      <c r="E305" s="0" t="str">
        <f aca="false">IF($A305="","",IF(AW305="Y",BO305&amp;"",BA305&amp;""))</f>
        <v/>
      </c>
      <c r="F305" s="0" t="str">
        <f aca="false">IF($A305="","",IF(AW305="Y",BP305&amp;"",BB305&amp;""))</f>
        <v/>
      </c>
      <c r="G305" s="0" t="str">
        <f aca="false">IF($A305="","",IF(AW305="Y",BQ305&amp;"",BC305&amp;""))</f>
        <v/>
      </c>
      <c r="H305" s="0" t="str">
        <f aca="false">IF($A305="","",IF(AW305="Y",BR305&amp;"",BD305&amp;""))</f>
        <v>none</v>
      </c>
      <c r="I305" s="0" t="str">
        <f aca="false">IF($A305="","",IF(R305="Y","warm-intro",IF(H305="verified","email",IF(C305&lt;&gt;"","linkedin",CB305&amp;""))))</f>
        <v>linkedin</v>
      </c>
      <c r="J305" s="0" t="n">
        <f aca="false">IF($A305="","",IF(CN305="pass",ROUND(N(EM305)+N(EN305)+N(EO305)+N(EP305)+N(EQ305)+N(ER305),1),0))</f>
        <v>0</v>
      </c>
      <c r="K305" s="0" t="str">
        <f aca="false">IF($A305="","",IF(CN305&lt;&gt;"pass",CA305&amp;"",CA305&amp;"; "&amp;IF(AW305="Y",BZ305&amp;"",BL305&amp;"")&amp;IF(R305="Y","; known to the founder (+15)","")&amp;"."))</f>
        <v>Gated out: outside the cluster (0.8 blocks outside the line); operator control of the pantry not shown (pantry_control=unknown).</v>
      </c>
      <c r="L305" s="0" t="s">
        <v>209</v>
      </c>
      <c r="R305" s="5" t="s">
        <v>189</v>
      </c>
      <c r="S305" s="0" t="s">
        <v>209</v>
      </c>
      <c r="T305" s="0" t="s">
        <v>189</v>
      </c>
      <c r="U305" s="5" t="s">
        <v>3896</v>
      </c>
      <c r="V305" s="0" t="s">
        <v>5444</v>
      </c>
      <c r="W305" s="0" t="s">
        <v>263</v>
      </c>
      <c r="X305" s="0" t="s">
        <v>3897</v>
      </c>
      <c r="Y305" s="0" t="str">
        <f aca="false">IF(FX305&lt;&gt;"Y","",COUNTIFS($FX$2:$FX$1000,"Y",$J$2:$J$1000,"&gt;"&amp;J305)+COUNTIFS($FX$2:$FX$1000,"Y",$J$2:$J$1000,J305,$GD$2:$GD$1000,"&lt;"&amp;GD305)+1)</f>
        <v/>
      </c>
      <c r="AA305" s="0" t="s">
        <v>189</v>
      </c>
      <c r="AB305" s="0" t="str">
        <f aca="false">IF($A305="","",IF(AW305="Y",BY305&amp;"",BK305&amp;""))</f>
        <v/>
      </c>
      <c r="AC305" s="0" t="str">
        <f aca="false">IF($A305="","",IF(AW305="Y",BS305&amp;"",BE305&amp;""))</f>
        <v/>
      </c>
      <c r="AD305" s="0" t="str">
        <f aca="false">IF($A305="","",IF(AW305="Y",BT305&amp;"",BF305&amp;""))</f>
        <v>none</v>
      </c>
      <c r="AE305" s="0" t="str">
        <f aca="false">IF($A305="","",IF(AW305="Y",BU305&amp;"",BG305&amp;""))</f>
        <v/>
      </c>
      <c r="AF305" s="0" t="str">
        <f aca="false">IF($A305="","",IF(AW305="Y",BV305&amp;"",BH305&amp;""))</f>
        <v/>
      </c>
      <c r="AG305" s="0" t="str">
        <f aca="false">IF($A305="","",IF(AW305="Y",BW305&amp;"",BI305&amp;""))</f>
        <v/>
      </c>
      <c r="AH305" s="0" t="str">
        <f aca="false">IF($A305="","",IF(AW305="Y",BX305&amp;"",BJ305&amp;""))</f>
        <v>none</v>
      </c>
      <c r="AI305" s="0" t="s">
        <v>5445</v>
      </c>
      <c r="AJ305" s="0" t="s">
        <v>5446</v>
      </c>
      <c r="AK305" s="0" t="s">
        <v>740</v>
      </c>
      <c r="AL305" s="0" t="s">
        <v>209</v>
      </c>
      <c r="AM305" s="0" t="s">
        <v>209</v>
      </c>
      <c r="AN305" s="0" t="s">
        <v>380</v>
      </c>
      <c r="AO305" s="0" t="s">
        <v>209</v>
      </c>
      <c r="AP305" s="0" t="s">
        <v>5447</v>
      </c>
      <c r="AQ305" s="5" t="s">
        <v>189</v>
      </c>
      <c r="AT305" s="0" t="str">
        <f aca="false">IF($A305="","",IF(AND(CN305="pass",AQ305&lt;&gt;"Y",C305&lt;&gt;"",OR(AX305&lt;&gt;"Y",AV305="Y")),"Y","N"))</f>
        <v>N</v>
      </c>
      <c r="AU305" s="0" t="str">
        <f aca="false">IF($A305="","",_xlfn.TEXTJOIN("; ",TRUE(),IF(CN305&lt;&gt;"pass","gated out",""),IF(AQ305="Y","on hold: "&amp;AR305,""),IF(C305="","no contact named on an opened page",""),IF(AND(AX305="Y",AV305&lt;&gt;"Y"),"Tuesday estimate band "&amp;L305&amp;": founder's call","")))</f>
        <v>gated out; no contact named on an opened page</v>
      </c>
      <c r="AX305" s="0" t="s">
        <v>189</v>
      </c>
      <c r="BC305" s="0" t="str">
        <f aca="false">IF($A305="","",IFERROR(INDEX(Enrichment!$A$2:$GZ$2000,MATCH($A305,INDEX(Enrichment!$A$2:$GZ$2000,0,MATCH("row_id",Enrichment!$A$1:$GZ$1,0)),0),MATCH("work_email",Enrichment!$A$1:$GZ$1,0))&amp;"",""))</f>
        <v/>
      </c>
      <c r="BD305" s="0" t="str">
        <f aca="false">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none</v>
      </c>
      <c r="BF305" s="0" t="s">
        <v>380</v>
      </c>
      <c r="BJ305" s="0" t="s">
        <v>380</v>
      </c>
      <c r="BL305" s="0" t="s">
        <v>896</v>
      </c>
      <c r="BQ305" s="0" t="str">
        <f aca="false">IF($A305="","",IFERROR(INDEX(Enrichment!$A$2:$GZ$2000,MATCH($A305,INDEX(Enrichment!$A$2:$GZ$2000,0,MATCH("row_id",Enrichment!$A$1:$GZ$1,0)),0),MATCH("backup_work_email",Enrichment!$A$1:$GZ$1,0))&amp;"",""))</f>
        <v/>
      </c>
      <c r="BR305" s="0" t="str">
        <f aca="false">IF($A305="","",IF(BQ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none</v>
      </c>
      <c r="BT305" s="0" t="s">
        <v>380</v>
      </c>
      <c r="BX305" s="0" t="s">
        <v>380</v>
      </c>
      <c r="BZ305" s="0" t="s">
        <v>388</v>
      </c>
      <c r="CA305" s="0" t="s">
        <v>5448</v>
      </c>
      <c r="CB305" s="0" t="s">
        <v>196</v>
      </c>
      <c r="CM305" s="0" t="s">
        <v>189</v>
      </c>
      <c r="CN305" s="0" t="s">
        <v>4627</v>
      </c>
      <c r="CO305" s="0" t="s">
        <v>5449</v>
      </c>
      <c r="CP305" s="0" t="s">
        <v>3121</v>
      </c>
      <c r="CQ305" s="0" t="s">
        <v>5450</v>
      </c>
      <c r="CR305" s="0" t="s">
        <v>5451</v>
      </c>
      <c r="CS305" s="0" t="s">
        <v>3118</v>
      </c>
      <c r="CT305" s="0" t="s">
        <v>209</v>
      </c>
      <c r="CV305" s="0" t="s">
        <v>209</v>
      </c>
      <c r="CW305" s="0" t="s">
        <v>209</v>
      </c>
      <c r="DA305" s="0" t="s">
        <v>209</v>
      </c>
      <c r="DB305" s="0" t="s">
        <v>3123</v>
      </c>
      <c r="DC305" s="0" t="s">
        <v>209</v>
      </c>
      <c r="DD305" s="0" t="s">
        <v>5452</v>
      </c>
      <c r="DF305" s="0" t="s">
        <v>1190</v>
      </c>
      <c r="DG305" s="0" t="n">
        <v>40.747741</v>
      </c>
      <c r="DH305" s="0" t="n">
        <v>-73.988094</v>
      </c>
      <c r="DI305" s="0" t="s">
        <v>189</v>
      </c>
      <c r="DJ305" s="0" t="n">
        <v>0.8</v>
      </c>
      <c r="DL305" s="0" t="s">
        <v>209</v>
      </c>
      <c r="DM305" s="0" t="s">
        <v>5444</v>
      </c>
      <c r="DN305" s="0" t="s">
        <v>263</v>
      </c>
      <c r="DO305" s="0" t="s">
        <v>3128</v>
      </c>
      <c r="DS305" s="0" t="s">
        <v>187</v>
      </c>
      <c r="DU305" s="0" t="s">
        <v>189</v>
      </c>
      <c r="DV305" s="0" t="s">
        <v>5450</v>
      </c>
      <c r="DW305" s="0" t="s">
        <v>209</v>
      </c>
      <c r="DX305" s="0" t="s">
        <v>209</v>
      </c>
      <c r="EA305" s="0" t="s">
        <v>209</v>
      </c>
      <c r="EB305" s="0" t="s">
        <v>189</v>
      </c>
      <c r="EC305" s="0" t="s">
        <v>209</v>
      </c>
      <c r="EF305" s="0" t="s">
        <v>209</v>
      </c>
      <c r="EH305" s="0" t="s">
        <v>189</v>
      </c>
      <c r="EI305" s="0" t="s">
        <v>3131</v>
      </c>
      <c r="EJ305" s="0" t="s">
        <v>221</v>
      </c>
      <c r="EK305" s="0" t="s">
        <v>209</v>
      </c>
      <c r="EL305" s="0" t="n">
        <v>23</v>
      </c>
      <c r="EM305" s="0" t="n">
        <v>7</v>
      </c>
      <c r="EN305" s="0" t="n">
        <v>8</v>
      </c>
      <c r="EO305" s="0" t="n">
        <v>6</v>
      </c>
      <c r="EP305" s="0" t="n">
        <v>2</v>
      </c>
      <c r="EQ305" s="0" t="n">
        <f aca="false">IF($A305="","",IF(AH305="exact",10,IF(AH305="adjacent",5,0)))</f>
        <v>0</v>
      </c>
      <c r="ER305" s="0" t="n">
        <f aca="false">IF($A305="","",IF(R305="Y",15,0))</f>
        <v>0</v>
      </c>
      <c r="ES305" s="0" t="s">
        <v>3121</v>
      </c>
      <c r="EX305" s="0" t="s">
        <v>5453</v>
      </c>
      <c r="FA305" s="0" t="s">
        <v>5454</v>
      </c>
      <c r="FS305" s="0" t="str">
        <f aca="false">IF($A305="","",IF(ISNUMBER(MATCH(U305,{"queued","contacted","replied","call_booked","call_done","yes_in_principle","materials_sent"},0)),"Y","N"))</f>
        <v>N</v>
      </c>
      <c r="FT305" s="0" t="str">
        <f aca="false">IF($A305="","",IF(OR(T305="Y",U305="do_not_contact",AS305&amp;""&lt;&gt;""),"Y","N"))</f>
        <v>N</v>
      </c>
      <c r="FU305" s="0" t="str">
        <f aca="false">IF($A305="","",IF(AP305&amp;""&lt;&gt;"",AP305&amp;"",$A305))</f>
        <v>grp-W012-W030-W031</v>
      </c>
      <c r="FV305" s="0" t="str">
        <f aca="false">IF($A305="","",IF(COUNTIFS($FU$2:$FU$1000,FU305,$FS$2:$FS$1000,"Y")+COUNTIFS($FU$2:$FU$1000,FU305,$FT$2:$FT$1000,"Y")&gt;0,"Y","N"))</f>
        <v>N</v>
      </c>
      <c r="FW305" s="0" t="str">
        <f aca="false">IF($A305="","",IF(AND(U305="new",T305="N",FT305="N",AT305="Y",FV305="N"),"Y","N"))</f>
        <v>N</v>
      </c>
      <c r="FX305" s="0" t="str">
        <f aca="false">IF($A305="","",IF(FW305&lt;&gt;"Y","N",IF(COUNTIFS($FU$2:$FU$1000,FU305,$FW$2:$FW$1000,"Y",$J$2:$J$1000,"&gt;"&amp;J305)+COUNTIFS($FU$2:$FU$1000,FU305,$FW$2:$FW$1000,"Y",$J$2:$J$1000,J305,$GD$2:$GD$1000,"&lt;"&amp;GD305)=0,"Y","N")))</f>
        <v>N</v>
      </c>
      <c r="FY305" s="0" t="str">
        <f aca="false">IF($A305="","",IF(AND(FW305="Y",FX305="Y",Y305&amp;""&lt;&gt;""),IF(Y305&lt;=10,"Y","N"),"N"))</f>
        <v>N</v>
      </c>
      <c r="FZ305" s="0" t="str">
        <f aca="false">IF(FY305="Y",Y305,"")</f>
        <v/>
      </c>
      <c r="GA305" s="0" t="str">
        <f aca="false">IF($A305="","",IF(AND(I305="walk-in",CN305="pass",U305="new",FT305="N",FV305="N",AQ305&lt;&gt;"Y"),"Y","N"))</f>
        <v>N</v>
      </c>
      <c r="GB305" s="0" t="str">
        <f aca="false">IF(GA305&lt;&gt;"Y","",IF(COUNTIFS($GA$2:$GA$1000,"Y",$J$2:$J$1000,"&gt;"&amp;J305)+COUNTIFS($GA$2:$GA$1000,"Y",$J$2:$J$1000,J305,$GD$2:$GD$1000,"&lt;"&amp;GD305)+1&lt;=25,COUNTIFS($GA$2:$GA$1000,"Y",$J$2:$J$1000,"&gt;"&amp;J305)+COUNTIFS($GA$2:$GA$1000,"Y",$J$2:$J$1000,J305,$GD$2:$GD$1000,"&lt;"&amp;GD305)+1,""))</f>
        <v/>
      </c>
      <c r="GC305" s="0" t="str">
        <f aca="false">IF(AND(_xlfn.ISFORMULA(C305),_xlfn.ISFORMULA(J305)),"Y","N")</f>
        <v>Y</v>
      </c>
      <c r="GD305" s="0" t="n">
        <f aca="false">ROW()-1</f>
        <v>304</v>
      </c>
    </row>
    <row r="306" customFormat="false" ht="15" hidden="false" customHeight="false" outlineLevel="0" collapsed="false">
      <c r="A306" s="0" t="s">
        <v>5455</v>
      </c>
      <c r="B306" s="0" t="s">
        <v>5456</v>
      </c>
      <c r="C306" s="0" t="str">
        <f aca="false">IF($A306="","",IF(AW306="Y",BM306&amp;"",AY306&amp;""))</f>
        <v/>
      </c>
      <c r="D306" s="0" t="str">
        <f aca="false">IF($A306="","",IF(AW306="Y",BN306&amp;"",AZ306&amp;""))</f>
        <v/>
      </c>
      <c r="E306" s="0" t="str">
        <f aca="false">IF($A306="","",IF(AW306="Y",BO306&amp;"",BA306&amp;""))</f>
        <v/>
      </c>
      <c r="F306" s="0" t="str">
        <f aca="false">IF($A306="","",IF(AW306="Y",BP306&amp;"",BB306&amp;""))</f>
        <v/>
      </c>
      <c r="G306" s="0" t="str">
        <f aca="false">IF($A306="","",IF(AW306="Y",BQ306&amp;"",BC306&amp;""))</f>
        <v/>
      </c>
      <c r="H306" s="0" t="str">
        <f aca="false">IF($A306="","",IF(AW306="Y",BR306&amp;"",BD306&amp;""))</f>
        <v>none</v>
      </c>
      <c r="I306" s="0" t="str">
        <f aca="false">IF($A306="","",IF(R306="Y","warm-intro",IF(H306="verified","email",IF(C306&lt;&gt;"","linkedin",CB306&amp;""))))</f>
        <v>linkedin</v>
      </c>
      <c r="J306" s="0" t="n">
        <f aca="false">IF($A306="","",IF(CN306="pass",ROUND(N(EM306)+N(EN306)+N(EO306)+N(EP306)+N(EQ306)+N(ER306),1),0))</f>
        <v>0</v>
      </c>
      <c r="K306" s="0" t="str">
        <f aca="false">IF($A306="","",IF(CN306&lt;&gt;"pass",CA306&amp;"",CA306&amp;"; "&amp;IF(AW306="Y",BZ306&amp;"",BL306&amp;"")&amp;IF(R306="Y","; known to the founder (+15)","")&amp;"."))</f>
        <v>Gated out: outside the cluster (0.8 blocks outside the line); operator control of the pantry not shown (pantry_control=unknown).</v>
      </c>
      <c r="L306" s="0" t="s">
        <v>209</v>
      </c>
      <c r="R306" s="5" t="s">
        <v>189</v>
      </c>
      <c r="S306" s="0" t="s">
        <v>209</v>
      </c>
      <c r="T306" s="0" t="s">
        <v>189</v>
      </c>
      <c r="U306" s="5" t="s">
        <v>3896</v>
      </c>
      <c r="V306" s="0" t="s">
        <v>5457</v>
      </c>
      <c r="W306" s="0" t="s">
        <v>263</v>
      </c>
      <c r="X306" s="0" t="s">
        <v>3897</v>
      </c>
      <c r="Y306" s="0" t="str">
        <f aca="false">IF(FX306&lt;&gt;"Y","",COUNTIFS($FX$2:$FX$1000,"Y",$J$2:$J$1000,"&gt;"&amp;J306)+COUNTIFS($FX$2:$FX$1000,"Y",$J$2:$J$1000,J306,$GD$2:$GD$1000,"&lt;"&amp;GD306)+1)</f>
        <v/>
      </c>
      <c r="AA306" s="0" t="s">
        <v>189</v>
      </c>
      <c r="AB306" s="0" t="str">
        <f aca="false">IF($A306="","",IF(AW306="Y",BY306&amp;"",BK306&amp;""))</f>
        <v/>
      </c>
      <c r="AC306" s="0" t="str">
        <f aca="false">IF($A306="","",IF(AW306="Y",BS306&amp;"",BE306&amp;""))</f>
        <v/>
      </c>
      <c r="AD306" s="0" t="str">
        <f aca="false">IF($A306="","",IF(AW306="Y",BT306&amp;"",BF306&amp;""))</f>
        <v>none</v>
      </c>
      <c r="AE306" s="0" t="str">
        <f aca="false">IF($A306="","",IF(AW306="Y",BU306&amp;"",BG306&amp;""))</f>
        <v/>
      </c>
      <c r="AF306" s="0" t="str">
        <f aca="false">IF($A306="","",IF(AW306="Y",BV306&amp;"",BH306&amp;""))</f>
        <v/>
      </c>
      <c r="AG306" s="0" t="str">
        <f aca="false">IF($A306="","",IF(AW306="Y",BW306&amp;"",BI306&amp;""))</f>
        <v/>
      </c>
      <c r="AH306" s="0" t="str">
        <f aca="false">IF($A306="","",IF(AW306="Y",BX306&amp;"",BJ306&amp;""))</f>
        <v>none</v>
      </c>
      <c r="AI306" s="0" t="s">
        <v>5458</v>
      </c>
      <c r="AJ306" s="0" t="s">
        <v>3665</v>
      </c>
      <c r="AK306" s="0" t="s">
        <v>740</v>
      </c>
      <c r="AL306" s="0" t="s">
        <v>209</v>
      </c>
      <c r="AM306" s="0" t="s">
        <v>209</v>
      </c>
      <c r="AN306" s="0" t="s">
        <v>380</v>
      </c>
      <c r="AO306" s="0" t="s">
        <v>209</v>
      </c>
      <c r="AP306" s="0" t="s">
        <v>5447</v>
      </c>
      <c r="AQ306" s="5" t="s">
        <v>189</v>
      </c>
      <c r="AT306" s="0" t="str">
        <f aca="false">IF($A306="","",IF(AND(CN306="pass",AQ306&lt;&gt;"Y",C306&lt;&gt;"",OR(AX306&lt;&gt;"Y",AV306="Y")),"Y","N"))</f>
        <v>N</v>
      </c>
      <c r="AU306" s="0" t="str">
        <f aca="false">IF($A306="","",_xlfn.TEXTJOIN("; ",TRUE(),IF(CN306&lt;&gt;"pass","gated out",""),IF(AQ306="Y","on hold: "&amp;AR306,""),IF(C306="","no contact named on an opened page",""),IF(AND(AX306="Y",AV306&lt;&gt;"Y"),"Tuesday estimate band "&amp;L306&amp;": founder's call","")))</f>
        <v>gated out; no contact named on an opened page</v>
      </c>
      <c r="AX306" s="0" t="s">
        <v>189</v>
      </c>
      <c r="BC306" s="0" t="str">
        <f aca="false">IF($A306="","",IFERROR(INDEX(Enrichment!$A$2:$GZ$2000,MATCH($A306,INDEX(Enrichment!$A$2:$GZ$2000,0,MATCH("row_id",Enrichment!$A$1:$GZ$1,0)),0),MATCH("work_email",Enrichment!$A$1:$GZ$1,0))&amp;"",""))</f>
        <v/>
      </c>
      <c r="BD306" s="0" t="str">
        <f aca="false">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none</v>
      </c>
      <c r="BF306" s="0" t="s">
        <v>380</v>
      </c>
      <c r="BJ306" s="0" t="s">
        <v>380</v>
      </c>
      <c r="BL306" s="0" t="s">
        <v>896</v>
      </c>
      <c r="BQ306" s="0" t="str">
        <f aca="false">IF($A306="","",IFERROR(INDEX(Enrichment!$A$2:$GZ$2000,MATCH($A306,INDEX(Enrichment!$A$2:$GZ$2000,0,MATCH("row_id",Enrichment!$A$1:$GZ$1,0)),0),MATCH("backup_work_email",Enrichment!$A$1:$GZ$1,0))&amp;"",""))</f>
        <v/>
      </c>
      <c r="BR306" s="0" t="str">
        <f aca="false">IF($A306="","",IF(BQ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none</v>
      </c>
      <c r="BT306" s="0" t="s">
        <v>380</v>
      </c>
      <c r="BX306" s="0" t="s">
        <v>380</v>
      </c>
      <c r="BZ306" s="0" t="s">
        <v>388</v>
      </c>
      <c r="CA306" s="0" t="s">
        <v>5448</v>
      </c>
      <c r="CB306" s="0" t="s">
        <v>196</v>
      </c>
      <c r="CM306" s="0" t="s">
        <v>189</v>
      </c>
      <c r="CN306" s="0" t="s">
        <v>4627</v>
      </c>
      <c r="CO306" s="0" t="s">
        <v>5449</v>
      </c>
      <c r="CP306" s="0" t="s">
        <v>3121</v>
      </c>
      <c r="CQ306" s="0" t="s">
        <v>5459</v>
      </c>
      <c r="CR306" s="0" t="s">
        <v>5451</v>
      </c>
      <c r="CS306" s="0" t="s">
        <v>3118</v>
      </c>
      <c r="CT306" s="0" t="s">
        <v>209</v>
      </c>
      <c r="CV306" s="0" t="s">
        <v>209</v>
      </c>
      <c r="CW306" s="0" t="s">
        <v>209</v>
      </c>
      <c r="DA306" s="0" t="s">
        <v>209</v>
      </c>
      <c r="DB306" s="0" t="s">
        <v>3123</v>
      </c>
      <c r="DC306" s="0" t="s">
        <v>209</v>
      </c>
      <c r="DD306" s="0" t="s">
        <v>5452</v>
      </c>
      <c r="DF306" s="0" t="s">
        <v>311</v>
      </c>
      <c r="DG306" s="0" t="n">
        <v>40.746229</v>
      </c>
      <c r="DH306" s="0" t="n">
        <v>-73.984472</v>
      </c>
      <c r="DI306" s="0" t="s">
        <v>189</v>
      </c>
      <c r="DJ306" s="0" t="n">
        <v>0.8</v>
      </c>
      <c r="DL306" s="0" t="s">
        <v>209</v>
      </c>
      <c r="DM306" s="0" t="s">
        <v>5457</v>
      </c>
      <c r="DN306" s="0" t="s">
        <v>263</v>
      </c>
      <c r="DO306" s="0" t="s">
        <v>3128</v>
      </c>
      <c r="DS306" s="0" t="s">
        <v>187</v>
      </c>
      <c r="DU306" s="0" t="s">
        <v>189</v>
      </c>
      <c r="DV306" s="0" t="s">
        <v>5459</v>
      </c>
      <c r="DW306" s="0" t="s">
        <v>209</v>
      </c>
      <c r="DX306" s="0" t="s">
        <v>209</v>
      </c>
      <c r="EA306" s="0" t="s">
        <v>209</v>
      </c>
      <c r="EB306" s="0" t="s">
        <v>189</v>
      </c>
      <c r="EC306" s="0" t="s">
        <v>209</v>
      </c>
      <c r="EF306" s="0" t="s">
        <v>209</v>
      </c>
      <c r="EH306" s="0" t="s">
        <v>189</v>
      </c>
      <c r="EI306" s="0" t="s">
        <v>3131</v>
      </c>
      <c r="EJ306" s="0" t="s">
        <v>221</v>
      </c>
      <c r="EK306" s="0" t="s">
        <v>209</v>
      </c>
      <c r="EL306" s="0" t="n">
        <v>23</v>
      </c>
      <c r="EM306" s="0" t="n">
        <v>7</v>
      </c>
      <c r="EN306" s="0" t="n">
        <v>8</v>
      </c>
      <c r="EO306" s="0" t="n">
        <v>6</v>
      </c>
      <c r="EP306" s="0" t="n">
        <v>2</v>
      </c>
      <c r="EQ306" s="0" t="n">
        <f aca="false">IF($A306="","",IF(AH306="exact",10,IF(AH306="adjacent",5,0)))</f>
        <v>0</v>
      </c>
      <c r="ER306" s="0" t="n">
        <f aca="false">IF($A306="","",IF(R306="Y",15,0))</f>
        <v>0</v>
      </c>
      <c r="ES306" s="0" t="s">
        <v>3121</v>
      </c>
      <c r="EX306" s="0" t="s">
        <v>5460</v>
      </c>
      <c r="FA306" s="0" t="s">
        <v>5461</v>
      </c>
      <c r="FS306" s="0" t="str">
        <f aca="false">IF($A306="","",IF(ISNUMBER(MATCH(U306,{"queued","contacted","replied","call_booked","call_done","yes_in_principle","materials_sent"},0)),"Y","N"))</f>
        <v>N</v>
      </c>
      <c r="FT306" s="0" t="str">
        <f aca="false">IF($A306="","",IF(OR(T306="Y",U306="do_not_contact",AS306&amp;""&lt;&gt;""),"Y","N"))</f>
        <v>N</v>
      </c>
      <c r="FU306" s="0" t="str">
        <f aca="false">IF($A306="","",IF(AP306&amp;""&lt;&gt;"",AP306&amp;"",$A306))</f>
        <v>grp-W012-W030-W031</v>
      </c>
      <c r="FV306" s="0" t="str">
        <f aca="false">IF($A306="","",IF(COUNTIFS($FU$2:$FU$1000,FU306,$FS$2:$FS$1000,"Y")+COUNTIFS($FU$2:$FU$1000,FU306,$FT$2:$FT$1000,"Y")&gt;0,"Y","N"))</f>
        <v>N</v>
      </c>
      <c r="FW306" s="0" t="str">
        <f aca="false">IF($A306="","",IF(AND(U306="new",T306="N",FT306="N",AT306="Y",FV306="N"),"Y","N"))</f>
        <v>N</v>
      </c>
      <c r="FX306" s="0" t="str">
        <f aca="false">IF($A306="","",IF(FW306&lt;&gt;"Y","N",IF(COUNTIFS($FU$2:$FU$1000,FU306,$FW$2:$FW$1000,"Y",$J$2:$J$1000,"&gt;"&amp;J306)+COUNTIFS($FU$2:$FU$1000,FU306,$FW$2:$FW$1000,"Y",$J$2:$J$1000,J306,$GD$2:$GD$1000,"&lt;"&amp;GD306)=0,"Y","N")))</f>
        <v>N</v>
      </c>
      <c r="FY306" s="0" t="str">
        <f aca="false">IF($A306="","",IF(AND(FW306="Y",FX306="Y",Y306&amp;""&lt;&gt;""),IF(Y306&lt;=10,"Y","N"),"N"))</f>
        <v>N</v>
      </c>
      <c r="FZ306" s="0" t="str">
        <f aca="false">IF(FY306="Y",Y306,"")</f>
        <v/>
      </c>
      <c r="GA306" s="0" t="str">
        <f aca="false">IF($A306="","",IF(AND(I306="walk-in",CN306="pass",U306="new",FT306="N",FV306="N",AQ306&lt;&gt;"Y"),"Y","N"))</f>
        <v>N</v>
      </c>
      <c r="GB306" s="0" t="str">
        <f aca="false">IF(GA306&lt;&gt;"Y","",IF(COUNTIFS($GA$2:$GA$1000,"Y",$J$2:$J$1000,"&gt;"&amp;J306)+COUNTIFS($GA$2:$GA$1000,"Y",$J$2:$J$1000,J306,$GD$2:$GD$1000,"&lt;"&amp;GD306)+1&lt;=25,COUNTIFS($GA$2:$GA$1000,"Y",$J$2:$J$1000,"&gt;"&amp;J306)+COUNTIFS($GA$2:$GA$1000,"Y",$J$2:$J$1000,J306,$GD$2:$GD$1000,"&lt;"&amp;GD306)+1,""))</f>
        <v/>
      </c>
      <c r="GC306" s="0" t="str">
        <f aca="false">IF(AND(_xlfn.ISFORMULA(C306),_xlfn.ISFORMULA(J306)),"Y","N")</f>
        <v>Y</v>
      </c>
      <c r="GD306" s="0" t="n">
        <f aca="false">ROW()-1</f>
        <v>305</v>
      </c>
    </row>
    <row r="307" customFormat="false" ht="15" hidden="false" customHeight="false" outlineLevel="0" collapsed="false">
      <c r="A307" s="0" t="s">
        <v>5462</v>
      </c>
      <c r="B307" s="0" t="s">
        <v>5463</v>
      </c>
      <c r="C307" s="0" t="str">
        <f aca="false">IF($A307="","",IF(AW307="Y",BM307&amp;"",AY307&amp;""))</f>
        <v/>
      </c>
      <c r="D307" s="0" t="str">
        <f aca="false">IF($A307="","",IF(AW307="Y",BN307&amp;"",AZ307&amp;""))</f>
        <v/>
      </c>
      <c r="E307" s="0" t="str">
        <f aca="false">IF($A307="","",IF(AW307="Y",BO307&amp;"",BA307&amp;""))</f>
        <v/>
      </c>
      <c r="F307" s="0" t="str">
        <f aca="false">IF($A307="","",IF(AW307="Y",BP307&amp;"",BB307&amp;""))</f>
        <v/>
      </c>
      <c r="G307" s="0" t="str">
        <f aca="false">IF($A307="","",IF(AW307="Y",BQ307&amp;"",BC307&amp;""))</f>
        <v/>
      </c>
      <c r="H307" s="0" t="str">
        <f aca="false">IF($A307="","",IF(AW307="Y",BR307&amp;"",BD307&amp;""))</f>
        <v>none</v>
      </c>
      <c r="I307" s="0" t="str">
        <f aca="false">IF($A307="","",IF(R307="Y","warm-intro",IF(H307="verified","email",IF(C307&lt;&gt;"","linkedin",CB307&amp;""))))</f>
        <v>linkedin</v>
      </c>
      <c r="J307" s="0" t="n">
        <f aca="false">IF($A307="","",IF(CN307="pass",ROUND(N(EM307)+N(EN307)+N(EO307)+N(EP307)+N(EQ307)+N(ER307),1),0))</f>
        <v>0</v>
      </c>
      <c r="K307" s="0" t="str">
        <f aca="false">IF($A307="","",IF(CN307&lt;&gt;"pass",CA307&amp;"",CA307&amp;"; "&amp;IF(AW307="Y",BZ307&amp;"",BL307&amp;"")&amp;IF(R307="Y","; known to the founder (+15)","")&amp;"."))</f>
        <v>Gated out: operator control of the pantry not shown (pantry_control=unknown).</v>
      </c>
      <c r="L307" s="0" t="s">
        <v>209</v>
      </c>
      <c r="R307" s="5" t="s">
        <v>189</v>
      </c>
      <c r="S307" s="0" t="s">
        <v>209</v>
      </c>
      <c r="T307" s="0" t="s">
        <v>189</v>
      </c>
      <c r="U307" s="5" t="s">
        <v>3896</v>
      </c>
      <c r="V307" s="0" t="s">
        <v>5464</v>
      </c>
      <c r="W307" s="0" t="s">
        <v>263</v>
      </c>
      <c r="X307" s="0" t="s">
        <v>3897</v>
      </c>
      <c r="Y307" s="0" t="str">
        <f aca="false">IF(FX307&lt;&gt;"Y","",COUNTIFS($FX$2:$FX$1000,"Y",$J$2:$J$1000,"&gt;"&amp;J307)+COUNTIFS($FX$2:$FX$1000,"Y",$J$2:$J$1000,J307,$GD$2:$GD$1000,"&lt;"&amp;GD307)+1)</f>
        <v/>
      </c>
      <c r="AA307" s="0" t="s">
        <v>189</v>
      </c>
      <c r="AB307" s="0" t="str">
        <f aca="false">IF($A307="","",IF(AW307="Y",BY307&amp;"",BK307&amp;""))</f>
        <v/>
      </c>
      <c r="AC307" s="0" t="str">
        <f aca="false">IF($A307="","",IF(AW307="Y",BS307&amp;"",BE307&amp;""))</f>
        <v/>
      </c>
      <c r="AD307" s="0" t="str">
        <f aca="false">IF($A307="","",IF(AW307="Y",BT307&amp;"",BF307&amp;""))</f>
        <v>none</v>
      </c>
      <c r="AE307" s="0" t="str">
        <f aca="false">IF($A307="","",IF(AW307="Y",BU307&amp;"",BG307&amp;""))</f>
        <v/>
      </c>
      <c r="AF307" s="0" t="str">
        <f aca="false">IF($A307="","",IF(AW307="Y",BV307&amp;"",BH307&amp;""))</f>
        <v/>
      </c>
      <c r="AG307" s="0" t="str">
        <f aca="false">IF($A307="","",IF(AW307="Y",BW307&amp;"",BI307&amp;""))</f>
        <v/>
      </c>
      <c r="AH307" s="0" t="str">
        <f aca="false">IF($A307="","",IF(AW307="Y",BX307&amp;"",BJ307&amp;""))</f>
        <v>none</v>
      </c>
      <c r="AI307" s="0" t="s">
        <v>5465</v>
      </c>
      <c r="AJ307" s="0" t="s">
        <v>5466</v>
      </c>
      <c r="AK307" s="0" t="s">
        <v>740</v>
      </c>
      <c r="AL307" s="0" t="s">
        <v>209</v>
      </c>
      <c r="AM307" s="0" t="s">
        <v>209</v>
      </c>
      <c r="AN307" s="0" t="s">
        <v>380</v>
      </c>
      <c r="AO307" s="0" t="s">
        <v>209</v>
      </c>
      <c r="AP307" s="0" t="s">
        <v>5447</v>
      </c>
      <c r="AQ307" s="5" t="s">
        <v>189</v>
      </c>
      <c r="AT307" s="0" t="str">
        <f aca="false">IF($A307="","",IF(AND(CN307="pass",AQ307&lt;&gt;"Y",C307&lt;&gt;"",OR(AX307&lt;&gt;"Y",AV307="Y")),"Y","N"))</f>
        <v>N</v>
      </c>
      <c r="AU307" s="0" t="str">
        <f aca="false">IF($A307="","",_xlfn.TEXTJOIN("; ",TRUE(),IF(CN307&lt;&gt;"pass","gated out",""),IF(AQ307="Y","on hold: "&amp;AR307,""),IF(C307="","no contact named on an opened page",""),IF(AND(AX307="Y",AV307&lt;&gt;"Y"),"Tuesday estimate band "&amp;L307&amp;": founder's call","")))</f>
        <v>gated out; no contact named on an opened page</v>
      </c>
      <c r="AX307" s="0" t="s">
        <v>189</v>
      </c>
      <c r="BC307" s="0" t="str">
        <f aca="false">IF($A307="","",IFERROR(INDEX(Enrichment!$A$2:$GZ$2000,MATCH($A307,INDEX(Enrichment!$A$2:$GZ$2000,0,MATCH("row_id",Enrichment!$A$1:$GZ$1,0)),0),MATCH("work_email",Enrichment!$A$1:$GZ$1,0))&amp;"",""))</f>
        <v/>
      </c>
      <c r="BD307" s="0" t="str">
        <f aca="false">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none</v>
      </c>
      <c r="BF307" s="0" t="s">
        <v>380</v>
      </c>
      <c r="BJ307" s="0" t="s">
        <v>380</v>
      </c>
      <c r="BL307" s="0" t="s">
        <v>896</v>
      </c>
      <c r="BQ307" s="0" t="str">
        <f aca="false">IF($A307="","",IFERROR(INDEX(Enrichment!$A$2:$GZ$2000,MATCH($A307,INDEX(Enrichment!$A$2:$GZ$2000,0,MATCH("row_id",Enrichment!$A$1:$GZ$1,0)),0),MATCH("backup_work_email",Enrichment!$A$1:$GZ$1,0))&amp;"",""))</f>
        <v/>
      </c>
      <c r="BR307" s="0" t="str">
        <f aca="false">IF($A307="","",IF(BQ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none</v>
      </c>
      <c r="BT307" s="0" t="s">
        <v>380</v>
      </c>
      <c r="BX307" s="0" t="s">
        <v>380</v>
      </c>
      <c r="BZ307" s="0" t="s">
        <v>388</v>
      </c>
      <c r="CA307" s="0" t="s">
        <v>5400</v>
      </c>
      <c r="CB307" s="0" t="s">
        <v>196</v>
      </c>
      <c r="CM307" s="0" t="s">
        <v>189</v>
      </c>
      <c r="CN307" s="0" t="s">
        <v>4627</v>
      </c>
      <c r="CO307" s="0" t="s">
        <v>5401</v>
      </c>
      <c r="CP307" s="0" t="s">
        <v>3121</v>
      </c>
      <c r="CQ307" s="0" t="s">
        <v>5467</v>
      </c>
      <c r="CR307" s="0" t="s">
        <v>5451</v>
      </c>
      <c r="CS307" s="0" t="s">
        <v>3118</v>
      </c>
      <c r="CT307" s="0" t="s">
        <v>209</v>
      </c>
      <c r="CV307" s="0" t="s">
        <v>209</v>
      </c>
      <c r="CW307" s="0" t="s">
        <v>209</v>
      </c>
      <c r="DA307" s="0" t="s">
        <v>209</v>
      </c>
      <c r="DB307" s="0" t="s">
        <v>3123</v>
      </c>
      <c r="DC307" s="0" t="s">
        <v>209</v>
      </c>
      <c r="DD307" s="0" t="s">
        <v>5452</v>
      </c>
      <c r="DF307" s="0" t="s">
        <v>525</v>
      </c>
      <c r="DG307" s="0" t="n">
        <v>40.742477</v>
      </c>
      <c r="DH307" s="0" t="n">
        <v>-73.986608</v>
      </c>
      <c r="DI307" s="0" t="s">
        <v>164</v>
      </c>
      <c r="DJ307" s="0" t="n">
        <v>0</v>
      </c>
      <c r="DK307" s="0" t="s">
        <v>1882</v>
      </c>
      <c r="DL307" s="0" t="s">
        <v>1883</v>
      </c>
      <c r="DM307" s="0" t="s">
        <v>5464</v>
      </c>
      <c r="DN307" s="0" t="s">
        <v>263</v>
      </c>
      <c r="DO307" s="0" t="s">
        <v>3128</v>
      </c>
      <c r="DS307" s="0" t="s">
        <v>187</v>
      </c>
      <c r="DU307" s="0" t="s">
        <v>189</v>
      </c>
      <c r="DV307" s="0" t="s">
        <v>5467</v>
      </c>
      <c r="DW307" s="0" t="s">
        <v>209</v>
      </c>
      <c r="DX307" s="0" t="s">
        <v>267</v>
      </c>
      <c r="DY307" s="0" t="s">
        <v>1888</v>
      </c>
      <c r="EA307" s="0" t="s">
        <v>209</v>
      </c>
      <c r="EB307" s="0" t="s">
        <v>189</v>
      </c>
      <c r="EC307" s="0" t="s">
        <v>209</v>
      </c>
      <c r="EF307" s="0" t="s">
        <v>209</v>
      </c>
      <c r="EH307" s="0" t="s">
        <v>189</v>
      </c>
      <c r="EI307" s="0" t="s">
        <v>3131</v>
      </c>
      <c r="EJ307" s="0" t="s">
        <v>221</v>
      </c>
      <c r="EK307" s="0" t="s">
        <v>209</v>
      </c>
      <c r="EL307" s="0" t="n">
        <v>23</v>
      </c>
      <c r="EM307" s="0" t="n">
        <v>7</v>
      </c>
      <c r="EN307" s="0" t="n">
        <v>8</v>
      </c>
      <c r="EO307" s="0" t="n">
        <v>6</v>
      </c>
      <c r="EP307" s="0" t="n">
        <v>2</v>
      </c>
      <c r="EQ307" s="0" t="n">
        <f aca="false">IF($A307="","",IF(AH307="exact",10,IF(AH307="adjacent",5,0)))</f>
        <v>0</v>
      </c>
      <c r="ER307" s="0" t="n">
        <f aca="false">IF($A307="","",IF(R307="Y",15,0))</f>
        <v>0</v>
      </c>
      <c r="ES307" s="0" t="s">
        <v>3121</v>
      </c>
      <c r="EX307" s="0" t="s">
        <v>5468</v>
      </c>
      <c r="FA307" s="0" t="s">
        <v>5469</v>
      </c>
      <c r="FS307" s="0" t="str">
        <f aca="false">IF($A307="","",IF(ISNUMBER(MATCH(U307,{"queued","contacted","replied","call_booked","call_done","yes_in_principle","materials_sent"},0)),"Y","N"))</f>
        <v>N</v>
      </c>
      <c r="FT307" s="0" t="str">
        <f aca="false">IF($A307="","",IF(OR(T307="Y",U307="do_not_contact",AS307&amp;""&lt;&gt;""),"Y","N"))</f>
        <v>N</v>
      </c>
      <c r="FU307" s="0" t="str">
        <f aca="false">IF($A307="","",IF(AP307&amp;""&lt;&gt;"",AP307&amp;"",$A307))</f>
        <v>grp-W012-W030-W031</v>
      </c>
      <c r="FV307" s="0" t="str">
        <f aca="false">IF($A307="","",IF(COUNTIFS($FU$2:$FU$1000,FU307,$FS$2:$FS$1000,"Y")+COUNTIFS($FU$2:$FU$1000,FU307,$FT$2:$FT$1000,"Y")&gt;0,"Y","N"))</f>
        <v>N</v>
      </c>
      <c r="FW307" s="0" t="str">
        <f aca="false">IF($A307="","",IF(AND(U307="new",T307="N",FT307="N",AT307="Y",FV307="N"),"Y","N"))</f>
        <v>N</v>
      </c>
      <c r="FX307" s="0" t="str">
        <f aca="false">IF($A307="","",IF(FW307&lt;&gt;"Y","N",IF(COUNTIFS($FU$2:$FU$1000,FU307,$FW$2:$FW$1000,"Y",$J$2:$J$1000,"&gt;"&amp;J307)+COUNTIFS($FU$2:$FU$1000,FU307,$FW$2:$FW$1000,"Y",$J$2:$J$1000,J307,$GD$2:$GD$1000,"&lt;"&amp;GD307)=0,"Y","N")))</f>
        <v>N</v>
      </c>
      <c r="FY307" s="0" t="str">
        <f aca="false">IF($A307="","",IF(AND(FW307="Y",FX307="Y",Y307&amp;""&lt;&gt;""),IF(Y307&lt;=10,"Y","N"),"N"))</f>
        <v>N</v>
      </c>
      <c r="FZ307" s="0" t="str">
        <f aca="false">IF(FY307="Y",Y307,"")</f>
        <v/>
      </c>
      <c r="GA307" s="0" t="str">
        <f aca="false">IF($A307="","",IF(AND(I307="walk-in",CN307="pass",U307="new",FT307="N",FV307="N",AQ307&lt;&gt;"Y"),"Y","N"))</f>
        <v>N</v>
      </c>
      <c r="GB307" s="0" t="str">
        <f aca="false">IF(GA307&lt;&gt;"Y","",IF(COUNTIFS($GA$2:$GA$1000,"Y",$J$2:$J$1000,"&gt;"&amp;J307)+COUNTIFS($GA$2:$GA$1000,"Y",$J$2:$J$1000,J307,$GD$2:$GD$1000,"&lt;"&amp;GD307)+1&lt;=25,COUNTIFS($GA$2:$GA$1000,"Y",$J$2:$J$1000,"&gt;"&amp;J307)+COUNTIFS($GA$2:$GA$1000,"Y",$J$2:$J$1000,J307,$GD$2:$GD$1000,"&lt;"&amp;GD307)+1,""))</f>
        <v/>
      </c>
      <c r="GC307" s="0" t="str">
        <f aca="false">IF(AND(_xlfn.ISFORMULA(C307),_xlfn.ISFORMULA(J307)),"Y","N")</f>
        <v>Y</v>
      </c>
      <c r="GD307" s="0" t="n">
        <f aca="false">ROW()-1</f>
        <v>306</v>
      </c>
    </row>
    <row r="308" customFormat="false" ht="15" hidden="false" customHeight="false" outlineLevel="0" collapsed="false">
      <c r="A308" s="0" t="s">
        <v>5470</v>
      </c>
      <c r="B308" s="0" t="s">
        <v>5471</v>
      </c>
      <c r="C308" s="0" t="str">
        <f aca="false">IF($A308="","",IF(AW308="Y",BM308&amp;"",AY308&amp;""))</f>
        <v/>
      </c>
      <c r="D308" s="0" t="str">
        <f aca="false">IF($A308="","",IF(AW308="Y",BN308&amp;"",AZ308&amp;""))</f>
        <v/>
      </c>
      <c r="E308" s="0" t="str">
        <f aca="false">IF($A308="","",IF(AW308="Y",BO308&amp;"",BA308&amp;""))</f>
        <v/>
      </c>
      <c r="F308" s="0" t="str">
        <f aca="false">IF($A308="","",IF(AW308="Y",BP308&amp;"",BB308&amp;""))</f>
        <v/>
      </c>
      <c r="G308" s="0" t="str">
        <f aca="false">IF($A308="","",IF(AW308="Y",BQ308&amp;"",BC308&amp;""))</f>
        <v/>
      </c>
      <c r="H308" s="0" t="str">
        <f aca="false">IF($A308="","",IF(AW308="Y",BR308&amp;"",BD308&amp;""))</f>
        <v>none</v>
      </c>
      <c r="I308" s="0" t="str">
        <f aca="false">IF($A308="","",IF(R308="Y","warm-intro",IF(H308="verified","email",IF(C308&lt;&gt;"","linkedin",CB308&amp;""))))</f>
        <v>linkedin</v>
      </c>
      <c r="J308" s="0" t="n">
        <f aca="false">IF($A308="","",IF(CN308="pass",ROUND(N(EM308)+N(EN308)+N(EO308)+N(EP308)+N(EQ308)+N(ER308),1),0))</f>
        <v>0</v>
      </c>
      <c r="K308" s="0" t="str">
        <f aca="false">IF($A308="","",IF(CN308&lt;&gt;"pass",CA308&amp;"",CA308&amp;"; "&amp;IF(AW308="Y",BZ308&amp;"",BL308&amp;"")&amp;IF(R308="Y","; known to the founder (+15)","")&amp;"."))</f>
        <v>Gated out: operator control of the pantry not shown (pantry_control=unknown).</v>
      </c>
      <c r="L308" s="0" t="s">
        <v>209</v>
      </c>
      <c r="R308" s="5" t="s">
        <v>189</v>
      </c>
      <c r="S308" s="0" t="s">
        <v>209</v>
      </c>
      <c r="T308" s="0" t="s">
        <v>189</v>
      </c>
      <c r="U308" s="5" t="s">
        <v>3896</v>
      </c>
      <c r="V308" s="0" t="s">
        <v>5472</v>
      </c>
      <c r="W308" s="0" t="s">
        <v>263</v>
      </c>
      <c r="X308" s="0" t="s">
        <v>3897</v>
      </c>
      <c r="Y308" s="0" t="str">
        <f aca="false">IF(FX308&lt;&gt;"Y","",COUNTIFS($FX$2:$FX$1000,"Y",$J$2:$J$1000,"&gt;"&amp;J308)+COUNTIFS($FX$2:$FX$1000,"Y",$J$2:$J$1000,J308,$GD$2:$GD$1000,"&lt;"&amp;GD308)+1)</f>
        <v/>
      </c>
      <c r="AA308" s="0" t="s">
        <v>189</v>
      </c>
      <c r="AB308" s="0" t="str">
        <f aca="false">IF($A308="","",IF(AW308="Y",BY308&amp;"",BK308&amp;""))</f>
        <v/>
      </c>
      <c r="AC308" s="0" t="str">
        <f aca="false">IF($A308="","",IF(AW308="Y",BS308&amp;"",BE308&amp;""))</f>
        <v/>
      </c>
      <c r="AD308" s="0" t="str">
        <f aca="false">IF($A308="","",IF(AW308="Y",BT308&amp;"",BF308&amp;""))</f>
        <v>none</v>
      </c>
      <c r="AE308" s="0" t="str">
        <f aca="false">IF($A308="","",IF(AW308="Y",BU308&amp;"",BG308&amp;""))</f>
        <v/>
      </c>
      <c r="AF308" s="0" t="str">
        <f aca="false">IF($A308="","",IF(AW308="Y",BV308&amp;"",BH308&amp;""))</f>
        <v/>
      </c>
      <c r="AG308" s="0" t="str">
        <f aca="false">IF($A308="","",IF(AW308="Y",BW308&amp;"",BI308&amp;""))</f>
        <v/>
      </c>
      <c r="AH308" s="0" t="str">
        <f aca="false">IF($A308="","",IF(AW308="Y",BX308&amp;"",BJ308&amp;""))</f>
        <v>none</v>
      </c>
      <c r="AI308" s="0" t="s">
        <v>5473</v>
      </c>
      <c r="AJ308" s="0" t="s">
        <v>5474</v>
      </c>
      <c r="AK308" s="0" t="s">
        <v>740</v>
      </c>
      <c r="AL308" s="0" t="s">
        <v>209</v>
      </c>
      <c r="AM308" s="0" t="s">
        <v>209</v>
      </c>
      <c r="AN308" s="0" t="s">
        <v>380</v>
      </c>
      <c r="AO308" s="0" t="s">
        <v>209</v>
      </c>
      <c r="AP308" s="0" t="s">
        <v>5470</v>
      </c>
      <c r="AQ308" s="5" t="s">
        <v>189</v>
      </c>
      <c r="AT308" s="0" t="str">
        <f aca="false">IF($A308="","",IF(AND(CN308="pass",AQ308&lt;&gt;"Y",C308&lt;&gt;"",OR(AX308&lt;&gt;"Y",AV308="Y")),"Y","N"))</f>
        <v>N</v>
      </c>
      <c r="AU308" s="0" t="str">
        <f aca="false">IF($A308="","",_xlfn.TEXTJOIN("; ",TRUE(),IF(CN308&lt;&gt;"pass","gated out",""),IF(AQ308="Y","on hold: "&amp;AR308,""),IF(C308="","no contact named on an opened page",""),IF(AND(AX308="Y",AV308&lt;&gt;"Y"),"Tuesday estimate band "&amp;L308&amp;": founder's call","")))</f>
        <v>gated out; no contact named on an opened page</v>
      </c>
      <c r="AX308" s="0" t="s">
        <v>189</v>
      </c>
      <c r="BC308" s="0" t="str">
        <f aca="false">IF($A308="","",IFERROR(INDEX(Enrichment!$A$2:$GZ$2000,MATCH($A308,INDEX(Enrichment!$A$2:$GZ$2000,0,MATCH("row_id",Enrichment!$A$1:$GZ$1,0)),0),MATCH("work_email",Enrichment!$A$1:$GZ$1,0))&amp;"",""))</f>
        <v/>
      </c>
      <c r="BD308" s="0" t="str">
        <f aca="false">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none</v>
      </c>
      <c r="BF308" s="0" t="s">
        <v>380</v>
      </c>
      <c r="BJ308" s="0" t="s">
        <v>380</v>
      </c>
      <c r="BL308" s="0" t="s">
        <v>896</v>
      </c>
      <c r="BQ308" s="0" t="str">
        <f aca="false">IF($A308="","",IFERROR(INDEX(Enrichment!$A$2:$GZ$2000,MATCH($A308,INDEX(Enrichment!$A$2:$GZ$2000,0,MATCH("row_id",Enrichment!$A$1:$GZ$1,0)),0),MATCH("backup_work_email",Enrichment!$A$1:$GZ$1,0))&amp;"",""))</f>
        <v/>
      </c>
      <c r="BR308" s="0" t="str">
        <f aca="false">IF($A308="","",IF(BQ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none</v>
      </c>
      <c r="BT308" s="0" t="s">
        <v>380</v>
      </c>
      <c r="BX308" s="0" t="s">
        <v>380</v>
      </c>
      <c r="BZ308" s="0" t="s">
        <v>388</v>
      </c>
      <c r="CA308" s="0" t="s">
        <v>5400</v>
      </c>
      <c r="CB308" s="0" t="s">
        <v>196</v>
      </c>
      <c r="CM308" s="0" t="s">
        <v>189</v>
      </c>
      <c r="CN308" s="0" t="s">
        <v>4627</v>
      </c>
      <c r="CO308" s="0" t="s">
        <v>5401</v>
      </c>
      <c r="CP308" s="0" t="s">
        <v>3121</v>
      </c>
      <c r="CQ308" s="0" t="s">
        <v>5475</v>
      </c>
      <c r="CR308" s="0" t="s">
        <v>5451</v>
      </c>
      <c r="CS308" s="0" t="s">
        <v>3118</v>
      </c>
      <c r="CT308" s="0" t="s">
        <v>209</v>
      </c>
      <c r="CV308" s="0" t="s">
        <v>209</v>
      </c>
      <c r="CW308" s="0" t="s">
        <v>209</v>
      </c>
      <c r="DA308" s="0" t="s">
        <v>209</v>
      </c>
      <c r="DB308" s="0" t="s">
        <v>3123</v>
      </c>
      <c r="DC308" s="0" t="s">
        <v>209</v>
      </c>
      <c r="DD308" s="0" t="s">
        <v>5476</v>
      </c>
      <c r="DF308" s="0" t="s">
        <v>311</v>
      </c>
      <c r="DG308" s="0" t="n">
        <v>40.743042</v>
      </c>
      <c r="DH308" s="0" t="n">
        <v>-73.984024</v>
      </c>
      <c r="DI308" s="0" t="s">
        <v>164</v>
      </c>
      <c r="DJ308" s="0" t="n">
        <v>0</v>
      </c>
      <c r="DL308" s="0" t="s">
        <v>209</v>
      </c>
      <c r="DM308" s="0" t="s">
        <v>5472</v>
      </c>
      <c r="DN308" s="0" t="s">
        <v>263</v>
      </c>
      <c r="DO308" s="0" t="s">
        <v>3128</v>
      </c>
      <c r="DS308" s="0" t="s">
        <v>187</v>
      </c>
      <c r="DU308" s="0" t="s">
        <v>189</v>
      </c>
      <c r="DV308" s="0" t="s">
        <v>5475</v>
      </c>
      <c r="DW308" s="0" t="s">
        <v>209</v>
      </c>
      <c r="DX308" s="0" t="s">
        <v>209</v>
      </c>
      <c r="EA308" s="0" t="s">
        <v>209</v>
      </c>
      <c r="EB308" s="0" t="s">
        <v>189</v>
      </c>
      <c r="EC308" s="0" t="s">
        <v>209</v>
      </c>
      <c r="EF308" s="0" t="s">
        <v>209</v>
      </c>
      <c r="EH308" s="0" t="s">
        <v>189</v>
      </c>
      <c r="EI308" s="0" t="s">
        <v>3131</v>
      </c>
      <c r="EJ308" s="0" t="s">
        <v>221</v>
      </c>
      <c r="EK308" s="0" t="s">
        <v>209</v>
      </c>
      <c r="EL308" s="0" t="n">
        <v>23</v>
      </c>
      <c r="EM308" s="0" t="n">
        <v>7</v>
      </c>
      <c r="EN308" s="0" t="n">
        <v>8</v>
      </c>
      <c r="EO308" s="0" t="n">
        <v>6</v>
      </c>
      <c r="EP308" s="0" t="n">
        <v>2</v>
      </c>
      <c r="EQ308" s="0" t="n">
        <f aca="false">IF($A308="","",IF(AH308="exact",10,IF(AH308="adjacent",5,0)))</f>
        <v>0</v>
      </c>
      <c r="ER308" s="0" t="n">
        <f aca="false">IF($A308="","",IF(R308="Y",15,0))</f>
        <v>0</v>
      </c>
      <c r="ES308" s="0" t="s">
        <v>3121</v>
      </c>
      <c r="EX308" s="0" t="s">
        <v>5477</v>
      </c>
      <c r="FS308" s="0" t="str">
        <f aca="false">IF($A308="","",IF(ISNUMBER(MATCH(U308,{"queued","contacted","replied","call_booked","call_done","yes_in_principle","materials_sent"},0)),"Y","N"))</f>
        <v>N</v>
      </c>
      <c r="FT308" s="0" t="str">
        <f aca="false">IF($A308="","",IF(OR(T308="Y",U308="do_not_contact",AS308&amp;""&lt;&gt;""),"Y","N"))</f>
        <v>N</v>
      </c>
      <c r="FU308" s="0" t="str">
        <f aca="false">IF($A308="","",IF(AP308&amp;""&lt;&gt;"",AP308&amp;"",$A308))</f>
        <v>AO-W-019</v>
      </c>
      <c r="FV308" s="0" t="str">
        <f aca="false">IF($A308="","",IF(COUNTIFS($FU$2:$FU$1000,FU308,$FS$2:$FS$1000,"Y")+COUNTIFS($FU$2:$FU$1000,FU308,$FT$2:$FT$1000,"Y")&gt;0,"Y","N"))</f>
        <v>N</v>
      </c>
      <c r="FW308" s="0" t="str">
        <f aca="false">IF($A308="","",IF(AND(U308="new",T308="N",FT308="N",AT308="Y",FV308="N"),"Y","N"))</f>
        <v>N</v>
      </c>
      <c r="FX308" s="0" t="str">
        <f aca="false">IF($A308="","",IF(FW308&lt;&gt;"Y","N",IF(COUNTIFS($FU$2:$FU$1000,FU308,$FW$2:$FW$1000,"Y",$J$2:$J$1000,"&gt;"&amp;J308)+COUNTIFS($FU$2:$FU$1000,FU308,$FW$2:$FW$1000,"Y",$J$2:$J$1000,J308,$GD$2:$GD$1000,"&lt;"&amp;GD308)=0,"Y","N")))</f>
        <v>N</v>
      </c>
      <c r="FY308" s="0" t="str">
        <f aca="false">IF($A308="","",IF(AND(FW308="Y",FX308="Y",Y308&amp;""&lt;&gt;""),IF(Y308&lt;=10,"Y","N"),"N"))</f>
        <v>N</v>
      </c>
      <c r="FZ308" s="0" t="str">
        <f aca="false">IF(FY308="Y",Y308,"")</f>
        <v/>
      </c>
      <c r="GA308" s="0" t="str">
        <f aca="false">IF($A308="","",IF(AND(I308="walk-in",CN308="pass",U308="new",FT308="N",FV308="N",AQ308&lt;&gt;"Y"),"Y","N"))</f>
        <v>N</v>
      </c>
      <c r="GB308" s="0" t="str">
        <f aca="false">IF(GA308&lt;&gt;"Y","",IF(COUNTIFS($GA$2:$GA$1000,"Y",$J$2:$J$1000,"&gt;"&amp;J308)+COUNTIFS($GA$2:$GA$1000,"Y",$J$2:$J$1000,J308,$GD$2:$GD$1000,"&lt;"&amp;GD308)+1&lt;=25,COUNTIFS($GA$2:$GA$1000,"Y",$J$2:$J$1000,"&gt;"&amp;J308)+COUNTIFS($GA$2:$GA$1000,"Y",$J$2:$J$1000,J308,$GD$2:$GD$1000,"&lt;"&amp;GD308)+1,""))</f>
        <v/>
      </c>
      <c r="GC308" s="0" t="str">
        <f aca="false">IF(AND(_xlfn.ISFORMULA(C308),_xlfn.ISFORMULA(J308)),"Y","N")</f>
        <v>Y</v>
      </c>
      <c r="GD308" s="0" t="n">
        <f aca="false">ROW()-1</f>
        <v>307</v>
      </c>
    </row>
    <row r="309" customFormat="false" ht="15" hidden="false" customHeight="false" outlineLevel="0" collapsed="false">
      <c r="A309" s="0" t="s">
        <v>5478</v>
      </c>
      <c r="B309" s="0" t="s">
        <v>5479</v>
      </c>
      <c r="C309" s="0" t="str">
        <f aca="false">IF($A309="","",IF(AW309="Y",BM309&amp;"",AY309&amp;""))</f>
        <v/>
      </c>
      <c r="D309" s="0" t="str">
        <f aca="false">IF($A309="","",IF(AW309="Y",BN309&amp;"",AZ309&amp;""))</f>
        <v/>
      </c>
      <c r="E309" s="0" t="str">
        <f aca="false">IF($A309="","",IF(AW309="Y",BO309&amp;"",BA309&amp;""))</f>
        <v/>
      </c>
      <c r="F309" s="0" t="str">
        <f aca="false">IF($A309="","",IF(AW309="Y",BP309&amp;"",BB309&amp;""))</f>
        <v/>
      </c>
      <c r="G309" s="0" t="str">
        <f aca="false">IF($A309="","",IF(AW309="Y",BQ309&amp;"",BC309&amp;""))</f>
        <v/>
      </c>
      <c r="H309" s="0" t="str">
        <f aca="false">IF($A309="","",IF(AW309="Y",BR309&amp;"",BD309&amp;""))</f>
        <v>none</v>
      </c>
      <c r="I309" s="0" t="str">
        <f aca="false">IF($A309="","",IF(R309="Y","warm-intro",IF(H309="verified","email",IF(C309&lt;&gt;"","linkedin",CB309&amp;""))))</f>
        <v>linkedin</v>
      </c>
      <c r="J309" s="0" t="n">
        <f aca="false">IF($A309="","",IF(CN309="pass",ROUND(N(EM309)+N(EN309)+N(EO309)+N(EP309)+N(EQ309)+N(ER309),1),0))</f>
        <v>0</v>
      </c>
      <c r="K309" s="0" t="str">
        <f aca="false">IF($A309="","",IF(CN309&lt;&gt;"pass",CA309&amp;"",CA309&amp;"; "&amp;IF(AW309="Y",BZ309&amp;"",BL309&amp;"")&amp;IF(R309="Y","; known to the founder (+15)","")&amp;"."))</f>
        <v>Gated out: operator control of the pantry not shown (pantry_control=unknown); site possibly closed (B status).</v>
      </c>
      <c r="L309" s="0" t="s">
        <v>209</v>
      </c>
      <c r="R309" s="5" t="s">
        <v>189</v>
      </c>
      <c r="S309" s="0" t="s">
        <v>209</v>
      </c>
      <c r="T309" s="0" t="s">
        <v>189</v>
      </c>
      <c r="U309" s="5" t="s">
        <v>3896</v>
      </c>
      <c r="V309" s="0" t="s">
        <v>4742</v>
      </c>
      <c r="W309" s="0" t="s">
        <v>172</v>
      </c>
      <c r="X309" s="0" t="s">
        <v>3897</v>
      </c>
      <c r="Y309" s="0" t="str">
        <f aca="false">IF(FX309&lt;&gt;"Y","",COUNTIFS($FX$2:$FX$1000,"Y",$J$2:$J$1000,"&gt;"&amp;J309)+COUNTIFS($FX$2:$FX$1000,"Y",$J$2:$J$1000,J309,$GD$2:$GD$1000,"&lt;"&amp;GD309)+1)</f>
        <v/>
      </c>
      <c r="AA309" s="0" t="s">
        <v>189</v>
      </c>
      <c r="AB309" s="0" t="str">
        <f aca="false">IF($A309="","",IF(AW309="Y",BY309&amp;"",BK309&amp;""))</f>
        <v/>
      </c>
      <c r="AC309" s="0" t="str">
        <f aca="false">IF($A309="","",IF(AW309="Y",BS309&amp;"",BE309&amp;""))</f>
        <v/>
      </c>
      <c r="AD309" s="0" t="str">
        <f aca="false">IF($A309="","",IF(AW309="Y",BT309&amp;"",BF309&amp;""))</f>
        <v>none</v>
      </c>
      <c r="AE309" s="0" t="str">
        <f aca="false">IF($A309="","",IF(AW309="Y",BU309&amp;"",BG309&amp;""))</f>
        <v/>
      </c>
      <c r="AF309" s="0" t="str">
        <f aca="false">IF($A309="","",IF(AW309="Y",BV309&amp;"",BH309&amp;""))</f>
        <v/>
      </c>
      <c r="AG309" s="0" t="str">
        <f aca="false">IF($A309="","",IF(AW309="Y",BW309&amp;"",BI309&amp;""))</f>
        <v/>
      </c>
      <c r="AH309" s="0" t="str">
        <f aca="false">IF($A309="","",IF(AW309="Y",BX309&amp;"",BJ309&amp;""))</f>
        <v>none</v>
      </c>
      <c r="AI309" s="0" t="s">
        <v>5480</v>
      </c>
      <c r="AJ309" s="0" t="s">
        <v>5481</v>
      </c>
      <c r="AK309" s="0" t="s">
        <v>5482</v>
      </c>
      <c r="AL309" s="0" t="s">
        <v>209</v>
      </c>
      <c r="AM309" s="0" t="s">
        <v>209</v>
      </c>
      <c r="AN309" s="0" t="s">
        <v>380</v>
      </c>
      <c r="AO309" s="0" t="s">
        <v>209</v>
      </c>
      <c r="AP309" s="0" t="s">
        <v>3832</v>
      </c>
      <c r="AQ309" s="5" t="s">
        <v>164</v>
      </c>
      <c r="AR309" s="0" t="s">
        <v>5483</v>
      </c>
      <c r="AT309" s="0" t="str">
        <f aca="false">IF($A309="","",IF(AND(CN309="pass",AQ309&lt;&gt;"Y",C309&lt;&gt;"",OR(AX309&lt;&gt;"Y",AV309="Y")),"Y","N"))</f>
        <v>N</v>
      </c>
      <c r="AU309" s="0" t="str">
        <f aca="false">IF($A309="","",_xlfn.TEXTJOIN("; ",TRUE(),IF(CN309&lt;&gt;"pass","gated out",""),IF(AQ309="Y","on hold: "&amp;AR309,""),IF(C309="","no contact named on an opened page",""),IF(AND(AX309="Y",AV309&lt;&gt;"Y"),"Tuesday estimate band "&amp;L309&amp;": founder's call","")))</f>
        <v>gated out; on hold: address conflict in B's sources: check the lobby directory before outreach (B); site possibly closed: walk by first (B); no contact named on an opened page</v>
      </c>
      <c r="AX309" s="0" t="s">
        <v>189</v>
      </c>
      <c r="BC309" s="0" t="str">
        <f aca="false">IF($A309="","",IFERROR(INDEX(Enrichment!$A$2:$GZ$2000,MATCH($A309,INDEX(Enrichment!$A$2:$GZ$2000,0,MATCH("row_id",Enrichment!$A$1:$GZ$1,0)),0),MATCH("work_email",Enrichment!$A$1:$GZ$1,0))&amp;"",""))</f>
        <v/>
      </c>
      <c r="BD309" s="0" t="str">
        <f aca="false">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none</v>
      </c>
      <c r="BF309" s="0" t="s">
        <v>380</v>
      </c>
      <c r="BJ309" s="0" t="s">
        <v>380</v>
      </c>
      <c r="BL309" s="0" t="s">
        <v>896</v>
      </c>
      <c r="BQ309" s="0" t="str">
        <f aca="false">IF($A309="","",IFERROR(INDEX(Enrichment!$A$2:$GZ$2000,MATCH($A309,INDEX(Enrichment!$A$2:$GZ$2000,0,MATCH("row_id",Enrichment!$A$1:$GZ$1,0)),0),MATCH("backup_work_email",Enrichment!$A$1:$GZ$1,0))&amp;"",""))</f>
        <v/>
      </c>
      <c r="BR309" s="0" t="str">
        <f aca="false">IF($A309="","",IF(BQ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none</v>
      </c>
      <c r="BT309" s="0" t="s">
        <v>380</v>
      </c>
      <c r="BX309" s="0" t="s">
        <v>380</v>
      </c>
      <c r="BZ309" s="0" t="s">
        <v>388</v>
      </c>
      <c r="CA309" s="0" t="s">
        <v>5484</v>
      </c>
      <c r="CB309" s="0" t="s">
        <v>196</v>
      </c>
      <c r="CM309" s="0" t="s">
        <v>189</v>
      </c>
      <c r="CN309" s="0" t="s">
        <v>4627</v>
      </c>
      <c r="CO309" s="0" t="s">
        <v>5485</v>
      </c>
      <c r="CP309" s="0" t="s">
        <v>3121</v>
      </c>
      <c r="CQ309" s="0" t="s">
        <v>4743</v>
      </c>
      <c r="CR309" s="0" t="s">
        <v>3828</v>
      </c>
      <c r="CS309" s="0" t="s">
        <v>3118</v>
      </c>
      <c r="CT309" s="0" t="s">
        <v>209</v>
      </c>
      <c r="CV309" s="0" t="s">
        <v>209</v>
      </c>
      <c r="CW309" s="0" t="s">
        <v>209</v>
      </c>
      <c r="DA309" s="0" t="s">
        <v>209</v>
      </c>
      <c r="DB309" s="0" t="s">
        <v>3123</v>
      </c>
      <c r="DC309" s="0" t="s">
        <v>209</v>
      </c>
      <c r="DD309" s="0" t="s">
        <v>3834</v>
      </c>
      <c r="DF309" s="0" t="s">
        <v>311</v>
      </c>
      <c r="DG309" s="0" t="n">
        <v>40.744057</v>
      </c>
      <c r="DH309" s="0" t="n">
        <v>-73.985252</v>
      </c>
      <c r="DI309" s="0" t="s">
        <v>164</v>
      </c>
      <c r="DJ309" s="0" t="n">
        <v>0</v>
      </c>
      <c r="DK309" s="0" t="s">
        <v>4740</v>
      </c>
      <c r="DL309" s="0" t="s">
        <v>4741</v>
      </c>
      <c r="DM309" s="0" t="s">
        <v>4742</v>
      </c>
      <c r="DN309" s="0" t="s">
        <v>172</v>
      </c>
      <c r="DO309" s="0" t="s">
        <v>443</v>
      </c>
      <c r="DP309" s="0" t="s">
        <v>4731</v>
      </c>
      <c r="DS309" s="0" t="s">
        <v>187</v>
      </c>
      <c r="DU309" s="0" t="s">
        <v>189</v>
      </c>
      <c r="DV309" s="0" t="s">
        <v>4743</v>
      </c>
      <c r="DW309" s="0" t="s">
        <v>209</v>
      </c>
      <c r="DX309" s="0" t="s">
        <v>209</v>
      </c>
      <c r="EA309" s="0" t="s">
        <v>209</v>
      </c>
      <c r="EB309" s="0" t="s">
        <v>189</v>
      </c>
      <c r="EC309" s="0" t="s">
        <v>209</v>
      </c>
      <c r="EF309" s="0" t="s">
        <v>209</v>
      </c>
      <c r="EH309" s="0" t="s">
        <v>189</v>
      </c>
      <c r="EI309" s="0" t="s">
        <v>3131</v>
      </c>
      <c r="EJ309" s="0" t="s">
        <v>221</v>
      </c>
      <c r="EK309" s="0" t="s">
        <v>209</v>
      </c>
      <c r="EL309" s="0" t="n">
        <v>21</v>
      </c>
      <c r="EM309" s="0" t="n">
        <v>7</v>
      </c>
      <c r="EN309" s="0" t="n">
        <v>8</v>
      </c>
      <c r="EO309" s="0" t="n">
        <v>6</v>
      </c>
      <c r="EP309" s="0" t="n">
        <v>0</v>
      </c>
      <c r="EQ309" s="0" t="n">
        <f aca="false">IF($A309="","",IF(AH309="exact",10,IF(AH309="adjacent",5,0)))</f>
        <v>0</v>
      </c>
      <c r="ER309" s="0" t="n">
        <f aca="false">IF($A309="","",IF(R309="Y",15,0))</f>
        <v>0</v>
      </c>
      <c r="ES309" s="0" t="s">
        <v>3121</v>
      </c>
      <c r="EX309" s="0" t="s">
        <v>5486</v>
      </c>
      <c r="FA309" s="0" t="s">
        <v>5487</v>
      </c>
      <c r="FS309" s="0" t="str">
        <f aca="false">IF($A309="","",IF(ISNUMBER(MATCH(U309,{"queued","contacted","replied","call_booked","call_done","yes_in_principle","materials_sent"},0)),"Y","N"))</f>
        <v>N</v>
      </c>
      <c r="FT309" s="0" t="str">
        <f aca="false">IF($A309="","",IF(OR(T309="Y",U309="do_not_contact",AS309&amp;""&lt;&gt;""),"Y","N"))</f>
        <v>N</v>
      </c>
      <c r="FU309" s="0" t="str">
        <f aca="false">IF($A309="","",IF(AP309&amp;""&lt;&gt;"",AP309&amp;"",$A309))</f>
        <v>grp-W004-W018-W020-W024-W026-W029</v>
      </c>
      <c r="FV309" s="0" t="str">
        <f aca="false">IF($A309="","",IF(COUNTIFS($FU$2:$FU$1000,FU309,$FS$2:$FS$1000,"Y")+COUNTIFS($FU$2:$FU$1000,FU309,$FT$2:$FT$1000,"Y")&gt;0,"Y","N"))</f>
        <v>N</v>
      </c>
      <c r="FW309" s="0" t="str">
        <f aca="false">IF($A309="","",IF(AND(U309="new",T309="N",FT309="N",AT309="Y",FV309="N"),"Y","N"))</f>
        <v>N</v>
      </c>
      <c r="FX309" s="0" t="str">
        <f aca="false">IF($A309="","",IF(FW309&lt;&gt;"Y","N",IF(COUNTIFS($FU$2:$FU$1000,FU309,$FW$2:$FW$1000,"Y",$J$2:$J$1000,"&gt;"&amp;J309)+COUNTIFS($FU$2:$FU$1000,FU309,$FW$2:$FW$1000,"Y",$J$2:$J$1000,J309,$GD$2:$GD$1000,"&lt;"&amp;GD309)=0,"Y","N")))</f>
        <v>N</v>
      </c>
      <c r="FY309" s="0" t="str">
        <f aca="false">IF($A309="","",IF(AND(FW309="Y",FX309="Y",Y309&amp;""&lt;&gt;""),IF(Y309&lt;=10,"Y","N"),"N"))</f>
        <v>N</v>
      </c>
      <c r="FZ309" s="0" t="str">
        <f aca="false">IF(FY309="Y",Y309,"")</f>
        <v/>
      </c>
      <c r="GA309" s="0" t="str">
        <f aca="false">IF($A309="","",IF(AND(I309="walk-in",CN309="pass",U309="new",FT309="N",FV309="N",AQ309&lt;&gt;"Y"),"Y","N"))</f>
        <v>N</v>
      </c>
      <c r="GB309" s="0" t="str">
        <f aca="false">IF(GA309&lt;&gt;"Y","",IF(COUNTIFS($GA$2:$GA$1000,"Y",$J$2:$J$1000,"&gt;"&amp;J309)+COUNTIFS($GA$2:$GA$1000,"Y",$J$2:$J$1000,J309,$GD$2:$GD$1000,"&lt;"&amp;GD309)+1&lt;=25,COUNTIFS($GA$2:$GA$1000,"Y",$J$2:$J$1000,"&gt;"&amp;J309)+COUNTIFS($GA$2:$GA$1000,"Y",$J$2:$J$1000,J309,$GD$2:$GD$1000,"&lt;"&amp;GD309)+1,""))</f>
        <v/>
      </c>
      <c r="GC309" s="0" t="str">
        <f aca="false">IF(AND(_xlfn.ISFORMULA(C309),_xlfn.ISFORMULA(J309)),"Y","N")</f>
        <v>Y</v>
      </c>
      <c r="GD309" s="0" t="n">
        <f aca="false">ROW()-1</f>
        <v>308</v>
      </c>
    </row>
    <row r="310" customFormat="false" ht="15" hidden="false" customHeight="false" outlineLevel="0" collapsed="false">
      <c r="C310" s="0" t="str">
        <f aca="false">IF($A310="","",IF(AW310="Y",BM310&amp;"",AY310&amp;""))</f>
        <v/>
      </c>
      <c r="D310" s="0" t="str">
        <f aca="false">IF($A310="","",IF(AW310="Y",BN310&amp;"",AZ310&amp;""))</f>
        <v/>
      </c>
      <c r="E310" s="0" t="str">
        <f aca="false">IF($A310="","",IF(AW310="Y",BO310&amp;"",BA310&amp;""))</f>
        <v/>
      </c>
      <c r="F310" s="0" t="str">
        <f aca="false">IF($A310="","",IF(AW310="Y",BP310&amp;"",BB310&amp;""))</f>
        <v/>
      </c>
      <c r="G310" s="0" t="str">
        <f aca="false">IF($A310="","",IF(AW310="Y",BQ310&amp;"",BC310&amp;""))</f>
        <v/>
      </c>
      <c r="H310" s="0" t="str">
        <f aca="false">IF($A310="","",IF(AW310="Y",BR310&amp;"",BD310&amp;""))</f>
        <v/>
      </c>
      <c r="I310" s="0" t="str">
        <f aca="false">IF($A310="","",IF(R310="Y","warm-intro",IF(H310="verified","email",IF(C310&lt;&gt;"","linkedin",CB310&amp;""))))</f>
        <v/>
      </c>
      <c r="J310" s="0" t="str">
        <f aca="false">IF($A310="","",IF(CN310="pass",ROUND(N(EM310)+N(EN310)+N(EO310)+N(EP310)+N(EQ310)+N(ER310),1),0))</f>
        <v/>
      </c>
      <c r="K310" s="0" t="str">
        <f aca="false">IF($A310="","",IF(CN310&lt;&gt;"pass",CA310&amp;"",CA310&amp;"; "&amp;IF(AW310="Y",BZ310&amp;"",BL310&amp;"")&amp;IF(R310="Y","; known to the founder (+15)","")&amp;"."))</f>
        <v/>
      </c>
      <c r="R310" s="5"/>
      <c r="U310" s="5"/>
      <c r="Y310" s="0" t="str">
        <f aca="false">IF(FX310&lt;&gt;"Y","",COUNTIFS($FX$2:$FX$1000,"Y",$J$2:$J$1000,"&gt;"&amp;J310)+COUNTIFS($FX$2:$FX$1000,"Y",$J$2:$J$1000,J310,$GD$2:$GD$1000,"&lt;"&amp;GD310)+1)</f>
        <v/>
      </c>
      <c r="AB310" s="0" t="str">
        <f aca="false">IF($A310="","",IF(AW310="Y",BY310&amp;"",BK310&amp;""))</f>
        <v/>
      </c>
      <c r="AC310" s="0" t="str">
        <f aca="false">IF($A310="","",IF(AW310="Y",BS310&amp;"",BE310&amp;""))</f>
        <v/>
      </c>
      <c r="AD310" s="0" t="str">
        <f aca="false">IF($A310="","",IF(AW310="Y",BT310&amp;"",BF310&amp;""))</f>
        <v/>
      </c>
      <c r="AE310" s="0" t="str">
        <f aca="false">IF($A310="","",IF(AW310="Y",BU310&amp;"",BG310&amp;""))</f>
        <v/>
      </c>
      <c r="AF310" s="0" t="str">
        <f aca="false">IF($A310="","",IF(AW310="Y",BV310&amp;"",BH310&amp;""))</f>
        <v/>
      </c>
      <c r="AG310" s="0" t="str">
        <f aca="false">IF($A310="","",IF(AW310="Y",BW310&amp;"",BI310&amp;""))</f>
        <v/>
      </c>
      <c r="AH310" s="0" t="str">
        <f aca="false">IF($A310="","",IF(AW310="Y",BX310&amp;"",BJ310&amp;""))</f>
        <v/>
      </c>
      <c r="AQ310" s="5"/>
      <c r="AT310" s="0" t="str">
        <f aca="false">IF($A310="","",IF(AND(CN310="pass",AQ310&lt;&gt;"Y",C310&lt;&gt;"",OR(AX310&lt;&gt;"Y",AV310="Y")),"Y","N"))</f>
        <v/>
      </c>
      <c r="AU310" s="0" t="str">
        <f aca="false">IF($A310="","",_xlfn.TEXTJOIN("; ",TRUE(),IF(CN310&lt;&gt;"pass","gated out",""),IF(AQ310="Y","on hold: "&amp;AR310,""),IF(C310="","no contact named on an opened page",""),IF(AND(AX310="Y",AV310&lt;&gt;"Y"),"Tuesday estimate band "&amp;L310&amp;": founder's call","")))</f>
        <v/>
      </c>
      <c r="BC310" s="0" t="str">
        <f aca="false">IF($A310="","",IFERROR(INDEX(Enrichment!$A$2:$GZ$2000,MATCH($A310,INDEX(Enrichment!$A$2:$GZ$2000,0,MATCH("row_id",Enrichment!$A$1:$GZ$1,0)),0),MATCH("work_email",Enrichment!$A$1:$GZ$1,0))&amp;"",""))</f>
        <v/>
      </c>
      <c r="BD310" s="0" t="str">
        <f aca="false">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
      </c>
      <c r="BQ310" s="0" t="str">
        <f aca="false">IF($A310="","",IFERROR(INDEX(Enrichment!$A$2:$GZ$2000,MATCH($A310,INDEX(Enrichment!$A$2:$GZ$2000,0,MATCH("row_id",Enrichment!$A$1:$GZ$1,0)),0),MATCH("backup_work_email",Enrichment!$A$1:$GZ$1,0))&amp;"",""))</f>
        <v/>
      </c>
      <c r="BR310" s="0" t="str">
        <f aca="false">IF($A310="","",IF(BQ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
      </c>
      <c r="EQ310" s="0" t="str">
        <f aca="false">IF($A310="","",IF(AH310="exact",10,IF(AH310="adjacent",5,0)))</f>
        <v/>
      </c>
      <c r="ER310" s="0" t="str">
        <f aca="false">IF($A310="","",IF(R310="Y",15,0))</f>
        <v/>
      </c>
      <c r="FS310" s="0" t="str">
        <f aca="false">IF($A310="","",IF(ISNUMBER(MATCH(U310,{"queued","contacted","replied","call_booked","call_done","yes_in_principle","materials_sent"},0)),"Y","N"))</f>
        <v/>
      </c>
      <c r="FT310" s="0" t="str">
        <f aca="false">IF($A310="","",IF(OR(T310="Y",U310="do_not_contact",AS310&amp;""&lt;&gt;""),"Y","N"))</f>
        <v/>
      </c>
      <c r="FU310" s="0" t="str">
        <f aca="false">IF($A310="","",IF(AP310&amp;""&lt;&gt;"",AP310&amp;"",$A310))</f>
        <v/>
      </c>
      <c r="FV310" s="0" t="str">
        <f aca="false">IF($A310="","",IF(COUNTIFS($FU$2:$FU$1000,FU310,$FS$2:$FS$1000,"Y")+COUNTIFS($FU$2:$FU$1000,FU310,$FT$2:$FT$1000,"Y")&gt;0,"Y","N"))</f>
        <v/>
      </c>
      <c r="FW310" s="0" t="str">
        <f aca="false">IF($A310="","",IF(AND(U310="new",T310="N",FT310="N",AT310="Y",FV310="N"),"Y","N"))</f>
        <v/>
      </c>
      <c r="FX310" s="0" t="str">
        <f aca="false">IF($A310="","",IF(FW310&lt;&gt;"Y","N",IF(COUNTIFS($FU$2:$FU$1000,FU310,$FW$2:$FW$1000,"Y",$J$2:$J$1000,"&gt;"&amp;J310)+COUNTIFS($FU$2:$FU$1000,FU310,$FW$2:$FW$1000,"Y",$J$2:$J$1000,J310,$GD$2:$GD$1000,"&lt;"&amp;GD310)=0,"Y","N")))</f>
        <v/>
      </c>
      <c r="FY310" s="0" t="str">
        <f aca="false">IF($A310="","",IF(AND(FW310="Y",FX310="Y",Y310&amp;""&lt;&gt;""),IF(Y310&lt;=10,"Y","N"),"N"))</f>
        <v/>
      </c>
      <c r="FZ310" s="0" t="str">
        <f aca="false">IF(FY310="Y",Y310,"")</f>
        <v/>
      </c>
      <c r="GA310" s="0" t="str">
        <f aca="false">IF($A310="","",IF(AND(I310="walk-in",CN310="pass",U310="new",FT310="N",FV310="N",AQ310&lt;&gt;"Y"),"Y","N"))</f>
        <v/>
      </c>
      <c r="GB310" s="0" t="str">
        <f aca="false">IF(GA310&lt;&gt;"Y","",IF(COUNTIFS($GA$2:$GA$1000,"Y",$J$2:$J$1000,"&gt;"&amp;J310)+COUNTIFS($GA$2:$GA$1000,"Y",$J$2:$J$1000,J310,$GD$2:$GD$1000,"&lt;"&amp;GD310)+1&lt;=25,COUNTIFS($GA$2:$GA$1000,"Y",$J$2:$J$1000,"&gt;"&amp;J310)+COUNTIFS($GA$2:$GA$1000,"Y",$J$2:$J$1000,J310,$GD$2:$GD$1000,"&lt;"&amp;GD310)+1,""))</f>
        <v/>
      </c>
      <c r="GC310" s="0" t="str">
        <f aca="false">IF(AND(_xlfn.ISFORMULA(C310),_xlfn.ISFORMULA(J310)),"Y","N")</f>
        <v>Y</v>
      </c>
      <c r="GD310" s="0" t="n">
        <f aca="false">ROW()-1</f>
        <v>309</v>
      </c>
    </row>
    <row r="311" customFormat="false" ht="15" hidden="false" customHeight="false" outlineLevel="0" collapsed="false">
      <c r="C311" s="0" t="str">
        <f aca="false">IF($A311="","",IF(AW311="Y",BM311&amp;"",AY311&amp;""))</f>
        <v/>
      </c>
      <c r="D311" s="0" t="str">
        <f aca="false">IF($A311="","",IF(AW311="Y",BN311&amp;"",AZ311&amp;""))</f>
        <v/>
      </c>
      <c r="E311" s="0" t="str">
        <f aca="false">IF($A311="","",IF(AW311="Y",BO311&amp;"",BA311&amp;""))</f>
        <v/>
      </c>
      <c r="F311" s="0" t="str">
        <f aca="false">IF($A311="","",IF(AW311="Y",BP311&amp;"",BB311&amp;""))</f>
        <v/>
      </c>
      <c r="G311" s="0" t="str">
        <f aca="false">IF($A311="","",IF(AW311="Y",BQ311&amp;"",BC311&amp;""))</f>
        <v/>
      </c>
      <c r="H311" s="0" t="str">
        <f aca="false">IF($A311="","",IF(AW311="Y",BR311&amp;"",BD311&amp;""))</f>
        <v/>
      </c>
      <c r="I311" s="0" t="str">
        <f aca="false">IF($A311="","",IF(R311="Y","warm-intro",IF(H311="verified","email",IF(C311&lt;&gt;"","linkedin",CB311&amp;""))))</f>
        <v/>
      </c>
      <c r="J311" s="0" t="str">
        <f aca="false">IF($A311="","",IF(CN311="pass",ROUND(N(EM311)+N(EN311)+N(EO311)+N(EP311)+N(EQ311)+N(ER311),1),0))</f>
        <v/>
      </c>
      <c r="K311" s="0" t="str">
        <f aca="false">IF($A311="","",IF(CN311&lt;&gt;"pass",CA311&amp;"",CA311&amp;"; "&amp;IF(AW311="Y",BZ311&amp;"",BL311&amp;"")&amp;IF(R311="Y","; known to the founder (+15)","")&amp;"."))</f>
        <v/>
      </c>
      <c r="R311" s="5"/>
      <c r="U311" s="5"/>
      <c r="Y311" s="0" t="str">
        <f aca="false">IF(FX311&lt;&gt;"Y","",COUNTIFS($FX$2:$FX$1000,"Y",$J$2:$J$1000,"&gt;"&amp;J311)+COUNTIFS($FX$2:$FX$1000,"Y",$J$2:$J$1000,J311,$GD$2:$GD$1000,"&lt;"&amp;GD311)+1)</f>
        <v/>
      </c>
      <c r="AB311" s="0" t="str">
        <f aca="false">IF($A311="","",IF(AW311="Y",BY311&amp;"",BK311&amp;""))</f>
        <v/>
      </c>
      <c r="AC311" s="0" t="str">
        <f aca="false">IF($A311="","",IF(AW311="Y",BS311&amp;"",BE311&amp;""))</f>
        <v/>
      </c>
      <c r="AD311" s="0" t="str">
        <f aca="false">IF($A311="","",IF(AW311="Y",BT311&amp;"",BF311&amp;""))</f>
        <v/>
      </c>
      <c r="AE311" s="0" t="str">
        <f aca="false">IF($A311="","",IF(AW311="Y",BU311&amp;"",BG311&amp;""))</f>
        <v/>
      </c>
      <c r="AF311" s="0" t="str">
        <f aca="false">IF($A311="","",IF(AW311="Y",BV311&amp;"",BH311&amp;""))</f>
        <v/>
      </c>
      <c r="AG311" s="0" t="str">
        <f aca="false">IF($A311="","",IF(AW311="Y",BW311&amp;"",BI311&amp;""))</f>
        <v/>
      </c>
      <c r="AH311" s="0" t="str">
        <f aca="false">IF($A311="","",IF(AW311="Y",BX311&amp;"",BJ311&amp;""))</f>
        <v/>
      </c>
      <c r="AQ311" s="5"/>
      <c r="AT311" s="0" t="str">
        <f aca="false">IF($A311="","",IF(AND(CN311="pass",AQ311&lt;&gt;"Y",C311&lt;&gt;"",OR(AX311&lt;&gt;"Y",AV311="Y")),"Y","N"))</f>
        <v/>
      </c>
      <c r="AU311" s="0" t="str">
        <f aca="false">IF($A311="","",_xlfn.TEXTJOIN("; ",TRUE(),IF(CN311&lt;&gt;"pass","gated out",""),IF(AQ311="Y","on hold: "&amp;AR311,""),IF(C311="","no contact named on an opened page",""),IF(AND(AX311="Y",AV311&lt;&gt;"Y"),"Tuesday estimate band "&amp;L311&amp;": founder's call","")))</f>
        <v/>
      </c>
      <c r="BC311" s="0" t="str">
        <f aca="false">IF($A311="","",IFERROR(INDEX(Enrichment!$A$2:$GZ$2000,MATCH($A311,INDEX(Enrichment!$A$2:$GZ$2000,0,MATCH("row_id",Enrichment!$A$1:$GZ$1,0)),0),MATCH("work_email",Enrichment!$A$1:$GZ$1,0))&amp;"",""))</f>
        <v/>
      </c>
      <c r="BD311" s="0" t="str">
        <f aca="false">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
      </c>
      <c r="BQ311" s="0" t="str">
        <f aca="false">IF($A311="","",IFERROR(INDEX(Enrichment!$A$2:$GZ$2000,MATCH($A311,INDEX(Enrichment!$A$2:$GZ$2000,0,MATCH("row_id",Enrichment!$A$1:$GZ$1,0)),0),MATCH("backup_work_email",Enrichment!$A$1:$GZ$1,0))&amp;"",""))</f>
        <v/>
      </c>
      <c r="BR311" s="0" t="str">
        <f aca="false">IF($A311="","",IF(BQ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
      </c>
      <c r="EQ311" s="0" t="str">
        <f aca="false">IF($A311="","",IF(AH311="exact",10,IF(AH311="adjacent",5,0)))</f>
        <v/>
      </c>
      <c r="ER311" s="0" t="str">
        <f aca="false">IF($A311="","",IF(R311="Y",15,0))</f>
        <v/>
      </c>
      <c r="FS311" s="0" t="str">
        <f aca="false">IF($A311="","",IF(ISNUMBER(MATCH(U311,{"queued","contacted","replied","call_booked","call_done","yes_in_principle","materials_sent"},0)),"Y","N"))</f>
        <v/>
      </c>
      <c r="FT311" s="0" t="str">
        <f aca="false">IF($A311="","",IF(OR(T311="Y",U311="do_not_contact",AS311&amp;""&lt;&gt;""),"Y","N"))</f>
        <v/>
      </c>
      <c r="FU311" s="0" t="str">
        <f aca="false">IF($A311="","",IF(AP311&amp;""&lt;&gt;"",AP311&amp;"",$A311))</f>
        <v/>
      </c>
      <c r="FV311" s="0" t="str">
        <f aca="false">IF($A311="","",IF(COUNTIFS($FU$2:$FU$1000,FU311,$FS$2:$FS$1000,"Y")+COUNTIFS($FU$2:$FU$1000,FU311,$FT$2:$FT$1000,"Y")&gt;0,"Y","N"))</f>
        <v/>
      </c>
      <c r="FW311" s="0" t="str">
        <f aca="false">IF($A311="","",IF(AND(U311="new",T311="N",FT311="N",AT311="Y",FV311="N"),"Y","N"))</f>
        <v/>
      </c>
      <c r="FX311" s="0" t="str">
        <f aca="false">IF($A311="","",IF(FW311&lt;&gt;"Y","N",IF(COUNTIFS($FU$2:$FU$1000,FU311,$FW$2:$FW$1000,"Y",$J$2:$J$1000,"&gt;"&amp;J311)+COUNTIFS($FU$2:$FU$1000,FU311,$FW$2:$FW$1000,"Y",$J$2:$J$1000,J311,$GD$2:$GD$1000,"&lt;"&amp;GD311)=0,"Y","N")))</f>
        <v/>
      </c>
      <c r="FY311" s="0" t="str">
        <f aca="false">IF($A311="","",IF(AND(FW311="Y",FX311="Y",Y311&amp;""&lt;&gt;""),IF(Y311&lt;=10,"Y","N"),"N"))</f>
        <v/>
      </c>
      <c r="FZ311" s="0" t="str">
        <f aca="false">IF(FY311="Y",Y311,"")</f>
        <v/>
      </c>
      <c r="GA311" s="0" t="str">
        <f aca="false">IF($A311="","",IF(AND(I311="walk-in",CN311="pass",U311="new",FT311="N",FV311="N",AQ311&lt;&gt;"Y"),"Y","N"))</f>
        <v/>
      </c>
      <c r="GB311" s="0" t="str">
        <f aca="false">IF(GA311&lt;&gt;"Y","",IF(COUNTIFS($GA$2:$GA$1000,"Y",$J$2:$J$1000,"&gt;"&amp;J311)+COUNTIFS($GA$2:$GA$1000,"Y",$J$2:$J$1000,J311,$GD$2:$GD$1000,"&lt;"&amp;GD311)+1&lt;=25,COUNTIFS($GA$2:$GA$1000,"Y",$J$2:$J$1000,"&gt;"&amp;J311)+COUNTIFS($GA$2:$GA$1000,"Y",$J$2:$J$1000,J311,$GD$2:$GD$1000,"&lt;"&amp;GD311)+1,""))</f>
        <v/>
      </c>
      <c r="GC311" s="0" t="str">
        <f aca="false">IF(AND(_xlfn.ISFORMULA(C311),_xlfn.ISFORMULA(J311)),"Y","N")</f>
        <v>Y</v>
      </c>
      <c r="GD311" s="0" t="n">
        <f aca="false">ROW()-1</f>
        <v>310</v>
      </c>
    </row>
    <row r="312" customFormat="false" ht="15" hidden="false" customHeight="false" outlineLevel="0" collapsed="false">
      <c r="C312" s="0" t="str">
        <f aca="false">IF($A312="","",IF(AW312="Y",BM312&amp;"",AY312&amp;""))</f>
        <v/>
      </c>
      <c r="D312" s="0" t="str">
        <f aca="false">IF($A312="","",IF(AW312="Y",BN312&amp;"",AZ312&amp;""))</f>
        <v/>
      </c>
      <c r="E312" s="0" t="str">
        <f aca="false">IF($A312="","",IF(AW312="Y",BO312&amp;"",BA312&amp;""))</f>
        <v/>
      </c>
      <c r="F312" s="0" t="str">
        <f aca="false">IF($A312="","",IF(AW312="Y",BP312&amp;"",BB312&amp;""))</f>
        <v/>
      </c>
      <c r="G312" s="0" t="str">
        <f aca="false">IF($A312="","",IF(AW312="Y",BQ312&amp;"",BC312&amp;""))</f>
        <v/>
      </c>
      <c r="H312" s="0" t="str">
        <f aca="false">IF($A312="","",IF(AW312="Y",BR312&amp;"",BD312&amp;""))</f>
        <v/>
      </c>
      <c r="I312" s="0" t="str">
        <f aca="false">IF($A312="","",IF(R312="Y","warm-intro",IF(H312="verified","email",IF(C312&lt;&gt;"","linkedin",CB312&amp;""))))</f>
        <v/>
      </c>
      <c r="J312" s="0" t="str">
        <f aca="false">IF($A312="","",IF(CN312="pass",ROUND(N(EM312)+N(EN312)+N(EO312)+N(EP312)+N(EQ312)+N(ER312),1),0))</f>
        <v/>
      </c>
      <c r="K312" s="0" t="str">
        <f aca="false">IF($A312="","",IF(CN312&lt;&gt;"pass",CA312&amp;"",CA312&amp;"; "&amp;IF(AW312="Y",BZ312&amp;"",BL312&amp;"")&amp;IF(R312="Y","; known to the founder (+15)","")&amp;"."))</f>
        <v/>
      </c>
      <c r="R312" s="5"/>
      <c r="U312" s="5"/>
      <c r="Y312" s="0" t="str">
        <f aca="false">IF(FX312&lt;&gt;"Y","",COUNTIFS($FX$2:$FX$1000,"Y",$J$2:$J$1000,"&gt;"&amp;J312)+COUNTIFS($FX$2:$FX$1000,"Y",$J$2:$J$1000,J312,$GD$2:$GD$1000,"&lt;"&amp;GD312)+1)</f>
        <v/>
      </c>
      <c r="AB312" s="0" t="str">
        <f aca="false">IF($A312="","",IF(AW312="Y",BY312&amp;"",BK312&amp;""))</f>
        <v/>
      </c>
      <c r="AC312" s="0" t="str">
        <f aca="false">IF($A312="","",IF(AW312="Y",BS312&amp;"",BE312&amp;""))</f>
        <v/>
      </c>
      <c r="AD312" s="0" t="str">
        <f aca="false">IF($A312="","",IF(AW312="Y",BT312&amp;"",BF312&amp;""))</f>
        <v/>
      </c>
      <c r="AE312" s="0" t="str">
        <f aca="false">IF($A312="","",IF(AW312="Y",BU312&amp;"",BG312&amp;""))</f>
        <v/>
      </c>
      <c r="AF312" s="0" t="str">
        <f aca="false">IF($A312="","",IF(AW312="Y",BV312&amp;"",BH312&amp;""))</f>
        <v/>
      </c>
      <c r="AG312" s="0" t="str">
        <f aca="false">IF($A312="","",IF(AW312="Y",BW312&amp;"",BI312&amp;""))</f>
        <v/>
      </c>
      <c r="AH312" s="0" t="str">
        <f aca="false">IF($A312="","",IF(AW312="Y",BX312&amp;"",BJ312&amp;""))</f>
        <v/>
      </c>
      <c r="AQ312" s="5"/>
      <c r="AT312" s="0" t="str">
        <f aca="false">IF($A312="","",IF(AND(CN312="pass",AQ312&lt;&gt;"Y",C312&lt;&gt;"",OR(AX312&lt;&gt;"Y",AV312="Y")),"Y","N"))</f>
        <v/>
      </c>
      <c r="AU312" s="0" t="str">
        <f aca="false">IF($A312="","",_xlfn.TEXTJOIN("; ",TRUE(),IF(CN312&lt;&gt;"pass","gated out",""),IF(AQ312="Y","on hold: "&amp;AR312,""),IF(C312="","no contact named on an opened page",""),IF(AND(AX312="Y",AV312&lt;&gt;"Y"),"Tuesday estimate band "&amp;L312&amp;": founder's call","")))</f>
        <v/>
      </c>
      <c r="BC312" s="0" t="str">
        <f aca="false">IF($A312="","",IFERROR(INDEX(Enrichment!$A$2:$GZ$2000,MATCH($A312,INDEX(Enrichment!$A$2:$GZ$2000,0,MATCH("row_id",Enrichment!$A$1:$GZ$1,0)),0),MATCH("work_email",Enrichment!$A$1:$GZ$1,0))&amp;"",""))</f>
        <v/>
      </c>
      <c r="BD312" s="0" t="str">
        <f aca="false">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Q312" s="0" t="str">
        <f aca="false">IF($A312="","",IFERROR(INDEX(Enrichment!$A$2:$GZ$2000,MATCH($A312,INDEX(Enrichment!$A$2:$GZ$2000,0,MATCH("row_id",Enrichment!$A$1:$GZ$1,0)),0),MATCH("backup_work_email",Enrichment!$A$1:$GZ$1,0))&amp;"",""))</f>
        <v/>
      </c>
      <c r="BR312" s="0" t="str">
        <f aca="false">IF($A312="","",IF(BQ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EQ312" s="0" t="str">
        <f aca="false">IF($A312="","",IF(AH312="exact",10,IF(AH312="adjacent",5,0)))</f>
        <v/>
      </c>
      <c r="ER312" s="0" t="str">
        <f aca="false">IF($A312="","",IF(R312="Y",15,0))</f>
        <v/>
      </c>
      <c r="FS312" s="0" t="str">
        <f aca="false">IF($A312="","",IF(ISNUMBER(MATCH(U312,{"queued","contacted","replied","call_booked","call_done","yes_in_principle","materials_sent"},0)),"Y","N"))</f>
        <v/>
      </c>
      <c r="FT312" s="0" t="str">
        <f aca="false">IF($A312="","",IF(OR(T312="Y",U312="do_not_contact",AS312&amp;""&lt;&gt;""),"Y","N"))</f>
        <v/>
      </c>
      <c r="FU312" s="0" t="str">
        <f aca="false">IF($A312="","",IF(AP312&amp;""&lt;&gt;"",AP312&amp;"",$A312))</f>
        <v/>
      </c>
      <c r="FV312" s="0" t="str">
        <f aca="false">IF($A312="","",IF(COUNTIFS($FU$2:$FU$1000,FU312,$FS$2:$FS$1000,"Y")+COUNTIFS($FU$2:$FU$1000,FU312,$FT$2:$FT$1000,"Y")&gt;0,"Y","N"))</f>
        <v/>
      </c>
      <c r="FW312" s="0" t="str">
        <f aca="false">IF($A312="","",IF(AND(U312="new",T312="N",FT312="N",AT312="Y",FV312="N"),"Y","N"))</f>
        <v/>
      </c>
      <c r="FX312" s="0" t="str">
        <f aca="false">IF($A312="","",IF(FW312&lt;&gt;"Y","N",IF(COUNTIFS($FU$2:$FU$1000,FU312,$FW$2:$FW$1000,"Y",$J$2:$J$1000,"&gt;"&amp;J312)+COUNTIFS($FU$2:$FU$1000,FU312,$FW$2:$FW$1000,"Y",$J$2:$J$1000,J312,$GD$2:$GD$1000,"&lt;"&amp;GD312)=0,"Y","N")))</f>
        <v/>
      </c>
      <c r="FY312" s="0" t="str">
        <f aca="false">IF($A312="","",IF(AND(FW312="Y",FX312="Y",Y312&amp;""&lt;&gt;""),IF(Y312&lt;=10,"Y","N"),"N"))</f>
        <v/>
      </c>
      <c r="FZ312" s="0" t="str">
        <f aca="false">IF(FY312="Y",Y312,"")</f>
        <v/>
      </c>
      <c r="GA312" s="0" t="str">
        <f aca="false">IF($A312="","",IF(AND(I312="walk-in",CN312="pass",U312="new",FT312="N",FV312="N",AQ312&lt;&gt;"Y"),"Y","N"))</f>
        <v/>
      </c>
      <c r="GB312" s="0" t="str">
        <f aca="false">IF(GA312&lt;&gt;"Y","",IF(COUNTIFS($GA$2:$GA$1000,"Y",$J$2:$J$1000,"&gt;"&amp;J312)+COUNTIFS($GA$2:$GA$1000,"Y",$J$2:$J$1000,J312,$GD$2:$GD$1000,"&lt;"&amp;GD312)+1&lt;=25,COUNTIFS($GA$2:$GA$1000,"Y",$J$2:$J$1000,"&gt;"&amp;J312)+COUNTIFS($GA$2:$GA$1000,"Y",$J$2:$J$1000,J312,$GD$2:$GD$1000,"&lt;"&amp;GD312)+1,""))</f>
        <v/>
      </c>
      <c r="GC312" s="0" t="str">
        <f aca="false">IF(AND(_xlfn.ISFORMULA(C312),_xlfn.ISFORMULA(J312)),"Y","N")</f>
        <v>Y</v>
      </c>
      <c r="GD312" s="0" t="n">
        <f aca="false">ROW()-1</f>
        <v>311</v>
      </c>
    </row>
    <row r="313" customFormat="false" ht="15" hidden="false" customHeight="false" outlineLevel="0" collapsed="false">
      <c r="C313" s="0" t="str">
        <f aca="false">IF($A313="","",IF(AW313="Y",BM313&amp;"",AY313&amp;""))</f>
        <v/>
      </c>
      <c r="D313" s="0" t="str">
        <f aca="false">IF($A313="","",IF(AW313="Y",BN313&amp;"",AZ313&amp;""))</f>
        <v/>
      </c>
      <c r="E313" s="0" t="str">
        <f aca="false">IF($A313="","",IF(AW313="Y",BO313&amp;"",BA313&amp;""))</f>
        <v/>
      </c>
      <c r="F313" s="0" t="str">
        <f aca="false">IF($A313="","",IF(AW313="Y",BP313&amp;"",BB313&amp;""))</f>
        <v/>
      </c>
      <c r="G313" s="0" t="str">
        <f aca="false">IF($A313="","",IF(AW313="Y",BQ313&amp;"",BC313&amp;""))</f>
        <v/>
      </c>
      <c r="H313" s="0" t="str">
        <f aca="false">IF($A313="","",IF(AW313="Y",BR313&amp;"",BD313&amp;""))</f>
        <v/>
      </c>
      <c r="I313" s="0" t="str">
        <f aca="false">IF($A313="","",IF(R313="Y","warm-intro",IF(H313="verified","email",IF(C313&lt;&gt;"","linkedin",CB313&amp;""))))</f>
        <v/>
      </c>
      <c r="J313" s="0" t="str">
        <f aca="false">IF($A313="","",IF(CN313="pass",ROUND(N(EM313)+N(EN313)+N(EO313)+N(EP313)+N(EQ313)+N(ER313),1),0))</f>
        <v/>
      </c>
      <c r="K313" s="0" t="str">
        <f aca="false">IF($A313="","",IF(CN313&lt;&gt;"pass",CA313&amp;"",CA313&amp;"; "&amp;IF(AW313="Y",BZ313&amp;"",BL313&amp;"")&amp;IF(R313="Y","; known to the founder (+15)","")&amp;"."))</f>
        <v/>
      </c>
      <c r="R313" s="5"/>
      <c r="U313" s="5"/>
      <c r="Y313" s="0" t="str">
        <f aca="false">IF(FX313&lt;&gt;"Y","",COUNTIFS($FX$2:$FX$1000,"Y",$J$2:$J$1000,"&gt;"&amp;J313)+COUNTIFS($FX$2:$FX$1000,"Y",$J$2:$J$1000,J313,$GD$2:$GD$1000,"&lt;"&amp;GD313)+1)</f>
        <v/>
      </c>
      <c r="AB313" s="0" t="str">
        <f aca="false">IF($A313="","",IF(AW313="Y",BY313&amp;"",BK313&amp;""))</f>
        <v/>
      </c>
      <c r="AC313" s="0" t="str">
        <f aca="false">IF($A313="","",IF(AW313="Y",BS313&amp;"",BE313&amp;""))</f>
        <v/>
      </c>
      <c r="AD313" s="0" t="str">
        <f aca="false">IF($A313="","",IF(AW313="Y",BT313&amp;"",BF313&amp;""))</f>
        <v/>
      </c>
      <c r="AE313" s="0" t="str">
        <f aca="false">IF($A313="","",IF(AW313="Y",BU313&amp;"",BG313&amp;""))</f>
        <v/>
      </c>
      <c r="AF313" s="0" t="str">
        <f aca="false">IF($A313="","",IF(AW313="Y",BV313&amp;"",BH313&amp;""))</f>
        <v/>
      </c>
      <c r="AG313" s="0" t="str">
        <f aca="false">IF($A313="","",IF(AW313="Y",BW313&amp;"",BI313&amp;""))</f>
        <v/>
      </c>
      <c r="AH313" s="0" t="str">
        <f aca="false">IF($A313="","",IF(AW313="Y",BX313&amp;"",BJ313&amp;""))</f>
        <v/>
      </c>
      <c r="AQ313" s="5"/>
      <c r="AT313" s="0" t="str">
        <f aca="false">IF($A313="","",IF(AND(CN313="pass",AQ313&lt;&gt;"Y",C313&lt;&gt;"",OR(AX313&lt;&gt;"Y",AV313="Y")),"Y","N"))</f>
        <v/>
      </c>
      <c r="AU313" s="0" t="str">
        <f aca="false">IF($A313="","",_xlfn.TEXTJOIN("; ",TRUE(),IF(CN313&lt;&gt;"pass","gated out",""),IF(AQ313="Y","on hold: "&amp;AR313,""),IF(C313="","no contact named on an opened page",""),IF(AND(AX313="Y",AV313&lt;&gt;"Y"),"Tuesday estimate band "&amp;L313&amp;": founder's call","")))</f>
        <v/>
      </c>
      <c r="BC313" s="0" t="str">
        <f aca="false">IF($A313="","",IFERROR(INDEX(Enrichment!$A$2:$GZ$2000,MATCH($A313,INDEX(Enrichment!$A$2:$GZ$2000,0,MATCH("row_id",Enrichment!$A$1:$GZ$1,0)),0),MATCH("work_email",Enrichment!$A$1:$GZ$1,0))&amp;"",""))</f>
        <v/>
      </c>
      <c r="BD313" s="0" t="str">
        <f aca="false">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Q313" s="0" t="str">
        <f aca="false">IF($A313="","",IFERROR(INDEX(Enrichment!$A$2:$GZ$2000,MATCH($A313,INDEX(Enrichment!$A$2:$GZ$2000,0,MATCH("row_id",Enrichment!$A$1:$GZ$1,0)),0),MATCH("backup_work_email",Enrichment!$A$1:$GZ$1,0))&amp;"",""))</f>
        <v/>
      </c>
      <c r="BR313" s="0" t="str">
        <f aca="false">IF($A313="","",IF(BQ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EQ313" s="0" t="str">
        <f aca="false">IF($A313="","",IF(AH313="exact",10,IF(AH313="adjacent",5,0)))</f>
        <v/>
      </c>
      <c r="ER313" s="0" t="str">
        <f aca="false">IF($A313="","",IF(R313="Y",15,0))</f>
        <v/>
      </c>
      <c r="FS313" s="0" t="str">
        <f aca="false">IF($A313="","",IF(ISNUMBER(MATCH(U313,{"queued","contacted","replied","call_booked","call_done","yes_in_principle","materials_sent"},0)),"Y","N"))</f>
        <v/>
      </c>
      <c r="FT313" s="0" t="str">
        <f aca="false">IF($A313="","",IF(OR(T313="Y",U313="do_not_contact",AS313&amp;""&lt;&gt;""),"Y","N"))</f>
        <v/>
      </c>
      <c r="FU313" s="0" t="str">
        <f aca="false">IF($A313="","",IF(AP313&amp;""&lt;&gt;"",AP313&amp;"",$A313))</f>
        <v/>
      </c>
      <c r="FV313" s="0" t="str">
        <f aca="false">IF($A313="","",IF(COUNTIFS($FU$2:$FU$1000,FU313,$FS$2:$FS$1000,"Y")+COUNTIFS($FU$2:$FU$1000,FU313,$FT$2:$FT$1000,"Y")&gt;0,"Y","N"))</f>
        <v/>
      </c>
      <c r="FW313" s="0" t="str">
        <f aca="false">IF($A313="","",IF(AND(U313="new",T313="N",FT313="N",AT313="Y",FV313="N"),"Y","N"))</f>
        <v/>
      </c>
      <c r="FX313" s="0" t="str">
        <f aca="false">IF($A313="","",IF(FW313&lt;&gt;"Y","N",IF(COUNTIFS($FU$2:$FU$1000,FU313,$FW$2:$FW$1000,"Y",$J$2:$J$1000,"&gt;"&amp;J313)+COUNTIFS($FU$2:$FU$1000,FU313,$FW$2:$FW$1000,"Y",$J$2:$J$1000,J313,$GD$2:$GD$1000,"&lt;"&amp;GD313)=0,"Y","N")))</f>
        <v/>
      </c>
      <c r="FY313" s="0" t="str">
        <f aca="false">IF($A313="","",IF(AND(FW313="Y",FX313="Y",Y313&amp;""&lt;&gt;""),IF(Y313&lt;=10,"Y","N"),"N"))</f>
        <v/>
      </c>
      <c r="FZ313" s="0" t="str">
        <f aca="false">IF(FY313="Y",Y313,"")</f>
        <v/>
      </c>
      <c r="GA313" s="0" t="str">
        <f aca="false">IF($A313="","",IF(AND(I313="walk-in",CN313="pass",U313="new",FT313="N",FV313="N",AQ313&lt;&gt;"Y"),"Y","N"))</f>
        <v/>
      </c>
      <c r="GB313" s="0" t="str">
        <f aca="false">IF(GA313&lt;&gt;"Y","",IF(COUNTIFS($GA$2:$GA$1000,"Y",$J$2:$J$1000,"&gt;"&amp;J313)+COUNTIFS($GA$2:$GA$1000,"Y",$J$2:$J$1000,J313,$GD$2:$GD$1000,"&lt;"&amp;GD313)+1&lt;=25,COUNTIFS($GA$2:$GA$1000,"Y",$J$2:$J$1000,"&gt;"&amp;J313)+COUNTIFS($GA$2:$GA$1000,"Y",$J$2:$J$1000,J313,$GD$2:$GD$1000,"&lt;"&amp;GD313)+1,""))</f>
        <v/>
      </c>
      <c r="GC313" s="0" t="str">
        <f aca="false">IF(AND(_xlfn.ISFORMULA(C313),_xlfn.ISFORMULA(J313)),"Y","N")</f>
        <v>Y</v>
      </c>
      <c r="GD313" s="0" t="n">
        <f aca="false">ROW()-1</f>
        <v>312</v>
      </c>
    </row>
    <row r="314" customFormat="false" ht="15" hidden="false" customHeight="false" outlineLevel="0" collapsed="false">
      <c r="C314" s="0" t="str">
        <f aca="false">IF($A314="","",IF(AW314="Y",BM314&amp;"",AY314&amp;""))</f>
        <v/>
      </c>
      <c r="D314" s="0" t="str">
        <f aca="false">IF($A314="","",IF(AW314="Y",BN314&amp;"",AZ314&amp;""))</f>
        <v/>
      </c>
      <c r="E314" s="0" t="str">
        <f aca="false">IF($A314="","",IF(AW314="Y",BO314&amp;"",BA314&amp;""))</f>
        <v/>
      </c>
      <c r="F314" s="0" t="str">
        <f aca="false">IF($A314="","",IF(AW314="Y",BP314&amp;"",BB314&amp;""))</f>
        <v/>
      </c>
      <c r="G314" s="0" t="str">
        <f aca="false">IF($A314="","",IF(AW314="Y",BQ314&amp;"",BC314&amp;""))</f>
        <v/>
      </c>
      <c r="H314" s="0" t="str">
        <f aca="false">IF($A314="","",IF(AW314="Y",BR314&amp;"",BD314&amp;""))</f>
        <v/>
      </c>
      <c r="I314" s="0" t="str">
        <f aca="false">IF($A314="","",IF(R314="Y","warm-intro",IF(H314="verified","email",IF(C314&lt;&gt;"","linkedin",CB314&amp;""))))</f>
        <v/>
      </c>
      <c r="J314" s="0" t="str">
        <f aca="false">IF($A314="","",IF(CN314="pass",ROUND(N(EM314)+N(EN314)+N(EO314)+N(EP314)+N(EQ314)+N(ER314),1),0))</f>
        <v/>
      </c>
      <c r="K314" s="0" t="str">
        <f aca="false">IF($A314="","",IF(CN314&lt;&gt;"pass",CA314&amp;"",CA314&amp;"; "&amp;IF(AW314="Y",BZ314&amp;"",BL314&amp;"")&amp;IF(R314="Y","; known to the founder (+15)","")&amp;"."))</f>
        <v/>
      </c>
      <c r="R314" s="5"/>
      <c r="U314" s="5"/>
      <c r="Y314" s="0" t="str">
        <f aca="false">IF(FX314&lt;&gt;"Y","",COUNTIFS($FX$2:$FX$1000,"Y",$J$2:$J$1000,"&gt;"&amp;J314)+COUNTIFS($FX$2:$FX$1000,"Y",$J$2:$J$1000,J314,$GD$2:$GD$1000,"&lt;"&amp;GD314)+1)</f>
        <v/>
      </c>
      <c r="AB314" s="0" t="str">
        <f aca="false">IF($A314="","",IF(AW314="Y",BY314&amp;"",BK314&amp;""))</f>
        <v/>
      </c>
      <c r="AC314" s="0" t="str">
        <f aca="false">IF($A314="","",IF(AW314="Y",BS314&amp;"",BE314&amp;""))</f>
        <v/>
      </c>
      <c r="AD314" s="0" t="str">
        <f aca="false">IF($A314="","",IF(AW314="Y",BT314&amp;"",BF314&amp;""))</f>
        <v/>
      </c>
      <c r="AE314" s="0" t="str">
        <f aca="false">IF($A314="","",IF(AW314="Y",BU314&amp;"",BG314&amp;""))</f>
        <v/>
      </c>
      <c r="AF314" s="0" t="str">
        <f aca="false">IF($A314="","",IF(AW314="Y",BV314&amp;"",BH314&amp;""))</f>
        <v/>
      </c>
      <c r="AG314" s="0" t="str">
        <f aca="false">IF($A314="","",IF(AW314="Y",BW314&amp;"",BI314&amp;""))</f>
        <v/>
      </c>
      <c r="AH314" s="0" t="str">
        <f aca="false">IF($A314="","",IF(AW314="Y",BX314&amp;"",BJ314&amp;""))</f>
        <v/>
      </c>
      <c r="AQ314" s="5"/>
      <c r="AT314" s="0" t="str">
        <f aca="false">IF($A314="","",IF(AND(CN314="pass",AQ314&lt;&gt;"Y",C314&lt;&gt;"",OR(AX314&lt;&gt;"Y",AV314="Y")),"Y","N"))</f>
        <v/>
      </c>
      <c r="AU314" s="0" t="str">
        <f aca="false">IF($A314="","",_xlfn.TEXTJOIN("; ",TRUE(),IF(CN314&lt;&gt;"pass","gated out",""),IF(AQ314="Y","on hold: "&amp;AR314,""),IF(C314="","no contact named on an opened page",""),IF(AND(AX314="Y",AV314&lt;&gt;"Y"),"Tuesday estimate band "&amp;L314&amp;": founder's call","")))</f>
        <v/>
      </c>
      <c r="BC314" s="0" t="str">
        <f aca="false">IF($A314="","",IFERROR(INDEX(Enrichment!$A$2:$GZ$2000,MATCH($A314,INDEX(Enrichment!$A$2:$GZ$2000,0,MATCH("row_id",Enrichment!$A$1:$GZ$1,0)),0),MATCH("work_email",Enrichment!$A$1:$GZ$1,0))&amp;"",""))</f>
        <v/>
      </c>
      <c r="BD314" s="0" t="str">
        <f aca="false">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Q314" s="0" t="str">
        <f aca="false">IF($A314="","",IFERROR(INDEX(Enrichment!$A$2:$GZ$2000,MATCH($A314,INDEX(Enrichment!$A$2:$GZ$2000,0,MATCH("row_id",Enrichment!$A$1:$GZ$1,0)),0),MATCH("backup_work_email",Enrichment!$A$1:$GZ$1,0))&amp;"",""))</f>
        <v/>
      </c>
      <c r="BR314" s="0" t="str">
        <f aca="false">IF($A314="","",IF(BQ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EQ314" s="0" t="str">
        <f aca="false">IF($A314="","",IF(AH314="exact",10,IF(AH314="adjacent",5,0)))</f>
        <v/>
      </c>
      <c r="ER314" s="0" t="str">
        <f aca="false">IF($A314="","",IF(R314="Y",15,0))</f>
        <v/>
      </c>
      <c r="FS314" s="0" t="str">
        <f aca="false">IF($A314="","",IF(ISNUMBER(MATCH(U314,{"queued","contacted","replied","call_booked","call_done","yes_in_principle","materials_sent"},0)),"Y","N"))</f>
        <v/>
      </c>
      <c r="FT314" s="0" t="str">
        <f aca="false">IF($A314="","",IF(OR(T314="Y",U314="do_not_contact",AS314&amp;""&lt;&gt;""),"Y","N"))</f>
        <v/>
      </c>
      <c r="FU314" s="0" t="str">
        <f aca="false">IF($A314="","",IF(AP314&amp;""&lt;&gt;"",AP314&amp;"",$A314))</f>
        <v/>
      </c>
      <c r="FV314" s="0" t="str">
        <f aca="false">IF($A314="","",IF(COUNTIFS($FU$2:$FU$1000,FU314,$FS$2:$FS$1000,"Y")+COUNTIFS($FU$2:$FU$1000,FU314,$FT$2:$FT$1000,"Y")&gt;0,"Y","N"))</f>
        <v/>
      </c>
      <c r="FW314" s="0" t="str">
        <f aca="false">IF($A314="","",IF(AND(U314="new",T314="N",FT314="N",AT314="Y",FV314="N"),"Y","N"))</f>
        <v/>
      </c>
      <c r="FX314" s="0" t="str">
        <f aca="false">IF($A314="","",IF(FW314&lt;&gt;"Y","N",IF(COUNTIFS($FU$2:$FU$1000,FU314,$FW$2:$FW$1000,"Y",$J$2:$J$1000,"&gt;"&amp;J314)+COUNTIFS($FU$2:$FU$1000,FU314,$FW$2:$FW$1000,"Y",$J$2:$J$1000,J314,$GD$2:$GD$1000,"&lt;"&amp;GD314)=0,"Y","N")))</f>
        <v/>
      </c>
      <c r="FY314" s="0" t="str">
        <f aca="false">IF($A314="","",IF(AND(FW314="Y",FX314="Y",Y314&amp;""&lt;&gt;""),IF(Y314&lt;=10,"Y","N"),"N"))</f>
        <v/>
      </c>
      <c r="FZ314" s="0" t="str">
        <f aca="false">IF(FY314="Y",Y314,"")</f>
        <v/>
      </c>
      <c r="GA314" s="0" t="str">
        <f aca="false">IF($A314="","",IF(AND(I314="walk-in",CN314="pass",U314="new",FT314="N",FV314="N",AQ314&lt;&gt;"Y"),"Y","N"))</f>
        <v/>
      </c>
      <c r="GB314" s="0" t="str">
        <f aca="false">IF(GA314&lt;&gt;"Y","",IF(COUNTIFS($GA$2:$GA$1000,"Y",$J$2:$J$1000,"&gt;"&amp;J314)+COUNTIFS($GA$2:$GA$1000,"Y",$J$2:$J$1000,J314,$GD$2:$GD$1000,"&lt;"&amp;GD314)+1&lt;=25,COUNTIFS($GA$2:$GA$1000,"Y",$J$2:$J$1000,"&gt;"&amp;J314)+COUNTIFS($GA$2:$GA$1000,"Y",$J$2:$J$1000,J314,$GD$2:$GD$1000,"&lt;"&amp;GD314)+1,""))</f>
        <v/>
      </c>
      <c r="GC314" s="0" t="str">
        <f aca="false">IF(AND(_xlfn.ISFORMULA(C314),_xlfn.ISFORMULA(J314)),"Y","N")</f>
        <v>Y</v>
      </c>
      <c r="GD314" s="0" t="n">
        <f aca="false">ROW()-1</f>
        <v>313</v>
      </c>
    </row>
    <row r="315" customFormat="false" ht="15" hidden="false" customHeight="false" outlineLevel="0" collapsed="false">
      <c r="C315" s="0" t="str">
        <f aca="false">IF($A315="","",IF(AW315="Y",BM315&amp;"",AY315&amp;""))</f>
        <v/>
      </c>
      <c r="D315" s="0" t="str">
        <f aca="false">IF($A315="","",IF(AW315="Y",BN315&amp;"",AZ315&amp;""))</f>
        <v/>
      </c>
      <c r="E315" s="0" t="str">
        <f aca="false">IF($A315="","",IF(AW315="Y",BO315&amp;"",BA315&amp;""))</f>
        <v/>
      </c>
      <c r="F315" s="0" t="str">
        <f aca="false">IF($A315="","",IF(AW315="Y",BP315&amp;"",BB315&amp;""))</f>
        <v/>
      </c>
      <c r="G315" s="0" t="str">
        <f aca="false">IF($A315="","",IF(AW315="Y",BQ315&amp;"",BC315&amp;""))</f>
        <v/>
      </c>
      <c r="H315" s="0" t="str">
        <f aca="false">IF($A315="","",IF(AW315="Y",BR315&amp;"",BD315&amp;""))</f>
        <v/>
      </c>
      <c r="I315" s="0" t="str">
        <f aca="false">IF($A315="","",IF(R315="Y","warm-intro",IF(H315="verified","email",IF(C315&lt;&gt;"","linkedin",CB315&amp;""))))</f>
        <v/>
      </c>
      <c r="J315" s="0" t="str">
        <f aca="false">IF($A315="","",IF(CN315="pass",ROUND(N(EM315)+N(EN315)+N(EO315)+N(EP315)+N(EQ315)+N(ER315),1),0))</f>
        <v/>
      </c>
      <c r="K315" s="0" t="str">
        <f aca="false">IF($A315="","",IF(CN315&lt;&gt;"pass",CA315&amp;"",CA315&amp;"; "&amp;IF(AW315="Y",BZ315&amp;"",BL315&amp;"")&amp;IF(R315="Y","; known to the founder (+15)","")&amp;"."))</f>
        <v/>
      </c>
      <c r="R315" s="5"/>
      <c r="U315" s="5"/>
      <c r="Y315" s="0" t="str">
        <f aca="false">IF(FX315&lt;&gt;"Y","",COUNTIFS($FX$2:$FX$1000,"Y",$J$2:$J$1000,"&gt;"&amp;J315)+COUNTIFS($FX$2:$FX$1000,"Y",$J$2:$J$1000,J315,$GD$2:$GD$1000,"&lt;"&amp;GD315)+1)</f>
        <v/>
      </c>
      <c r="AB315" s="0" t="str">
        <f aca="false">IF($A315="","",IF(AW315="Y",BY315&amp;"",BK315&amp;""))</f>
        <v/>
      </c>
      <c r="AC315" s="0" t="str">
        <f aca="false">IF($A315="","",IF(AW315="Y",BS315&amp;"",BE315&amp;""))</f>
        <v/>
      </c>
      <c r="AD315" s="0" t="str">
        <f aca="false">IF($A315="","",IF(AW315="Y",BT315&amp;"",BF315&amp;""))</f>
        <v/>
      </c>
      <c r="AE315" s="0" t="str">
        <f aca="false">IF($A315="","",IF(AW315="Y",BU315&amp;"",BG315&amp;""))</f>
        <v/>
      </c>
      <c r="AF315" s="0" t="str">
        <f aca="false">IF($A315="","",IF(AW315="Y",BV315&amp;"",BH315&amp;""))</f>
        <v/>
      </c>
      <c r="AG315" s="0" t="str">
        <f aca="false">IF($A315="","",IF(AW315="Y",BW315&amp;"",BI315&amp;""))</f>
        <v/>
      </c>
      <c r="AH315" s="0" t="str">
        <f aca="false">IF($A315="","",IF(AW315="Y",BX315&amp;"",BJ315&amp;""))</f>
        <v/>
      </c>
      <c r="AQ315" s="5"/>
      <c r="AT315" s="0" t="str">
        <f aca="false">IF($A315="","",IF(AND(CN315="pass",AQ315&lt;&gt;"Y",C315&lt;&gt;"",OR(AX315&lt;&gt;"Y",AV315="Y")),"Y","N"))</f>
        <v/>
      </c>
      <c r="AU315" s="0" t="str">
        <f aca="false">IF($A315="","",_xlfn.TEXTJOIN("; ",TRUE(),IF(CN315&lt;&gt;"pass","gated out",""),IF(AQ315="Y","on hold: "&amp;AR315,""),IF(C315="","no contact named on an opened page",""),IF(AND(AX315="Y",AV315&lt;&gt;"Y"),"Tuesday estimate band "&amp;L315&amp;": founder's call","")))</f>
        <v/>
      </c>
      <c r="BC315" s="0" t="str">
        <f aca="false">IF($A315="","",IFERROR(INDEX(Enrichment!$A$2:$GZ$2000,MATCH($A315,INDEX(Enrichment!$A$2:$GZ$2000,0,MATCH("row_id",Enrichment!$A$1:$GZ$1,0)),0),MATCH("work_email",Enrichment!$A$1:$GZ$1,0))&amp;"",""))</f>
        <v/>
      </c>
      <c r="BD315" s="0" t="str">
        <f aca="false">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Q315" s="0" t="str">
        <f aca="false">IF($A315="","",IFERROR(INDEX(Enrichment!$A$2:$GZ$2000,MATCH($A315,INDEX(Enrichment!$A$2:$GZ$2000,0,MATCH("row_id",Enrichment!$A$1:$GZ$1,0)),0),MATCH("backup_work_email",Enrichment!$A$1:$GZ$1,0))&amp;"",""))</f>
        <v/>
      </c>
      <c r="BR315" s="0" t="str">
        <f aca="false">IF($A315="","",IF(BQ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EQ315" s="0" t="str">
        <f aca="false">IF($A315="","",IF(AH315="exact",10,IF(AH315="adjacent",5,0)))</f>
        <v/>
      </c>
      <c r="ER315" s="0" t="str">
        <f aca="false">IF($A315="","",IF(R315="Y",15,0))</f>
        <v/>
      </c>
      <c r="FS315" s="0" t="str">
        <f aca="false">IF($A315="","",IF(ISNUMBER(MATCH(U315,{"queued","contacted","replied","call_booked","call_done","yes_in_principle","materials_sent"},0)),"Y","N"))</f>
        <v/>
      </c>
      <c r="FT315" s="0" t="str">
        <f aca="false">IF($A315="","",IF(OR(T315="Y",U315="do_not_contact",AS315&amp;""&lt;&gt;""),"Y","N"))</f>
        <v/>
      </c>
      <c r="FU315" s="0" t="str">
        <f aca="false">IF($A315="","",IF(AP315&amp;""&lt;&gt;"",AP315&amp;"",$A315))</f>
        <v/>
      </c>
      <c r="FV315" s="0" t="str">
        <f aca="false">IF($A315="","",IF(COUNTIFS($FU$2:$FU$1000,FU315,$FS$2:$FS$1000,"Y")+COUNTIFS($FU$2:$FU$1000,FU315,$FT$2:$FT$1000,"Y")&gt;0,"Y","N"))</f>
        <v/>
      </c>
      <c r="FW315" s="0" t="str">
        <f aca="false">IF($A315="","",IF(AND(U315="new",T315="N",FT315="N",AT315="Y",FV315="N"),"Y","N"))</f>
        <v/>
      </c>
      <c r="FX315" s="0" t="str">
        <f aca="false">IF($A315="","",IF(FW315&lt;&gt;"Y","N",IF(COUNTIFS($FU$2:$FU$1000,FU315,$FW$2:$FW$1000,"Y",$J$2:$J$1000,"&gt;"&amp;J315)+COUNTIFS($FU$2:$FU$1000,FU315,$FW$2:$FW$1000,"Y",$J$2:$J$1000,J315,$GD$2:$GD$1000,"&lt;"&amp;GD315)=0,"Y","N")))</f>
        <v/>
      </c>
      <c r="FY315" s="0" t="str">
        <f aca="false">IF($A315="","",IF(AND(FW315="Y",FX315="Y",Y315&amp;""&lt;&gt;""),IF(Y315&lt;=10,"Y","N"),"N"))</f>
        <v/>
      </c>
      <c r="FZ315" s="0" t="str">
        <f aca="false">IF(FY315="Y",Y315,"")</f>
        <v/>
      </c>
      <c r="GA315" s="0" t="str">
        <f aca="false">IF($A315="","",IF(AND(I315="walk-in",CN315="pass",U315="new",FT315="N",FV315="N",AQ315&lt;&gt;"Y"),"Y","N"))</f>
        <v/>
      </c>
      <c r="GB315" s="0" t="str">
        <f aca="false">IF(GA315&lt;&gt;"Y","",IF(COUNTIFS($GA$2:$GA$1000,"Y",$J$2:$J$1000,"&gt;"&amp;J315)+COUNTIFS($GA$2:$GA$1000,"Y",$J$2:$J$1000,J315,$GD$2:$GD$1000,"&lt;"&amp;GD315)+1&lt;=25,COUNTIFS($GA$2:$GA$1000,"Y",$J$2:$J$1000,"&gt;"&amp;J315)+COUNTIFS($GA$2:$GA$1000,"Y",$J$2:$J$1000,J315,$GD$2:$GD$1000,"&lt;"&amp;GD315)+1,""))</f>
        <v/>
      </c>
      <c r="GC315" s="0" t="str">
        <f aca="false">IF(AND(_xlfn.ISFORMULA(C315),_xlfn.ISFORMULA(J315)),"Y","N")</f>
        <v>Y</v>
      </c>
      <c r="GD315" s="0" t="n">
        <f aca="false">ROW()-1</f>
        <v>314</v>
      </c>
    </row>
    <row r="316" customFormat="false" ht="15" hidden="false" customHeight="false" outlineLevel="0" collapsed="false">
      <c r="C316" s="0" t="str">
        <f aca="false">IF($A316="","",IF(AW316="Y",BM316&amp;"",AY316&amp;""))</f>
        <v/>
      </c>
      <c r="D316" s="0" t="str">
        <f aca="false">IF($A316="","",IF(AW316="Y",BN316&amp;"",AZ316&amp;""))</f>
        <v/>
      </c>
      <c r="E316" s="0" t="str">
        <f aca="false">IF($A316="","",IF(AW316="Y",BO316&amp;"",BA316&amp;""))</f>
        <v/>
      </c>
      <c r="F316" s="0" t="str">
        <f aca="false">IF($A316="","",IF(AW316="Y",BP316&amp;"",BB316&amp;""))</f>
        <v/>
      </c>
      <c r="G316" s="0" t="str">
        <f aca="false">IF($A316="","",IF(AW316="Y",BQ316&amp;"",BC316&amp;""))</f>
        <v/>
      </c>
      <c r="H316" s="0" t="str">
        <f aca="false">IF($A316="","",IF(AW316="Y",BR316&amp;"",BD316&amp;""))</f>
        <v/>
      </c>
      <c r="I316" s="0" t="str">
        <f aca="false">IF($A316="","",IF(R316="Y","warm-intro",IF(H316="verified","email",IF(C316&lt;&gt;"","linkedin",CB316&amp;""))))</f>
        <v/>
      </c>
      <c r="J316" s="0" t="str">
        <f aca="false">IF($A316="","",IF(CN316="pass",ROUND(N(EM316)+N(EN316)+N(EO316)+N(EP316)+N(EQ316)+N(ER316),1),0))</f>
        <v/>
      </c>
      <c r="K316" s="0" t="str">
        <f aca="false">IF($A316="","",IF(CN316&lt;&gt;"pass",CA316&amp;"",CA316&amp;"; "&amp;IF(AW316="Y",BZ316&amp;"",BL316&amp;"")&amp;IF(R316="Y","; known to the founder (+15)","")&amp;"."))</f>
        <v/>
      </c>
      <c r="R316" s="5"/>
      <c r="U316" s="5"/>
      <c r="Y316" s="0" t="str">
        <f aca="false">IF(FX316&lt;&gt;"Y","",COUNTIFS($FX$2:$FX$1000,"Y",$J$2:$J$1000,"&gt;"&amp;J316)+COUNTIFS($FX$2:$FX$1000,"Y",$J$2:$J$1000,J316,$GD$2:$GD$1000,"&lt;"&amp;GD316)+1)</f>
        <v/>
      </c>
      <c r="AB316" s="0" t="str">
        <f aca="false">IF($A316="","",IF(AW316="Y",BY316&amp;"",BK316&amp;""))</f>
        <v/>
      </c>
      <c r="AC316" s="0" t="str">
        <f aca="false">IF($A316="","",IF(AW316="Y",BS316&amp;"",BE316&amp;""))</f>
        <v/>
      </c>
      <c r="AD316" s="0" t="str">
        <f aca="false">IF($A316="","",IF(AW316="Y",BT316&amp;"",BF316&amp;""))</f>
        <v/>
      </c>
      <c r="AE316" s="0" t="str">
        <f aca="false">IF($A316="","",IF(AW316="Y",BU316&amp;"",BG316&amp;""))</f>
        <v/>
      </c>
      <c r="AF316" s="0" t="str">
        <f aca="false">IF($A316="","",IF(AW316="Y",BV316&amp;"",BH316&amp;""))</f>
        <v/>
      </c>
      <c r="AG316" s="0" t="str">
        <f aca="false">IF($A316="","",IF(AW316="Y",BW316&amp;"",BI316&amp;""))</f>
        <v/>
      </c>
      <c r="AH316" s="0" t="str">
        <f aca="false">IF($A316="","",IF(AW316="Y",BX316&amp;"",BJ316&amp;""))</f>
        <v/>
      </c>
      <c r="AQ316" s="5"/>
      <c r="AT316" s="0" t="str">
        <f aca="false">IF($A316="","",IF(AND(CN316="pass",AQ316&lt;&gt;"Y",C316&lt;&gt;"",OR(AX316&lt;&gt;"Y",AV316="Y")),"Y","N"))</f>
        <v/>
      </c>
      <c r="AU316" s="0" t="str">
        <f aca="false">IF($A316="","",_xlfn.TEXTJOIN("; ",TRUE(),IF(CN316&lt;&gt;"pass","gated out",""),IF(AQ316="Y","on hold: "&amp;AR316,""),IF(C316="","no contact named on an opened page",""),IF(AND(AX316="Y",AV316&lt;&gt;"Y"),"Tuesday estimate band "&amp;L316&amp;": founder's call","")))</f>
        <v/>
      </c>
      <c r="BC316" s="0" t="str">
        <f aca="false">IF($A316="","",IFERROR(INDEX(Enrichment!$A$2:$GZ$2000,MATCH($A316,INDEX(Enrichment!$A$2:$GZ$2000,0,MATCH("row_id",Enrichment!$A$1:$GZ$1,0)),0),MATCH("work_email",Enrichment!$A$1:$GZ$1,0))&amp;"",""))</f>
        <v/>
      </c>
      <c r="BD316" s="0" t="str">
        <f aca="false">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Q316" s="0" t="str">
        <f aca="false">IF($A316="","",IFERROR(INDEX(Enrichment!$A$2:$GZ$2000,MATCH($A316,INDEX(Enrichment!$A$2:$GZ$2000,0,MATCH("row_id",Enrichment!$A$1:$GZ$1,0)),0),MATCH("backup_work_email",Enrichment!$A$1:$GZ$1,0))&amp;"",""))</f>
        <v/>
      </c>
      <c r="BR316" s="0" t="str">
        <f aca="false">IF($A316="","",IF(BQ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EQ316" s="0" t="str">
        <f aca="false">IF($A316="","",IF(AH316="exact",10,IF(AH316="adjacent",5,0)))</f>
        <v/>
      </c>
      <c r="ER316" s="0" t="str">
        <f aca="false">IF($A316="","",IF(R316="Y",15,0))</f>
        <v/>
      </c>
      <c r="FS316" s="0" t="str">
        <f aca="false">IF($A316="","",IF(ISNUMBER(MATCH(U316,{"queued","contacted","replied","call_booked","call_done","yes_in_principle","materials_sent"},0)),"Y","N"))</f>
        <v/>
      </c>
      <c r="FT316" s="0" t="str">
        <f aca="false">IF($A316="","",IF(OR(T316="Y",U316="do_not_contact",AS316&amp;""&lt;&gt;""),"Y","N"))</f>
        <v/>
      </c>
      <c r="FU316" s="0" t="str">
        <f aca="false">IF($A316="","",IF(AP316&amp;""&lt;&gt;"",AP316&amp;"",$A316))</f>
        <v/>
      </c>
      <c r="FV316" s="0" t="str">
        <f aca="false">IF($A316="","",IF(COUNTIFS($FU$2:$FU$1000,FU316,$FS$2:$FS$1000,"Y")+COUNTIFS($FU$2:$FU$1000,FU316,$FT$2:$FT$1000,"Y")&gt;0,"Y","N"))</f>
        <v/>
      </c>
      <c r="FW316" s="0" t="str">
        <f aca="false">IF($A316="","",IF(AND(U316="new",T316="N",FT316="N",AT316="Y",FV316="N"),"Y","N"))</f>
        <v/>
      </c>
      <c r="FX316" s="0" t="str">
        <f aca="false">IF($A316="","",IF(FW316&lt;&gt;"Y","N",IF(COUNTIFS($FU$2:$FU$1000,FU316,$FW$2:$FW$1000,"Y",$J$2:$J$1000,"&gt;"&amp;J316)+COUNTIFS($FU$2:$FU$1000,FU316,$FW$2:$FW$1000,"Y",$J$2:$J$1000,J316,$GD$2:$GD$1000,"&lt;"&amp;GD316)=0,"Y","N")))</f>
        <v/>
      </c>
      <c r="FY316" s="0" t="str">
        <f aca="false">IF($A316="","",IF(AND(FW316="Y",FX316="Y",Y316&amp;""&lt;&gt;""),IF(Y316&lt;=10,"Y","N"),"N"))</f>
        <v/>
      </c>
      <c r="FZ316" s="0" t="str">
        <f aca="false">IF(FY316="Y",Y316,"")</f>
        <v/>
      </c>
      <c r="GA316" s="0" t="str">
        <f aca="false">IF($A316="","",IF(AND(I316="walk-in",CN316="pass",U316="new",FT316="N",FV316="N",AQ316&lt;&gt;"Y"),"Y","N"))</f>
        <v/>
      </c>
      <c r="GB316" s="0" t="str">
        <f aca="false">IF(GA316&lt;&gt;"Y","",IF(COUNTIFS($GA$2:$GA$1000,"Y",$J$2:$J$1000,"&gt;"&amp;J316)+COUNTIFS($GA$2:$GA$1000,"Y",$J$2:$J$1000,J316,$GD$2:$GD$1000,"&lt;"&amp;GD316)+1&lt;=25,COUNTIFS($GA$2:$GA$1000,"Y",$J$2:$J$1000,"&gt;"&amp;J316)+COUNTIFS($GA$2:$GA$1000,"Y",$J$2:$J$1000,J316,$GD$2:$GD$1000,"&lt;"&amp;GD316)+1,""))</f>
        <v/>
      </c>
      <c r="GC316" s="0" t="str">
        <f aca="false">IF(AND(_xlfn.ISFORMULA(C316),_xlfn.ISFORMULA(J316)),"Y","N")</f>
        <v>Y</v>
      </c>
      <c r="GD316" s="0" t="n">
        <f aca="false">ROW()-1</f>
        <v>315</v>
      </c>
    </row>
    <row r="317" customFormat="false" ht="15" hidden="false" customHeight="false" outlineLevel="0" collapsed="false">
      <c r="C317" s="0" t="str">
        <f aca="false">IF($A317="","",IF(AW317="Y",BM317&amp;"",AY317&amp;""))</f>
        <v/>
      </c>
      <c r="D317" s="0" t="str">
        <f aca="false">IF($A317="","",IF(AW317="Y",BN317&amp;"",AZ317&amp;""))</f>
        <v/>
      </c>
      <c r="E317" s="0" t="str">
        <f aca="false">IF($A317="","",IF(AW317="Y",BO317&amp;"",BA317&amp;""))</f>
        <v/>
      </c>
      <c r="F317" s="0" t="str">
        <f aca="false">IF($A317="","",IF(AW317="Y",BP317&amp;"",BB317&amp;""))</f>
        <v/>
      </c>
      <c r="G317" s="0" t="str">
        <f aca="false">IF($A317="","",IF(AW317="Y",BQ317&amp;"",BC317&amp;""))</f>
        <v/>
      </c>
      <c r="H317" s="0" t="str">
        <f aca="false">IF($A317="","",IF(AW317="Y",BR317&amp;"",BD317&amp;""))</f>
        <v/>
      </c>
      <c r="I317" s="0" t="str">
        <f aca="false">IF($A317="","",IF(R317="Y","warm-intro",IF(H317="verified","email",IF(C317&lt;&gt;"","linkedin",CB317&amp;""))))</f>
        <v/>
      </c>
      <c r="J317" s="0" t="str">
        <f aca="false">IF($A317="","",IF(CN317="pass",ROUND(N(EM317)+N(EN317)+N(EO317)+N(EP317)+N(EQ317)+N(ER317),1),0))</f>
        <v/>
      </c>
      <c r="K317" s="0" t="str">
        <f aca="false">IF($A317="","",IF(CN317&lt;&gt;"pass",CA317&amp;"",CA317&amp;"; "&amp;IF(AW317="Y",BZ317&amp;"",BL317&amp;"")&amp;IF(R317="Y","; known to the founder (+15)","")&amp;"."))</f>
        <v/>
      </c>
      <c r="R317" s="5"/>
      <c r="U317" s="5"/>
      <c r="Y317" s="0" t="str">
        <f aca="false">IF(FX317&lt;&gt;"Y","",COUNTIFS($FX$2:$FX$1000,"Y",$J$2:$J$1000,"&gt;"&amp;J317)+COUNTIFS($FX$2:$FX$1000,"Y",$J$2:$J$1000,J317,$GD$2:$GD$1000,"&lt;"&amp;GD317)+1)</f>
        <v/>
      </c>
      <c r="AB317" s="0" t="str">
        <f aca="false">IF($A317="","",IF(AW317="Y",BY317&amp;"",BK317&amp;""))</f>
        <v/>
      </c>
      <c r="AC317" s="0" t="str">
        <f aca="false">IF($A317="","",IF(AW317="Y",BS317&amp;"",BE317&amp;""))</f>
        <v/>
      </c>
      <c r="AD317" s="0" t="str">
        <f aca="false">IF($A317="","",IF(AW317="Y",BT317&amp;"",BF317&amp;""))</f>
        <v/>
      </c>
      <c r="AE317" s="0" t="str">
        <f aca="false">IF($A317="","",IF(AW317="Y",BU317&amp;"",BG317&amp;""))</f>
        <v/>
      </c>
      <c r="AF317" s="0" t="str">
        <f aca="false">IF($A317="","",IF(AW317="Y",BV317&amp;"",BH317&amp;""))</f>
        <v/>
      </c>
      <c r="AG317" s="0" t="str">
        <f aca="false">IF($A317="","",IF(AW317="Y",BW317&amp;"",BI317&amp;""))</f>
        <v/>
      </c>
      <c r="AH317" s="0" t="str">
        <f aca="false">IF($A317="","",IF(AW317="Y",BX317&amp;"",BJ317&amp;""))</f>
        <v/>
      </c>
      <c r="AQ317" s="5"/>
      <c r="AT317" s="0" t="str">
        <f aca="false">IF($A317="","",IF(AND(CN317="pass",AQ317&lt;&gt;"Y",C317&lt;&gt;"",OR(AX317&lt;&gt;"Y",AV317="Y")),"Y","N"))</f>
        <v/>
      </c>
      <c r="AU317" s="0" t="str">
        <f aca="false">IF($A317="","",_xlfn.TEXTJOIN("; ",TRUE(),IF(CN317&lt;&gt;"pass","gated out",""),IF(AQ317="Y","on hold: "&amp;AR317,""),IF(C317="","no contact named on an opened page",""),IF(AND(AX317="Y",AV317&lt;&gt;"Y"),"Tuesday estimate band "&amp;L317&amp;": founder's call","")))</f>
        <v/>
      </c>
      <c r="BC317" s="0" t="str">
        <f aca="false">IF($A317="","",IFERROR(INDEX(Enrichment!$A$2:$GZ$2000,MATCH($A317,INDEX(Enrichment!$A$2:$GZ$2000,0,MATCH("row_id",Enrichment!$A$1:$GZ$1,0)),0),MATCH("work_email",Enrichment!$A$1:$GZ$1,0))&amp;"",""))</f>
        <v/>
      </c>
      <c r="BD317" s="0" t="str">
        <f aca="false">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Q317" s="0" t="str">
        <f aca="false">IF($A317="","",IFERROR(INDEX(Enrichment!$A$2:$GZ$2000,MATCH($A317,INDEX(Enrichment!$A$2:$GZ$2000,0,MATCH("row_id",Enrichment!$A$1:$GZ$1,0)),0),MATCH("backup_work_email",Enrichment!$A$1:$GZ$1,0))&amp;"",""))</f>
        <v/>
      </c>
      <c r="BR317" s="0" t="str">
        <f aca="false">IF($A317="","",IF(BQ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EQ317" s="0" t="str">
        <f aca="false">IF($A317="","",IF(AH317="exact",10,IF(AH317="adjacent",5,0)))</f>
        <v/>
      </c>
      <c r="ER317" s="0" t="str">
        <f aca="false">IF($A317="","",IF(R317="Y",15,0))</f>
        <v/>
      </c>
      <c r="FS317" s="0" t="str">
        <f aca="false">IF($A317="","",IF(ISNUMBER(MATCH(U317,{"queued","contacted","replied","call_booked","call_done","yes_in_principle","materials_sent"},0)),"Y","N"))</f>
        <v/>
      </c>
      <c r="FT317" s="0" t="str">
        <f aca="false">IF($A317="","",IF(OR(T317="Y",U317="do_not_contact",AS317&amp;""&lt;&gt;""),"Y","N"))</f>
        <v/>
      </c>
      <c r="FU317" s="0" t="str">
        <f aca="false">IF($A317="","",IF(AP317&amp;""&lt;&gt;"",AP317&amp;"",$A317))</f>
        <v/>
      </c>
      <c r="FV317" s="0" t="str">
        <f aca="false">IF($A317="","",IF(COUNTIFS($FU$2:$FU$1000,FU317,$FS$2:$FS$1000,"Y")+COUNTIFS($FU$2:$FU$1000,FU317,$FT$2:$FT$1000,"Y")&gt;0,"Y","N"))</f>
        <v/>
      </c>
      <c r="FW317" s="0" t="str">
        <f aca="false">IF($A317="","",IF(AND(U317="new",T317="N",FT317="N",AT317="Y",FV317="N"),"Y","N"))</f>
        <v/>
      </c>
      <c r="FX317" s="0" t="str">
        <f aca="false">IF($A317="","",IF(FW317&lt;&gt;"Y","N",IF(COUNTIFS($FU$2:$FU$1000,FU317,$FW$2:$FW$1000,"Y",$J$2:$J$1000,"&gt;"&amp;J317)+COUNTIFS($FU$2:$FU$1000,FU317,$FW$2:$FW$1000,"Y",$J$2:$J$1000,J317,$GD$2:$GD$1000,"&lt;"&amp;GD317)=0,"Y","N")))</f>
        <v/>
      </c>
      <c r="FY317" s="0" t="str">
        <f aca="false">IF($A317="","",IF(AND(FW317="Y",FX317="Y",Y317&amp;""&lt;&gt;""),IF(Y317&lt;=10,"Y","N"),"N"))</f>
        <v/>
      </c>
      <c r="FZ317" s="0" t="str">
        <f aca="false">IF(FY317="Y",Y317,"")</f>
        <v/>
      </c>
      <c r="GA317" s="0" t="str">
        <f aca="false">IF($A317="","",IF(AND(I317="walk-in",CN317="pass",U317="new",FT317="N",FV317="N",AQ317&lt;&gt;"Y"),"Y","N"))</f>
        <v/>
      </c>
      <c r="GB317" s="0" t="str">
        <f aca="false">IF(GA317&lt;&gt;"Y","",IF(COUNTIFS($GA$2:$GA$1000,"Y",$J$2:$J$1000,"&gt;"&amp;J317)+COUNTIFS($GA$2:$GA$1000,"Y",$J$2:$J$1000,J317,$GD$2:$GD$1000,"&lt;"&amp;GD317)+1&lt;=25,COUNTIFS($GA$2:$GA$1000,"Y",$J$2:$J$1000,"&gt;"&amp;J317)+COUNTIFS($GA$2:$GA$1000,"Y",$J$2:$J$1000,J317,$GD$2:$GD$1000,"&lt;"&amp;GD317)+1,""))</f>
        <v/>
      </c>
      <c r="GC317" s="0" t="str">
        <f aca="false">IF(AND(_xlfn.ISFORMULA(C317),_xlfn.ISFORMULA(J317)),"Y","N")</f>
        <v>Y</v>
      </c>
      <c r="GD317" s="0" t="n">
        <f aca="false">ROW()-1</f>
        <v>316</v>
      </c>
    </row>
    <row r="318" customFormat="false" ht="15" hidden="false" customHeight="false" outlineLevel="0" collapsed="false">
      <c r="C318" s="0" t="str">
        <f aca="false">IF($A318="","",IF(AW318="Y",BM318&amp;"",AY318&amp;""))</f>
        <v/>
      </c>
      <c r="D318" s="0" t="str">
        <f aca="false">IF($A318="","",IF(AW318="Y",BN318&amp;"",AZ318&amp;""))</f>
        <v/>
      </c>
      <c r="E318" s="0" t="str">
        <f aca="false">IF($A318="","",IF(AW318="Y",BO318&amp;"",BA318&amp;""))</f>
        <v/>
      </c>
      <c r="F318" s="0" t="str">
        <f aca="false">IF($A318="","",IF(AW318="Y",BP318&amp;"",BB318&amp;""))</f>
        <v/>
      </c>
      <c r="G318" s="0" t="str">
        <f aca="false">IF($A318="","",IF(AW318="Y",BQ318&amp;"",BC318&amp;""))</f>
        <v/>
      </c>
      <c r="H318" s="0" t="str">
        <f aca="false">IF($A318="","",IF(AW318="Y",BR318&amp;"",BD318&amp;""))</f>
        <v/>
      </c>
      <c r="I318" s="0" t="str">
        <f aca="false">IF($A318="","",IF(R318="Y","warm-intro",IF(H318="verified","email",IF(C318&lt;&gt;"","linkedin",CB318&amp;""))))</f>
        <v/>
      </c>
      <c r="J318" s="0" t="str">
        <f aca="false">IF($A318="","",IF(CN318="pass",ROUND(N(EM318)+N(EN318)+N(EO318)+N(EP318)+N(EQ318)+N(ER318),1),0))</f>
        <v/>
      </c>
      <c r="K318" s="0" t="str">
        <f aca="false">IF($A318="","",IF(CN318&lt;&gt;"pass",CA318&amp;"",CA318&amp;"; "&amp;IF(AW318="Y",BZ318&amp;"",BL318&amp;"")&amp;IF(R318="Y","; known to the founder (+15)","")&amp;"."))</f>
        <v/>
      </c>
      <c r="R318" s="5"/>
      <c r="U318" s="5"/>
      <c r="Y318" s="0" t="str">
        <f aca="false">IF(FX318&lt;&gt;"Y","",COUNTIFS($FX$2:$FX$1000,"Y",$J$2:$J$1000,"&gt;"&amp;J318)+COUNTIFS($FX$2:$FX$1000,"Y",$J$2:$J$1000,J318,$GD$2:$GD$1000,"&lt;"&amp;GD318)+1)</f>
        <v/>
      </c>
      <c r="AB318" s="0" t="str">
        <f aca="false">IF($A318="","",IF(AW318="Y",BY318&amp;"",BK318&amp;""))</f>
        <v/>
      </c>
      <c r="AC318" s="0" t="str">
        <f aca="false">IF($A318="","",IF(AW318="Y",BS318&amp;"",BE318&amp;""))</f>
        <v/>
      </c>
      <c r="AD318" s="0" t="str">
        <f aca="false">IF($A318="","",IF(AW318="Y",BT318&amp;"",BF318&amp;""))</f>
        <v/>
      </c>
      <c r="AE318" s="0" t="str">
        <f aca="false">IF($A318="","",IF(AW318="Y",BU318&amp;"",BG318&amp;""))</f>
        <v/>
      </c>
      <c r="AF318" s="0" t="str">
        <f aca="false">IF($A318="","",IF(AW318="Y",BV318&amp;"",BH318&amp;""))</f>
        <v/>
      </c>
      <c r="AG318" s="0" t="str">
        <f aca="false">IF($A318="","",IF(AW318="Y",BW318&amp;"",BI318&amp;""))</f>
        <v/>
      </c>
      <c r="AH318" s="0" t="str">
        <f aca="false">IF($A318="","",IF(AW318="Y",BX318&amp;"",BJ318&amp;""))</f>
        <v/>
      </c>
      <c r="AQ318" s="5"/>
      <c r="AT318" s="0" t="str">
        <f aca="false">IF($A318="","",IF(AND(CN318="pass",AQ318&lt;&gt;"Y",C318&lt;&gt;"",OR(AX318&lt;&gt;"Y",AV318="Y")),"Y","N"))</f>
        <v/>
      </c>
      <c r="AU318" s="0" t="str">
        <f aca="false">IF($A318="","",_xlfn.TEXTJOIN("; ",TRUE(),IF(CN318&lt;&gt;"pass","gated out",""),IF(AQ318="Y","on hold: "&amp;AR318,""),IF(C318="","no contact named on an opened page",""),IF(AND(AX318="Y",AV318&lt;&gt;"Y"),"Tuesday estimate band "&amp;L318&amp;": founder's call","")))</f>
        <v/>
      </c>
      <c r="BC318" s="0" t="str">
        <f aca="false">IF($A318="","",IFERROR(INDEX(Enrichment!$A$2:$GZ$2000,MATCH($A318,INDEX(Enrichment!$A$2:$GZ$2000,0,MATCH("row_id",Enrichment!$A$1:$GZ$1,0)),0),MATCH("work_email",Enrichment!$A$1:$GZ$1,0))&amp;"",""))</f>
        <v/>
      </c>
      <c r="BD318" s="0" t="str">
        <f aca="false">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Q318" s="0" t="str">
        <f aca="false">IF($A318="","",IFERROR(INDEX(Enrichment!$A$2:$GZ$2000,MATCH($A318,INDEX(Enrichment!$A$2:$GZ$2000,0,MATCH("row_id",Enrichment!$A$1:$GZ$1,0)),0),MATCH("backup_work_email",Enrichment!$A$1:$GZ$1,0))&amp;"",""))</f>
        <v/>
      </c>
      <c r="BR318" s="0" t="str">
        <f aca="false">IF($A318="","",IF(BQ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EQ318" s="0" t="str">
        <f aca="false">IF($A318="","",IF(AH318="exact",10,IF(AH318="adjacent",5,0)))</f>
        <v/>
      </c>
      <c r="ER318" s="0" t="str">
        <f aca="false">IF($A318="","",IF(R318="Y",15,0))</f>
        <v/>
      </c>
      <c r="FS318" s="0" t="str">
        <f aca="false">IF($A318="","",IF(ISNUMBER(MATCH(U318,{"queued","contacted","replied","call_booked","call_done","yes_in_principle","materials_sent"},0)),"Y","N"))</f>
        <v/>
      </c>
      <c r="FT318" s="0" t="str">
        <f aca="false">IF($A318="","",IF(OR(T318="Y",U318="do_not_contact",AS318&amp;""&lt;&gt;""),"Y","N"))</f>
        <v/>
      </c>
      <c r="FU318" s="0" t="str">
        <f aca="false">IF($A318="","",IF(AP318&amp;""&lt;&gt;"",AP318&amp;"",$A318))</f>
        <v/>
      </c>
      <c r="FV318" s="0" t="str">
        <f aca="false">IF($A318="","",IF(COUNTIFS($FU$2:$FU$1000,FU318,$FS$2:$FS$1000,"Y")+COUNTIFS($FU$2:$FU$1000,FU318,$FT$2:$FT$1000,"Y")&gt;0,"Y","N"))</f>
        <v/>
      </c>
      <c r="FW318" s="0" t="str">
        <f aca="false">IF($A318="","",IF(AND(U318="new",T318="N",FT318="N",AT318="Y",FV318="N"),"Y","N"))</f>
        <v/>
      </c>
      <c r="FX318" s="0" t="str">
        <f aca="false">IF($A318="","",IF(FW318&lt;&gt;"Y","N",IF(COUNTIFS($FU$2:$FU$1000,FU318,$FW$2:$FW$1000,"Y",$J$2:$J$1000,"&gt;"&amp;J318)+COUNTIFS($FU$2:$FU$1000,FU318,$FW$2:$FW$1000,"Y",$J$2:$J$1000,J318,$GD$2:$GD$1000,"&lt;"&amp;GD318)=0,"Y","N")))</f>
        <v/>
      </c>
      <c r="FY318" s="0" t="str">
        <f aca="false">IF($A318="","",IF(AND(FW318="Y",FX318="Y",Y318&amp;""&lt;&gt;""),IF(Y318&lt;=10,"Y","N"),"N"))</f>
        <v/>
      </c>
      <c r="FZ318" s="0" t="str">
        <f aca="false">IF(FY318="Y",Y318,"")</f>
        <v/>
      </c>
      <c r="GA318" s="0" t="str">
        <f aca="false">IF($A318="","",IF(AND(I318="walk-in",CN318="pass",U318="new",FT318="N",FV318="N",AQ318&lt;&gt;"Y"),"Y","N"))</f>
        <v/>
      </c>
      <c r="GB318" s="0" t="str">
        <f aca="false">IF(GA318&lt;&gt;"Y","",IF(COUNTIFS($GA$2:$GA$1000,"Y",$J$2:$J$1000,"&gt;"&amp;J318)+COUNTIFS($GA$2:$GA$1000,"Y",$J$2:$J$1000,J318,$GD$2:$GD$1000,"&lt;"&amp;GD318)+1&lt;=25,COUNTIFS($GA$2:$GA$1000,"Y",$J$2:$J$1000,"&gt;"&amp;J318)+COUNTIFS($GA$2:$GA$1000,"Y",$J$2:$J$1000,J318,$GD$2:$GD$1000,"&lt;"&amp;GD318)+1,""))</f>
        <v/>
      </c>
      <c r="GC318" s="0" t="str">
        <f aca="false">IF(AND(_xlfn.ISFORMULA(C318),_xlfn.ISFORMULA(J318)),"Y","N")</f>
        <v>Y</v>
      </c>
      <c r="GD318" s="0" t="n">
        <f aca="false">ROW()-1</f>
        <v>317</v>
      </c>
    </row>
    <row r="319" customFormat="false" ht="15" hidden="false" customHeight="false" outlineLevel="0" collapsed="false">
      <c r="C319" s="0" t="str">
        <f aca="false">IF($A319="","",IF(AW319="Y",BM319&amp;"",AY319&amp;""))</f>
        <v/>
      </c>
      <c r="D319" s="0" t="str">
        <f aca="false">IF($A319="","",IF(AW319="Y",BN319&amp;"",AZ319&amp;""))</f>
        <v/>
      </c>
      <c r="E319" s="0" t="str">
        <f aca="false">IF($A319="","",IF(AW319="Y",BO319&amp;"",BA319&amp;""))</f>
        <v/>
      </c>
      <c r="F319" s="0" t="str">
        <f aca="false">IF($A319="","",IF(AW319="Y",BP319&amp;"",BB319&amp;""))</f>
        <v/>
      </c>
      <c r="G319" s="0" t="str">
        <f aca="false">IF($A319="","",IF(AW319="Y",BQ319&amp;"",BC319&amp;""))</f>
        <v/>
      </c>
      <c r="H319" s="0" t="str">
        <f aca="false">IF($A319="","",IF(AW319="Y",BR319&amp;"",BD319&amp;""))</f>
        <v/>
      </c>
      <c r="I319" s="0" t="str">
        <f aca="false">IF($A319="","",IF(R319="Y","warm-intro",IF(H319="verified","email",IF(C319&lt;&gt;"","linkedin",CB319&amp;""))))</f>
        <v/>
      </c>
      <c r="J319" s="0" t="str">
        <f aca="false">IF($A319="","",IF(CN319="pass",ROUND(N(EM319)+N(EN319)+N(EO319)+N(EP319)+N(EQ319)+N(ER319),1),0))</f>
        <v/>
      </c>
      <c r="K319" s="0" t="str">
        <f aca="false">IF($A319="","",IF(CN319&lt;&gt;"pass",CA319&amp;"",CA319&amp;"; "&amp;IF(AW319="Y",BZ319&amp;"",BL319&amp;"")&amp;IF(R319="Y","; known to the founder (+15)","")&amp;"."))</f>
        <v/>
      </c>
      <c r="R319" s="5"/>
      <c r="U319" s="5"/>
      <c r="Y319" s="0" t="str">
        <f aca="false">IF(FX319&lt;&gt;"Y","",COUNTIFS($FX$2:$FX$1000,"Y",$J$2:$J$1000,"&gt;"&amp;J319)+COUNTIFS($FX$2:$FX$1000,"Y",$J$2:$J$1000,J319,$GD$2:$GD$1000,"&lt;"&amp;GD319)+1)</f>
        <v/>
      </c>
      <c r="AB319" s="0" t="str">
        <f aca="false">IF($A319="","",IF(AW319="Y",BY319&amp;"",BK319&amp;""))</f>
        <v/>
      </c>
      <c r="AC319" s="0" t="str">
        <f aca="false">IF($A319="","",IF(AW319="Y",BS319&amp;"",BE319&amp;""))</f>
        <v/>
      </c>
      <c r="AD319" s="0" t="str">
        <f aca="false">IF($A319="","",IF(AW319="Y",BT319&amp;"",BF319&amp;""))</f>
        <v/>
      </c>
      <c r="AE319" s="0" t="str">
        <f aca="false">IF($A319="","",IF(AW319="Y",BU319&amp;"",BG319&amp;""))</f>
        <v/>
      </c>
      <c r="AF319" s="0" t="str">
        <f aca="false">IF($A319="","",IF(AW319="Y",BV319&amp;"",BH319&amp;""))</f>
        <v/>
      </c>
      <c r="AG319" s="0" t="str">
        <f aca="false">IF($A319="","",IF(AW319="Y",BW319&amp;"",BI319&amp;""))</f>
        <v/>
      </c>
      <c r="AH319" s="0" t="str">
        <f aca="false">IF($A319="","",IF(AW319="Y",BX319&amp;"",BJ319&amp;""))</f>
        <v/>
      </c>
      <c r="AQ319" s="5"/>
      <c r="AT319" s="0" t="str">
        <f aca="false">IF($A319="","",IF(AND(CN319="pass",AQ319&lt;&gt;"Y",C319&lt;&gt;"",OR(AX319&lt;&gt;"Y",AV319="Y")),"Y","N"))</f>
        <v/>
      </c>
      <c r="AU319" s="0" t="str">
        <f aca="false">IF($A319="","",_xlfn.TEXTJOIN("; ",TRUE(),IF(CN319&lt;&gt;"pass","gated out",""),IF(AQ319="Y","on hold: "&amp;AR319,""),IF(C319="","no contact named on an opened page",""),IF(AND(AX319="Y",AV319&lt;&gt;"Y"),"Tuesday estimate band "&amp;L319&amp;": founder's call","")))</f>
        <v/>
      </c>
      <c r="BC319" s="0" t="str">
        <f aca="false">IF($A319="","",IFERROR(INDEX(Enrichment!$A$2:$GZ$2000,MATCH($A319,INDEX(Enrichment!$A$2:$GZ$2000,0,MATCH("row_id",Enrichment!$A$1:$GZ$1,0)),0),MATCH("work_email",Enrichment!$A$1:$GZ$1,0))&amp;"",""))</f>
        <v/>
      </c>
      <c r="BD319" s="0" t="str">
        <f aca="false">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Q319" s="0" t="str">
        <f aca="false">IF($A319="","",IFERROR(INDEX(Enrichment!$A$2:$GZ$2000,MATCH($A319,INDEX(Enrichment!$A$2:$GZ$2000,0,MATCH("row_id",Enrichment!$A$1:$GZ$1,0)),0),MATCH("backup_work_email",Enrichment!$A$1:$GZ$1,0))&amp;"",""))</f>
        <v/>
      </c>
      <c r="BR319" s="0" t="str">
        <f aca="false">IF($A319="","",IF(BQ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EQ319" s="0" t="str">
        <f aca="false">IF($A319="","",IF(AH319="exact",10,IF(AH319="adjacent",5,0)))</f>
        <v/>
      </c>
      <c r="ER319" s="0" t="str">
        <f aca="false">IF($A319="","",IF(R319="Y",15,0))</f>
        <v/>
      </c>
      <c r="FS319" s="0" t="str">
        <f aca="false">IF($A319="","",IF(ISNUMBER(MATCH(U319,{"queued","contacted","replied","call_booked","call_done","yes_in_principle","materials_sent"},0)),"Y","N"))</f>
        <v/>
      </c>
      <c r="FT319" s="0" t="str">
        <f aca="false">IF($A319="","",IF(OR(T319="Y",U319="do_not_contact",AS319&amp;""&lt;&gt;""),"Y","N"))</f>
        <v/>
      </c>
      <c r="FU319" s="0" t="str">
        <f aca="false">IF($A319="","",IF(AP319&amp;""&lt;&gt;"",AP319&amp;"",$A319))</f>
        <v/>
      </c>
      <c r="FV319" s="0" t="str">
        <f aca="false">IF($A319="","",IF(COUNTIFS($FU$2:$FU$1000,FU319,$FS$2:$FS$1000,"Y")+COUNTIFS($FU$2:$FU$1000,FU319,$FT$2:$FT$1000,"Y")&gt;0,"Y","N"))</f>
        <v/>
      </c>
      <c r="FW319" s="0" t="str">
        <f aca="false">IF($A319="","",IF(AND(U319="new",T319="N",FT319="N",AT319="Y",FV319="N"),"Y","N"))</f>
        <v/>
      </c>
      <c r="FX319" s="0" t="str">
        <f aca="false">IF($A319="","",IF(FW319&lt;&gt;"Y","N",IF(COUNTIFS($FU$2:$FU$1000,FU319,$FW$2:$FW$1000,"Y",$J$2:$J$1000,"&gt;"&amp;J319)+COUNTIFS($FU$2:$FU$1000,FU319,$FW$2:$FW$1000,"Y",$J$2:$J$1000,J319,$GD$2:$GD$1000,"&lt;"&amp;GD319)=0,"Y","N")))</f>
        <v/>
      </c>
      <c r="FY319" s="0" t="str">
        <f aca="false">IF($A319="","",IF(AND(FW319="Y",FX319="Y",Y319&amp;""&lt;&gt;""),IF(Y319&lt;=10,"Y","N"),"N"))</f>
        <v/>
      </c>
      <c r="FZ319" s="0" t="str">
        <f aca="false">IF(FY319="Y",Y319,"")</f>
        <v/>
      </c>
      <c r="GA319" s="0" t="str">
        <f aca="false">IF($A319="","",IF(AND(I319="walk-in",CN319="pass",U319="new",FT319="N",FV319="N",AQ319&lt;&gt;"Y"),"Y","N"))</f>
        <v/>
      </c>
      <c r="GB319" s="0" t="str">
        <f aca="false">IF(GA319&lt;&gt;"Y","",IF(COUNTIFS($GA$2:$GA$1000,"Y",$J$2:$J$1000,"&gt;"&amp;J319)+COUNTIFS($GA$2:$GA$1000,"Y",$J$2:$J$1000,J319,$GD$2:$GD$1000,"&lt;"&amp;GD319)+1&lt;=25,COUNTIFS($GA$2:$GA$1000,"Y",$J$2:$J$1000,"&gt;"&amp;J319)+COUNTIFS($GA$2:$GA$1000,"Y",$J$2:$J$1000,J319,$GD$2:$GD$1000,"&lt;"&amp;GD319)+1,""))</f>
        <v/>
      </c>
      <c r="GC319" s="0" t="str">
        <f aca="false">IF(AND(_xlfn.ISFORMULA(C319),_xlfn.ISFORMULA(J319)),"Y","N")</f>
        <v>Y</v>
      </c>
      <c r="GD319" s="0" t="n">
        <f aca="false">ROW()-1</f>
        <v>318</v>
      </c>
    </row>
    <row r="320" customFormat="false" ht="15" hidden="false" customHeight="false" outlineLevel="0" collapsed="false">
      <c r="C320" s="0" t="str">
        <f aca="false">IF($A320="","",IF(AW320="Y",BM320&amp;"",AY320&amp;""))</f>
        <v/>
      </c>
      <c r="D320" s="0" t="str">
        <f aca="false">IF($A320="","",IF(AW320="Y",BN320&amp;"",AZ320&amp;""))</f>
        <v/>
      </c>
      <c r="E320" s="0" t="str">
        <f aca="false">IF($A320="","",IF(AW320="Y",BO320&amp;"",BA320&amp;""))</f>
        <v/>
      </c>
      <c r="F320" s="0" t="str">
        <f aca="false">IF($A320="","",IF(AW320="Y",BP320&amp;"",BB320&amp;""))</f>
        <v/>
      </c>
      <c r="G320" s="0" t="str">
        <f aca="false">IF($A320="","",IF(AW320="Y",BQ320&amp;"",BC320&amp;""))</f>
        <v/>
      </c>
      <c r="H320" s="0" t="str">
        <f aca="false">IF($A320="","",IF(AW320="Y",BR320&amp;"",BD320&amp;""))</f>
        <v/>
      </c>
      <c r="I320" s="0" t="str">
        <f aca="false">IF($A320="","",IF(R320="Y","warm-intro",IF(H320="verified","email",IF(C320&lt;&gt;"","linkedin",CB320&amp;""))))</f>
        <v/>
      </c>
      <c r="J320" s="0" t="str">
        <f aca="false">IF($A320="","",IF(CN320="pass",ROUND(N(EM320)+N(EN320)+N(EO320)+N(EP320)+N(EQ320)+N(ER320),1),0))</f>
        <v/>
      </c>
      <c r="K320" s="0" t="str">
        <f aca="false">IF($A320="","",IF(CN320&lt;&gt;"pass",CA320&amp;"",CA320&amp;"; "&amp;IF(AW320="Y",BZ320&amp;"",BL320&amp;"")&amp;IF(R320="Y","; known to the founder (+15)","")&amp;"."))</f>
        <v/>
      </c>
      <c r="R320" s="5"/>
      <c r="U320" s="5"/>
      <c r="Y320" s="0" t="str">
        <f aca="false">IF(FX320&lt;&gt;"Y","",COUNTIFS($FX$2:$FX$1000,"Y",$J$2:$J$1000,"&gt;"&amp;J320)+COUNTIFS($FX$2:$FX$1000,"Y",$J$2:$J$1000,J320,$GD$2:$GD$1000,"&lt;"&amp;GD320)+1)</f>
        <v/>
      </c>
      <c r="AB320" s="0" t="str">
        <f aca="false">IF($A320="","",IF(AW320="Y",BY320&amp;"",BK320&amp;""))</f>
        <v/>
      </c>
      <c r="AC320" s="0" t="str">
        <f aca="false">IF($A320="","",IF(AW320="Y",BS320&amp;"",BE320&amp;""))</f>
        <v/>
      </c>
      <c r="AD320" s="0" t="str">
        <f aca="false">IF($A320="","",IF(AW320="Y",BT320&amp;"",BF320&amp;""))</f>
        <v/>
      </c>
      <c r="AE320" s="0" t="str">
        <f aca="false">IF($A320="","",IF(AW320="Y",BU320&amp;"",BG320&amp;""))</f>
        <v/>
      </c>
      <c r="AF320" s="0" t="str">
        <f aca="false">IF($A320="","",IF(AW320="Y",BV320&amp;"",BH320&amp;""))</f>
        <v/>
      </c>
      <c r="AG320" s="0" t="str">
        <f aca="false">IF($A320="","",IF(AW320="Y",BW320&amp;"",BI320&amp;""))</f>
        <v/>
      </c>
      <c r="AH320" s="0" t="str">
        <f aca="false">IF($A320="","",IF(AW320="Y",BX320&amp;"",BJ320&amp;""))</f>
        <v/>
      </c>
      <c r="AQ320" s="5"/>
      <c r="AT320" s="0" t="str">
        <f aca="false">IF($A320="","",IF(AND(CN320="pass",AQ320&lt;&gt;"Y",C320&lt;&gt;"",OR(AX320&lt;&gt;"Y",AV320="Y")),"Y","N"))</f>
        <v/>
      </c>
      <c r="AU320" s="0" t="str">
        <f aca="false">IF($A320="","",_xlfn.TEXTJOIN("; ",TRUE(),IF(CN320&lt;&gt;"pass","gated out",""),IF(AQ320="Y","on hold: "&amp;AR320,""),IF(C320="","no contact named on an opened page",""),IF(AND(AX320="Y",AV320&lt;&gt;"Y"),"Tuesday estimate band "&amp;L320&amp;": founder's call","")))</f>
        <v/>
      </c>
      <c r="BC320" s="0" t="str">
        <f aca="false">IF($A320="","",IFERROR(INDEX(Enrichment!$A$2:$GZ$2000,MATCH($A320,INDEX(Enrichment!$A$2:$GZ$2000,0,MATCH("row_id",Enrichment!$A$1:$GZ$1,0)),0),MATCH("work_email",Enrichment!$A$1:$GZ$1,0))&amp;"",""))</f>
        <v/>
      </c>
      <c r="BD320" s="0" t="str">
        <f aca="false">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Q320" s="0" t="str">
        <f aca="false">IF($A320="","",IFERROR(INDEX(Enrichment!$A$2:$GZ$2000,MATCH($A320,INDEX(Enrichment!$A$2:$GZ$2000,0,MATCH("row_id",Enrichment!$A$1:$GZ$1,0)),0),MATCH("backup_work_email",Enrichment!$A$1:$GZ$1,0))&amp;"",""))</f>
        <v/>
      </c>
      <c r="BR320" s="0" t="str">
        <f aca="false">IF($A320="","",IF(BQ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EQ320" s="0" t="str">
        <f aca="false">IF($A320="","",IF(AH320="exact",10,IF(AH320="adjacent",5,0)))</f>
        <v/>
      </c>
      <c r="ER320" s="0" t="str">
        <f aca="false">IF($A320="","",IF(R320="Y",15,0))</f>
        <v/>
      </c>
      <c r="FS320" s="0" t="str">
        <f aca="false">IF($A320="","",IF(ISNUMBER(MATCH(U320,{"queued","contacted","replied","call_booked","call_done","yes_in_principle","materials_sent"},0)),"Y","N"))</f>
        <v/>
      </c>
      <c r="FT320" s="0" t="str">
        <f aca="false">IF($A320="","",IF(OR(T320="Y",U320="do_not_contact",AS320&amp;""&lt;&gt;""),"Y","N"))</f>
        <v/>
      </c>
      <c r="FU320" s="0" t="str">
        <f aca="false">IF($A320="","",IF(AP320&amp;""&lt;&gt;"",AP320&amp;"",$A320))</f>
        <v/>
      </c>
      <c r="FV320" s="0" t="str">
        <f aca="false">IF($A320="","",IF(COUNTIFS($FU$2:$FU$1000,FU320,$FS$2:$FS$1000,"Y")+COUNTIFS($FU$2:$FU$1000,FU320,$FT$2:$FT$1000,"Y")&gt;0,"Y","N"))</f>
        <v/>
      </c>
      <c r="FW320" s="0" t="str">
        <f aca="false">IF($A320="","",IF(AND(U320="new",T320="N",FT320="N",AT320="Y",FV320="N"),"Y","N"))</f>
        <v/>
      </c>
      <c r="FX320" s="0" t="str">
        <f aca="false">IF($A320="","",IF(FW320&lt;&gt;"Y","N",IF(COUNTIFS($FU$2:$FU$1000,FU320,$FW$2:$FW$1000,"Y",$J$2:$J$1000,"&gt;"&amp;J320)+COUNTIFS($FU$2:$FU$1000,FU320,$FW$2:$FW$1000,"Y",$J$2:$J$1000,J320,$GD$2:$GD$1000,"&lt;"&amp;GD320)=0,"Y","N")))</f>
        <v/>
      </c>
      <c r="FY320" s="0" t="str">
        <f aca="false">IF($A320="","",IF(AND(FW320="Y",FX320="Y",Y320&amp;""&lt;&gt;""),IF(Y320&lt;=10,"Y","N"),"N"))</f>
        <v/>
      </c>
      <c r="FZ320" s="0" t="str">
        <f aca="false">IF(FY320="Y",Y320,"")</f>
        <v/>
      </c>
      <c r="GA320" s="0" t="str">
        <f aca="false">IF($A320="","",IF(AND(I320="walk-in",CN320="pass",U320="new",FT320="N",FV320="N",AQ320&lt;&gt;"Y"),"Y","N"))</f>
        <v/>
      </c>
      <c r="GB320" s="0" t="str">
        <f aca="false">IF(GA320&lt;&gt;"Y","",IF(COUNTIFS($GA$2:$GA$1000,"Y",$J$2:$J$1000,"&gt;"&amp;J320)+COUNTIFS($GA$2:$GA$1000,"Y",$J$2:$J$1000,J320,$GD$2:$GD$1000,"&lt;"&amp;GD320)+1&lt;=25,COUNTIFS($GA$2:$GA$1000,"Y",$J$2:$J$1000,"&gt;"&amp;J320)+COUNTIFS($GA$2:$GA$1000,"Y",$J$2:$J$1000,J320,$GD$2:$GD$1000,"&lt;"&amp;GD320)+1,""))</f>
        <v/>
      </c>
      <c r="GC320" s="0" t="str">
        <f aca="false">IF(AND(_xlfn.ISFORMULA(C320),_xlfn.ISFORMULA(J320)),"Y","N")</f>
        <v>Y</v>
      </c>
      <c r="GD320" s="0" t="n">
        <f aca="false">ROW()-1</f>
        <v>319</v>
      </c>
    </row>
    <row r="321" customFormat="false" ht="15" hidden="false" customHeight="false" outlineLevel="0" collapsed="false">
      <c r="C321" s="0" t="str">
        <f aca="false">IF($A321="","",IF(AW321="Y",BM321&amp;"",AY321&amp;""))</f>
        <v/>
      </c>
      <c r="D321" s="0" t="str">
        <f aca="false">IF($A321="","",IF(AW321="Y",BN321&amp;"",AZ321&amp;""))</f>
        <v/>
      </c>
      <c r="E321" s="0" t="str">
        <f aca="false">IF($A321="","",IF(AW321="Y",BO321&amp;"",BA321&amp;""))</f>
        <v/>
      </c>
      <c r="F321" s="0" t="str">
        <f aca="false">IF($A321="","",IF(AW321="Y",BP321&amp;"",BB321&amp;""))</f>
        <v/>
      </c>
      <c r="G321" s="0" t="str">
        <f aca="false">IF($A321="","",IF(AW321="Y",BQ321&amp;"",BC321&amp;""))</f>
        <v/>
      </c>
      <c r="H321" s="0" t="str">
        <f aca="false">IF($A321="","",IF(AW321="Y",BR321&amp;"",BD321&amp;""))</f>
        <v/>
      </c>
      <c r="I321" s="0" t="str">
        <f aca="false">IF($A321="","",IF(R321="Y","warm-intro",IF(H321="verified","email",IF(C321&lt;&gt;"","linkedin",CB321&amp;""))))</f>
        <v/>
      </c>
      <c r="J321" s="0" t="str">
        <f aca="false">IF($A321="","",IF(CN321="pass",ROUND(N(EM321)+N(EN321)+N(EO321)+N(EP321)+N(EQ321)+N(ER321),1),0))</f>
        <v/>
      </c>
      <c r="K321" s="0" t="str">
        <f aca="false">IF($A321="","",IF(CN321&lt;&gt;"pass",CA321&amp;"",CA321&amp;"; "&amp;IF(AW321="Y",BZ321&amp;"",BL321&amp;"")&amp;IF(R321="Y","; known to the founder (+15)","")&amp;"."))</f>
        <v/>
      </c>
      <c r="R321" s="5"/>
      <c r="U321" s="5"/>
      <c r="Y321" s="0" t="str">
        <f aca="false">IF(FX321&lt;&gt;"Y","",COUNTIFS($FX$2:$FX$1000,"Y",$J$2:$J$1000,"&gt;"&amp;J321)+COUNTIFS($FX$2:$FX$1000,"Y",$J$2:$J$1000,J321,$GD$2:$GD$1000,"&lt;"&amp;GD321)+1)</f>
        <v/>
      </c>
      <c r="AB321" s="0" t="str">
        <f aca="false">IF($A321="","",IF(AW321="Y",BY321&amp;"",BK321&amp;""))</f>
        <v/>
      </c>
      <c r="AC321" s="0" t="str">
        <f aca="false">IF($A321="","",IF(AW321="Y",BS321&amp;"",BE321&amp;""))</f>
        <v/>
      </c>
      <c r="AD321" s="0" t="str">
        <f aca="false">IF($A321="","",IF(AW321="Y",BT321&amp;"",BF321&amp;""))</f>
        <v/>
      </c>
      <c r="AE321" s="0" t="str">
        <f aca="false">IF($A321="","",IF(AW321="Y",BU321&amp;"",BG321&amp;""))</f>
        <v/>
      </c>
      <c r="AF321" s="0" t="str">
        <f aca="false">IF($A321="","",IF(AW321="Y",BV321&amp;"",BH321&amp;""))</f>
        <v/>
      </c>
      <c r="AG321" s="0" t="str">
        <f aca="false">IF($A321="","",IF(AW321="Y",BW321&amp;"",BI321&amp;""))</f>
        <v/>
      </c>
      <c r="AH321" s="0" t="str">
        <f aca="false">IF($A321="","",IF(AW321="Y",BX321&amp;"",BJ321&amp;""))</f>
        <v/>
      </c>
      <c r="AQ321" s="5"/>
      <c r="AT321" s="0" t="str">
        <f aca="false">IF($A321="","",IF(AND(CN321="pass",AQ321&lt;&gt;"Y",C321&lt;&gt;"",OR(AX321&lt;&gt;"Y",AV321="Y")),"Y","N"))</f>
        <v/>
      </c>
      <c r="AU321" s="0" t="str">
        <f aca="false">IF($A321="","",_xlfn.TEXTJOIN("; ",TRUE(),IF(CN321&lt;&gt;"pass","gated out",""),IF(AQ321="Y","on hold: "&amp;AR321,""),IF(C321="","no contact named on an opened page",""),IF(AND(AX321="Y",AV321&lt;&gt;"Y"),"Tuesday estimate band "&amp;L321&amp;": founder's call","")))</f>
        <v/>
      </c>
      <c r="BC321" s="0" t="str">
        <f aca="false">IF($A321="","",IFERROR(INDEX(Enrichment!$A$2:$GZ$2000,MATCH($A321,INDEX(Enrichment!$A$2:$GZ$2000,0,MATCH("row_id",Enrichment!$A$1:$GZ$1,0)),0),MATCH("work_email",Enrichment!$A$1:$GZ$1,0))&amp;"",""))</f>
        <v/>
      </c>
      <c r="BD321" s="0" t="str">
        <f aca="false">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Q321" s="0" t="str">
        <f aca="false">IF($A321="","",IFERROR(INDEX(Enrichment!$A$2:$GZ$2000,MATCH($A321,INDEX(Enrichment!$A$2:$GZ$2000,0,MATCH("row_id",Enrichment!$A$1:$GZ$1,0)),0),MATCH("backup_work_email",Enrichment!$A$1:$GZ$1,0))&amp;"",""))</f>
        <v/>
      </c>
      <c r="BR321" s="0" t="str">
        <f aca="false">IF($A321="","",IF(BQ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EQ321" s="0" t="str">
        <f aca="false">IF($A321="","",IF(AH321="exact",10,IF(AH321="adjacent",5,0)))</f>
        <v/>
      </c>
      <c r="ER321" s="0" t="str">
        <f aca="false">IF($A321="","",IF(R321="Y",15,0))</f>
        <v/>
      </c>
      <c r="FS321" s="0" t="str">
        <f aca="false">IF($A321="","",IF(ISNUMBER(MATCH(U321,{"queued","contacted","replied","call_booked","call_done","yes_in_principle","materials_sent"},0)),"Y","N"))</f>
        <v/>
      </c>
      <c r="FT321" s="0" t="str">
        <f aca="false">IF($A321="","",IF(OR(T321="Y",U321="do_not_contact",AS321&amp;""&lt;&gt;""),"Y","N"))</f>
        <v/>
      </c>
      <c r="FU321" s="0" t="str">
        <f aca="false">IF($A321="","",IF(AP321&amp;""&lt;&gt;"",AP321&amp;"",$A321))</f>
        <v/>
      </c>
      <c r="FV321" s="0" t="str">
        <f aca="false">IF($A321="","",IF(COUNTIFS($FU$2:$FU$1000,FU321,$FS$2:$FS$1000,"Y")+COUNTIFS($FU$2:$FU$1000,FU321,$FT$2:$FT$1000,"Y")&gt;0,"Y","N"))</f>
        <v/>
      </c>
      <c r="FW321" s="0" t="str">
        <f aca="false">IF($A321="","",IF(AND(U321="new",T321="N",FT321="N",AT321="Y",FV321="N"),"Y","N"))</f>
        <v/>
      </c>
      <c r="FX321" s="0" t="str">
        <f aca="false">IF($A321="","",IF(FW321&lt;&gt;"Y","N",IF(COUNTIFS($FU$2:$FU$1000,FU321,$FW$2:$FW$1000,"Y",$J$2:$J$1000,"&gt;"&amp;J321)+COUNTIFS($FU$2:$FU$1000,FU321,$FW$2:$FW$1000,"Y",$J$2:$J$1000,J321,$GD$2:$GD$1000,"&lt;"&amp;GD321)=0,"Y","N")))</f>
        <v/>
      </c>
      <c r="FY321" s="0" t="str">
        <f aca="false">IF($A321="","",IF(AND(FW321="Y",FX321="Y",Y321&amp;""&lt;&gt;""),IF(Y321&lt;=10,"Y","N"),"N"))</f>
        <v/>
      </c>
      <c r="FZ321" s="0" t="str">
        <f aca="false">IF(FY321="Y",Y321,"")</f>
        <v/>
      </c>
      <c r="GA321" s="0" t="str">
        <f aca="false">IF($A321="","",IF(AND(I321="walk-in",CN321="pass",U321="new",FT321="N",FV321="N",AQ321&lt;&gt;"Y"),"Y","N"))</f>
        <v/>
      </c>
      <c r="GB321" s="0" t="str">
        <f aca="false">IF(GA321&lt;&gt;"Y","",IF(COUNTIFS($GA$2:$GA$1000,"Y",$J$2:$J$1000,"&gt;"&amp;J321)+COUNTIFS($GA$2:$GA$1000,"Y",$J$2:$J$1000,J321,$GD$2:$GD$1000,"&lt;"&amp;GD321)+1&lt;=25,COUNTIFS($GA$2:$GA$1000,"Y",$J$2:$J$1000,"&gt;"&amp;J321)+COUNTIFS($GA$2:$GA$1000,"Y",$J$2:$J$1000,J321,$GD$2:$GD$1000,"&lt;"&amp;GD321)+1,""))</f>
        <v/>
      </c>
      <c r="GC321" s="0" t="str">
        <f aca="false">IF(AND(_xlfn.ISFORMULA(C321),_xlfn.ISFORMULA(J321)),"Y","N")</f>
        <v>Y</v>
      </c>
      <c r="GD321" s="0" t="n">
        <f aca="false">ROW()-1</f>
        <v>320</v>
      </c>
    </row>
    <row r="322" customFormat="false" ht="15" hidden="false" customHeight="false" outlineLevel="0" collapsed="false">
      <c r="C322" s="0" t="str">
        <f aca="false">IF($A322="","",IF(AW322="Y",BM322&amp;"",AY322&amp;""))</f>
        <v/>
      </c>
      <c r="D322" s="0" t="str">
        <f aca="false">IF($A322="","",IF(AW322="Y",BN322&amp;"",AZ322&amp;""))</f>
        <v/>
      </c>
      <c r="E322" s="0" t="str">
        <f aca="false">IF($A322="","",IF(AW322="Y",BO322&amp;"",BA322&amp;""))</f>
        <v/>
      </c>
      <c r="F322" s="0" t="str">
        <f aca="false">IF($A322="","",IF(AW322="Y",BP322&amp;"",BB322&amp;""))</f>
        <v/>
      </c>
      <c r="G322" s="0" t="str">
        <f aca="false">IF($A322="","",IF(AW322="Y",BQ322&amp;"",BC322&amp;""))</f>
        <v/>
      </c>
      <c r="H322" s="0" t="str">
        <f aca="false">IF($A322="","",IF(AW322="Y",BR322&amp;"",BD322&amp;""))</f>
        <v/>
      </c>
      <c r="I322" s="0" t="str">
        <f aca="false">IF($A322="","",IF(R322="Y","warm-intro",IF(H322="verified","email",IF(C322&lt;&gt;"","linkedin",CB322&amp;""))))</f>
        <v/>
      </c>
      <c r="J322" s="0" t="str">
        <f aca="false">IF($A322="","",IF(CN322="pass",ROUND(N(EM322)+N(EN322)+N(EO322)+N(EP322)+N(EQ322)+N(ER322),1),0))</f>
        <v/>
      </c>
      <c r="K322" s="0" t="str">
        <f aca="false">IF($A322="","",IF(CN322&lt;&gt;"pass",CA322&amp;"",CA322&amp;"; "&amp;IF(AW322="Y",BZ322&amp;"",BL322&amp;"")&amp;IF(R322="Y","; known to the founder (+15)","")&amp;"."))</f>
        <v/>
      </c>
      <c r="R322" s="5"/>
      <c r="U322" s="5"/>
      <c r="Y322" s="0" t="str">
        <f aca="false">IF(FX322&lt;&gt;"Y","",COUNTIFS($FX$2:$FX$1000,"Y",$J$2:$J$1000,"&gt;"&amp;J322)+COUNTIFS($FX$2:$FX$1000,"Y",$J$2:$J$1000,J322,$GD$2:$GD$1000,"&lt;"&amp;GD322)+1)</f>
        <v/>
      </c>
      <c r="AB322" s="0" t="str">
        <f aca="false">IF($A322="","",IF(AW322="Y",BY322&amp;"",BK322&amp;""))</f>
        <v/>
      </c>
      <c r="AC322" s="0" t="str">
        <f aca="false">IF($A322="","",IF(AW322="Y",BS322&amp;"",BE322&amp;""))</f>
        <v/>
      </c>
      <c r="AD322" s="0" t="str">
        <f aca="false">IF($A322="","",IF(AW322="Y",BT322&amp;"",BF322&amp;""))</f>
        <v/>
      </c>
      <c r="AE322" s="0" t="str">
        <f aca="false">IF($A322="","",IF(AW322="Y",BU322&amp;"",BG322&amp;""))</f>
        <v/>
      </c>
      <c r="AF322" s="0" t="str">
        <f aca="false">IF($A322="","",IF(AW322="Y",BV322&amp;"",BH322&amp;""))</f>
        <v/>
      </c>
      <c r="AG322" s="0" t="str">
        <f aca="false">IF($A322="","",IF(AW322="Y",BW322&amp;"",BI322&amp;""))</f>
        <v/>
      </c>
      <c r="AH322" s="0" t="str">
        <f aca="false">IF($A322="","",IF(AW322="Y",BX322&amp;"",BJ322&amp;""))</f>
        <v/>
      </c>
      <c r="AQ322" s="5"/>
      <c r="AT322" s="0" t="str">
        <f aca="false">IF($A322="","",IF(AND(CN322="pass",AQ322&lt;&gt;"Y",C322&lt;&gt;"",OR(AX322&lt;&gt;"Y",AV322="Y")),"Y","N"))</f>
        <v/>
      </c>
      <c r="AU322" s="0" t="str">
        <f aca="false">IF($A322="","",_xlfn.TEXTJOIN("; ",TRUE(),IF(CN322&lt;&gt;"pass","gated out",""),IF(AQ322="Y","on hold: "&amp;AR322,""),IF(C322="","no contact named on an opened page",""),IF(AND(AX322="Y",AV322&lt;&gt;"Y"),"Tuesday estimate band "&amp;L322&amp;": founder's call","")))</f>
        <v/>
      </c>
      <c r="BC322" s="0" t="str">
        <f aca="false">IF($A322="","",IFERROR(INDEX(Enrichment!$A$2:$GZ$2000,MATCH($A322,INDEX(Enrichment!$A$2:$GZ$2000,0,MATCH("row_id",Enrichment!$A$1:$GZ$1,0)),0),MATCH("work_email",Enrichment!$A$1:$GZ$1,0))&amp;"",""))</f>
        <v/>
      </c>
      <c r="BD322" s="0" t="str">
        <f aca="false">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Q322" s="0" t="str">
        <f aca="false">IF($A322="","",IFERROR(INDEX(Enrichment!$A$2:$GZ$2000,MATCH($A322,INDEX(Enrichment!$A$2:$GZ$2000,0,MATCH("row_id",Enrichment!$A$1:$GZ$1,0)),0),MATCH("backup_work_email",Enrichment!$A$1:$GZ$1,0))&amp;"",""))</f>
        <v/>
      </c>
      <c r="BR322" s="0" t="str">
        <f aca="false">IF($A322="","",IF(BQ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EQ322" s="0" t="str">
        <f aca="false">IF($A322="","",IF(AH322="exact",10,IF(AH322="adjacent",5,0)))</f>
        <v/>
      </c>
      <c r="ER322" s="0" t="str">
        <f aca="false">IF($A322="","",IF(R322="Y",15,0))</f>
        <v/>
      </c>
      <c r="FS322" s="0" t="str">
        <f aca="false">IF($A322="","",IF(ISNUMBER(MATCH(U322,{"queued","contacted","replied","call_booked","call_done","yes_in_principle","materials_sent"},0)),"Y","N"))</f>
        <v/>
      </c>
      <c r="FT322" s="0" t="str">
        <f aca="false">IF($A322="","",IF(OR(T322="Y",U322="do_not_contact",AS322&amp;""&lt;&gt;""),"Y","N"))</f>
        <v/>
      </c>
      <c r="FU322" s="0" t="str">
        <f aca="false">IF($A322="","",IF(AP322&amp;""&lt;&gt;"",AP322&amp;"",$A322))</f>
        <v/>
      </c>
      <c r="FV322" s="0" t="str">
        <f aca="false">IF($A322="","",IF(COUNTIFS($FU$2:$FU$1000,FU322,$FS$2:$FS$1000,"Y")+COUNTIFS($FU$2:$FU$1000,FU322,$FT$2:$FT$1000,"Y")&gt;0,"Y","N"))</f>
        <v/>
      </c>
      <c r="FW322" s="0" t="str">
        <f aca="false">IF($A322="","",IF(AND(U322="new",T322="N",FT322="N",AT322="Y",FV322="N"),"Y","N"))</f>
        <v/>
      </c>
      <c r="FX322" s="0" t="str">
        <f aca="false">IF($A322="","",IF(FW322&lt;&gt;"Y","N",IF(COUNTIFS($FU$2:$FU$1000,FU322,$FW$2:$FW$1000,"Y",$J$2:$J$1000,"&gt;"&amp;J322)+COUNTIFS($FU$2:$FU$1000,FU322,$FW$2:$FW$1000,"Y",$J$2:$J$1000,J322,$GD$2:$GD$1000,"&lt;"&amp;GD322)=0,"Y","N")))</f>
        <v/>
      </c>
      <c r="FY322" s="0" t="str">
        <f aca="false">IF($A322="","",IF(AND(FW322="Y",FX322="Y",Y322&amp;""&lt;&gt;""),IF(Y322&lt;=10,"Y","N"),"N"))</f>
        <v/>
      </c>
      <c r="FZ322" s="0" t="str">
        <f aca="false">IF(FY322="Y",Y322,"")</f>
        <v/>
      </c>
      <c r="GA322" s="0" t="str">
        <f aca="false">IF($A322="","",IF(AND(I322="walk-in",CN322="pass",U322="new",FT322="N",FV322="N",AQ322&lt;&gt;"Y"),"Y","N"))</f>
        <v/>
      </c>
      <c r="GB322" s="0" t="str">
        <f aca="false">IF(GA322&lt;&gt;"Y","",IF(COUNTIFS($GA$2:$GA$1000,"Y",$J$2:$J$1000,"&gt;"&amp;J322)+COUNTIFS($GA$2:$GA$1000,"Y",$J$2:$J$1000,J322,$GD$2:$GD$1000,"&lt;"&amp;GD322)+1&lt;=25,COUNTIFS($GA$2:$GA$1000,"Y",$J$2:$J$1000,"&gt;"&amp;J322)+COUNTIFS($GA$2:$GA$1000,"Y",$J$2:$J$1000,J322,$GD$2:$GD$1000,"&lt;"&amp;GD322)+1,""))</f>
        <v/>
      </c>
      <c r="GC322" s="0" t="str">
        <f aca="false">IF(AND(_xlfn.ISFORMULA(C322),_xlfn.ISFORMULA(J322)),"Y","N")</f>
        <v>Y</v>
      </c>
      <c r="GD322" s="0" t="n">
        <f aca="false">ROW()-1</f>
        <v>321</v>
      </c>
    </row>
    <row r="323" customFormat="false" ht="15" hidden="false" customHeight="false" outlineLevel="0" collapsed="false">
      <c r="C323" s="0" t="str">
        <f aca="false">IF($A323="","",IF(AW323="Y",BM323&amp;"",AY323&amp;""))</f>
        <v/>
      </c>
      <c r="D323" s="0" t="str">
        <f aca="false">IF($A323="","",IF(AW323="Y",BN323&amp;"",AZ323&amp;""))</f>
        <v/>
      </c>
      <c r="E323" s="0" t="str">
        <f aca="false">IF($A323="","",IF(AW323="Y",BO323&amp;"",BA323&amp;""))</f>
        <v/>
      </c>
      <c r="F323" s="0" t="str">
        <f aca="false">IF($A323="","",IF(AW323="Y",BP323&amp;"",BB323&amp;""))</f>
        <v/>
      </c>
      <c r="G323" s="0" t="str">
        <f aca="false">IF($A323="","",IF(AW323="Y",BQ323&amp;"",BC323&amp;""))</f>
        <v/>
      </c>
      <c r="H323" s="0" t="str">
        <f aca="false">IF($A323="","",IF(AW323="Y",BR323&amp;"",BD323&amp;""))</f>
        <v/>
      </c>
      <c r="I323" s="0" t="str">
        <f aca="false">IF($A323="","",IF(R323="Y","warm-intro",IF(H323="verified","email",IF(C323&lt;&gt;"","linkedin",CB323&amp;""))))</f>
        <v/>
      </c>
      <c r="J323" s="0" t="str">
        <f aca="false">IF($A323="","",IF(CN323="pass",ROUND(N(EM323)+N(EN323)+N(EO323)+N(EP323)+N(EQ323)+N(ER323),1),0))</f>
        <v/>
      </c>
      <c r="K323" s="0" t="str">
        <f aca="false">IF($A323="","",IF(CN323&lt;&gt;"pass",CA323&amp;"",CA323&amp;"; "&amp;IF(AW323="Y",BZ323&amp;"",BL323&amp;"")&amp;IF(R323="Y","; known to the founder (+15)","")&amp;"."))</f>
        <v/>
      </c>
      <c r="R323" s="5"/>
      <c r="U323" s="5"/>
      <c r="Y323" s="0" t="str">
        <f aca="false">IF(FX323&lt;&gt;"Y","",COUNTIFS($FX$2:$FX$1000,"Y",$J$2:$J$1000,"&gt;"&amp;J323)+COUNTIFS($FX$2:$FX$1000,"Y",$J$2:$J$1000,J323,$GD$2:$GD$1000,"&lt;"&amp;GD323)+1)</f>
        <v/>
      </c>
      <c r="AB323" s="0" t="str">
        <f aca="false">IF($A323="","",IF(AW323="Y",BY323&amp;"",BK323&amp;""))</f>
        <v/>
      </c>
      <c r="AC323" s="0" t="str">
        <f aca="false">IF($A323="","",IF(AW323="Y",BS323&amp;"",BE323&amp;""))</f>
        <v/>
      </c>
      <c r="AD323" s="0" t="str">
        <f aca="false">IF($A323="","",IF(AW323="Y",BT323&amp;"",BF323&amp;""))</f>
        <v/>
      </c>
      <c r="AE323" s="0" t="str">
        <f aca="false">IF($A323="","",IF(AW323="Y",BU323&amp;"",BG323&amp;""))</f>
        <v/>
      </c>
      <c r="AF323" s="0" t="str">
        <f aca="false">IF($A323="","",IF(AW323="Y",BV323&amp;"",BH323&amp;""))</f>
        <v/>
      </c>
      <c r="AG323" s="0" t="str">
        <f aca="false">IF($A323="","",IF(AW323="Y",BW323&amp;"",BI323&amp;""))</f>
        <v/>
      </c>
      <c r="AH323" s="0" t="str">
        <f aca="false">IF($A323="","",IF(AW323="Y",BX323&amp;"",BJ323&amp;""))</f>
        <v/>
      </c>
      <c r="AQ323" s="5"/>
      <c r="AT323" s="0" t="str">
        <f aca="false">IF($A323="","",IF(AND(CN323="pass",AQ323&lt;&gt;"Y",C323&lt;&gt;"",OR(AX323&lt;&gt;"Y",AV323="Y")),"Y","N"))</f>
        <v/>
      </c>
      <c r="AU323" s="0" t="str">
        <f aca="false">IF($A323="","",_xlfn.TEXTJOIN("; ",TRUE(),IF(CN323&lt;&gt;"pass","gated out",""),IF(AQ323="Y","on hold: "&amp;AR323,""),IF(C323="","no contact named on an opened page",""),IF(AND(AX323="Y",AV323&lt;&gt;"Y"),"Tuesday estimate band "&amp;L323&amp;": founder's call","")))</f>
        <v/>
      </c>
      <c r="BC323" s="0" t="str">
        <f aca="false">IF($A323="","",IFERROR(INDEX(Enrichment!$A$2:$GZ$2000,MATCH($A323,INDEX(Enrichment!$A$2:$GZ$2000,0,MATCH("row_id",Enrichment!$A$1:$GZ$1,0)),0),MATCH("work_email",Enrichment!$A$1:$GZ$1,0))&amp;"",""))</f>
        <v/>
      </c>
      <c r="BD323" s="0" t="str">
        <f aca="false">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Q323" s="0" t="str">
        <f aca="false">IF($A323="","",IFERROR(INDEX(Enrichment!$A$2:$GZ$2000,MATCH($A323,INDEX(Enrichment!$A$2:$GZ$2000,0,MATCH("row_id",Enrichment!$A$1:$GZ$1,0)),0),MATCH("backup_work_email",Enrichment!$A$1:$GZ$1,0))&amp;"",""))</f>
        <v/>
      </c>
      <c r="BR323" s="0" t="str">
        <f aca="false">IF($A323="","",IF(BQ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EQ323" s="0" t="str">
        <f aca="false">IF($A323="","",IF(AH323="exact",10,IF(AH323="adjacent",5,0)))</f>
        <v/>
      </c>
      <c r="ER323" s="0" t="str">
        <f aca="false">IF($A323="","",IF(R323="Y",15,0))</f>
        <v/>
      </c>
      <c r="FS323" s="0" t="str">
        <f aca="false">IF($A323="","",IF(ISNUMBER(MATCH(U323,{"queued","contacted","replied","call_booked","call_done","yes_in_principle","materials_sent"},0)),"Y","N"))</f>
        <v/>
      </c>
      <c r="FT323" s="0" t="str">
        <f aca="false">IF($A323="","",IF(OR(T323="Y",U323="do_not_contact",AS323&amp;""&lt;&gt;""),"Y","N"))</f>
        <v/>
      </c>
      <c r="FU323" s="0" t="str">
        <f aca="false">IF($A323="","",IF(AP323&amp;""&lt;&gt;"",AP323&amp;"",$A323))</f>
        <v/>
      </c>
      <c r="FV323" s="0" t="str">
        <f aca="false">IF($A323="","",IF(COUNTIFS($FU$2:$FU$1000,FU323,$FS$2:$FS$1000,"Y")+COUNTIFS($FU$2:$FU$1000,FU323,$FT$2:$FT$1000,"Y")&gt;0,"Y","N"))</f>
        <v/>
      </c>
      <c r="FW323" s="0" t="str">
        <f aca="false">IF($A323="","",IF(AND(U323="new",T323="N",FT323="N",AT323="Y",FV323="N"),"Y","N"))</f>
        <v/>
      </c>
      <c r="FX323" s="0" t="str">
        <f aca="false">IF($A323="","",IF(FW323&lt;&gt;"Y","N",IF(COUNTIFS($FU$2:$FU$1000,FU323,$FW$2:$FW$1000,"Y",$J$2:$J$1000,"&gt;"&amp;J323)+COUNTIFS($FU$2:$FU$1000,FU323,$FW$2:$FW$1000,"Y",$J$2:$J$1000,J323,$GD$2:$GD$1000,"&lt;"&amp;GD323)=0,"Y","N")))</f>
        <v/>
      </c>
      <c r="FY323" s="0" t="str">
        <f aca="false">IF($A323="","",IF(AND(FW323="Y",FX323="Y",Y323&amp;""&lt;&gt;""),IF(Y323&lt;=10,"Y","N"),"N"))</f>
        <v/>
      </c>
      <c r="FZ323" s="0" t="str">
        <f aca="false">IF(FY323="Y",Y323,"")</f>
        <v/>
      </c>
      <c r="GA323" s="0" t="str">
        <f aca="false">IF($A323="","",IF(AND(I323="walk-in",CN323="pass",U323="new",FT323="N",FV323="N",AQ323&lt;&gt;"Y"),"Y","N"))</f>
        <v/>
      </c>
      <c r="GB323" s="0" t="str">
        <f aca="false">IF(GA323&lt;&gt;"Y","",IF(COUNTIFS($GA$2:$GA$1000,"Y",$J$2:$J$1000,"&gt;"&amp;J323)+COUNTIFS($GA$2:$GA$1000,"Y",$J$2:$J$1000,J323,$GD$2:$GD$1000,"&lt;"&amp;GD323)+1&lt;=25,COUNTIFS($GA$2:$GA$1000,"Y",$J$2:$J$1000,"&gt;"&amp;J323)+COUNTIFS($GA$2:$GA$1000,"Y",$J$2:$J$1000,J323,$GD$2:$GD$1000,"&lt;"&amp;GD323)+1,""))</f>
        <v/>
      </c>
      <c r="GC323" s="0" t="str">
        <f aca="false">IF(AND(_xlfn.ISFORMULA(C323),_xlfn.ISFORMULA(J323)),"Y","N")</f>
        <v>Y</v>
      </c>
      <c r="GD323" s="0" t="n">
        <f aca="false">ROW()-1</f>
        <v>322</v>
      </c>
    </row>
    <row r="324" customFormat="false" ht="15" hidden="false" customHeight="false" outlineLevel="0" collapsed="false">
      <c r="C324" s="0" t="str">
        <f aca="false">IF($A324="","",IF(AW324="Y",BM324&amp;"",AY324&amp;""))</f>
        <v/>
      </c>
      <c r="D324" s="0" t="str">
        <f aca="false">IF($A324="","",IF(AW324="Y",BN324&amp;"",AZ324&amp;""))</f>
        <v/>
      </c>
      <c r="E324" s="0" t="str">
        <f aca="false">IF($A324="","",IF(AW324="Y",BO324&amp;"",BA324&amp;""))</f>
        <v/>
      </c>
      <c r="F324" s="0" t="str">
        <f aca="false">IF($A324="","",IF(AW324="Y",BP324&amp;"",BB324&amp;""))</f>
        <v/>
      </c>
      <c r="G324" s="0" t="str">
        <f aca="false">IF($A324="","",IF(AW324="Y",BQ324&amp;"",BC324&amp;""))</f>
        <v/>
      </c>
      <c r="H324" s="0" t="str">
        <f aca="false">IF($A324="","",IF(AW324="Y",BR324&amp;"",BD324&amp;""))</f>
        <v/>
      </c>
      <c r="I324" s="0" t="str">
        <f aca="false">IF($A324="","",IF(R324="Y","warm-intro",IF(H324="verified","email",IF(C324&lt;&gt;"","linkedin",CB324&amp;""))))</f>
        <v/>
      </c>
      <c r="J324" s="0" t="str">
        <f aca="false">IF($A324="","",IF(CN324="pass",ROUND(N(EM324)+N(EN324)+N(EO324)+N(EP324)+N(EQ324)+N(ER324),1),0))</f>
        <v/>
      </c>
      <c r="K324" s="0" t="str">
        <f aca="false">IF($A324="","",IF(CN324&lt;&gt;"pass",CA324&amp;"",CA324&amp;"; "&amp;IF(AW324="Y",BZ324&amp;"",BL324&amp;"")&amp;IF(R324="Y","; known to the founder (+15)","")&amp;"."))</f>
        <v/>
      </c>
      <c r="R324" s="5"/>
      <c r="U324" s="5"/>
      <c r="Y324" s="0" t="str">
        <f aca="false">IF(FX324&lt;&gt;"Y","",COUNTIFS($FX$2:$FX$1000,"Y",$J$2:$J$1000,"&gt;"&amp;J324)+COUNTIFS($FX$2:$FX$1000,"Y",$J$2:$J$1000,J324,$GD$2:$GD$1000,"&lt;"&amp;GD324)+1)</f>
        <v/>
      </c>
      <c r="AB324" s="0" t="str">
        <f aca="false">IF($A324="","",IF(AW324="Y",BY324&amp;"",BK324&amp;""))</f>
        <v/>
      </c>
      <c r="AC324" s="0" t="str">
        <f aca="false">IF($A324="","",IF(AW324="Y",BS324&amp;"",BE324&amp;""))</f>
        <v/>
      </c>
      <c r="AD324" s="0" t="str">
        <f aca="false">IF($A324="","",IF(AW324="Y",BT324&amp;"",BF324&amp;""))</f>
        <v/>
      </c>
      <c r="AE324" s="0" t="str">
        <f aca="false">IF($A324="","",IF(AW324="Y",BU324&amp;"",BG324&amp;""))</f>
        <v/>
      </c>
      <c r="AF324" s="0" t="str">
        <f aca="false">IF($A324="","",IF(AW324="Y",BV324&amp;"",BH324&amp;""))</f>
        <v/>
      </c>
      <c r="AG324" s="0" t="str">
        <f aca="false">IF($A324="","",IF(AW324="Y",BW324&amp;"",BI324&amp;""))</f>
        <v/>
      </c>
      <c r="AH324" s="0" t="str">
        <f aca="false">IF($A324="","",IF(AW324="Y",BX324&amp;"",BJ324&amp;""))</f>
        <v/>
      </c>
      <c r="AQ324" s="5"/>
      <c r="AT324" s="0" t="str">
        <f aca="false">IF($A324="","",IF(AND(CN324="pass",AQ324&lt;&gt;"Y",C324&lt;&gt;"",OR(AX324&lt;&gt;"Y",AV324="Y")),"Y","N"))</f>
        <v/>
      </c>
      <c r="AU324" s="0" t="str">
        <f aca="false">IF($A324="","",_xlfn.TEXTJOIN("; ",TRUE(),IF(CN324&lt;&gt;"pass","gated out",""),IF(AQ324="Y","on hold: "&amp;AR324,""),IF(C324="","no contact named on an opened page",""),IF(AND(AX324="Y",AV324&lt;&gt;"Y"),"Tuesday estimate band "&amp;L324&amp;": founder's call","")))</f>
        <v/>
      </c>
      <c r="BC324" s="0" t="str">
        <f aca="false">IF($A324="","",IFERROR(INDEX(Enrichment!$A$2:$GZ$2000,MATCH($A324,INDEX(Enrichment!$A$2:$GZ$2000,0,MATCH("row_id",Enrichment!$A$1:$GZ$1,0)),0),MATCH("work_email",Enrichment!$A$1:$GZ$1,0))&amp;"",""))</f>
        <v/>
      </c>
      <c r="BD324" s="0" t="str">
        <f aca="false">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Q324" s="0" t="str">
        <f aca="false">IF($A324="","",IFERROR(INDEX(Enrichment!$A$2:$GZ$2000,MATCH($A324,INDEX(Enrichment!$A$2:$GZ$2000,0,MATCH("row_id",Enrichment!$A$1:$GZ$1,0)),0),MATCH("backup_work_email",Enrichment!$A$1:$GZ$1,0))&amp;"",""))</f>
        <v/>
      </c>
      <c r="BR324" s="0" t="str">
        <f aca="false">IF($A324="","",IF(BQ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EQ324" s="0" t="str">
        <f aca="false">IF($A324="","",IF(AH324="exact",10,IF(AH324="adjacent",5,0)))</f>
        <v/>
      </c>
      <c r="ER324" s="0" t="str">
        <f aca="false">IF($A324="","",IF(R324="Y",15,0))</f>
        <v/>
      </c>
      <c r="FS324" s="0" t="str">
        <f aca="false">IF($A324="","",IF(ISNUMBER(MATCH(U324,{"queued","contacted","replied","call_booked","call_done","yes_in_principle","materials_sent"},0)),"Y","N"))</f>
        <v/>
      </c>
      <c r="FT324" s="0" t="str">
        <f aca="false">IF($A324="","",IF(OR(T324="Y",U324="do_not_contact",AS324&amp;""&lt;&gt;""),"Y","N"))</f>
        <v/>
      </c>
      <c r="FU324" s="0" t="str">
        <f aca="false">IF($A324="","",IF(AP324&amp;""&lt;&gt;"",AP324&amp;"",$A324))</f>
        <v/>
      </c>
      <c r="FV324" s="0" t="str">
        <f aca="false">IF($A324="","",IF(COUNTIFS($FU$2:$FU$1000,FU324,$FS$2:$FS$1000,"Y")+COUNTIFS($FU$2:$FU$1000,FU324,$FT$2:$FT$1000,"Y")&gt;0,"Y","N"))</f>
        <v/>
      </c>
      <c r="FW324" s="0" t="str">
        <f aca="false">IF($A324="","",IF(AND(U324="new",T324="N",FT324="N",AT324="Y",FV324="N"),"Y","N"))</f>
        <v/>
      </c>
      <c r="FX324" s="0" t="str">
        <f aca="false">IF($A324="","",IF(FW324&lt;&gt;"Y","N",IF(COUNTIFS($FU$2:$FU$1000,FU324,$FW$2:$FW$1000,"Y",$J$2:$J$1000,"&gt;"&amp;J324)+COUNTIFS($FU$2:$FU$1000,FU324,$FW$2:$FW$1000,"Y",$J$2:$J$1000,J324,$GD$2:$GD$1000,"&lt;"&amp;GD324)=0,"Y","N")))</f>
        <v/>
      </c>
      <c r="FY324" s="0" t="str">
        <f aca="false">IF($A324="","",IF(AND(FW324="Y",FX324="Y",Y324&amp;""&lt;&gt;""),IF(Y324&lt;=10,"Y","N"),"N"))</f>
        <v/>
      </c>
      <c r="FZ324" s="0" t="str">
        <f aca="false">IF(FY324="Y",Y324,"")</f>
        <v/>
      </c>
      <c r="GA324" s="0" t="str">
        <f aca="false">IF($A324="","",IF(AND(I324="walk-in",CN324="pass",U324="new",FT324="N",FV324="N",AQ324&lt;&gt;"Y"),"Y","N"))</f>
        <v/>
      </c>
      <c r="GB324" s="0" t="str">
        <f aca="false">IF(GA324&lt;&gt;"Y","",IF(COUNTIFS($GA$2:$GA$1000,"Y",$J$2:$J$1000,"&gt;"&amp;J324)+COUNTIFS($GA$2:$GA$1000,"Y",$J$2:$J$1000,J324,$GD$2:$GD$1000,"&lt;"&amp;GD324)+1&lt;=25,COUNTIFS($GA$2:$GA$1000,"Y",$J$2:$J$1000,"&gt;"&amp;J324)+COUNTIFS($GA$2:$GA$1000,"Y",$J$2:$J$1000,J324,$GD$2:$GD$1000,"&lt;"&amp;GD324)+1,""))</f>
        <v/>
      </c>
      <c r="GC324" s="0" t="str">
        <f aca="false">IF(AND(_xlfn.ISFORMULA(C324),_xlfn.ISFORMULA(J324)),"Y","N")</f>
        <v>Y</v>
      </c>
      <c r="GD324" s="0" t="n">
        <f aca="false">ROW()-1</f>
        <v>323</v>
      </c>
    </row>
    <row r="325" customFormat="false" ht="15" hidden="false" customHeight="false" outlineLevel="0" collapsed="false">
      <c r="C325" s="0" t="str">
        <f aca="false">IF($A325="","",IF(AW325="Y",BM325&amp;"",AY325&amp;""))</f>
        <v/>
      </c>
      <c r="D325" s="0" t="str">
        <f aca="false">IF($A325="","",IF(AW325="Y",BN325&amp;"",AZ325&amp;""))</f>
        <v/>
      </c>
      <c r="E325" s="0" t="str">
        <f aca="false">IF($A325="","",IF(AW325="Y",BO325&amp;"",BA325&amp;""))</f>
        <v/>
      </c>
      <c r="F325" s="0" t="str">
        <f aca="false">IF($A325="","",IF(AW325="Y",BP325&amp;"",BB325&amp;""))</f>
        <v/>
      </c>
      <c r="G325" s="0" t="str">
        <f aca="false">IF($A325="","",IF(AW325="Y",BQ325&amp;"",BC325&amp;""))</f>
        <v/>
      </c>
      <c r="H325" s="0" t="str">
        <f aca="false">IF($A325="","",IF(AW325="Y",BR325&amp;"",BD325&amp;""))</f>
        <v/>
      </c>
      <c r="I325" s="0" t="str">
        <f aca="false">IF($A325="","",IF(R325="Y","warm-intro",IF(H325="verified","email",IF(C325&lt;&gt;"","linkedin",CB325&amp;""))))</f>
        <v/>
      </c>
      <c r="J325" s="0" t="str">
        <f aca="false">IF($A325="","",IF(CN325="pass",ROUND(N(EM325)+N(EN325)+N(EO325)+N(EP325)+N(EQ325)+N(ER325),1),0))</f>
        <v/>
      </c>
      <c r="K325" s="0" t="str">
        <f aca="false">IF($A325="","",IF(CN325&lt;&gt;"pass",CA325&amp;"",CA325&amp;"; "&amp;IF(AW325="Y",BZ325&amp;"",BL325&amp;"")&amp;IF(R325="Y","; known to the founder (+15)","")&amp;"."))</f>
        <v/>
      </c>
      <c r="R325" s="5"/>
      <c r="U325" s="5"/>
      <c r="Y325" s="0" t="str">
        <f aca="false">IF(FX325&lt;&gt;"Y","",COUNTIFS($FX$2:$FX$1000,"Y",$J$2:$J$1000,"&gt;"&amp;J325)+COUNTIFS($FX$2:$FX$1000,"Y",$J$2:$J$1000,J325,$GD$2:$GD$1000,"&lt;"&amp;GD325)+1)</f>
        <v/>
      </c>
      <c r="AB325" s="0" t="str">
        <f aca="false">IF($A325="","",IF(AW325="Y",BY325&amp;"",BK325&amp;""))</f>
        <v/>
      </c>
      <c r="AC325" s="0" t="str">
        <f aca="false">IF($A325="","",IF(AW325="Y",BS325&amp;"",BE325&amp;""))</f>
        <v/>
      </c>
      <c r="AD325" s="0" t="str">
        <f aca="false">IF($A325="","",IF(AW325="Y",BT325&amp;"",BF325&amp;""))</f>
        <v/>
      </c>
      <c r="AE325" s="0" t="str">
        <f aca="false">IF($A325="","",IF(AW325="Y",BU325&amp;"",BG325&amp;""))</f>
        <v/>
      </c>
      <c r="AF325" s="0" t="str">
        <f aca="false">IF($A325="","",IF(AW325="Y",BV325&amp;"",BH325&amp;""))</f>
        <v/>
      </c>
      <c r="AG325" s="0" t="str">
        <f aca="false">IF($A325="","",IF(AW325="Y",BW325&amp;"",BI325&amp;""))</f>
        <v/>
      </c>
      <c r="AH325" s="0" t="str">
        <f aca="false">IF($A325="","",IF(AW325="Y",BX325&amp;"",BJ325&amp;""))</f>
        <v/>
      </c>
      <c r="AQ325" s="5"/>
      <c r="AT325" s="0" t="str">
        <f aca="false">IF($A325="","",IF(AND(CN325="pass",AQ325&lt;&gt;"Y",C325&lt;&gt;"",OR(AX325&lt;&gt;"Y",AV325="Y")),"Y","N"))</f>
        <v/>
      </c>
      <c r="AU325" s="0" t="str">
        <f aca="false">IF($A325="","",_xlfn.TEXTJOIN("; ",TRUE(),IF(CN325&lt;&gt;"pass","gated out",""),IF(AQ325="Y","on hold: "&amp;AR325,""),IF(C325="","no contact named on an opened page",""),IF(AND(AX325="Y",AV325&lt;&gt;"Y"),"Tuesday estimate band "&amp;L325&amp;": founder's call","")))</f>
        <v/>
      </c>
      <c r="BC325" s="0" t="str">
        <f aca="false">IF($A325="","",IFERROR(INDEX(Enrichment!$A$2:$GZ$2000,MATCH($A325,INDEX(Enrichment!$A$2:$GZ$2000,0,MATCH("row_id",Enrichment!$A$1:$GZ$1,0)),0),MATCH("work_email",Enrichment!$A$1:$GZ$1,0))&amp;"",""))</f>
        <v/>
      </c>
      <c r="BD325" s="0" t="str">
        <f aca="false">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Q325" s="0" t="str">
        <f aca="false">IF($A325="","",IFERROR(INDEX(Enrichment!$A$2:$GZ$2000,MATCH($A325,INDEX(Enrichment!$A$2:$GZ$2000,0,MATCH("row_id",Enrichment!$A$1:$GZ$1,0)),0),MATCH("backup_work_email",Enrichment!$A$1:$GZ$1,0))&amp;"",""))</f>
        <v/>
      </c>
      <c r="BR325" s="0" t="str">
        <f aca="false">IF($A325="","",IF(BQ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EQ325" s="0" t="str">
        <f aca="false">IF($A325="","",IF(AH325="exact",10,IF(AH325="adjacent",5,0)))</f>
        <v/>
      </c>
      <c r="ER325" s="0" t="str">
        <f aca="false">IF($A325="","",IF(R325="Y",15,0))</f>
        <v/>
      </c>
      <c r="FS325" s="0" t="str">
        <f aca="false">IF($A325="","",IF(ISNUMBER(MATCH(U325,{"queued","contacted","replied","call_booked","call_done","yes_in_principle","materials_sent"},0)),"Y","N"))</f>
        <v/>
      </c>
      <c r="FT325" s="0" t="str">
        <f aca="false">IF($A325="","",IF(OR(T325="Y",U325="do_not_contact",AS325&amp;""&lt;&gt;""),"Y","N"))</f>
        <v/>
      </c>
      <c r="FU325" s="0" t="str">
        <f aca="false">IF($A325="","",IF(AP325&amp;""&lt;&gt;"",AP325&amp;"",$A325))</f>
        <v/>
      </c>
      <c r="FV325" s="0" t="str">
        <f aca="false">IF($A325="","",IF(COUNTIFS($FU$2:$FU$1000,FU325,$FS$2:$FS$1000,"Y")+COUNTIFS($FU$2:$FU$1000,FU325,$FT$2:$FT$1000,"Y")&gt;0,"Y","N"))</f>
        <v/>
      </c>
      <c r="FW325" s="0" t="str">
        <f aca="false">IF($A325="","",IF(AND(U325="new",T325="N",FT325="N",AT325="Y",FV325="N"),"Y","N"))</f>
        <v/>
      </c>
      <c r="FX325" s="0" t="str">
        <f aca="false">IF($A325="","",IF(FW325&lt;&gt;"Y","N",IF(COUNTIFS($FU$2:$FU$1000,FU325,$FW$2:$FW$1000,"Y",$J$2:$J$1000,"&gt;"&amp;J325)+COUNTIFS($FU$2:$FU$1000,FU325,$FW$2:$FW$1000,"Y",$J$2:$J$1000,J325,$GD$2:$GD$1000,"&lt;"&amp;GD325)=0,"Y","N")))</f>
        <v/>
      </c>
      <c r="FY325" s="0" t="str">
        <f aca="false">IF($A325="","",IF(AND(FW325="Y",FX325="Y",Y325&amp;""&lt;&gt;""),IF(Y325&lt;=10,"Y","N"),"N"))</f>
        <v/>
      </c>
      <c r="FZ325" s="0" t="str">
        <f aca="false">IF(FY325="Y",Y325,"")</f>
        <v/>
      </c>
      <c r="GA325" s="0" t="str">
        <f aca="false">IF($A325="","",IF(AND(I325="walk-in",CN325="pass",U325="new",FT325="N",FV325="N",AQ325&lt;&gt;"Y"),"Y","N"))</f>
        <v/>
      </c>
      <c r="GB325" s="0" t="str">
        <f aca="false">IF(GA325&lt;&gt;"Y","",IF(COUNTIFS($GA$2:$GA$1000,"Y",$J$2:$J$1000,"&gt;"&amp;J325)+COUNTIFS($GA$2:$GA$1000,"Y",$J$2:$J$1000,J325,$GD$2:$GD$1000,"&lt;"&amp;GD325)+1&lt;=25,COUNTIFS($GA$2:$GA$1000,"Y",$J$2:$J$1000,"&gt;"&amp;J325)+COUNTIFS($GA$2:$GA$1000,"Y",$J$2:$J$1000,J325,$GD$2:$GD$1000,"&lt;"&amp;GD325)+1,""))</f>
        <v/>
      </c>
      <c r="GC325" s="0" t="str">
        <f aca="false">IF(AND(_xlfn.ISFORMULA(C325),_xlfn.ISFORMULA(J325)),"Y","N")</f>
        <v>Y</v>
      </c>
      <c r="GD325" s="0" t="n">
        <f aca="false">ROW()-1</f>
        <v>324</v>
      </c>
    </row>
    <row r="326" customFormat="false" ht="15" hidden="false" customHeight="false" outlineLevel="0" collapsed="false">
      <c r="C326" s="0" t="str">
        <f aca="false">IF($A326="","",IF(AW326="Y",BM326&amp;"",AY326&amp;""))</f>
        <v/>
      </c>
      <c r="D326" s="0" t="str">
        <f aca="false">IF($A326="","",IF(AW326="Y",BN326&amp;"",AZ326&amp;""))</f>
        <v/>
      </c>
      <c r="E326" s="0" t="str">
        <f aca="false">IF($A326="","",IF(AW326="Y",BO326&amp;"",BA326&amp;""))</f>
        <v/>
      </c>
      <c r="F326" s="0" t="str">
        <f aca="false">IF($A326="","",IF(AW326="Y",BP326&amp;"",BB326&amp;""))</f>
        <v/>
      </c>
      <c r="G326" s="0" t="str">
        <f aca="false">IF($A326="","",IF(AW326="Y",BQ326&amp;"",BC326&amp;""))</f>
        <v/>
      </c>
      <c r="H326" s="0" t="str">
        <f aca="false">IF($A326="","",IF(AW326="Y",BR326&amp;"",BD326&amp;""))</f>
        <v/>
      </c>
      <c r="I326" s="0" t="str">
        <f aca="false">IF($A326="","",IF(R326="Y","warm-intro",IF(H326="verified","email",IF(C326&lt;&gt;"","linkedin",CB326&amp;""))))</f>
        <v/>
      </c>
      <c r="J326" s="0" t="str">
        <f aca="false">IF($A326="","",IF(CN326="pass",ROUND(N(EM326)+N(EN326)+N(EO326)+N(EP326)+N(EQ326)+N(ER326),1),0))</f>
        <v/>
      </c>
      <c r="K326" s="0" t="str">
        <f aca="false">IF($A326="","",IF(CN326&lt;&gt;"pass",CA326&amp;"",CA326&amp;"; "&amp;IF(AW326="Y",BZ326&amp;"",BL326&amp;"")&amp;IF(R326="Y","; known to the founder (+15)","")&amp;"."))</f>
        <v/>
      </c>
      <c r="R326" s="5"/>
      <c r="U326" s="5"/>
      <c r="Y326" s="0" t="str">
        <f aca="false">IF(FX326&lt;&gt;"Y","",COUNTIFS($FX$2:$FX$1000,"Y",$J$2:$J$1000,"&gt;"&amp;J326)+COUNTIFS($FX$2:$FX$1000,"Y",$J$2:$J$1000,J326,$GD$2:$GD$1000,"&lt;"&amp;GD326)+1)</f>
        <v/>
      </c>
      <c r="AB326" s="0" t="str">
        <f aca="false">IF($A326="","",IF(AW326="Y",BY326&amp;"",BK326&amp;""))</f>
        <v/>
      </c>
      <c r="AC326" s="0" t="str">
        <f aca="false">IF($A326="","",IF(AW326="Y",BS326&amp;"",BE326&amp;""))</f>
        <v/>
      </c>
      <c r="AD326" s="0" t="str">
        <f aca="false">IF($A326="","",IF(AW326="Y",BT326&amp;"",BF326&amp;""))</f>
        <v/>
      </c>
      <c r="AE326" s="0" t="str">
        <f aca="false">IF($A326="","",IF(AW326="Y",BU326&amp;"",BG326&amp;""))</f>
        <v/>
      </c>
      <c r="AF326" s="0" t="str">
        <f aca="false">IF($A326="","",IF(AW326="Y",BV326&amp;"",BH326&amp;""))</f>
        <v/>
      </c>
      <c r="AG326" s="0" t="str">
        <f aca="false">IF($A326="","",IF(AW326="Y",BW326&amp;"",BI326&amp;""))</f>
        <v/>
      </c>
      <c r="AH326" s="0" t="str">
        <f aca="false">IF($A326="","",IF(AW326="Y",BX326&amp;"",BJ326&amp;""))</f>
        <v/>
      </c>
      <c r="AQ326" s="5"/>
      <c r="AT326" s="0" t="str">
        <f aca="false">IF($A326="","",IF(AND(CN326="pass",AQ326&lt;&gt;"Y",C326&lt;&gt;"",OR(AX326&lt;&gt;"Y",AV326="Y")),"Y","N"))</f>
        <v/>
      </c>
      <c r="AU326" s="0" t="str">
        <f aca="false">IF($A326="","",_xlfn.TEXTJOIN("; ",TRUE(),IF(CN326&lt;&gt;"pass","gated out",""),IF(AQ326="Y","on hold: "&amp;AR326,""),IF(C326="","no contact named on an opened page",""),IF(AND(AX326="Y",AV326&lt;&gt;"Y"),"Tuesday estimate band "&amp;L326&amp;": founder's call","")))</f>
        <v/>
      </c>
      <c r="BC326" s="0" t="str">
        <f aca="false">IF($A326="","",IFERROR(INDEX(Enrichment!$A$2:$GZ$2000,MATCH($A326,INDEX(Enrichment!$A$2:$GZ$2000,0,MATCH("row_id",Enrichment!$A$1:$GZ$1,0)),0),MATCH("work_email",Enrichment!$A$1:$GZ$1,0))&amp;"",""))</f>
        <v/>
      </c>
      <c r="BD326" s="0" t="str">
        <f aca="false">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Q326" s="0" t="str">
        <f aca="false">IF($A326="","",IFERROR(INDEX(Enrichment!$A$2:$GZ$2000,MATCH($A326,INDEX(Enrichment!$A$2:$GZ$2000,0,MATCH("row_id",Enrichment!$A$1:$GZ$1,0)),0),MATCH("backup_work_email",Enrichment!$A$1:$GZ$1,0))&amp;"",""))</f>
        <v/>
      </c>
      <c r="BR326" s="0" t="str">
        <f aca="false">IF($A326="","",IF(BQ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EQ326" s="0" t="str">
        <f aca="false">IF($A326="","",IF(AH326="exact",10,IF(AH326="adjacent",5,0)))</f>
        <v/>
      </c>
      <c r="ER326" s="0" t="str">
        <f aca="false">IF($A326="","",IF(R326="Y",15,0))</f>
        <v/>
      </c>
      <c r="FS326" s="0" t="str">
        <f aca="false">IF($A326="","",IF(ISNUMBER(MATCH(U326,{"queued","contacted","replied","call_booked","call_done","yes_in_principle","materials_sent"},0)),"Y","N"))</f>
        <v/>
      </c>
      <c r="FT326" s="0" t="str">
        <f aca="false">IF($A326="","",IF(OR(T326="Y",U326="do_not_contact",AS326&amp;""&lt;&gt;""),"Y","N"))</f>
        <v/>
      </c>
      <c r="FU326" s="0" t="str">
        <f aca="false">IF($A326="","",IF(AP326&amp;""&lt;&gt;"",AP326&amp;"",$A326))</f>
        <v/>
      </c>
      <c r="FV326" s="0" t="str">
        <f aca="false">IF($A326="","",IF(COUNTIFS($FU$2:$FU$1000,FU326,$FS$2:$FS$1000,"Y")+COUNTIFS($FU$2:$FU$1000,FU326,$FT$2:$FT$1000,"Y")&gt;0,"Y","N"))</f>
        <v/>
      </c>
      <c r="FW326" s="0" t="str">
        <f aca="false">IF($A326="","",IF(AND(U326="new",T326="N",FT326="N",AT326="Y",FV326="N"),"Y","N"))</f>
        <v/>
      </c>
      <c r="FX326" s="0" t="str">
        <f aca="false">IF($A326="","",IF(FW326&lt;&gt;"Y","N",IF(COUNTIFS($FU$2:$FU$1000,FU326,$FW$2:$FW$1000,"Y",$J$2:$J$1000,"&gt;"&amp;J326)+COUNTIFS($FU$2:$FU$1000,FU326,$FW$2:$FW$1000,"Y",$J$2:$J$1000,J326,$GD$2:$GD$1000,"&lt;"&amp;GD326)=0,"Y","N")))</f>
        <v/>
      </c>
      <c r="FY326" s="0" t="str">
        <f aca="false">IF($A326="","",IF(AND(FW326="Y",FX326="Y",Y326&amp;""&lt;&gt;""),IF(Y326&lt;=10,"Y","N"),"N"))</f>
        <v/>
      </c>
      <c r="FZ326" s="0" t="str">
        <f aca="false">IF(FY326="Y",Y326,"")</f>
        <v/>
      </c>
      <c r="GA326" s="0" t="str">
        <f aca="false">IF($A326="","",IF(AND(I326="walk-in",CN326="pass",U326="new",FT326="N",FV326="N",AQ326&lt;&gt;"Y"),"Y","N"))</f>
        <v/>
      </c>
      <c r="GB326" s="0" t="str">
        <f aca="false">IF(GA326&lt;&gt;"Y","",IF(COUNTIFS($GA$2:$GA$1000,"Y",$J$2:$J$1000,"&gt;"&amp;J326)+COUNTIFS($GA$2:$GA$1000,"Y",$J$2:$J$1000,J326,$GD$2:$GD$1000,"&lt;"&amp;GD326)+1&lt;=25,COUNTIFS($GA$2:$GA$1000,"Y",$J$2:$J$1000,"&gt;"&amp;J326)+COUNTIFS($GA$2:$GA$1000,"Y",$J$2:$J$1000,J326,$GD$2:$GD$1000,"&lt;"&amp;GD326)+1,""))</f>
        <v/>
      </c>
      <c r="GC326" s="0" t="str">
        <f aca="false">IF(AND(_xlfn.ISFORMULA(C326),_xlfn.ISFORMULA(J326)),"Y","N")</f>
        <v>Y</v>
      </c>
      <c r="GD326" s="0" t="n">
        <f aca="false">ROW()-1</f>
        <v>325</v>
      </c>
    </row>
    <row r="327" customFormat="false" ht="15" hidden="false" customHeight="false" outlineLevel="0" collapsed="false">
      <c r="C327" s="0" t="str">
        <f aca="false">IF($A327="","",IF(AW327="Y",BM327&amp;"",AY327&amp;""))</f>
        <v/>
      </c>
      <c r="D327" s="0" t="str">
        <f aca="false">IF($A327="","",IF(AW327="Y",BN327&amp;"",AZ327&amp;""))</f>
        <v/>
      </c>
      <c r="E327" s="0" t="str">
        <f aca="false">IF($A327="","",IF(AW327="Y",BO327&amp;"",BA327&amp;""))</f>
        <v/>
      </c>
      <c r="F327" s="0" t="str">
        <f aca="false">IF($A327="","",IF(AW327="Y",BP327&amp;"",BB327&amp;""))</f>
        <v/>
      </c>
      <c r="G327" s="0" t="str">
        <f aca="false">IF($A327="","",IF(AW327="Y",BQ327&amp;"",BC327&amp;""))</f>
        <v/>
      </c>
      <c r="H327" s="0" t="str">
        <f aca="false">IF($A327="","",IF(AW327="Y",BR327&amp;"",BD327&amp;""))</f>
        <v/>
      </c>
      <c r="I327" s="0" t="str">
        <f aca="false">IF($A327="","",IF(R327="Y","warm-intro",IF(H327="verified","email",IF(C327&lt;&gt;"","linkedin",CB327&amp;""))))</f>
        <v/>
      </c>
      <c r="J327" s="0" t="str">
        <f aca="false">IF($A327="","",IF(CN327="pass",ROUND(N(EM327)+N(EN327)+N(EO327)+N(EP327)+N(EQ327)+N(ER327),1),0))</f>
        <v/>
      </c>
      <c r="K327" s="0" t="str">
        <f aca="false">IF($A327="","",IF(CN327&lt;&gt;"pass",CA327&amp;"",CA327&amp;"; "&amp;IF(AW327="Y",BZ327&amp;"",BL327&amp;"")&amp;IF(R327="Y","; known to the founder (+15)","")&amp;"."))</f>
        <v/>
      </c>
      <c r="R327" s="5"/>
      <c r="U327" s="5"/>
      <c r="Y327" s="0" t="str">
        <f aca="false">IF(FX327&lt;&gt;"Y","",COUNTIFS($FX$2:$FX$1000,"Y",$J$2:$J$1000,"&gt;"&amp;J327)+COUNTIFS($FX$2:$FX$1000,"Y",$J$2:$J$1000,J327,$GD$2:$GD$1000,"&lt;"&amp;GD327)+1)</f>
        <v/>
      </c>
      <c r="AB327" s="0" t="str">
        <f aca="false">IF($A327="","",IF(AW327="Y",BY327&amp;"",BK327&amp;""))</f>
        <v/>
      </c>
      <c r="AC327" s="0" t="str">
        <f aca="false">IF($A327="","",IF(AW327="Y",BS327&amp;"",BE327&amp;""))</f>
        <v/>
      </c>
      <c r="AD327" s="0" t="str">
        <f aca="false">IF($A327="","",IF(AW327="Y",BT327&amp;"",BF327&amp;""))</f>
        <v/>
      </c>
      <c r="AE327" s="0" t="str">
        <f aca="false">IF($A327="","",IF(AW327="Y",BU327&amp;"",BG327&amp;""))</f>
        <v/>
      </c>
      <c r="AF327" s="0" t="str">
        <f aca="false">IF($A327="","",IF(AW327="Y",BV327&amp;"",BH327&amp;""))</f>
        <v/>
      </c>
      <c r="AG327" s="0" t="str">
        <f aca="false">IF($A327="","",IF(AW327="Y",BW327&amp;"",BI327&amp;""))</f>
        <v/>
      </c>
      <c r="AH327" s="0" t="str">
        <f aca="false">IF($A327="","",IF(AW327="Y",BX327&amp;"",BJ327&amp;""))</f>
        <v/>
      </c>
      <c r="AQ327" s="5"/>
      <c r="AT327" s="0" t="str">
        <f aca="false">IF($A327="","",IF(AND(CN327="pass",AQ327&lt;&gt;"Y",C327&lt;&gt;"",OR(AX327&lt;&gt;"Y",AV327="Y")),"Y","N"))</f>
        <v/>
      </c>
      <c r="AU327" s="0" t="str">
        <f aca="false">IF($A327="","",_xlfn.TEXTJOIN("; ",TRUE(),IF(CN327&lt;&gt;"pass","gated out",""),IF(AQ327="Y","on hold: "&amp;AR327,""),IF(C327="","no contact named on an opened page",""),IF(AND(AX327="Y",AV327&lt;&gt;"Y"),"Tuesday estimate band "&amp;L327&amp;": founder's call","")))</f>
        <v/>
      </c>
      <c r="BC327" s="0" t="str">
        <f aca="false">IF($A327="","",IFERROR(INDEX(Enrichment!$A$2:$GZ$2000,MATCH($A327,INDEX(Enrichment!$A$2:$GZ$2000,0,MATCH("row_id",Enrichment!$A$1:$GZ$1,0)),0),MATCH("work_email",Enrichment!$A$1:$GZ$1,0))&amp;"",""))</f>
        <v/>
      </c>
      <c r="BD327" s="0" t="str">
        <f aca="false">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Q327" s="0" t="str">
        <f aca="false">IF($A327="","",IFERROR(INDEX(Enrichment!$A$2:$GZ$2000,MATCH($A327,INDEX(Enrichment!$A$2:$GZ$2000,0,MATCH("row_id",Enrichment!$A$1:$GZ$1,0)),0),MATCH("backup_work_email",Enrichment!$A$1:$GZ$1,0))&amp;"",""))</f>
        <v/>
      </c>
      <c r="BR327" s="0" t="str">
        <f aca="false">IF($A327="","",IF(BQ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EQ327" s="0" t="str">
        <f aca="false">IF($A327="","",IF(AH327="exact",10,IF(AH327="adjacent",5,0)))</f>
        <v/>
      </c>
      <c r="ER327" s="0" t="str">
        <f aca="false">IF($A327="","",IF(R327="Y",15,0))</f>
        <v/>
      </c>
      <c r="FS327" s="0" t="str">
        <f aca="false">IF($A327="","",IF(ISNUMBER(MATCH(U327,{"queued","contacted","replied","call_booked","call_done","yes_in_principle","materials_sent"},0)),"Y","N"))</f>
        <v/>
      </c>
      <c r="FT327" s="0" t="str">
        <f aca="false">IF($A327="","",IF(OR(T327="Y",U327="do_not_contact",AS327&amp;""&lt;&gt;""),"Y","N"))</f>
        <v/>
      </c>
      <c r="FU327" s="0" t="str">
        <f aca="false">IF($A327="","",IF(AP327&amp;""&lt;&gt;"",AP327&amp;"",$A327))</f>
        <v/>
      </c>
      <c r="FV327" s="0" t="str">
        <f aca="false">IF($A327="","",IF(COUNTIFS($FU$2:$FU$1000,FU327,$FS$2:$FS$1000,"Y")+COUNTIFS($FU$2:$FU$1000,FU327,$FT$2:$FT$1000,"Y")&gt;0,"Y","N"))</f>
        <v/>
      </c>
      <c r="FW327" s="0" t="str">
        <f aca="false">IF($A327="","",IF(AND(U327="new",T327="N",FT327="N",AT327="Y",FV327="N"),"Y","N"))</f>
        <v/>
      </c>
      <c r="FX327" s="0" t="str">
        <f aca="false">IF($A327="","",IF(FW327&lt;&gt;"Y","N",IF(COUNTIFS($FU$2:$FU$1000,FU327,$FW$2:$FW$1000,"Y",$J$2:$J$1000,"&gt;"&amp;J327)+COUNTIFS($FU$2:$FU$1000,FU327,$FW$2:$FW$1000,"Y",$J$2:$J$1000,J327,$GD$2:$GD$1000,"&lt;"&amp;GD327)=0,"Y","N")))</f>
        <v/>
      </c>
      <c r="FY327" s="0" t="str">
        <f aca="false">IF($A327="","",IF(AND(FW327="Y",FX327="Y",Y327&amp;""&lt;&gt;""),IF(Y327&lt;=10,"Y","N"),"N"))</f>
        <v/>
      </c>
      <c r="FZ327" s="0" t="str">
        <f aca="false">IF(FY327="Y",Y327,"")</f>
        <v/>
      </c>
      <c r="GA327" s="0" t="str">
        <f aca="false">IF($A327="","",IF(AND(I327="walk-in",CN327="pass",U327="new",FT327="N",FV327="N",AQ327&lt;&gt;"Y"),"Y","N"))</f>
        <v/>
      </c>
      <c r="GB327" s="0" t="str">
        <f aca="false">IF(GA327&lt;&gt;"Y","",IF(COUNTIFS($GA$2:$GA$1000,"Y",$J$2:$J$1000,"&gt;"&amp;J327)+COUNTIFS($GA$2:$GA$1000,"Y",$J$2:$J$1000,J327,$GD$2:$GD$1000,"&lt;"&amp;GD327)+1&lt;=25,COUNTIFS($GA$2:$GA$1000,"Y",$J$2:$J$1000,"&gt;"&amp;J327)+COUNTIFS($GA$2:$GA$1000,"Y",$J$2:$J$1000,J327,$GD$2:$GD$1000,"&lt;"&amp;GD327)+1,""))</f>
        <v/>
      </c>
      <c r="GC327" s="0" t="str">
        <f aca="false">IF(AND(_xlfn.ISFORMULA(C327),_xlfn.ISFORMULA(J327)),"Y","N")</f>
        <v>Y</v>
      </c>
      <c r="GD327" s="0" t="n">
        <f aca="false">ROW()-1</f>
        <v>326</v>
      </c>
    </row>
    <row r="328" customFormat="false" ht="15" hidden="false" customHeight="false" outlineLevel="0" collapsed="false">
      <c r="C328" s="0" t="str">
        <f aca="false">IF($A328="","",IF(AW328="Y",BM328&amp;"",AY328&amp;""))</f>
        <v/>
      </c>
      <c r="D328" s="0" t="str">
        <f aca="false">IF($A328="","",IF(AW328="Y",BN328&amp;"",AZ328&amp;""))</f>
        <v/>
      </c>
      <c r="E328" s="0" t="str">
        <f aca="false">IF($A328="","",IF(AW328="Y",BO328&amp;"",BA328&amp;""))</f>
        <v/>
      </c>
      <c r="F328" s="0" t="str">
        <f aca="false">IF($A328="","",IF(AW328="Y",BP328&amp;"",BB328&amp;""))</f>
        <v/>
      </c>
      <c r="G328" s="0" t="str">
        <f aca="false">IF($A328="","",IF(AW328="Y",BQ328&amp;"",BC328&amp;""))</f>
        <v/>
      </c>
      <c r="H328" s="0" t="str">
        <f aca="false">IF($A328="","",IF(AW328="Y",BR328&amp;"",BD328&amp;""))</f>
        <v/>
      </c>
      <c r="I328" s="0" t="str">
        <f aca="false">IF($A328="","",IF(R328="Y","warm-intro",IF(H328="verified","email",IF(C328&lt;&gt;"","linkedin",CB328&amp;""))))</f>
        <v/>
      </c>
      <c r="J328" s="0" t="str">
        <f aca="false">IF($A328="","",IF(CN328="pass",ROUND(N(EM328)+N(EN328)+N(EO328)+N(EP328)+N(EQ328)+N(ER328),1),0))</f>
        <v/>
      </c>
      <c r="K328" s="0" t="str">
        <f aca="false">IF($A328="","",IF(CN328&lt;&gt;"pass",CA328&amp;"",CA328&amp;"; "&amp;IF(AW328="Y",BZ328&amp;"",BL328&amp;"")&amp;IF(R328="Y","; known to the founder (+15)","")&amp;"."))</f>
        <v/>
      </c>
      <c r="R328" s="5"/>
      <c r="U328" s="5"/>
      <c r="Y328" s="0" t="str">
        <f aca="false">IF(FX328&lt;&gt;"Y","",COUNTIFS($FX$2:$FX$1000,"Y",$J$2:$J$1000,"&gt;"&amp;J328)+COUNTIFS($FX$2:$FX$1000,"Y",$J$2:$J$1000,J328,$GD$2:$GD$1000,"&lt;"&amp;GD328)+1)</f>
        <v/>
      </c>
      <c r="AB328" s="0" t="str">
        <f aca="false">IF($A328="","",IF(AW328="Y",BY328&amp;"",BK328&amp;""))</f>
        <v/>
      </c>
      <c r="AC328" s="0" t="str">
        <f aca="false">IF($A328="","",IF(AW328="Y",BS328&amp;"",BE328&amp;""))</f>
        <v/>
      </c>
      <c r="AD328" s="0" t="str">
        <f aca="false">IF($A328="","",IF(AW328="Y",BT328&amp;"",BF328&amp;""))</f>
        <v/>
      </c>
      <c r="AE328" s="0" t="str">
        <f aca="false">IF($A328="","",IF(AW328="Y",BU328&amp;"",BG328&amp;""))</f>
        <v/>
      </c>
      <c r="AF328" s="0" t="str">
        <f aca="false">IF($A328="","",IF(AW328="Y",BV328&amp;"",BH328&amp;""))</f>
        <v/>
      </c>
      <c r="AG328" s="0" t="str">
        <f aca="false">IF($A328="","",IF(AW328="Y",BW328&amp;"",BI328&amp;""))</f>
        <v/>
      </c>
      <c r="AH328" s="0" t="str">
        <f aca="false">IF($A328="","",IF(AW328="Y",BX328&amp;"",BJ328&amp;""))</f>
        <v/>
      </c>
      <c r="AQ328" s="5"/>
      <c r="AT328" s="0" t="str">
        <f aca="false">IF($A328="","",IF(AND(CN328="pass",AQ328&lt;&gt;"Y",C328&lt;&gt;"",OR(AX328&lt;&gt;"Y",AV328="Y")),"Y","N"))</f>
        <v/>
      </c>
      <c r="AU328" s="0" t="str">
        <f aca="false">IF($A328="","",_xlfn.TEXTJOIN("; ",TRUE(),IF(CN328&lt;&gt;"pass","gated out",""),IF(AQ328="Y","on hold: "&amp;AR328,""),IF(C328="","no contact named on an opened page",""),IF(AND(AX328="Y",AV328&lt;&gt;"Y"),"Tuesday estimate band "&amp;L328&amp;": founder's call","")))</f>
        <v/>
      </c>
      <c r="BC328" s="0" t="str">
        <f aca="false">IF($A328="","",IFERROR(INDEX(Enrichment!$A$2:$GZ$2000,MATCH($A328,INDEX(Enrichment!$A$2:$GZ$2000,0,MATCH("row_id",Enrichment!$A$1:$GZ$1,0)),0),MATCH("work_email",Enrichment!$A$1:$GZ$1,0))&amp;"",""))</f>
        <v/>
      </c>
      <c r="BD328" s="0" t="str">
        <f aca="false">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Q328" s="0" t="str">
        <f aca="false">IF($A328="","",IFERROR(INDEX(Enrichment!$A$2:$GZ$2000,MATCH($A328,INDEX(Enrichment!$A$2:$GZ$2000,0,MATCH("row_id",Enrichment!$A$1:$GZ$1,0)),0),MATCH("backup_work_email",Enrichment!$A$1:$GZ$1,0))&amp;"",""))</f>
        <v/>
      </c>
      <c r="BR328" s="0" t="str">
        <f aca="false">IF($A328="","",IF(BQ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EQ328" s="0" t="str">
        <f aca="false">IF($A328="","",IF(AH328="exact",10,IF(AH328="adjacent",5,0)))</f>
        <v/>
      </c>
      <c r="ER328" s="0" t="str">
        <f aca="false">IF($A328="","",IF(R328="Y",15,0))</f>
        <v/>
      </c>
      <c r="FS328" s="0" t="str">
        <f aca="false">IF($A328="","",IF(ISNUMBER(MATCH(U328,{"queued","contacted","replied","call_booked","call_done","yes_in_principle","materials_sent"},0)),"Y","N"))</f>
        <v/>
      </c>
      <c r="FT328" s="0" t="str">
        <f aca="false">IF($A328="","",IF(OR(T328="Y",U328="do_not_contact",AS328&amp;""&lt;&gt;""),"Y","N"))</f>
        <v/>
      </c>
      <c r="FU328" s="0" t="str">
        <f aca="false">IF($A328="","",IF(AP328&amp;""&lt;&gt;"",AP328&amp;"",$A328))</f>
        <v/>
      </c>
      <c r="FV328" s="0" t="str">
        <f aca="false">IF($A328="","",IF(COUNTIFS($FU$2:$FU$1000,FU328,$FS$2:$FS$1000,"Y")+COUNTIFS($FU$2:$FU$1000,FU328,$FT$2:$FT$1000,"Y")&gt;0,"Y","N"))</f>
        <v/>
      </c>
      <c r="FW328" s="0" t="str">
        <f aca="false">IF($A328="","",IF(AND(U328="new",T328="N",FT328="N",AT328="Y",FV328="N"),"Y","N"))</f>
        <v/>
      </c>
      <c r="FX328" s="0" t="str">
        <f aca="false">IF($A328="","",IF(FW328&lt;&gt;"Y","N",IF(COUNTIFS($FU$2:$FU$1000,FU328,$FW$2:$FW$1000,"Y",$J$2:$J$1000,"&gt;"&amp;J328)+COUNTIFS($FU$2:$FU$1000,FU328,$FW$2:$FW$1000,"Y",$J$2:$J$1000,J328,$GD$2:$GD$1000,"&lt;"&amp;GD328)=0,"Y","N")))</f>
        <v/>
      </c>
      <c r="FY328" s="0" t="str">
        <f aca="false">IF($A328="","",IF(AND(FW328="Y",FX328="Y",Y328&amp;""&lt;&gt;""),IF(Y328&lt;=10,"Y","N"),"N"))</f>
        <v/>
      </c>
      <c r="FZ328" s="0" t="str">
        <f aca="false">IF(FY328="Y",Y328,"")</f>
        <v/>
      </c>
      <c r="GA328" s="0" t="str">
        <f aca="false">IF($A328="","",IF(AND(I328="walk-in",CN328="pass",U328="new",FT328="N",FV328="N",AQ328&lt;&gt;"Y"),"Y","N"))</f>
        <v/>
      </c>
      <c r="GB328" s="0" t="str">
        <f aca="false">IF(GA328&lt;&gt;"Y","",IF(COUNTIFS($GA$2:$GA$1000,"Y",$J$2:$J$1000,"&gt;"&amp;J328)+COUNTIFS($GA$2:$GA$1000,"Y",$J$2:$J$1000,J328,$GD$2:$GD$1000,"&lt;"&amp;GD328)+1&lt;=25,COUNTIFS($GA$2:$GA$1000,"Y",$J$2:$J$1000,"&gt;"&amp;J328)+COUNTIFS($GA$2:$GA$1000,"Y",$J$2:$J$1000,J328,$GD$2:$GD$1000,"&lt;"&amp;GD328)+1,""))</f>
        <v/>
      </c>
      <c r="GC328" s="0" t="str">
        <f aca="false">IF(AND(_xlfn.ISFORMULA(C328),_xlfn.ISFORMULA(J328)),"Y","N")</f>
        <v>Y</v>
      </c>
      <c r="GD328" s="0" t="n">
        <f aca="false">ROW()-1</f>
        <v>327</v>
      </c>
    </row>
    <row r="329" customFormat="false" ht="15" hidden="false" customHeight="false" outlineLevel="0" collapsed="false">
      <c r="C329" s="0" t="str">
        <f aca="false">IF($A329="","",IF(AW329="Y",BM329&amp;"",AY329&amp;""))</f>
        <v/>
      </c>
      <c r="D329" s="0" t="str">
        <f aca="false">IF($A329="","",IF(AW329="Y",BN329&amp;"",AZ329&amp;""))</f>
        <v/>
      </c>
      <c r="E329" s="0" t="str">
        <f aca="false">IF($A329="","",IF(AW329="Y",BO329&amp;"",BA329&amp;""))</f>
        <v/>
      </c>
      <c r="F329" s="0" t="str">
        <f aca="false">IF($A329="","",IF(AW329="Y",BP329&amp;"",BB329&amp;""))</f>
        <v/>
      </c>
      <c r="G329" s="0" t="str">
        <f aca="false">IF($A329="","",IF(AW329="Y",BQ329&amp;"",BC329&amp;""))</f>
        <v/>
      </c>
      <c r="H329" s="0" t="str">
        <f aca="false">IF($A329="","",IF(AW329="Y",BR329&amp;"",BD329&amp;""))</f>
        <v/>
      </c>
      <c r="I329" s="0" t="str">
        <f aca="false">IF($A329="","",IF(R329="Y","warm-intro",IF(H329="verified","email",IF(C329&lt;&gt;"","linkedin",CB329&amp;""))))</f>
        <v/>
      </c>
      <c r="J329" s="0" t="str">
        <f aca="false">IF($A329="","",IF(CN329="pass",ROUND(N(EM329)+N(EN329)+N(EO329)+N(EP329)+N(EQ329)+N(ER329),1),0))</f>
        <v/>
      </c>
      <c r="K329" s="0" t="str">
        <f aca="false">IF($A329="","",IF(CN329&lt;&gt;"pass",CA329&amp;"",CA329&amp;"; "&amp;IF(AW329="Y",BZ329&amp;"",BL329&amp;"")&amp;IF(R329="Y","; known to the founder (+15)","")&amp;"."))</f>
        <v/>
      </c>
      <c r="R329" s="5"/>
      <c r="U329" s="5"/>
      <c r="Y329" s="0" t="str">
        <f aca="false">IF(FX329&lt;&gt;"Y","",COUNTIFS($FX$2:$FX$1000,"Y",$J$2:$J$1000,"&gt;"&amp;J329)+COUNTIFS($FX$2:$FX$1000,"Y",$J$2:$J$1000,J329,$GD$2:$GD$1000,"&lt;"&amp;GD329)+1)</f>
        <v/>
      </c>
      <c r="AB329" s="0" t="str">
        <f aca="false">IF($A329="","",IF(AW329="Y",BY329&amp;"",BK329&amp;""))</f>
        <v/>
      </c>
      <c r="AC329" s="0" t="str">
        <f aca="false">IF($A329="","",IF(AW329="Y",BS329&amp;"",BE329&amp;""))</f>
        <v/>
      </c>
      <c r="AD329" s="0" t="str">
        <f aca="false">IF($A329="","",IF(AW329="Y",BT329&amp;"",BF329&amp;""))</f>
        <v/>
      </c>
      <c r="AE329" s="0" t="str">
        <f aca="false">IF($A329="","",IF(AW329="Y",BU329&amp;"",BG329&amp;""))</f>
        <v/>
      </c>
      <c r="AF329" s="0" t="str">
        <f aca="false">IF($A329="","",IF(AW329="Y",BV329&amp;"",BH329&amp;""))</f>
        <v/>
      </c>
      <c r="AG329" s="0" t="str">
        <f aca="false">IF($A329="","",IF(AW329="Y",BW329&amp;"",BI329&amp;""))</f>
        <v/>
      </c>
      <c r="AH329" s="0" t="str">
        <f aca="false">IF($A329="","",IF(AW329="Y",BX329&amp;"",BJ329&amp;""))</f>
        <v/>
      </c>
      <c r="AQ329" s="5"/>
      <c r="AT329" s="0" t="str">
        <f aca="false">IF($A329="","",IF(AND(CN329="pass",AQ329&lt;&gt;"Y",C329&lt;&gt;"",OR(AX329&lt;&gt;"Y",AV329="Y")),"Y","N"))</f>
        <v/>
      </c>
      <c r="AU329" s="0" t="str">
        <f aca="false">IF($A329="","",_xlfn.TEXTJOIN("; ",TRUE(),IF(CN329&lt;&gt;"pass","gated out",""),IF(AQ329="Y","on hold: "&amp;AR329,""),IF(C329="","no contact named on an opened page",""),IF(AND(AX329="Y",AV329&lt;&gt;"Y"),"Tuesday estimate band "&amp;L329&amp;": founder's call","")))</f>
        <v/>
      </c>
      <c r="BC329" s="0" t="str">
        <f aca="false">IF($A329="","",IFERROR(INDEX(Enrichment!$A$2:$GZ$2000,MATCH($A329,INDEX(Enrichment!$A$2:$GZ$2000,0,MATCH("row_id",Enrichment!$A$1:$GZ$1,0)),0),MATCH("work_email",Enrichment!$A$1:$GZ$1,0))&amp;"",""))</f>
        <v/>
      </c>
      <c r="BD329" s="0" t="str">
        <f aca="false">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Q329" s="0" t="str">
        <f aca="false">IF($A329="","",IFERROR(INDEX(Enrichment!$A$2:$GZ$2000,MATCH($A329,INDEX(Enrichment!$A$2:$GZ$2000,0,MATCH("row_id",Enrichment!$A$1:$GZ$1,0)),0),MATCH("backup_work_email",Enrichment!$A$1:$GZ$1,0))&amp;"",""))</f>
        <v/>
      </c>
      <c r="BR329" s="0" t="str">
        <f aca="false">IF($A329="","",IF(BQ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EQ329" s="0" t="str">
        <f aca="false">IF($A329="","",IF(AH329="exact",10,IF(AH329="adjacent",5,0)))</f>
        <v/>
      </c>
      <c r="ER329" s="0" t="str">
        <f aca="false">IF($A329="","",IF(R329="Y",15,0))</f>
        <v/>
      </c>
      <c r="FS329" s="0" t="str">
        <f aca="false">IF($A329="","",IF(ISNUMBER(MATCH(U329,{"queued","contacted","replied","call_booked","call_done","yes_in_principle","materials_sent"},0)),"Y","N"))</f>
        <v/>
      </c>
      <c r="FT329" s="0" t="str">
        <f aca="false">IF($A329="","",IF(OR(T329="Y",U329="do_not_contact",AS329&amp;""&lt;&gt;""),"Y","N"))</f>
        <v/>
      </c>
      <c r="FU329" s="0" t="str">
        <f aca="false">IF($A329="","",IF(AP329&amp;""&lt;&gt;"",AP329&amp;"",$A329))</f>
        <v/>
      </c>
      <c r="FV329" s="0" t="str">
        <f aca="false">IF($A329="","",IF(COUNTIFS($FU$2:$FU$1000,FU329,$FS$2:$FS$1000,"Y")+COUNTIFS($FU$2:$FU$1000,FU329,$FT$2:$FT$1000,"Y")&gt;0,"Y","N"))</f>
        <v/>
      </c>
      <c r="FW329" s="0" t="str">
        <f aca="false">IF($A329="","",IF(AND(U329="new",T329="N",FT329="N",AT329="Y",FV329="N"),"Y","N"))</f>
        <v/>
      </c>
      <c r="FX329" s="0" t="str">
        <f aca="false">IF($A329="","",IF(FW329&lt;&gt;"Y","N",IF(COUNTIFS($FU$2:$FU$1000,FU329,$FW$2:$FW$1000,"Y",$J$2:$J$1000,"&gt;"&amp;J329)+COUNTIFS($FU$2:$FU$1000,FU329,$FW$2:$FW$1000,"Y",$J$2:$J$1000,J329,$GD$2:$GD$1000,"&lt;"&amp;GD329)=0,"Y","N")))</f>
        <v/>
      </c>
      <c r="FY329" s="0" t="str">
        <f aca="false">IF($A329="","",IF(AND(FW329="Y",FX329="Y",Y329&amp;""&lt;&gt;""),IF(Y329&lt;=10,"Y","N"),"N"))</f>
        <v/>
      </c>
      <c r="FZ329" s="0" t="str">
        <f aca="false">IF(FY329="Y",Y329,"")</f>
        <v/>
      </c>
      <c r="GA329" s="0" t="str">
        <f aca="false">IF($A329="","",IF(AND(I329="walk-in",CN329="pass",U329="new",FT329="N",FV329="N",AQ329&lt;&gt;"Y"),"Y","N"))</f>
        <v/>
      </c>
      <c r="GB329" s="0" t="str">
        <f aca="false">IF(GA329&lt;&gt;"Y","",IF(COUNTIFS($GA$2:$GA$1000,"Y",$J$2:$J$1000,"&gt;"&amp;J329)+COUNTIFS($GA$2:$GA$1000,"Y",$J$2:$J$1000,J329,$GD$2:$GD$1000,"&lt;"&amp;GD329)+1&lt;=25,COUNTIFS($GA$2:$GA$1000,"Y",$J$2:$J$1000,"&gt;"&amp;J329)+COUNTIFS($GA$2:$GA$1000,"Y",$J$2:$J$1000,J329,$GD$2:$GD$1000,"&lt;"&amp;GD329)+1,""))</f>
        <v/>
      </c>
      <c r="GC329" s="0" t="str">
        <f aca="false">IF(AND(_xlfn.ISFORMULA(C329),_xlfn.ISFORMULA(J329)),"Y","N")</f>
        <v>Y</v>
      </c>
      <c r="GD329" s="0" t="n">
        <f aca="false">ROW()-1</f>
        <v>328</v>
      </c>
    </row>
    <row r="330" customFormat="false" ht="15" hidden="false" customHeight="false" outlineLevel="0" collapsed="false">
      <c r="C330" s="0" t="str">
        <f aca="false">IF($A330="","",IF(AW330="Y",BM330&amp;"",AY330&amp;""))</f>
        <v/>
      </c>
      <c r="D330" s="0" t="str">
        <f aca="false">IF($A330="","",IF(AW330="Y",BN330&amp;"",AZ330&amp;""))</f>
        <v/>
      </c>
      <c r="E330" s="0" t="str">
        <f aca="false">IF($A330="","",IF(AW330="Y",BO330&amp;"",BA330&amp;""))</f>
        <v/>
      </c>
      <c r="F330" s="0" t="str">
        <f aca="false">IF($A330="","",IF(AW330="Y",BP330&amp;"",BB330&amp;""))</f>
        <v/>
      </c>
      <c r="G330" s="0" t="str">
        <f aca="false">IF($A330="","",IF(AW330="Y",BQ330&amp;"",BC330&amp;""))</f>
        <v/>
      </c>
      <c r="H330" s="0" t="str">
        <f aca="false">IF($A330="","",IF(AW330="Y",BR330&amp;"",BD330&amp;""))</f>
        <v/>
      </c>
      <c r="I330" s="0" t="str">
        <f aca="false">IF($A330="","",IF(R330="Y","warm-intro",IF(H330="verified","email",IF(C330&lt;&gt;"","linkedin",CB330&amp;""))))</f>
        <v/>
      </c>
      <c r="J330" s="0" t="str">
        <f aca="false">IF($A330="","",IF(CN330="pass",ROUND(N(EM330)+N(EN330)+N(EO330)+N(EP330)+N(EQ330)+N(ER330),1),0))</f>
        <v/>
      </c>
      <c r="K330" s="0" t="str">
        <f aca="false">IF($A330="","",IF(CN330&lt;&gt;"pass",CA330&amp;"",CA330&amp;"; "&amp;IF(AW330="Y",BZ330&amp;"",BL330&amp;"")&amp;IF(R330="Y","; known to the founder (+15)","")&amp;"."))</f>
        <v/>
      </c>
      <c r="R330" s="5"/>
      <c r="U330" s="5"/>
      <c r="Y330" s="0" t="str">
        <f aca="false">IF(FX330&lt;&gt;"Y","",COUNTIFS($FX$2:$FX$1000,"Y",$J$2:$J$1000,"&gt;"&amp;J330)+COUNTIFS($FX$2:$FX$1000,"Y",$J$2:$J$1000,J330,$GD$2:$GD$1000,"&lt;"&amp;GD330)+1)</f>
        <v/>
      </c>
      <c r="AB330" s="0" t="str">
        <f aca="false">IF($A330="","",IF(AW330="Y",BY330&amp;"",BK330&amp;""))</f>
        <v/>
      </c>
      <c r="AC330" s="0" t="str">
        <f aca="false">IF($A330="","",IF(AW330="Y",BS330&amp;"",BE330&amp;""))</f>
        <v/>
      </c>
      <c r="AD330" s="0" t="str">
        <f aca="false">IF($A330="","",IF(AW330="Y",BT330&amp;"",BF330&amp;""))</f>
        <v/>
      </c>
      <c r="AE330" s="0" t="str">
        <f aca="false">IF($A330="","",IF(AW330="Y",BU330&amp;"",BG330&amp;""))</f>
        <v/>
      </c>
      <c r="AF330" s="0" t="str">
        <f aca="false">IF($A330="","",IF(AW330="Y",BV330&amp;"",BH330&amp;""))</f>
        <v/>
      </c>
      <c r="AG330" s="0" t="str">
        <f aca="false">IF($A330="","",IF(AW330="Y",BW330&amp;"",BI330&amp;""))</f>
        <v/>
      </c>
      <c r="AH330" s="0" t="str">
        <f aca="false">IF($A330="","",IF(AW330="Y",BX330&amp;"",BJ330&amp;""))</f>
        <v/>
      </c>
      <c r="AQ330" s="5"/>
      <c r="AT330" s="0" t="str">
        <f aca="false">IF($A330="","",IF(AND(CN330="pass",AQ330&lt;&gt;"Y",C330&lt;&gt;"",OR(AX330&lt;&gt;"Y",AV330="Y")),"Y","N"))</f>
        <v/>
      </c>
      <c r="AU330" s="0" t="str">
        <f aca="false">IF($A330="","",_xlfn.TEXTJOIN("; ",TRUE(),IF(CN330&lt;&gt;"pass","gated out",""),IF(AQ330="Y","on hold: "&amp;AR330,""),IF(C330="","no contact named on an opened page",""),IF(AND(AX330="Y",AV330&lt;&gt;"Y"),"Tuesday estimate band "&amp;L330&amp;": founder's call","")))</f>
        <v/>
      </c>
      <c r="BC330" s="0" t="str">
        <f aca="false">IF($A330="","",IFERROR(INDEX(Enrichment!$A$2:$GZ$2000,MATCH($A330,INDEX(Enrichment!$A$2:$GZ$2000,0,MATCH("row_id",Enrichment!$A$1:$GZ$1,0)),0),MATCH("work_email",Enrichment!$A$1:$GZ$1,0))&amp;"",""))</f>
        <v/>
      </c>
      <c r="BD330" s="0" t="str">
        <f aca="false">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Q330" s="0" t="str">
        <f aca="false">IF($A330="","",IFERROR(INDEX(Enrichment!$A$2:$GZ$2000,MATCH($A330,INDEX(Enrichment!$A$2:$GZ$2000,0,MATCH("row_id",Enrichment!$A$1:$GZ$1,0)),0),MATCH("backup_work_email",Enrichment!$A$1:$GZ$1,0))&amp;"",""))</f>
        <v/>
      </c>
      <c r="BR330" s="0" t="str">
        <f aca="false">IF($A330="","",IF(BQ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EQ330" s="0" t="str">
        <f aca="false">IF($A330="","",IF(AH330="exact",10,IF(AH330="adjacent",5,0)))</f>
        <v/>
      </c>
      <c r="ER330" s="0" t="str">
        <f aca="false">IF($A330="","",IF(R330="Y",15,0))</f>
        <v/>
      </c>
      <c r="FS330" s="0" t="str">
        <f aca="false">IF($A330="","",IF(ISNUMBER(MATCH(U330,{"queued","contacted","replied","call_booked","call_done","yes_in_principle","materials_sent"},0)),"Y","N"))</f>
        <v/>
      </c>
      <c r="FT330" s="0" t="str">
        <f aca="false">IF($A330="","",IF(OR(T330="Y",U330="do_not_contact",AS330&amp;""&lt;&gt;""),"Y","N"))</f>
        <v/>
      </c>
      <c r="FU330" s="0" t="str">
        <f aca="false">IF($A330="","",IF(AP330&amp;""&lt;&gt;"",AP330&amp;"",$A330))</f>
        <v/>
      </c>
      <c r="FV330" s="0" t="str">
        <f aca="false">IF($A330="","",IF(COUNTIFS($FU$2:$FU$1000,FU330,$FS$2:$FS$1000,"Y")+COUNTIFS($FU$2:$FU$1000,FU330,$FT$2:$FT$1000,"Y")&gt;0,"Y","N"))</f>
        <v/>
      </c>
      <c r="FW330" s="0" t="str">
        <f aca="false">IF($A330="","",IF(AND(U330="new",T330="N",FT330="N",AT330="Y",FV330="N"),"Y","N"))</f>
        <v/>
      </c>
      <c r="FX330" s="0" t="str">
        <f aca="false">IF($A330="","",IF(FW330&lt;&gt;"Y","N",IF(COUNTIFS($FU$2:$FU$1000,FU330,$FW$2:$FW$1000,"Y",$J$2:$J$1000,"&gt;"&amp;J330)+COUNTIFS($FU$2:$FU$1000,FU330,$FW$2:$FW$1000,"Y",$J$2:$J$1000,J330,$GD$2:$GD$1000,"&lt;"&amp;GD330)=0,"Y","N")))</f>
        <v/>
      </c>
      <c r="FY330" s="0" t="str">
        <f aca="false">IF($A330="","",IF(AND(FW330="Y",FX330="Y",Y330&amp;""&lt;&gt;""),IF(Y330&lt;=10,"Y","N"),"N"))</f>
        <v/>
      </c>
      <c r="FZ330" s="0" t="str">
        <f aca="false">IF(FY330="Y",Y330,"")</f>
        <v/>
      </c>
      <c r="GA330" s="0" t="str">
        <f aca="false">IF($A330="","",IF(AND(I330="walk-in",CN330="pass",U330="new",FT330="N",FV330="N",AQ330&lt;&gt;"Y"),"Y","N"))</f>
        <v/>
      </c>
      <c r="GB330" s="0" t="str">
        <f aca="false">IF(GA330&lt;&gt;"Y","",IF(COUNTIFS($GA$2:$GA$1000,"Y",$J$2:$J$1000,"&gt;"&amp;J330)+COUNTIFS($GA$2:$GA$1000,"Y",$J$2:$J$1000,J330,$GD$2:$GD$1000,"&lt;"&amp;GD330)+1&lt;=25,COUNTIFS($GA$2:$GA$1000,"Y",$J$2:$J$1000,"&gt;"&amp;J330)+COUNTIFS($GA$2:$GA$1000,"Y",$J$2:$J$1000,J330,$GD$2:$GD$1000,"&lt;"&amp;GD330)+1,""))</f>
        <v/>
      </c>
      <c r="GC330" s="0" t="str">
        <f aca="false">IF(AND(_xlfn.ISFORMULA(C330),_xlfn.ISFORMULA(J330)),"Y","N")</f>
        <v>Y</v>
      </c>
      <c r="GD330" s="0" t="n">
        <f aca="false">ROW()-1</f>
        <v>329</v>
      </c>
    </row>
    <row r="331" customFormat="false" ht="15" hidden="false" customHeight="false" outlineLevel="0" collapsed="false">
      <c r="C331" s="0" t="str">
        <f aca="false">IF($A331="","",IF(AW331="Y",BM331&amp;"",AY331&amp;""))</f>
        <v/>
      </c>
      <c r="D331" s="0" t="str">
        <f aca="false">IF($A331="","",IF(AW331="Y",BN331&amp;"",AZ331&amp;""))</f>
        <v/>
      </c>
      <c r="E331" s="0" t="str">
        <f aca="false">IF($A331="","",IF(AW331="Y",BO331&amp;"",BA331&amp;""))</f>
        <v/>
      </c>
      <c r="F331" s="0" t="str">
        <f aca="false">IF($A331="","",IF(AW331="Y",BP331&amp;"",BB331&amp;""))</f>
        <v/>
      </c>
      <c r="G331" s="0" t="str">
        <f aca="false">IF($A331="","",IF(AW331="Y",BQ331&amp;"",BC331&amp;""))</f>
        <v/>
      </c>
      <c r="H331" s="0" t="str">
        <f aca="false">IF($A331="","",IF(AW331="Y",BR331&amp;"",BD331&amp;""))</f>
        <v/>
      </c>
      <c r="I331" s="0" t="str">
        <f aca="false">IF($A331="","",IF(R331="Y","warm-intro",IF(H331="verified","email",IF(C331&lt;&gt;"","linkedin",CB331&amp;""))))</f>
        <v/>
      </c>
      <c r="J331" s="0" t="str">
        <f aca="false">IF($A331="","",IF(CN331="pass",ROUND(N(EM331)+N(EN331)+N(EO331)+N(EP331)+N(EQ331)+N(ER331),1),0))</f>
        <v/>
      </c>
      <c r="K331" s="0" t="str">
        <f aca="false">IF($A331="","",IF(CN331&lt;&gt;"pass",CA331&amp;"",CA331&amp;"; "&amp;IF(AW331="Y",BZ331&amp;"",BL331&amp;"")&amp;IF(R331="Y","; known to the founder (+15)","")&amp;"."))</f>
        <v/>
      </c>
      <c r="R331" s="5"/>
      <c r="U331" s="5"/>
      <c r="Y331" s="0" t="str">
        <f aca="false">IF(FX331&lt;&gt;"Y","",COUNTIFS($FX$2:$FX$1000,"Y",$J$2:$J$1000,"&gt;"&amp;J331)+COUNTIFS($FX$2:$FX$1000,"Y",$J$2:$J$1000,J331,$GD$2:$GD$1000,"&lt;"&amp;GD331)+1)</f>
        <v/>
      </c>
      <c r="AB331" s="0" t="str">
        <f aca="false">IF($A331="","",IF(AW331="Y",BY331&amp;"",BK331&amp;""))</f>
        <v/>
      </c>
      <c r="AC331" s="0" t="str">
        <f aca="false">IF($A331="","",IF(AW331="Y",BS331&amp;"",BE331&amp;""))</f>
        <v/>
      </c>
      <c r="AD331" s="0" t="str">
        <f aca="false">IF($A331="","",IF(AW331="Y",BT331&amp;"",BF331&amp;""))</f>
        <v/>
      </c>
      <c r="AE331" s="0" t="str">
        <f aca="false">IF($A331="","",IF(AW331="Y",BU331&amp;"",BG331&amp;""))</f>
        <v/>
      </c>
      <c r="AF331" s="0" t="str">
        <f aca="false">IF($A331="","",IF(AW331="Y",BV331&amp;"",BH331&amp;""))</f>
        <v/>
      </c>
      <c r="AG331" s="0" t="str">
        <f aca="false">IF($A331="","",IF(AW331="Y",BW331&amp;"",BI331&amp;""))</f>
        <v/>
      </c>
      <c r="AH331" s="0" t="str">
        <f aca="false">IF($A331="","",IF(AW331="Y",BX331&amp;"",BJ331&amp;""))</f>
        <v/>
      </c>
      <c r="AQ331" s="5"/>
      <c r="AT331" s="0" t="str">
        <f aca="false">IF($A331="","",IF(AND(CN331="pass",AQ331&lt;&gt;"Y",C331&lt;&gt;"",OR(AX331&lt;&gt;"Y",AV331="Y")),"Y","N"))</f>
        <v/>
      </c>
      <c r="AU331" s="0" t="str">
        <f aca="false">IF($A331="","",_xlfn.TEXTJOIN("; ",TRUE(),IF(CN331&lt;&gt;"pass","gated out",""),IF(AQ331="Y","on hold: "&amp;AR331,""),IF(C331="","no contact named on an opened page",""),IF(AND(AX331="Y",AV331&lt;&gt;"Y"),"Tuesday estimate band "&amp;L331&amp;": founder's call","")))</f>
        <v/>
      </c>
      <c r="BC331" s="0" t="str">
        <f aca="false">IF($A331="","",IFERROR(INDEX(Enrichment!$A$2:$GZ$2000,MATCH($A331,INDEX(Enrichment!$A$2:$GZ$2000,0,MATCH("row_id",Enrichment!$A$1:$GZ$1,0)),0),MATCH("work_email",Enrichment!$A$1:$GZ$1,0))&amp;"",""))</f>
        <v/>
      </c>
      <c r="BD331" s="0" t="str">
        <f aca="false">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Q331" s="0" t="str">
        <f aca="false">IF($A331="","",IFERROR(INDEX(Enrichment!$A$2:$GZ$2000,MATCH($A331,INDEX(Enrichment!$A$2:$GZ$2000,0,MATCH("row_id",Enrichment!$A$1:$GZ$1,0)),0),MATCH("backup_work_email",Enrichment!$A$1:$GZ$1,0))&amp;"",""))</f>
        <v/>
      </c>
      <c r="BR331" s="0" t="str">
        <f aca="false">IF($A331="","",IF(BQ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EQ331" s="0" t="str">
        <f aca="false">IF($A331="","",IF(AH331="exact",10,IF(AH331="adjacent",5,0)))</f>
        <v/>
      </c>
      <c r="ER331" s="0" t="str">
        <f aca="false">IF($A331="","",IF(R331="Y",15,0))</f>
        <v/>
      </c>
      <c r="FS331" s="0" t="str">
        <f aca="false">IF($A331="","",IF(ISNUMBER(MATCH(U331,{"queued","contacted","replied","call_booked","call_done","yes_in_principle","materials_sent"},0)),"Y","N"))</f>
        <v/>
      </c>
      <c r="FT331" s="0" t="str">
        <f aca="false">IF($A331="","",IF(OR(T331="Y",U331="do_not_contact",AS331&amp;""&lt;&gt;""),"Y","N"))</f>
        <v/>
      </c>
      <c r="FU331" s="0" t="str">
        <f aca="false">IF($A331="","",IF(AP331&amp;""&lt;&gt;"",AP331&amp;"",$A331))</f>
        <v/>
      </c>
      <c r="FV331" s="0" t="str">
        <f aca="false">IF($A331="","",IF(COUNTIFS($FU$2:$FU$1000,FU331,$FS$2:$FS$1000,"Y")+COUNTIFS($FU$2:$FU$1000,FU331,$FT$2:$FT$1000,"Y")&gt;0,"Y","N"))</f>
        <v/>
      </c>
      <c r="FW331" s="0" t="str">
        <f aca="false">IF($A331="","",IF(AND(U331="new",T331="N",FT331="N",AT331="Y",FV331="N"),"Y","N"))</f>
        <v/>
      </c>
      <c r="FX331" s="0" t="str">
        <f aca="false">IF($A331="","",IF(FW331&lt;&gt;"Y","N",IF(COUNTIFS($FU$2:$FU$1000,FU331,$FW$2:$FW$1000,"Y",$J$2:$J$1000,"&gt;"&amp;J331)+COUNTIFS($FU$2:$FU$1000,FU331,$FW$2:$FW$1000,"Y",$J$2:$J$1000,J331,$GD$2:$GD$1000,"&lt;"&amp;GD331)=0,"Y","N")))</f>
        <v/>
      </c>
      <c r="FY331" s="0" t="str">
        <f aca="false">IF($A331="","",IF(AND(FW331="Y",FX331="Y",Y331&amp;""&lt;&gt;""),IF(Y331&lt;=10,"Y","N"),"N"))</f>
        <v/>
      </c>
      <c r="FZ331" s="0" t="str">
        <f aca="false">IF(FY331="Y",Y331,"")</f>
        <v/>
      </c>
      <c r="GA331" s="0" t="str">
        <f aca="false">IF($A331="","",IF(AND(I331="walk-in",CN331="pass",U331="new",FT331="N",FV331="N",AQ331&lt;&gt;"Y"),"Y","N"))</f>
        <v/>
      </c>
      <c r="GB331" s="0" t="str">
        <f aca="false">IF(GA331&lt;&gt;"Y","",IF(COUNTIFS($GA$2:$GA$1000,"Y",$J$2:$J$1000,"&gt;"&amp;J331)+COUNTIFS($GA$2:$GA$1000,"Y",$J$2:$J$1000,J331,$GD$2:$GD$1000,"&lt;"&amp;GD331)+1&lt;=25,COUNTIFS($GA$2:$GA$1000,"Y",$J$2:$J$1000,"&gt;"&amp;J331)+COUNTIFS($GA$2:$GA$1000,"Y",$J$2:$J$1000,J331,$GD$2:$GD$1000,"&lt;"&amp;GD331)+1,""))</f>
        <v/>
      </c>
      <c r="GC331" s="0" t="str">
        <f aca="false">IF(AND(_xlfn.ISFORMULA(C331),_xlfn.ISFORMULA(J331)),"Y","N")</f>
        <v>Y</v>
      </c>
      <c r="GD331" s="0" t="n">
        <f aca="false">ROW()-1</f>
        <v>330</v>
      </c>
    </row>
    <row r="332" customFormat="false" ht="15" hidden="false" customHeight="false" outlineLevel="0" collapsed="false">
      <c r="C332" s="0" t="str">
        <f aca="false">IF($A332="","",IF(AW332="Y",BM332&amp;"",AY332&amp;""))</f>
        <v/>
      </c>
      <c r="D332" s="0" t="str">
        <f aca="false">IF($A332="","",IF(AW332="Y",BN332&amp;"",AZ332&amp;""))</f>
        <v/>
      </c>
      <c r="E332" s="0" t="str">
        <f aca="false">IF($A332="","",IF(AW332="Y",BO332&amp;"",BA332&amp;""))</f>
        <v/>
      </c>
      <c r="F332" s="0" t="str">
        <f aca="false">IF($A332="","",IF(AW332="Y",BP332&amp;"",BB332&amp;""))</f>
        <v/>
      </c>
      <c r="G332" s="0" t="str">
        <f aca="false">IF($A332="","",IF(AW332="Y",BQ332&amp;"",BC332&amp;""))</f>
        <v/>
      </c>
      <c r="H332" s="0" t="str">
        <f aca="false">IF($A332="","",IF(AW332="Y",BR332&amp;"",BD332&amp;""))</f>
        <v/>
      </c>
      <c r="I332" s="0" t="str">
        <f aca="false">IF($A332="","",IF(R332="Y","warm-intro",IF(H332="verified","email",IF(C332&lt;&gt;"","linkedin",CB332&amp;""))))</f>
        <v/>
      </c>
      <c r="J332" s="0" t="str">
        <f aca="false">IF($A332="","",IF(CN332="pass",ROUND(N(EM332)+N(EN332)+N(EO332)+N(EP332)+N(EQ332)+N(ER332),1),0))</f>
        <v/>
      </c>
      <c r="K332" s="0" t="str">
        <f aca="false">IF($A332="","",IF(CN332&lt;&gt;"pass",CA332&amp;"",CA332&amp;"; "&amp;IF(AW332="Y",BZ332&amp;"",BL332&amp;"")&amp;IF(R332="Y","; known to the founder (+15)","")&amp;"."))</f>
        <v/>
      </c>
      <c r="R332" s="5"/>
      <c r="U332" s="5"/>
      <c r="Y332" s="0" t="str">
        <f aca="false">IF(FX332&lt;&gt;"Y","",COUNTIFS($FX$2:$FX$1000,"Y",$J$2:$J$1000,"&gt;"&amp;J332)+COUNTIFS($FX$2:$FX$1000,"Y",$J$2:$J$1000,J332,$GD$2:$GD$1000,"&lt;"&amp;GD332)+1)</f>
        <v/>
      </c>
      <c r="AB332" s="0" t="str">
        <f aca="false">IF($A332="","",IF(AW332="Y",BY332&amp;"",BK332&amp;""))</f>
        <v/>
      </c>
      <c r="AC332" s="0" t="str">
        <f aca="false">IF($A332="","",IF(AW332="Y",BS332&amp;"",BE332&amp;""))</f>
        <v/>
      </c>
      <c r="AD332" s="0" t="str">
        <f aca="false">IF($A332="","",IF(AW332="Y",BT332&amp;"",BF332&amp;""))</f>
        <v/>
      </c>
      <c r="AE332" s="0" t="str">
        <f aca="false">IF($A332="","",IF(AW332="Y",BU332&amp;"",BG332&amp;""))</f>
        <v/>
      </c>
      <c r="AF332" s="0" t="str">
        <f aca="false">IF($A332="","",IF(AW332="Y",BV332&amp;"",BH332&amp;""))</f>
        <v/>
      </c>
      <c r="AG332" s="0" t="str">
        <f aca="false">IF($A332="","",IF(AW332="Y",BW332&amp;"",BI332&amp;""))</f>
        <v/>
      </c>
      <c r="AH332" s="0" t="str">
        <f aca="false">IF($A332="","",IF(AW332="Y",BX332&amp;"",BJ332&amp;""))</f>
        <v/>
      </c>
      <c r="AQ332" s="5"/>
      <c r="AT332" s="0" t="str">
        <f aca="false">IF($A332="","",IF(AND(CN332="pass",AQ332&lt;&gt;"Y",C332&lt;&gt;"",OR(AX332&lt;&gt;"Y",AV332="Y")),"Y","N"))</f>
        <v/>
      </c>
      <c r="AU332" s="0" t="str">
        <f aca="false">IF($A332="","",_xlfn.TEXTJOIN("; ",TRUE(),IF(CN332&lt;&gt;"pass","gated out",""),IF(AQ332="Y","on hold: "&amp;AR332,""),IF(C332="","no contact named on an opened page",""),IF(AND(AX332="Y",AV332&lt;&gt;"Y"),"Tuesday estimate band "&amp;L332&amp;": founder's call","")))</f>
        <v/>
      </c>
      <c r="BC332" s="0" t="str">
        <f aca="false">IF($A332="","",IFERROR(INDEX(Enrichment!$A$2:$GZ$2000,MATCH($A332,INDEX(Enrichment!$A$2:$GZ$2000,0,MATCH("row_id",Enrichment!$A$1:$GZ$1,0)),0),MATCH("work_email",Enrichment!$A$1:$GZ$1,0))&amp;"",""))</f>
        <v/>
      </c>
      <c r="BD332" s="0" t="str">
        <f aca="false">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Q332" s="0" t="str">
        <f aca="false">IF($A332="","",IFERROR(INDEX(Enrichment!$A$2:$GZ$2000,MATCH($A332,INDEX(Enrichment!$A$2:$GZ$2000,0,MATCH("row_id",Enrichment!$A$1:$GZ$1,0)),0),MATCH("backup_work_email",Enrichment!$A$1:$GZ$1,0))&amp;"",""))</f>
        <v/>
      </c>
      <c r="BR332" s="0" t="str">
        <f aca="false">IF($A332="","",IF(BQ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EQ332" s="0" t="str">
        <f aca="false">IF($A332="","",IF(AH332="exact",10,IF(AH332="adjacent",5,0)))</f>
        <v/>
      </c>
      <c r="ER332" s="0" t="str">
        <f aca="false">IF($A332="","",IF(R332="Y",15,0))</f>
        <v/>
      </c>
      <c r="FS332" s="0" t="str">
        <f aca="false">IF($A332="","",IF(ISNUMBER(MATCH(U332,{"queued","contacted","replied","call_booked","call_done","yes_in_principle","materials_sent"},0)),"Y","N"))</f>
        <v/>
      </c>
      <c r="FT332" s="0" t="str">
        <f aca="false">IF($A332="","",IF(OR(T332="Y",U332="do_not_contact",AS332&amp;""&lt;&gt;""),"Y","N"))</f>
        <v/>
      </c>
      <c r="FU332" s="0" t="str">
        <f aca="false">IF($A332="","",IF(AP332&amp;""&lt;&gt;"",AP332&amp;"",$A332))</f>
        <v/>
      </c>
      <c r="FV332" s="0" t="str">
        <f aca="false">IF($A332="","",IF(COUNTIFS($FU$2:$FU$1000,FU332,$FS$2:$FS$1000,"Y")+COUNTIFS($FU$2:$FU$1000,FU332,$FT$2:$FT$1000,"Y")&gt;0,"Y","N"))</f>
        <v/>
      </c>
      <c r="FW332" s="0" t="str">
        <f aca="false">IF($A332="","",IF(AND(U332="new",T332="N",FT332="N",AT332="Y",FV332="N"),"Y","N"))</f>
        <v/>
      </c>
      <c r="FX332" s="0" t="str">
        <f aca="false">IF($A332="","",IF(FW332&lt;&gt;"Y","N",IF(COUNTIFS($FU$2:$FU$1000,FU332,$FW$2:$FW$1000,"Y",$J$2:$J$1000,"&gt;"&amp;J332)+COUNTIFS($FU$2:$FU$1000,FU332,$FW$2:$FW$1000,"Y",$J$2:$J$1000,J332,$GD$2:$GD$1000,"&lt;"&amp;GD332)=0,"Y","N")))</f>
        <v/>
      </c>
      <c r="FY332" s="0" t="str">
        <f aca="false">IF($A332="","",IF(AND(FW332="Y",FX332="Y",Y332&amp;""&lt;&gt;""),IF(Y332&lt;=10,"Y","N"),"N"))</f>
        <v/>
      </c>
      <c r="FZ332" s="0" t="str">
        <f aca="false">IF(FY332="Y",Y332,"")</f>
        <v/>
      </c>
      <c r="GA332" s="0" t="str">
        <f aca="false">IF($A332="","",IF(AND(I332="walk-in",CN332="pass",U332="new",FT332="N",FV332="N",AQ332&lt;&gt;"Y"),"Y","N"))</f>
        <v/>
      </c>
      <c r="GB332" s="0" t="str">
        <f aca="false">IF(GA332&lt;&gt;"Y","",IF(COUNTIFS($GA$2:$GA$1000,"Y",$J$2:$J$1000,"&gt;"&amp;J332)+COUNTIFS($GA$2:$GA$1000,"Y",$J$2:$J$1000,J332,$GD$2:$GD$1000,"&lt;"&amp;GD332)+1&lt;=25,COUNTIFS($GA$2:$GA$1000,"Y",$J$2:$J$1000,"&gt;"&amp;J332)+COUNTIFS($GA$2:$GA$1000,"Y",$J$2:$J$1000,J332,$GD$2:$GD$1000,"&lt;"&amp;GD332)+1,""))</f>
        <v/>
      </c>
      <c r="GC332" s="0" t="str">
        <f aca="false">IF(AND(_xlfn.ISFORMULA(C332),_xlfn.ISFORMULA(J332)),"Y","N")</f>
        <v>Y</v>
      </c>
      <c r="GD332" s="0" t="n">
        <f aca="false">ROW()-1</f>
        <v>331</v>
      </c>
    </row>
    <row r="333" customFormat="false" ht="15" hidden="false" customHeight="false" outlineLevel="0" collapsed="false">
      <c r="C333" s="0" t="str">
        <f aca="false">IF($A333="","",IF(AW333="Y",BM333&amp;"",AY333&amp;""))</f>
        <v/>
      </c>
      <c r="D333" s="0" t="str">
        <f aca="false">IF($A333="","",IF(AW333="Y",BN333&amp;"",AZ333&amp;""))</f>
        <v/>
      </c>
      <c r="E333" s="0" t="str">
        <f aca="false">IF($A333="","",IF(AW333="Y",BO333&amp;"",BA333&amp;""))</f>
        <v/>
      </c>
      <c r="F333" s="0" t="str">
        <f aca="false">IF($A333="","",IF(AW333="Y",BP333&amp;"",BB333&amp;""))</f>
        <v/>
      </c>
      <c r="G333" s="0" t="str">
        <f aca="false">IF($A333="","",IF(AW333="Y",BQ333&amp;"",BC333&amp;""))</f>
        <v/>
      </c>
      <c r="H333" s="0" t="str">
        <f aca="false">IF($A333="","",IF(AW333="Y",BR333&amp;"",BD333&amp;""))</f>
        <v/>
      </c>
      <c r="I333" s="0" t="str">
        <f aca="false">IF($A333="","",IF(R333="Y","warm-intro",IF(H333="verified","email",IF(C333&lt;&gt;"","linkedin",CB333&amp;""))))</f>
        <v/>
      </c>
      <c r="J333" s="0" t="str">
        <f aca="false">IF($A333="","",IF(CN333="pass",ROUND(N(EM333)+N(EN333)+N(EO333)+N(EP333)+N(EQ333)+N(ER333),1),0))</f>
        <v/>
      </c>
      <c r="K333" s="0" t="str">
        <f aca="false">IF($A333="","",IF(CN333&lt;&gt;"pass",CA333&amp;"",CA333&amp;"; "&amp;IF(AW333="Y",BZ333&amp;"",BL333&amp;"")&amp;IF(R333="Y","; known to the founder (+15)","")&amp;"."))</f>
        <v/>
      </c>
      <c r="R333" s="5"/>
      <c r="U333" s="5"/>
      <c r="Y333" s="0" t="str">
        <f aca="false">IF(FX333&lt;&gt;"Y","",COUNTIFS($FX$2:$FX$1000,"Y",$J$2:$J$1000,"&gt;"&amp;J333)+COUNTIFS($FX$2:$FX$1000,"Y",$J$2:$J$1000,J333,$GD$2:$GD$1000,"&lt;"&amp;GD333)+1)</f>
        <v/>
      </c>
      <c r="AB333" s="0" t="str">
        <f aca="false">IF($A333="","",IF(AW333="Y",BY333&amp;"",BK333&amp;""))</f>
        <v/>
      </c>
      <c r="AC333" s="0" t="str">
        <f aca="false">IF($A333="","",IF(AW333="Y",BS333&amp;"",BE333&amp;""))</f>
        <v/>
      </c>
      <c r="AD333" s="0" t="str">
        <f aca="false">IF($A333="","",IF(AW333="Y",BT333&amp;"",BF333&amp;""))</f>
        <v/>
      </c>
      <c r="AE333" s="0" t="str">
        <f aca="false">IF($A333="","",IF(AW333="Y",BU333&amp;"",BG333&amp;""))</f>
        <v/>
      </c>
      <c r="AF333" s="0" t="str">
        <f aca="false">IF($A333="","",IF(AW333="Y",BV333&amp;"",BH333&amp;""))</f>
        <v/>
      </c>
      <c r="AG333" s="0" t="str">
        <f aca="false">IF($A333="","",IF(AW333="Y",BW333&amp;"",BI333&amp;""))</f>
        <v/>
      </c>
      <c r="AH333" s="0" t="str">
        <f aca="false">IF($A333="","",IF(AW333="Y",BX333&amp;"",BJ333&amp;""))</f>
        <v/>
      </c>
      <c r="AQ333" s="5"/>
      <c r="AT333" s="0" t="str">
        <f aca="false">IF($A333="","",IF(AND(CN333="pass",AQ333&lt;&gt;"Y",C333&lt;&gt;"",OR(AX333&lt;&gt;"Y",AV333="Y")),"Y","N"))</f>
        <v/>
      </c>
      <c r="AU333" s="0" t="str">
        <f aca="false">IF($A333="","",_xlfn.TEXTJOIN("; ",TRUE(),IF(CN333&lt;&gt;"pass","gated out",""),IF(AQ333="Y","on hold: "&amp;AR333,""),IF(C333="","no contact named on an opened page",""),IF(AND(AX333="Y",AV333&lt;&gt;"Y"),"Tuesday estimate band "&amp;L333&amp;": founder's call","")))</f>
        <v/>
      </c>
      <c r="BC333" s="0" t="str">
        <f aca="false">IF($A333="","",IFERROR(INDEX(Enrichment!$A$2:$GZ$2000,MATCH($A333,INDEX(Enrichment!$A$2:$GZ$2000,0,MATCH("row_id",Enrichment!$A$1:$GZ$1,0)),0),MATCH("work_email",Enrichment!$A$1:$GZ$1,0))&amp;"",""))</f>
        <v/>
      </c>
      <c r="BD333" s="0" t="str">
        <f aca="false">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Q333" s="0" t="str">
        <f aca="false">IF($A333="","",IFERROR(INDEX(Enrichment!$A$2:$GZ$2000,MATCH($A333,INDEX(Enrichment!$A$2:$GZ$2000,0,MATCH("row_id",Enrichment!$A$1:$GZ$1,0)),0),MATCH("backup_work_email",Enrichment!$A$1:$GZ$1,0))&amp;"",""))</f>
        <v/>
      </c>
      <c r="BR333" s="0" t="str">
        <f aca="false">IF($A333="","",IF(BQ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EQ333" s="0" t="str">
        <f aca="false">IF($A333="","",IF(AH333="exact",10,IF(AH333="adjacent",5,0)))</f>
        <v/>
      </c>
      <c r="ER333" s="0" t="str">
        <f aca="false">IF($A333="","",IF(R333="Y",15,0))</f>
        <v/>
      </c>
      <c r="FS333" s="0" t="str">
        <f aca="false">IF($A333="","",IF(ISNUMBER(MATCH(U333,{"queued","contacted","replied","call_booked","call_done","yes_in_principle","materials_sent"},0)),"Y","N"))</f>
        <v/>
      </c>
      <c r="FT333" s="0" t="str">
        <f aca="false">IF($A333="","",IF(OR(T333="Y",U333="do_not_contact",AS333&amp;""&lt;&gt;""),"Y","N"))</f>
        <v/>
      </c>
      <c r="FU333" s="0" t="str">
        <f aca="false">IF($A333="","",IF(AP333&amp;""&lt;&gt;"",AP333&amp;"",$A333))</f>
        <v/>
      </c>
      <c r="FV333" s="0" t="str">
        <f aca="false">IF($A333="","",IF(COUNTIFS($FU$2:$FU$1000,FU333,$FS$2:$FS$1000,"Y")+COUNTIFS($FU$2:$FU$1000,FU333,$FT$2:$FT$1000,"Y")&gt;0,"Y","N"))</f>
        <v/>
      </c>
      <c r="FW333" s="0" t="str">
        <f aca="false">IF($A333="","",IF(AND(U333="new",T333="N",FT333="N",AT333="Y",FV333="N"),"Y","N"))</f>
        <v/>
      </c>
      <c r="FX333" s="0" t="str">
        <f aca="false">IF($A333="","",IF(FW333&lt;&gt;"Y","N",IF(COUNTIFS($FU$2:$FU$1000,FU333,$FW$2:$FW$1000,"Y",$J$2:$J$1000,"&gt;"&amp;J333)+COUNTIFS($FU$2:$FU$1000,FU333,$FW$2:$FW$1000,"Y",$J$2:$J$1000,J333,$GD$2:$GD$1000,"&lt;"&amp;GD333)=0,"Y","N")))</f>
        <v/>
      </c>
      <c r="FY333" s="0" t="str">
        <f aca="false">IF($A333="","",IF(AND(FW333="Y",FX333="Y",Y333&amp;""&lt;&gt;""),IF(Y333&lt;=10,"Y","N"),"N"))</f>
        <v/>
      </c>
      <c r="FZ333" s="0" t="str">
        <f aca="false">IF(FY333="Y",Y333,"")</f>
        <v/>
      </c>
      <c r="GA333" s="0" t="str">
        <f aca="false">IF($A333="","",IF(AND(I333="walk-in",CN333="pass",U333="new",FT333="N",FV333="N",AQ333&lt;&gt;"Y"),"Y","N"))</f>
        <v/>
      </c>
      <c r="GB333" s="0" t="str">
        <f aca="false">IF(GA333&lt;&gt;"Y","",IF(COUNTIFS($GA$2:$GA$1000,"Y",$J$2:$J$1000,"&gt;"&amp;J333)+COUNTIFS($GA$2:$GA$1000,"Y",$J$2:$J$1000,J333,$GD$2:$GD$1000,"&lt;"&amp;GD333)+1&lt;=25,COUNTIFS($GA$2:$GA$1000,"Y",$J$2:$J$1000,"&gt;"&amp;J333)+COUNTIFS($GA$2:$GA$1000,"Y",$J$2:$J$1000,J333,$GD$2:$GD$1000,"&lt;"&amp;GD333)+1,""))</f>
        <v/>
      </c>
      <c r="GC333" s="0" t="str">
        <f aca="false">IF(AND(_xlfn.ISFORMULA(C333),_xlfn.ISFORMULA(J333)),"Y","N")</f>
        <v>Y</v>
      </c>
      <c r="GD333" s="0" t="n">
        <f aca="false">ROW()-1</f>
        <v>332</v>
      </c>
    </row>
    <row r="334" customFormat="false" ht="15" hidden="false" customHeight="false" outlineLevel="0" collapsed="false">
      <c r="C334" s="0" t="str">
        <f aca="false">IF($A334="","",IF(AW334="Y",BM334&amp;"",AY334&amp;""))</f>
        <v/>
      </c>
      <c r="D334" s="0" t="str">
        <f aca="false">IF($A334="","",IF(AW334="Y",BN334&amp;"",AZ334&amp;""))</f>
        <v/>
      </c>
      <c r="E334" s="0" t="str">
        <f aca="false">IF($A334="","",IF(AW334="Y",BO334&amp;"",BA334&amp;""))</f>
        <v/>
      </c>
      <c r="F334" s="0" t="str">
        <f aca="false">IF($A334="","",IF(AW334="Y",BP334&amp;"",BB334&amp;""))</f>
        <v/>
      </c>
      <c r="G334" s="0" t="str">
        <f aca="false">IF($A334="","",IF(AW334="Y",BQ334&amp;"",BC334&amp;""))</f>
        <v/>
      </c>
      <c r="H334" s="0" t="str">
        <f aca="false">IF($A334="","",IF(AW334="Y",BR334&amp;"",BD334&amp;""))</f>
        <v/>
      </c>
      <c r="I334" s="0" t="str">
        <f aca="false">IF($A334="","",IF(R334="Y","warm-intro",IF(H334="verified","email",IF(C334&lt;&gt;"","linkedin",CB334&amp;""))))</f>
        <v/>
      </c>
      <c r="J334" s="0" t="str">
        <f aca="false">IF($A334="","",IF(CN334="pass",ROUND(N(EM334)+N(EN334)+N(EO334)+N(EP334)+N(EQ334)+N(ER334),1),0))</f>
        <v/>
      </c>
      <c r="K334" s="0" t="str">
        <f aca="false">IF($A334="","",IF(CN334&lt;&gt;"pass",CA334&amp;"",CA334&amp;"; "&amp;IF(AW334="Y",BZ334&amp;"",BL334&amp;"")&amp;IF(R334="Y","; known to the founder (+15)","")&amp;"."))</f>
        <v/>
      </c>
      <c r="R334" s="5"/>
      <c r="U334" s="5"/>
      <c r="Y334" s="0" t="str">
        <f aca="false">IF(FX334&lt;&gt;"Y","",COUNTIFS($FX$2:$FX$1000,"Y",$J$2:$J$1000,"&gt;"&amp;J334)+COUNTIFS($FX$2:$FX$1000,"Y",$J$2:$J$1000,J334,$GD$2:$GD$1000,"&lt;"&amp;GD334)+1)</f>
        <v/>
      </c>
      <c r="AB334" s="0" t="str">
        <f aca="false">IF($A334="","",IF(AW334="Y",BY334&amp;"",BK334&amp;""))</f>
        <v/>
      </c>
      <c r="AC334" s="0" t="str">
        <f aca="false">IF($A334="","",IF(AW334="Y",BS334&amp;"",BE334&amp;""))</f>
        <v/>
      </c>
      <c r="AD334" s="0" t="str">
        <f aca="false">IF($A334="","",IF(AW334="Y",BT334&amp;"",BF334&amp;""))</f>
        <v/>
      </c>
      <c r="AE334" s="0" t="str">
        <f aca="false">IF($A334="","",IF(AW334="Y",BU334&amp;"",BG334&amp;""))</f>
        <v/>
      </c>
      <c r="AF334" s="0" t="str">
        <f aca="false">IF($A334="","",IF(AW334="Y",BV334&amp;"",BH334&amp;""))</f>
        <v/>
      </c>
      <c r="AG334" s="0" t="str">
        <f aca="false">IF($A334="","",IF(AW334="Y",BW334&amp;"",BI334&amp;""))</f>
        <v/>
      </c>
      <c r="AH334" s="0" t="str">
        <f aca="false">IF($A334="","",IF(AW334="Y",BX334&amp;"",BJ334&amp;""))</f>
        <v/>
      </c>
      <c r="AQ334" s="5"/>
      <c r="AT334" s="0" t="str">
        <f aca="false">IF($A334="","",IF(AND(CN334="pass",AQ334&lt;&gt;"Y",C334&lt;&gt;"",OR(AX334&lt;&gt;"Y",AV334="Y")),"Y","N"))</f>
        <v/>
      </c>
      <c r="AU334" s="0" t="str">
        <f aca="false">IF($A334="","",_xlfn.TEXTJOIN("; ",TRUE(),IF(CN334&lt;&gt;"pass","gated out",""),IF(AQ334="Y","on hold: "&amp;AR334,""),IF(C334="","no contact named on an opened page",""),IF(AND(AX334="Y",AV334&lt;&gt;"Y"),"Tuesday estimate band "&amp;L334&amp;": founder's call","")))</f>
        <v/>
      </c>
      <c r="BC334" s="0" t="str">
        <f aca="false">IF($A334="","",IFERROR(INDEX(Enrichment!$A$2:$GZ$2000,MATCH($A334,INDEX(Enrichment!$A$2:$GZ$2000,0,MATCH("row_id",Enrichment!$A$1:$GZ$1,0)),0),MATCH("work_email",Enrichment!$A$1:$GZ$1,0))&amp;"",""))</f>
        <v/>
      </c>
      <c r="BD334" s="0" t="str">
        <f aca="false">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Q334" s="0" t="str">
        <f aca="false">IF($A334="","",IFERROR(INDEX(Enrichment!$A$2:$GZ$2000,MATCH($A334,INDEX(Enrichment!$A$2:$GZ$2000,0,MATCH("row_id",Enrichment!$A$1:$GZ$1,0)),0),MATCH("backup_work_email",Enrichment!$A$1:$GZ$1,0))&amp;"",""))</f>
        <v/>
      </c>
      <c r="BR334" s="0" t="str">
        <f aca="false">IF($A334="","",IF(BQ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EQ334" s="0" t="str">
        <f aca="false">IF($A334="","",IF(AH334="exact",10,IF(AH334="adjacent",5,0)))</f>
        <v/>
      </c>
      <c r="ER334" s="0" t="str">
        <f aca="false">IF($A334="","",IF(R334="Y",15,0))</f>
        <v/>
      </c>
      <c r="FS334" s="0" t="str">
        <f aca="false">IF($A334="","",IF(ISNUMBER(MATCH(U334,{"queued","contacted","replied","call_booked","call_done","yes_in_principle","materials_sent"},0)),"Y","N"))</f>
        <v/>
      </c>
      <c r="FT334" s="0" t="str">
        <f aca="false">IF($A334="","",IF(OR(T334="Y",U334="do_not_contact",AS334&amp;""&lt;&gt;""),"Y","N"))</f>
        <v/>
      </c>
      <c r="FU334" s="0" t="str">
        <f aca="false">IF($A334="","",IF(AP334&amp;""&lt;&gt;"",AP334&amp;"",$A334))</f>
        <v/>
      </c>
      <c r="FV334" s="0" t="str">
        <f aca="false">IF($A334="","",IF(COUNTIFS($FU$2:$FU$1000,FU334,$FS$2:$FS$1000,"Y")+COUNTIFS($FU$2:$FU$1000,FU334,$FT$2:$FT$1000,"Y")&gt;0,"Y","N"))</f>
        <v/>
      </c>
      <c r="FW334" s="0" t="str">
        <f aca="false">IF($A334="","",IF(AND(U334="new",T334="N",FT334="N",AT334="Y",FV334="N"),"Y","N"))</f>
        <v/>
      </c>
      <c r="FX334" s="0" t="str">
        <f aca="false">IF($A334="","",IF(FW334&lt;&gt;"Y","N",IF(COUNTIFS($FU$2:$FU$1000,FU334,$FW$2:$FW$1000,"Y",$J$2:$J$1000,"&gt;"&amp;J334)+COUNTIFS($FU$2:$FU$1000,FU334,$FW$2:$FW$1000,"Y",$J$2:$J$1000,J334,$GD$2:$GD$1000,"&lt;"&amp;GD334)=0,"Y","N")))</f>
        <v/>
      </c>
      <c r="FY334" s="0" t="str">
        <f aca="false">IF($A334="","",IF(AND(FW334="Y",FX334="Y",Y334&amp;""&lt;&gt;""),IF(Y334&lt;=10,"Y","N"),"N"))</f>
        <v/>
      </c>
      <c r="FZ334" s="0" t="str">
        <f aca="false">IF(FY334="Y",Y334,"")</f>
        <v/>
      </c>
      <c r="GA334" s="0" t="str">
        <f aca="false">IF($A334="","",IF(AND(I334="walk-in",CN334="pass",U334="new",FT334="N",FV334="N",AQ334&lt;&gt;"Y"),"Y","N"))</f>
        <v/>
      </c>
      <c r="GB334" s="0" t="str">
        <f aca="false">IF(GA334&lt;&gt;"Y","",IF(COUNTIFS($GA$2:$GA$1000,"Y",$J$2:$J$1000,"&gt;"&amp;J334)+COUNTIFS($GA$2:$GA$1000,"Y",$J$2:$J$1000,J334,$GD$2:$GD$1000,"&lt;"&amp;GD334)+1&lt;=25,COUNTIFS($GA$2:$GA$1000,"Y",$J$2:$J$1000,"&gt;"&amp;J334)+COUNTIFS($GA$2:$GA$1000,"Y",$J$2:$J$1000,J334,$GD$2:$GD$1000,"&lt;"&amp;GD334)+1,""))</f>
        <v/>
      </c>
      <c r="GC334" s="0" t="str">
        <f aca="false">IF(AND(_xlfn.ISFORMULA(C334),_xlfn.ISFORMULA(J334)),"Y","N")</f>
        <v>Y</v>
      </c>
      <c r="GD334" s="0" t="n">
        <f aca="false">ROW()-1</f>
        <v>333</v>
      </c>
    </row>
    <row r="335" customFormat="false" ht="15" hidden="false" customHeight="false" outlineLevel="0" collapsed="false">
      <c r="C335" s="0" t="str">
        <f aca="false">IF($A335="","",IF(AW335="Y",BM335&amp;"",AY335&amp;""))</f>
        <v/>
      </c>
      <c r="D335" s="0" t="str">
        <f aca="false">IF($A335="","",IF(AW335="Y",BN335&amp;"",AZ335&amp;""))</f>
        <v/>
      </c>
      <c r="E335" s="0" t="str">
        <f aca="false">IF($A335="","",IF(AW335="Y",BO335&amp;"",BA335&amp;""))</f>
        <v/>
      </c>
      <c r="F335" s="0" t="str">
        <f aca="false">IF($A335="","",IF(AW335="Y",BP335&amp;"",BB335&amp;""))</f>
        <v/>
      </c>
      <c r="G335" s="0" t="str">
        <f aca="false">IF($A335="","",IF(AW335="Y",BQ335&amp;"",BC335&amp;""))</f>
        <v/>
      </c>
      <c r="H335" s="0" t="str">
        <f aca="false">IF($A335="","",IF(AW335="Y",BR335&amp;"",BD335&amp;""))</f>
        <v/>
      </c>
      <c r="I335" s="0" t="str">
        <f aca="false">IF($A335="","",IF(R335="Y","warm-intro",IF(H335="verified","email",IF(C335&lt;&gt;"","linkedin",CB335&amp;""))))</f>
        <v/>
      </c>
      <c r="J335" s="0" t="str">
        <f aca="false">IF($A335="","",IF(CN335="pass",ROUND(N(EM335)+N(EN335)+N(EO335)+N(EP335)+N(EQ335)+N(ER335),1),0))</f>
        <v/>
      </c>
      <c r="K335" s="0" t="str">
        <f aca="false">IF($A335="","",IF(CN335&lt;&gt;"pass",CA335&amp;"",CA335&amp;"; "&amp;IF(AW335="Y",BZ335&amp;"",BL335&amp;"")&amp;IF(R335="Y","; known to the founder (+15)","")&amp;"."))</f>
        <v/>
      </c>
      <c r="R335" s="5"/>
      <c r="U335" s="5"/>
      <c r="Y335" s="0" t="str">
        <f aca="false">IF(FX335&lt;&gt;"Y","",COUNTIFS($FX$2:$FX$1000,"Y",$J$2:$J$1000,"&gt;"&amp;J335)+COUNTIFS($FX$2:$FX$1000,"Y",$J$2:$J$1000,J335,$GD$2:$GD$1000,"&lt;"&amp;GD335)+1)</f>
        <v/>
      </c>
      <c r="AB335" s="0" t="str">
        <f aca="false">IF($A335="","",IF(AW335="Y",BY335&amp;"",BK335&amp;""))</f>
        <v/>
      </c>
      <c r="AC335" s="0" t="str">
        <f aca="false">IF($A335="","",IF(AW335="Y",BS335&amp;"",BE335&amp;""))</f>
        <v/>
      </c>
      <c r="AD335" s="0" t="str">
        <f aca="false">IF($A335="","",IF(AW335="Y",BT335&amp;"",BF335&amp;""))</f>
        <v/>
      </c>
      <c r="AE335" s="0" t="str">
        <f aca="false">IF($A335="","",IF(AW335="Y",BU335&amp;"",BG335&amp;""))</f>
        <v/>
      </c>
      <c r="AF335" s="0" t="str">
        <f aca="false">IF($A335="","",IF(AW335="Y",BV335&amp;"",BH335&amp;""))</f>
        <v/>
      </c>
      <c r="AG335" s="0" t="str">
        <f aca="false">IF($A335="","",IF(AW335="Y",BW335&amp;"",BI335&amp;""))</f>
        <v/>
      </c>
      <c r="AH335" s="0" t="str">
        <f aca="false">IF($A335="","",IF(AW335="Y",BX335&amp;"",BJ335&amp;""))</f>
        <v/>
      </c>
      <c r="AQ335" s="5"/>
      <c r="AT335" s="0" t="str">
        <f aca="false">IF($A335="","",IF(AND(CN335="pass",AQ335&lt;&gt;"Y",C335&lt;&gt;"",OR(AX335&lt;&gt;"Y",AV335="Y")),"Y","N"))</f>
        <v/>
      </c>
      <c r="AU335" s="0" t="str">
        <f aca="false">IF($A335="","",_xlfn.TEXTJOIN("; ",TRUE(),IF(CN335&lt;&gt;"pass","gated out",""),IF(AQ335="Y","on hold: "&amp;AR335,""),IF(C335="","no contact named on an opened page",""),IF(AND(AX335="Y",AV335&lt;&gt;"Y"),"Tuesday estimate band "&amp;L335&amp;": founder's call","")))</f>
        <v/>
      </c>
      <c r="BC335" s="0" t="str">
        <f aca="false">IF($A335="","",IFERROR(INDEX(Enrichment!$A$2:$GZ$2000,MATCH($A335,INDEX(Enrichment!$A$2:$GZ$2000,0,MATCH("row_id",Enrichment!$A$1:$GZ$1,0)),0),MATCH("work_email",Enrichment!$A$1:$GZ$1,0))&amp;"",""))</f>
        <v/>
      </c>
      <c r="BD335" s="0" t="str">
        <f aca="false">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Q335" s="0" t="str">
        <f aca="false">IF($A335="","",IFERROR(INDEX(Enrichment!$A$2:$GZ$2000,MATCH($A335,INDEX(Enrichment!$A$2:$GZ$2000,0,MATCH("row_id",Enrichment!$A$1:$GZ$1,0)),0),MATCH("backup_work_email",Enrichment!$A$1:$GZ$1,0))&amp;"",""))</f>
        <v/>
      </c>
      <c r="BR335" s="0" t="str">
        <f aca="false">IF($A335="","",IF(BQ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EQ335" s="0" t="str">
        <f aca="false">IF($A335="","",IF(AH335="exact",10,IF(AH335="adjacent",5,0)))</f>
        <v/>
      </c>
      <c r="ER335" s="0" t="str">
        <f aca="false">IF($A335="","",IF(R335="Y",15,0))</f>
        <v/>
      </c>
      <c r="FS335" s="0" t="str">
        <f aca="false">IF($A335="","",IF(ISNUMBER(MATCH(U335,{"queued","contacted","replied","call_booked","call_done","yes_in_principle","materials_sent"},0)),"Y","N"))</f>
        <v/>
      </c>
      <c r="FT335" s="0" t="str">
        <f aca="false">IF($A335="","",IF(OR(T335="Y",U335="do_not_contact",AS335&amp;""&lt;&gt;""),"Y","N"))</f>
        <v/>
      </c>
      <c r="FU335" s="0" t="str">
        <f aca="false">IF($A335="","",IF(AP335&amp;""&lt;&gt;"",AP335&amp;"",$A335))</f>
        <v/>
      </c>
      <c r="FV335" s="0" t="str">
        <f aca="false">IF($A335="","",IF(COUNTIFS($FU$2:$FU$1000,FU335,$FS$2:$FS$1000,"Y")+COUNTIFS($FU$2:$FU$1000,FU335,$FT$2:$FT$1000,"Y")&gt;0,"Y","N"))</f>
        <v/>
      </c>
      <c r="FW335" s="0" t="str">
        <f aca="false">IF($A335="","",IF(AND(U335="new",T335="N",FT335="N",AT335="Y",FV335="N"),"Y","N"))</f>
        <v/>
      </c>
      <c r="FX335" s="0" t="str">
        <f aca="false">IF($A335="","",IF(FW335&lt;&gt;"Y","N",IF(COUNTIFS($FU$2:$FU$1000,FU335,$FW$2:$FW$1000,"Y",$J$2:$J$1000,"&gt;"&amp;J335)+COUNTIFS($FU$2:$FU$1000,FU335,$FW$2:$FW$1000,"Y",$J$2:$J$1000,J335,$GD$2:$GD$1000,"&lt;"&amp;GD335)=0,"Y","N")))</f>
        <v/>
      </c>
      <c r="FY335" s="0" t="str">
        <f aca="false">IF($A335="","",IF(AND(FW335="Y",FX335="Y",Y335&amp;""&lt;&gt;""),IF(Y335&lt;=10,"Y","N"),"N"))</f>
        <v/>
      </c>
      <c r="FZ335" s="0" t="str">
        <f aca="false">IF(FY335="Y",Y335,"")</f>
        <v/>
      </c>
      <c r="GA335" s="0" t="str">
        <f aca="false">IF($A335="","",IF(AND(I335="walk-in",CN335="pass",U335="new",FT335="N",FV335="N",AQ335&lt;&gt;"Y"),"Y","N"))</f>
        <v/>
      </c>
      <c r="GB335" s="0" t="str">
        <f aca="false">IF(GA335&lt;&gt;"Y","",IF(COUNTIFS($GA$2:$GA$1000,"Y",$J$2:$J$1000,"&gt;"&amp;J335)+COUNTIFS($GA$2:$GA$1000,"Y",$J$2:$J$1000,J335,$GD$2:$GD$1000,"&lt;"&amp;GD335)+1&lt;=25,COUNTIFS($GA$2:$GA$1000,"Y",$J$2:$J$1000,"&gt;"&amp;J335)+COUNTIFS($GA$2:$GA$1000,"Y",$J$2:$J$1000,J335,$GD$2:$GD$1000,"&lt;"&amp;GD335)+1,""))</f>
        <v/>
      </c>
      <c r="GC335" s="0" t="str">
        <f aca="false">IF(AND(_xlfn.ISFORMULA(C335),_xlfn.ISFORMULA(J335)),"Y","N")</f>
        <v>Y</v>
      </c>
      <c r="GD335" s="0" t="n">
        <f aca="false">ROW()-1</f>
        <v>334</v>
      </c>
    </row>
    <row r="336" customFormat="false" ht="15" hidden="false" customHeight="false" outlineLevel="0" collapsed="false">
      <c r="C336" s="0" t="str">
        <f aca="false">IF($A336="","",IF(AW336="Y",BM336&amp;"",AY336&amp;""))</f>
        <v/>
      </c>
      <c r="D336" s="0" t="str">
        <f aca="false">IF($A336="","",IF(AW336="Y",BN336&amp;"",AZ336&amp;""))</f>
        <v/>
      </c>
      <c r="E336" s="0" t="str">
        <f aca="false">IF($A336="","",IF(AW336="Y",BO336&amp;"",BA336&amp;""))</f>
        <v/>
      </c>
      <c r="F336" s="0" t="str">
        <f aca="false">IF($A336="","",IF(AW336="Y",BP336&amp;"",BB336&amp;""))</f>
        <v/>
      </c>
      <c r="G336" s="0" t="str">
        <f aca="false">IF($A336="","",IF(AW336="Y",BQ336&amp;"",BC336&amp;""))</f>
        <v/>
      </c>
      <c r="H336" s="0" t="str">
        <f aca="false">IF($A336="","",IF(AW336="Y",BR336&amp;"",BD336&amp;""))</f>
        <v/>
      </c>
      <c r="I336" s="0" t="str">
        <f aca="false">IF($A336="","",IF(R336="Y","warm-intro",IF(H336="verified","email",IF(C336&lt;&gt;"","linkedin",CB336&amp;""))))</f>
        <v/>
      </c>
      <c r="J336" s="0" t="str">
        <f aca="false">IF($A336="","",IF(CN336="pass",ROUND(N(EM336)+N(EN336)+N(EO336)+N(EP336)+N(EQ336)+N(ER336),1),0))</f>
        <v/>
      </c>
      <c r="K336" s="0" t="str">
        <f aca="false">IF($A336="","",IF(CN336&lt;&gt;"pass",CA336&amp;"",CA336&amp;"; "&amp;IF(AW336="Y",BZ336&amp;"",BL336&amp;"")&amp;IF(R336="Y","; known to the founder (+15)","")&amp;"."))</f>
        <v/>
      </c>
      <c r="R336" s="5"/>
      <c r="U336" s="5"/>
      <c r="Y336" s="0" t="str">
        <f aca="false">IF(FX336&lt;&gt;"Y","",COUNTIFS($FX$2:$FX$1000,"Y",$J$2:$J$1000,"&gt;"&amp;J336)+COUNTIFS($FX$2:$FX$1000,"Y",$J$2:$J$1000,J336,$GD$2:$GD$1000,"&lt;"&amp;GD336)+1)</f>
        <v/>
      </c>
      <c r="AB336" s="0" t="str">
        <f aca="false">IF($A336="","",IF(AW336="Y",BY336&amp;"",BK336&amp;""))</f>
        <v/>
      </c>
      <c r="AC336" s="0" t="str">
        <f aca="false">IF($A336="","",IF(AW336="Y",BS336&amp;"",BE336&amp;""))</f>
        <v/>
      </c>
      <c r="AD336" s="0" t="str">
        <f aca="false">IF($A336="","",IF(AW336="Y",BT336&amp;"",BF336&amp;""))</f>
        <v/>
      </c>
      <c r="AE336" s="0" t="str">
        <f aca="false">IF($A336="","",IF(AW336="Y",BU336&amp;"",BG336&amp;""))</f>
        <v/>
      </c>
      <c r="AF336" s="0" t="str">
        <f aca="false">IF($A336="","",IF(AW336="Y",BV336&amp;"",BH336&amp;""))</f>
        <v/>
      </c>
      <c r="AG336" s="0" t="str">
        <f aca="false">IF($A336="","",IF(AW336="Y",BW336&amp;"",BI336&amp;""))</f>
        <v/>
      </c>
      <c r="AH336" s="0" t="str">
        <f aca="false">IF($A336="","",IF(AW336="Y",BX336&amp;"",BJ336&amp;""))</f>
        <v/>
      </c>
      <c r="AQ336" s="5"/>
      <c r="AT336" s="0" t="str">
        <f aca="false">IF($A336="","",IF(AND(CN336="pass",AQ336&lt;&gt;"Y",C336&lt;&gt;"",OR(AX336&lt;&gt;"Y",AV336="Y")),"Y","N"))</f>
        <v/>
      </c>
      <c r="AU336" s="0" t="str">
        <f aca="false">IF($A336="","",_xlfn.TEXTJOIN("; ",TRUE(),IF(CN336&lt;&gt;"pass","gated out",""),IF(AQ336="Y","on hold: "&amp;AR336,""),IF(C336="","no contact named on an opened page",""),IF(AND(AX336="Y",AV336&lt;&gt;"Y"),"Tuesday estimate band "&amp;L336&amp;": founder's call","")))</f>
        <v/>
      </c>
      <c r="BC336" s="0" t="str">
        <f aca="false">IF($A336="","",IFERROR(INDEX(Enrichment!$A$2:$GZ$2000,MATCH($A336,INDEX(Enrichment!$A$2:$GZ$2000,0,MATCH("row_id",Enrichment!$A$1:$GZ$1,0)),0),MATCH("work_email",Enrichment!$A$1:$GZ$1,0))&amp;"",""))</f>
        <v/>
      </c>
      <c r="BD336" s="0" t="str">
        <f aca="false">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Q336" s="0" t="str">
        <f aca="false">IF($A336="","",IFERROR(INDEX(Enrichment!$A$2:$GZ$2000,MATCH($A336,INDEX(Enrichment!$A$2:$GZ$2000,0,MATCH("row_id",Enrichment!$A$1:$GZ$1,0)),0),MATCH("backup_work_email",Enrichment!$A$1:$GZ$1,0))&amp;"",""))</f>
        <v/>
      </c>
      <c r="BR336" s="0" t="str">
        <f aca="false">IF($A336="","",IF(BQ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EQ336" s="0" t="str">
        <f aca="false">IF($A336="","",IF(AH336="exact",10,IF(AH336="adjacent",5,0)))</f>
        <v/>
      </c>
      <c r="ER336" s="0" t="str">
        <f aca="false">IF($A336="","",IF(R336="Y",15,0))</f>
        <v/>
      </c>
      <c r="FS336" s="0" t="str">
        <f aca="false">IF($A336="","",IF(ISNUMBER(MATCH(U336,{"queued","contacted","replied","call_booked","call_done","yes_in_principle","materials_sent"},0)),"Y","N"))</f>
        <v/>
      </c>
      <c r="FT336" s="0" t="str">
        <f aca="false">IF($A336="","",IF(OR(T336="Y",U336="do_not_contact",AS336&amp;""&lt;&gt;""),"Y","N"))</f>
        <v/>
      </c>
      <c r="FU336" s="0" t="str">
        <f aca="false">IF($A336="","",IF(AP336&amp;""&lt;&gt;"",AP336&amp;"",$A336))</f>
        <v/>
      </c>
      <c r="FV336" s="0" t="str">
        <f aca="false">IF($A336="","",IF(COUNTIFS($FU$2:$FU$1000,FU336,$FS$2:$FS$1000,"Y")+COUNTIFS($FU$2:$FU$1000,FU336,$FT$2:$FT$1000,"Y")&gt;0,"Y","N"))</f>
        <v/>
      </c>
      <c r="FW336" s="0" t="str">
        <f aca="false">IF($A336="","",IF(AND(U336="new",T336="N",FT336="N",AT336="Y",FV336="N"),"Y","N"))</f>
        <v/>
      </c>
      <c r="FX336" s="0" t="str">
        <f aca="false">IF($A336="","",IF(FW336&lt;&gt;"Y","N",IF(COUNTIFS($FU$2:$FU$1000,FU336,$FW$2:$FW$1000,"Y",$J$2:$J$1000,"&gt;"&amp;J336)+COUNTIFS($FU$2:$FU$1000,FU336,$FW$2:$FW$1000,"Y",$J$2:$J$1000,J336,$GD$2:$GD$1000,"&lt;"&amp;GD336)=0,"Y","N")))</f>
        <v/>
      </c>
      <c r="FY336" s="0" t="str">
        <f aca="false">IF($A336="","",IF(AND(FW336="Y",FX336="Y",Y336&amp;""&lt;&gt;""),IF(Y336&lt;=10,"Y","N"),"N"))</f>
        <v/>
      </c>
      <c r="FZ336" s="0" t="str">
        <f aca="false">IF(FY336="Y",Y336,"")</f>
        <v/>
      </c>
      <c r="GA336" s="0" t="str">
        <f aca="false">IF($A336="","",IF(AND(I336="walk-in",CN336="pass",U336="new",FT336="N",FV336="N",AQ336&lt;&gt;"Y"),"Y","N"))</f>
        <v/>
      </c>
      <c r="GB336" s="0" t="str">
        <f aca="false">IF(GA336&lt;&gt;"Y","",IF(COUNTIFS($GA$2:$GA$1000,"Y",$J$2:$J$1000,"&gt;"&amp;J336)+COUNTIFS($GA$2:$GA$1000,"Y",$J$2:$J$1000,J336,$GD$2:$GD$1000,"&lt;"&amp;GD336)+1&lt;=25,COUNTIFS($GA$2:$GA$1000,"Y",$J$2:$J$1000,"&gt;"&amp;J336)+COUNTIFS($GA$2:$GA$1000,"Y",$J$2:$J$1000,J336,$GD$2:$GD$1000,"&lt;"&amp;GD336)+1,""))</f>
        <v/>
      </c>
      <c r="GC336" s="0" t="str">
        <f aca="false">IF(AND(_xlfn.ISFORMULA(C336),_xlfn.ISFORMULA(J336)),"Y","N")</f>
        <v>Y</v>
      </c>
      <c r="GD336" s="0" t="n">
        <f aca="false">ROW()-1</f>
        <v>335</v>
      </c>
    </row>
    <row r="337" customFormat="false" ht="15" hidden="false" customHeight="false" outlineLevel="0" collapsed="false">
      <c r="C337" s="0" t="str">
        <f aca="false">IF($A337="","",IF(AW337="Y",BM337&amp;"",AY337&amp;""))</f>
        <v/>
      </c>
      <c r="D337" s="0" t="str">
        <f aca="false">IF($A337="","",IF(AW337="Y",BN337&amp;"",AZ337&amp;""))</f>
        <v/>
      </c>
      <c r="E337" s="0" t="str">
        <f aca="false">IF($A337="","",IF(AW337="Y",BO337&amp;"",BA337&amp;""))</f>
        <v/>
      </c>
      <c r="F337" s="0" t="str">
        <f aca="false">IF($A337="","",IF(AW337="Y",BP337&amp;"",BB337&amp;""))</f>
        <v/>
      </c>
      <c r="G337" s="0" t="str">
        <f aca="false">IF($A337="","",IF(AW337="Y",BQ337&amp;"",BC337&amp;""))</f>
        <v/>
      </c>
      <c r="H337" s="0" t="str">
        <f aca="false">IF($A337="","",IF(AW337="Y",BR337&amp;"",BD337&amp;""))</f>
        <v/>
      </c>
      <c r="I337" s="0" t="str">
        <f aca="false">IF($A337="","",IF(R337="Y","warm-intro",IF(H337="verified","email",IF(C337&lt;&gt;"","linkedin",CB337&amp;""))))</f>
        <v/>
      </c>
      <c r="J337" s="0" t="str">
        <f aca="false">IF($A337="","",IF(CN337="pass",ROUND(N(EM337)+N(EN337)+N(EO337)+N(EP337)+N(EQ337)+N(ER337),1),0))</f>
        <v/>
      </c>
      <c r="K337" s="0" t="str">
        <f aca="false">IF($A337="","",IF(CN337&lt;&gt;"pass",CA337&amp;"",CA337&amp;"; "&amp;IF(AW337="Y",BZ337&amp;"",BL337&amp;"")&amp;IF(R337="Y","; known to the founder (+15)","")&amp;"."))</f>
        <v/>
      </c>
      <c r="R337" s="5"/>
      <c r="U337" s="5"/>
      <c r="Y337" s="0" t="str">
        <f aca="false">IF(FX337&lt;&gt;"Y","",COUNTIFS($FX$2:$FX$1000,"Y",$J$2:$J$1000,"&gt;"&amp;J337)+COUNTIFS($FX$2:$FX$1000,"Y",$J$2:$J$1000,J337,$GD$2:$GD$1000,"&lt;"&amp;GD337)+1)</f>
        <v/>
      </c>
      <c r="AB337" s="0" t="str">
        <f aca="false">IF($A337="","",IF(AW337="Y",BY337&amp;"",BK337&amp;""))</f>
        <v/>
      </c>
      <c r="AC337" s="0" t="str">
        <f aca="false">IF($A337="","",IF(AW337="Y",BS337&amp;"",BE337&amp;""))</f>
        <v/>
      </c>
      <c r="AD337" s="0" t="str">
        <f aca="false">IF($A337="","",IF(AW337="Y",BT337&amp;"",BF337&amp;""))</f>
        <v/>
      </c>
      <c r="AE337" s="0" t="str">
        <f aca="false">IF($A337="","",IF(AW337="Y",BU337&amp;"",BG337&amp;""))</f>
        <v/>
      </c>
      <c r="AF337" s="0" t="str">
        <f aca="false">IF($A337="","",IF(AW337="Y",BV337&amp;"",BH337&amp;""))</f>
        <v/>
      </c>
      <c r="AG337" s="0" t="str">
        <f aca="false">IF($A337="","",IF(AW337="Y",BW337&amp;"",BI337&amp;""))</f>
        <v/>
      </c>
      <c r="AH337" s="0" t="str">
        <f aca="false">IF($A337="","",IF(AW337="Y",BX337&amp;"",BJ337&amp;""))</f>
        <v/>
      </c>
      <c r="AQ337" s="5"/>
      <c r="AT337" s="0" t="str">
        <f aca="false">IF($A337="","",IF(AND(CN337="pass",AQ337&lt;&gt;"Y",C337&lt;&gt;"",OR(AX337&lt;&gt;"Y",AV337="Y")),"Y","N"))</f>
        <v/>
      </c>
      <c r="AU337" s="0" t="str">
        <f aca="false">IF($A337="","",_xlfn.TEXTJOIN("; ",TRUE(),IF(CN337&lt;&gt;"pass","gated out",""),IF(AQ337="Y","on hold: "&amp;AR337,""),IF(C337="","no contact named on an opened page",""),IF(AND(AX337="Y",AV337&lt;&gt;"Y"),"Tuesday estimate band "&amp;L337&amp;": founder's call","")))</f>
        <v/>
      </c>
      <c r="BC337" s="0" t="str">
        <f aca="false">IF($A337="","",IFERROR(INDEX(Enrichment!$A$2:$GZ$2000,MATCH($A337,INDEX(Enrichment!$A$2:$GZ$2000,0,MATCH("row_id",Enrichment!$A$1:$GZ$1,0)),0),MATCH("work_email",Enrichment!$A$1:$GZ$1,0))&amp;"",""))</f>
        <v/>
      </c>
      <c r="BD337" s="0" t="str">
        <f aca="false">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Q337" s="0" t="str">
        <f aca="false">IF($A337="","",IFERROR(INDEX(Enrichment!$A$2:$GZ$2000,MATCH($A337,INDEX(Enrichment!$A$2:$GZ$2000,0,MATCH("row_id",Enrichment!$A$1:$GZ$1,0)),0),MATCH("backup_work_email",Enrichment!$A$1:$GZ$1,0))&amp;"",""))</f>
        <v/>
      </c>
      <c r="BR337" s="0" t="str">
        <f aca="false">IF($A337="","",IF(BQ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EQ337" s="0" t="str">
        <f aca="false">IF($A337="","",IF(AH337="exact",10,IF(AH337="adjacent",5,0)))</f>
        <v/>
      </c>
      <c r="ER337" s="0" t="str">
        <f aca="false">IF($A337="","",IF(R337="Y",15,0))</f>
        <v/>
      </c>
      <c r="FS337" s="0" t="str">
        <f aca="false">IF($A337="","",IF(ISNUMBER(MATCH(U337,{"queued","contacted","replied","call_booked","call_done","yes_in_principle","materials_sent"},0)),"Y","N"))</f>
        <v/>
      </c>
      <c r="FT337" s="0" t="str">
        <f aca="false">IF($A337="","",IF(OR(T337="Y",U337="do_not_contact",AS337&amp;""&lt;&gt;""),"Y","N"))</f>
        <v/>
      </c>
      <c r="FU337" s="0" t="str">
        <f aca="false">IF($A337="","",IF(AP337&amp;""&lt;&gt;"",AP337&amp;"",$A337))</f>
        <v/>
      </c>
      <c r="FV337" s="0" t="str">
        <f aca="false">IF($A337="","",IF(COUNTIFS($FU$2:$FU$1000,FU337,$FS$2:$FS$1000,"Y")+COUNTIFS($FU$2:$FU$1000,FU337,$FT$2:$FT$1000,"Y")&gt;0,"Y","N"))</f>
        <v/>
      </c>
      <c r="FW337" s="0" t="str">
        <f aca="false">IF($A337="","",IF(AND(U337="new",T337="N",FT337="N",AT337="Y",FV337="N"),"Y","N"))</f>
        <v/>
      </c>
      <c r="FX337" s="0" t="str">
        <f aca="false">IF($A337="","",IF(FW337&lt;&gt;"Y","N",IF(COUNTIFS($FU$2:$FU$1000,FU337,$FW$2:$FW$1000,"Y",$J$2:$J$1000,"&gt;"&amp;J337)+COUNTIFS($FU$2:$FU$1000,FU337,$FW$2:$FW$1000,"Y",$J$2:$J$1000,J337,$GD$2:$GD$1000,"&lt;"&amp;GD337)=0,"Y","N")))</f>
        <v/>
      </c>
      <c r="FY337" s="0" t="str">
        <f aca="false">IF($A337="","",IF(AND(FW337="Y",FX337="Y",Y337&amp;""&lt;&gt;""),IF(Y337&lt;=10,"Y","N"),"N"))</f>
        <v/>
      </c>
      <c r="FZ337" s="0" t="str">
        <f aca="false">IF(FY337="Y",Y337,"")</f>
        <v/>
      </c>
      <c r="GA337" s="0" t="str">
        <f aca="false">IF($A337="","",IF(AND(I337="walk-in",CN337="pass",U337="new",FT337="N",FV337="N",AQ337&lt;&gt;"Y"),"Y","N"))</f>
        <v/>
      </c>
      <c r="GB337" s="0" t="str">
        <f aca="false">IF(GA337&lt;&gt;"Y","",IF(COUNTIFS($GA$2:$GA$1000,"Y",$J$2:$J$1000,"&gt;"&amp;J337)+COUNTIFS($GA$2:$GA$1000,"Y",$J$2:$J$1000,J337,$GD$2:$GD$1000,"&lt;"&amp;GD337)+1&lt;=25,COUNTIFS($GA$2:$GA$1000,"Y",$J$2:$J$1000,"&gt;"&amp;J337)+COUNTIFS($GA$2:$GA$1000,"Y",$J$2:$J$1000,J337,$GD$2:$GD$1000,"&lt;"&amp;GD337)+1,""))</f>
        <v/>
      </c>
      <c r="GC337" s="0" t="str">
        <f aca="false">IF(AND(_xlfn.ISFORMULA(C337),_xlfn.ISFORMULA(J337)),"Y","N")</f>
        <v>Y</v>
      </c>
      <c r="GD337" s="0" t="n">
        <f aca="false">ROW()-1</f>
        <v>336</v>
      </c>
    </row>
    <row r="338" customFormat="false" ht="15" hidden="false" customHeight="false" outlineLevel="0" collapsed="false">
      <c r="C338" s="0" t="str">
        <f aca="false">IF($A338="","",IF(AW338="Y",BM338&amp;"",AY338&amp;""))</f>
        <v/>
      </c>
      <c r="D338" s="0" t="str">
        <f aca="false">IF($A338="","",IF(AW338="Y",BN338&amp;"",AZ338&amp;""))</f>
        <v/>
      </c>
      <c r="E338" s="0" t="str">
        <f aca="false">IF($A338="","",IF(AW338="Y",BO338&amp;"",BA338&amp;""))</f>
        <v/>
      </c>
      <c r="F338" s="0" t="str">
        <f aca="false">IF($A338="","",IF(AW338="Y",BP338&amp;"",BB338&amp;""))</f>
        <v/>
      </c>
      <c r="G338" s="0" t="str">
        <f aca="false">IF($A338="","",IF(AW338="Y",BQ338&amp;"",BC338&amp;""))</f>
        <v/>
      </c>
      <c r="H338" s="0" t="str">
        <f aca="false">IF($A338="","",IF(AW338="Y",BR338&amp;"",BD338&amp;""))</f>
        <v/>
      </c>
      <c r="I338" s="0" t="str">
        <f aca="false">IF($A338="","",IF(R338="Y","warm-intro",IF(H338="verified","email",IF(C338&lt;&gt;"","linkedin",CB338&amp;""))))</f>
        <v/>
      </c>
      <c r="J338" s="0" t="str">
        <f aca="false">IF($A338="","",IF(CN338="pass",ROUND(N(EM338)+N(EN338)+N(EO338)+N(EP338)+N(EQ338)+N(ER338),1),0))</f>
        <v/>
      </c>
      <c r="K338" s="0" t="str">
        <f aca="false">IF($A338="","",IF(CN338&lt;&gt;"pass",CA338&amp;"",CA338&amp;"; "&amp;IF(AW338="Y",BZ338&amp;"",BL338&amp;"")&amp;IF(R338="Y","; known to the founder (+15)","")&amp;"."))</f>
        <v/>
      </c>
      <c r="R338" s="5"/>
      <c r="U338" s="5"/>
      <c r="Y338" s="0" t="str">
        <f aca="false">IF(FX338&lt;&gt;"Y","",COUNTIFS($FX$2:$FX$1000,"Y",$J$2:$J$1000,"&gt;"&amp;J338)+COUNTIFS($FX$2:$FX$1000,"Y",$J$2:$J$1000,J338,$GD$2:$GD$1000,"&lt;"&amp;GD338)+1)</f>
        <v/>
      </c>
      <c r="AB338" s="0" t="str">
        <f aca="false">IF($A338="","",IF(AW338="Y",BY338&amp;"",BK338&amp;""))</f>
        <v/>
      </c>
      <c r="AC338" s="0" t="str">
        <f aca="false">IF($A338="","",IF(AW338="Y",BS338&amp;"",BE338&amp;""))</f>
        <v/>
      </c>
      <c r="AD338" s="0" t="str">
        <f aca="false">IF($A338="","",IF(AW338="Y",BT338&amp;"",BF338&amp;""))</f>
        <v/>
      </c>
      <c r="AE338" s="0" t="str">
        <f aca="false">IF($A338="","",IF(AW338="Y",BU338&amp;"",BG338&amp;""))</f>
        <v/>
      </c>
      <c r="AF338" s="0" t="str">
        <f aca="false">IF($A338="","",IF(AW338="Y",BV338&amp;"",BH338&amp;""))</f>
        <v/>
      </c>
      <c r="AG338" s="0" t="str">
        <f aca="false">IF($A338="","",IF(AW338="Y",BW338&amp;"",BI338&amp;""))</f>
        <v/>
      </c>
      <c r="AH338" s="0" t="str">
        <f aca="false">IF($A338="","",IF(AW338="Y",BX338&amp;"",BJ338&amp;""))</f>
        <v/>
      </c>
      <c r="AQ338" s="5"/>
      <c r="AT338" s="0" t="str">
        <f aca="false">IF($A338="","",IF(AND(CN338="pass",AQ338&lt;&gt;"Y",C338&lt;&gt;"",OR(AX338&lt;&gt;"Y",AV338="Y")),"Y","N"))</f>
        <v/>
      </c>
      <c r="AU338" s="0" t="str">
        <f aca="false">IF($A338="","",_xlfn.TEXTJOIN("; ",TRUE(),IF(CN338&lt;&gt;"pass","gated out",""),IF(AQ338="Y","on hold: "&amp;AR338,""),IF(C338="","no contact named on an opened page",""),IF(AND(AX338="Y",AV338&lt;&gt;"Y"),"Tuesday estimate band "&amp;L338&amp;": founder's call","")))</f>
        <v/>
      </c>
      <c r="BC338" s="0" t="str">
        <f aca="false">IF($A338="","",IFERROR(INDEX(Enrichment!$A$2:$GZ$2000,MATCH($A338,INDEX(Enrichment!$A$2:$GZ$2000,0,MATCH("row_id",Enrichment!$A$1:$GZ$1,0)),0),MATCH("work_email",Enrichment!$A$1:$GZ$1,0))&amp;"",""))</f>
        <v/>
      </c>
      <c r="BD338" s="0" t="str">
        <f aca="false">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Q338" s="0" t="str">
        <f aca="false">IF($A338="","",IFERROR(INDEX(Enrichment!$A$2:$GZ$2000,MATCH($A338,INDEX(Enrichment!$A$2:$GZ$2000,0,MATCH("row_id",Enrichment!$A$1:$GZ$1,0)),0),MATCH("backup_work_email",Enrichment!$A$1:$GZ$1,0))&amp;"",""))</f>
        <v/>
      </c>
      <c r="BR338" s="0" t="str">
        <f aca="false">IF($A338="","",IF(BQ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EQ338" s="0" t="str">
        <f aca="false">IF($A338="","",IF(AH338="exact",10,IF(AH338="adjacent",5,0)))</f>
        <v/>
      </c>
      <c r="ER338" s="0" t="str">
        <f aca="false">IF($A338="","",IF(R338="Y",15,0))</f>
        <v/>
      </c>
      <c r="FS338" s="0" t="str">
        <f aca="false">IF($A338="","",IF(ISNUMBER(MATCH(U338,{"queued","contacted","replied","call_booked","call_done","yes_in_principle","materials_sent"},0)),"Y","N"))</f>
        <v/>
      </c>
      <c r="FT338" s="0" t="str">
        <f aca="false">IF($A338="","",IF(OR(T338="Y",U338="do_not_contact",AS338&amp;""&lt;&gt;""),"Y","N"))</f>
        <v/>
      </c>
      <c r="FU338" s="0" t="str">
        <f aca="false">IF($A338="","",IF(AP338&amp;""&lt;&gt;"",AP338&amp;"",$A338))</f>
        <v/>
      </c>
      <c r="FV338" s="0" t="str">
        <f aca="false">IF($A338="","",IF(COUNTIFS($FU$2:$FU$1000,FU338,$FS$2:$FS$1000,"Y")+COUNTIFS($FU$2:$FU$1000,FU338,$FT$2:$FT$1000,"Y")&gt;0,"Y","N"))</f>
        <v/>
      </c>
      <c r="FW338" s="0" t="str">
        <f aca="false">IF($A338="","",IF(AND(U338="new",T338="N",FT338="N",AT338="Y",FV338="N"),"Y","N"))</f>
        <v/>
      </c>
      <c r="FX338" s="0" t="str">
        <f aca="false">IF($A338="","",IF(FW338&lt;&gt;"Y","N",IF(COUNTIFS($FU$2:$FU$1000,FU338,$FW$2:$FW$1000,"Y",$J$2:$J$1000,"&gt;"&amp;J338)+COUNTIFS($FU$2:$FU$1000,FU338,$FW$2:$FW$1000,"Y",$J$2:$J$1000,J338,$GD$2:$GD$1000,"&lt;"&amp;GD338)=0,"Y","N")))</f>
        <v/>
      </c>
      <c r="FY338" s="0" t="str">
        <f aca="false">IF($A338="","",IF(AND(FW338="Y",FX338="Y",Y338&amp;""&lt;&gt;""),IF(Y338&lt;=10,"Y","N"),"N"))</f>
        <v/>
      </c>
      <c r="FZ338" s="0" t="str">
        <f aca="false">IF(FY338="Y",Y338,"")</f>
        <v/>
      </c>
      <c r="GA338" s="0" t="str">
        <f aca="false">IF($A338="","",IF(AND(I338="walk-in",CN338="pass",U338="new",FT338="N",FV338="N",AQ338&lt;&gt;"Y"),"Y","N"))</f>
        <v/>
      </c>
      <c r="GB338" s="0" t="str">
        <f aca="false">IF(GA338&lt;&gt;"Y","",IF(COUNTIFS($GA$2:$GA$1000,"Y",$J$2:$J$1000,"&gt;"&amp;J338)+COUNTIFS($GA$2:$GA$1000,"Y",$J$2:$J$1000,J338,$GD$2:$GD$1000,"&lt;"&amp;GD338)+1&lt;=25,COUNTIFS($GA$2:$GA$1000,"Y",$J$2:$J$1000,"&gt;"&amp;J338)+COUNTIFS($GA$2:$GA$1000,"Y",$J$2:$J$1000,J338,$GD$2:$GD$1000,"&lt;"&amp;GD338)+1,""))</f>
        <v/>
      </c>
      <c r="GC338" s="0" t="str">
        <f aca="false">IF(AND(_xlfn.ISFORMULA(C338),_xlfn.ISFORMULA(J338)),"Y","N")</f>
        <v>Y</v>
      </c>
      <c r="GD338" s="0" t="n">
        <f aca="false">ROW()-1</f>
        <v>337</v>
      </c>
    </row>
    <row r="339" customFormat="false" ht="15" hidden="false" customHeight="false" outlineLevel="0" collapsed="false">
      <c r="C339" s="0" t="str">
        <f aca="false">IF($A339="","",IF(AW339="Y",BM339&amp;"",AY339&amp;""))</f>
        <v/>
      </c>
      <c r="D339" s="0" t="str">
        <f aca="false">IF($A339="","",IF(AW339="Y",BN339&amp;"",AZ339&amp;""))</f>
        <v/>
      </c>
      <c r="E339" s="0" t="str">
        <f aca="false">IF($A339="","",IF(AW339="Y",BO339&amp;"",BA339&amp;""))</f>
        <v/>
      </c>
      <c r="F339" s="0" t="str">
        <f aca="false">IF($A339="","",IF(AW339="Y",BP339&amp;"",BB339&amp;""))</f>
        <v/>
      </c>
      <c r="G339" s="0" t="str">
        <f aca="false">IF($A339="","",IF(AW339="Y",BQ339&amp;"",BC339&amp;""))</f>
        <v/>
      </c>
      <c r="H339" s="0" t="str">
        <f aca="false">IF($A339="","",IF(AW339="Y",BR339&amp;"",BD339&amp;""))</f>
        <v/>
      </c>
      <c r="I339" s="0" t="str">
        <f aca="false">IF($A339="","",IF(R339="Y","warm-intro",IF(H339="verified","email",IF(C339&lt;&gt;"","linkedin",CB339&amp;""))))</f>
        <v/>
      </c>
      <c r="J339" s="0" t="str">
        <f aca="false">IF($A339="","",IF(CN339="pass",ROUND(N(EM339)+N(EN339)+N(EO339)+N(EP339)+N(EQ339)+N(ER339),1),0))</f>
        <v/>
      </c>
      <c r="K339" s="0" t="str">
        <f aca="false">IF($A339="","",IF(CN339&lt;&gt;"pass",CA339&amp;"",CA339&amp;"; "&amp;IF(AW339="Y",BZ339&amp;"",BL339&amp;"")&amp;IF(R339="Y","; known to the founder (+15)","")&amp;"."))</f>
        <v/>
      </c>
      <c r="R339" s="5"/>
      <c r="U339" s="5"/>
      <c r="Y339" s="0" t="str">
        <f aca="false">IF(FX339&lt;&gt;"Y","",COUNTIFS($FX$2:$FX$1000,"Y",$J$2:$J$1000,"&gt;"&amp;J339)+COUNTIFS($FX$2:$FX$1000,"Y",$J$2:$J$1000,J339,$GD$2:$GD$1000,"&lt;"&amp;GD339)+1)</f>
        <v/>
      </c>
      <c r="AB339" s="0" t="str">
        <f aca="false">IF($A339="","",IF(AW339="Y",BY339&amp;"",BK339&amp;""))</f>
        <v/>
      </c>
      <c r="AC339" s="0" t="str">
        <f aca="false">IF($A339="","",IF(AW339="Y",BS339&amp;"",BE339&amp;""))</f>
        <v/>
      </c>
      <c r="AD339" s="0" t="str">
        <f aca="false">IF($A339="","",IF(AW339="Y",BT339&amp;"",BF339&amp;""))</f>
        <v/>
      </c>
      <c r="AE339" s="0" t="str">
        <f aca="false">IF($A339="","",IF(AW339="Y",BU339&amp;"",BG339&amp;""))</f>
        <v/>
      </c>
      <c r="AF339" s="0" t="str">
        <f aca="false">IF($A339="","",IF(AW339="Y",BV339&amp;"",BH339&amp;""))</f>
        <v/>
      </c>
      <c r="AG339" s="0" t="str">
        <f aca="false">IF($A339="","",IF(AW339="Y",BW339&amp;"",BI339&amp;""))</f>
        <v/>
      </c>
      <c r="AH339" s="0" t="str">
        <f aca="false">IF($A339="","",IF(AW339="Y",BX339&amp;"",BJ339&amp;""))</f>
        <v/>
      </c>
      <c r="AQ339" s="5"/>
      <c r="AT339" s="0" t="str">
        <f aca="false">IF($A339="","",IF(AND(CN339="pass",AQ339&lt;&gt;"Y",C339&lt;&gt;"",OR(AX339&lt;&gt;"Y",AV339="Y")),"Y","N"))</f>
        <v/>
      </c>
      <c r="AU339" s="0" t="str">
        <f aca="false">IF($A339="","",_xlfn.TEXTJOIN("; ",TRUE(),IF(CN339&lt;&gt;"pass","gated out",""),IF(AQ339="Y","on hold: "&amp;AR339,""),IF(C339="","no contact named on an opened page",""),IF(AND(AX339="Y",AV339&lt;&gt;"Y"),"Tuesday estimate band "&amp;L339&amp;": founder's call","")))</f>
        <v/>
      </c>
      <c r="BC339" s="0" t="str">
        <f aca="false">IF($A339="","",IFERROR(INDEX(Enrichment!$A$2:$GZ$2000,MATCH($A339,INDEX(Enrichment!$A$2:$GZ$2000,0,MATCH("row_id",Enrichment!$A$1:$GZ$1,0)),0),MATCH("work_email",Enrichment!$A$1:$GZ$1,0))&amp;"",""))</f>
        <v/>
      </c>
      <c r="BD339" s="0" t="str">
        <f aca="false">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Q339" s="0" t="str">
        <f aca="false">IF($A339="","",IFERROR(INDEX(Enrichment!$A$2:$GZ$2000,MATCH($A339,INDEX(Enrichment!$A$2:$GZ$2000,0,MATCH("row_id",Enrichment!$A$1:$GZ$1,0)),0),MATCH("backup_work_email",Enrichment!$A$1:$GZ$1,0))&amp;"",""))</f>
        <v/>
      </c>
      <c r="BR339" s="0" t="str">
        <f aca="false">IF($A339="","",IF(BQ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EQ339" s="0" t="str">
        <f aca="false">IF($A339="","",IF(AH339="exact",10,IF(AH339="adjacent",5,0)))</f>
        <v/>
      </c>
      <c r="ER339" s="0" t="str">
        <f aca="false">IF($A339="","",IF(R339="Y",15,0))</f>
        <v/>
      </c>
      <c r="FS339" s="0" t="str">
        <f aca="false">IF($A339="","",IF(ISNUMBER(MATCH(U339,{"queued","contacted","replied","call_booked","call_done","yes_in_principle","materials_sent"},0)),"Y","N"))</f>
        <v/>
      </c>
      <c r="FT339" s="0" t="str">
        <f aca="false">IF($A339="","",IF(OR(T339="Y",U339="do_not_contact",AS339&amp;""&lt;&gt;""),"Y","N"))</f>
        <v/>
      </c>
      <c r="FU339" s="0" t="str">
        <f aca="false">IF($A339="","",IF(AP339&amp;""&lt;&gt;"",AP339&amp;"",$A339))</f>
        <v/>
      </c>
      <c r="FV339" s="0" t="str">
        <f aca="false">IF($A339="","",IF(COUNTIFS($FU$2:$FU$1000,FU339,$FS$2:$FS$1000,"Y")+COUNTIFS($FU$2:$FU$1000,FU339,$FT$2:$FT$1000,"Y")&gt;0,"Y","N"))</f>
        <v/>
      </c>
      <c r="FW339" s="0" t="str">
        <f aca="false">IF($A339="","",IF(AND(U339="new",T339="N",FT339="N",AT339="Y",FV339="N"),"Y","N"))</f>
        <v/>
      </c>
      <c r="FX339" s="0" t="str">
        <f aca="false">IF($A339="","",IF(FW339&lt;&gt;"Y","N",IF(COUNTIFS($FU$2:$FU$1000,FU339,$FW$2:$FW$1000,"Y",$J$2:$J$1000,"&gt;"&amp;J339)+COUNTIFS($FU$2:$FU$1000,FU339,$FW$2:$FW$1000,"Y",$J$2:$J$1000,J339,$GD$2:$GD$1000,"&lt;"&amp;GD339)=0,"Y","N")))</f>
        <v/>
      </c>
      <c r="FY339" s="0" t="str">
        <f aca="false">IF($A339="","",IF(AND(FW339="Y",FX339="Y",Y339&amp;""&lt;&gt;""),IF(Y339&lt;=10,"Y","N"),"N"))</f>
        <v/>
      </c>
      <c r="FZ339" s="0" t="str">
        <f aca="false">IF(FY339="Y",Y339,"")</f>
        <v/>
      </c>
      <c r="GA339" s="0" t="str">
        <f aca="false">IF($A339="","",IF(AND(I339="walk-in",CN339="pass",U339="new",FT339="N",FV339="N",AQ339&lt;&gt;"Y"),"Y","N"))</f>
        <v/>
      </c>
      <c r="GB339" s="0" t="str">
        <f aca="false">IF(GA339&lt;&gt;"Y","",IF(COUNTIFS($GA$2:$GA$1000,"Y",$J$2:$J$1000,"&gt;"&amp;J339)+COUNTIFS($GA$2:$GA$1000,"Y",$J$2:$J$1000,J339,$GD$2:$GD$1000,"&lt;"&amp;GD339)+1&lt;=25,COUNTIFS($GA$2:$GA$1000,"Y",$J$2:$J$1000,"&gt;"&amp;J339)+COUNTIFS($GA$2:$GA$1000,"Y",$J$2:$J$1000,J339,$GD$2:$GD$1000,"&lt;"&amp;GD339)+1,""))</f>
        <v/>
      </c>
      <c r="GC339" s="0" t="str">
        <f aca="false">IF(AND(_xlfn.ISFORMULA(C339),_xlfn.ISFORMULA(J339)),"Y","N")</f>
        <v>Y</v>
      </c>
      <c r="GD339" s="0" t="n">
        <f aca="false">ROW()-1</f>
        <v>338</v>
      </c>
    </row>
    <row r="340" customFormat="false" ht="15" hidden="false" customHeight="false" outlineLevel="0" collapsed="false">
      <c r="C340" s="0" t="str">
        <f aca="false">IF($A340="","",IF(AW340="Y",BM340&amp;"",AY340&amp;""))</f>
        <v/>
      </c>
      <c r="D340" s="0" t="str">
        <f aca="false">IF($A340="","",IF(AW340="Y",BN340&amp;"",AZ340&amp;""))</f>
        <v/>
      </c>
      <c r="E340" s="0" t="str">
        <f aca="false">IF($A340="","",IF(AW340="Y",BO340&amp;"",BA340&amp;""))</f>
        <v/>
      </c>
      <c r="F340" s="0" t="str">
        <f aca="false">IF($A340="","",IF(AW340="Y",BP340&amp;"",BB340&amp;""))</f>
        <v/>
      </c>
      <c r="G340" s="0" t="str">
        <f aca="false">IF($A340="","",IF(AW340="Y",BQ340&amp;"",BC340&amp;""))</f>
        <v/>
      </c>
      <c r="H340" s="0" t="str">
        <f aca="false">IF($A340="","",IF(AW340="Y",BR340&amp;"",BD340&amp;""))</f>
        <v/>
      </c>
      <c r="I340" s="0" t="str">
        <f aca="false">IF($A340="","",IF(R340="Y","warm-intro",IF(H340="verified","email",IF(C340&lt;&gt;"","linkedin",CB340&amp;""))))</f>
        <v/>
      </c>
      <c r="J340" s="0" t="str">
        <f aca="false">IF($A340="","",IF(CN340="pass",ROUND(N(EM340)+N(EN340)+N(EO340)+N(EP340)+N(EQ340)+N(ER340),1),0))</f>
        <v/>
      </c>
      <c r="K340" s="0" t="str">
        <f aca="false">IF($A340="","",IF(CN340&lt;&gt;"pass",CA340&amp;"",CA340&amp;"; "&amp;IF(AW340="Y",BZ340&amp;"",BL340&amp;"")&amp;IF(R340="Y","; known to the founder (+15)","")&amp;"."))</f>
        <v/>
      </c>
      <c r="R340" s="5"/>
      <c r="U340" s="5"/>
      <c r="Y340" s="0" t="str">
        <f aca="false">IF(FX340&lt;&gt;"Y","",COUNTIFS($FX$2:$FX$1000,"Y",$J$2:$J$1000,"&gt;"&amp;J340)+COUNTIFS($FX$2:$FX$1000,"Y",$J$2:$J$1000,J340,$GD$2:$GD$1000,"&lt;"&amp;GD340)+1)</f>
        <v/>
      </c>
      <c r="AB340" s="0" t="str">
        <f aca="false">IF($A340="","",IF(AW340="Y",BY340&amp;"",BK340&amp;""))</f>
        <v/>
      </c>
      <c r="AC340" s="0" t="str">
        <f aca="false">IF($A340="","",IF(AW340="Y",BS340&amp;"",BE340&amp;""))</f>
        <v/>
      </c>
      <c r="AD340" s="0" t="str">
        <f aca="false">IF($A340="","",IF(AW340="Y",BT340&amp;"",BF340&amp;""))</f>
        <v/>
      </c>
      <c r="AE340" s="0" t="str">
        <f aca="false">IF($A340="","",IF(AW340="Y",BU340&amp;"",BG340&amp;""))</f>
        <v/>
      </c>
      <c r="AF340" s="0" t="str">
        <f aca="false">IF($A340="","",IF(AW340="Y",BV340&amp;"",BH340&amp;""))</f>
        <v/>
      </c>
      <c r="AG340" s="0" t="str">
        <f aca="false">IF($A340="","",IF(AW340="Y",BW340&amp;"",BI340&amp;""))</f>
        <v/>
      </c>
      <c r="AH340" s="0" t="str">
        <f aca="false">IF($A340="","",IF(AW340="Y",BX340&amp;"",BJ340&amp;""))</f>
        <v/>
      </c>
      <c r="AQ340" s="5"/>
      <c r="AT340" s="0" t="str">
        <f aca="false">IF($A340="","",IF(AND(CN340="pass",AQ340&lt;&gt;"Y",C340&lt;&gt;"",OR(AX340&lt;&gt;"Y",AV340="Y")),"Y","N"))</f>
        <v/>
      </c>
      <c r="AU340" s="0" t="str">
        <f aca="false">IF($A340="","",_xlfn.TEXTJOIN("; ",TRUE(),IF(CN340&lt;&gt;"pass","gated out",""),IF(AQ340="Y","on hold: "&amp;AR340,""),IF(C340="","no contact named on an opened page",""),IF(AND(AX340="Y",AV340&lt;&gt;"Y"),"Tuesday estimate band "&amp;L340&amp;": founder's call","")))</f>
        <v/>
      </c>
      <c r="BC340" s="0" t="str">
        <f aca="false">IF($A340="","",IFERROR(INDEX(Enrichment!$A$2:$GZ$2000,MATCH($A340,INDEX(Enrichment!$A$2:$GZ$2000,0,MATCH("row_id",Enrichment!$A$1:$GZ$1,0)),0),MATCH("work_email",Enrichment!$A$1:$GZ$1,0))&amp;"",""))</f>
        <v/>
      </c>
      <c r="BD340" s="0" t="str">
        <f aca="false">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Q340" s="0" t="str">
        <f aca="false">IF($A340="","",IFERROR(INDEX(Enrichment!$A$2:$GZ$2000,MATCH($A340,INDEX(Enrichment!$A$2:$GZ$2000,0,MATCH("row_id",Enrichment!$A$1:$GZ$1,0)),0),MATCH("backup_work_email",Enrichment!$A$1:$GZ$1,0))&amp;"",""))</f>
        <v/>
      </c>
      <c r="BR340" s="0" t="str">
        <f aca="false">IF($A340="","",IF(BQ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EQ340" s="0" t="str">
        <f aca="false">IF($A340="","",IF(AH340="exact",10,IF(AH340="adjacent",5,0)))</f>
        <v/>
      </c>
      <c r="ER340" s="0" t="str">
        <f aca="false">IF($A340="","",IF(R340="Y",15,0))</f>
        <v/>
      </c>
      <c r="FS340" s="0" t="str">
        <f aca="false">IF($A340="","",IF(ISNUMBER(MATCH(U340,{"queued","contacted","replied","call_booked","call_done","yes_in_principle","materials_sent"},0)),"Y","N"))</f>
        <v/>
      </c>
      <c r="FT340" s="0" t="str">
        <f aca="false">IF($A340="","",IF(OR(T340="Y",U340="do_not_contact",AS340&amp;""&lt;&gt;""),"Y","N"))</f>
        <v/>
      </c>
      <c r="FU340" s="0" t="str">
        <f aca="false">IF($A340="","",IF(AP340&amp;""&lt;&gt;"",AP340&amp;"",$A340))</f>
        <v/>
      </c>
      <c r="FV340" s="0" t="str">
        <f aca="false">IF($A340="","",IF(COUNTIFS($FU$2:$FU$1000,FU340,$FS$2:$FS$1000,"Y")+COUNTIFS($FU$2:$FU$1000,FU340,$FT$2:$FT$1000,"Y")&gt;0,"Y","N"))</f>
        <v/>
      </c>
      <c r="FW340" s="0" t="str">
        <f aca="false">IF($A340="","",IF(AND(U340="new",T340="N",FT340="N",AT340="Y",FV340="N"),"Y","N"))</f>
        <v/>
      </c>
      <c r="FX340" s="0" t="str">
        <f aca="false">IF($A340="","",IF(FW340&lt;&gt;"Y","N",IF(COUNTIFS($FU$2:$FU$1000,FU340,$FW$2:$FW$1000,"Y",$J$2:$J$1000,"&gt;"&amp;J340)+COUNTIFS($FU$2:$FU$1000,FU340,$FW$2:$FW$1000,"Y",$J$2:$J$1000,J340,$GD$2:$GD$1000,"&lt;"&amp;GD340)=0,"Y","N")))</f>
        <v/>
      </c>
      <c r="FY340" s="0" t="str">
        <f aca="false">IF($A340="","",IF(AND(FW340="Y",FX340="Y",Y340&amp;""&lt;&gt;""),IF(Y340&lt;=10,"Y","N"),"N"))</f>
        <v/>
      </c>
      <c r="FZ340" s="0" t="str">
        <f aca="false">IF(FY340="Y",Y340,"")</f>
        <v/>
      </c>
      <c r="GA340" s="0" t="str">
        <f aca="false">IF($A340="","",IF(AND(I340="walk-in",CN340="pass",U340="new",FT340="N",FV340="N",AQ340&lt;&gt;"Y"),"Y","N"))</f>
        <v/>
      </c>
      <c r="GB340" s="0" t="str">
        <f aca="false">IF(GA340&lt;&gt;"Y","",IF(COUNTIFS($GA$2:$GA$1000,"Y",$J$2:$J$1000,"&gt;"&amp;J340)+COUNTIFS($GA$2:$GA$1000,"Y",$J$2:$J$1000,J340,$GD$2:$GD$1000,"&lt;"&amp;GD340)+1&lt;=25,COUNTIFS($GA$2:$GA$1000,"Y",$J$2:$J$1000,"&gt;"&amp;J340)+COUNTIFS($GA$2:$GA$1000,"Y",$J$2:$J$1000,J340,$GD$2:$GD$1000,"&lt;"&amp;GD340)+1,""))</f>
        <v/>
      </c>
      <c r="GC340" s="0" t="str">
        <f aca="false">IF(AND(_xlfn.ISFORMULA(C340),_xlfn.ISFORMULA(J340)),"Y","N")</f>
        <v>Y</v>
      </c>
      <c r="GD340" s="0" t="n">
        <f aca="false">ROW()-1</f>
        <v>339</v>
      </c>
    </row>
    <row r="341" customFormat="false" ht="15" hidden="false" customHeight="false" outlineLevel="0" collapsed="false">
      <c r="C341" s="0" t="str">
        <f aca="false">IF($A341="","",IF(AW341="Y",BM341&amp;"",AY341&amp;""))</f>
        <v/>
      </c>
      <c r="D341" s="0" t="str">
        <f aca="false">IF($A341="","",IF(AW341="Y",BN341&amp;"",AZ341&amp;""))</f>
        <v/>
      </c>
      <c r="E341" s="0" t="str">
        <f aca="false">IF($A341="","",IF(AW341="Y",BO341&amp;"",BA341&amp;""))</f>
        <v/>
      </c>
      <c r="F341" s="0" t="str">
        <f aca="false">IF($A341="","",IF(AW341="Y",BP341&amp;"",BB341&amp;""))</f>
        <v/>
      </c>
      <c r="G341" s="0" t="str">
        <f aca="false">IF($A341="","",IF(AW341="Y",BQ341&amp;"",BC341&amp;""))</f>
        <v/>
      </c>
      <c r="H341" s="0" t="str">
        <f aca="false">IF($A341="","",IF(AW341="Y",BR341&amp;"",BD341&amp;""))</f>
        <v/>
      </c>
      <c r="I341" s="0" t="str">
        <f aca="false">IF($A341="","",IF(R341="Y","warm-intro",IF(H341="verified","email",IF(C341&lt;&gt;"","linkedin",CB341&amp;""))))</f>
        <v/>
      </c>
      <c r="J341" s="0" t="str">
        <f aca="false">IF($A341="","",IF(CN341="pass",ROUND(N(EM341)+N(EN341)+N(EO341)+N(EP341)+N(EQ341)+N(ER341),1),0))</f>
        <v/>
      </c>
      <c r="K341" s="0" t="str">
        <f aca="false">IF($A341="","",IF(CN341&lt;&gt;"pass",CA341&amp;"",CA341&amp;"; "&amp;IF(AW341="Y",BZ341&amp;"",BL341&amp;"")&amp;IF(R341="Y","; known to the founder (+15)","")&amp;"."))</f>
        <v/>
      </c>
      <c r="R341" s="5"/>
      <c r="U341" s="5"/>
      <c r="Y341" s="0" t="str">
        <f aca="false">IF(FX341&lt;&gt;"Y","",COUNTIFS($FX$2:$FX$1000,"Y",$J$2:$J$1000,"&gt;"&amp;J341)+COUNTIFS($FX$2:$FX$1000,"Y",$J$2:$J$1000,J341,$GD$2:$GD$1000,"&lt;"&amp;GD341)+1)</f>
        <v/>
      </c>
      <c r="AB341" s="0" t="str">
        <f aca="false">IF($A341="","",IF(AW341="Y",BY341&amp;"",BK341&amp;""))</f>
        <v/>
      </c>
      <c r="AC341" s="0" t="str">
        <f aca="false">IF($A341="","",IF(AW341="Y",BS341&amp;"",BE341&amp;""))</f>
        <v/>
      </c>
      <c r="AD341" s="0" t="str">
        <f aca="false">IF($A341="","",IF(AW341="Y",BT341&amp;"",BF341&amp;""))</f>
        <v/>
      </c>
      <c r="AE341" s="0" t="str">
        <f aca="false">IF($A341="","",IF(AW341="Y",BU341&amp;"",BG341&amp;""))</f>
        <v/>
      </c>
      <c r="AF341" s="0" t="str">
        <f aca="false">IF($A341="","",IF(AW341="Y",BV341&amp;"",BH341&amp;""))</f>
        <v/>
      </c>
      <c r="AG341" s="0" t="str">
        <f aca="false">IF($A341="","",IF(AW341="Y",BW341&amp;"",BI341&amp;""))</f>
        <v/>
      </c>
      <c r="AH341" s="0" t="str">
        <f aca="false">IF($A341="","",IF(AW341="Y",BX341&amp;"",BJ341&amp;""))</f>
        <v/>
      </c>
      <c r="AQ341" s="5"/>
      <c r="AT341" s="0" t="str">
        <f aca="false">IF($A341="","",IF(AND(CN341="pass",AQ341&lt;&gt;"Y",C341&lt;&gt;"",OR(AX341&lt;&gt;"Y",AV341="Y")),"Y","N"))</f>
        <v/>
      </c>
      <c r="AU341" s="0" t="str">
        <f aca="false">IF($A341="","",_xlfn.TEXTJOIN("; ",TRUE(),IF(CN341&lt;&gt;"pass","gated out",""),IF(AQ341="Y","on hold: "&amp;AR341,""),IF(C341="","no contact named on an opened page",""),IF(AND(AX341="Y",AV341&lt;&gt;"Y"),"Tuesday estimate band "&amp;L341&amp;": founder's call","")))</f>
        <v/>
      </c>
      <c r="BC341" s="0" t="str">
        <f aca="false">IF($A341="","",IFERROR(INDEX(Enrichment!$A$2:$GZ$2000,MATCH($A341,INDEX(Enrichment!$A$2:$GZ$2000,0,MATCH("row_id",Enrichment!$A$1:$GZ$1,0)),0),MATCH("work_email",Enrichment!$A$1:$GZ$1,0))&amp;"",""))</f>
        <v/>
      </c>
      <c r="BD341" s="0" t="str">
        <f aca="false">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Q341" s="0" t="str">
        <f aca="false">IF($A341="","",IFERROR(INDEX(Enrichment!$A$2:$GZ$2000,MATCH($A341,INDEX(Enrichment!$A$2:$GZ$2000,0,MATCH("row_id",Enrichment!$A$1:$GZ$1,0)),0),MATCH("backup_work_email",Enrichment!$A$1:$GZ$1,0))&amp;"",""))</f>
        <v/>
      </c>
      <c r="BR341" s="0" t="str">
        <f aca="false">IF($A341="","",IF(BQ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EQ341" s="0" t="str">
        <f aca="false">IF($A341="","",IF(AH341="exact",10,IF(AH341="adjacent",5,0)))</f>
        <v/>
      </c>
      <c r="ER341" s="0" t="str">
        <f aca="false">IF($A341="","",IF(R341="Y",15,0))</f>
        <v/>
      </c>
      <c r="FS341" s="0" t="str">
        <f aca="false">IF($A341="","",IF(ISNUMBER(MATCH(U341,{"queued","contacted","replied","call_booked","call_done","yes_in_principle","materials_sent"},0)),"Y","N"))</f>
        <v/>
      </c>
      <c r="FT341" s="0" t="str">
        <f aca="false">IF($A341="","",IF(OR(T341="Y",U341="do_not_contact",AS341&amp;""&lt;&gt;""),"Y","N"))</f>
        <v/>
      </c>
      <c r="FU341" s="0" t="str">
        <f aca="false">IF($A341="","",IF(AP341&amp;""&lt;&gt;"",AP341&amp;"",$A341))</f>
        <v/>
      </c>
      <c r="FV341" s="0" t="str">
        <f aca="false">IF($A341="","",IF(COUNTIFS($FU$2:$FU$1000,FU341,$FS$2:$FS$1000,"Y")+COUNTIFS($FU$2:$FU$1000,FU341,$FT$2:$FT$1000,"Y")&gt;0,"Y","N"))</f>
        <v/>
      </c>
      <c r="FW341" s="0" t="str">
        <f aca="false">IF($A341="","",IF(AND(U341="new",T341="N",FT341="N",AT341="Y",FV341="N"),"Y","N"))</f>
        <v/>
      </c>
      <c r="FX341" s="0" t="str">
        <f aca="false">IF($A341="","",IF(FW341&lt;&gt;"Y","N",IF(COUNTIFS($FU$2:$FU$1000,FU341,$FW$2:$FW$1000,"Y",$J$2:$J$1000,"&gt;"&amp;J341)+COUNTIFS($FU$2:$FU$1000,FU341,$FW$2:$FW$1000,"Y",$J$2:$J$1000,J341,$GD$2:$GD$1000,"&lt;"&amp;GD341)=0,"Y","N")))</f>
        <v/>
      </c>
      <c r="FY341" s="0" t="str">
        <f aca="false">IF($A341="","",IF(AND(FW341="Y",FX341="Y",Y341&amp;""&lt;&gt;""),IF(Y341&lt;=10,"Y","N"),"N"))</f>
        <v/>
      </c>
      <c r="FZ341" s="0" t="str">
        <f aca="false">IF(FY341="Y",Y341,"")</f>
        <v/>
      </c>
      <c r="GA341" s="0" t="str">
        <f aca="false">IF($A341="","",IF(AND(I341="walk-in",CN341="pass",U341="new",FT341="N",FV341="N",AQ341&lt;&gt;"Y"),"Y","N"))</f>
        <v/>
      </c>
      <c r="GB341" s="0" t="str">
        <f aca="false">IF(GA341&lt;&gt;"Y","",IF(COUNTIFS($GA$2:$GA$1000,"Y",$J$2:$J$1000,"&gt;"&amp;J341)+COUNTIFS($GA$2:$GA$1000,"Y",$J$2:$J$1000,J341,$GD$2:$GD$1000,"&lt;"&amp;GD341)+1&lt;=25,COUNTIFS($GA$2:$GA$1000,"Y",$J$2:$J$1000,"&gt;"&amp;J341)+COUNTIFS($GA$2:$GA$1000,"Y",$J$2:$J$1000,J341,$GD$2:$GD$1000,"&lt;"&amp;GD341)+1,""))</f>
        <v/>
      </c>
      <c r="GC341" s="0" t="str">
        <f aca="false">IF(AND(_xlfn.ISFORMULA(C341),_xlfn.ISFORMULA(J341)),"Y","N")</f>
        <v>Y</v>
      </c>
      <c r="GD341" s="0" t="n">
        <f aca="false">ROW()-1</f>
        <v>340</v>
      </c>
    </row>
    <row r="342" customFormat="false" ht="15" hidden="false" customHeight="false" outlineLevel="0" collapsed="false">
      <c r="C342" s="0" t="str">
        <f aca="false">IF($A342="","",IF(AW342="Y",BM342&amp;"",AY342&amp;""))</f>
        <v/>
      </c>
      <c r="D342" s="0" t="str">
        <f aca="false">IF($A342="","",IF(AW342="Y",BN342&amp;"",AZ342&amp;""))</f>
        <v/>
      </c>
      <c r="E342" s="0" t="str">
        <f aca="false">IF($A342="","",IF(AW342="Y",BO342&amp;"",BA342&amp;""))</f>
        <v/>
      </c>
      <c r="F342" s="0" t="str">
        <f aca="false">IF($A342="","",IF(AW342="Y",BP342&amp;"",BB342&amp;""))</f>
        <v/>
      </c>
      <c r="G342" s="0" t="str">
        <f aca="false">IF($A342="","",IF(AW342="Y",BQ342&amp;"",BC342&amp;""))</f>
        <v/>
      </c>
      <c r="H342" s="0" t="str">
        <f aca="false">IF($A342="","",IF(AW342="Y",BR342&amp;"",BD342&amp;""))</f>
        <v/>
      </c>
      <c r="I342" s="0" t="str">
        <f aca="false">IF($A342="","",IF(R342="Y","warm-intro",IF(H342="verified","email",IF(C342&lt;&gt;"","linkedin",CB342&amp;""))))</f>
        <v/>
      </c>
      <c r="J342" s="0" t="str">
        <f aca="false">IF($A342="","",IF(CN342="pass",ROUND(N(EM342)+N(EN342)+N(EO342)+N(EP342)+N(EQ342)+N(ER342),1),0))</f>
        <v/>
      </c>
      <c r="K342" s="0" t="str">
        <f aca="false">IF($A342="","",IF(CN342&lt;&gt;"pass",CA342&amp;"",CA342&amp;"; "&amp;IF(AW342="Y",BZ342&amp;"",BL342&amp;"")&amp;IF(R342="Y","; known to the founder (+15)","")&amp;"."))</f>
        <v/>
      </c>
      <c r="R342" s="5"/>
      <c r="U342" s="5"/>
      <c r="Y342" s="0" t="str">
        <f aca="false">IF(FX342&lt;&gt;"Y","",COUNTIFS($FX$2:$FX$1000,"Y",$J$2:$J$1000,"&gt;"&amp;J342)+COUNTIFS($FX$2:$FX$1000,"Y",$J$2:$J$1000,J342,$GD$2:$GD$1000,"&lt;"&amp;GD342)+1)</f>
        <v/>
      </c>
      <c r="AB342" s="0" t="str">
        <f aca="false">IF($A342="","",IF(AW342="Y",BY342&amp;"",BK342&amp;""))</f>
        <v/>
      </c>
      <c r="AC342" s="0" t="str">
        <f aca="false">IF($A342="","",IF(AW342="Y",BS342&amp;"",BE342&amp;""))</f>
        <v/>
      </c>
      <c r="AD342" s="0" t="str">
        <f aca="false">IF($A342="","",IF(AW342="Y",BT342&amp;"",BF342&amp;""))</f>
        <v/>
      </c>
      <c r="AE342" s="0" t="str">
        <f aca="false">IF($A342="","",IF(AW342="Y",BU342&amp;"",BG342&amp;""))</f>
        <v/>
      </c>
      <c r="AF342" s="0" t="str">
        <f aca="false">IF($A342="","",IF(AW342="Y",BV342&amp;"",BH342&amp;""))</f>
        <v/>
      </c>
      <c r="AG342" s="0" t="str">
        <f aca="false">IF($A342="","",IF(AW342="Y",BW342&amp;"",BI342&amp;""))</f>
        <v/>
      </c>
      <c r="AH342" s="0" t="str">
        <f aca="false">IF($A342="","",IF(AW342="Y",BX342&amp;"",BJ342&amp;""))</f>
        <v/>
      </c>
      <c r="AQ342" s="5"/>
      <c r="AT342" s="0" t="str">
        <f aca="false">IF($A342="","",IF(AND(CN342="pass",AQ342&lt;&gt;"Y",C342&lt;&gt;"",OR(AX342&lt;&gt;"Y",AV342="Y")),"Y","N"))</f>
        <v/>
      </c>
      <c r="AU342" s="0" t="str">
        <f aca="false">IF($A342="","",_xlfn.TEXTJOIN("; ",TRUE(),IF(CN342&lt;&gt;"pass","gated out",""),IF(AQ342="Y","on hold: "&amp;AR342,""),IF(C342="","no contact named on an opened page",""),IF(AND(AX342="Y",AV342&lt;&gt;"Y"),"Tuesday estimate band "&amp;L342&amp;": founder's call","")))</f>
        <v/>
      </c>
      <c r="BC342" s="0" t="str">
        <f aca="false">IF($A342="","",IFERROR(INDEX(Enrichment!$A$2:$GZ$2000,MATCH($A342,INDEX(Enrichment!$A$2:$GZ$2000,0,MATCH("row_id",Enrichment!$A$1:$GZ$1,0)),0),MATCH("work_email",Enrichment!$A$1:$GZ$1,0))&amp;"",""))</f>
        <v/>
      </c>
      <c r="BD342" s="0" t="str">
        <f aca="false">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Q342" s="0" t="str">
        <f aca="false">IF($A342="","",IFERROR(INDEX(Enrichment!$A$2:$GZ$2000,MATCH($A342,INDEX(Enrichment!$A$2:$GZ$2000,0,MATCH("row_id",Enrichment!$A$1:$GZ$1,0)),0),MATCH("backup_work_email",Enrichment!$A$1:$GZ$1,0))&amp;"",""))</f>
        <v/>
      </c>
      <c r="BR342" s="0" t="str">
        <f aca="false">IF($A342="","",IF(BQ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EQ342" s="0" t="str">
        <f aca="false">IF($A342="","",IF(AH342="exact",10,IF(AH342="adjacent",5,0)))</f>
        <v/>
      </c>
      <c r="ER342" s="0" t="str">
        <f aca="false">IF($A342="","",IF(R342="Y",15,0))</f>
        <v/>
      </c>
      <c r="FS342" s="0" t="str">
        <f aca="false">IF($A342="","",IF(ISNUMBER(MATCH(U342,{"queued","contacted","replied","call_booked","call_done","yes_in_principle","materials_sent"},0)),"Y","N"))</f>
        <v/>
      </c>
      <c r="FT342" s="0" t="str">
        <f aca="false">IF($A342="","",IF(OR(T342="Y",U342="do_not_contact",AS342&amp;""&lt;&gt;""),"Y","N"))</f>
        <v/>
      </c>
      <c r="FU342" s="0" t="str">
        <f aca="false">IF($A342="","",IF(AP342&amp;""&lt;&gt;"",AP342&amp;"",$A342))</f>
        <v/>
      </c>
      <c r="FV342" s="0" t="str">
        <f aca="false">IF($A342="","",IF(COUNTIFS($FU$2:$FU$1000,FU342,$FS$2:$FS$1000,"Y")+COUNTIFS($FU$2:$FU$1000,FU342,$FT$2:$FT$1000,"Y")&gt;0,"Y","N"))</f>
        <v/>
      </c>
      <c r="FW342" s="0" t="str">
        <f aca="false">IF($A342="","",IF(AND(U342="new",T342="N",FT342="N",AT342="Y",FV342="N"),"Y","N"))</f>
        <v/>
      </c>
      <c r="FX342" s="0" t="str">
        <f aca="false">IF($A342="","",IF(FW342&lt;&gt;"Y","N",IF(COUNTIFS($FU$2:$FU$1000,FU342,$FW$2:$FW$1000,"Y",$J$2:$J$1000,"&gt;"&amp;J342)+COUNTIFS($FU$2:$FU$1000,FU342,$FW$2:$FW$1000,"Y",$J$2:$J$1000,J342,$GD$2:$GD$1000,"&lt;"&amp;GD342)=0,"Y","N")))</f>
        <v/>
      </c>
      <c r="FY342" s="0" t="str">
        <f aca="false">IF($A342="","",IF(AND(FW342="Y",FX342="Y",Y342&amp;""&lt;&gt;""),IF(Y342&lt;=10,"Y","N"),"N"))</f>
        <v/>
      </c>
      <c r="FZ342" s="0" t="str">
        <f aca="false">IF(FY342="Y",Y342,"")</f>
        <v/>
      </c>
      <c r="GA342" s="0" t="str">
        <f aca="false">IF($A342="","",IF(AND(I342="walk-in",CN342="pass",U342="new",FT342="N",FV342="N",AQ342&lt;&gt;"Y"),"Y","N"))</f>
        <v/>
      </c>
      <c r="GB342" s="0" t="str">
        <f aca="false">IF(GA342&lt;&gt;"Y","",IF(COUNTIFS($GA$2:$GA$1000,"Y",$J$2:$J$1000,"&gt;"&amp;J342)+COUNTIFS($GA$2:$GA$1000,"Y",$J$2:$J$1000,J342,$GD$2:$GD$1000,"&lt;"&amp;GD342)+1&lt;=25,COUNTIFS($GA$2:$GA$1000,"Y",$J$2:$J$1000,"&gt;"&amp;J342)+COUNTIFS($GA$2:$GA$1000,"Y",$J$2:$J$1000,J342,$GD$2:$GD$1000,"&lt;"&amp;GD342)+1,""))</f>
        <v/>
      </c>
      <c r="GC342" s="0" t="str">
        <f aca="false">IF(AND(_xlfn.ISFORMULA(C342),_xlfn.ISFORMULA(J342)),"Y","N")</f>
        <v>Y</v>
      </c>
      <c r="GD342" s="0" t="n">
        <f aca="false">ROW()-1</f>
        <v>341</v>
      </c>
    </row>
    <row r="343" customFormat="false" ht="15" hidden="false" customHeight="false" outlineLevel="0" collapsed="false">
      <c r="C343" s="0" t="str">
        <f aca="false">IF($A343="","",IF(AW343="Y",BM343&amp;"",AY343&amp;""))</f>
        <v/>
      </c>
      <c r="D343" s="0" t="str">
        <f aca="false">IF($A343="","",IF(AW343="Y",BN343&amp;"",AZ343&amp;""))</f>
        <v/>
      </c>
      <c r="E343" s="0" t="str">
        <f aca="false">IF($A343="","",IF(AW343="Y",BO343&amp;"",BA343&amp;""))</f>
        <v/>
      </c>
      <c r="F343" s="0" t="str">
        <f aca="false">IF($A343="","",IF(AW343="Y",BP343&amp;"",BB343&amp;""))</f>
        <v/>
      </c>
      <c r="G343" s="0" t="str">
        <f aca="false">IF($A343="","",IF(AW343="Y",BQ343&amp;"",BC343&amp;""))</f>
        <v/>
      </c>
      <c r="H343" s="0" t="str">
        <f aca="false">IF($A343="","",IF(AW343="Y",BR343&amp;"",BD343&amp;""))</f>
        <v/>
      </c>
      <c r="I343" s="0" t="str">
        <f aca="false">IF($A343="","",IF(R343="Y","warm-intro",IF(H343="verified","email",IF(C343&lt;&gt;"","linkedin",CB343&amp;""))))</f>
        <v/>
      </c>
      <c r="J343" s="0" t="str">
        <f aca="false">IF($A343="","",IF(CN343="pass",ROUND(N(EM343)+N(EN343)+N(EO343)+N(EP343)+N(EQ343)+N(ER343),1),0))</f>
        <v/>
      </c>
      <c r="K343" s="0" t="str">
        <f aca="false">IF($A343="","",IF(CN343&lt;&gt;"pass",CA343&amp;"",CA343&amp;"; "&amp;IF(AW343="Y",BZ343&amp;"",BL343&amp;"")&amp;IF(R343="Y","; known to the founder (+15)","")&amp;"."))</f>
        <v/>
      </c>
      <c r="R343" s="5"/>
      <c r="U343" s="5"/>
      <c r="Y343" s="0" t="str">
        <f aca="false">IF(FX343&lt;&gt;"Y","",COUNTIFS($FX$2:$FX$1000,"Y",$J$2:$J$1000,"&gt;"&amp;J343)+COUNTIFS($FX$2:$FX$1000,"Y",$J$2:$J$1000,J343,$GD$2:$GD$1000,"&lt;"&amp;GD343)+1)</f>
        <v/>
      </c>
      <c r="AB343" s="0" t="str">
        <f aca="false">IF($A343="","",IF(AW343="Y",BY343&amp;"",BK343&amp;""))</f>
        <v/>
      </c>
      <c r="AC343" s="0" t="str">
        <f aca="false">IF($A343="","",IF(AW343="Y",BS343&amp;"",BE343&amp;""))</f>
        <v/>
      </c>
      <c r="AD343" s="0" t="str">
        <f aca="false">IF($A343="","",IF(AW343="Y",BT343&amp;"",BF343&amp;""))</f>
        <v/>
      </c>
      <c r="AE343" s="0" t="str">
        <f aca="false">IF($A343="","",IF(AW343="Y",BU343&amp;"",BG343&amp;""))</f>
        <v/>
      </c>
      <c r="AF343" s="0" t="str">
        <f aca="false">IF($A343="","",IF(AW343="Y",BV343&amp;"",BH343&amp;""))</f>
        <v/>
      </c>
      <c r="AG343" s="0" t="str">
        <f aca="false">IF($A343="","",IF(AW343="Y",BW343&amp;"",BI343&amp;""))</f>
        <v/>
      </c>
      <c r="AH343" s="0" t="str">
        <f aca="false">IF($A343="","",IF(AW343="Y",BX343&amp;"",BJ343&amp;""))</f>
        <v/>
      </c>
      <c r="AQ343" s="5"/>
      <c r="AT343" s="0" t="str">
        <f aca="false">IF($A343="","",IF(AND(CN343="pass",AQ343&lt;&gt;"Y",C343&lt;&gt;"",OR(AX343&lt;&gt;"Y",AV343="Y")),"Y","N"))</f>
        <v/>
      </c>
      <c r="AU343" s="0" t="str">
        <f aca="false">IF($A343="","",_xlfn.TEXTJOIN("; ",TRUE(),IF(CN343&lt;&gt;"pass","gated out",""),IF(AQ343="Y","on hold: "&amp;AR343,""),IF(C343="","no contact named on an opened page",""),IF(AND(AX343="Y",AV343&lt;&gt;"Y"),"Tuesday estimate band "&amp;L343&amp;": founder's call","")))</f>
        <v/>
      </c>
      <c r="BC343" s="0" t="str">
        <f aca="false">IF($A343="","",IFERROR(INDEX(Enrichment!$A$2:$GZ$2000,MATCH($A343,INDEX(Enrichment!$A$2:$GZ$2000,0,MATCH("row_id",Enrichment!$A$1:$GZ$1,0)),0),MATCH("work_email",Enrichment!$A$1:$GZ$1,0))&amp;"",""))</f>
        <v/>
      </c>
      <c r="BD343" s="0" t="str">
        <f aca="false">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Q343" s="0" t="str">
        <f aca="false">IF($A343="","",IFERROR(INDEX(Enrichment!$A$2:$GZ$2000,MATCH($A343,INDEX(Enrichment!$A$2:$GZ$2000,0,MATCH("row_id",Enrichment!$A$1:$GZ$1,0)),0),MATCH("backup_work_email",Enrichment!$A$1:$GZ$1,0))&amp;"",""))</f>
        <v/>
      </c>
      <c r="BR343" s="0" t="str">
        <f aca="false">IF($A343="","",IF(BQ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EQ343" s="0" t="str">
        <f aca="false">IF($A343="","",IF(AH343="exact",10,IF(AH343="adjacent",5,0)))</f>
        <v/>
      </c>
      <c r="ER343" s="0" t="str">
        <f aca="false">IF($A343="","",IF(R343="Y",15,0))</f>
        <v/>
      </c>
      <c r="FS343" s="0" t="str">
        <f aca="false">IF($A343="","",IF(ISNUMBER(MATCH(U343,{"queued","contacted","replied","call_booked","call_done","yes_in_principle","materials_sent"},0)),"Y","N"))</f>
        <v/>
      </c>
      <c r="FT343" s="0" t="str">
        <f aca="false">IF($A343="","",IF(OR(T343="Y",U343="do_not_contact",AS343&amp;""&lt;&gt;""),"Y","N"))</f>
        <v/>
      </c>
      <c r="FU343" s="0" t="str">
        <f aca="false">IF($A343="","",IF(AP343&amp;""&lt;&gt;"",AP343&amp;"",$A343))</f>
        <v/>
      </c>
      <c r="FV343" s="0" t="str">
        <f aca="false">IF($A343="","",IF(COUNTIFS($FU$2:$FU$1000,FU343,$FS$2:$FS$1000,"Y")+COUNTIFS($FU$2:$FU$1000,FU343,$FT$2:$FT$1000,"Y")&gt;0,"Y","N"))</f>
        <v/>
      </c>
      <c r="FW343" s="0" t="str">
        <f aca="false">IF($A343="","",IF(AND(U343="new",T343="N",FT343="N",AT343="Y",FV343="N"),"Y","N"))</f>
        <v/>
      </c>
      <c r="FX343" s="0" t="str">
        <f aca="false">IF($A343="","",IF(FW343&lt;&gt;"Y","N",IF(COUNTIFS($FU$2:$FU$1000,FU343,$FW$2:$FW$1000,"Y",$J$2:$J$1000,"&gt;"&amp;J343)+COUNTIFS($FU$2:$FU$1000,FU343,$FW$2:$FW$1000,"Y",$J$2:$J$1000,J343,$GD$2:$GD$1000,"&lt;"&amp;GD343)=0,"Y","N")))</f>
        <v/>
      </c>
      <c r="FY343" s="0" t="str">
        <f aca="false">IF($A343="","",IF(AND(FW343="Y",FX343="Y",Y343&amp;""&lt;&gt;""),IF(Y343&lt;=10,"Y","N"),"N"))</f>
        <v/>
      </c>
      <c r="FZ343" s="0" t="str">
        <f aca="false">IF(FY343="Y",Y343,"")</f>
        <v/>
      </c>
      <c r="GA343" s="0" t="str">
        <f aca="false">IF($A343="","",IF(AND(I343="walk-in",CN343="pass",U343="new",FT343="N",FV343="N",AQ343&lt;&gt;"Y"),"Y","N"))</f>
        <v/>
      </c>
      <c r="GB343" s="0" t="str">
        <f aca="false">IF(GA343&lt;&gt;"Y","",IF(COUNTIFS($GA$2:$GA$1000,"Y",$J$2:$J$1000,"&gt;"&amp;J343)+COUNTIFS($GA$2:$GA$1000,"Y",$J$2:$J$1000,J343,$GD$2:$GD$1000,"&lt;"&amp;GD343)+1&lt;=25,COUNTIFS($GA$2:$GA$1000,"Y",$J$2:$J$1000,"&gt;"&amp;J343)+COUNTIFS($GA$2:$GA$1000,"Y",$J$2:$J$1000,J343,$GD$2:$GD$1000,"&lt;"&amp;GD343)+1,""))</f>
        <v/>
      </c>
      <c r="GC343" s="0" t="str">
        <f aca="false">IF(AND(_xlfn.ISFORMULA(C343),_xlfn.ISFORMULA(J343)),"Y","N")</f>
        <v>Y</v>
      </c>
      <c r="GD343" s="0" t="n">
        <f aca="false">ROW()-1</f>
        <v>342</v>
      </c>
    </row>
    <row r="344" customFormat="false" ht="15" hidden="false" customHeight="false" outlineLevel="0" collapsed="false">
      <c r="C344" s="0" t="str">
        <f aca="false">IF($A344="","",IF(AW344="Y",BM344&amp;"",AY344&amp;""))</f>
        <v/>
      </c>
      <c r="D344" s="0" t="str">
        <f aca="false">IF($A344="","",IF(AW344="Y",BN344&amp;"",AZ344&amp;""))</f>
        <v/>
      </c>
      <c r="E344" s="0" t="str">
        <f aca="false">IF($A344="","",IF(AW344="Y",BO344&amp;"",BA344&amp;""))</f>
        <v/>
      </c>
      <c r="F344" s="0" t="str">
        <f aca="false">IF($A344="","",IF(AW344="Y",BP344&amp;"",BB344&amp;""))</f>
        <v/>
      </c>
      <c r="G344" s="0" t="str">
        <f aca="false">IF($A344="","",IF(AW344="Y",BQ344&amp;"",BC344&amp;""))</f>
        <v/>
      </c>
      <c r="H344" s="0" t="str">
        <f aca="false">IF($A344="","",IF(AW344="Y",BR344&amp;"",BD344&amp;""))</f>
        <v/>
      </c>
      <c r="I344" s="0" t="str">
        <f aca="false">IF($A344="","",IF(R344="Y","warm-intro",IF(H344="verified","email",IF(C344&lt;&gt;"","linkedin",CB344&amp;""))))</f>
        <v/>
      </c>
      <c r="J344" s="0" t="str">
        <f aca="false">IF($A344="","",IF(CN344="pass",ROUND(N(EM344)+N(EN344)+N(EO344)+N(EP344)+N(EQ344)+N(ER344),1),0))</f>
        <v/>
      </c>
      <c r="K344" s="0" t="str">
        <f aca="false">IF($A344="","",IF(CN344&lt;&gt;"pass",CA344&amp;"",CA344&amp;"; "&amp;IF(AW344="Y",BZ344&amp;"",BL344&amp;"")&amp;IF(R344="Y","; known to the founder (+15)","")&amp;"."))</f>
        <v/>
      </c>
      <c r="R344" s="5"/>
      <c r="U344" s="5"/>
      <c r="Y344" s="0" t="str">
        <f aca="false">IF(FX344&lt;&gt;"Y","",COUNTIFS($FX$2:$FX$1000,"Y",$J$2:$J$1000,"&gt;"&amp;J344)+COUNTIFS($FX$2:$FX$1000,"Y",$J$2:$J$1000,J344,$GD$2:$GD$1000,"&lt;"&amp;GD344)+1)</f>
        <v/>
      </c>
      <c r="AB344" s="0" t="str">
        <f aca="false">IF($A344="","",IF(AW344="Y",BY344&amp;"",BK344&amp;""))</f>
        <v/>
      </c>
      <c r="AC344" s="0" t="str">
        <f aca="false">IF($A344="","",IF(AW344="Y",BS344&amp;"",BE344&amp;""))</f>
        <v/>
      </c>
      <c r="AD344" s="0" t="str">
        <f aca="false">IF($A344="","",IF(AW344="Y",BT344&amp;"",BF344&amp;""))</f>
        <v/>
      </c>
      <c r="AE344" s="0" t="str">
        <f aca="false">IF($A344="","",IF(AW344="Y",BU344&amp;"",BG344&amp;""))</f>
        <v/>
      </c>
      <c r="AF344" s="0" t="str">
        <f aca="false">IF($A344="","",IF(AW344="Y",BV344&amp;"",BH344&amp;""))</f>
        <v/>
      </c>
      <c r="AG344" s="0" t="str">
        <f aca="false">IF($A344="","",IF(AW344="Y",BW344&amp;"",BI344&amp;""))</f>
        <v/>
      </c>
      <c r="AH344" s="0" t="str">
        <f aca="false">IF($A344="","",IF(AW344="Y",BX344&amp;"",BJ344&amp;""))</f>
        <v/>
      </c>
      <c r="AQ344" s="5"/>
      <c r="AT344" s="0" t="str">
        <f aca="false">IF($A344="","",IF(AND(CN344="pass",AQ344&lt;&gt;"Y",C344&lt;&gt;"",OR(AX344&lt;&gt;"Y",AV344="Y")),"Y","N"))</f>
        <v/>
      </c>
      <c r="AU344" s="0" t="str">
        <f aca="false">IF($A344="","",_xlfn.TEXTJOIN("; ",TRUE(),IF(CN344&lt;&gt;"pass","gated out",""),IF(AQ344="Y","on hold: "&amp;AR344,""),IF(C344="","no contact named on an opened page",""),IF(AND(AX344="Y",AV344&lt;&gt;"Y"),"Tuesday estimate band "&amp;L344&amp;": founder's call","")))</f>
        <v/>
      </c>
      <c r="BC344" s="0" t="str">
        <f aca="false">IF($A344="","",IFERROR(INDEX(Enrichment!$A$2:$GZ$2000,MATCH($A344,INDEX(Enrichment!$A$2:$GZ$2000,0,MATCH("row_id",Enrichment!$A$1:$GZ$1,0)),0),MATCH("work_email",Enrichment!$A$1:$GZ$1,0))&amp;"",""))</f>
        <v/>
      </c>
      <c r="BD344" s="0" t="str">
        <f aca="false">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Q344" s="0" t="str">
        <f aca="false">IF($A344="","",IFERROR(INDEX(Enrichment!$A$2:$GZ$2000,MATCH($A344,INDEX(Enrichment!$A$2:$GZ$2000,0,MATCH("row_id",Enrichment!$A$1:$GZ$1,0)),0),MATCH("backup_work_email",Enrichment!$A$1:$GZ$1,0))&amp;"",""))</f>
        <v/>
      </c>
      <c r="BR344" s="0" t="str">
        <f aca="false">IF($A344="","",IF(BQ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EQ344" s="0" t="str">
        <f aca="false">IF($A344="","",IF(AH344="exact",10,IF(AH344="adjacent",5,0)))</f>
        <v/>
      </c>
      <c r="ER344" s="0" t="str">
        <f aca="false">IF($A344="","",IF(R344="Y",15,0))</f>
        <v/>
      </c>
      <c r="FS344" s="0" t="str">
        <f aca="false">IF($A344="","",IF(ISNUMBER(MATCH(U344,{"queued","contacted","replied","call_booked","call_done","yes_in_principle","materials_sent"},0)),"Y","N"))</f>
        <v/>
      </c>
      <c r="FT344" s="0" t="str">
        <f aca="false">IF($A344="","",IF(OR(T344="Y",U344="do_not_contact",AS344&amp;""&lt;&gt;""),"Y","N"))</f>
        <v/>
      </c>
      <c r="FU344" s="0" t="str">
        <f aca="false">IF($A344="","",IF(AP344&amp;""&lt;&gt;"",AP344&amp;"",$A344))</f>
        <v/>
      </c>
      <c r="FV344" s="0" t="str">
        <f aca="false">IF($A344="","",IF(COUNTIFS($FU$2:$FU$1000,FU344,$FS$2:$FS$1000,"Y")+COUNTIFS($FU$2:$FU$1000,FU344,$FT$2:$FT$1000,"Y")&gt;0,"Y","N"))</f>
        <v/>
      </c>
      <c r="FW344" s="0" t="str">
        <f aca="false">IF($A344="","",IF(AND(U344="new",T344="N",FT344="N",AT344="Y",FV344="N"),"Y","N"))</f>
        <v/>
      </c>
      <c r="FX344" s="0" t="str">
        <f aca="false">IF($A344="","",IF(FW344&lt;&gt;"Y","N",IF(COUNTIFS($FU$2:$FU$1000,FU344,$FW$2:$FW$1000,"Y",$J$2:$J$1000,"&gt;"&amp;J344)+COUNTIFS($FU$2:$FU$1000,FU344,$FW$2:$FW$1000,"Y",$J$2:$J$1000,J344,$GD$2:$GD$1000,"&lt;"&amp;GD344)=0,"Y","N")))</f>
        <v/>
      </c>
      <c r="FY344" s="0" t="str">
        <f aca="false">IF($A344="","",IF(AND(FW344="Y",FX344="Y",Y344&amp;""&lt;&gt;""),IF(Y344&lt;=10,"Y","N"),"N"))</f>
        <v/>
      </c>
      <c r="FZ344" s="0" t="str">
        <f aca="false">IF(FY344="Y",Y344,"")</f>
        <v/>
      </c>
      <c r="GA344" s="0" t="str">
        <f aca="false">IF($A344="","",IF(AND(I344="walk-in",CN344="pass",U344="new",FT344="N",FV344="N",AQ344&lt;&gt;"Y"),"Y","N"))</f>
        <v/>
      </c>
      <c r="GB344" s="0" t="str">
        <f aca="false">IF(GA344&lt;&gt;"Y","",IF(COUNTIFS($GA$2:$GA$1000,"Y",$J$2:$J$1000,"&gt;"&amp;J344)+COUNTIFS($GA$2:$GA$1000,"Y",$J$2:$J$1000,J344,$GD$2:$GD$1000,"&lt;"&amp;GD344)+1&lt;=25,COUNTIFS($GA$2:$GA$1000,"Y",$J$2:$J$1000,"&gt;"&amp;J344)+COUNTIFS($GA$2:$GA$1000,"Y",$J$2:$J$1000,J344,$GD$2:$GD$1000,"&lt;"&amp;GD344)+1,""))</f>
        <v/>
      </c>
      <c r="GC344" s="0" t="str">
        <f aca="false">IF(AND(_xlfn.ISFORMULA(C344),_xlfn.ISFORMULA(J344)),"Y","N")</f>
        <v>Y</v>
      </c>
      <c r="GD344" s="0" t="n">
        <f aca="false">ROW()-1</f>
        <v>343</v>
      </c>
    </row>
    <row r="345" customFormat="false" ht="15" hidden="false" customHeight="false" outlineLevel="0" collapsed="false">
      <c r="C345" s="0" t="str">
        <f aca="false">IF($A345="","",IF(AW345="Y",BM345&amp;"",AY345&amp;""))</f>
        <v/>
      </c>
      <c r="D345" s="0" t="str">
        <f aca="false">IF($A345="","",IF(AW345="Y",BN345&amp;"",AZ345&amp;""))</f>
        <v/>
      </c>
      <c r="E345" s="0" t="str">
        <f aca="false">IF($A345="","",IF(AW345="Y",BO345&amp;"",BA345&amp;""))</f>
        <v/>
      </c>
      <c r="F345" s="0" t="str">
        <f aca="false">IF($A345="","",IF(AW345="Y",BP345&amp;"",BB345&amp;""))</f>
        <v/>
      </c>
      <c r="G345" s="0" t="str">
        <f aca="false">IF($A345="","",IF(AW345="Y",BQ345&amp;"",BC345&amp;""))</f>
        <v/>
      </c>
      <c r="H345" s="0" t="str">
        <f aca="false">IF($A345="","",IF(AW345="Y",BR345&amp;"",BD345&amp;""))</f>
        <v/>
      </c>
      <c r="I345" s="0" t="str">
        <f aca="false">IF($A345="","",IF(R345="Y","warm-intro",IF(H345="verified","email",IF(C345&lt;&gt;"","linkedin",CB345&amp;""))))</f>
        <v/>
      </c>
      <c r="J345" s="0" t="str">
        <f aca="false">IF($A345="","",IF(CN345="pass",ROUND(N(EM345)+N(EN345)+N(EO345)+N(EP345)+N(EQ345)+N(ER345),1),0))</f>
        <v/>
      </c>
      <c r="K345" s="0" t="str">
        <f aca="false">IF($A345="","",IF(CN345&lt;&gt;"pass",CA345&amp;"",CA345&amp;"; "&amp;IF(AW345="Y",BZ345&amp;"",BL345&amp;"")&amp;IF(R345="Y","; known to the founder (+15)","")&amp;"."))</f>
        <v/>
      </c>
      <c r="R345" s="5"/>
      <c r="U345" s="5"/>
      <c r="Y345" s="0" t="str">
        <f aca="false">IF(FX345&lt;&gt;"Y","",COUNTIFS($FX$2:$FX$1000,"Y",$J$2:$J$1000,"&gt;"&amp;J345)+COUNTIFS($FX$2:$FX$1000,"Y",$J$2:$J$1000,J345,$GD$2:$GD$1000,"&lt;"&amp;GD345)+1)</f>
        <v/>
      </c>
      <c r="AB345" s="0" t="str">
        <f aca="false">IF($A345="","",IF(AW345="Y",BY345&amp;"",BK345&amp;""))</f>
        <v/>
      </c>
      <c r="AC345" s="0" t="str">
        <f aca="false">IF($A345="","",IF(AW345="Y",BS345&amp;"",BE345&amp;""))</f>
        <v/>
      </c>
      <c r="AD345" s="0" t="str">
        <f aca="false">IF($A345="","",IF(AW345="Y",BT345&amp;"",BF345&amp;""))</f>
        <v/>
      </c>
      <c r="AE345" s="0" t="str">
        <f aca="false">IF($A345="","",IF(AW345="Y",BU345&amp;"",BG345&amp;""))</f>
        <v/>
      </c>
      <c r="AF345" s="0" t="str">
        <f aca="false">IF($A345="","",IF(AW345="Y",BV345&amp;"",BH345&amp;""))</f>
        <v/>
      </c>
      <c r="AG345" s="0" t="str">
        <f aca="false">IF($A345="","",IF(AW345="Y",BW345&amp;"",BI345&amp;""))</f>
        <v/>
      </c>
      <c r="AH345" s="0" t="str">
        <f aca="false">IF($A345="","",IF(AW345="Y",BX345&amp;"",BJ345&amp;""))</f>
        <v/>
      </c>
      <c r="AQ345" s="5"/>
      <c r="AT345" s="0" t="str">
        <f aca="false">IF($A345="","",IF(AND(CN345="pass",AQ345&lt;&gt;"Y",C345&lt;&gt;"",OR(AX345&lt;&gt;"Y",AV345="Y")),"Y","N"))</f>
        <v/>
      </c>
      <c r="AU345" s="0" t="str">
        <f aca="false">IF($A345="","",_xlfn.TEXTJOIN("; ",TRUE(),IF(CN345&lt;&gt;"pass","gated out",""),IF(AQ345="Y","on hold: "&amp;AR345,""),IF(C345="","no contact named on an opened page",""),IF(AND(AX345="Y",AV345&lt;&gt;"Y"),"Tuesday estimate band "&amp;L345&amp;": founder's call","")))</f>
        <v/>
      </c>
      <c r="BC345" s="0" t="str">
        <f aca="false">IF($A345="","",IFERROR(INDEX(Enrichment!$A$2:$GZ$2000,MATCH($A345,INDEX(Enrichment!$A$2:$GZ$2000,0,MATCH("row_id",Enrichment!$A$1:$GZ$1,0)),0),MATCH("work_email",Enrichment!$A$1:$GZ$1,0))&amp;"",""))</f>
        <v/>
      </c>
      <c r="BD345" s="0" t="str">
        <f aca="false">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Q345" s="0" t="str">
        <f aca="false">IF($A345="","",IFERROR(INDEX(Enrichment!$A$2:$GZ$2000,MATCH($A345,INDEX(Enrichment!$A$2:$GZ$2000,0,MATCH("row_id",Enrichment!$A$1:$GZ$1,0)),0),MATCH("backup_work_email",Enrichment!$A$1:$GZ$1,0))&amp;"",""))</f>
        <v/>
      </c>
      <c r="BR345" s="0" t="str">
        <f aca="false">IF($A345="","",IF(BQ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EQ345" s="0" t="str">
        <f aca="false">IF($A345="","",IF(AH345="exact",10,IF(AH345="adjacent",5,0)))</f>
        <v/>
      </c>
      <c r="ER345" s="0" t="str">
        <f aca="false">IF($A345="","",IF(R345="Y",15,0))</f>
        <v/>
      </c>
      <c r="FS345" s="0" t="str">
        <f aca="false">IF($A345="","",IF(ISNUMBER(MATCH(U345,{"queued","contacted","replied","call_booked","call_done","yes_in_principle","materials_sent"},0)),"Y","N"))</f>
        <v/>
      </c>
      <c r="FT345" s="0" t="str">
        <f aca="false">IF($A345="","",IF(OR(T345="Y",U345="do_not_contact",AS345&amp;""&lt;&gt;""),"Y","N"))</f>
        <v/>
      </c>
      <c r="FU345" s="0" t="str">
        <f aca="false">IF($A345="","",IF(AP345&amp;""&lt;&gt;"",AP345&amp;"",$A345))</f>
        <v/>
      </c>
      <c r="FV345" s="0" t="str">
        <f aca="false">IF($A345="","",IF(COUNTIFS($FU$2:$FU$1000,FU345,$FS$2:$FS$1000,"Y")+COUNTIFS($FU$2:$FU$1000,FU345,$FT$2:$FT$1000,"Y")&gt;0,"Y","N"))</f>
        <v/>
      </c>
      <c r="FW345" s="0" t="str">
        <f aca="false">IF($A345="","",IF(AND(U345="new",T345="N",FT345="N",AT345="Y",FV345="N"),"Y","N"))</f>
        <v/>
      </c>
      <c r="FX345" s="0" t="str">
        <f aca="false">IF($A345="","",IF(FW345&lt;&gt;"Y","N",IF(COUNTIFS($FU$2:$FU$1000,FU345,$FW$2:$FW$1000,"Y",$J$2:$J$1000,"&gt;"&amp;J345)+COUNTIFS($FU$2:$FU$1000,FU345,$FW$2:$FW$1000,"Y",$J$2:$J$1000,J345,$GD$2:$GD$1000,"&lt;"&amp;GD345)=0,"Y","N")))</f>
        <v/>
      </c>
      <c r="FY345" s="0" t="str">
        <f aca="false">IF($A345="","",IF(AND(FW345="Y",FX345="Y",Y345&amp;""&lt;&gt;""),IF(Y345&lt;=10,"Y","N"),"N"))</f>
        <v/>
      </c>
      <c r="FZ345" s="0" t="str">
        <f aca="false">IF(FY345="Y",Y345,"")</f>
        <v/>
      </c>
      <c r="GA345" s="0" t="str">
        <f aca="false">IF($A345="","",IF(AND(I345="walk-in",CN345="pass",U345="new",FT345="N",FV345="N",AQ345&lt;&gt;"Y"),"Y","N"))</f>
        <v/>
      </c>
      <c r="GB345" s="0" t="str">
        <f aca="false">IF(GA345&lt;&gt;"Y","",IF(COUNTIFS($GA$2:$GA$1000,"Y",$J$2:$J$1000,"&gt;"&amp;J345)+COUNTIFS($GA$2:$GA$1000,"Y",$J$2:$J$1000,J345,$GD$2:$GD$1000,"&lt;"&amp;GD345)+1&lt;=25,COUNTIFS($GA$2:$GA$1000,"Y",$J$2:$J$1000,"&gt;"&amp;J345)+COUNTIFS($GA$2:$GA$1000,"Y",$J$2:$J$1000,J345,$GD$2:$GD$1000,"&lt;"&amp;GD345)+1,""))</f>
        <v/>
      </c>
      <c r="GC345" s="0" t="str">
        <f aca="false">IF(AND(_xlfn.ISFORMULA(C345),_xlfn.ISFORMULA(J345)),"Y","N")</f>
        <v>Y</v>
      </c>
      <c r="GD345" s="0" t="n">
        <f aca="false">ROW()-1</f>
        <v>344</v>
      </c>
    </row>
    <row r="346" customFormat="false" ht="15" hidden="false" customHeight="false" outlineLevel="0" collapsed="false">
      <c r="C346" s="0" t="str">
        <f aca="false">IF($A346="","",IF(AW346="Y",BM346&amp;"",AY346&amp;""))</f>
        <v/>
      </c>
      <c r="D346" s="0" t="str">
        <f aca="false">IF($A346="","",IF(AW346="Y",BN346&amp;"",AZ346&amp;""))</f>
        <v/>
      </c>
      <c r="E346" s="0" t="str">
        <f aca="false">IF($A346="","",IF(AW346="Y",BO346&amp;"",BA346&amp;""))</f>
        <v/>
      </c>
      <c r="F346" s="0" t="str">
        <f aca="false">IF($A346="","",IF(AW346="Y",BP346&amp;"",BB346&amp;""))</f>
        <v/>
      </c>
      <c r="G346" s="0" t="str">
        <f aca="false">IF($A346="","",IF(AW346="Y",BQ346&amp;"",BC346&amp;""))</f>
        <v/>
      </c>
      <c r="H346" s="0" t="str">
        <f aca="false">IF($A346="","",IF(AW346="Y",BR346&amp;"",BD346&amp;""))</f>
        <v/>
      </c>
      <c r="I346" s="0" t="str">
        <f aca="false">IF($A346="","",IF(R346="Y","warm-intro",IF(H346="verified","email",IF(C346&lt;&gt;"","linkedin",CB346&amp;""))))</f>
        <v/>
      </c>
      <c r="J346" s="0" t="str">
        <f aca="false">IF($A346="","",IF(CN346="pass",ROUND(N(EM346)+N(EN346)+N(EO346)+N(EP346)+N(EQ346)+N(ER346),1),0))</f>
        <v/>
      </c>
      <c r="K346" s="0" t="str">
        <f aca="false">IF($A346="","",IF(CN346&lt;&gt;"pass",CA346&amp;"",CA346&amp;"; "&amp;IF(AW346="Y",BZ346&amp;"",BL346&amp;"")&amp;IF(R346="Y","; known to the founder (+15)","")&amp;"."))</f>
        <v/>
      </c>
      <c r="R346" s="5"/>
      <c r="U346" s="5"/>
      <c r="Y346" s="0" t="str">
        <f aca="false">IF(FX346&lt;&gt;"Y","",COUNTIFS($FX$2:$FX$1000,"Y",$J$2:$J$1000,"&gt;"&amp;J346)+COUNTIFS($FX$2:$FX$1000,"Y",$J$2:$J$1000,J346,$GD$2:$GD$1000,"&lt;"&amp;GD346)+1)</f>
        <v/>
      </c>
      <c r="AB346" s="0" t="str">
        <f aca="false">IF($A346="","",IF(AW346="Y",BY346&amp;"",BK346&amp;""))</f>
        <v/>
      </c>
      <c r="AC346" s="0" t="str">
        <f aca="false">IF($A346="","",IF(AW346="Y",BS346&amp;"",BE346&amp;""))</f>
        <v/>
      </c>
      <c r="AD346" s="0" t="str">
        <f aca="false">IF($A346="","",IF(AW346="Y",BT346&amp;"",BF346&amp;""))</f>
        <v/>
      </c>
      <c r="AE346" s="0" t="str">
        <f aca="false">IF($A346="","",IF(AW346="Y",BU346&amp;"",BG346&amp;""))</f>
        <v/>
      </c>
      <c r="AF346" s="0" t="str">
        <f aca="false">IF($A346="","",IF(AW346="Y",BV346&amp;"",BH346&amp;""))</f>
        <v/>
      </c>
      <c r="AG346" s="0" t="str">
        <f aca="false">IF($A346="","",IF(AW346="Y",BW346&amp;"",BI346&amp;""))</f>
        <v/>
      </c>
      <c r="AH346" s="0" t="str">
        <f aca="false">IF($A346="","",IF(AW346="Y",BX346&amp;"",BJ346&amp;""))</f>
        <v/>
      </c>
      <c r="AQ346" s="5"/>
      <c r="AT346" s="0" t="str">
        <f aca="false">IF($A346="","",IF(AND(CN346="pass",AQ346&lt;&gt;"Y",C346&lt;&gt;"",OR(AX346&lt;&gt;"Y",AV346="Y")),"Y","N"))</f>
        <v/>
      </c>
      <c r="AU346" s="0" t="str">
        <f aca="false">IF($A346="","",_xlfn.TEXTJOIN("; ",TRUE(),IF(CN346&lt;&gt;"pass","gated out",""),IF(AQ346="Y","on hold: "&amp;AR346,""),IF(C346="","no contact named on an opened page",""),IF(AND(AX346="Y",AV346&lt;&gt;"Y"),"Tuesday estimate band "&amp;L346&amp;": founder's call","")))</f>
        <v/>
      </c>
      <c r="BC346" s="0" t="str">
        <f aca="false">IF($A346="","",IFERROR(INDEX(Enrichment!$A$2:$GZ$2000,MATCH($A346,INDEX(Enrichment!$A$2:$GZ$2000,0,MATCH("row_id",Enrichment!$A$1:$GZ$1,0)),0),MATCH("work_email",Enrichment!$A$1:$GZ$1,0))&amp;"",""))</f>
        <v/>
      </c>
      <c r="BD346" s="0" t="str">
        <f aca="false">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Q346" s="0" t="str">
        <f aca="false">IF($A346="","",IFERROR(INDEX(Enrichment!$A$2:$GZ$2000,MATCH($A346,INDEX(Enrichment!$A$2:$GZ$2000,0,MATCH("row_id",Enrichment!$A$1:$GZ$1,0)),0),MATCH("backup_work_email",Enrichment!$A$1:$GZ$1,0))&amp;"",""))</f>
        <v/>
      </c>
      <c r="BR346" s="0" t="str">
        <f aca="false">IF($A346="","",IF(BQ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EQ346" s="0" t="str">
        <f aca="false">IF($A346="","",IF(AH346="exact",10,IF(AH346="adjacent",5,0)))</f>
        <v/>
      </c>
      <c r="ER346" s="0" t="str">
        <f aca="false">IF($A346="","",IF(R346="Y",15,0))</f>
        <v/>
      </c>
      <c r="FS346" s="0" t="str">
        <f aca="false">IF($A346="","",IF(ISNUMBER(MATCH(U346,{"queued","contacted","replied","call_booked","call_done","yes_in_principle","materials_sent"},0)),"Y","N"))</f>
        <v/>
      </c>
      <c r="FT346" s="0" t="str">
        <f aca="false">IF($A346="","",IF(OR(T346="Y",U346="do_not_contact",AS346&amp;""&lt;&gt;""),"Y","N"))</f>
        <v/>
      </c>
      <c r="FU346" s="0" t="str">
        <f aca="false">IF($A346="","",IF(AP346&amp;""&lt;&gt;"",AP346&amp;"",$A346))</f>
        <v/>
      </c>
      <c r="FV346" s="0" t="str">
        <f aca="false">IF($A346="","",IF(COUNTIFS($FU$2:$FU$1000,FU346,$FS$2:$FS$1000,"Y")+COUNTIFS($FU$2:$FU$1000,FU346,$FT$2:$FT$1000,"Y")&gt;0,"Y","N"))</f>
        <v/>
      </c>
      <c r="FW346" s="0" t="str">
        <f aca="false">IF($A346="","",IF(AND(U346="new",T346="N",FT346="N",AT346="Y",FV346="N"),"Y","N"))</f>
        <v/>
      </c>
      <c r="FX346" s="0" t="str">
        <f aca="false">IF($A346="","",IF(FW346&lt;&gt;"Y","N",IF(COUNTIFS($FU$2:$FU$1000,FU346,$FW$2:$FW$1000,"Y",$J$2:$J$1000,"&gt;"&amp;J346)+COUNTIFS($FU$2:$FU$1000,FU346,$FW$2:$FW$1000,"Y",$J$2:$J$1000,J346,$GD$2:$GD$1000,"&lt;"&amp;GD346)=0,"Y","N")))</f>
        <v/>
      </c>
      <c r="FY346" s="0" t="str">
        <f aca="false">IF($A346="","",IF(AND(FW346="Y",FX346="Y",Y346&amp;""&lt;&gt;""),IF(Y346&lt;=10,"Y","N"),"N"))</f>
        <v/>
      </c>
      <c r="FZ346" s="0" t="str">
        <f aca="false">IF(FY346="Y",Y346,"")</f>
        <v/>
      </c>
      <c r="GA346" s="0" t="str">
        <f aca="false">IF($A346="","",IF(AND(I346="walk-in",CN346="pass",U346="new",FT346="N",FV346="N",AQ346&lt;&gt;"Y"),"Y","N"))</f>
        <v/>
      </c>
      <c r="GB346" s="0" t="str">
        <f aca="false">IF(GA346&lt;&gt;"Y","",IF(COUNTIFS($GA$2:$GA$1000,"Y",$J$2:$J$1000,"&gt;"&amp;J346)+COUNTIFS($GA$2:$GA$1000,"Y",$J$2:$J$1000,J346,$GD$2:$GD$1000,"&lt;"&amp;GD346)+1&lt;=25,COUNTIFS($GA$2:$GA$1000,"Y",$J$2:$J$1000,"&gt;"&amp;J346)+COUNTIFS($GA$2:$GA$1000,"Y",$J$2:$J$1000,J346,$GD$2:$GD$1000,"&lt;"&amp;GD346)+1,""))</f>
        <v/>
      </c>
      <c r="GC346" s="0" t="str">
        <f aca="false">IF(AND(_xlfn.ISFORMULA(C346),_xlfn.ISFORMULA(J346)),"Y","N")</f>
        <v>Y</v>
      </c>
      <c r="GD346" s="0" t="n">
        <f aca="false">ROW()-1</f>
        <v>345</v>
      </c>
    </row>
    <row r="347" customFormat="false" ht="15" hidden="false" customHeight="false" outlineLevel="0" collapsed="false">
      <c r="C347" s="0" t="str">
        <f aca="false">IF($A347="","",IF(AW347="Y",BM347&amp;"",AY347&amp;""))</f>
        <v/>
      </c>
      <c r="D347" s="0" t="str">
        <f aca="false">IF($A347="","",IF(AW347="Y",BN347&amp;"",AZ347&amp;""))</f>
        <v/>
      </c>
      <c r="E347" s="0" t="str">
        <f aca="false">IF($A347="","",IF(AW347="Y",BO347&amp;"",BA347&amp;""))</f>
        <v/>
      </c>
      <c r="F347" s="0" t="str">
        <f aca="false">IF($A347="","",IF(AW347="Y",BP347&amp;"",BB347&amp;""))</f>
        <v/>
      </c>
      <c r="G347" s="0" t="str">
        <f aca="false">IF($A347="","",IF(AW347="Y",BQ347&amp;"",BC347&amp;""))</f>
        <v/>
      </c>
      <c r="H347" s="0" t="str">
        <f aca="false">IF($A347="","",IF(AW347="Y",BR347&amp;"",BD347&amp;""))</f>
        <v/>
      </c>
      <c r="I347" s="0" t="str">
        <f aca="false">IF($A347="","",IF(R347="Y","warm-intro",IF(H347="verified","email",IF(C347&lt;&gt;"","linkedin",CB347&amp;""))))</f>
        <v/>
      </c>
      <c r="J347" s="0" t="str">
        <f aca="false">IF($A347="","",IF(CN347="pass",ROUND(N(EM347)+N(EN347)+N(EO347)+N(EP347)+N(EQ347)+N(ER347),1),0))</f>
        <v/>
      </c>
      <c r="K347" s="0" t="str">
        <f aca="false">IF($A347="","",IF(CN347&lt;&gt;"pass",CA347&amp;"",CA347&amp;"; "&amp;IF(AW347="Y",BZ347&amp;"",BL347&amp;"")&amp;IF(R347="Y","; known to the founder (+15)","")&amp;"."))</f>
        <v/>
      </c>
      <c r="R347" s="5"/>
      <c r="U347" s="5"/>
      <c r="Y347" s="0" t="str">
        <f aca="false">IF(FX347&lt;&gt;"Y","",COUNTIFS($FX$2:$FX$1000,"Y",$J$2:$J$1000,"&gt;"&amp;J347)+COUNTIFS($FX$2:$FX$1000,"Y",$J$2:$J$1000,J347,$GD$2:$GD$1000,"&lt;"&amp;GD347)+1)</f>
        <v/>
      </c>
      <c r="AB347" s="0" t="str">
        <f aca="false">IF($A347="","",IF(AW347="Y",BY347&amp;"",BK347&amp;""))</f>
        <v/>
      </c>
      <c r="AC347" s="0" t="str">
        <f aca="false">IF($A347="","",IF(AW347="Y",BS347&amp;"",BE347&amp;""))</f>
        <v/>
      </c>
      <c r="AD347" s="0" t="str">
        <f aca="false">IF($A347="","",IF(AW347="Y",BT347&amp;"",BF347&amp;""))</f>
        <v/>
      </c>
      <c r="AE347" s="0" t="str">
        <f aca="false">IF($A347="","",IF(AW347="Y",BU347&amp;"",BG347&amp;""))</f>
        <v/>
      </c>
      <c r="AF347" s="0" t="str">
        <f aca="false">IF($A347="","",IF(AW347="Y",BV347&amp;"",BH347&amp;""))</f>
        <v/>
      </c>
      <c r="AG347" s="0" t="str">
        <f aca="false">IF($A347="","",IF(AW347="Y",BW347&amp;"",BI347&amp;""))</f>
        <v/>
      </c>
      <c r="AH347" s="0" t="str">
        <f aca="false">IF($A347="","",IF(AW347="Y",BX347&amp;"",BJ347&amp;""))</f>
        <v/>
      </c>
      <c r="AQ347" s="5"/>
      <c r="AT347" s="0" t="str">
        <f aca="false">IF($A347="","",IF(AND(CN347="pass",AQ347&lt;&gt;"Y",C347&lt;&gt;"",OR(AX347&lt;&gt;"Y",AV347="Y")),"Y","N"))</f>
        <v/>
      </c>
      <c r="AU347" s="0" t="str">
        <f aca="false">IF($A347="","",_xlfn.TEXTJOIN("; ",TRUE(),IF(CN347&lt;&gt;"pass","gated out",""),IF(AQ347="Y","on hold: "&amp;AR347,""),IF(C347="","no contact named on an opened page",""),IF(AND(AX347="Y",AV347&lt;&gt;"Y"),"Tuesday estimate band "&amp;L347&amp;": founder's call","")))</f>
        <v/>
      </c>
      <c r="BC347" s="0" t="str">
        <f aca="false">IF($A347="","",IFERROR(INDEX(Enrichment!$A$2:$GZ$2000,MATCH($A347,INDEX(Enrichment!$A$2:$GZ$2000,0,MATCH("row_id",Enrichment!$A$1:$GZ$1,0)),0),MATCH("work_email",Enrichment!$A$1:$GZ$1,0))&amp;"",""))</f>
        <v/>
      </c>
      <c r="BD347" s="0" t="str">
        <f aca="false">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Q347" s="0" t="str">
        <f aca="false">IF($A347="","",IFERROR(INDEX(Enrichment!$A$2:$GZ$2000,MATCH($A347,INDEX(Enrichment!$A$2:$GZ$2000,0,MATCH("row_id",Enrichment!$A$1:$GZ$1,0)),0),MATCH("backup_work_email",Enrichment!$A$1:$GZ$1,0))&amp;"",""))</f>
        <v/>
      </c>
      <c r="BR347" s="0" t="str">
        <f aca="false">IF($A347="","",IF(BQ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EQ347" s="0" t="str">
        <f aca="false">IF($A347="","",IF(AH347="exact",10,IF(AH347="adjacent",5,0)))</f>
        <v/>
      </c>
      <c r="ER347" s="0" t="str">
        <f aca="false">IF($A347="","",IF(R347="Y",15,0))</f>
        <v/>
      </c>
      <c r="FS347" s="0" t="str">
        <f aca="false">IF($A347="","",IF(ISNUMBER(MATCH(U347,{"queued","contacted","replied","call_booked","call_done","yes_in_principle","materials_sent"},0)),"Y","N"))</f>
        <v/>
      </c>
      <c r="FT347" s="0" t="str">
        <f aca="false">IF($A347="","",IF(OR(T347="Y",U347="do_not_contact",AS347&amp;""&lt;&gt;""),"Y","N"))</f>
        <v/>
      </c>
      <c r="FU347" s="0" t="str">
        <f aca="false">IF($A347="","",IF(AP347&amp;""&lt;&gt;"",AP347&amp;"",$A347))</f>
        <v/>
      </c>
      <c r="FV347" s="0" t="str">
        <f aca="false">IF($A347="","",IF(COUNTIFS($FU$2:$FU$1000,FU347,$FS$2:$FS$1000,"Y")+COUNTIFS($FU$2:$FU$1000,FU347,$FT$2:$FT$1000,"Y")&gt;0,"Y","N"))</f>
        <v/>
      </c>
      <c r="FW347" s="0" t="str">
        <f aca="false">IF($A347="","",IF(AND(U347="new",T347="N",FT347="N",AT347="Y",FV347="N"),"Y","N"))</f>
        <v/>
      </c>
      <c r="FX347" s="0" t="str">
        <f aca="false">IF($A347="","",IF(FW347&lt;&gt;"Y","N",IF(COUNTIFS($FU$2:$FU$1000,FU347,$FW$2:$FW$1000,"Y",$J$2:$J$1000,"&gt;"&amp;J347)+COUNTIFS($FU$2:$FU$1000,FU347,$FW$2:$FW$1000,"Y",$J$2:$J$1000,J347,$GD$2:$GD$1000,"&lt;"&amp;GD347)=0,"Y","N")))</f>
        <v/>
      </c>
      <c r="FY347" s="0" t="str">
        <f aca="false">IF($A347="","",IF(AND(FW347="Y",FX347="Y",Y347&amp;""&lt;&gt;""),IF(Y347&lt;=10,"Y","N"),"N"))</f>
        <v/>
      </c>
      <c r="FZ347" s="0" t="str">
        <f aca="false">IF(FY347="Y",Y347,"")</f>
        <v/>
      </c>
      <c r="GA347" s="0" t="str">
        <f aca="false">IF($A347="","",IF(AND(I347="walk-in",CN347="pass",U347="new",FT347="N",FV347="N",AQ347&lt;&gt;"Y"),"Y","N"))</f>
        <v/>
      </c>
      <c r="GB347" s="0" t="str">
        <f aca="false">IF(GA347&lt;&gt;"Y","",IF(COUNTIFS($GA$2:$GA$1000,"Y",$J$2:$J$1000,"&gt;"&amp;J347)+COUNTIFS($GA$2:$GA$1000,"Y",$J$2:$J$1000,J347,$GD$2:$GD$1000,"&lt;"&amp;GD347)+1&lt;=25,COUNTIFS($GA$2:$GA$1000,"Y",$J$2:$J$1000,"&gt;"&amp;J347)+COUNTIFS($GA$2:$GA$1000,"Y",$J$2:$J$1000,J347,$GD$2:$GD$1000,"&lt;"&amp;GD347)+1,""))</f>
        <v/>
      </c>
      <c r="GC347" s="0" t="str">
        <f aca="false">IF(AND(_xlfn.ISFORMULA(C347),_xlfn.ISFORMULA(J347)),"Y","N")</f>
        <v>Y</v>
      </c>
      <c r="GD347" s="0" t="n">
        <f aca="false">ROW()-1</f>
        <v>346</v>
      </c>
    </row>
    <row r="348" customFormat="false" ht="15" hidden="false" customHeight="false" outlineLevel="0" collapsed="false">
      <c r="C348" s="0" t="str">
        <f aca="false">IF($A348="","",IF(AW348="Y",BM348&amp;"",AY348&amp;""))</f>
        <v/>
      </c>
      <c r="D348" s="0" t="str">
        <f aca="false">IF($A348="","",IF(AW348="Y",BN348&amp;"",AZ348&amp;""))</f>
        <v/>
      </c>
      <c r="E348" s="0" t="str">
        <f aca="false">IF($A348="","",IF(AW348="Y",BO348&amp;"",BA348&amp;""))</f>
        <v/>
      </c>
      <c r="F348" s="0" t="str">
        <f aca="false">IF($A348="","",IF(AW348="Y",BP348&amp;"",BB348&amp;""))</f>
        <v/>
      </c>
      <c r="G348" s="0" t="str">
        <f aca="false">IF($A348="","",IF(AW348="Y",BQ348&amp;"",BC348&amp;""))</f>
        <v/>
      </c>
      <c r="H348" s="0" t="str">
        <f aca="false">IF($A348="","",IF(AW348="Y",BR348&amp;"",BD348&amp;""))</f>
        <v/>
      </c>
      <c r="I348" s="0" t="str">
        <f aca="false">IF($A348="","",IF(R348="Y","warm-intro",IF(H348="verified","email",IF(C348&lt;&gt;"","linkedin",CB348&amp;""))))</f>
        <v/>
      </c>
      <c r="J348" s="0" t="str">
        <f aca="false">IF($A348="","",IF(CN348="pass",ROUND(N(EM348)+N(EN348)+N(EO348)+N(EP348)+N(EQ348)+N(ER348),1),0))</f>
        <v/>
      </c>
      <c r="K348" s="0" t="str">
        <f aca="false">IF($A348="","",IF(CN348&lt;&gt;"pass",CA348&amp;"",CA348&amp;"; "&amp;IF(AW348="Y",BZ348&amp;"",BL348&amp;"")&amp;IF(R348="Y","; known to the founder (+15)","")&amp;"."))</f>
        <v/>
      </c>
      <c r="R348" s="5"/>
      <c r="U348" s="5"/>
      <c r="Y348" s="0" t="str">
        <f aca="false">IF(FX348&lt;&gt;"Y","",COUNTIFS($FX$2:$FX$1000,"Y",$J$2:$J$1000,"&gt;"&amp;J348)+COUNTIFS($FX$2:$FX$1000,"Y",$J$2:$J$1000,J348,$GD$2:$GD$1000,"&lt;"&amp;GD348)+1)</f>
        <v/>
      </c>
      <c r="AB348" s="0" t="str">
        <f aca="false">IF($A348="","",IF(AW348="Y",BY348&amp;"",BK348&amp;""))</f>
        <v/>
      </c>
      <c r="AC348" s="0" t="str">
        <f aca="false">IF($A348="","",IF(AW348="Y",BS348&amp;"",BE348&amp;""))</f>
        <v/>
      </c>
      <c r="AD348" s="0" t="str">
        <f aca="false">IF($A348="","",IF(AW348="Y",BT348&amp;"",BF348&amp;""))</f>
        <v/>
      </c>
      <c r="AE348" s="0" t="str">
        <f aca="false">IF($A348="","",IF(AW348="Y",BU348&amp;"",BG348&amp;""))</f>
        <v/>
      </c>
      <c r="AF348" s="0" t="str">
        <f aca="false">IF($A348="","",IF(AW348="Y",BV348&amp;"",BH348&amp;""))</f>
        <v/>
      </c>
      <c r="AG348" s="0" t="str">
        <f aca="false">IF($A348="","",IF(AW348="Y",BW348&amp;"",BI348&amp;""))</f>
        <v/>
      </c>
      <c r="AH348" s="0" t="str">
        <f aca="false">IF($A348="","",IF(AW348="Y",BX348&amp;"",BJ348&amp;""))</f>
        <v/>
      </c>
      <c r="AQ348" s="5"/>
      <c r="AT348" s="0" t="str">
        <f aca="false">IF($A348="","",IF(AND(CN348="pass",AQ348&lt;&gt;"Y",C348&lt;&gt;"",OR(AX348&lt;&gt;"Y",AV348="Y")),"Y","N"))</f>
        <v/>
      </c>
      <c r="AU348" s="0" t="str">
        <f aca="false">IF($A348="","",_xlfn.TEXTJOIN("; ",TRUE(),IF(CN348&lt;&gt;"pass","gated out",""),IF(AQ348="Y","on hold: "&amp;AR348,""),IF(C348="","no contact named on an opened page",""),IF(AND(AX348="Y",AV348&lt;&gt;"Y"),"Tuesday estimate band "&amp;L348&amp;": founder's call","")))</f>
        <v/>
      </c>
      <c r="BC348" s="0" t="str">
        <f aca="false">IF($A348="","",IFERROR(INDEX(Enrichment!$A$2:$GZ$2000,MATCH($A348,INDEX(Enrichment!$A$2:$GZ$2000,0,MATCH("row_id",Enrichment!$A$1:$GZ$1,0)),0),MATCH("work_email",Enrichment!$A$1:$GZ$1,0))&amp;"",""))</f>
        <v/>
      </c>
      <c r="BD348" s="0" t="str">
        <f aca="false">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Q348" s="0" t="str">
        <f aca="false">IF($A348="","",IFERROR(INDEX(Enrichment!$A$2:$GZ$2000,MATCH($A348,INDEX(Enrichment!$A$2:$GZ$2000,0,MATCH("row_id",Enrichment!$A$1:$GZ$1,0)),0),MATCH("backup_work_email",Enrichment!$A$1:$GZ$1,0))&amp;"",""))</f>
        <v/>
      </c>
      <c r="BR348" s="0" t="str">
        <f aca="false">IF($A348="","",IF(BQ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EQ348" s="0" t="str">
        <f aca="false">IF($A348="","",IF(AH348="exact",10,IF(AH348="adjacent",5,0)))</f>
        <v/>
      </c>
      <c r="ER348" s="0" t="str">
        <f aca="false">IF($A348="","",IF(R348="Y",15,0))</f>
        <v/>
      </c>
      <c r="FS348" s="0" t="str">
        <f aca="false">IF($A348="","",IF(ISNUMBER(MATCH(U348,{"queued","contacted","replied","call_booked","call_done","yes_in_principle","materials_sent"},0)),"Y","N"))</f>
        <v/>
      </c>
      <c r="FT348" s="0" t="str">
        <f aca="false">IF($A348="","",IF(OR(T348="Y",U348="do_not_contact",AS348&amp;""&lt;&gt;""),"Y","N"))</f>
        <v/>
      </c>
      <c r="FU348" s="0" t="str">
        <f aca="false">IF($A348="","",IF(AP348&amp;""&lt;&gt;"",AP348&amp;"",$A348))</f>
        <v/>
      </c>
      <c r="FV348" s="0" t="str">
        <f aca="false">IF($A348="","",IF(COUNTIFS($FU$2:$FU$1000,FU348,$FS$2:$FS$1000,"Y")+COUNTIFS($FU$2:$FU$1000,FU348,$FT$2:$FT$1000,"Y")&gt;0,"Y","N"))</f>
        <v/>
      </c>
      <c r="FW348" s="0" t="str">
        <f aca="false">IF($A348="","",IF(AND(U348="new",T348="N",FT348="N",AT348="Y",FV348="N"),"Y","N"))</f>
        <v/>
      </c>
      <c r="FX348" s="0" t="str">
        <f aca="false">IF($A348="","",IF(FW348&lt;&gt;"Y","N",IF(COUNTIFS($FU$2:$FU$1000,FU348,$FW$2:$FW$1000,"Y",$J$2:$J$1000,"&gt;"&amp;J348)+COUNTIFS($FU$2:$FU$1000,FU348,$FW$2:$FW$1000,"Y",$J$2:$J$1000,J348,$GD$2:$GD$1000,"&lt;"&amp;GD348)=0,"Y","N")))</f>
        <v/>
      </c>
      <c r="FY348" s="0" t="str">
        <f aca="false">IF($A348="","",IF(AND(FW348="Y",FX348="Y",Y348&amp;""&lt;&gt;""),IF(Y348&lt;=10,"Y","N"),"N"))</f>
        <v/>
      </c>
      <c r="FZ348" s="0" t="str">
        <f aca="false">IF(FY348="Y",Y348,"")</f>
        <v/>
      </c>
      <c r="GA348" s="0" t="str">
        <f aca="false">IF($A348="","",IF(AND(I348="walk-in",CN348="pass",U348="new",FT348="N",FV348="N",AQ348&lt;&gt;"Y"),"Y","N"))</f>
        <v/>
      </c>
      <c r="GB348" s="0" t="str">
        <f aca="false">IF(GA348&lt;&gt;"Y","",IF(COUNTIFS($GA$2:$GA$1000,"Y",$J$2:$J$1000,"&gt;"&amp;J348)+COUNTIFS($GA$2:$GA$1000,"Y",$J$2:$J$1000,J348,$GD$2:$GD$1000,"&lt;"&amp;GD348)+1&lt;=25,COUNTIFS($GA$2:$GA$1000,"Y",$J$2:$J$1000,"&gt;"&amp;J348)+COUNTIFS($GA$2:$GA$1000,"Y",$J$2:$J$1000,J348,$GD$2:$GD$1000,"&lt;"&amp;GD348)+1,""))</f>
        <v/>
      </c>
      <c r="GC348" s="0" t="str">
        <f aca="false">IF(AND(_xlfn.ISFORMULA(C348),_xlfn.ISFORMULA(J348)),"Y","N")</f>
        <v>Y</v>
      </c>
      <c r="GD348" s="0" t="n">
        <f aca="false">ROW()-1</f>
        <v>347</v>
      </c>
    </row>
    <row r="349" customFormat="false" ht="15" hidden="false" customHeight="false" outlineLevel="0" collapsed="false">
      <c r="C349" s="0" t="str">
        <f aca="false">IF($A349="","",IF(AW349="Y",BM349&amp;"",AY349&amp;""))</f>
        <v/>
      </c>
      <c r="D349" s="0" t="str">
        <f aca="false">IF($A349="","",IF(AW349="Y",BN349&amp;"",AZ349&amp;""))</f>
        <v/>
      </c>
      <c r="E349" s="0" t="str">
        <f aca="false">IF($A349="","",IF(AW349="Y",BO349&amp;"",BA349&amp;""))</f>
        <v/>
      </c>
      <c r="F349" s="0" t="str">
        <f aca="false">IF($A349="","",IF(AW349="Y",BP349&amp;"",BB349&amp;""))</f>
        <v/>
      </c>
      <c r="G349" s="0" t="str">
        <f aca="false">IF($A349="","",IF(AW349="Y",BQ349&amp;"",BC349&amp;""))</f>
        <v/>
      </c>
      <c r="H349" s="0" t="str">
        <f aca="false">IF($A349="","",IF(AW349="Y",BR349&amp;"",BD349&amp;""))</f>
        <v/>
      </c>
      <c r="I349" s="0" t="str">
        <f aca="false">IF($A349="","",IF(R349="Y","warm-intro",IF(H349="verified","email",IF(C349&lt;&gt;"","linkedin",CB349&amp;""))))</f>
        <v/>
      </c>
      <c r="J349" s="0" t="str">
        <f aca="false">IF($A349="","",IF(CN349="pass",ROUND(N(EM349)+N(EN349)+N(EO349)+N(EP349)+N(EQ349)+N(ER349),1),0))</f>
        <v/>
      </c>
      <c r="K349" s="0" t="str">
        <f aca="false">IF($A349="","",IF(CN349&lt;&gt;"pass",CA349&amp;"",CA349&amp;"; "&amp;IF(AW349="Y",BZ349&amp;"",BL349&amp;"")&amp;IF(R349="Y","; known to the founder (+15)","")&amp;"."))</f>
        <v/>
      </c>
      <c r="R349" s="5"/>
      <c r="U349" s="5"/>
      <c r="Y349" s="0" t="str">
        <f aca="false">IF(FX349&lt;&gt;"Y","",COUNTIFS($FX$2:$FX$1000,"Y",$J$2:$J$1000,"&gt;"&amp;J349)+COUNTIFS($FX$2:$FX$1000,"Y",$J$2:$J$1000,J349,$GD$2:$GD$1000,"&lt;"&amp;GD349)+1)</f>
        <v/>
      </c>
      <c r="AB349" s="0" t="str">
        <f aca="false">IF($A349="","",IF(AW349="Y",BY349&amp;"",BK349&amp;""))</f>
        <v/>
      </c>
      <c r="AC349" s="0" t="str">
        <f aca="false">IF($A349="","",IF(AW349="Y",BS349&amp;"",BE349&amp;""))</f>
        <v/>
      </c>
      <c r="AD349" s="0" t="str">
        <f aca="false">IF($A349="","",IF(AW349="Y",BT349&amp;"",BF349&amp;""))</f>
        <v/>
      </c>
      <c r="AE349" s="0" t="str">
        <f aca="false">IF($A349="","",IF(AW349="Y",BU349&amp;"",BG349&amp;""))</f>
        <v/>
      </c>
      <c r="AF349" s="0" t="str">
        <f aca="false">IF($A349="","",IF(AW349="Y",BV349&amp;"",BH349&amp;""))</f>
        <v/>
      </c>
      <c r="AG349" s="0" t="str">
        <f aca="false">IF($A349="","",IF(AW349="Y",BW349&amp;"",BI349&amp;""))</f>
        <v/>
      </c>
      <c r="AH349" s="0" t="str">
        <f aca="false">IF($A349="","",IF(AW349="Y",BX349&amp;"",BJ349&amp;""))</f>
        <v/>
      </c>
      <c r="AQ349" s="5"/>
      <c r="AT349" s="0" t="str">
        <f aca="false">IF($A349="","",IF(AND(CN349="pass",AQ349&lt;&gt;"Y",C349&lt;&gt;"",OR(AX349&lt;&gt;"Y",AV349="Y")),"Y","N"))</f>
        <v/>
      </c>
      <c r="AU349" s="0" t="str">
        <f aca="false">IF($A349="","",_xlfn.TEXTJOIN("; ",TRUE(),IF(CN349&lt;&gt;"pass","gated out",""),IF(AQ349="Y","on hold: "&amp;AR349,""),IF(C349="","no contact named on an opened page",""),IF(AND(AX349="Y",AV349&lt;&gt;"Y"),"Tuesday estimate band "&amp;L349&amp;": founder's call","")))</f>
        <v/>
      </c>
      <c r="BC349" s="0" t="str">
        <f aca="false">IF($A349="","",IFERROR(INDEX(Enrichment!$A$2:$GZ$2000,MATCH($A349,INDEX(Enrichment!$A$2:$GZ$2000,0,MATCH("row_id",Enrichment!$A$1:$GZ$1,0)),0),MATCH("work_email",Enrichment!$A$1:$GZ$1,0))&amp;"",""))</f>
        <v/>
      </c>
      <c r="BD349" s="0" t="str">
        <f aca="false">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Q349" s="0" t="str">
        <f aca="false">IF($A349="","",IFERROR(INDEX(Enrichment!$A$2:$GZ$2000,MATCH($A349,INDEX(Enrichment!$A$2:$GZ$2000,0,MATCH("row_id",Enrichment!$A$1:$GZ$1,0)),0),MATCH("backup_work_email",Enrichment!$A$1:$GZ$1,0))&amp;"",""))</f>
        <v/>
      </c>
      <c r="BR349" s="0" t="str">
        <f aca="false">IF($A349="","",IF(BQ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EQ349" s="0" t="str">
        <f aca="false">IF($A349="","",IF(AH349="exact",10,IF(AH349="adjacent",5,0)))</f>
        <v/>
      </c>
      <c r="ER349" s="0" t="str">
        <f aca="false">IF($A349="","",IF(R349="Y",15,0))</f>
        <v/>
      </c>
      <c r="FS349" s="0" t="str">
        <f aca="false">IF($A349="","",IF(ISNUMBER(MATCH(U349,{"queued","contacted","replied","call_booked","call_done","yes_in_principle","materials_sent"},0)),"Y","N"))</f>
        <v/>
      </c>
      <c r="FT349" s="0" t="str">
        <f aca="false">IF($A349="","",IF(OR(T349="Y",U349="do_not_contact",AS349&amp;""&lt;&gt;""),"Y","N"))</f>
        <v/>
      </c>
      <c r="FU349" s="0" t="str">
        <f aca="false">IF($A349="","",IF(AP349&amp;""&lt;&gt;"",AP349&amp;"",$A349))</f>
        <v/>
      </c>
      <c r="FV349" s="0" t="str">
        <f aca="false">IF($A349="","",IF(COUNTIFS($FU$2:$FU$1000,FU349,$FS$2:$FS$1000,"Y")+COUNTIFS($FU$2:$FU$1000,FU349,$FT$2:$FT$1000,"Y")&gt;0,"Y","N"))</f>
        <v/>
      </c>
      <c r="FW349" s="0" t="str">
        <f aca="false">IF($A349="","",IF(AND(U349="new",T349="N",FT349="N",AT349="Y",FV349="N"),"Y","N"))</f>
        <v/>
      </c>
      <c r="FX349" s="0" t="str">
        <f aca="false">IF($A349="","",IF(FW349&lt;&gt;"Y","N",IF(COUNTIFS($FU$2:$FU$1000,FU349,$FW$2:$FW$1000,"Y",$J$2:$J$1000,"&gt;"&amp;J349)+COUNTIFS($FU$2:$FU$1000,FU349,$FW$2:$FW$1000,"Y",$J$2:$J$1000,J349,$GD$2:$GD$1000,"&lt;"&amp;GD349)=0,"Y","N")))</f>
        <v/>
      </c>
      <c r="FY349" s="0" t="str">
        <f aca="false">IF($A349="","",IF(AND(FW349="Y",FX349="Y",Y349&amp;""&lt;&gt;""),IF(Y349&lt;=10,"Y","N"),"N"))</f>
        <v/>
      </c>
      <c r="FZ349" s="0" t="str">
        <f aca="false">IF(FY349="Y",Y349,"")</f>
        <v/>
      </c>
      <c r="GA349" s="0" t="str">
        <f aca="false">IF($A349="","",IF(AND(I349="walk-in",CN349="pass",U349="new",FT349="N",FV349="N",AQ349&lt;&gt;"Y"),"Y","N"))</f>
        <v/>
      </c>
      <c r="GB349" s="0" t="str">
        <f aca="false">IF(GA349&lt;&gt;"Y","",IF(COUNTIFS($GA$2:$GA$1000,"Y",$J$2:$J$1000,"&gt;"&amp;J349)+COUNTIFS($GA$2:$GA$1000,"Y",$J$2:$J$1000,J349,$GD$2:$GD$1000,"&lt;"&amp;GD349)+1&lt;=25,COUNTIFS($GA$2:$GA$1000,"Y",$J$2:$J$1000,"&gt;"&amp;J349)+COUNTIFS($GA$2:$GA$1000,"Y",$J$2:$J$1000,J349,$GD$2:$GD$1000,"&lt;"&amp;GD349)+1,""))</f>
        <v/>
      </c>
      <c r="GC349" s="0" t="str">
        <f aca="false">IF(AND(_xlfn.ISFORMULA(C349),_xlfn.ISFORMULA(J349)),"Y","N")</f>
        <v>Y</v>
      </c>
      <c r="GD349" s="0" t="n">
        <f aca="false">ROW()-1</f>
        <v>348</v>
      </c>
    </row>
    <row r="350" customFormat="false" ht="15" hidden="false" customHeight="false" outlineLevel="0" collapsed="false">
      <c r="C350" s="0" t="str">
        <f aca="false">IF($A350="","",IF(AW350="Y",BM350&amp;"",AY350&amp;""))</f>
        <v/>
      </c>
      <c r="D350" s="0" t="str">
        <f aca="false">IF($A350="","",IF(AW350="Y",BN350&amp;"",AZ350&amp;""))</f>
        <v/>
      </c>
      <c r="E350" s="0" t="str">
        <f aca="false">IF($A350="","",IF(AW350="Y",BO350&amp;"",BA350&amp;""))</f>
        <v/>
      </c>
      <c r="F350" s="0" t="str">
        <f aca="false">IF($A350="","",IF(AW350="Y",BP350&amp;"",BB350&amp;""))</f>
        <v/>
      </c>
      <c r="G350" s="0" t="str">
        <f aca="false">IF($A350="","",IF(AW350="Y",BQ350&amp;"",BC350&amp;""))</f>
        <v/>
      </c>
      <c r="H350" s="0" t="str">
        <f aca="false">IF($A350="","",IF(AW350="Y",BR350&amp;"",BD350&amp;""))</f>
        <v/>
      </c>
      <c r="I350" s="0" t="str">
        <f aca="false">IF($A350="","",IF(R350="Y","warm-intro",IF(H350="verified","email",IF(C350&lt;&gt;"","linkedin",CB350&amp;""))))</f>
        <v/>
      </c>
      <c r="J350" s="0" t="str">
        <f aca="false">IF($A350="","",IF(CN350="pass",ROUND(N(EM350)+N(EN350)+N(EO350)+N(EP350)+N(EQ350)+N(ER350),1),0))</f>
        <v/>
      </c>
      <c r="K350" s="0" t="str">
        <f aca="false">IF($A350="","",IF(CN350&lt;&gt;"pass",CA350&amp;"",CA350&amp;"; "&amp;IF(AW350="Y",BZ350&amp;"",BL350&amp;"")&amp;IF(R350="Y","; known to the founder (+15)","")&amp;"."))</f>
        <v/>
      </c>
      <c r="R350" s="5"/>
      <c r="U350" s="5"/>
      <c r="Y350" s="0" t="str">
        <f aca="false">IF(FX350&lt;&gt;"Y","",COUNTIFS($FX$2:$FX$1000,"Y",$J$2:$J$1000,"&gt;"&amp;J350)+COUNTIFS($FX$2:$FX$1000,"Y",$J$2:$J$1000,J350,$GD$2:$GD$1000,"&lt;"&amp;GD350)+1)</f>
        <v/>
      </c>
      <c r="AB350" s="0" t="str">
        <f aca="false">IF($A350="","",IF(AW350="Y",BY350&amp;"",BK350&amp;""))</f>
        <v/>
      </c>
      <c r="AC350" s="0" t="str">
        <f aca="false">IF($A350="","",IF(AW350="Y",BS350&amp;"",BE350&amp;""))</f>
        <v/>
      </c>
      <c r="AD350" s="0" t="str">
        <f aca="false">IF($A350="","",IF(AW350="Y",BT350&amp;"",BF350&amp;""))</f>
        <v/>
      </c>
      <c r="AE350" s="0" t="str">
        <f aca="false">IF($A350="","",IF(AW350="Y",BU350&amp;"",BG350&amp;""))</f>
        <v/>
      </c>
      <c r="AF350" s="0" t="str">
        <f aca="false">IF($A350="","",IF(AW350="Y",BV350&amp;"",BH350&amp;""))</f>
        <v/>
      </c>
      <c r="AG350" s="0" t="str">
        <f aca="false">IF($A350="","",IF(AW350="Y",BW350&amp;"",BI350&amp;""))</f>
        <v/>
      </c>
      <c r="AH350" s="0" t="str">
        <f aca="false">IF($A350="","",IF(AW350="Y",BX350&amp;"",BJ350&amp;""))</f>
        <v/>
      </c>
      <c r="AQ350" s="5"/>
      <c r="AT350" s="0" t="str">
        <f aca="false">IF($A350="","",IF(AND(CN350="pass",AQ350&lt;&gt;"Y",C350&lt;&gt;"",OR(AX350&lt;&gt;"Y",AV350="Y")),"Y","N"))</f>
        <v/>
      </c>
      <c r="AU350" s="0" t="str">
        <f aca="false">IF($A350="","",_xlfn.TEXTJOIN("; ",TRUE(),IF(CN350&lt;&gt;"pass","gated out",""),IF(AQ350="Y","on hold: "&amp;AR350,""),IF(C350="","no contact named on an opened page",""),IF(AND(AX350="Y",AV350&lt;&gt;"Y"),"Tuesday estimate band "&amp;L350&amp;": founder's call","")))</f>
        <v/>
      </c>
      <c r="BC350" s="0" t="str">
        <f aca="false">IF($A350="","",IFERROR(INDEX(Enrichment!$A$2:$GZ$2000,MATCH($A350,INDEX(Enrichment!$A$2:$GZ$2000,0,MATCH("row_id",Enrichment!$A$1:$GZ$1,0)),0),MATCH("work_email",Enrichment!$A$1:$GZ$1,0))&amp;"",""))</f>
        <v/>
      </c>
      <c r="BD350" s="0" t="str">
        <f aca="false">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Q350" s="0" t="str">
        <f aca="false">IF($A350="","",IFERROR(INDEX(Enrichment!$A$2:$GZ$2000,MATCH($A350,INDEX(Enrichment!$A$2:$GZ$2000,0,MATCH("row_id",Enrichment!$A$1:$GZ$1,0)),0),MATCH("backup_work_email",Enrichment!$A$1:$GZ$1,0))&amp;"",""))</f>
        <v/>
      </c>
      <c r="BR350" s="0" t="str">
        <f aca="false">IF($A350="","",IF(BQ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EQ350" s="0" t="str">
        <f aca="false">IF($A350="","",IF(AH350="exact",10,IF(AH350="adjacent",5,0)))</f>
        <v/>
      </c>
      <c r="ER350" s="0" t="str">
        <f aca="false">IF($A350="","",IF(R350="Y",15,0))</f>
        <v/>
      </c>
      <c r="FS350" s="0" t="str">
        <f aca="false">IF($A350="","",IF(ISNUMBER(MATCH(U350,{"queued","contacted","replied","call_booked","call_done","yes_in_principle","materials_sent"},0)),"Y","N"))</f>
        <v/>
      </c>
      <c r="FT350" s="0" t="str">
        <f aca="false">IF($A350="","",IF(OR(T350="Y",U350="do_not_contact",AS350&amp;""&lt;&gt;""),"Y","N"))</f>
        <v/>
      </c>
      <c r="FU350" s="0" t="str">
        <f aca="false">IF($A350="","",IF(AP350&amp;""&lt;&gt;"",AP350&amp;"",$A350))</f>
        <v/>
      </c>
      <c r="FV350" s="0" t="str">
        <f aca="false">IF($A350="","",IF(COUNTIFS($FU$2:$FU$1000,FU350,$FS$2:$FS$1000,"Y")+COUNTIFS($FU$2:$FU$1000,FU350,$FT$2:$FT$1000,"Y")&gt;0,"Y","N"))</f>
        <v/>
      </c>
      <c r="FW350" s="0" t="str">
        <f aca="false">IF($A350="","",IF(AND(U350="new",T350="N",FT350="N",AT350="Y",FV350="N"),"Y","N"))</f>
        <v/>
      </c>
      <c r="FX350" s="0" t="str">
        <f aca="false">IF($A350="","",IF(FW350&lt;&gt;"Y","N",IF(COUNTIFS($FU$2:$FU$1000,FU350,$FW$2:$FW$1000,"Y",$J$2:$J$1000,"&gt;"&amp;J350)+COUNTIFS($FU$2:$FU$1000,FU350,$FW$2:$FW$1000,"Y",$J$2:$J$1000,J350,$GD$2:$GD$1000,"&lt;"&amp;GD350)=0,"Y","N")))</f>
        <v/>
      </c>
      <c r="FY350" s="0" t="str">
        <f aca="false">IF($A350="","",IF(AND(FW350="Y",FX350="Y",Y350&amp;""&lt;&gt;""),IF(Y350&lt;=10,"Y","N"),"N"))</f>
        <v/>
      </c>
      <c r="FZ350" s="0" t="str">
        <f aca="false">IF(FY350="Y",Y350,"")</f>
        <v/>
      </c>
      <c r="GA350" s="0" t="str">
        <f aca="false">IF($A350="","",IF(AND(I350="walk-in",CN350="pass",U350="new",FT350="N",FV350="N",AQ350&lt;&gt;"Y"),"Y","N"))</f>
        <v/>
      </c>
      <c r="GB350" s="0" t="str">
        <f aca="false">IF(GA350&lt;&gt;"Y","",IF(COUNTIFS($GA$2:$GA$1000,"Y",$J$2:$J$1000,"&gt;"&amp;J350)+COUNTIFS($GA$2:$GA$1000,"Y",$J$2:$J$1000,J350,$GD$2:$GD$1000,"&lt;"&amp;GD350)+1&lt;=25,COUNTIFS($GA$2:$GA$1000,"Y",$J$2:$J$1000,"&gt;"&amp;J350)+COUNTIFS($GA$2:$GA$1000,"Y",$J$2:$J$1000,J350,$GD$2:$GD$1000,"&lt;"&amp;GD350)+1,""))</f>
        <v/>
      </c>
      <c r="GC350" s="0" t="str">
        <f aca="false">IF(AND(_xlfn.ISFORMULA(C350),_xlfn.ISFORMULA(J350)),"Y","N")</f>
        <v>Y</v>
      </c>
      <c r="GD350" s="0" t="n">
        <f aca="false">ROW()-1</f>
        <v>349</v>
      </c>
    </row>
    <row r="351" customFormat="false" ht="15" hidden="false" customHeight="false" outlineLevel="0" collapsed="false">
      <c r="C351" s="0" t="str">
        <f aca="false">IF($A351="","",IF(AW351="Y",BM351&amp;"",AY351&amp;""))</f>
        <v/>
      </c>
      <c r="D351" s="0" t="str">
        <f aca="false">IF($A351="","",IF(AW351="Y",BN351&amp;"",AZ351&amp;""))</f>
        <v/>
      </c>
      <c r="E351" s="0" t="str">
        <f aca="false">IF($A351="","",IF(AW351="Y",BO351&amp;"",BA351&amp;""))</f>
        <v/>
      </c>
      <c r="F351" s="0" t="str">
        <f aca="false">IF($A351="","",IF(AW351="Y",BP351&amp;"",BB351&amp;""))</f>
        <v/>
      </c>
      <c r="G351" s="0" t="str">
        <f aca="false">IF($A351="","",IF(AW351="Y",BQ351&amp;"",BC351&amp;""))</f>
        <v/>
      </c>
      <c r="H351" s="0" t="str">
        <f aca="false">IF($A351="","",IF(AW351="Y",BR351&amp;"",BD351&amp;""))</f>
        <v/>
      </c>
      <c r="I351" s="0" t="str">
        <f aca="false">IF($A351="","",IF(R351="Y","warm-intro",IF(H351="verified","email",IF(C351&lt;&gt;"","linkedin",CB351&amp;""))))</f>
        <v/>
      </c>
      <c r="J351" s="0" t="str">
        <f aca="false">IF($A351="","",IF(CN351="pass",ROUND(N(EM351)+N(EN351)+N(EO351)+N(EP351)+N(EQ351)+N(ER351),1),0))</f>
        <v/>
      </c>
      <c r="K351" s="0" t="str">
        <f aca="false">IF($A351="","",IF(CN351&lt;&gt;"pass",CA351&amp;"",CA351&amp;"; "&amp;IF(AW351="Y",BZ351&amp;"",BL351&amp;"")&amp;IF(R351="Y","; known to the founder (+15)","")&amp;"."))</f>
        <v/>
      </c>
      <c r="R351" s="5"/>
      <c r="U351" s="5"/>
      <c r="Y351" s="0" t="str">
        <f aca="false">IF(FX351&lt;&gt;"Y","",COUNTIFS($FX$2:$FX$1000,"Y",$J$2:$J$1000,"&gt;"&amp;J351)+COUNTIFS($FX$2:$FX$1000,"Y",$J$2:$J$1000,J351,$GD$2:$GD$1000,"&lt;"&amp;GD351)+1)</f>
        <v/>
      </c>
      <c r="AB351" s="0" t="str">
        <f aca="false">IF($A351="","",IF(AW351="Y",BY351&amp;"",BK351&amp;""))</f>
        <v/>
      </c>
      <c r="AC351" s="0" t="str">
        <f aca="false">IF($A351="","",IF(AW351="Y",BS351&amp;"",BE351&amp;""))</f>
        <v/>
      </c>
      <c r="AD351" s="0" t="str">
        <f aca="false">IF($A351="","",IF(AW351="Y",BT351&amp;"",BF351&amp;""))</f>
        <v/>
      </c>
      <c r="AE351" s="0" t="str">
        <f aca="false">IF($A351="","",IF(AW351="Y",BU351&amp;"",BG351&amp;""))</f>
        <v/>
      </c>
      <c r="AF351" s="0" t="str">
        <f aca="false">IF($A351="","",IF(AW351="Y",BV351&amp;"",BH351&amp;""))</f>
        <v/>
      </c>
      <c r="AG351" s="0" t="str">
        <f aca="false">IF($A351="","",IF(AW351="Y",BW351&amp;"",BI351&amp;""))</f>
        <v/>
      </c>
      <c r="AH351" s="0" t="str">
        <f aca="false">IF($A351="","",IF(AW351="Y",BX351&amp;"",BJ351&amp;""))</f>
        <v/>
      </c>
      <c r="AQ351" s="5"/>
      <c r="AT351" s="0" t="str">
        <f aca="false">IF($A351="","",IF(AND(CN351="pass",AQ351&lt;&gt;"Y",C351&lt;&gt;"",OR(AX351&lt;&gt;"Y",AV351="Y")),"Y","N"))</f>
        <v/>
      </c>
      <c r="AU351" s="0" t="str">
        <f aca="false">IF($A351="","",_xlfn.TEXTJOIN("; ",TRUE(),IF(CN351&lt;&gt;"pass","gated out",""),IF(AQ351="Y","on hold: "&amp;AR351,""),IF(C351="","no contact named on an opened page",""),IF(AND(AX351="Y",AV351&lt;&gt;"Y"),"Tuesday estimate band "&amp;L351&amp;": founder's call","")))</f>
        <v/>
      </c>
      <c r="BC351" s="0" t="str">
        <f aca="false">IF($A351="","",IFERROR(INDEX(Enrichment!$A$2:$GZ$2000,MATCH($A351,INDEX(Enrichment!$A$2:$GZ$2000,0,MATCH("row_id",Enrichment!$A$1:$GZ$1,0)),0),MATCH("work_email",Enrichment!$A$1:$GZ$1,0))&amp;"",""))</f>
        <v/>
      </c>
      <c r="BD351" s="0" t="str">
        <f aca="false">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Q351" s="0" t="str">
        <f aca="false">IF($A351="","",IFERROR(INDEX(Enrichment!$A$2:$GZ$2000,MATCH($A351,INDEX(Enrichment!$A$2:$GZ$2000,0,MATCH("row_id",Enrichment!$A$1:$GZ$1,0)),0),MATCH("backup_work_email",Enrichment!$A$1:$GZ$1,0))&amp;"",""))</f>
        <v/>
      </c>
      <c r="BR351" s="0" t="str">
        <f aca="false">IF($A351="","",IF(BQ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EQ351" s="0" t="str">
        <f aca="false">IF($A351="","",IF(AH351="exact",10,IF(AH351="adjacent",5,0)))</f>
        <v/>
      </c>
      <c r="ER351" s="0" t="str">
        <f aca="false">IF($A351="","",IF(R351="Y",15,0))</f>
        <v/>
      </c>
      <c r="FS351" s="0" t="str">
        <f aca="false">IF($A351="","",IF(ISNUMBER(MATCH(U351,{"queued","contacted","replied","call_booked","call_done","yes_in_principle","materials_sent"},0)),"Y","N"))</f>
        <v/>
      </c>
      <c r="FT351" s="0" t="str">
        <f aca="false">IF($A351="","",IF(OR(T351="Y",U351="do_not_contact",AS351&amp;""&lt;&gt;""),"Y","N"))</f>
        <v/>
      </c>
      <c r="FU351" s="0" t="str">
        <f aca="false">IF($A351="","",IF(AP351&amp;""&lt;&gt;"",AP351&amp;"",$A351))</f>
        <v/>
      </c>
      <c r="FV351" s="0" t="str">
        <f aca="false">IF($A351="","",IF(COUNTIFS($FU$2:$FU$1000,FU351,$FS$2:$FS$1000,"Y")+COUNTIFS($FU$2:$FU$1000,FU351,$FT$2:$FT$1000,"Y")&gt;0,"Y","N"))</f>
        <v/>
      </c>
      <c r="FW351" s="0" t="str">
        <f aca="false">IF($A351="","",IF(AND(U351="new",T351="N",FT351="N",AT351="Y",FV351="N"),"Y","N"))</f>
        <v/>
      </c>
      <c r="FX351" s="0" t="str">
        <f aca="false">IF($A351="","",IF(FW351&lt;&gt;"Y","N",IF(COUNTIFS($FU$2:$FU$1000,FU351,$FW$2:$FW$1000,"Y",$J$2:$J$1000,"&gt;"&amp;J351)+COUNTIFS($FU$2:$FU$1000,FU351,$FW$2:$FW$1000,"Y",$J$2:$J$1000,J351,$GD$2:$GD$1000,"&lt;"&amp;GD351)=0,"Y","N")))</f>
        <v/>
      </c>
      <c r="FY351" s="0" t="str">
        <f aca="false">IF($A351="","",IF(AND(FW351="Y",FX351="Y",Y351&amp;""&lt;&gt;""),IF(Y351&lt;=10,"Y","N"),"N"))</f>
        <v/>
      </c>
      <c r="FZ351" s="0" t="str">
        <f aca="false">IF(FY351="Y",Y351,"")</f>
        <v/>
      </c>
      <c r="GA351" s="0" t="str">
        <f aca="false">IF($A351="","",IF(AND(I351="walk-in",CN351="pass",U351="new",FT351="N",FV351="N",AQ351&lt;&gt;"Y"),"Y","N"))</f>
        <v/>
      </c>
      <c r="GB351" s="0" t="str">
        <f aca="false">IF(GA351&lt;&gt;"Y","",IF(COUNTIFS($GA$2:$GA$1000,"Y",$J$2:$J$1000,"&gt;"&amp;J351)+COUNTIFS($GA$2:$GA$1000,"Y",$J$2:$J$1000,J351,$GD$2:$GD$1000,"&lt;"&amp;GD351)+1&lt;=25,COUNTIFS($GA$2:$GA$1000,"Y",$J$2:$J$1000,"&gt;"&amp;J351)+COUNTIFS($GA$2:$GA$1000,"Y",$J$2:$J$1000,J351,$GD$2:$GD$1000,"&lt;"&amp;GD351)+1,""))</f>
        <v/>
      </c>
      <c r="GC351" s="0" t="str">
        <f aca="false">IF(AND(_xlfn.ISFORMULA(C351),_xlfn.ISFORMULA(J351)),"Y","N")</f>
        <v>Y</v>
      </c>
      <c r="GD351" s="0" t="n">
        <f aca="false">ROW()-1</f>
        <v>350</v>
      </c>
    </row>
    <row r="352" customFormat="false" ht="15" hidden="false" customHeight="false" outlineLevel="0" collapsed="false">
      <c r="C352" s="0" t="str">
        <f aca="false">IF($A352="","",IF(AW352="Y",BM352&amp;"",AY352&amp;""))</f>
        <v/>
      </c>
      <c r="D352" s="0" t="str">
        <f aca="false">IF($A352="","",IF(AW352="Y",BN352&amp;"",AZ352&amp;""))</f>
        <v/>
      </c>
      <c r="E352" s="0" t="str">
        <f aca="false">IF($A352="","",IF(AW352="Y",BO352&amp;"",BA352&amp;""))</f>
        <v/>
      </c>
      <c r="F352" s="0" t="str">
        <f aca="false">IF($A352="","",IF(AW352="Y",BP352&amp;"",BB352&amp;""))</f>
        <v/>
      </c>
      <c r="G352" s="0" t="str">
        <f aca="false">IF($A352="","",IF(AW352="Y",BQ352&amp;"",BC352&amp;""))</f>
        <v/>
      </c>
      <c r="H352" s="0" t="str">
        <f aca="false">IF($A352="","",IF(AW352="Y",BR352&amp;"",BD352&amp;""))</f>
        <v/>
      </c>
      <c r="I352" s="0" t="str">
        <f aca="false">IF($A352="","",IF(R352="Y","warm-intro",IF(H352="verified","email",IF(C352&lt;&gt;"","linkedin",CB352&amp;""))))</f>
        <v/>
      </c>
      <c r="J352" s="0" t="str">
        <f aca="false">IF($A352="","",IF(CN352="pass",ROUND(N(EM352)+N(EN352)+N(EO352)+N(EP352)+N(EQ352)+N(ER352),1),0))</f>
        <v/>
      </c>
      <c r="K352" s="0" t="str">
        <f aca="false">IF($A352="","",IF(CN352&lt;&gt;"pass",CA352&amp;"",CA352&amp;"; "&amp;IF(AW352="Y",BZ352&amp;"",BL352&amp;"")&amp;IF(R352="Y","; known to the founder (+15)","")&amp;"."))</f>
        <v/>
      </c>
      <c r="R352" s="5"/>
      <c r="U352" s="5"/>
      <c r="Y352" s="0" t="str">
        <f aca="false">IF(FX352&lt;&gt;"Y","",COUNTIFS($FX$2:$FX$1000,"Y",$J$2:$J$1000,"&gt;"&amp;J352)+COUNTIFS($FX$2:$FX$1000,"Y",$J$2:$J$1000,J352,$GD$2:$GD$1000,"&lt;"&amp;GD352)+1)</f>
        <v/>
      </c>
      <c r="AB352" s="0" t="str">
        <f aca="false">IF($A352="","",IF(AW352="Y",BY352&amp;"",BK352&amp;""))</f>
        <v/>
      </c>
      <c r="AC352" s="0" t="str">
        <f aca="false">IF($A352="","",IF(AW352="Y",BS352&amp;"",BE352&amp;""))</f>
        <v/>
      </c>
      <c r="AD352" s="0" t="str">
        <f aca="false">IF($A352="","",IF(AW352="Y",BT352&amp;"",BF352&amp;""))</f>
        <v/>
      </c>
      <c r="AE352" s="0" t="str">
        <f aca="false">IF($A352="","",IF(AW352="Y",BU352&amp;"",BG352&amp;""))</f>
        <v/>
      </c>
      <c r="AF352" s="0" t="str">
        <f aca="false">IF($A352="","",IF(AW352="Y",BV352&amp;"",BH352&amp;""))</f>
        <v/>
      </c>
      <c r="AG352" s="0" t="str">
        <f aca="false">IF($A352="","",IF(AW352="Y",BW352&amp;"",BI352&amp;""))</f>
        <v/>
      </c>
      <c r="AH352" s="0" t="str">
        <f aca="false">IF($A352="","",IF(AW352="Y",BX352&amp;"",BJ352&amp;""))</f>
        <v/>
      </c>
      <c r="AQ352" s="5"/>
      <c r="AT352" s="0" t="str">
        <f aca="false">IF($A352="","",IF(AND(CN352="pass",AQ352&lt;&gt;"Y",C352&lt;&gt;"",OR(AX352&lt;&gt;"Y",AV352="Y")),"Y","N"))</f>
        <v/>
      </c>
      <c r="AU352" s="0" t="str">
        <f aca="false">IF($A352="","",_xlfn.TEXTJOIN("; ",TRUE(),IF(CN352&lt;&gt;"pass","gated out",""),IF(AQ352="Y","on hold: "&amp;AR352,""),IF(C352="","no contact named on an opened page",""),IF(AND(AX352="Y",AV352&lt;&gt;"Y"),"Tuesday estimate band "&amp;L352&amp;": founder's call","")))</f>
        <v/>
      </c>
      <c r="BC352" s="0" t="str">
        <f aca="false">IF($A352="","",IFERROR(INDEX(Enrichment!$A$2:$GZ$2000,MATCH($A352,INDEX(Enrichment!$A$2:$GZ$2000,0,MATCH("row_id",Enrichment!$A$1:$GZ$1,0)),0),MATCH("work_email",Enrichment!$A$1:$GZ$1,0))&amp;"",""))</f>
        <v/>
      </c>
      <c r="BD352" s="0" t="str">
        <f aca="false">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Q352" s="0" t="str">
        <f aca="false">IF($A352="","",IFERROR(INDEX(Enrichment!$A$2:$GZ$2000,MATCH($A352,INDEX(Enrichment!$A$2:$GZ$2000,0,MATCH("row_id",Enrichment!$A$1:$GZ$1,0)),0),MATCH("backup_work_email",Enrichment!$A$1:$GZ$1,0))&amp;"",""))</f>
        <v/>
      </c>
      <c r="BR352" s="0" t="str">
        <f aca="false">IF($A352="","",IF(BQ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EQ352" s="0" t="str">
        <f aca="false">IF($A352="","",IF(AH352="exact",10,IF(AH352="adjacent",5,0)))</f>
        <v/>
      </c>
      <c r="ER352" s="0" t="str">
        <f aca="false">IF($A352="","",IF(R352="Y",15,0))</f>
        <v/>
      </c>
      <c r="FS352" s="0" t="str">
        <f aca="false">IF($A352="","",IF(ISNUMBER(MATCH(U352,{"queued","contacted","replied","call_booked","call_done","yes_in_principle","materials_sent"},0)),"Y","N"))</f>
        <v/>
      </c>
      <c r="FT352" s="0" t="str">
        <f aca="false">IF($A352="","",IF(OR(T352="Y",U352="do_not_contact",AS352&amp;""&lt;&gt;""),"Y","N"))</f>
        <v/>
      </c>
      <c r="FU352" s="0" t="str">
        <f aca="false">IF($A352="","",IF(AP352&amp;""&lt;&gt;"",AP352&amp;"",$A352))</f>
        <v/>
      </c>
      <c r="FV352" s="0" t="str">
        <f aca="false">IF($A352="","",IF(COUNTIFS($FU$2:$FU$1000,FU352,$FS$2:$FS$1000,"Y")+COUNTIFS($FU$2:$FU$1000,FU352,$FT$2:$FT$1000,"Y")&gt;0,"Y","N"))</f>
        <v/>
      </c>
      <c r="FW352" s="0" t="str">
        <f aca="false">IF($A352="","",IF(AND(U352="new",T352="N",FT352="N",AT352="Y",FV352="N"),"Y","N"))</f>
        <v/>
      </c>
      <c r="FX352" s="0" t="str">
        <f aca="false">IF($A352="","",IF(FW352&lt;&gt;"Y","N",IF(COUNTIFS($FU$2:$FU$1000,FU352,$FW$2:$FW$1000,"Y",$J$2:$J$1000,"&gt;"&amp;J352)+COUNTIFS($FU$2:$FU$1000,FU352,$FW$2:$FW$1000,"Y",$J$2:$J$1000,J352,$GD$2:$GD$1000,"&lt;"&amp;GD352)=0,"Y","N")))</f>
        <v/>
      </c>
      <c r="FY352" s="0" t="str">
        <f aca="false">IF($A352="","",IF(AND(FW352="Y",FX352="Y",Y352&amp;""&lt;&gt;""),IF(Y352&lt;=10,"Y","N"),"N"))</f>
        <v/>
      </c>
      <c r="FZ352" s="0" t="str">
        <f aca="false">IF(FY352="Y",Y352,"")</f>
        <v/>
      </c>
      <c r="GA352" s="0" t="str">
        <f aca="false">IF($A352="","",IF(AND(I352="walk-in",CN352="pass",U352="new",FT352="N",FV352="N",AQ352&lt;&gt;"Y"),"Y","N"))</f>
        <v/>
      </c>
      <c r="GB352" s="0" t="str">
        <f aca="false">IF(GA352&lt;&gt;"Y","",IF(COUNTIFS($GA$2:$GA$1000,"Y",$J$2:$J$1000,"&gt;"&amp;J352)+COUNTIFS($GA$2:$GA$1000,"Y",$J$2:$J$1000,J352,$GD$2:$GD$1000,"&lt;"&amp;GD352)+1&lt;=25,COUNTIFS($GA$2:$GA$1000,"Y",$J$2:$J$1000,"&gt;"&amp;J352)+COUNTIFS($GA$2:$GA$1000,"Y",$J$2:$J$1000,J352,$GD$2:$GD$1000,"&lt;"&amp;GD352)+1,""))</f>
        <v/>
      </c>
      <c r="GC352" s="0" t="str">
        <f aca="false">IF(AND(_xlfn.ISFORMULA(C352),_xlfn.ISFORMULA(J352)),"Y","N")</f>
        <v>Y</v>
      </c>
      <c r="GD352" s="0" t="n">
        <f aca="false">ROW()-1</f>
        <v>351</v>
      </c>
    </row>
    <row r="353" customFormat="false" ht="15" hidden="false" customHeight="false" outlineLevel="0" collapsed="false">
      <c r="C353" s="0" t="str">
        <f aca="false">IF($A353="","",IF(AW353="Y",BM353&amp;"",AY353&amp;""))</f>
        <v/>
      </c>
      <c r="D353" s="0" t="str">
        <f aca="false">IF($A353="","",IF(AW353="Y",BN353&amp;"",AZ353&amp;""))</f>
        <v/>
      </c>
      <c r="E353" s="0" t="str">
        <f aca="false">IF($A353="","",IF(AW353="Y",BO353&amp;"",BA353&amp;""))</f>
        <v/>
      </c>
      <c r="F353" s="0" t="str">
        <f aca="false">IF($A353="","",IF(AW353="Y",BP353&amp;"",BB353&amp;""))</f>
        <v/>
      </c>
      <c r="G353" s="0" t="str">
        <f aca="false">IF($A353="","",IF(AW353="Y",BQ353&amp;"",BC353&amp;""))</f>
        <v/>
      </c>
      <c r="H353" s="0" t="str">
        <f aca="false">IF($A353="","",IF(AW353="Y",BR353&amp;"",BD353&amp;""))</f>
        <v/>
      </c>
      <c r="I353" s="0" t="str">
        <f aca="false">IF($A353="","",IF(R353="Y","warm-intro",IF(H353="verified","email",IF(C353&lt;&gt;"","linkedin",CB353&amp;""))))</f>
        <v/>
      </c>
      <c r="J353" s="0" t="str">
        <f aca="false">IF($A353="","",IF(CN353="pass",ROUND(N(EM353)+N(EN353)+N(EO353)+N(EP353)+N(EQ353)+N(ER353),1),0))</f>
        <v/>
      </c>
      <c r="K353" s="0" t="str">
        <f aca="false">IF($A353="","",IF(CN353&lt;&gt;"pass",CA353&amp;"",CA353&amp;"; "&amp;IF(AW353="Y",BZ353&amp;"",BL353&amp;"")&amp;IF(R353="Y","; known to the founder (+15)","")&amp;"."))</f>
        <v/>
      </c>
      <c r="R353" s="5"/>
      <c r="U353" s="5"/>
      <c r="Y353" s="0" t="str">
        <f aca="false">IF(FX353&lt;&gt;"Y","",COUNTIFS($FX$2:$FX$1000,"Y",$J$2:$J$1000,"&gt;"&amp;J353)+COUNTIFS($FX$2:$FX$1000,"Y",$J$2:$J$1000,J353,$GD$2:$GD$1000,"&lt;"&amp;GD353)+1)</f>
        <v/>
      </c>
      <c r="AB353" s="0" t="str">
        <f aca="false">IF($A353="","",IF(AW353="Y",BY353&amp;"",BK353&amp;""))</f>
        <v/>
      </c>
      <c r="AC353" s="0" t="str">
        <f aca="false">IF($A353="","",IF(AW353="Y",BS353&amp;"",BE353&amp;""))</f>
        <v/>
      </c>
      <c r="AD353" s="0" t="str">
        <f aca="false">IF($A353="","",IF(AW353="Y",BT353&amp;"",BF353&amp;""))</f>
        <v/>
      </c>
      <c r="AE353" s="0" t="str">
        <f aca="false">IF($A353="","",IF(AW353="Y",BU353&amp;"",BG353&amp;""))</f>
        <v/>
      </c>
      <c r="AF353" s="0" t="str">
        <f aca="false">IF($A353="","",IF(AW353="Y",BV353&amp;"",BH353&amp;""))</f>
        <v/>
      </c>
      <c r="AG353" s="0" t="str">
        <f aca="false">IF($A353="","",IF(AW353="Y",BW353&amp;"",BI353&amp;""))</f>
        <v/>
      </c>
      <c r="AH353" s="0" t="str">
        <f aca="false">IF($A353="","",IF(AW353="Y",BX353&amp;"",BJ353&amp;""))</f>
        <v/>
      </c>
      <c r="AQ353" s="5"/>
      <c r="AT353" s="0" t="str">
        <f aca="false">IF($A353="","",IF(AND(CN353="pass",AQ353&lt;&gt;"Y",C353&lt;&gt;"",OR(AX353&lt;&gt;"Y",AV353="Y")),"Y","N"))</f>
        <v/>
      </c>
      <c r="AU353" s="0" t="str">
        <f aca="false">IF($A353="","",_xlfn.TEXTJOIN("; ",TRUE(),IF(CN353&lt;&gt;"pass","gated out",""),IF(AQ353="Y","on hold: "&amp;AR353,""),IF(C353="","no contact named on an opened page",""),IF(AND(AX353="Y",AV353&lt;&gt;"Y"),"Tuesday estimate band "&amp;L353&amp;": founder's call","")))</f>
        <v/>
      </c>
      <c r="BC353" s="0" t="str">
        <f aca="false">IF($A353="","",IFERROR(INDEX(Enrichment!$A$2:$GZ$2000,MATCH($A353,INDEX(Enrichment!$A$2:$GZ$2000,0,MATCH("row_id",Enrichment!$A$1:$GZ$1,0)),0),MATCH("work_email",Enrichment!$A$1:$GZ$1,0))&amp;"",""))</f>
        <v/>
      </c>
      <c r="BD353" s="0" t="str">
        <f aca="false">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Q353" s="0" t="str">
        <f aca="false">IF($A353="","",IFERROR(INDEX(Enrichment!$A$2:$GZ$2000,MATCH($A353,INDEX(Enrichment!$A$2:$GZ$2000,0,MATCH("row_id",Enrichment!$A$1:$GZ$1,0)),0),MATCH("backup_work_email",Enrichment!$A$1:$GZ$1,0))&amp;"",""))</f>
        <v/>
      </c>
      <c r="BR353" s="0" t="str">
        <f aca="false">IF($A353="","",IF(BQ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EQ353" s="0" t="str">
        <f aca="false">IF($A353="","",IF(AH353="exact",10,IF(AH353="adjacent",5,0)))</f>
        <v/>
      </c>
      <c r="ER353" s="0" t="str">
        <f aca="false">IF($A353="","",IF(R353="Y",15,0))</f>
        <v/>
      </c>
      <c r="FS353" s="0" t="str">
        <f aca="false">IF($A353="","",IF(ISNUMBER(MATCH(U353,{"queued","contacted","replied","call_booked","call_done","yes_in_principle","materials_sent"},0)),"Y","N"))</f>
        <v/>
      </c>
      <c r="FT353" s="0" t="str">
        <f aca="false">IF($A353="","",IF(OR(T353="Y",U353="do_not_contact",AS353&amp;""&lt;&gt;""),"Y","N"))</f>
        <v/>
      </c>
      <c r="FU353" s="0" t="str">
        <f aca="false">IF($A353="","",IF(AP353&amp;""&lt;&gt;"",AP353&amp;"",$A353))</f>
        <v/>
      </c>
      <c r="FV353" s="0" t="str">
        <f aca="false">IF($A353="","",IF(COUNTIFS($FU$2:$FU$1000,FU353,$FS$2:$FS$1000,"Y")+COUNTIFS($FU$2:$FU$1000,FU353,$FT$2:$FT$1000,"Y")&gt;0,"Y","N"))</f>
        <v/>
      </c>
      <c r="FW353" s="0" t="str">
        <f aca="false">IF($A353="","",IF(AND(U353="new",T353="N",FT353="N",AT353="Y",FV353="N"),"Y","N"))</f>
        <v/>
      </c>
      <c r="FX353" s="0" t="str">
        <f aca="false">IF($A353="","",IF(FW353&lt;&gt;"Y","N",IF(COUNTIFS($FU$2:$FU$1000,FU353,$FW$2:$FW$1000,"Y",$J$2:$J$1000,"&gt;"&amp;J353)+COUNTIFS($FU$2:$FU$1000,FU353,$FW$2:$FW$1000,"Y",$J$2:$J$1000,J353,$GD$2:$GD$1000,"&lt;"&amp;GD353)=0,"Y","N")))</f>
        <v/>
      </c>
      <c r="FY353" s="0" t="str">
        <f aca="false">IF($A353="","",IF(AND(FW353="Y",FX353="Y",Y353&amp;""&lt;&gt;""),IF(Y353&lt;=10,"Y","N"),"N"))</f>
        <v/>
      </c>
      <c r="FZ353" s="0" t="str">
        <f aca="false">IF(FY353="Y",Y353,"")</f>
        <v/>
      </c>
      <c r="GA353" s="0" t="str">
        <f aca="false">IF($A353="","",IF(AND(I353="walk-in",CN353="pass",U353="new",FT353="N",FV353="N",AQ353&lt;&gt;"Y"),"Y","N"))</f>
        <v/>
      </c>
      <c r="GB353" s="0" t="str">
        <f aca="false">IF(GA353&lt;&gt;"Y","",IF(COUNTIFS($GA$2:$GA$1000,"Y",$J$2:$J$1000,"&gt;"&amp;J353)+COUNTIFS($GA$2:$GA$1000,"Y",$J$2:$J$1000,J353,$GD$2:$GD$1000,"&lt;"&amp;GD353)+1&lt;=25,COUNTIFS($GA$2:$GA$1000,"Y",$J$2:$J$1000,"&gt;"&amp;J353)+COUNTIFS($GA$2:$GA$1000,"Y",$J$2:$J$1000,J353,$GD$2:$GD$1000,"&lt;"&amp;GD353)+1,""))</f>
        <v/>
      </c>
      <c r="GC353" s="0" t="str">
        <f aca="false">IF(AND(_xlfn.ISFORMULA(C353),_xlfn.ISFORMULA(J353)),"Y","N")</f>
        <v>Y</v>
      </c>
      <c r="GD353" s="0" t="n">
        <f aca="false">ROW()-1</f>
        <v>352</v>
      </c>
    </row>
    <row r="354" customFormat="false" ht="15" hidden="false" customHeight="false" outlineLevel="0" collapsed="false">
      <c r="C354" s="0" t="str">
        <f aca="false">IF($A354="","",IF(AW354="Y",BM354&amp;"",AY354&amp;""))</f>
        <v/>
      </c>
      <c r="D354" s="0" t="str">
        <f aca="false">IF($A354="","",IF(AW354="Y",BN354&amp;"",AZ354&amp;""))</f>
        <v/>
      </c>
      <c r="E354" s="0" t="str">
        <f aca="false">IF($A354="","",IF(AW354="Y",BO354&amp;"",BA354&amp;""))</f>
        <v/>
      </c>
      <c r="F354" s="0" t="str">
        <f aca="false">IF($A354="","",IF(AW354="Y",BP354&amp;"",BB354&amp;""))</f>
        <v/>
      </c>
      <c r="G354" s="0" t="str">
        <f aca="false">IF($A354="","",IF(AW354="Y",BQ354&amp;"",BC354&amp;""))</f>
        <v/>
      </c>
      <c r="H354" s="0" t="str">
        <f aca="false">IF($A354="","",IF(AW354="Y",BR354&amp;"",BD354&amp;""))</f>
        <v/>
      </c>
      <c r="I354" s="0" t="str">
        <f aca="false">IF($A354="","",IF(R354="Y","warm-intro",IF(H354="verified","email",IF(C354&lt;&gt;"","linkedin",CB354&amp;""))))</f>
        <v/>
      </c>
      <c r="J354" s="0" t="str">
        <f aca="false">IF($A354="","",IF(CN354="pass",ROUND(N(EM354)+N(EN354)+N(EO354)+N(EP354)+N(EQ354)+N(ER354),1),0))</f>
        <v/>
      </c>
      <c r="K354" s="0" t="str">
        <f aca="false">IF($A354="","",IF(CN354&lt;&gt;"pass",CA354&amp;"",CA354&amp;"; "&amp;IF(AW354="Y",BZ354&amp;"",BL354&amp;"")&amp;IF(R354="Y","; known to the founder (+15)","")&amp;"."))</f>
        <v/>
      </c>
      <c r="R354" s="5"/>
      <c r="U354" s="5"/>
      <c r="Y354" s="0" t="str">
        <f aca="false">IF(FX354&lt;&gt;"Y","",COUNTIFS($FX$2:$FX$1000,"Y",$J$2:$J$1000,"&gt;"&amp;J354)+COUNTIFS($FX$2:$FX$1000,"Y",$J$2:$J$1000,J354,$GD$2:$GD$1000,"&lt;"&amp;GD354)+1)</f>
        <v/>
      </c>
      <c r="AB354" s="0" t="str">
        <f aca="false">IF($A354="","",IF(AW354="Y",BY354&amp;"",BK354&amp;""))</f>
        <v/>
      </c>
      <c r="AC354" s="0" t="str">
        <f aca="false">IF($A354="","",IF(AW354="Y",BS354&amp;"",BE354&amp;""))</f>
        <v/>
      </c>
      <c r="AD354" s="0" t="str">
        <f aca="false">IF($A354="","",IF(AW354="Y",BT354&amp;"",BF354&amp;""))</f>
        <v/>
      </c>
      <c r="AE354" s="0" t="str">
        <f aca="false">IF($A354="","",IF(AW354="Y",BU354&amp;"",BG354&amp;""))</f>
        <v/>
      </c>
      <c r="AF354" s="0" t="str">
        <f aca="false">IF($A354="","",IF(AW354="Y",BV354&amp;"",BH354&amp;""))</f>
        <v/>
      </c>
      <c r="AG354" s="0" t="str">
        <f aca="false">IF($A354="","",IF(AW354="Y",BW354&amp;"",BI354&amp;""))</f>
        <v/>
      </c>
      <c r="AH354" s="0" t="str">
        <f aca="false">IF($A354="","",IF(AW354="Y",BX354&amp;"",BJ354&amp;""))</f>
        <v/>
      </c>
      <c r="AQ354" s="5"/>
      <c r="AT354" s="0" t="str">
        <f aca="false">IF($A354="","",IF(AND(CN354="pass",AQ354&lt;&gt;"Y",C354&lt;&gt;"",OR(AX354&lt;&gt;"Y",AV354="Y")),"Y","N"))</f>
        <v/>
      </c>
      <c r="AU354" s="0" t="str">
        <f aca="false">IF($A354="","",_xlfn.TEXTJOIN("; ",TRUE(),IF(CN354&lt;&gt;"pass","gated out",""),IF(AQ354="Y","on hold: "&amp;AR354,""),IF(C354="","no contact named on an opened page",""),IF(AND(AX354="Y",AV354&lt;&gt;"Y"),"Tuesday estimate band "&amp;L354&amp;": founder's call","")))</f>
        <v/>
      </c>
      <c r="BC354" s="0" t="str">
        <f aca="false">IF($A354="","",IFERROR(INDEX(Enrichment!$A$2:$GZ$2000,MATCH($A354,INDEX(Enrichment!$A$2:$GZ$2000,0,MATCH("row_id",Enrichment!$A$1:$GZ$1,0)),0),MATCH("work_email",Enrichment!$A$1:$GZ$1,0))&amp;"",""))</f>
        <v/>
      </c>
      <c r="BD354" s="0" t="str">
        <f aca="false">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Q354" s="0" t="str">
        <f aca="false">IF($A354="","",IFERROR(INDEX(Enrichment!$A$2:$GZ$2000,MATCH($A354,INDEX(Enrichment!$A$2:$GZ$2000,0,MATCH("row_id",Enrichment!$A$1:$GZ$1,0)),0),MATCH("backup_work_email",Enrichment!$A$1:$GZ$1,0))&amp;"",""))</f>
        <v/>
      </c>
      <c r="BR354" s="0" t="str">
        <f aca="false">IF($A354="","",IF(BQ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EQ354" s="0" t="str">
        <f aca="false">IF($A354="","",IF(AH354="exact",10,IF(AH354="adjacent",5,0)))</f>
        <v/>
      </c>
      <c r="ER354" s="0" t="str">
        <f aca="false">IF($A354="","",IF(R354="Y",15,0))</f>
        <v/>
      </c>
      <c r="FS354" s="0" t="str">
        <f aca="false">IF($A354="","",IF(ISNUMBER(MATCH(U354,{"queued","contacted","replied","call_booked","call_done","yes_in_principle","materials_sent"},0)),"Y","N"))</f>
        <v/>
      </c>
      <c r="FT354" s="0" t="str">
        <f aca="false">IF($A354="","",IF(OR(T354="Y",U354="do_not_contact",AS354&amp;""&lt;&gt;""),"Y","N"))</f>
        <v/>
      </c>
      <c r="FU354" s="0" t="str">
        <f aca="false">IF($A354="","",IF(AP354&amp;""&lt;&gt;"",AP354&amp;"",$A354))</f>
        <v/>
      </c>
      <c r="FV354" s="0" t="str">
        <f aca="false">IF($A354="","",IF(COUNTIFS($FU$2:$FU$1000,FU354,$FS$2:$FS$1000,"Y")+COUNTIFS($FU$2:$FU$1000,FU354,$FT$2:$FT$1000,"Y")&gt;0,"Y","N"))</f>
        <v/>
      </c>
      <c r="FW354" s="0" t="str">
        <f aca="false">IF($A354="","",IF(AND(U354="new",T354="N",FT354="N",AT354="Y",FV354="N"),"Y","N"))</f>
        <v/>
      </c>
      <c r="FX354" s="0" t="str">
        <f aca="false">IF($A354="","",IF(FW354&lt;&gt;"Y","N",IF(COUNTIFS($FU$2:$FU$1000,FU354,$FW$2:$FW$1000,"Y",$J$2:$J$1000,"&gt;"&amp;J354)+COUNTIFS($FU$2:$FU$1000,FU354,$FW$2:$FW$1000,"Y",$J$2:$J$1000,J354,$GD$2:$GD$1000,"&lt;"&amp;GD354)=0,"Y","N")))</f>
        <v/>
      </c>
      <c r="FY354" s="0" t="str">
        <f aca="false">IF($A354="","",IF(AND(FW354="Y",FX354="Y",Y354&amp;""&lt;&gt;""),IF(Y354&lt;=10,"Y","N"),"N"))</f>
        <v/>
      </c>
      <c r="FZ354" s="0" t="str">
        <f aca="false">IF(FY354="Y",Y354,"")</f>
        <v/>
      </c>
      <c r="GA354" s="0" t="str">
        <f aca="false">IF($A354="","",IF(AND(I354="walk-in",CN354="pass",U354="new",FT354="N",FV354="N",AQ354&lt;&gt;"Y"),"Y","N"))</f>
        <v/>
      </c>
      <c r="GB354" s="0" t="str">
        <f aca="false">IF(GA354&lt;&gt;"Y","",IF(COUNTIFS($GA$2:$GA$1000,"Y",$J$2:$J$1000,"&gt;"&amp;J354)+COUNTIFS($GA$2:$GA$1000,"Y",$J$2:$J$1000,J354,$GD$2:$GD$1000,"&lt;"&amp;GD354)+1&lt;=25,COUNTIFS($GA$2:$GA$1000,"Y",$J$2:$J$1000,"&gt;"&amp;J354)+COUNTIFS($GA$2:$GA$1000,"Y",$J$2:$J$1000,J354,$GD$2:$GD$1000,"&lt;"&amp;GD354)+1,""))</f>
        <v/>
      </c>
      <c r="GC354" s="0" t="str">
        <f aca="false">IF(AND(_xlfn.ISFORMULA(C354),_xlfn.ISFORMULA(J354)),"Y","N")</f>
        <v>Y</v>
      </c>
      <c r="GD354" s="0" t="n">
        <f aca="false">ROW()-1</f>
        <v>353</v>
      </c>
    </row>
    <row r="355" customFormat="false" ht="15" hidden="false" customHeight="false" outlineLevel="0" collapsed="false">
      <c r="C355" s="0" t="str">
        <f aca="false">IF($A355="","",IF(AW355="Y",BM355&amp;"",AY355&amp;""))</f>
        <v/>
      </c>
      <c r="D355" s="0" t="str">
        <f aca="false">IF($A355="","",IF(AW355="Y",BN355&amp;"",AZ355&amp;""))</f>
        <v/>
      </c>
      <c r="E355" s="0" t="str">
        <f aca="false">IF($A355="","",IF(AW355="Y",BO355&amp;"",BA355&amp;""))</f>
        <v/>
      </c>
      <c r="F355" s="0" t="str">
        <f aca="false">IF($A355="","",IF(AW355="Y",BP355&amp;"",BB355&amp;""))</f>
        <v/>
      </c>
      <c r="G355" s="0" t="str">
        <f aca="false">IF($A355="","",IF(AW355="Y",BQ355&amp;"",BC355&amp;""))</f>
        <v/>
      </c>
      <c r="H355" s="0" t="str">
        <f aca="false">IF($A355="","",IF(AW355="Y",BR355&amp;"",BD355&amp;""))</f>
        <v/>
      </c>
      <c r="I355" s="0" t="str">
        <f aca="false">IF($A355="","",IF(R355="Y","warm-intro",IF(H355="verified","email",IF(C355&lt;&gt;"","linkedin",CB355&amp;""))))</f>
        <v/>
      </c>
      <c r="J355" s="0" t="str">
        <f aca="false">IF($A355="","",IF(CN355="pass",ROUND(N(EM355)+N(EN355)+N(EO355)+N(EP355)+N(EQ355)+N(ER355),1),0))</f>
        <v/>
      </c>
      <c r="K355" s="0" t="str">
        <f aca="false">IF($A355="","",IF(CN355&lt;&gt;"pass",CA355&amp;"",CA355&amp;"; "&amp;IF(AW355="Y",BZ355&amp;"",BL355&amp;"")&amp;IF(R355="Y","; known to the founder (+15)","")&amp;"."))</f>
        <v/>
      </c>
      <c r="R355" s="5"/>
      <c r="U355" s="5"/>
      <c r="Y355" s="0" t="str">
        <f aca="false">IF(FX355&lt;&gt;"Y","",COUNTIFS($FX$2:$FX$1000,"Y",$J$2:$J$1000,"&gt;"&amp;J355)+COUNTIFS($FX$2:$FX$1000,"Y",$J$2:$J$1000,J355,$GD$2:$GD$1000,"&lt;"&amp;GD355)+1)</f>
        <v/>
      </c>
      <c r="AB355" s="0" t="str">
        <f aca="false">IF($A355="","",IF(AW355="Y",BY355&amp;"",BK355&amp;""))</f>
        <v/>
      </c>
      <c r="AC355" s="0" t="str">
        <f aca="false">IF($A355="","",IF(AW355="Y",BS355&amp;"",BE355&amp;""))</f>
        <v/>
      </c>
      <c r="AD355" s="0" t="str">
        <f aca="false">IF($A355="","",IF(AW355="Y",BT355&amp;"",BF355&amp;""))</f>
        <v/>
      </c>
      <c r="AE355" s="0" t="str">
        <f aca="false">IF($A355="","",IF(AW355="Y",BU355&amp;"",BG355&amp;""))</f>
        <v/>
      </c>
      <c r="AF355" s="0" t="str">
        <f aca="false">IF($A355="","",IF(AW355="Y",BV355&amp;"",BH355&amp;""))</f>
        <v/>
      </c>
      <c r="AG355" s="0" t="str">
        <f aca="false">IF($A355="","",IF(AW355="Y",BW355&amp;"",BI355&amp;""))</f>
        <v/>
      </c>
      <c r="AH355" s="0" t="str">
        <f aca="false">IF($A355="","",IF(AW355="Y",BX355&amp;"",BJ355&amp;""))</f>
        <v/>
      </c>
      <c r="AQ355" s="5"/>
      <c r="AT355" s="0" t="str">
        <f aca="false">IF($A355="","",IF(AND(CN355="pass",AQ355&lt;&gt;"Y",C355&lt;&gt;"",OR(AX355&lt;&gt;"Y",AV355="Y")),"Y","N"))</f>
        <v/>
      </c>
      <c r="AU355" s="0" t="str">
        <f aca="false">IF($A355="","",_xlfn.TEXTJOIN("; ",TRUE(),IF(CN355&lt;&gt;"pass","gated out",""),IF(AQ355="Y","on hold: "&amp;AR355,""),IF(C355="","no contact named on an opened page",""),IF(AND(AX355="Y",AV355&lt;&gt;"Y"),"Tuesday estimate band "&amp;L355&amp;": founder's call","")))</f>
        <v/>
      </c>
      <c r="BC355" s="0" t="str">
        <f aca="false">IF($A355="","",IFERROR(INDEX(Enrichment!$A$2:$GZ$2000,MATCH($A355,INDEX(Enrichment!$A$2:$GZ$2000,0,MATCH("row_id",Enrichment!$A$1:$GZ$1,0)),0),MATCH("work_email",Enrichment!$A$1:$GZ$1,0))&amp;"",""))</f>
        <v/>
      </c>
      <c r="BD355" s="0" t="str">
        <f aca="false">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Q355" s="0" t="str">
        <f aca="false">IF($A355="","",IFERROR(INDEX(Enrichment!$A$2:$GZ$2000,MATCH($A355,INDEX(Enrichment!$A$2:$GZ$2000,0,MATCH("row_id",Enrichment!$A$1:$GZ$1,0)),0),MATCH("backup_work_email",Enrichment!$A$1:$GZ$1,0))&amp;"",""))</f>
        <v/>
      </c>
      <c r="BR355" s="0" t="str">
        <f aca="false">IF($A355="","",IF(BQ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EQ355" s="0" t="str">
        <f aca="false">IF($A355="","",IF(AH355="exact",10,IF(AH355="adjacent",5,0)))</f>
        <v/>
      </c>
      <c r="ER355" s="0" t="str">
        <f aca="false">IF($A355="","",IF(R355="Y",15,0))</f>
        <v/>
      </c>
      <c r="FS355" s="0" t="str">
        <f aca="false">IF($A355="","",IF(ISNUMBER(MATCH(U355,{"queued","contacted","replied","call_booked","call_done","yes_in_principle","materials_sent"},0)),"Y","N"))</f>
        <v/>
      </c>
      <c r="FT355" s="0" t="str">
        <f aca="false">IF($A355="","",IF(OR(T355="Y",U355="do_not_contact",AS355&amp;""&lt;&gt;""),"Y","N"))</f>
        <v/>
      </c>
      <c r="FU355" s="0" t="str">
        <f aca="false">IF($A355="","",IF(AP355&amp;""&lt;&gt;"",AP355&amp;"",$A355))</f>
        <v/>
      </c>
      <c r="FV355" s="0" t="str">
        <f aca="false">IF($A355="","",IF(COUNTIFS($FU$2:$FU$1000,FU355,$FS$2:$FS$1000,"Y")+COUNTIFS($FU$2:$FU$1000,FU355,$FT$2:$FT$1000,"Y")&gt;0,"Y","N"))</f>
        <v/>
      </c>
      <c r="FW355" s="0" t="str">
        <f aca="false">IF($A355="","",IF(AND(U355="new",T355="N",FT355="N",AT355="Y",FV355="N"),"Y","N"))</f>
        <v/>
      </c>
      <c r="FX355" s="0" t="str">
        <f aca="false">IF($A355="","",IF(FW355&lt;&gt;"Y","N",IF(COUNTIFS($FU$2:$FU$1000,FU355,$FW$2:$FW$1000,"Y",$J$2:$J$1000,"&gt;"&amp;J355)+COUNTIFS($FU$2:$FU$1000,FU355,$FW$2:$FW$1000,"Y",$J$2:$J$1000,J355,$GD$2:$GD$1000,"&lt;"&amp;GD355)=0,"Y","N")))</f>
        <v/>
      </c>
      <c r="FY355" s="0" t="str">
        <f aca="false">IF($A355="","",IF(AND(FW355="Y",FX355="Y",Y355&amp;""&lt;&gt;""),IF(Y355&lt;=10,"Y","N"),"N"))</f>
        <v/>
      </c>
      <c r="FZ355" s="0" t="str">
        <f aca="false">IF(FY355="Y",Y355,"")</f>
        <v/>
      </c>
      <c r="GA355" s="0" t="str">
        <f aca="false">IF($A355="","",IF(AND(I355="walk-in",CN355="pass",U355="new",FT355="N",FV355="N",AQ355&lt;&gt;"Y"),"Y","N"))</f>
        <v/>
      </c>
      <c r="GB355" s="0" t="str">
        <f aca="false">IF(GA355&lt;&gt;"Y","",IF(COUNTIFS($GA$2:$GA$1000,"Y",$J$2:$J$1000,"&gt;"&amp;J355)+COUNTIFS($GA$2:$GA$1000,"Y",$J$2:$J$1000,J355,$GD$2:$GD$1000,"&lt;"&amp;GD355)+1&lt;=25,COUNTIFS($GA$2:$GA$1000,"Y",$J$2:$J$1000,"&gt;"&amp;J355)+COUNTIFS($GA$2:$GA$1000,"Y",$J$2:$J$1000,J355,$GD$2:$GD$1000,"&lt;"&amp;GD355)+1,""))</f>
        <v/>
      </c>
      <c r="GC355" s="0" t="str">
        <f aca="false">IF(AND(_xlfn.ISFORMULA(C355),_xlfn.ISFORMULA(J355)),"Y","N")</f>
        <v>Y</v>
      </c>
      <c r="GD355" s="0" t="n">
        <f aca="false">ROW()-1</f>
        <v>354</v>
      </c>
    </row>
    <row r="356" customFormat="false" ht="15" hidden="false" customHeight="false" outlineLevel="0" collapsed="false">
      <c r="C356" s="0" t="str">
        <f aca="false">IF($A356="","",IF(AW356="Y",BM356&amp;"",AY356&amp;""))</f>
        <v/>
      </c>
      <c r="D356" s="0" t="str">
        <f aca="false">IF($A356="","",IF(AW356="Y",BN356&amp;"",AZ356&amp;""))</f>
        <v/>
      </c>
      <c r="E356" s="0" t="str">
        <f aca="false">IF($A356="","",IF(AW356="Y",BO356&amp;"",BA356&amp;""))</f>
        <v/>
      </c>
      <c r="F356" s="0" t="str">
        <f aca="false">IF($A356="","",IF(AW356="Y",BP356&amp;"",BB356&amp;""))</f>
        <v/>
      </c>
      <c r="G356" s="0" t="str">
        <f aca="false">IF($A356="","",IF(AW356="Y",BQ356&amp;"",BC356&amp;""))</f>
        <v/>
      </c>
      <c r="H356" s="0" t="str">
        <f aca="false">IF($A356="","",IF(AW356="Y",BR356&amp;"",BD356&amp;""))</f>
        <v/>
      </c>
      <c r="I356" s="0" t="str">
        <f aca="false">IF($A356="","",IF(R356="Y","warm-intro",IF(H356="verified","email",IF(C356&lt;&gt;"","linkedin",CB356&amp;""))))</f>
        <v/>
      </c>
      <c r="J356" s="0" t="str">
        <f aca="false">IF($A356="","",IF(CN356="pass",ROUND(N(EM356)+N(EN356)+N(EO356)+N(EP356)+N(EQ356)+N(ER356),1),0))</f>
        <v/>
      </c>
      <c r="K356" s="0" t="str">
        <f aca="false">IF($A356="","",IF(CN356&lt;&gt;"pass",CA356&amp;"",CA356&amp;"; "&amp;IF(AW356="Y",BZ356&amp;"",BL356&amp;"")&amp;IF(R356="Y","; known to the founder (+15)","")&amp;"."))</f>
        <v/>
      </c>
      <c r="R356" s="5"/>
      <c r="U356" s="5"/>
      <c r="Y356" s="0" t="str">
        <f aca="false">IF(FX356&lt;&gt;"Y","",COUNTIFS($FX$2:$FX$1000,"Y",$J$2:$J$1000,"&gt;"&amp;J356)+COUNTIFS($FX$2:$FX$1000,"Y",$J$2:$J$1000,J356,$GD$2:$GD$1000,"&lt;"&amp;GD356)+1)</f>
        <v/>
      </c>
      <c r="AB356" s="0" t="str">
        <f aca="false">IF($A356="","",IF(AW356="Y",BY356&amp;"",BK356&amp;""))</f>
        <v/>
      </c>
      <c r="AC356" s="0" t="str">
        <f aca="false">IF($A356="","",IF(AW356="Y",BS356&amp;"",BE356&amp;""))</f>
        <v/>
      </c>
      <c r="AD356" s="0" t="str">
        <f aca="false">IF($A356="","",IF(AW356="Y",BT356&amp;"",BF356&amp;""))</f>
        <v/>
      </c>
      <c r="AE356" s="0" t="str">
        <f aca="false">IF($A356="","",IF(AW356="Y",BU356&amp;"",BG356&amp;""))</f>
        <v/>
      </c>
      <c r="AF356" s="0" t="str">
        <f aca="false">IF($A356="","",IF(AW356="Y",BV356&amp;"",BH356&amp;""))</f>
        <v/>
      </c>
      <c r="AG356" s="0" t="str">
        <f aca="false">IF($A356="","",IF(AW356="Y",BW356&amp;"",BI356&amp;""))</f>
        <v/>
      </c>
      <c r="AH356" s="0" t="str">
        <f aca="false">IF($A356="","",IF(AW356="Y",BX356&amp;"",BJ356&amp;""))</f>
        <v/>
      </c>
      <c r="AQ356" s="5"/>
      <c r="AT356" s="0" t="str">
        <f aca="false">IF($A356="","",IF(AND(CN356="pass",AQ356&lt;&gt;"Y",C356&lt;&gt;"",OR(AX356&lt;&gt;"Y",AV356="Y")),"Y","N"))</f>
        <v/>
      </c>
      <c r="AU356" s="0" t="str">
        <f aca="false">IF($A356="","",_xlfn.TEXTJOIN("; ",TRUE(),IF(CN356&lt;&gt;"pass","gated out",""),IF(AQ356="Y","on hold: "&amp;AR356,""),IF(C356="","no contact named on an opened page",""),IF(AND(AX356="Y",AV356&lt;&gt;"Y"),"Tuesday estimate band "&amp;L356&amp;": founder's call","")))</f>
        <v/>
      </c>
      <c r="BC356" s="0" t="str">
        <f aca="false">IF($A356="","",IFERROR(INDEX(Enrichment!$A$2:$GZ$2000,MATCH($A356,INDEX(Enrichment!$A$2:$GZ$2000,0,MATCH("row_id",Enrichment!$A$1:$GZ$1,0)),0),MATCH("work_email",Enrichment!$A$1:$GZ$1,0))&amp;"",""))</f>
        <v/>
      </c>
      <c r="BD356" s="0" t="str">
        <f aca="false">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Q356" s="0" t="str">
        <f aca="false">IF($A356="","",IFERROR(INDEX(Enrichment!$A$2:$GZ$2000,MATCH($A356,INDEX(Enrichment!$A$2:$GZ$2000,0,MATCH("row_id",Enrichment!$A$1:$GZ$1,0)),0),MATCH("backup_work_email",Enrichment!$A$1:$GZ$1,0))&amp;"",""))</f>
        <v/>
      </c>
      <c r="BR356" s="0" t="str">
        <f aca="false">IF($A356="","",IF(BQ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EQ356" s="0" t="str">
        <f aca="false">IF($A356="","",IF(AH356="exact",10,IF(AH356="adjacent",5,0)))</f>
        <v/>
      </c>
      <c r="ER356" s="0" t="str">
        <f aca="false">IF($A356="","",IF(R356="Y",15,0))</f>
        <v/>
      </c>
      <c r="FS356" s="0" t="str">
        <f aca="false">IF($A356="","",IF(ISNUMBER(MATCH(U356,{"queued","contacted","replied","call_booked","call_done","yes_in_principle","materials_sent"},0)),"Y","N"))</f>
        <v/>
      </c>
      <c r="FT356" s="0" t="str">
        <f aca="false">IF($A356="","",IF(OR(T356="Y",U356="do_not_contact",AS356&amp;""&lt;&gt;""),"Y","N"))</f>
        <v/>
      </c>
      <c r="FU356" s="0" t="str">
        <f aca="false">IF($A356="","",IF(AP356&amp;""&lt;&gt;"",AP356&amp;"",$A356))</f>
        <v/>
      </c>
      <c r="FV356" s="0" t="str">
        <f aca="false">IF($A356="","",IF(COUNTIFS($FU$2:$FU$1000,FU356,$FS$2:$FS$1000,"Y")+COUNTIFS($FU$2:$FU$1000,FU356,$FT$2:$FT$1000,"Y")&gt;0,"Y","N"))</f>
        <v/>
      </c>
      <c r="FW356" s="0" t="str">
        <f aca="false">IF($A356="","",IF(AND(U356="new",T356="N",FT356="N",AT356="Y",FV356="N"),"Y","N"))</f>
        <v/>
      </c>
      <c r="FX356" s="0" t="str">
        <f aca="false">IF($A356="","",IF(FW356&lt;&gt;"Y","N",IF(COUNTIFS($FU$2:$FU$1000,FU356,$FW$2:$FW$1000,"Y",$J$2:$J$1000,"&gt;"&amp;J356)+COUNTIFS($FU$2:$FU$1000,FU356,$FW$2:$FW$1000,"Y",$J$2:$J$1000,J356,$GD$2:$GD$1000,"&lt;"&amp;GD356)=0,"Y","N")))</f>
        <v/>
      </c>
      <c r="FY356" s="0" t="str">
        <f aca="false">IF($A356="","",IF(AND(FW356="Y",FX356="Y",Y356&amp;""&lt;&gt;""),IF(Y356&lt;=10,"Y","N"),"N"))</f>
        <v/>
      </c>
      <c r="FZ356" s="0" t="str">
        <f aca="false">IF(FY356="Y",Y356,"")</f>
        <v/>
      </c>
      <c r="GA356" s="0" t="str">
        <f aca="false">IF($A356="","",IF(AND(I356="walk-in",CN356="pass",U356="new",FT356="N",FV356="N",AQ356&lt;&gt;"Y"),"Y","N"))</f>
        <v/>
      </c>
      <c r="GB356" s="0" t="str">
        <f aca="false">IF(GA356&lt;&gt;"Y","",IF(COUNTIFS($GA$2:$GA$1000,"Y",$J$2:$J$1000,"&gt;"&amp;J356)+COUNTIFS($GA$2:$GA$1000,"Y",$J$2:$J$1000,J356,$GD$2:$GD$1000,"&lt;"&amp;GD356)+1&lt;=25,COUNTIFS($GA$2:$GA$1000,"Y",$J$2:$J$1000,"&gt;"&amp;J356)+COUNTIFS($GA$2:$GA$1000,"Y",$J$2:$J$1000,J356,$GD$2:$GD$1000,"&lt;"&amp;GD356)+1,""))</f>
        <v/>
      </c>
      <c r="GC356" s="0" t="str">
        <f aca="false">IF(AND(_xlfn.ISFORMULA(C356),_xlfn.ISFORMULA(J356)),"Y","N")</f>
        <v>Y</v>
      </c>
      <c r="GD356" s="0" t="n">
        <f aca="false">ROW()-1</f>
        <v>355</v>
      </c>
    </row>
    <row r="357" customFormat="false" ht="15" hidden="false" customHeight="false" outlineLevel="0" collapsed="false">
      <c r="C357" s="0" t="str">
        <f aca="false">IF($A357="","",IF(AW357="Y",BM357&amp;"",AY357&amp;""))</f>
        <v/>
      </c>
      <c r="D357" s="0" t="str">
        <f aca="false">IF($A357="","",IF(AW357="Y",BN357&amp;"",AZ357&amp;""))</f>
        <v/>
      </c>
      <c r="E357" s="0" t="str">
        <f aca="false">IF($A357="","",IF(AW357="Y",BO357&amp;"",BA357&amp;""))</f>
        <v/>
      </c>
      <c r="F357" s="0" t="str">
        <f aca="false">IF($A357="","",IF(AW357="Y",BP357&amp;"",BB357&amp;""))</f>
        <v/>
      </c>
      <c r="G357" s="0" t="str">
        <f aca="false">IF($A357="","",IF(AW357="Y",BQ357&amp;"",BC357&amp;""))</f>
        <v/>
      </c>
      <c r="H357" s="0" t="str">
        <f aca="false">IF($A357="","",IF(AW357="Y",BR357&amp;"",BD357&amp;""))</f>
        <v/>
      </c>
      <c r="I357" s="0" t="str">
        <f aca="false">IF($A357="","",IF(R357="Y","warm-intro",IF(H357="verified","email",IF(C357&lt;&gt;"","linkedin",CB357&amp;""))))</f>
        <v/>
      </c>
      <c r="J357" s="0" t="str">
        <f aca="false">IF($A357="","",IF(CN357="pass",ROUND(N(EM357)+N(EN357)+N(EO357)+N(EP357)+N(EQ357)+N(ER357),1),0))</f>
        <v/>
      </c>
      <c r="K357" s="0" t="str">
        <f aca="false">IF($A357="","",IF(CN357&lt;&gt;"pass",CA357&amp;"",CA357&amp;"; "&amp;IF(AW357="Y",BZ357&amp;"",BL357&amp;"")&amp;IF(R357="Y","; known to the founder (+15)","")&amp;"."))</f>
        <v/>
      </c>
      <c r="R357" s="5"/>
      <c r="U357" s="5"/>
      <c r="Y357" s="0" t="str">
        <f aca="false">IF(FX357&lt;&gt;"Y","",COUNTIFS($FX$2:$FX$1000,"Y",$J$2:$J$1000,"&gt;"&amp;J357)+COUNTIFS($FX$2:$FX$1000,"Y",$J$2:$J$1000,J357,$GD$2:$GD$1000,"&lt;"&amp;GD357)+1)</f>
        <v/>
      </c>
      <c r="AB357" s="0" t="str">
        <f aca="false">IF($A357="","",IF(AW357="Y",BY357&amp;"",BK357&amp;""))</f>
        <v/>
      </c>
      <c r="AC357" s="0" t="str">
        <f aca="false">IF($A357="","",IF(AW357="Y",BS357&amp;"",BE357&amp;""))</f>
        <v/>
      </c>
      <c r="AD357" s="0" t="str">
        <f aca="false">IF($A357="","",IF(AW357="Y",BT357&amp;"",BF357&amp;""))</f>
        <v/>
      </c>
      <c r="AE357" s="0" t="str">
        <f aca="false">IF($A357="","",IF(AW357="Y",BU357&amp;"",BG357&amp;""))</f>
        <v/>
      </c>
      <c r="AF357" s="0" t="str">
        <f aca="false">IF($A357="","",IF(AW357="Y",BV357&amp;"",BH357&amp;""))</f>
        <v/>
      </c>
      <c r="AG357" s="0" t="str">
        <f aca="false">IF($A357="","",IF(AW357="Y",BW357&amp;"",BI357&amp;""))</f>
        <v/>
      </c>
      <c r="AH357" s="0" t="str">
        <f aca="false">IF($A357="","",IF(AW357="Y",BX357&amp;"",BJ357&amp;""))</f>
        <v/>
      </c>
      <c r="AQ357" s="5"/>
      <c r="AT357" s="0" t="str">
        <f aca="false">IF($A357="","",IF(AND(CN357="pass",AQ357&lt;&gt;"Y",C357&lt;&gt;"",OR(AX357&lt;&gt;"Y",AV357="Y")),"Y","N"))</f>
        <v/>
      </c>
      <c r="AU357" s="0" t="str">
        <f aca="false">IF($A357="","",_xlfn.TEXTJOIN("; ",TRUE(),IF(CN357&lt;&gt;"pass","gated out",""),IF(AQ357="Y","on hold: "&amp;AR357,""),IF(C357="","no contact named on an opened page",""),IF(AND(AX357="Y",AV357&lt;&gt;"Y"),"Tuesday estimate band "&amp;L357&amp;": founder's call","")))</f>
        <v/>
      </c>
      <c r="BC357" s="0" t="str">
        <f aca="false">IF($A357="","",IFERROR(INDEX(Enrichment!$A$2:$GZ$2000,MATCH($A357,INDEX(Enrichment!$A$2:$GZ$2000,0,MATCH("row_id",Enrichment!$A$1:$GZ$1,0)),0),MATCH("work_email",Enrichment!$A$1:$GZ$1,0))&amp;"",""))</f>
        <v/>
      </c>
      <c r="BD357" s="0" t="str">
        <f aca="false">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Q357" s="0" t="str">
        <f aca="false">IF($A357="","",IFERROR(INDEX(Enrichment!$A$2:$GZ$2000,MATCH($A357,INDEX(Enrichment!$A$2:$GZ$2000,0,MATCH("row_id",Enrichment!$A$1:$GZ$1,0)),0),MATCH("backup_work_email",Enrichment!$A$1:$GZ$1,0))&amp;"",""))</f>
        <v/>
      </c>
      <c r="BR357" s="0" t="str">
        <f aca="false">IF($A357="","",IF(BQ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EQ357" s="0" t="str">
        <f aca="false">IF($A357="","",IF(AH357="exact",10,IF(AH357="adjacent",5,0)))</f>
        <v/>
      </c>
      <c r="ER357" s="0" t="str">
        <f aca="false">IF($A357="","",IF(R357="Y",15,0))</f>
        <v/>
      </c>
      <c r="FS357" s="0" t="str">
        <f aca="false">IF($A357="","",IF(ISNUMBER(MATCH(U357,{"queued","contacted","replied","call_booked","call_done","yes_in_principle","materials_sent"},0)),"Y","N"))</f>
        <v/>
      </c>
      <c r="FT357" s="0" t="str">
        <f aca="false">IF($A357="","",IF(OR(T357="Y",U357="do_not_contact",AS357&amp;""&lt;&gt;""),"Y","N"))</f>
        <v/>
      </c>
      <c r="FU357" s="0" t="str">
        <f aca="false">IF($A357="","",IF(AP357&amp;""&lt;&gt;"",AP357&amp;"",$A357))</f>
        <v/>
      </c>
      <c r="FV357" s="0" t="str">
        <f aca="false">IF($A357="","",IF(COUNTIFS($FU$2:$FU$1000,FU357,$FS$2:$FS$1000,"Y")+COUNTIFS($FU$2:$FU$1000,FU357,$FT$2:$FT$1000,"Y")&gt;0,"Y","N"))</f>
        <v/>
      </c>
      <c r="FW357" s="0" t="str">
        <f aca="false">IF($A357="","",IF(AND(U357="new",T357="N",FT357="N",AT357="Y",FV357="N"),"Y","N"))</f>
        <v/>
      </c>
      <c r="FX357" s="0" t="str">
        <f aca="false">IF($A357="","",IF(FW357&lt;&gt;"Y","N",IF(COUNTIFS($FU$2:$FU$1000,FU357,$FW$2:$FW$1000,"Y",$J$2:$J$1000,"&gt;"&amp;J357)+COUNTIFS($FU$2:$FU$1000,FU357,$FW$2:$FW$1000,"Y",$J$2:$J$1000,J357,$GD$2:$GD$1000,"&lt;"&amp;GD357)=0,"Y","N")))</f>
        <v/>
      </c>
      <c r="FY357" s="0" t="str">
        <f aca="false">IF($A357="","",IF(AND(FW357="Y",FX357="Y",Y357&amp;""&lt;&gt;""),IF(Y357&lt;=10,"Y","N"),"N"))</f>
        <v/>
      </c>
      <c r="FZ357" s="0" t="str">
        <f aca="false">IF(FY357="Y",Y357,"")</f>
        <v/>
      </c>
      <c r="GA357" s="0" t="str">
        <f aca="false">IF($A357="","",IF(AND(I357="walk-in",CN357="pass",U357="new",FT357="N",FV357="N",AQ357&lt;&gt;"Y"),"Y","N"))</f>
        <v/>
      </c>
      <c r="GB357" s="0" t="str">
        <f aca="false">IF(GA357&lt;&gt;"Y","",IF(COUNTIFS($GA$2:$GA$1000,"Y",$J$2:$J$1000,"&gt;"&amp;J357)+COUNTIFS($GA$2:$GA$1000,"Y",$J$2:$J$1000,J357,$GD$2:$GD$1000,"&lt;"&amp;GD357)+1&lt;=25,COUNTIFS($GA$2:$GA$1000,"Y",$J$2:$J$1000,"&gt;"&amp;J357)+COUNTIFS($GA$2:$GA$1000,"Y",$J$2:$J$1000,J357,$GD$2:$GD$1000,"&lt;"&amp;GD357)+1,""))</f>
        <v/>
      </c>
      <c r="GC357" s="0" t="str">
        <f aca="false">IF(AND(_xlfn.ISFORMULA(C357),_xlfn.ISFORMULA(J357)),"Y","N")</f>
        <v>Y</v>
      </c>
      <c r="GD357" s="0" t="n">
        <f aca="false">ROW()-1</f>
        <v>356</v>
      </c>
    </row>
    <row r="358" customFormat="false" ht="15" hidden="false" customHeight="false" outlineLevel="0" collapsed="false">
      <c r="C358" s="0" t="str">
        <f aca="false">IF($A358="","",IF(AW358="Y",BM358&amp;"",AY358&amp;""))</f>
        <v/>
      </c>
      <c r="D358" s="0" t="str">
        <f aca="false">IF($A358="","",IF(AW358="Y",BN358&amp;"",AZ358&amp;""))</f>
        <v/>
      </c>
      <c r="E358" s="0" t="str">
        <f aca="false">IF($A358="","",IF(AW358="Y",BO358&amp;"",BA358&amp;""))</f>
        <v/>
      </c>
      <c r="F358" s="0" t="str">
        <f aca="false">IF($A358="","",IF(AW358="Y",BP358&amp;"",BB358&amp;""))</f>
        <v/>
      </c>
      <c r="G358" s="0" t="str">
        <f aca="false">IF($A358="","",IF(AW358="Y",BQ358&amp;"",BC358&amp;""))</f>
        <v/>
      </c>
      <c r="H358" s="0" t="str">
        <f aca="false">IF($A358="","",IF(AW358="Y",BR358&amp;"",BD358&amp;""))</f>
        <v/>
      </c>
      <c r="I358" s="0" t="str">
        <f aca="false">IF($A358="","",IF(R358="Y","warm-intro",IF(H358="verified","email",IF(C358&lt;&gt;"","linkedin",CB358&amp;""))))</f>
        <v/>
      </c>
      <c r="J358" s="0" t="str">
        <f aca="false">IF($A358="","",IF(CN358="pass",ROUND(N(EM358)+N(EN358)+N(EO358)+N(EP358)+N(EQ358)+N(ER358),1),0))</f>
        <v/>
      </c>
      <c r="K358" s="0" t="str">
        <f aca="false">IF($A358="","",IF(CN358&lt;&gt;"pass",CA358&amp;"",CA358&amp;"; "&amp;IF(AW358="Y",BZ358&amp;"",BL358&amp;"")&amp;IF(R358="Y","; known to the founder (+15)","")&amp;"."))</f>
        <v/>
      </c>
      <c r="R358" s="5"/>
      <c r="U358" s="5"/>
      <c r="Y358" s="0" t="str">
        <f aca="false">IF(FX358&lt;&gt;"Y","",COUNTIFS($FX$2:$FX$1000,"Y",$J$2:$J$1000,"&gt;"&amp;J358)+COUNTIFS($FX$2:$FX$1000,"Y",$J$2:$J$1000,J358,$GD$2:$GD$1000,"&lt;"&amp;GD358)+1)</f>
        <v/>
      </c>
      <c r="AB358" s="0" t="str">
        <f aca="false">IF($A358="","",IF(AW358="Y",BY358&amp;"",BK358&amp;""))</f>
        <v/>
      </c>
      <c r="AC358" s="0" t="str">
        <f aca="false">IF($A358="","",IF(AW358="Y",BS358&amp;"",BE358&amp;""))</f>
        <v/>
      </c>
      <c r="AD358" s="0" t="str">
        <f aca="false">IF($A358="","",IF(AW358="Y",BT358&amp;"",BF358&amp;""))</f>
        <v/>
      </c>
      <c r="AE358" s="0" t="str">
        <f aca="false">IF($A358="","",IF(AW358="Y",BU358&amp;"",BG358&amp;""))</f>
        <v/>
      </c>
      <c r="AF358" s="0" t="str">
        <f aca="false">IF($A358="","",IF(AW358="Y",BV358&amp;"",BH358&amp;""))</f>
        <v/>
      </c>
      <c r="AG358" s="0" t="str">
        <f aca="false">IF($A358="","",IF(AW358="Y",BW358&amp;"",BI358&amp;""))</f>
        <v/>
      </c>
      <c r="AH358" s="0" t="str">
        <f aca="false">IF($A358="","",IF(AW358="Y",BX358&amp;"",BJ358&amp;""))</f>
        <v/>
      </c>
      <c r="AQ358" s="5"/>
      <c r="AT358" s="0" t="str">
        <f aca="false">IF($A358="","",IF(AND(CN358="pass",AQ358&lt;&gt;"Y",C358&lt;&gt;"",OR(AX358&lt;&gt;"Y",AV358="Y")),"Y","N"))</f>
        <v/>
      </c>
      <c r="AU358" s="0" t="str">
        <f aca="false">IF($A358="","",_xlfn.TEXTJOIN("; ",TRUE(),IF(CN358&lt;&gt;"pass","gated out",""),IF(AQ358="Y","on hold: "&amp;AR358,""),IF(C358="","no contact named on an opened page",""),IF(AND(AX358="Y",AV358&lt;&gt;"Y"),"Tuesday estimate band "&amp;L358&amp;": founder's call","")))</f>
        <v/>
      </c>
      <c r="BC358" s="0" t="str">
        <f aca="false">IF($A358="","",IFERROR(INDEX(Enrichment!$A$2:$GZ$2000,MATCH($A358,INDEX(Enrichment!$A$2:$GZ$2000,0,MATCH("row_id",Enrichment!$A$1:$GZ$1,0)),0),MATCH("work_email",Enrichment!$A$1:$GZ$1,0))&amp;"",""))</f>
        <v/>
      </c>
      <c r="BD358" s="0" t="str">
        <f aca="false">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Q358" s="0" t="str">
        <f aca="false">IF($A358="","",IFERROR(INDEX(Enrichment!$A$2:$GZ$2000,MATCH($A358,INDEX(Enrichment!$A$2:$GZ$2000,0,MATCH("row_id",Enrichment!$A$1:$GZ$1,0)),0),MATCH("backup_work_email",Enrichment!$A$1:$GZ$1,0))&amp;"",""))</f>
        <v/>
      </c>
      <c r="BR358" s="0" t="str">
        <f aca="false">IF($A358="","",IF(BQ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EQ358" s="0" t="str">
        <f aca="false">IF($A358="","",IF(AH358="exact",10,IF(AH358="adjacent",5,0)))</f>
        <v/>
      </c>
      <c r="ER358" s="0" t="str">
        <f aca="false">IF($A358="","",IF(R358="Y",15,0))</f>
        <v/>
      </c>
      <c r="FS358" s="0" t="str">
        <f aca="false">IF($A358="","",IF(ISNUMBER(MATCH(U358,{"queued","contacted","replied","call_booked","call_done","yes_in_principle","materials_sent"},0)),"Y","N"))</f>
        <v/>
      </c>
      <c r="FT358" s="0" t="str">
        <f aca="false">IF($A358="","",IF(OR(T358="Y",U358="do_not_contact",AS358&amp;""&lt;&gt;""),"Y","N"))</f>
        <v/>
      </c>
      <c r="FU358" s="0" t="str">
        <f aca="false">IF($A358="","",IF(AP358&amp;""&lt;&gt;"",AP358&amp;"",$A358))</f>
        <v/>
      </c>
      <c r="FV358" s="0" t="str">
        <f aca="false">IF($A358="","",IF(COUNTIFS($FU$2:$FU$1000,FU358,$FS$2:$FS$1000,"Y")+COUNTIFS($FU$2:$FU$1000,FU358,$FT$2:$FT$1000,"Y")&gt;0,"Y","N"))</f>
        <v/>
      </c>
      <c r="FW358" s="0" t="str">
        <f aca="false">IF($A358="","",IF(AND(U358="new",T358="N",FT358="N",AT358="Y",FV358="N"),"Y","N"))</f>
        <v/>
      </c>
      <c r="FX358" s="0" t="str">
        <f aca="false">IF($A358="","",IF(FW358&lt;&gt;"Y","N",IF(COUNTIFS($FU$2:$FU$1000,FU358,$FW$2:$FW$1000,"Y",$J$2:$J$1000,"&gt;"&amp;J358)+COUNTIFS($FU$2:$FU$1000,FU358,$FW$2:$FW$1000,"Y",$J$2:$J$1000,J358,$GD$2:$GD$1000,"&lt;"&amp;GD358)=0,"Y","N")))</f>
        <v/>
      </c>
      <c r="FY358" s="0" t="str">
        <f aca="false">IF($A358="","",IF(AND(FW358="Y",FX358="Y",Y358&amp;""&lt;&gt;""),IF(Y358&lt;=10,"Y","N"),"N"))</f>
        <v/>
      </c>
      <c r="FZ358" s="0" t="str">
        <f aca="false">IF(FY358="Y",Y358,"")</f>
        <v/>
      </c>
      <c r="GA358" s="0" t="str">
        <f aca="false">IF($A358="","",IF(AND(I358="walk-in",CN358="pass",U358="new",FT358="N",FV358="N",AQ358&lt;&gt;"Y"),"Y","N"))</f>
        <v/>
      </c>
      <c r="GB358" s="0" t="str">
        <f aca="false">IF(GA358&lt;&gt;"Y","",IF(COUNTIFS($GA$2:$GA$1000,"Y",$J$2:$J$1000,"&gt;"&amp;J358)+COUNTIFS($GA$2:$GA$1000,"Y",$J$2:$J$1000,J358,$GD$2:$GD$1000,"&lt;"&amp;GD358)+1&lt;=25,COUNTIFS($GA$2:$GA$1000,"Y",$J$2:$J$1000,"&gt;"&amp;J358)+COUNTIFS($GA$2:$GA$1000,"Y",$J$2:$J$1000,J358,$GD$2:$GD$1000,"&lt;"&amp;GD358)+1,""))</f>
        <v/>
      </c>
      <c r="GC358" s="0" t="str">
        <f aca="false">IF(AND(_xlfn.ISFORMULA(C358),_xlfn.ISFORMULA(J358)),"Y","N")</f>
        <v>Y</v>
      </c>
      <c r="GD358" s="0" t="n">
        <f aca="false">ROW()-1</f>
        <v>357</v>
      </c>
    </row>
    <row r="359" customFormat="false" ht="15" hidden="false" customHeight="false" outlineLevel="0" collapsed="false">
      <c r="C359" s="0" t="str">
        <f aca="false">IF($A359="","",IF(AW359="Y",BM359&amp;"",AY359&amp;""))</f>
        <v/>
      </c>
      <c r="D359" s="0" t="str">
        <f aca="false">IF($A359="","",IF(AW359="Y",BN359&amp;"",AZ359&amp;""))</f>
        <v/>
      </c>
      <c r="E359" s="0" t="str">
        <f aca="false">IF($A359="","",IF(AW359="Y",BO359&amp;"",BA359&amp;""))</f>
        <v/>
      </c>
      <c r="F359" s="0" t="str">
        <f aca="false">IF($A359="","",IF(AW359="Y",BP359&amp;"",BB359&amp;""))</f>
        <v/>
      </c>
      <c r="G359" s="0" t="str">
        <f aca="false">IF($A359="","",IF(AW359="Y",BQ359&amp;"",BC359&amp;""))</f>
        <v/>
      </c>
      <c r="H359" s="0" t="str">
        <f aca="false">IF($A359="","",IF(AW359="Y",BR359&amp;"",BD359&amp;""))</f>
        <v/>
      </c>
      <c r="I359" s="0" t="str">
        <f aca="false">IF($A359="","",IF(R359="Y","warm-intro",IF(H359="verified","email",IF(C359&lt;&gt;"","linkedin",CB359&amp;""))))</f>
        <v/>
      </c>
      <c r="J359" s="0" t="str">
        <f aca="false">IF($A359="","",IF(CN359="pass",ROUND(N(EM359)+N(EN359)+N(EO359)+N(EP359)+N(EQ359)+N(ER359),1),0))</f>
        <v/>
      </c>
      <c r="K359" s="0" t="str">
        <f aca="false">IF($A359="","",IF(CN359&lt;&gt;"pass",CA359&amp;"",CA359&amp;"; "&amp;IF(AW359="Y",BZ359&amp;"",BL359&amp;"")&amp;IF(R359="Y","; known to the founder (+15)","")&amp;"."))</f>
        <v/>
      </c>
      <c r="R359" s="5"/>
      <c r="U359" s="5"/>
      <c r="Y359" s="0" t="str">
        <f aca="false">IF(FX359&lt;&gt;"Y","",COUNTIFS($FX$2:$FX$1000,"Y",$J$2:$J$1000,"&gt;"&amp;J359)+COUNTIFS($FX$2:$FX$1000,"Y",$J$2:$J$1000,J359,$GD$2:$GD$1000,"&lt;"&amp;GD359)+1)</f>
        <v/>
      </c>
      <c r="AB359" s="0" t="str">
        <f aca="false">IF($A359="","",IF(AW359="Y",BY359&amp;"",BK359&amp;""))</f>
        <v/>
      </c>
      <c r="AC359" s="0" t="str">
        <f aca="false">IF($A359="","",IF(AW359="Y",BS359&amp;"",BE359&amp;""))</f>
        <v/>
      </c>
      <c r="AD359" s="0" t="str">
        <f aca="false">IF($A359="","",IF(AW359="Y",BT359&amp;"",BF359&amp;""))</f>
        <v/>
      </c>
      <c r="AE359" s="0" t="str">
        <f aca="false">IF($A359="","",IF(AW359="Y",BU359&amp;"",BG359&amp;""))</f>
        <v/>
      </c>
      <c r="AF359" s="0" t="str">
        <f aca="false">IF($A359="","",IF(AW359="Y",BV359&amp;"",BH359&amp;""))</f>
        <v/>
      </c>
      <c r="AG359" s="0" t="str">
        <f aca="false">IF($A359="","",IF(AW359="Y",BW359&amp;"",BI359&amp;""))</f>
        <v/>
      </c>
      <c r="AH359" s="0" t="str">
        <f aca="false">IF($A359="","",IF(AW359="Y",BX359&amp;"",BJ359&amp;""))</f>
        <v/>
      </c>
      <c r="AQ359" s="5"/>
      <c r="AT359" s="0" t="str">
        <f aca="false">IF($A359="","",IF(AND(CN359="pass",AQ359&lt;&gt;"Y",C359&lt;&gt;"",OR(AX359&lt;&gt;"Y",AV359="Y")),"Y","N"))</f>
        <v/>
      </c>
      <c r="AU359" s="0" t="str">
        <f aca="false">IF($A359="","",_xlfn.TEXTJOIN("; ",TRUE(),IF(CN359&lt;&gt;"pass","gated out",""),IF(AQ359="Y","on hold: "&amp;AR359,""),IF(C359="","no contact named on an opened page",""),IF(AND(AX359="Y",AV359&lt;&gt;"Y"),"Tuesday estimate band "&amp;L359&amp;": founder's call","")))</f>
        <v/>
      </c>
      <c r="BC359" s="0" t="str">
        <f aca="false">IF($A359="","",IFERROR(INDEX(Enrichment!$A$2:$GZ$2000,MATCH($A359,INDEX(Enrichment!$A$2:$GZ$2000,0,MATCH("row_id",Enrichment!$A$1:$GZ$1,0)),0),MATCH("work_email",Enrichment!$A$1:$GZ$1,0))&amp;"",""))</f>
        <v/>
      </c>
      <c r="BD359" s="0" t="str">
        <f aca="false">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Q359" s="0" t="str">
        <f aca="false">IF($A359="","",IFERROR(INDEX(Enrichment!$A$2:$GZ$2000,MATCH($A359,INDEX(Enrichment!$A$2:$GZ$2000,0,MATCH("row_id",Enrichment!$A$1:$GZ$1,0)),0),MATCH("backup_work_email",Enrichment!$A$1:$GZ$1,0))&amp;"",""))</f>
        <v/>
      </c>
      <c r="BR359" s="0" t="str">
        <f aca="false">IF($A359="","",IF(BQ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EQ359" s="0" t="str">
        <f aca="false">IF($A359="","",IF(AH359="exact",10,IF(AH359="adjacent",5,0)))</f>
        <v/>
      </c>
      <c r="ER359" s="0" t="str">
        <f aca="false">IF($A359="","",IF(R359="Y",15,0))</f>
        <v/>
      </c>
      <c r="FS359" s="0" t="str">
        <f aca="false">IF($A359="","",IF(ISNUMBER(MATCH(U359,{"queued","contacted","replied","call_booked","call_done","yes_in_principle","materials_sent"},0)),"Y","N"))</f>
        <v/>
      </c>
      <c r="FT359" s="0" t="str">
        <f aca="false">IF($A359="","",IF(OR(T359="Y",U359="do_not_contact",AS359&amp;""&lt;&gt;""),"Y","N"))</f>
        <v/>
      </c>
      <c r="FU359" s="0" t="str">
        <f aca="false">IF($A359="","",IF(AP359&amp;""&lt;&gt;"",AP359&amp;"",$A359))</f>
        <v/>
      </c>
      <c r="FV359" s="0" t="str">
        <f aca="false">IF($A359="","",IF(COUNTIFS($FU$2:$FU$1000,FU359,$FS$2:$FS$1000,"Y")+COUNTIFS($FU$2:$FU$1000,FU359,$FT$2:$FT$1000,"Y")&gt;0,"Y","N"))</f>
        <v/>
      </c>
      <c r="FW359" s="0" t="str">
        <f aca="false">IF($A359="","",IF(AND(U359="new",T359="N",FT359="N",AT359="Y",FV359="N"),"Y","N"))</f>
        <v/>
      </c>
      <c r="FX359" s="0" t="str">
        <f aca="false">IF($A359="","",IF(FW359&lt;&gt;"Y","N",IF(COUNTIFS($FU$2:$FU$1000,FU359,$FW$2:$FW$1000,"Y",$J$2:$J$1000,"&gt;"&amp;J359)+COUNTIFS($FU$2:$FU$1000,FU359,$FW$2:$FW$1000,"Y",$J$2:$J$1000,J359,$GD$2:$GD$1000,"&lt;"&amp;GD359)=0,"Y","N")))</f>
        <v/>
      </c>
      <c r="FY359" s="0" t="str">
        <f aca="false">IF($A359="","",IF(AND(FW359="Y",FX359="Y",Y359&amp;""&lt;&gt;""),IF(Y359&lt;=10,"Y","N"),"N"))</f>
        <v/>
      </c>
      <c r="FZ359" s="0" t="str">
        <f aca="false">IF(FY359="Y",Y359,"")</f>
        <v/>
      </c>
      <c r="GA359" s="0" t="str">
        <f aca="false">IF($A359="","",IF(AND(I359="walk-in",CN359="pass",U359="new",FT359="N",FV359="N",AQ359&lt;&gt;"Y"),"Y","N"))</f>
        <v/>
      </c>
      <c r="GB359" s="0" t="str">
        <f aca="false">IF(GA359&lt;&gt;"Y","",IF(COUNTIFS($GA$2:$GA$1000,"Y",$J$2:$J$1000,"&gt;"&amp;J359)+COUNTIFS($GA$2:$GA$1000,"Y",$J$2:$J$1000,J359,$GD$2:$GD$1000,"&lt;"&amp;GD359)+1&lt;=25,COUNTIFS($GA$2:$GA$1000,"Y",$J$2:$J$1000,"&gt;"&amp;J359)+COUNTIFS($GA$2:$GA$1000,"Y",$J$2:$J$1000,J359,$GD$2:$GD$1000,"&lt;"&amp;GD359)+1,""))</f>
        <v/>
      </c>
      <c r="GC359" s="0" t="str">
        <f aca="false">IF(AND(_xlfn.ISFORMULA(C359),_xlfn.ISFORMULA(J359)),"Y","N")</f>
        <v>Y</v>
      </c>
      <c r="GD359" s="0" t="n">
        <f aca="false">ROW()-1</f>
        <v>358</v>
      </c>
    </row>
    <row r="360" customFormat="false" ht="15" hidden="false" customHeight="false" outlineLevel="0" collapsed="false">
      <c r="C360" s="0" t="str">
        <f aca="false">IF($A360="","",IF(AW360="Y",BM360&amp;"",AY360&amp;""))</f>
        <v/>
      </c>
      <c r="D360" s="0" t="str">
        <f aca="false">IF($A360="","",IF(AW360="Y",BN360&amp;"",AZ360&amp;""))</f>
        <v/>
      </c>
      <c r="E360" s="0" t="str">
        <f aca="false">IF($A360="","",IF(AW360="Y",BO360&amp;"",BA360&amp;""))</f>
        <v/>
      </c>
      <c r="F360" s="0" t="str">
        <f aca="false">IF($A360="","",IF(AW360="Y",BP360&amp;"",BB360&amp;""))</f>
        <v/>
      </c>
      <c r="G360" s="0" t="str">
        <f aca="false">IF($A360="","",IF(AW360="Y",BQ360&amp;"",BC360&amp;""))</f>
        <v/>
      </c>
      <c r="H360" s="0" t="str">
        <f aca="false">IF($A360="","",IF(AW360="Y",BR360&amp;"",BD360&amp;""))</f>
        <v/>
      </c>
      <c r="I360" s="0" t="str">
        <f aca="false">IF($A360="","",IF(R360="Y","warm-intro",IF(H360="verified","email",IF(C360&lt;&gt;"","linkedin",CB360&amp;""))))</f>
        <v/>
      </c>
      <c r="J360" s="0" t="str">
        <f aca="false">IF($A360="","",IF(CN360="pass",ROUND(N(EM360)+N(EN360)+N(EO360)+N(EP360)+N(EQ360)+N(ER360),1),0))</f>
        <v/>
      </c>
      <c r="K360" s="0" t="str">
        <f aca="false">IF($A360="","",IF(CN360&lt;&gt;"pass",CA360&amp;"",CA360&amp;"; "&amp;IF(AW360="Y",BZ360&amp;"",BL360&amp;"")&amp;IF(R360="Y","; known to the founder (+15)","")&amp;"."))</f>
        <v/>
      </c>
      <c r="R360" s="5"/>
      <c r="U360" s="5"/>
      <c r="Y360" s="0" t="str">
        <f aca="false">IF(FX360&lt;&gt;"Y","",COUNTIFS($FX$2:$FX$1000,"Y",$J$2:$J$1000,"&gt;"&amp;J360)+COUNTIFS($FX$2:$FX$1000,"Y",$J$2:$J$1000,J360,$GD$2:$GD$1000,"&lt;"&amp;GD360)+1)</f>
        <v/>
      </c>
      <c r="AB360" s="0" t="str">
        <f aca="false">IF($A360="","",IF(AW360="Y",BY360&amp;"",BK360&amp;""))</f>
        <v/>
      </c>
      <c r="AC360" s="0" t="str">
        <f aca="false">IF($A360="","",IF(AW360="Y",BS360&amp;"",BE360&amp;""))</f>
        <v/>
      </c>
      <c r="AD360" s="0" t="str">
        <f aca="false">IF($A360="","",IF(AW360="Y",BT360&amp;"",BF360&amp;""))</f>
        <v/>
      </c>
      <c r="AE360" s="0" t="str">
        <f aca="false">IF($A360="","",IF(AW360="Y",BU360&amp;"",BG360&amp;""))</f>
        <v/>
      </c>
      <c r="AF360" s="0" t="str">
        <f aca="false">IF($A360="","",IF(AW360="Y",BV360&amp;"",BH360&amp;""))</f>
        <v/>
      </c>
      <c r="AG360" s="0" t="str">
        <f aca="false">IF($A360="","",IF(AW360="Y",BW360&amp;"",BI360&amp;""))</f>
        <v/>
      </c>
      <c r="AH360" s="0" t="str">
        <f aca="false">IF($A360="","",IF(AW360="Y",BX360&amp;"",BJ360&amp;""))</f>
        <v/>
      </c>
      <c r="AQ360" s="5"/>
      <c r="AT360" s="0" t="str">
        <f aca="false">IF($A360="","",IF(AND(CN360="pass",AQ360&lt;&gt;"Y",C360&lt;&gt;"",OR(AX360&lt;&gt;"Y",AV360="Y")),"Y","N"))</f>
        <v/>
      </c>
      <c r="AU360" s="0" t="str">
        <f aca="false">IF($A360="","",_xlfn.TEXTJOIN("; ",TRUE(),IF(CN360&lt;&gt;"pass","gated out",""),IF(AQ360="Y","on hold: "&amp;AR360,""),IF(C360="","no contact named on an opened page",""),IF(AND(AX360="Y",AV360&lt;&gt;"Y"),"Tuesday estimate band "&amp;L360&amp;": founder's call","")))</f>
        <v/>
      </c>
      <c r="BC360" s="0" t="str">
        <f aca="false">IF($A360="","",IFERROR(INDEX(Enrichment!$A$2:$GZ$2000,MATCH($A360,INDEX(Enrichment!$A$2:$GZ$2000,0,MATCH("row_id",Enrichment!$A$1:$GZ$1,0)),0),MATCH("work_email",Enrichment!$A$1:$GZ$1,0))&amp;"",""))</f>
        <v/>
      </c>
      <c r="BD360" s="0" t="str">
        <f aca="false">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Q360" s="0" t="str">
        <f aca="false">IF($A360="","",IFERROR(INDEX(Enrichment!$A$2:$GZ$2000,MATCH($A360,INDEX(Enrichment!$A$2:$GZ$2000,0,MATCH("row_id",Enrichment!$A$1:$GZ$1,0)),0),MATCH("backup_work_email",Enrichment!$A$1:$GZ$1,0))&amp;"",""))</f>
        <v/>
      </c>
      <c r="BR360" s="0" t="str">
        <f aca="false">IF($A360="","",IF(BQ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EQ360" s="0" t="str">
        <f aca="false">IF($A360="","",IF(AH360="exact",10,IF(AH360="adjacent",5,0)))</f>
        <v/>
      </c>
      <c r="ER360" s="0" t="str">
        <f aca="false">IF($A360="","",IF(R360="Y",15,0))</f>
        <v/>
      </c>
      <c r="FS360" s="0" t="str">
        <f aca="false">IF($A360="","",IF(ISNUMBER(MATCH(U360,{"queued","contacted","replied","call_booked","call_done","yes_in_principle","materials_sent"},0)),"Y","N"))</f>
        <v/>
      </c>
      <c r="FT360" s="0" t="str">
        <f aca="false">IF($A360="","",IF(OR(T360="Y",U360="do_not_contact",AS360&amp;""&lt;&gt;""),"Y","N"))</f>
        <v/>
      </c>
      <c r="FU360" s="0" t="str">
        <f aca="false">IF($A360="","",IF(AP360&amp;""&lt;&gt;"",AP360&amp;"",$A360))</f>
        <v/>
      </c>
      <c r="FV360" s="0" t="str">
        <f aca="false">IF($A360="","",IF(COUNTIFS($FU$2:$FU$1000,FU360,$FS$2:$FS$1000,"Y")+COUNTIFS($FU$2:$FU$1000,FU360,$FT$2:$FT$1000,"Y")&gt;0,"Y","N"))</f>
        <v/>
      </c>
      <c r="FW360" s="0" t="str">
        <f aca="false">IF($A360="","",IF(AND(U360="new",T360="N",FT360="N",AT360="Y",FV360="N"),"Y","N"))</f>
        <v/>
      </c>
      <c r="FX360" s="0" t="str">
        <f aca="false">IF($A360="","",IF(FW360&lt;&gt;"Y","N",IF(COUNTIFS($FU$2:$FU$1000,FU360,$FW$2:$FW$1000,"Y",$J$2:$J$1000,"&gt;"&amp;J360)+COUNTIFS($FU$2:$FU$1000,FU360,$FW$2:$FW$1000,"Y",$J$2:$J$1000,J360,$GD$2:$GD$1000,"&lt;"&amp;GD360)=0,"Y","N")))</f>
        <v/>
      </c>
      <c r="FY360" s="0" t="str">
        <f aca="false">IF($A360="","",IF(AND(FW360="Y",FX360="Y",Y360&amp;""&lt;&gt;""),IF(Y360&lt;=10,"Y","N"),"N"))</f>
        <v/>
      </c>
      <c r="FZ360" s="0" t="str">
        <f aca="false">IF(FY360="Y",Y360,"")</f>
        <v/>
      </c>
      <c r="GA360" s="0" t="str">
        <f aca="false">IF($A360="","",IF(AND(I360="walk-in",CN360="pass",U360="new",FT360="N",FV360="N",AQ360&lt;&gt;"Y"),"Y","N"))</f>
        <v/>
      </c>
      <c r="GB360" s="0" t="str">
        <f aca="false">IF(GA360&lt;&gt;"Y","",IF(COUNTIFS($GA$2:$GA$1000,"Y",$J$2:$J$1000,"&gt;"&amp;J360)+COUNTIFS($GA$2:$GA$1000,"Y",$J$2:$J$1000,J360,$GD$2:$GD$1000,"&lt;"&amp;GD360)+1&lt;=25,COUNTIFS($GA$2:$GA$1000,"Y",$J$2:$J$1000,"&gt;"&amp;J360)+COUNTIFS($GA$2:$GA$1000,"Y",$J$2:$J$1000,J360,$GD$2:$GD$1000,"&lt;"&amp;GD360)+1,""))</f>
        <v/>
      </c>
      <c r="GC360" s="0" t="str">
        <f aca="false">IF(AND(_xlfn.ISFORMULA(C360),_xlfn.ISFORMULA(J360)),"Y","N")</f>
        <v>Y</v>
      </c>
      <c r="GD360" s="0" t="n">
        <f aca="false">ROW()-1</f>
        <v>359</v>
      </c>
    </row>
    <row r="361" customFormat="false" ht="15" hidden="false" customHeight="false" outlineLevel="0" collapsed="false">
      <c r="C361" s="0" t="str">
        <f aca="false">IF($A361="","",IF(AW361="Y",BM361&amp;"",AY361&amp;""))</f>
        <v/>
      </c>
      <c r="D361" s="0" t="str">
        <f aca="false">IF($A361="","",IF(AW361="Y",BN361&amp;"",AZ361&amp;""))</f>
        <v/>
      </c>
      <c r="E361" s="0" t="str">
        <f aca="false">IF($A361="","",IF(AW361="Y",BO361&amp;"",BA361&amp;""))</f>
        <v/>
      </c>
      <c r="F361" s="0" t="str">
        <f aca="false">IF($A361="","",IF(AW361="Y",BP361&amp;"",BB361&amp;""))</f>
        <v/>
      </c>
      <c r="G361" s="0" t="str">
        <f aca="false">IF($A361="","",IF(AW361="Y",BQ361&amp;"",BC361&amp;""))</f>
        <v/>
      </c>
      <c r="H361" s="0" t="str">
        <f aca="false">IF($A361="","",IF(AW361="Y",BR361&amp;"",BD361&amp;""))</f>
        <v/>
      </c>
      <c r="I361" s="0" t="str">
        <f aca="false">IF($A361="","",IF(R361="Y","warm-intro",IF(H361="verified","email",IF(C361&lt;&gt;"","linkedin",CB361&amp;""))))</f>
        <v/>
      </c>
      <c r="J361" s="0" t="str">
        <f aca="false">IF($A361="","",IF(CN361="pass",ROUND(N(EM361)+N(EN361)+N(EO361)+N(EP361)+N(EQ361)+N(ER361),1),0))</f>
        <v/>
      </c>
      <c r="K361" s="0" t="str">
        <f aca="false">IF($A361="","",IF(CN361&lt;&gt;"pass",CA361&amp;"",CA361&amp;"; "&amp;IF(AW361="Y",BZ361&amp;"",BL361&amp;"")&amp;IF(R361="Y","; known to the founder (+15)","")&amp;"."))</f>
        <v/>
      </c>
      <c r="R361" s="5"/>
      <c r="U361" s="5"/>
      <c r="Y361" s="0" t="str">
        <f aca="false">IF(FX361&lt;&gt;"Y","",COUNTIFS($FX$2:$FX$1000,"Y",$J$2:$J$1000,"&gt;"&amp;J361)+COUNTIFS($FX$2:$FX$1000,"Y",$J$2:$J$1000,J361,$GD$2:$GD$1000,"&lt;"&amp;GD361)+1)</f>
        <v/>
      </c>
      <c r="AB361" s="0" t="str">
        <f aca="false">IF($A361="","",IF(AW361="Y",BY361&amp;"",BK361&amp;""))</f>
        <v/>
      </c>
      <c r="AC361" s="0" t="str">
        <f aca="false">IF($A361="","",IF(AW361="Y",BS361&amp;"",BE361&amp;""))</f>
        <v/>
      </c>
      <c r="AD361" s="0" t="str">
        <f aca="false">IF($A361="","",IF(AW361="Y",BT361&amp;"",BF361&amp;""))</f>
        <v/>
      </c>
      <c r="AE361" s="0" t="str">
        <f aca="false">IF($A361="","",IF(AW361="Y",BU361&amp;"",BG361&amp;""))</f>
        <v/>
      </c>
      <c r="AF361" s="0" t="str">
        <f aca="false">IF($A361="","",IF(AW361="Y",BV361&amp;"",BH361&amp;""))</f>
        <v/>
      </c>
      <c r="AG361" s="0" t="str">
        <f aca="false">IF($A361="","",IF(AW361="Y",BW361&amp;"",BI361&amp;""))</f>
        <v/>
      </c>
      <c r="AH361" s="0" t="str">
        <f aca="false">IF($A361="","",IF(AW361="Y",BX361&amp;"",BJ361&amp;""))</f>
        <v/>
      </c>
      <c r="AQ361" s="5"/>
      <c r="AT361" s="0" t="str">
        <f aca="false">IF($A361="","",IF(AND(CN361="pass",AQ361&lt;&gt;"Y",C361&lt;&gt;"",OR(AX361&lt;&gt;"Y",AV361="Y")),"Y","N"))</f>
        <v/>
      </c>
      <c r="AU361" s="0" t="str">
        <f aca="false">IF($A361="","",_xlfn.TEXTJOIN("; ",TRUE(),IF(CN361&lt;&gt;"pass","gated out",""),IF(AQ361="Y","on hold: "&amp;AR361,""),IF(C361="","no contact named on an opened page",""),IF(AND(AX361="Y",AV361&lt;&gt;"Y"),"Tuesday estimate band "&amp;L361&amp;": founder's call","")))</f>
        <v/>
      </c>
      <c r="BC361" s="0" t="str">
        <f aca="false">IF($A361="","",IFERROR(INDEX(Enrichment!$A$2:$GZ$2000,MATCH($A361,INDEX(Enrichment!$A$2:$GZ$2000,0,MATCH("row_id",Enrichment!$A$1:$GZ$1,0)),0),MATCH("work_email",Enrichment!$A$1:$GZ$1,0))&amp;"",""))</f>
        <v/>
      </c>
      <c r="BD361" s="0" t="str">
        <f aca="false">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Q361" s="0" t="str">
        <f aca="false">IF($A361="","",IFERROR(INDEX(Enrichment!$A$2:$GZ$2000,MATCH($A361,INDEX(Enrichment!$A$2:$GZ$2000,0,MATCH("row_id",Enrichment!$A$1:$GZ$1,0)),0),MATCH("backup_work_email",Enrichment!$A$1:$GZ$1,0))&amp;"",""))</f>
        <v/>
      </c>
      <c r="BR361" s="0" t="str">
        <f aca="false">IF($A361="","",IF(BQ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EQ361" s="0" t="str">
        <f aca="false">IF($A361="","",IF(AH361="exact",10,IF(AH361="adjacent",5,0)))</f>
        <v/>
      </c>
      <c r="ER361" s="0" t="str">
        <f aca="false">IF($A361="","",IF(R361="Y",15,0))</f>
        <v/>
      </c>
      <c r="FS361" s="0" t="str">
        <f aca="false">IF($A361="","",IF(ISNUMBER(MATCH(U361,{"queued","contacted","replied","call_booked","call_done","yes_in_principle","materials_sent"},0)),"Y","N"))</f>
        <v/>
      </c>
      <c r="FT361" s="0" t="str">
        <f aca="false">IF($A361="","",IF(OR(T361="Y",U361="do_not_contact",AS361&amp;""&lt;&gt;""),"Y","N"))</f>
        <v/>
      </c>
      <c r="FU361" s="0" t="str">
        <f aca="false">IF($A361="","",IF(AP361&amp;""&lt;&gt;"",AP361&amp;"",$A361))</f>
        <v/>
      </c>
      <c r="FV361" s="0" t="str">
        <f aca="false">IF($A361="","",IF(COUNTIFS($FU$2:$FU$1000,FU361,$FS$2:$FS$1000,"Y")+COUNTIFS($FU$2:$FU$1000,FU361,$FT$2:$FT$1000,"Y")&gt;0,"Y","N"))</f>
        <v/>
      </c>
      <c r="FW361" s="0" t="str">
        <f aca="false">IF($A361="","",IF(AND(U361="new",T361="N",FT361="N",AT361="Y",FV361="N"),"Y","N"))</f>
        <v/>
      </c>
      <c r="FX361" s="0" t="str">
        <f aca="false">IF($A361="","",IF(FW361&lt;&gt;"Y","N",IF(COUNTIFS($FU$2:$FU$1000,FU361,$FW$2:$FW$1000,"Y",$J$2:$J$1000,"&gt;"&amp;J361)+COUNTIFS($FU$2:$FU$1000,FU361,$FW$2:$FW$1000,"Y",$J$2:$J$1000,J361,$GD$2:$GD$1000,"&lt;"&amp;GD361)=0,"Y","N")))</f>
        <v/>
      </c>
      <c r="FY361" s="0" t="str">
        <f aca="false">IF($A361="","",IF(AND(FW361="Y",FX361="Y",Y361&amp;""&lt;&gt;""),IF(Y361&lt;=10,"Y","N"),"N"))</f>
        <v/>
      </c>
      <c r="FZ361" s="0" t="str">
        <f aca="false">IF(FY361="Y",Y361,"")</f>
        <v/>
      </c>
      <c r="GA361" s="0" t="str">
        <f aca="false">IF($A361="","",IF(AND(I361="walk-in",CN361="pass",U361="new",FT361="N",FV361="N",AQ361&lt;&gt;"Y"),"Y","N"))</f>
        <v/>
      </c>
      <c r="GB361" s="0" t="str">
        <f aca="false">IF(GA361&lt;&gt;"Y","",IF(COUNTIFS($GA$2:$GA$1000,"Y",$J$2:$J$1000,"&gt;"&amp;J361)+COUNTIFS($GA$2:$GA$1000,"Y",$J$2:$J$1000,J361,$GD$2:$GD$1000,"&lt;"&amp;GD361)+1&lt;=25,COUNTIFS($GA$2:$GA$1000,"Y",$J$2:$J$1000,"&gt;"&amp;J361)+COUNTIFS($GA$2:$GA$1000,"Y",$J$2:$J$1000,J361,$GD$2:$GD$1000,"&lt;"&amp;GD361)+1,""))</f>
        <v/>
      </c>
      <c r="GC361" s="0" t="str">
        <f aca="false">IF(AND(_xlfn.ISFORMULA(C361),_xlfn.ISFORMULA(J361)),"Y","N")</f>
        <v>Y</v>
      </c>
      <c r="GD361" s="0" t="n">
        <f aca="false">ROW()-1</f>
        <v>360</v>
      </c>
    </row>
    <row r="362" customFormat="false" ht="15" hidden="false" customHeight="false" outlineLevel="0" collapsed="false">
      <c r="C362" s="0" t="str">
        <f aca="false">IF($A362="","",IF(AW362="Y",BM362&amp;"",AY362&amp;""))</f>
        <v/>
      </c>
      <c r="D362" s="0" t="str">
        <f aca="false">IF($A362="","",IF(AW362="Y",BN362&amp;"",AZ362&amp;""))</f>
        <v/>
      </c>
      <c r="E362" s="0" t="str">
        <f aca="false">IF($A362="","",IF(AW362="Y",BO362&amp;"",BA362&amp;""))</f>
        <v/>
      </c>
      <c r="F362" s="0" t="str">
        <f aca="false">IF($A362="","",IF(AW362="Y",BP362&amp;"",BB362&amp;""))</f>
        <v/>
      </c>
      <c r="G362" s="0" t="str">
        <f aca="false">IF($A362="","",IF(AW362="Y",BQ362&amp;"",BC362&amp;""))</f>
        <v/>
      </c>
      <c r="H362" s="0" t="str">
        <f aca="false">IF($A362="","",IF(AW362="Y",BR362&amp;"",BD362&amp;""))</f>
        <v/>
      </c>
      <c r="I362" s="0" t="str">
        <f aca="false">IF($A362="","",IF(R362="Y","warm-intro",IF(H362="verified","email",IF(C362&lt;&gt;"","linkedin",CB362&amp;""))))</f>
        <v/>
      </c>
      <c r="J362" s="0" t="str">
        <f aca="false">IF($A362="","",IF(CN362="pass",ROUND(N(EM362)+N(EN362)+N(EO362)+N(EP362)+N(EQ362)+N(ER362),1),0))</f>
        <v/>
      </c>
      <c r="K362" s="0" t="str">
        <f aca="false">IF($A362="","",IF(CN362&lt;&gt;"pass",CA362&amp;"",CA362&amp;"; "&amp;IF(AW362="Y",BZ362&amp;"",BL362&amp;"")&amp;IF(R362="Y","; known to the founder (+15)","")&amp;"."))</f>
        <v/>
      </c>
      <c r="R362" s="5"/>
      <c r="U362" s="5"/>
      <c r="Y362" s="0" t="str">
        <f aca="false">IF(FX362&lt;&gt;"Y","",COUNTIFS($FX$2:$FX$1000,"Y",$J$2:$J$1000,"&gt;"&amp;J362)+COUNTIFS($FX$2:$FX$1000,"Y",$J$2:$J$1000,J362,$GD$2:$GD$1000,"&lt;"&amp;GD362)+1)</f>
        <v/>
      </c>
      <c r="AB362" s="0" t="str">
        <f aca="false">IF($A362="","",IF(AW362="Y",BY362&amp;"",BK362&amp;""))</f>
        <v/>
      </c>
      <c r="AC362" s="0" t="str">
        <f aca="false">IF($A362="","",IF(AW362="Y",BS362&amp;"",BE362&amp;""))</f>
        <v/>
      </c>
      <c r="AD362" s="0" t="str">
        <f aca="false">IF($A362="","",IF(AW362="Y",BT362&amp;"",BF362&amp;""))</f>
        <v/>
      </c>
      <c r="AE362" s="0" t="str">
        <f aca="false">IF($A362="","",IF(AW362="Y",BU362&amp;"",BG362&amp;""))</f>
        <v/>
      </c>
      <c r="AF362" s="0" t="str">
        <f aca="false">IF($A362="","",IF(AW362="Y",BV362&amp;"",BH362&amp;""))</f>
        <v/>
      </c>
      <c r="AG362" s="0" t="str">
        <f aca="false">IF($A362="","",IF(AW362="Y",BW362&amp;"",BI362&amp;""))</f>
        <v/>
      </c>
      <c r="AH362" s="0" t="str">
        <f aca="false">IF($A362="","",IF(AW362="Y",BX362&amp;"",BJ362&amp;""))</f>
        <v/>
      </c>
      <c r="AQ362" s="5"/>
      <c r="AT362" s="0" t="str">
        <f aca="false">IF($A362="","",IF(AND(CN362="pass",AQ362&lt;&gt;"Y",C362&lt;&gt;"",OR(AX362&lt;&gt;"Y",AV362="Y")),"Y","N"))</f>
        <v/>
      </c>
      <c r="AU362" s="0" t="str">
        <f aca="false">IF($A362="","",_xlfn.TEXTJOIN("; ",TRUE(),IF(CN362&lt;&gt;"pass","gated out",""),IF(AQ362="Y","on hold: "&amp;AR362,""),IF(C362="","no contact named on an opened page",""),IF(AND(AX362="Y",AV362&lt;&gt;"Y"),"Tuesday estimate band "&amp;L362&amp;": founder's call","")))</f>
        <v/>
      </c>
      <c r="BC362" s="0" t="str">
        <f aca="false">IF($A362="","",IFERROR(INDEX(Enrichment!$A$2:$GZ$2000,MATCH($A362,INDEX(Enrichment!$A$2:$GZ$2000,0,MATCH("row_id",Enrichment!$A$1:$GZ$1,0)),0),MATCH("work_email",Enrichment!$A$1:$GZ$1,0))&amp;"",""))</f>
        <v/>
      </c>
      <c r="BD362" s="0" t="str">
        <f aca="false">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Q362" s="0" t="str">
        <f aca="false">IF($A362="","",IFERROR(INDEX(Enrichment!$A$2:$GZ$2000,MATCH($A362,INDEX(Enrichment!$A$2:$GZ$2000,0,MATCH("row_id",Enrichment!$A$1:$GZ$1,0)),0),MATCH("backup_work_email",Enrichment!$A$1:$GZ$1,0))&amp;"",""))</f>
        <v/>
      </c>
      <c r="BR362" s="0" t="str">
        <f aca="false">IF($A362="","",IF(BQ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EQ362" s="0" t="str">
        <f aca="false">IF($A362="","",IF(AH362="exact",10,IF(AH362="adjacent",5,0)))</f>
        <v/>
      </c>
      <c r="ER362" s="0" t="str">
        <f aca="false">IF($A362="","",IF(R362="Y",15,0))</f>
        <v/>
      </c>
      <c r="FS362" s="0" t="str">
        <f aca="false">IF($A362="","",IF(ISNUMBER(MATCH(U362,{"queued","contacted","replied","call_booked","call_done","yes_in_principle","materials_sent"},0)),"Y","N"))</f>
        <v/>
      </c>
      <c r="FT362" s="0" t="str">
        <f aca="false">IF($A362="","",IF(OR(T362="Y",U362="do_not_contact",AS362&amp;""&lt;&gt;""),"Y","N"))</f>
        <v/>
      </c>
      <c r="FU362" s="0" t="str">
        <f aca="false">IF($A362="","",IF(AP362&amp;""&lt;&gt;"",AP362&amp;"",$A362))</f>
        <v/>
      </c>
      <c r="FV362" s="0" t="str">
        <f aca="false">IF($A362="","",IF(COUNTIFS($FU$2:$FU$1000,FU362,$FS$2:$FS$1000,"Y")+COUNTIFS($FU$2:$FU$1000,FU362,$FT$2:$FT$1000,"Y")&gt;0,"Y","N"))</f>
        <v/>
      </c>
      <c r="FW362" s="0" t="str">
        <f aca="false">IF($A362="","",IF(AND(U362="new",T362="N",FT362="N",AT362="Y",FV362="N"),"Y","N"))</f>
        <v/>
      </c>
      <c r="FX362" s="0" t="str">
        <f aca="false">IF($A362="","",IF(FW362&lt;&gt;"Y","N",IF(COUNTIFS($FU$2:$FU$1000,FU362,$FW$2:$FW$1000,"Y",$J$2:$J$1000,"&gt;"&amp;J362)+COUNTIFS($FU$2:$FU$1000,FU362,$FW$2:$FW$1000,"Y",$J$2:$J$1000,J362,$GD$2:$GD$1000,"&lt;"&amp;GD362)=0,"Y","N")))</f>
        <v/>
      </c>
      <c r="FY362" s="0" t="str">
        <f aca="false">IF($A362="","",IF(AND(FW362="Y",FX362="Y",Y362&amp;""&lt;&gt;""),IF(Y362&lt;=10,"Y","N"),"N"))</f>
        <v/>
      </c>
      <c r="FZ362" s="0" t="str">
        <f aca="false">IF(FY362="Y",Y362,"")</f>
        <v/>
      </c>
      <c r="GA362" s="0" t="str">
        <f aca="false">IF($A362="","",IF(AND(I362="walk-in",CN362="pass",U362="new",FT362="N",FV362="N",AQ362&lt;&gt;"Y"),"Y","N"))</f>
        <v/>
      </c>
      <c r="GB362" s="0" t="str">
        <f aca="false">IF(GA362&lt;&gt;"Y","",IF(COUNTIFS($GA$2:$GA$1000,"Y",$J$2:$J$1000,"&gt;"&amp;J362)+COUNTIFS($GA$2:$GA$1000,"Y",$J$2:$J$1000,J362,$GD$2:$GD$1000,"&lt;"&amp;GD362)+1&lt;=25,COUNTIFS($GA$2:$GA$1000,"Y",$J$2:$J$1000,"&gt;"&amp;J362)+COUNTIFS($GA$2:$GA$1000,"Y",$J$2:$J$1000,J362,$GD$2:$GD$1000,"&lt;"&amp;GD362)+1,""))</f>
        <v/>
      </c>
      <c r="GC362" s="0" t="str">
        <f aca="false">IF(AND(_xlfn.ISFORMULA(C362),_xlfn.ISFORMULA(J362)),"Y","N")</f>
        <v>Y</v>
      </c>
      <c r="GD362" s="0" t="n">
        <f aca="false">ROW()-1</f>
        <v>361</v>
      </c>
    </row>
    <row r="363" customFormat="false" ht="15" hidden="false" customHeight="false" outlineLevel="0" collapsed="false">
      <c r="C363" s="0" t="str">
        <f aca="false">IF($A363="","",IF(AW363="Y",BM363&amp;"",AY363&amp;""))</f>
        <v/>
      </c>
      <c r="D363" s="0" t="str">
        <f aca="false">IF($A363="","",IF(AW363="Y",BN363&amp;"",AZ363&amp;""))</f>
        <v/>
      </c>
      <c r="E363" s="0" t="str">
        <f aca="false">IF($A363="","",IF(AW363="Y",BO363&amp;"",BA363&amp;""))</f>
        <v/>
      </c>
      <c r="F363" s="0" t="str">
        <f aca="false">IF($A363="","",IF(AW363="Y",BP363&amp;"",BB363&amp;""))</f>
        <v/>
      </c>
      <c r="G363" s="0" t="str">
        <f aca="false">IF($A363="","",IF(AW363="Y",BQ363&amp;"",BC363&amp;""))</f>
        <v/>
      </c>
      <c r="H363" s="0" t="str">
        <f aca="false">IF($A363="","",IF(AW363="Y",BR363&amp;"",BD363&amp;""))</f>
        <v/>
      </c>
      <c r="I363" s="0" t="str">
        <f aca="false">IF($A363="","",IF(R363="Y","warm-intro",IF(H363="verified","email",IF(C363&lt;&gt;"","linkedin",CB363&amp;""))))</f>
        <v/>
      </c>
      <c r="J363" s="0" t="str">
        <f aca="false">IF($A363="","",IF(CN363="pass",ROUND(N(EM363)+N(EN363)+N(EO363)+N(EP363)+N(EQ363)+N(ER363),1),0))</f>
        <v/>
      </c>
      <c r="K363" s="0" t="str">
        <f aca="false">IF($A363="","",IF(CN363&lt;&gt;"pass",CA363&amp;"",CA363&amp;"; "&amp;IF(AW363="Y",BZ363&amp;"",BL363&amp;"")&amp;IF(R363="Y","; known to the founder (+15)","")&amp;"."))</f>
        <v/>
      </c>
      <c r="R363" s="5"/>
      <c r="U363" s="5"/>
      <c r="Y363" s="0" t="str">
        <f aca="false">IF(FX363&lt;&gt;"Y","",COUNTIFS($FX$2:$FX$1000,"Y",$J$2:$J$1000,"&gt;"&amp;J363)+COUNTIFS($FX$2:$FX$1000,"Y",$J$2:$J$1000,J363,$GD$2:$GD$1000,"&lt;"&amp;GD363)+1)</f>
        <v/>
      </c>
      <c r="AB363" s="0" t="str">
        <f aca="false">IF($A363="","",IF(AW363="Y",BY363&amp;"",BK363&amp;""))</f>
        <v/>
      </c>
      <c r="AC363" s="0" t="str">
        <f aca="false">IF($A363="","",IF(AW363="Y",BS363&amp;"",BE363&amp;""))</f>
        <v/>
      </c>
      <c r="AD363" s="0" t="str">
        <f aca="false">IF($A363="","",IF(AW363="Y",BT363&amp;"",BF363&amp;""))</f>
        <v/>
      </c>
      <c r="AE363" s="0" t="str">
        <f aca="false">IF($A363="","",IF(AW363="Y",BU363&amp;"",BG363&amp;""))</f>
        <v/>
      </c>
      <c r="AF363" s="0" t="str">
        <f aca="false">IF($A363="","",IF(AW363="Y",BV363&amp;"",BH363&amp;""))</f>
        <v/>
      </c>
      <c r="AG363" s="0" t="str">
        <f aca="false">IF($A363="","",IF(AW363="Y",BW363&amp;"",BI363&amp;""))</f>
        <v/>
      </c>
      <c r="AH363" s="0" t="str">
        <f aca="false">IF($A363="","",IF(AW363="Y",BX363&amp;"",BJ363&amp;""))</f>
        <v/>
      </c>
      <c r="AQ363" s="5"/>
      <c r="AT363" s="0" t="str">
        <f aca="false">IF($A363="","",IF(AND(CN363="pass",AQ363&lt;&gt;"Y",C363&lt;&gt;"",OR(AX363&lt;&gt;"Y",AV363="Y")),"Y","N"))</f>
        <v/>
      </c>
      <c r="AU363" s="0" t="str">
        <f aca="false">IF($A363="","",_xlfn.TEXTJOIN("; ",TRUE(),IF(CN363&lt;&gt;"pass","gated out",""),IF(AQ363="Y","on hold: "&amp;AR363,""),IF(C363="","no contact named on an opened page",""),IF(AND(AX363="Y",AV363&lt;&gt;"Y"),"Tuesday estimate band "&amp;L363&amp;": founder's call","")))</f>
        <v/>
      </c>
      <c r="BC363" s="0" t="str">
        <f aca="false">IF($A363="","",IFERROR(INDEX(Enrichment!$A$2:$GZ$2000,MATCH($A363,INDEX(Enrichment!$A$2:$GZ$2000,0,MATCH("row_id",Enrichment!$A$1:$GZ$1,0)),0),MATCH("work_email",Enrichment!$A$1:$GZ$1,0))&amp;"",""))</f>
        <v/>
      </c>
      <c r="BD363" s="0" t="str">
        <f aca="false">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Q363" s="0" t="str">
        <f aca="false">IF($A363="","",IFERROR(INDEX(Enrichment!$A$2:$GZ$2000,MATCH($A363,INDEX(Enrichment!$A$2:$GZ$2000,0,MATCH("row_id",Enrichment!$A$1:$GZ$1,0)),0),MATCH("backup_work_email",Enrichment!$A$1:$GZ$1,0))&amp;"",""))</f>
        <v/>
      </c>
      <c r="BR363" s="0" t="str">
        <f aca="false">IF($A363="","",IF(BQ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EQ363" s="0" t="str">
        <f aca="false">IF($A363="","",IF(AH363="exact",10,IF(AH363="adjacent",5,0)))</f>
        <v/>
      </c>
      <c r="ER363" s="0" t="str">
        <f aca="false">IF($A363="","",IF(R363="Y",15,0))</f>
        <v/>
      </c>
      <c r="FS363" s="0" t="str">
        <f aca="false">IF($A363="","",IF(ISNUMBER(MATCH(U363,{"queued","contacted","replied","call_booked","call_done","yes_in_principle","materials_sent"},0)),"Y","N"))</f>
        <v/>
      </c>
      <c r="FT363" s="0" t="str">
        <f aca="false">IF($A363="","",IF(OR(T363="Y",U363="do_not_contact",AS363&amp;""&lt;&gt;""),"Y","N"))</f>
        <v/>
      </c>
      <c r="FU363" s="0" t="str">
        <f aca="false">IF($A363="","",IF(AP363&amp;""&lt;&gt;"",AP363&amp;"",$A363))</f>
        <v/>
      </c>
      <c r="FV363" s="0" t="str">
        <f aca="false">IF($A363="","",IF(COUNTIFS($FU$2:$FU$1000,FU363,$FS$2:$FS$1000,"Y")+COUNTIFS($FU$2:$FU$1000,FU363,$FT$2:$FT$1000,"Y")&gt;0,"Y","N"))</f>
        <v/>
      </c>
      <c r="FW363" s="0" t="str">
        <f aca="false">IF($A363="","",IF(AND(U363="new",T363="N",FT363="N",AT363="Y",FV363="N"),"Y","N"))</f>
        <v/>
      </c>
      <c r="FX363" s="0" t="str">
        <f aca="false">IF($A363="","",IF(FW363&lt;&gt;"Y","N",IF(COUNTIFS($FU$2:$FU$1000,FU363,$FW$2:$FW$1000,"Y",$J$2:$J$1000,"&gt;"&amp;J363)+COUNTIFS($FU$2:$FU$1000,FU363,$FW$2:$FW$1000,"Y",$J$2:$J$1000,J363,$GD$2:$GD$1000,"&lt;"&amp;GD363)=0,"Y","N")))</f>
        <v/>
      </c>
      <c r="FY363" s="0" t="str">
        <f aca="false">IF($A363="","",IF(AND(FW363="Y",FX363="Y",Y363&amp;""&lt;&gt;""),IF(Y363&lt;=10,"Y","N"),"N"))</f>
        <v/>
      </c>
      <c r="FZ363" s="0" t="str">
        <f aca="false">IF(FY363="Y",Y363,"")</f>
        <v/>
      </c>
      <c r="GA363" s="0" t="str">
        <f aca="false">IF($A363="","",IF(AND(I363="walk-in",CN363="pass",U363="new",FT363="N",FV363="N",AQ363&lt;&gt;"Y"),"Y","N"))</f>
        <v/>
      </c>
      <c r="GB363" s="0" t="str">
        <f aca="false">IF(GA363&lt;&gt;"Y","",IF(COUNTIFS($GA$2:$GA$1000,"Y",$J$2:$J$1000,"&gt;"&amp;J363)+COUNTIFS($GA$2:$GA$1000,"Y",$J$2:$J$1000,J363,$GD$2:$GD$1000,"&lt;"&amp;GD363)+1&lt;=25,COUNTIFS($GA$2:$GA$1000,"Y",$J$2:$J$1000,"&gt;"&amp;J363)+COUNTIFS($GA$2:$GA$1000,"Y",$J$2:$J$1000,J363,$GD$2:$GD$1000,"&lt;"&amp;GD363)+1,""))</f>
        <v/>
      </c>
      <c r="GC363" s="0" t="str">
        <f aca="false">IF(AND(_xlfn.ISFORMULA(C363),_xlfn.ISFORMULA(J363)),"Y","N")</f>
        <v>Y</v>
      </c>
      <c r="GD363" s="0" t="n">
        <f aca="false">ROW()-1</f>
        <v>362</v>
      </c>
    </row>
    <row r="364" customFormat="false" ht="15" hidden="false" customHeight="false" outlineLevel="0" collapsed="false">
      <c r="C364" s="0" t="str">
        <f aca="false">IF($A364="","",IF(AW364="Y",BM364&amp;"",AY364&amp;""))</f>
        <v/>
      </c>
      <c r="D364" s="0" t="str">
        <f aca="false">IF($A364="","",IF(AW364="Y",BN364&amp;"",AZ364&amp;""))</f>
        <v/>
      </c>
      <c r="E364" s="0" t="str">
        <f aca="false">IF($A364="","",IF(AW364="Y",BO364&amp;"",BA364&amp;""))</f>
        <v/>
      </c>
      <c r="F364" s="0" t="str">
        <f aca="false">IF($A364="","",IF(AW364="Y",BP364&amp;"",BB364&amp;""))</f>
        <v/>
      </c>
      <c r="G364" s="0" t="str">
        <f aca="false">IF($A364="","",IF(AW364="Y",BQ364&amp;"",BC364&amp;""))</f>
        <v/>
      </c>
      <c r="H364" s="0" t="str">
        <f aca="false">IF($A364="","",IF(AW364="Y",BR364&amp;"",BD364&amp;""))</f>
        <v/>
      </c>
      <c r="I364" s="0" t="str">
        <f aca="false">IF($A364="","",IF(R364="Y","warm-intro",IF(H364="verified","email",IF(C364&lt;&gt;"","linkedin",CB364&amp;""))))</f>
        <v/>
      </c>
      <c r="J364" s="0" t="str">
        <f aca="false">IF($A364="","",IF(CN364="pass",ROUND(N(EM364)+N(EN364)+N(EO364)+N(EP364)+N(EQ364)+N(ER364),1),0))</f>
        <v/>
      </c>
      <c r="K364" s="0" t="str">
        <f aca="false">IF($A364="","",IF(CN364&lt;&gt;"pass",CA364&amp;"",CA364&amp;"; "&amp;IF(AW364="Y",BZ364&amp;"",BL364&amp;"")&amp;IF(R364="Y","; known to the founder (+15)","")&amp;"."))</f>
        <v/>
      </c>
      <c r="R364" s="5"/>
      <c r="U364" s="5"/>
      <c r="Y364" s="0" t="str">
        <f aca="false">IF(FX364&lt;&gt;"Y","",COUNTIFS($FX$2:$FX$1000,"Y",$J$2:$J$1000,"&gt;"&amp;J364)+COUNTIFS($FX$2:$FX$1000,"Y",$J$2:$J$1000,J364,$GD$2:$GD$1000,"&lt;"&amp;GD364)+1)</f>
        <v/>
      </c>
      <c r="AB364" s="0" t="str">
        <f aca="false">IF($A364="","",IF(AW364="Y",BY364&amp;"",BK364&amp;""))</f>
        <v/>
      </c>
      <c r="AC364" s="0" t="str">
        <f aca="false">IF($A364="","",IF(AW364="Y",BS364&amp;"",BE364&amp;""))</f>
        <v/>
      </c>
      <c r="AD364" s="0" t="str">
        <f aca="false">IF($A364="","",IF(AW364="Y",BT364&amp;"",BF364&amp;""))</f>
        <v/>
      </c>
      <c r="AE364" s="0" t="str">
        <f aca="false">IF($A364="","",IF(AW364="Y",BU364&amp;"",BG364&amp;""))</f>
        <v/>
      </c>
      <c r="AF364" s="0" t="str">
        <f aca="false">IF($A364="","",IF(AW364="Y",BV364&amp;"",BH364&amp;""))</f>
        <v/>
      </c>
      <c r="AG364" s="0" t="str">
        <f aca="false">IF($A364="","",IF(AW364="Y",BW364&amp;"",BI364&amp;""))</f>
        <v/>
      </c>
      <c r="AH364" s="0" t="str">
        <f aca="false">IF($A364="","",IF(AW364="Y",BX364&amp;"",BJ364&amp;""))</f>
        <v/>
      </c>
      <c r="AQ364" s="5"/>
      <c r="AT364" s="0" t="str">
        <f aca="false">IF($A364="","",IF(AND(CN364="pass",AQ364&lt;&gt;"Y",C364&lt;&gt;"",OR(AX364&lt;&gt;"Y",AV364="Y")),"Y","N"))</f>
        <v/>
      </c>
      <c r="AU364" s="0" t="str">
        <f aca="false">IF($A364="","",_xlfn.TEXTJOIN("; ",TRUE(),IF(CN364&lt;&gt;"pass","gated out",""),IF(AQ364="Y","on hold: "&amp;AR364,""),IF(C364="","no contact named on an opened page",""),IF(AND(AX364="Y",AV364&lt;&gt;"Y"),"Tuesday estimate band "&amp;L364&amp;": founder's call","")))</f>
        <v/>
      </c>
      <c r="BC364" s="0" t="str">
        <f aca="false">IF($A364="","",IFERROR(INDEX(Enrichment!$A$2:$GZ$2000,MATCH($A364,INDEX(Enrichment!$A$2:$GZ$2000,0,MATCH("row_id",Enrichment!$A$1:$GZ$1,0)),0),MATCH("work_email",Enrichment!$A$1:$GZ$1,0))&amp;"",""))</f>
        <v/>
      </c>
      <c r="BD364" s="0" t="str">
        <f aca="false">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Q364" s="0" t="str">
        <f aca="false">IF($A364="","",IFERROR(INDEX(Enrichment!$A$2:$GZ$2000,MATCH($A364,INDEX(Enrichment!$A$2:$GZ$2000,0,MATCH("row_id",Enrichment!$A$1:$GZ$1,0)),0),MATCH("backup_work_email",Enrichment!$A$1:$GZ$1,0))&amp;"",""))</f>
        <v/>
      </c>
      <c r="BR364" s="0" t="str">
        <f aca="false">IF($A364="","",IF(BQ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EQ364" s="0" t="str">
        <f aca="false">IF($A364="","",IF(AH364="exact",10,IF(AH364="adjacent",5,0)))</f>
        <v/>
      </c>
      <c r="ER364" s="0" t="str">
        <f aca="false">IF($A364="","",IF(R364="Y",15,0))</f>
        <v/>
      </c>
      <c r="FS364" s="0" t="str">
        <f aca="false">IF($A364="","",IF(ISNUMBER(MATCH(U364,{"queued","contacted","replied","call_booked","call_done","yes_in_principle","materials_sent"},0)),"Y","N"))</f>
        <v/>
      </c>
      <c r="FT364" s="0" t="str">
        <f aca="false">IF($A364="","",IF(OR(T364="Y",U364="do_not_contact",AS364&amp;""&lt;&gt;""),"Y","N"))</f>
        <v/>
      </c>
      <c r="FU364" s="0" t="str">
        <f aca="false">IF($A364="","",IF(AP364&amp;""&lt;&gt;"",AP364&amp;"",$A364))</f>
        <v/>
      </c>
      <c r="FV364" s="0" t="str">
        <f aca="false">IF($A364="","",IF(COUNTIFS($FU$2:$FU$1000,FU364,$FS$2:$FS$1000,"Y")+COUNTIFS($FU$2:$FU$1000,FU364,$FT$2:$FT$1000,"Y")&gt;0,"Y","N"))</f>
        <v/>
      </c>
      <c r="FW364" s="0" t="str">
        <f aca="false">IF($A364="","",IF(AND(U364="new",T364="N",FT364="N",AT364="Y",FV364="N"),"Y","N"))</f>
        <v/>
      </c>
      <c r="FX364" s="0" t="str">
        <f aca="false">IF($A364="","",IF(FW364&lt;&gt;"Y","N",IF(COUNTIFS($FU$2:$FU$1000,FU364,$FW$2:$FW$1000,"Y",$J$2:$J$1000,"&gt;"&amp;J364)+COUNTIFS($FU$2:$FU$1000,FU364,$FW$2:$FW$1000,"Y",$J$2:$J$1000,J364,$GD$2:$GD$1000,"&lt;"&amp;GD364)=0,"Y","N")))</f>
        <v/>
      </c>
      <c r="FY364" s="0" t="str">
        <f aca="false">IF($A364="","",IF(AND(FW364="Y",FX364="Y",Y364&amp;""&lt;&gt;""),IF(Y364&lt;=10,"Y","N"),"N"))</f>
        <v/>
      </c>
      <c r="FZ364" s="0" t="str">
        <f aca="false">IF(FY364="Y",Y364,"")</f>
        <v/>
      </c>
      <c r="GA364" s="0" t="str">
        <f aca="false">IF($A364="","",IF(AND(I364="walk-in",CN364="pass",U364="new",FT364="N",FV364="N",AQ364&lt;&gt;"Y"),"Y","N"))</f>
        <v/>
      </c>
      <c r="GB364" s="0" t="str">
        <f aca="false">IF(GA364&lt;&gt;"Y","",IF(COUNTIFS($GA$2:$GA$1000,"Y",$J$2:$J$1000,"&gt;"&amp;J364)+COUNTIFS($GA$2:$GA$1000,"Y",$J$2:$J$1000,J364,$GD$2:$GD$1000,"&lt;"&amp;GD364)+1&lt;=25,COUNTIFS($GA$2:$GA$1000,"Y",$J$2:$J$1000,"&gt;"&amp;J364)+COUNTIFS($GA$2:$GA$1000,"Y",$J$2:$J$1000,J364,$GD$2:$GD$1000,"&lt;"&amp;GD364)+1,""))</f>
        <v/>
      </c>
      <c r="GC364" s="0" t="str">
        <f aca="false">IF(AND(_xlfn.ISFORMULA(C364),_xlfn.ISFORMULA(J364)),"Y","N")</f>
        <v>Y</v>
      </c>
      <c r="GD364" s="0" t="n">
        <f aca="false">ROW()-1</f>
        <v>363</v>
      </c>
    </row>
    <row r="365" customFormat="false" ht="15" hidden="false" customHeight="false" outlineLevel="0" collapsed="false">
      <c r="C365" s="0" t="str">
        <f aca="false">IF($A365="","",IF(AW365="Y",BM365&amp;"",AY365&amp;""))</f>
        <v/>
      </c>
      <c r="D365" s="0" t="str">
        <f aca="false">IF($A365="","",IF(AW365="Y",BN365&amp;"",AZ365&amp;""))</f>
        <v/>
      </c>
      <c r="E365" s="0" t="str">
        <f aca="false">IF($A365="","",IF(AW365="Y",BO365&amp;"",BA365&amp;""))</f>
        <v/>
      </c>
      <c r="F365" s="0" t="str">
        <f aca="false">IF($A365="","",IF(AW365="Y",BP365&amp;"",BB365&amp;""))</f>
        <v/>
      </c>
      <c r="G365" s="0" t="str">
        <f aca="false">IF($A365="","",IF(AW365="Y",BQ365&amp;"",BC365&amp;""))</f>
        <v/>
      </c>
      <c r="H365" s="0" t="str">
        <f aca="false">IF($A365="","",IF(AW365="Y",BR365&amp;"",BD365&amp;""))</f>
        <v/>
      </c>
      <c r="I365" s="0" t="str">
        <f aca="false">IF($A365="","",IF(R365="Y","warm-intro",IF(H365="verified","email",IF(C365&lt;&gt;"","linkedin",CB365&amp;""))))</f>
        <v/>
      </c>
      <c r="J365" s="0" t="str">
        <f aca="false">IF($A365="","",IF(CN365="pass",ROUND(N(EM365)+N(EN365)+N(EO365)+N(EP365)+N(EQ365)+N(ER365),1),0))</f>
        <v/>
      </c>
      <c r="K365" s="0" t="str">
        <f aca="false">IF($A365="","",IF(CN365&lt;&gt;"pass",CA365&amp;"",CA365&amp;"; "&amp;IF(AW365="Y",BZ365&amp;"",BL365&amp;"")&amp;IF(R365="Y","; known to the founder (+15)","")&amp;"."))</f>
        <v/>
      </c>
      <c r="R365" s="5"/>
      <c r="U365" s="5"/>
      <c r="Y365" s="0" t="str">
        <f aca="false">IF(FX365&lt;&gt;"Y","",COUNTIFS($FX$2:$FX$1000,"Y",$J$2:$J$1000,"&gt;"&amp;J365)+COUNTIFS($FX$2:$FX$1000,"Y",$J$2:$J$1000,J365,$GD$2:$GD$1000,"&lt;"&amp;GD365)+1)</f>
        <v/>
      </c>
      <c r="AB365" s="0" t="str">
        <f aca="false">IF($A365="","",IF(AW365="Y",BY365&amp;"",BK365&amp;""))</f>
        <v/>
      </c>
      <c r="AC365" s="0" t="str">
        <f aca="false">IF($A365="","",IF(AW365="Y",BS365&amp;"",BE365&amp;""))</f>
        <v/>
      </c>
      <c r="AD365" s="0" t="str">
        <f aca="false">IF($A365="","",IF(AW365="Y",BT365&amp;"",BF365&amp;""))</f>
        <v/>
      </c>
      <c r="AE365" s="0" t="str">
        <f aca="false">IF($A365="","",IF(AW365="Y",BU365&amp;"",BG365&amp;""))</f>
        <v/>
      </c>
      <c r="AF365" s="0" t="str">
        <f aca="false">IF($A365="","",IF(AW365="Y",BV365&amp;"",BH365&amp;""))</f>
        <v/>
      </c>
      <c r="AG365" s="0" t="str">
        <f aca="false">IF($A365="","",IF(AW365="Y",BW365&amp;"",BI365&amp;""))</f>
        <v/>
      </c>
      <c r="AH365" s="0" t="str">
        <f aca="false">IF($A365="","",IF(AW365="Y",BX365&amp;"",BJ365&amp;""))</f>
        <v/>
      </c>
      <c r="AQ365" s="5"/>
      <c r="AT365" s="0" t="str">
        <f aca="false">IF($A365="","",IF(AND(CN365="pass",AQ365&lt;&gt;"Y",C365&lt;&gt;"",OR(AX365&lt;&gt;"Y",AV365="Y")),"Y","N"))</f>
        <v/>
      </c>
      <c r="AU365" s="0" t="str">
        <f aca="false">IF($A365="","",_xlfn.TEXTJOIN("; ",TRUE(),IF(CN365&lt;&gt;"pass","gated out",""),IF(AQ365="Y","on hold: "&amp;AR365,""),IF(C365="","no contact named on an opened page",""),IF(AND(AX365="Y",AV365&lt;&gt;"Y"),"Tuesday estimate band "&amp;L365&amp;": founder's call","")))</f>
        <v/>
      </c>
      <c r="BC365" s="0" t="str">
        <f aca="false">IF($A365="","",IFERROR(INDEX(Enrichment!$A$2:$GZ$2000,MATCH($A365,INDEX(Enrichment!$A$2:$GZ$2000,0,MATCH("row_id",Enrichment!$A$1:$GZ$1,0)),0),MATCH("work_email",Enrichment!$A$1:$GZ$1,0))&amp;"",""))</f>
        <v/>
      </c>
      <c r="BD365" s="0" t="str">
        <f aca="false">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Q365" s="0" t="str">
        <f aca="false">IF($A365="","",IFERROR(INDEX(Enrichment!$A$2:$GZ$2000,MATCH($A365,INDEX(Enrichment!$A$2:$GZ$2000,0,MATCH("row_id",Enrichment!$A$1:$GZ$1,0)),0),MATCH("backup_work_email",Enrichment!$A$1:$GZ$1,0))&amp;"",""))</f>
        <v/>
      </c>
      <c r="BR365" s="0" t="str">
        <f aca="false">IF($A365="","",IF(BQ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EQ365" s="0" t="str">
        <f aca="false">IF($A365="","",IF(AH365="exact",10,IF(AH365="adjacent",5,0)))</f>
        <v/>
      </c>
      <c r="ER365" s="0" t="str">
        <f aca="false">IF($A365="","",IF(R365="Y",15,0))</f>
        <v/>
      </c>
      <c r="FS365" s="0" t="str">
        <f aca="false">IF($A365="","",IF(ISNUMBER(MATCH(U365,{"queued","contacted","replied","call_booked","call_done","yes_in_principle","materials_sent"},0)),"Y","N"))</f>
        <v/>
      </c>
      <c r="FT365" s="0" t="str">
        <f aca="false">IF($A365="","",IF(OR(T365="Y",U365="do_not_contact",AS365&amp;""&lt;&gt;""),"Y","N"))</f>
        <v/>
      </c>
      <c r="FU365" s="0" t="str">
        <f aca="false">IF($A365="","",IF(AP365&amp;""&lt;&gt;"",AP365&amp;"",$A365))</f>
        <v/>
      </c>
      <c r="FV365" s="0" t="str">
        <f aca="false">IF($A365="","",IF(COUNTIFS($FU$2:$FU$1000,FU365,$FS$2:$FS$1000,"Y")+COUNTIFS($FU$2:$FU$1000,FU365,$FT$2:$FT$1000,"Y")&gt;0,"Y","N"))</f>
        <v/>
      </c>
      <c r="FW365" s="0" t="str">
        <f aca="false">IF($A365="","",IF(AND(U365="new",T365="N",FT365="N",AT365="Y",FV365="N"),"Y","N"))</f>
        <v/>
      </c>
      <c r="FX365" s="0" t="str">
        <f aca="false">IF($A365="","",IF(FW365&lt;&gt;"Y","N",IF(COUNTIFS($FU$2:$FU$1000,FU365,$FW$2:$FW$1000,"Y",$J$2:$J$1000,"&gt;"&amp;J365)+COUNTIFS($FU$2:$FU$1000,FU365,$FW$2:$FW$1000,"Y",$J$2:$J$1000,J365,$GD$2:$GD$1000,"&lt;"&amp;GD365)=0,"Y","N")))</f>
        <v/>
      </c>
      <c r="FY365" s="0" t="str">
        <f aca="false">IF($A365="","",IF(AND(FW365="Y",FX365="Y",Y365&amp;""&lt;&gt;""),IF(Y365&lt;=10,"Y","N"),"N"))</f>
        <v/>
      </c>
      <c r="FZ365" s="0" t="str">
        <f aca="false">IF(FY365="Y",Y365,"")</f>
        <v/>
      </c>
      <c r="GA365" s="0" t="str">
        <f aca="false">IF($A365="","",IF(AND(I365="walk-in",CN365="pass",U365="new",FT365="N",FV365="N",AQ365&lt;&gt;"Y"),"Y","N"))</f>
        <v/>
      </c>
      <c r="GB365" s="0" t="str">
        <f aca="false">IF(GA365&lt;&gt;"Y","",IF(COUNTIFS($GA$2:$GA$1000,"Y",$J$2:$J$1000,"&gt;"&amp;J365)+COUNTIFS($GA$2:$GA$1000,"Y",$J$2:$J$1000,J365,$GD$2:$GD$1000,"&lt;"&amp;GD365)+1&lt;=25,COUNTIFS($GA$2:$GA$1000,"Y",$J$2:$J$1000,"&gt;"&amp;J365)+COUNTIFS($GA$2:$GA$1000,"Y",$J$2:$J$1000,J365,$GD$2:$GD$1000,"&lt;"&amp;GD365)+1,""))</f>
        <v/>
      </c>
      <c r="GC365" s="0" t="str">
        <f aca="false">IF(AND(_xlfn.ISFORMULA(C365),_xlfn.ISFORMULA(J365)),"Y","N")</f>
        <v>Y</v>
      </c>
      <c r="GD365" s="0" t="n">
        <f aca="false">ROW()-1</f>
        <v>364</v>
      </c>
    </row>
    <row r="366" customFormat="false" ht="15" hidden="false" customHeight="false" outlineLevel="0" collapsed="false">
      <c r="C366" s="0" t="str">
        <f aca="false">IF($A366="","",IF(AW366="Y",BM366&amp;"",AY366&amp;""))</f>
        <v/>
      </c>
      <c r="D366" s="0" t="str">
        <f aca="false">IF($A366="","",IF(AW366="Y",BN366&amp;"",AZ366&amp;""))</f>
        <v/>
      </c>
      <c r="E366" s="0" t="str">
        <f aca="false">IF($A366="","",IF(AW366="Y",BO366&amp;"",BA366&amp;""))</f>
        <v/>
      </c>
      <c r="F366" s="0" t="str">
        <f aca="false">IF($A366="","",IF(AW366="Y",BP366&amp;"",BB366&amp;""))</f>
        <v/>
      </c>
      <c r="G366" s="0" t="str">
        <f aca="false">IF($A366="","",IF(AW366="Y",BQ366&amp;"",BC366&amp;""))</f>
        <v/>
      </c>
      <c r="H366" s="0" t="str">
        <f aca="false">IF($A366="","",IF(AW366="Y",BR366&amp;"",BD366&amp;""))</f>
        <v/>
      </c>
      <c r="I366" s="0" t="str">
        <f aca="false">IF($A366="","",IF(R366="Y","warm-intro",IF(H366="verified","email",IF(C366&lt;&gt;"","linkedin",CB366&amp;""))))</f>
        <v/>
      </c>
      <c r="J366" s="0" t="str">
        <f aca="false">IF($A366="","",IF(CN366="pass",ROUND(N(EM366)+N(EN366)+N(EO366)+N(EP366)+N(EQ366)+N(ER366),1),0))</f>
        <v/>
      </c>
      <c r="K366" s="0" t="str">
        <f aca="false">IF($A366="","",IF(CN366&lt;&gt;"pass",CA366&amp;"",CA366&amp;"; "&amp;IF(AW366="Y",BZ366&amp;"",BL366&amp;"")&amp;IF(R366="Y","; known to the founder (+15)","")&amp;"."))</f>
        <v/>
      </c>
      <c r="R366" s="5"/>
      <c r="U366" s="5"/>
      <c r="Y366" s="0" t="str">
        <f aca="false">IF(FX366&lt;&gt;"Y","",COUNTIFS($FX$2:$FX$1000,"Y",$J$2:$J$1000,"&gt;"&amp;J366)+COUNTIFS($FX$2:$FX$1000,"Y",$J$2:$J$1000,J366,$GD$2:$GD$1000,"&lt;"&amp;GD366)+1)</f>
        <v/>
      </c>
      <c r="AB366" s="0" t="str">
        <f aca="false">IF($A366="","",IF(AW366="Y",BY366&amp;"",BK366&amp;""))</f>
        <v/>
      </c>
      <c r="AC366" s="0" t="str">
        <f aca="false">IF($A366="","",IF(AW366="Y",BS366&amp;"",BE366&amp;""))</f>
        <v/>
      </c>
      <c r="AD366" s="0" t="str">
        <f aca="false">IF($A366="","",IF(AW366="Y",BT366&amp;"",BF366&amp;""))</f>
        <v/>
      </c>
      <c r="AE366" s="0" t="str">
        <f aca="false">IF($A366="","",IF(AW366="Y",BU366&amp;"",BG366&amp;""))</f>
        <v/>
      </c>
      <c r="AF366" s="0" t="str">
        <f aca="false">IF($A366="","",IF(AW366="Y",BV366&amp;"",BH366&amp;""))</f>
        <v/>
      </c>
      <c r="AG366" s="0" t="str">
        <f aca="false">IF($A366="","",IF(AW366="Y",BW366&amp;"",BI366&amp;""))</f>
        <v/>
      </c>
      <c r="AH366" s="0" t="str">
        <f aca="false">IF($A366="","",IF(AW366="Y",BX366&amp;"",BJ366&amp;""))</f>
        <v/>
      </c>
      <c r="AQ366" s="5"/>
      <c r="AT366" s="0" t="str">
        <f aca="false">IF($A366="","",IF(AND(CN366="pass",AQ366&lt;&gt;"Y",C366&lt;&gt;"",OR(AX366&lt;&gt;"Y",AV366="Y")),"Y","N"))</f>
        <v/>
      </c>
      <c r="AU366" s="0" t="str">
        <f aca="false">IF($A366="","",_xlfn.TEXTJOIN("; ",TRUE(),IF(CN366&lt;&gt;"pass","gated out",""),IF(AQ366="Y","on hold: "&amp;AR366,""),IF(C366="","no contact named on an opened page",""),IF(AND(AX366="Y",AV366&lt;&gt;"Y"),"Tuesday estimate band "&amp;L366&amp;": founder's call","")))</f>
        <v/>
      </c>
      <c r="BC366" s="0" t="str">
        <f aca="false">IF($A366="","",IFERROR(INDEX(Enrichment!$A$2:$GZ$2000,MATCH($A366,INDEX(Enrichment!$A$2:$GZ$2000,0,MATCH("row_id",Enrichment!$A$1:$GZ$1,0)),0),MATCH("work_email",Enrichment!$A$1:$GZ$1,0))&amp;"",""))</f>
        <v/>
      </c>
      <c r="BD366" s="0" t="str">
        <f aca="false">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Q366" s="0" t="str">
        <f aca="false">IF($A366="","",IFERROR(INDEX(Enrichment!$A$2:$GZ$2000,MATCH($A366,INDEX(Enrichment!$A$2:$GZ$2000,0,MATCH("row_id",Enrichment!$A$1:$GZ$1,0)),0),MATCH("backup_work_email",Enrichment!$A$1:$GZ$1,0))&amp;"",""))</f>
        <v/>
      </c>
      <c r="BR366" s="0" t="str">
        <f aca="false">IF($A366="","",IF(BQ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EQ366" s="0" t="str">
        <f aca="false">IF($A366="","",IF(AH366="exact",10,IF(AH366="adjacent",5,0)))</f>
        <v/>
      </c>
      <c r="ER366" s="0" t="str">
        <f aca="false">IF($A366="","",IF(R366="Y",15,0))</f>
        <v/>
      </c>
      <c r="FS366" s="0" t="str">
        <f aca="false">IF($A366="","",IF(ISNUMBER(MATCH(U366,{"queued","contacted","replied","call_booked","call_done","yes_in_principle","materials_sent"},0)),"Y","N"))</f>
        <v/>
      </c>
      <c r="FT366" s="0" t="str">
        <f aca="false">IF($A366="","",IF(OR(T366="Y",U366="do_not_contact",AS366&amp;""&lt;&gt;""),"Y","N"))</f>
        <v/>
      </c>
      <c r="FU366" s="0" t="str">
        <f aca="false">IF($A366="","",IF(AP366&amp;""&lt;&gt;"",AP366&amp;"",$A366))</f>
        <v/>
      </c>
      <c r="FV366" s="0" t="str">
        <f aca="false">IF($A366="","",IF(COUNTIFS($FU$2:$FU$1000,FU366,$FS$2:$FS$1000,"Y")+COUNTIFS($FU$2:$FU$1000,FU366,$FT$2:$FT$1000,"Y")&gt;0,"Y","N"))</f>
        <v/>
      </c>
      <c r="FW366" s="0" t="str">
        <f aca="false">IF($A366="","",IF(AND(U366="new",T366="N",FT366="N",AT366="Y",FV366="N"),"Y","N"))</f>
        <v/>
      </c>
      <c r="FX366" s="0" t="str">
        <f aca="false">IF($A366="","",IF(FW366&lt;&gt;"Y","N",IF(COUNTIFS($FU$2:$FU$1000,FU366,$FW$2:$FW$1000,"Y",$J$2:$J$1000,"&gt;"&amp;J366)+COUNTIFS($FU$2:$FU$1000,FU366,$FW$2:$FW$1000,"Y",$J$2:$J$1000,J366,$GD$2:$GD$1000,"&lt;"&amp;GD366)=0,"Y","N")))</f>
        <v/>
      </c>
      <c r="FY366" s="0" t="str">
        <f aca="false">IF($A366="","",IF(AND(FW366="Y",FX366="Y",Y366&amp;""&lt;&gt;""),IF(Y366&lt;=10,"Y","N"),"N"))</f>
        <v/>
      </c>
      <c r="FZ366" s="0" t="str">
        <f aca="false">IF(FY366="Y",Y366,"")</f>
        <v/>
      </c>
      <c r="GA366" s="0" t="str">
        <f aca="false">IF($A366="","",IF(AND(I366="walk-in",CN366="pass",U366="new",FT366="N",FV366="N",AQ366&lt;&gt;"Y"),"Y","N"))</f>
        <v/>
      </c>
      <c r="GB366" s="0" t="str">
        <f aca="false">IF(GA366&lt;&gt;"Y","",IF(COUNTIFS($GA$2:$GA$1000,"Y",$J$2:$J$1000,"&gt;"&amp;J366)+COUNTIFS($GA$2:$GA$1000,"Y",$J$2:$J$1000,J366,$GD$2:$GD$1000,"&lt;"&amp;GD366)+1&lt;=25,COUNTIFS($GA$2:$GA$1000,"Y",$J$2:$J$1000,"&gt;"&amp;J366)+COUNTIFS($GA$2:$GA$1000,"Y",$J$2:$J$1000,J366,$GD$2:$GD$1000,"&lt;"&amp;GD366)+1,""))</f>
        <v/>
      </c>
      <c r="GC366" s="0" t="str">
        <f aca="false">IF(AND(_xlfn.ISFORMULA(C366),_xlfn.ISFORMULA(J366)),"Y","N")</f>
        <v>Y</v>
      </c>
      <c r="GD366" s="0" t="n">
        <f aca="false">ROW()-1</f>
        <v>365</v>
      </c>
    </row>
    <row r="367" customFormat="false" ht="15" hidden="false" customHeight="false" outlineLevel="0" collapsed="false">
      <c r="C367" s="0" t="str">
        <f aca="false">IF($A367="","",IF(AW367="Y",BM367&amp;"",AY367&amp;""))</f>
        <v/>
      </c>
      <c r="D367" s="0" t="str">
        <f aca="false">IF($A367="","",IF(AW367="Y",BN367&amp;"",AZ367&amp;""))</f>
        <v/>
      </c>
      <c r="E367" s="0" t="str">
        <f aca="false">IF($A367="","",IF(AW367="Y",BO367&amp;"",BA367&amp;""))</f>
        <v/>
      </c>
      <c r="F367" s="0" t="str">
        <f aca="false">IF($A367="","",IF(AW367="Y",BP367&amp;"",BB367&amp;""))</f>
        <v/>
      </c>
      <c r="G367" s="0" t="str">
        <f aca="false">IF($A367="","",IF(AW367="Y",BQ367&amp;"",BC367&amp;""))</f>
        <v/>
      </c>
      <c r="H367" s="0" t="str">
        <f aca="false">IF($A367="","",IF(AW367="Y",BR367&amp;"",BD367&amp;""))</f>
        <v/>
      </c>
      <c r="I367" s="0" t="str">
        <f aca="false">IF($A367="","",IF(R367="Y","warm-intro",IF(H367="verified","email",IF(C367&lt;&gt;"","linkedin",CB367&amp;""))))</f>
        <v/>
      </c>
      <c r="J367" s="0" t="str">
        <f aca="false">IF($A367="","",IF(CN367="pass",ROUND(N(EM367)+N(EN367)+N(EO367)+N(EP367)+N(EQ367)+N(ER367),1),0))</f>
        <v/>
      </c>
      <c r="K367" s="0" t="str">
        <f aca="false">IF($A367="","",IF(CN367&lt;&gt;"pass",CA367&amp;"",CA367&amp;"; "&amp;IF(AW367="Y",BZ367&amp;"",BL367&amp;"")&amp;IF(R367="Y","; known to the founder (+15)","")&amp;"."))</f>
        <v/>
      </c>
      <c r="R367" s="5"/>
      <c r="U367" s="5"/>
      <c r="Y367" s="0" t="str">
        <f aca="false">IF(FX367&lt;&gt;"Y","",COUNTIFS($FX$2:$FX$1000,"Y",$J$2:$J$1000,"&gt;"&amp;J367)+COUNTIFS($FX$2:$FX$1000,"Y",$J$2:$J$1000,J367,$GD$2:$GD$1000,"&lt;"&amp;GD367)+1)</f>
        <v/>
      </c>
      <c r="AB367" s="0" t="str">
        <f aca="false">IF($A367="","",IF(AW367="Y",BY367&amp;"",BK367&amp;""))</f>
        <v/>
      </c>
      <c r="AC367" s="0" t="str">
        <f aca="false">IF($A367="","",IF(AW367="Y",BS367&amp;"",BE367&amp;""))</f>
        <v/>
      </c>
      <c r="AD367" s="0" t="str">
        <f aca="false">IF($A367="","",IF(AW367="Y",BT367&amp;"",BF367&amp;""))</f>
        <v/>
      </c>
      <c r="AE367" s="0" t="str">
        <f aca="false">IF($A367="","",IF(AW367="Y",BU367&amp;"",BG367&amp;""))</f>
        <v/>
      </c>
      <c r="AF367" s="0" t="str">
        <f aca="false">IF($A367="","",IF(AW367="Y",BV367&amp;"",BH367&amp;""))</f>
        <v/>
      </c>
      <c r="AG367" s="0" t="str">
        <f aca="false">IF($A367="","",IF(AW367="Y",BW367&amp;"",BI367&amp;""))</f>
        <v/>
      </c>
      <c r="AH367" s="0" t="str">
        <f aca="false">IF($A367="","",IF(AW367="Y",BX367&amp;"",BJ367&amp;""))</f>
        <v/>
      </c>
      <c r="AQ367" s="5"/>
      <c r="AT367" s="0" t="str">
        <f aca="false">IF($A367="","",IF(AND(CN367="pass",AQ367&lt;&gt;"Y",C367&lt;&gt;"",OR(AX367&lt;&gt;"Y",AV367="Y")),"Y","N"))</f>
        <v/>
      </c>
      <c r="AU367" s="0" t="str">
        <f aca="false">IF($A367="","",_xlfn.TEXTJOIN("; ",TRUE(),IF(CN367&lt;&gt;"pass","gated out",""),IF(AQ367="Y","on hold: "&amp;AR367,""),IF(C367="","no contact named on an opened page",""),IF(AND(AX367="Y",AV367&lt;&gt;"Y"),"Tuesday estimate band "&amp;L367&amp;": founder's call","")))</f>
        <v/>
      </c>
      <c r="BC367" s="0" t="str">
        <f aca="false">IF($A367="","",IFERROR(INDEX(Enrichment!$A$2:$GZ$2000,MATCH($A367,INDEX(Enrichment!$A$2:$GZ$2000,0,MATCH("row_id",Enrichment!$A$1:$GZ$1,0)),0),MATCH("work_email",Enrichment!$A$1:$GZ$1,0))&amp;"",""))</f>
        <v/>
      </c>
      <c r="BD367" s="0" t="str">
        <f aca="false">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Q367" s="0" t="str">
        <f aca="false">IF($A367="","",IFERROR(INDEX(Enrichment!$A$2:$GZ$2000,MATCH($A367,INDEX(Enrichment!$A$2:$GZ$2000,0,MATCH("row_id",Enrichment!$A$1:$GZ$1,0)),0),MATCH("backup_work_email",Enrichment!$A$1:$GZ$1,0))&amp;"",""))</f>
        <v/>
      </c>
      <c r="BR367" s="0" t="str">
        <f aca="false">IF($A367="","",IF(BQ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EQ367" s="0" t="str">
        <f aca="false">IF($A367="","",IF(AH367="exact",10,IF(AH367="adjacent",5,0)))</f>
        <v/>
      </c>
      <c r="ER367" s="0" t="str">
        <f aca="false">IF($A367="","",IF(R367="Y",15,0))</f>
        <v/>
      </c>
      <c r="FS367" s="0" t="str">
        <f aca="false">IF($A367="","",IF(ISNUMBER(MATCH(U367,{"queued","contacted","replied","call_booked","call_done","yes_in_principle","materials_sent"},0)),"Y","N"))</f>
        <v/>
      </c>
      <c r="FT367" s="0" t="str">
        <f aca="false">IF($A367="","",IF(OR(T367="Y",U367="do_not_contact",AS367&amp;""&lt;&gt;""),"Y","N"))</f>
        <v/>
      </c>
      <c r="FU367" s="0" t="str">
        <f aca="false">IF($A367="","",IF(AP367&amp;""&lt;&gt;"",AP367&amp;"",$A367))</f>
        <v/>
      </c>
      <c r="FV367" s="0" t="str">
        <f aca="false">IF($A367="","",IF(COUNTIFS($FU$2:$FU$1000,FU367,$FS$2:$FS$1000,"Y")+COUNTIFS($FU$2:$FU$1000,FU367,$FT$2:$FT$1000,"Y")&gt;0,"Y","N"))</f>
        <v/>
      </c>
      <c r="FW367" s="0" t="str">
        <f aca="false">IF($A367="","",IF(AND(U367="new",T367="N",FT367="N",AT367="Y",FV367="N"),"Y","N"))</f>
        <v/>
      </c>
      <c r="FX367" s="0" t="str">
        <f aca="false">IF($A367="","",IF(FW367&lt;&gt;"Y","N",IF(COUNTIFS($FU$2:$FU$1000,FU367,$FW$2:$FW$1000,"Y",$J$2:$J$1000,"&gt;"&amp;J367)+COUNTIFS($FU$2:$FU$1000,FU367,$FW$2:$FW$1000,"Y",$J$2:$J$1000,J367,$GD$2:$GD$1000,"&lt;"&amp;GD367)=0,"Y","N")))</f>
        <v/>
      </c>
      <c r="FY367" s="0" t="str">
        <f aca="false">IF($A367="","",IF(AND(FW367="Y",FX367="Y",Y367&amp;""&lt;&gt;""),IF(Y367&lt;=10,"Y","N"),"N"))</f>
        <v/>
      </c>
      <c r="FZ367" s="0" t="str">
        <f aca="false">IF(FY367="Y",Y367,"")</f>
        <v/>
      </c>
      <c r="GA367" s="0" t="str">
        <f aca="false">IF($A367="","",IF(AND(I367="walk-in",CN367="pass",U367="new",FT367="N",FV367="N",AQ367&lt;&gt;"Y"),"Y","N"))</f>
        <v/>
      </c>
      <c r="GB367" s="0" t="str">
        <f aca="false">IF(GA367&lt;&gt;"Y","",IF(COUNTIFS($GA$2:$GA$1000,"Y",$J$2:$J$1000,"&gt;"&amp;J367)+COUNTIFS($GA$2:$GA$1000,"Y",$J$2:$J$1000,J367,$GD$2:$GD$1000,"&lt;"&amp;GD367)+1&lt;=25,COUNTIFS($GA$2:$GA$1000,"Y",$J$2:$J$1000,"&gt;"&amp;J367)+COUNTIFS($GA$2:$GA$1000,"Y",$J$2:$J$1000,J367,$GD$2:$GD$1000,"&lt;"&amp;GD367)+1,""))</f>
        <v/>
      </c>
      <c r="GC367" s="0" t="str">
        <f aca="false">IF(AND(_xlfn.ISFORMULA(C367),_xlfn.ISFORMULA(J367)),"Y","N")</f>
        <v>Y</v>
      </c>
      <c r="GD367" s="0" t="n">
        <f aca="false">ROW()-1</f>
        <v>366</v>
      </c>
    </row>
    <row r="368" customFormat="false" ht="15" hidden="false" customHeight="false" outlineLevel="0" collapsed="false">
      <c r="C368" s="0" t="str">
        <f aca="false">IF($A368="","",IF(AW368="Y",BM368&amp;"",AY368&amp;""))</f>
        <v/>
      </c>
      <c r="D368" s="0" t="str">
        <f aca="false">IF($A368="","",IF(AW368="Y",BN368&amp;"",AZ368&amp;""))</f>
        <v/>
      </c>
      <c r="E368" s="0" t="str">
        <f aca="false">IF($A368="","",IF(AW368="Y",BO368&amp;"",BA368&amp;""))</f>
        <v/>
      </c>
      <c r="F368" s="0" t="str">
        <f aca="false">IF($A368="","",IF(AW368="Y",BP368&amp;"",BB368&amp;""))</f>
        <v/>
      </c>
      <c r="G368" s="0" t="str">
        <f aca="false">IF($A368="","",IF(AW368="Y",BQ368&amp;"",BC368&amp;""))</f>
        <v/>
      </c>
      <c r="H368" s="0" t="str">
        <f aca="false">IF($A368="","",IF(AW368="Y",BR368&amp;"",BD368&amp;""))</f>
        <v/>
      </c>
      <c r="I368" s="0" t="str">
        <f aca="false">IF($A368="","",IF(R368="Y","warm-intro",IF(H368="verified","email",IF(C368&lt;&gt;"","linkedin",CB368&amp;""))))</f>
        <v/>
      </c>
      <c r="J368" s="0" t="str">
        <f aca="false">IF($A368="","",IF(CN368="pass",ROUND(N(EM368)+N(EN368)+N(EO368)+N(EP368)+N(EQ368)+N(ER368),1),0))</f>
        <v/>
      </c>
      <c r="K368" s="0" t="str">
        <f aca="false">IF($A368="","",IF(CN368&lt;&gt;"pass",CA368&amp;"",CA368&amp;"; "&amp;IF(AW368="Y",BZ368&amp;"",BL368&amp;"")&amp;IF(R368="Y","; known to the founder (+15)","")&amp;"."))</f>
        <v/>
      </c>
      <c r="R368" s="5"/>
      <c r="U368" s="5"/>
      <c r="Y368" s="0" t="str">
        <f aca="false">IF(FX368&lt;&gt;"Y","",COUNTIFS($FX$2:$FX$1000,"Y",$J$2:$J$1000,"&gt;"&amp;J368)+COUNTIFS($FX$2:$FX$1000,"Y",$J$2:$J$1000,J368,$GD$2:$GD$1000,"&lt;"&amp;GD368)+1)</f>
        <v/>
      </c>
      <c r="AB368" s="0" t="str">
        <f aca="false">IF($A368="","",IF(AW368="Y",BY368&amp;"",BK368&amp;""))</f>
        <v/>
      </c>
      <c r="AC368" s="0" t="str">
        <f aca="false">IF($A368="","",IF(AW368="Y",BS368&amp;"",BE368&amp;""))</f>
        <v/>
      </c>
      <c r="AD368" s="0" t="str">
        <f aca="false">IF($A368="","",IF(AW368="Y",BT368&amp;"",BF368&amp;""))</f>
        <v/>
      </c>
      <c r="AE368" s="0" t="str">
        <f aca="false">IF($A368="","",IF(AW368="Y",BU368&amp;"",BG368&amp;""))</f>
        <v/>
      </c>
      <c r="AF368" s="0" t="str">
        <f aca="false">IF($A368="","",IF(AW368="Y",BV368&amp;"",BH368&amp;""))</f>
        <v/>
      </c>
      <c r="AG368" s="0" t="str">
        <f aca="false">IF($A368="","",IF(AW368="Y",BW368&amp;"",BI368&amp;""))</f>
        <v/>
      </c>
      <c r="AH368" s="0" t="str">
        <f aca="false">IF($A368="","",IF(AW368="Y",BX368&amp;"",BJ368&amp;""))</f>
        <v/>
      </c>
      <c r="AQ368" s="5"/>
      <c r="AT368" s="0" t="str">
        <f aca="false">IF($A368="","",IF(AND(CN368="pass",AQ368&lt;&gt;"Y",C368&lt;&gt;"",OR(AX368&lt;&gt;"Y",AV368="Y")),"Y","N"))</f>
        <v/>
      </c>
      <c r="AU368" s="0" t="str">
        <f aca="false">IF($A368="","",_xlfn.TEXTJOIN("; ",TRUE(),IF(CN368&lt;&gt;"pass","gated out",""),IF(AQ368="Y","on hold: "&amp;AR368,""),IF(C368="","no contact named on an opened page",""),IF(AND(AX368="Y",AV368&lt;&gt;"Y"),"Tuesday estimate band "&amp;L368&amp;": founder's call","")))</f>
        <v/>
      </c>
      <c r="BC368" s="0" t="str">
        <f aca="false">IF($A368="","",IFERROR(INDEX(Enrichment!$A$2:$GZ$2000,MATCH($A368,INDEX(Enrichment!$A$2:$GZ$2000,0,MATCH("row_id",Enrichment!$A$1:$GZ$1,0)),0),MATCH("work_email",Enrichment!$A$1:$GZ$1,0))&amp;"",""))</f>
        <v/>
      </c>
      <c r="BD368" s="0" t="str">
        <f aca="false">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Q368" s="0" t="str">
        <f aca="false">IF($A368="","",IFERROR(INDEX(Enrichment!$A$2:$GZ$2000,MATCH($A368,INDEX(Enrichment!$A$2:$GZ$2000,0,MATCH("row_id",Enrichment!$A$1:$GZ$1,0)),0),MATCH("backup_work_email",Enrichment!$A$1:$GZ$1,0))&amp;"",""))</f>
        <v/>
      </c>
      <c r="BR368" s="0" t="str">
        <f aca="false">IF($A368="","",IF(BQ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EQ368" s="0" t="str">
        <f aca="false">IF($A368="","",IF(AH368="exact",10,IF(AH368="adjacent",5,0)))</f>
        <v/>
      </c>
      <c r="ER368" s="0" t="str">
        <f aca="false">IF($A368="","",IF(R368="Y",15,0))</f>
        <v/>
      </c>
      <c r="FS368" s="0" t="str">
        <f aca="false">IF($A368="","",IF(ISNUMBER(MATCH(U368,{"queued","contacted","replied","call_booked","call_done","yes_in_principle","materials_sent"},0)),"Y","N"))</f>
        <v/>
      </c>
      <c r="FT368" s="0" t="str">
        <f aca="false">IF($A368="","",IF(OR(T368="Y",U368="do_not_contact",AS368&amp;""&lt;&gt;""),"Y","N"))</f>
        <v/>
      </c>
      <c r="FU368" s="0" t="str">
        <f aca="false">IF($A368="","",IF(AP368&amp;""&lt;&gt;"",AP368&amp;"",$A368))</f>
        <v/>
      </c>
      <c r="FV368" s="0" t="str">
        <f aca="false">IF($A368="","",IF(COUNTIFS($FU$2:$FU$1000,FU368,$FS$2:$FS$1000,"Y")+COUNTIFS($FU$2:$FU$1000,FU368,$FT$2:$FT$1000,"Y")&gt;0,"Y","N"))</f>
        <v/>
      </c>
      <c r="FW368" s="0" t="str">
        <f aca="false">IF($A368="","",IF(AND(U368="new",T368="N",FT368="N",AT368="Y",FV368="N"),"Y","N"))</f>
        <v/>
      </c>
      <c r="FX368" s="0" t="str">
        <f aca="false">IF($A368="","",IF(FW368&lt;&gt;"Y","N",IF(COUNTIFS($FU$2:$FU$1000,FU368,$FW$2:$FW$1000,"Y",$J$2:$J$1000,"&gt;"&amp;J368)+COUNTIFS($FU$2:$FU$1000,FU368,$FW$2:$FW$1000,"Y",$J$2:$J$1000,J368,$GD$2:$GD$1000,"&lt;"&amp;GD368)=0,"Y","N")))</f>
        <v/>
      </c>
      <c r="FY368" s="0" t="str">
        <f aca="false">IF($A368="","",IF(AND(FW368="Y",FX368="Y",Y368&amp;""&lt;&gt;""),IF(Y368&lt;=10,"Y","N"),"N"))</f>
        <v/>
      </c>
      <c r="FZ368" s="0" t="str">
        <f aca="false">IF(FY368="Y",Y368,"")</f>
        <v/>
      </c>
      <c r="GA368" s="0" t="str">
        <f aca="false">IF($A368="","",IF(AND(I368="walk-in",CN368="pass",U368="new",FT368="N",FV368="N",AQ368&lt;&gt;"Y"),"Y","N"))</f>
        <v/>
      </c>
      <c r="GB368" s="0" t="str">
        <f aca="false">IF(GA368&lt;&gt;"Y","",IF(COUNTIFS($GA$2:$GA$1000,"Y",$J$2:$J$1000,"&gt;"&amp;J368)+COUNTIFS($GA$2:$GA$1000,"Y",$J$2:$J$1000,J368,$GD$2:$GD$1000,"&lt;"&amp;GD368)+1&lt;=25,COUNTIFS($GA$2:$GA$1000,"Y",$J$2:$J$1000,"&gt;"&amp;J368)+COUNTIFS($GA$2:$GA$1000,"Y",$J$2:$J$1000,J368,$GD$2:$GD$1000,"&lt;"&amp;GD368)+1,""))</f>
        <v/>
      </c>
      <c r="GC368" s="0" t="str">
        <f aca="false">IF(AND(_xlfn.ISFORMULA(C368),_xlfn.ISFORMULA(J368)),"Y","N")</f>
        <v>Y</v>
      </c>
      <c r="GD368" s="0" t="n">
        <f aca="false">ROW()-1</f>
        <v>367</v>
      </c>
    </row>
    <row r="369" customFormat="false" ht="15" hidden="false" customHeight="false" outlineLevel="0" collapsed="false">
      <c r="C369" s="0" t="str">
        <f aca="false">IF($A369="","",IF(AW369="Y",BM369&amp;"",AY369&amp;""))</f>
        <v/>
      </c>
      <c r="D369" s="0" t="str">
        <f aca="false">IF($A369="","",IF(AW369="Y",BN369&amp;"",AZ369&amp;""))</f>
        <v/>
      </c>
      <c r="E369" s="0" t="str">
        <f aca="false">IF($A369="","",IF(AW369="Y",BO369&amp;"",BA369&amp;""))</f>
        <v/>
      </c>
      <c r="F369" s="0" t="str">
        <f aca="false">IF($A369="","",IF(AW369="Y",BP369&amp;"",BB369&amp;""))</f>
        <v/>
      </c>
      <c r="G369" s="0" t="str">
        <f aca="false">IF($A369="","",IF(AW369="Y",BQ369&amp;"",BC369&amp;""))</f>
        <v/>
      </c>
      <c r="H369" s="0" t="str">
        <f aca="false">IF($A369="","",IF(AW369="Y",BR369&amp;"",BD369&amp;""))</f>
        <v/>
      </c>
      <c r="I369" s="0" t="str">
        <f aca="false">IF($A369="","",IF(R369="Y","warm-intro",IF(H369="verified","email",IF(C369&lt;&gt;"","linkedin",CB369&amp;""))))</f>
        <v/>
      </c>
      <c r="J369" s="0" t="str">
        <f aca="false">IF($A369="","",IF(CN369="pass",ROUND(N(EM369)+N(EN369)+N(EO369)+N(EP369)+N(EQ369)+N(ER369),1),0))</f>
        <v/>
      </c>
      <c r="K369" s="0" t="str">
        <f aca="false">IF($A369="","",IF(CN369&lt;&gt;"pass",CA369&amp;"",CA369&amp;"; "&amp;IF(AW369="Y",BZ369&amp;"",BL369&amp;"")&amp;IF(R369="Y","; known to the founder (+15)","")&amp;"."))</f>
        <v/>
      </c>
      <c r="R369" s="5"/>
      <c r="U369" s="5"/>
      <c r="Y369" s="0" t="str">
        <f aca="false">IF(FX369&lt;&gt;"Y","",COUNTIFS($FX$2:$FX$1000,"Y",$J$2:$J$1000,"&gt;"&amp;J369)+COUNTIFS($FX$2:$FX$1000,"Y",$J$2:$J$1000,J369,$GD$2:$GD$1000,"&lt;"&amp;GD369)+1)</f>
        <v/>
      </c>
      <c r="AB369" s="0" t="str">
        <f aca="false">IF($A369="","",IF(AW369="Y",BY369&amp;"",BK369&amp;""))</f>
        <v/>
      </c>
      <c r="AC369" s="0" t="str">
        <f aca="false">IF($A369="","",IF(AW369="Y",BS369&amp;"",BE369&amp;""))</f>
        <v/>
      </c>
      <c r="AD369" s="0" t="str">
        <f aca="false">IF($A369="","",IF(AW369="Y",BT369&amp;"",BF369&amp;""))</f>
        <v/>
      </c>
      <c r="AE369" s="0" t="str">
        <f aca="false">IF($A369="","",IF(AW369="Y",BU369&amp;"",BG369&amp;""))</f>
        <v/>
      </c>
      <c r="AF369" s="0" t="str">
        <f aca="false">IF($A369="","",IF(AW369="Y",BV369&amp;"",BH369&amp;""))</f>
        <v/>
      </c>
      <c r="AG369" s="0" t="str">
        <f aca="false">IF($A369="","",IF(AW369="Y",BW369&amp;"",BI369&amp;""))</f>
        <v/>
      </c>
      <c r="AH369" s="0" t="str">
        <f aca="false">IF($A369="","",IF(AW369="Y",BX369&amp;"",BJ369&amp;""))</f>
        <v/>
      </c>
      <c r="AQ369" s="5"/>
      <c r="AT369" s="0" t="str">
        <f aca="false">IF($A369="","",IF(AND(CN369="pass",AQ369&lt;&gt;"Y",C369&lt;&gt;"",OR(AX369&lt;&gt;"Y",AV369="Y")),"Y","N"))</f>
        <v/>
      </c>
      <c r="AU369" s="0" t="str">
        <f aca="false">IF($A369="","",_xlfn.TEXTJOIN("; ",TRUE(),IF(CN369&lt;&gt;"pass","gated out",""),IF(AQ369="Y","on hold: "&amp;AR369,""),IF(C369="","no contact named on an opened page",""),IF(AND(AX369="Y",AV369&lt;&gt;"Y"),"Tuesday estimate band "&amp;L369&amp;": founder's call","")))</f>
        <v/>
      </c>
      <c r="BC369" s="0" t="str">
        <f aca="false">IF($A369="","",IFERROR(INDEX(Enrichment!$A$2:$GZ$2000,MATCH($A369,INDEX(Enrichment!$A$2:$GZ$2000,0,MATCH("row_id",Enrichment!$A$1:$GZ$1,0)),0),MATCH("work_email",Enrichment!$A$1:$GZ$1,0))&amp;"",""))</f>
        <v/>
      </c>
      <c r="BD369" s="0" t="str">
        <f aca="false">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Q369" s="0" t="str">
        <f aca="false">IF($A369="","",IFERROR(INDEX(Enrichment!$A$2:$GZ$2000,MATCH($A369,INDEX(Enrichment!$A$2:$GZ$2000,0,MATCH("row_id",Enrichment!$A$1:$GZ$1,0)),0),MATCH("backup_work_email",Enrichment!$A$1:$GZ$1,0))&amp;"",""))</f>
        <v/>
      </c>
      <c r="BR369" s="0" t="str">
        <f aca="false">IF($A369="","",IF(BQ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EQ369" s="0" t="str">
        <f aca="false">IF($A369="","",IF(AH369="exact",10,IF(AH369="adjacent",5,0)))</f>
        <v/>
      </c>
      <c r="ER369" s="0" t="str">
        <f aca="false">IF($A369="","",IF(R369="Y",15,0))</f>
        <v/>
      </c>
      <c r="FS369" s="0" t="str">
        <f aca="false">IF($A369="","",IF(ISNUMBER(MATCH(U369,{"queued","contacted","replied","call_booked","call_done","yes_in_principle","materials_sent"},0)),"Y","N"))</f>
        <v/>
      </c>
      <c r="FT369" s="0" t="str">
        <f aca="false">IF($A369="","",IF(OR(T369="Y",U369="do_not_contact",AS369&amp;""&lt;&gt;""),"Y","N"))</f>
        <v/>
      </c>
      <c r="FU369" s="0" t="str">
        <f aca="false">IF($A369="","",IF(AP369&amp;""&lt;&gt;"",AP369&amp;"",$A369))</f>
        <v/>
      </c>
      <c r="FV369" s="0" t="str">
        <f aca="false">IF($A369="","",IF(COUNTIFS($FU$2:$FU$1000,FU369,$FS$2:$FS$1000,"Y")+COUNTIFS($FU$2:$FU$1000,FU369,$FT$2:$FT$1000,"Y")&gt;0,"Y","N"))</f>
        <v/>
      </c>
      <c r="FW369" s="0" t="str">
        <f aca="false">IF($A369="","",IF(AND(U369="new",T369="N",FT369="N",AT369="Y",FV369="N"),"Y","N"))</f>
        <v/>
      </c>
      <c r="FX369" s="0" t="str">
        <f aca="false">IF($A369="","",IF(FW369&lt;&gt;"Y","N",IF(COUNTIFS($FU$2:$FU$1000,FU369,$FW$2:$FW$1000,"Y",$J$2:$J$1000,"&gt;"&amp;J369)+COUNTIFS($FU$2:$FU$1000,FU369,$FW$2:$FW$1000,"Y",$J$2:$J$1000,J369,$GD$2:$GD$1000,"&lt;"&amp;GD369)=0,"Y","N")))</f>
        <v/>
      </c>
      <c r="FY369" s="0" t="str">
        <f aca="false">IF($A369="","",IF(AND(FW369="Y",FX369="Y",Y369&amp;""&lt;&gt;""),IF(Y369&lt;=10,"Y","N"),"N"))</f>
        <v/>
      </c>
      <c r="FZ369" s="0" t="str">
        <f aca="false">IF(FY369="Y",Y369,"")</f>
        <v/>
      </c>
      <c r="GA369" s="0" t="str">
        <f aca="false">IF($A369="","",IF(AND(I369="walk-in",CN369="pass",U369="new",FT369="N",FV369="N",AQ369&lt;&gt;"Y"),"Y","N"))</f>
        <v/>
      </c>
      <c r="GB369" s="0" t="str">
        <f aca="false">IF(GA369&lt;&gt;"Y","",IF(COUNTIFS($GA$2:$GA$1000,"Y",$J$2:$J$1000,"&gt;"&amp;J369)+COUNTIFS($GA$2:$GA$1000,"Y",$J$2:$J$1000,J369,$GD$2:$GD$1000,"&lt;"&amp;GD369)+1&lt;=25,COUNTIFS($GA$2:$GA$1000,"Y",$J$2:$J$1000,"&gt;"&amp;J369)+COUNTIFS($GA$2:$GA$1000,"Y",$J$2:$J$1000,J369,$GD$2:$GD$1000,"&lt;"&amp;GD369)+1,""))</f>
        <v/>
      </c>
      <c r="GC369" s="0" t="str">
        <f aca="false">IF(AND(_xlfn.ISFORMULA(C369),_xlfn.ISFORMULA(J369)),"Y","N")</f>
        <v>Y</v>
      </c>
      <c r="GD369" s="0" t="n">
        <f aca="false">ROW()-1</f>
        <v>368</v>
      </c>
    </row>
    <row r="370" customFormat="false" ht="15" hidden="false" customHeight="false" outlineLevel="0" collapsed="false">
      <c r="C370" s="0" t="str">
        <f aca="false">IF($A370="","",IF(AW370="Y",BM370&amp;"",AY370&amp;""))</f>
        <v/>
      </c>
      <c r="D370" s="0" t="str">
        <f aca="false">IF($A370="","",IF(AW370="Y",BN370&amp;"",AZ370&amp;""))</f>
        <v/>
      </c>
      <c r="E370" s="0" t="str">
        <f aca="false">IF($A370="","",IF(AW370="Y",BO370&amp;"",BA370&amp;""))</f>
        <v/>
      </c>
      <c r="F370" s="0" t="str">
        <f aca="false">IF($A370="","",IF(AW370="Y",BP370&amp;"",BB370&amp;""))</f>
        <v/>
      </c>
      <c r="G370" s="0" t="str">
        <f aca="false">IF($A370="","",IF(AW370="Y",BQ370&amp;"",BC370&amp;""))</f>
        <v/>
      </c>
      <c r="H370" s="0" t="str">
        <f aca="false">IF($A370="","",IF(AW370="Y",BR370&amp;"",BD370&amp;""))</f>
        <v/>
      </c>
      <c r="I370" s="0" t="str">
        <f aca="false">IF($A370="","",IF(R370="Y","warm-intro",IF(H370="verified","email",IF(C370&lt;&gt;"","linkedin",CB370&amp;""))))</f>
        <v/>
      </c>
      <c r="J370" s="0" t="str">
        <f aca="false">IF($A370="","",IF(CN370="pass",ROUND(N(EM370)+N(EN370)+N(EO370)+N(EP370)+N(EQ370)+N(ER370),1),0))</f>
        <v/>
      </c>
      <c r="K370" s="0" t="str">
        <f aca="false">IF($A370="","",IF(CN370&lt;&gt;"pass",CA370&amp;"",CA370&amp;"; "&amp;IF(AW370="Y",BZ370&amp;"",BL370&amp;"")&amp;IF(R370="Y","; known to the founder (+15)","")&amp;"."))</f>
        <v/>
      </c>
      <c r="R370" s="5"/>
      <c r="U370" s="5"/>
      <c r="Y370" s="0" t="str">
        <f aca="false">IF(FX370&lt;&gt;"Y","",COUNTIFS($FX$2:$FX$1000,"Y",$J$2:$J$1000,"&gt;"&amp;J370)+COUNTIFS($FX$2:$FX$1000,"Y",$J$2:$J$1000,J370,$GD$2:$GD$1000,"&lt;"&amp;GD370)+1)</f>
        <v/>
      </c>
      <c r="AB370" s="0" t="str">
        <f aca="false">IF($A370="","",IF(AW370="Y",BY370&amp;"",BK370&amp;""))</f>
        <v/>
      </c>
      <c r="AC370" s="0" t="str">
        <f aca="false">IF($A370="","",IF(AW370="Y",BS370&amp;"",BE370&amp;""))</f>
        <v/>
      </c>
      <c r="AD370" s="0" t="str">
        <f aca="false">IF($A370="","",IF(AW370="Y",BT370&amp;"",BF370&amp;""))</f>
        <v/>
      </c>
      <c r="AE370" s="0" t="str">
        <f aca="false">IF($A370="","",IF(AW370="Y",BU370&amp;"",BG370&amp;""))</f>
        <v/>
      </c>
      <c r="AF370" s="0" t="str">
        <f aca="false">IF($A370="","",IF(AW370="Y",BV370&amp;"",BH370&amp;""))</f>
        <v/>
      </c>
      <c r="AG370" s="0" t="str">
        <f aca="false">IF($A370="","",IF(AW370="Y",BW370&amp;"",BI370&amp;""))</f>
        <v/>
      </c>
      <c r="AH370" s="0" t="str">
        <f aca="false">IF($A370="","",IF(AW370="Y",BX370&amp;"",BJ370&amp;""))</f>
        <v/>
      </c>
      <c r="AQ370" s="5"/>
      <c r="AT370" s="0" t="str">
        <f aca="false">IF($A370="","",IF(AND(CN370="pass",AQ370&lt;&gt;"Y",C370&lt;&gt;"",OR(AX370&lt;&gt;"Y",AV370="Y")),"Y","N"))</f>
        <v/>
      </c>
      <c r="AU370" s="0" t="str">
        <f aca="false">IF($A370="","",_xlfn.TEXTJOIN("; ",TRUE(),IF(CN370&lt;&gt;"pass","gated out",""),IF(AQ370="Y","on hold: "&amp;AR370,""),IF(C370="","no contact named on an opened page",""),IF(AND(AX370="Y",AV370&lt;&gt;"Y"),"Tuesday estimate band "&amp;L370&amp;": founder's call","")))</f>
        <v/>
      </c>
      <c r="BC370" s="0" t="str">
        <f aca="false">IF($A370="","",IFERROR(INDEX(Enrichment!$A$2:$GZ$2000,MATCH($A370,INDEX(Enrichment!$A$2:$GZ$2000,0,MATCH("row_id",Enrichment!$A$1:$GZ$1,0)),0),MATCH("work_email",Enrichment!$A$1:$GZ$1,0))&amp;"",""))</f>
        <v/>
      </c>
      <c r="BD370" s="0" t="str">
        <f aca="false">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Q370" s="0" t="str">
        <f aca="false">IF($A370="","",IFERROR(INDEX(Enrichment!$A$2:$GZ$2000,MATCH($A370,INDEX(Enrichment!$A$2:$GZ$2000,0,MATCH("row_id",Enrichment!$A$1:$GZ$1,0)),0),MATCH("backup_work_email",Enrichment!$A$1:$GZ$1,0))&amp;"",""))</f>
        <v/>
      </c>
      <c r="BR370" s="0" t="str">
        <f aca="false">IF($A370="","",IF(BQ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EQ370" s="0" t="str">
        <f aca="false">IF($A370="","",IF(AH370="exact",10,IF(AH370="adjacent",5,0)))</f>
        <v/>
      </c>
      <c r="ER370" s="0" t="str">
        <f aca="false">IF($A370="","",IF(R370="Y",15,0))</f>
        <v/>
      </c>
      <c r="FS370" s="0" t="str">
        <f aca="false">IF($A370="","",IF(ISNUMBER(MATCH(U370,{"queued","contacted","replied","call_booked","call_done","yes_in_principle","materials_sent"},0)),"Y","N"))</f>
        <v/>
      </c>
      <c r="FT370" s="0" t="str">
        <f aca="false">IF($A370="","",IF(OR(T370="Y",U370="do_not_contact",AS370&amp;""&lt;&gt;""),"Y","N"))</f>
        <v/>
      </c>
      <c r="FU370" s="0" t="str">
        <f aca="false">IF($A370="","",IF(AP370&amp;""&lt;&gt;"",AP370&amp;"",$A370))</f>
        <v/>
      </c>
      <c r="FV370" s="0" t="str">
        <f aca="false">IF($A370="","",IF(COUNTIFS($FU$2:$FU$1000,FU370,$FS$2:$FS$1000,"Y")+COUNTIFS($FU$2:$FU$1000,FU370,$FT$2:$FT$1000,"Y")&gt;0,"Y","N"))</f>
        <v/>
      </c>
      <c r="FW370" s="0" t="str">
        <f aca="false">IF($A370="","",IF(AND(U370="new",T370="N",FT370="N",AT370="Y",FV370="N"),"Y","N"))</f>
        <v/>
      </c>
      <c r="FX370" s="0" t="str">
        <f aca="false">IF($A370="","",IF(FW370&lt;&gt;"Y","N",IF(COUNTIFS($FU$2:$FU$1000,FU370,$FW$2:$FW$1000,"Y",$J$2:$J$1000,"&gt;"&amp;J370)+COUNTIFS($FU$2:$FU$1000,FU370,$FW$2:$FW$1000,"Y",$J$2:$J$1000,J370,$GD$2:$GD$1000,"&lt;"&amp;GD370)=0,"Y","N")))</f>
        <v/>
      </c>
      <c r="FY370" s="0" t="str">
        <f aca="false">IF($A370="","",IF(AND(FW370="Y",FX370="Y",Y370&amp;""&lt;&gt;""),IF(Y370&lt;=10,"Y","N"),"N"))</f>
        <v/>
      </c>
      <c r="FZ370" s="0" t="str">
        <f aca="false">IF(FY370="Y",Y370,"")</f>
        <v/>
      </c>
      <c r="GA370" s="0" t="str">
        <f aca="false">IF($A370="","",IF(AND(I370="walk-in",CN370="pass",U370="new",FT370="N",FV370="N",AQ370&lt;&gt;"Y"),"Y","N"))</f>
        <v/>
      </c>
      <c r="GB370" s="0" t="str">
        <f aca="false">IF(GA370&lt;&gt;"Y","",IF(COUNTIFS($GA$2:$GA$1000,"Y",$J$2:$J$1000,"&gt;"&amp;J370)+COUNTIFS($GA$2:$GA$1000,"Y",$J$2:$J$1000,J370,$GD$2:$GD$1000,"&lt;"&amp;GD370)+1&lt;=25,COUNTIFS($GA$2:$GA$1000,"Y",$J$2:$J$1000,"&gt;"&amp;J370)+COUNTIFS($GA$2:$GA$1000,"Y",$J$2:$J$1000,J370,$GD$2:$GD$1000,"&lt;"&amp;GD370)+1,""))</f>
        <v/>
      </c>
      <c r="GC370" s="0" t="str">
        <f aca="false">IF(AND(_xlfn.ISFORMULA(C370),_xlfn.ISFORMULA(J370)),"Y","N")</f>
        <v>Y</v>
      </c>
      <c r="GD370" s="0" t="n">
        <f aca="false">ROW()-1</f>
        <v>369</v>
      </c>
    </row>
    <row r="371" customFormat="false" ht="15" hidden="false" customHeight="false" outlineLevel="0" collapsed="false">
      <c r="C371" s="0" t="str">
        <f aca="false">IF($A371="","",IF(AW371="Y",BM371&amp;"",AY371&amp;""))</f>
        <v/>
      </c>
      <c r="D371" s="0" t="str">
        <f aca="false">IF($A371="","",IF(AW371="Y",BN371&amp;"",AZ371&amp;""))</f>
        <v/>
      </c>
      <c r="E371" s="0" t="str">
        <f aca="false">IF($A371="","",IF(AW371="Y",BO371&amp;"",BA371&amp;""))</f>
        <v/>
      </c>
      <c r="F371" s="0" t="str">
        <f aca="false">IF($A371="","",IF(AW371="Y",BP371&amp;"",BB371&amp;""))</f>
        <v/>
      </c>
      <c r="G371" s="0" t="str">
        <f aca="false">IF($A371="","",IF(AW371="Y",BQ371&amp;"",BC371&amp;""))</f>
        <v/>
      </c>
      <c r="H371" s="0" t="str">
        <f aca="false">IF($A371="","",IF(AW371="Y",BR371&amp;"",BD371&amp;""))</f>
        <v/>
      </c>
      <c r="I371" s="0" t="str">
        <f aca="false">IF($A371="","",IF(R371="Y","warm-intro",IF(H371="verified","email",IF(C371&lt;&gt;"","linkedin",CB371&amp;""))))</f>
        <v/>
      </c>
      <c r="J371" s="0" t="str">
        <f aca="false">IF($A371="","",IF(CN371="pass",ROUND(N(EM371)+N(EN371)+N(EO371)+N(EP371)+N(EQ371)+N(ER371),1),0))</f>
        <v/>
      </c>
      <c r="K371" s="0" t="str">
        <f aca="false">IF($A371="","",IF(CN371&lt;&gt;"pass",CA371&amp;"",CA371&amp;"; "&amp;IF(AW371="Y",BZ371&amp;"",BL371&amp;"")&amp;IF(R371="Y","; known to the founder (+15)","")&amp;"."))</f>
        <v/>
      </c>
      <c r="R371" s="5"/>
      <c r="U371" s="5"/>
      <c r="Y371" s="0" t="str">
        <f aca="false">IF(FX371&lt;&gt;"Y","",COUNTIFS($FX$2:$FX$1000,"Y",$J$2:$J$1000,"&gt;"&amp;J371)+COUNTIFS($FX$2:$FX$1000,"Y",$J$2:$J$1000,J371,$GD$2:$GD$1000,"&lt;"&amp;GD371)+1)</f>
        <v/>
      </c>
      <c r="AB371" s="0" t="str">
        <f aca="false">IF($A371="","",IF(AW371="Y",BY371&amp;"",BK371&amp;""))</f>
        <v/>
      </c>
      <c r="AC371" s="0" t="str">
        <f aca="false">IF($A371="","",IF(AW371="Y",BS371&amp;"",BE371&amp;""))</f>
        <v/>
      </c>
      <c r="AD371" s="0" t="str">
        <f aca="false">IF($A371="","",IF(AW371="Y",BT371&amp;"",BF371&amp;""))</f>
        <v/>
      </c>
      <c r="AE371" s="0" t="str">
        <f aca="false">IF($A371="","",IF(AW371="Y",BU371&amp;"",BG371&amp;""))</f>
        <v/>
      </c>
      <c r="AF371" s="0" t="str">
        <f aca="false">IF($A371="","",IF(AW371="Y",BV371&amp;"",BH371&amp;""))</f>
        <v/>
      </c>
      <c r="AG371" s="0" t="str">
        <f aca="false">IF($A371="","",IF(AW371="Y",BW371&amp;"",BI371&amp;""))</f>
        <v/>
      </c>
      <c r="AH371" s="0" t="str">
        <f aca="false">IF($A371="","",IF(AW371="Y",BX371&amp;"",BJ371&amp;""))</f>
        <v/>
      </c>
      <c r="AQ371" s="5"/>
      <c r="AT371" s="0" t="str">
        <f aca="false">IF($A371="","",IF(AND(CN371="pass",AQ371&lt;&gt;"Y",C371&lt;&gt;"",OR(AX371&lt;&gt;"Y",AV371="Y")),"Y","N"))</f>
        <v/>
      </c>
      <c r="AU371" s="0" t="str">
        <f aca="false">IF($A371="","",_xlfn.TEXTJOIN("; ",TRUE(),IF(CN371&lt;&gt;"pass","gated out",""),IF(AQ371="Y","on hold: "&amp;AR371,""),IF(C371="","no contact named on an opened page",""),IF(AND(AX371="Y",AV371&lt;&gt;"Y"),"Tuesday estimate band "&amp;L371&amp;": founder's call","")))</f>
        <v/>
      </c>
      <c r="BC371" s="0" t="str">
        <f aca="false">IF($A371="","",IFERROR(INDEX(Enrichment!$A$2:$GZ$2000,MATCH($A371,INDEX(Enrichment!$A$2:$GZ$2000,0,MATCH("row_id",Enrichment!$A$1:$GZ$1,0)),0),MATCH("work_email",Enrichment!$A$1:$GZ$1,0))&amp;"",""))</f>
        <v/>
      </c>
      <c r="BD371" s="0" t="str">
        <f aca="false">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Q371" s="0" t="str">
        <f aca="false">IF($A371="","",IFERROR(INDEX(Enrichment!$A$2:$GZ$2000,MATCH($A371,INDEX(Enrichment!$A$2:$GZ$2000,0,MATCH("row_id",Enrichment!$A$1:$GZ$1,0)),0),MATCH("backup_work_email",Enrichment!$A$1:$GZ$1,0))&amp;"",""))</f>
        <v/>
      </c>
      <c r="BR371" s="0" t="str">
        <f aca="false">IF($A371="","",IF(BQ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EQ371" s="0" t="str">
        <f aca="false">IF($A371="","",IF(AH371="exact",10,IF(AH371="adjacent",5,0)))</f>
        <v/>
      </c>
      <c r="ER371" s="0" t="str">
        <f aca="false">IF($A371="","",IF(R371="Y",15,0))</f>
        <v/>
      </c>
      <c r="FS371" s="0" t="str">
        <f aca="false">IF($A371="","",IF(ISNUMBER(MATCH(U371,{"queued","contacted","replied","call_booked","call_done","yes_in_principle","materials_sent"},0)),"Y","N"))</f>
        <v/>
      </c>
      <c r="FT371" s="0" t="str">
        <f aca="false">IF($A371="","",IF(OR(T371="Y",U371="do_not_contact",AS371&amp;""&lt;&gt;""),"Y","N"))</f>
        <v/>
      </c>
      <c r="FU371" s="0" t="str">
        <f aca="false">IF($A371="","",IF(AP371&amp;""&lt;&gt;"",AP371&amp;"",$A371))</f>
        <v/>
      </c>
      <c r="FV371" s="0" t="str">
        <f aca="false">IF($A371="","",IF(COUNTIFS($FU$2:$FU$1000,FU371,$FS$2:$FS$1000,"Y")+COUNTIFS($FU$2:$FU$1000,FU371,$FT$2:$FT$1000,"Y")&gt;0,"Y","N"))</f>
        <v/>
      </c>
      <c r="FW371" s="0" t="str">
        <f aca="false">IF($A371="","",IF(AND(U371="new",T371="N",FT371="N",AT371="Y",FV371="N"),"Y","N"))</f>
        <v/>
      </c>
      <c r="FX371" s="0" t="str">
        <f aca="false">IF($A371="","",IF(FW371&lt;&gt;"Y","N",IF(COUNTIFS($FU$2:$FU$1000,FU371,$FW$2:$FW$1000,"Y",$J$2:$J$1000,"&gt;"&amp;J371)+COUNTIFS($FU$2:$FU$1000,FU371,$FW$2:$FW$1000,"Y",$J$2:$J$1000,J371,$GD$2:$GD$1000,"&lt;"&amp;GD371)=0,"Y","N")))</f>
        <v/>
      </c>
      <c r="FY371" s="0" t="str">
        <f aca="false">IF($A371="","",IF(AND(FW371="Y",FX371="Y",Y371&amp;""&lt;&gt;""),IF(Y371&lt;=10,"Y","N"),"N"))</f>
        <v/>
      </c>
      <c r="FZ371" s="0" t="str">
        <f aca="false">IF(FY371="Y",Y371,"")</f>
        <v/>
      </c>
      <c r="GA371" s="0" t="str">
        <f aca="false">IF($A371="","",IF(AND(I371="walk-in",CN371="pass",U371="new",FT371="N",FV371="N",AQ371&lt;&gt;"Y"),"Y","N"))</f>
        <v/>
      </c>
      <c r="GB371" s="0" t="str">
        <f aca="false">IF(GA371&lt;&gt;"Y","",IF(COUNTIFS($GA$2:$GA$1000,"Y",$J$2:$J$1000,"&gt;"&amp;J371)+COUNTIFS($GA$2:$GA$1000,"Y",$J$2:$J$1000,J371,$GD$2:$GD$1000,"&lt;"&amp;GD371)+1&lt;=25,COUNTIFS($GA$2:$GA$1000,"Y",$J$2:$J$1000,"&gt;"&amp;J371)+COUNTIFS($GA$2:$GA$1000,"Y",$J$2:$J$1000,J371,$GD$2:$GD$1000,"&lt;"&amp;GD371)+1,""))</f>
        <v/>
      </c>
      <c r="GC371" s="0" t="str">
        <f aca="false">IF(AND(_xlfn.ISFORMULA(C371),_xlfn.ISFORMULA(J371)),"Y","N")</f>
        <v>Y</v>
      </c>
      <c r="GD371" s="0" t="n">
        <f aca="false">ROW()-1</f>
        <v>370</v>
      </c>
    </row>
    <row r="372" customFormat="false" ht="15" hidden="false" customHeight="false" outlineLevel="0" collapsed="false">
      <c r="C372" s="0" t="str">
        <f aca="false">IF($A372="","",IF(AW372="Y",BM372&amp;"",AY372&amp;""))</f>
        <v/>
      </c>
      <c r="D372" s="0" t="str">
        <f aca="false">IF($A372="","",IF(AW372="Y",BN372&amp;"",AZ372&amp;""))</f>
        <v/>
      </c>
      <c r="E372" s="0" t="str">
        <f aca="false">IF($A372="","",IF(AW372="Y",BO372&amp;"",BA372&amp;""))</f>
        <v/>
      </c>
      <c r="F372" s="0" t="str">
        <f aca="false">IF($A372="","",IF(AW372="Y",BP372&amp;"",BB372&amp;""))</f>
        <v/>
      </c>
      <c r="G372" s="0" t="str">
        <f aca="false">IF($A372="","",IF(AW372="Y",BQ372&amp;"",BC372&amp;""))</f>
        <v/>
      </c>
      <c r="H372" s="0" t="str">
        <f aca="false">IF($A372="","",IF(AW372="Y",BR372&amp;"",BD372&amp;""))</f>
        <v/>
      </c>
      <c r="I372" s="0" t="str">
        <f aca="false">IF($A372="","",IF(R372="Y","warm-intro",IF(H372="verified","email",IF(C372&lt;&gt;"","linkedin",CB372&amp;""))))</f>
        <v/>
      </c>
      <c r="J372" s="0" t="str">
        <f aca="false">IF($A372="","",IF(CN372="pass",ROUND(N(EM372)+N(EN372)+N(EO372)+N(EP372)+N(EQ372)+N(ER372),1),0))</f>
        <v/>
      </c>
      <c r="K372" s="0" t="str">
        <f aca="false">IF($A372="","",IF(CN372&lt;&gt;"pass",CA372&amp;"",CA372&amp;"; "&amp;IF(AW372="Y",BZ372&amp;"",BL372&amp;"")&amp;IF(R372="Y","; known to the founder (+15)","")&amp;"."))</f>
        <v/>
      </c>
      <c r="R372" s="5"/>
      <c r="U372" s="5"/>
      <c r="Y372" s="0" t="str">
        <f aca="false">IF(FX372&lt;&gt;"Y","",COUNTIFS($FX$2:$FX$1000,"Y",$J$2:$J$1000,"&gt;"&amp;J372)+COUNTIFS($FX$2:$FX$1000,"Y",$J$2:$J$1000,J372,$GD$2:$GD$1000,"&lt;"&amp;GD372)+1)</f>
        <v/>
      </c>
      <c r="AB372" s="0" t="str">
        <f aca="false">IF($A372="","",IF(AW372="Y",BY372&amp;"",BK372&amp;""))</f>
        <v/>
      </c>
      <c r="AC372" s="0" t="str">
        <f aca="false">IF($A372="","",IF(AW372="Y",BS372&amp;"",BE372&amp;""))</f>
        <v/>
      </c>
      <c r="AD372" s="0" t="str">
        <f aca="false">IF($A372="","",IF(AW372="Y",BT372&amp;"",BF372&amp;""))</f>
        <v/>
      </c>
      <c r="AE372" s="0" t="str">
        <f aca="false">IF($A372="","",IF(AW372="Y",BU372&amp;"",BG372&amp;""))</f>
        <v/>
      </c>
      <c r="AF372" s="0" t="str">
        <f aca="false">IF($A372="","",IF(AW372="Y",BV372&amp;"",BH372&amp;""))</f>
        <v/>
      </c>
      <c r="AG372" s="0" t="str">
        <f aca="false">IF($A372="","",IF(AW372="Y",BW372&amp;"",BI372&amp;""))</f>
        <v/>
      </c>
      <c r="AH372" s="0" t="str">
        <f aca="false">IF($A372="","",IF(AW372="Y",BX372&amp;"",BJ372&amp;""))</f>
        <v/>
      </c>
      <c r="AQ372" s="5"/>
      <c r="AT372" s="0" t="str">
        <f aca="false">IF($A372="","",IF(AND(CN372="pass",AQ372&lt;&gt;"Y",C372&lt;&gt;"",OR(AX372&lt;&gt;"Y",AV372="Y")),"Y","N"))</f>
        <v/>
      </c>
      <c r="AU372" s="0" t="str">
        <f aca="false">IF($A372="","",_xlfn.TEXTJOIN("; ",TRUE(),IF(CN372&lt;&gt;"pass","gated out",""),IF(AQ372="Y","on hold: "&amp;AR372,""),IF(C372="","no contact named on an opened page",""),IF(AND(AX372="Y",AV372&lt;&gt;"Y"),"Tuesday estimate band "&amp;L372&amp;": founder's call","")))</f>
        <v/>
      </c>
      <c r="BC372" s="0" t="str">
        <f aca="false">IF($A372="","",IFERROR(INDEX(Enrichment!$A$2:$GZ$2000,MATCH($A372,INDEX(Enrichment!$A$2:$GZ$2000,0,MATCH("row_id",Enrichment!$A$1:$GZ$1,0)),0),MATCH("work_email",Enrichment!$A$1:$GZ$1,0))&amp;"",""))</f>
        <v/>
      </c>
      <c r="BD372" s="0" t="str">
        <f aca="false">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Q372" s="0" t="str">
        <f aca="false">IF($A372="","",IFERROR(INDEX(Enrichment!$A$2:$GZ$2000,MATCH($A372,INDEX(Enrichment!$A$2:$GZ$2000,0,MATCH("row_id",Enrichment!$A$1:$GZ$1,0)),0),MATCH("backup_work_email",Enrichment!$A$1:$GZ$1,0))&amp;"",""))</f>
        <v/>
      </c>
      <c r="BR372" s="0" t="str">
        <f aca="false">IF($A372="","",IF(BQ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EQ372" s="0" t="str">
        <f aca="false">IF($A372="","",IF(AH372="exact",10,IF(AH372="adjacent",5,0)))</f>
        <v/>
      </c>
      <c r="ER372" s="0" t="str">
        <f aca="false">IF($A372="","",IF(R372="Y",15,0))</f>
        <v/>
      </c>
      <c r="FS372" s="0" t="str">
        <f aca="false">IF($A372="","",IF(ISNUMBER(MATCH(U372,{"queued","contacted","replied","call_booked","call_done","yes_in_principle","materials_sent"},0)),"Y","N"))</f>
        <v/>
      </c>
      <c r="FT372" s="0" t="str">
        <f aca="false">IF($A372="","",IF(OR(T372="Y",U372="do_not_contact",AS372&amp;""&lt;&gt;""),"Y","N"))</f>
        <v/>
      </c>
      <c r="FU372" s="0" t="str">
        <f aca="false">IF($A372="","",IF(AP372&amp;""&lt;&gt;"",AP372&amp;"",$A372))</f>
        <v/>
      </c>
      <c r="FV372" s="0" t="str">
        <f aca="false">IF($A372="","",IF(COUNTIFS($FU$2:$FU$1000,FU372,$FS$2:$FS$1000,"Y")+COUNTIFS($FU$2:$FU$1000,FU372,$FT$2:$FT$1000,"Y")&gt;0,"Y","N"))</f>
        <v/>
      </c>
      <c r="FW372" s="0" t="str">
        <f aca="false">IF($A372="","",IF(AND(U372="new",T372="N",FT372="N",AT372="Y",FV372="N"),"Y","N"))</f>
        <v/>
      </c>
      <c r="FX372" s="0" t="str">
        <f aca="false">IF($A372="","",IF(FW372&lt;&gt;"Y","N",IF(COUNTIFS($FU$2:$FU$1000,FU372,$FW$2:$FW$1000,"Y",$J$2:$J$1000,"&gt;"&amp;J372)+COUNTIFS($FU$2:$FU$1000,FU372,$FW$2:$FW$1000,"Y",$J$2:$J$1000,J372,$GD$2:$GD$1000,"&lt;"&amp;GD372)=0,"Y","N")))</f>
        <v/>
      </c>
      <c r="FY372" s="0" t="str">
        <f aca="false">IF($A372="","",IF(AND(FW372="Y",FX372="Y",Y372&amp;""&lt;&gt;""),IF(Y372&lt;=10,"Y","N"),"N"))</f>
        <v/>
      </c>
      <c r="FZ372" s="0" t="str">
        <f aca="false">IF(FY372="Y",Y372,"")</f>
        <v/>
      </c>
      <c r="GA372" s="0" t="str">
        <f aca="false">IF($A372="","",IF(AND(I372="walk-in",CN372="pass",U372="new",FT372="N",FV372="N",AQ372&lt;&gt;"Y"),"Y","N"))</f>
        <v/>
      </c>
      <c r="GB372" s="0" t="str">
        <f aca="false">IF(GA372&lt;&gt;"Y","",IF(COUNTIFS($GA$2:$GA$1000,"Y",$J$2:$J$1000,"&gt;"&amp;J372)+COUNTIFS($GA$2:$GA$1000,"Y",$J$2:$J$1000,J372,$GD$2:$GD$1000,"&lt;"&amp;GD372)+1&lt;=25,COUNTIFS($GA$2:$GA$1000,"Y",$J$2:$J$1000,"&gt;"&amp;J372)+COUNTIFS($GA$2:$GA$1000,"Y",$J$2:$J$1000,J372,$GD$2:$GD$1000,"&lt;"&amp;GD372)+1,""))</f>
        <v/>
      </c>
      <c r="GC372" s="0" t="str">
        <f aca="false">IF(AND(_xlfn.ISFORMULA(C372),_xlfn.ISFORMULA(J372)),"Y","N")</f>
        <v>Y</v>
      </c>
      <c r="GD372" s="0" t="n">
        <f aca="false">ROW()-1</f>
        <v>371</v>
      </c>
    </row>
    <row r="373" customFormat="false" ht="15" hidden="false" customHeight="false" outlineLevel="0" collapsed="false">
      <c r="C373" s="0" t="str">
        <f aca="false">IF($A373="","",IF(AW373="Y",BM373&amp;"",AY373&amp;""))</f>
        <v/>
      </c>
      <c r="D373" s="0" t="str">
        <f aca="false">IF($A373="","",IF(AW373="Y",BN373&amp;"",AZ373&amp;""))</f>
        <v/>
      </c>
      <c r="E373" s="0" t="str">
        <f aca="false">IF($A373="","",IF(AW373="Y",BO373&amp;"",BA373&amp;""))</f>
        <v/>
      </c>
      <c r="F373" s="0" t="str">
        <f aca="false">IF($A373="","",IF(AW373="Y",BP373&amp;"",BB373&amp;""))</f>
        <v/>
      </c>
      <c r="G373" s="0" t="str">
        <f aca="false">IF($A373="","",IF(AW373="Y",BQ373&amp;"",BC373&amp;""))</f>
        <v/>
      </c>
      <c r="H373" s="0" t="str">
        <f aca="false">IF($A373="","",IF(AW373="Y",BR373&amp;"",BD373&amp;""))</f>
        <v/>
      </c>
      <c r="I373" s="0" t="str">
        <f aca="false">IF($A373="","",IF(R373="Y","warm-intro",IF(H373="verified","email",IF(C373&lt;&gt;"","linkedin",CB373&amp;""))))</f>
        <v/>
      </c>
      <c r="J373" s="0" t="str">
        <f aca="false">IF($A373="","",IF(CN373="pass",ROUND(N(EM373)+N(EN373)+N(EO373)+N(EP373)+N(EQ373)+N(ER373),1),0))</f>
        <v/>
      </c>
      <c r="K373" s="0" t="str">
        <f aca="false">IF($A373="","",IF(CN373&lt;&gt;"pass",CA373&amp;"",CA373&amp;"; "&amp;IF(AW373="Y",BZ373&amp;"",BL373&amp;"")&amp;IF(R373="Y","; known to the founder (+15)","")&amp;"."))</f>
        <v/>
      </c>
      <c r="R373" s="5"/>
      <c r="U373" s="5"/>
      <c r="Y373" s="0" t="str">
        <f aca="false">IF(FX373&lt;&gt;"Y","",COUNTIFS($FX$2:$FX$1000,"Y",$J$2:$J$1000,"&gt;"&amp;J373)+COUNTIFS($FX$2:$FX$1000,"Y",$J$2:$J$1000,J373,$GD$2:$GD$1000,"&lt;"&amp;GD373)+1)</f>
        <v/>
      </c>
      <c r="AB373" s="0" t="str">
        <f aca="false">IF($A373="","",IF(AW373="Y",BY373&amp;"",BK373&amp;""))</f>
        <v/>
      </c>
      <c r="AC373" s="0" t="str">
        <f aca="false">IF($A373="","",IF(AW373="Y",BS373&amp;"",BE373&amp;""))</f>
        <v/>
      </c>
      <c r="AD373" s="0" t="str">
        <f aca="false">IF($A373="","",IF(AW373="Y",BT373&amp;"",BF373&amp;""))</f>
        <v/>
      </c>
      <c r="AE373" s="0" t="str">
        <f aca="false">IF($A373="","",IF(AW373="Y",BU373&amp;"",BG373&amp;""))</f>
        <v/>
      </c>
      <c r="AF373" s="0" t="str">
        <f aca="false">IF($A373="","",IF(AW373="Y",BV373&amp;"",BH373&amp;""))</f>
        <v/>
      </c>
      <c r="AG373" s="0" t="str">
        <f aca="false">IF($A373="","",IF(AW373="Y",BW373&amp;"",BI373&amp;""))</f>
        <v/>
      </c>
      <c r="AH373" s="0" t="str">
        <f aca="false">IF($A373="","",IF(AW373="Y",BX373&amp;"",BJ373&amp;""))</f>
        <v/>
      </c>
      <c r="AQ373" s="5"/>
      <c r="AT373" s="0" t="str">
        <f aca="false">IF($A373="","",IF(AND(CN373="pass",AQ373&lt;&gt;"Y",C373&lt;&gt;"",OR(AX373&lt;&gt;"Y",AV373="Y")),"Y","N"))</f>
        <v/>
      </c>
      <c r="AU373" s="0" t="str">
        <f aca="false">IF($A373="","",_xlfn.TEXTJOIN("; ",TRUE(),IF(CN373&lt;&gt;"pass","gated out",""),IF(AQ373="Y","on hold: "&amp;AR373,""),IF(C373="","no contact named on an opened page",""),IF(AND(AX373="Y",AV373&lt;&gt;"Y"),"Tuesday estimate band "&amp;L373&amp;": founder's call","")))</f>
        <v/>
      </c>
      <c r="BC373" s="0" t="str">
        <f aca="false">IF($A373="","",IFERROR(INDEX(Enrichment!$A$2:$GZ$2000,MATCH($A373,INDEX(Enrichment!$A$2:$GZ$2000,0,MATCH("row_id",Enrichment!$A$1:$GZ$1,0)),0),MATCH("work_email",Enrichment!$A$1:$GZ$1,0))&amp;"",""))</f>
        <v/>
      </c>
      <c r="BD373" s="0" t="str">
        <f aca="false">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Q373" s="0" t="str">
        <f aca="false">IF($A373="","",IFERROR(INDEX(Enrichment!$A$2:$GZ$2000,MATCH($A373,INDEX(Enrichment!$A$2:$GZ$2000,0,MATCH("row_id",Enrichment!$A$1:$GZ$1,0)),0),MATCH("backup_work_email",Enrichment!$A$1:$GZ$1,0))&amp;"",""))</f>
        <v/>
      </c>
      <c r="BR373" s="0" t="str">
        <f aca="false">IF($A373="","",IF(BQ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EQ373" s="0" t="str">
        <f aca="false">IF($A373="","",IF(AH373="exact",10,IF(AH373="adjacent",5,0)))</f>
        <v/>
      </c>
      <c r="ER373" s="0" t="str">
        <f aca="false">IF($A373="","",IF(R373="Y",15,0))</f>
        <v/>
      </c>
      <c r="FS373" s="0" t="str">
        <f aca="false">IF($A373="","",IF(ISNUMBER(MATCH(U373,{"queued","contacted","replied","call_booked","call_done","yes_in_principle","materials_sent"},0)),"Y","N"))</f>
        <v/>
      </c>
      <c r="FT373" s="0" t="str">
        <f aca="false">IF($A373="","",IF(OR(T373="Y",U373="do_not_contact",AS373&amp;""&lt;&gt;""),"Y","N"))</f>
        <v/>
      </c>
      <c r="FU373" s="0" t="str">
        <f aca="false">IF($A373="","",IF(AP373&amp;""&lt;&gt;"",AP373&amp;"",$A373))</f>
        <v/>
      </c>
      <c r="FV373" s="0" t="str">
        <f aca="false">IF($A373="","",IF(COUNTIFS($FU$2:$FU$1000,FU373,$FS$2:$FS$1000,"Y")+COUNTIFS($FU$2:$FU$1000,FU373,$FT$2:$FT$1000,"Y")&gt;0,"Y","N"))</f>
        <v/>
      </c>
      <c r="FW373" s="0" t="str">
        <f aca="false">IF($A373="","",IF(AND(U373="new",T373="N",FT373="N",AT373="Y",FV373="N"),"Y","N"))</f>
        <v/>
      </c>
      <c r="FX373" s="0" t="str">
        <f aca="false">IF($A373="","",IF(FW373&lt;&gt;"Y","N",IF(COUNTIFS($FU$2:$FU$1000,FU373,$FW$2:$FW$1000,"Y",$J$2:$J$1000,"&gt;"&amp;J373)+COUNTIFS($FU$2:$FU$1000,FU373,$FW$2:$FW$1000,"Y",$J$2:$J$1000,J373,$GD$2:$GD$1000,"&lt;"&amp;GD373)=0,"Y","N")))</f>
        <v/>
      </c>
      <c r="FY373" s="0" t="str">
        <f aca="false">IF($A373="","",IF(AND(FW373="Y",FX373="Y",Y373&amp;""&lt;&gt;""),IF(Y373&lt;=10,"Y","N"),"N"))</f>
        <v/>
      </c>
      <c r="FZ373" s="0" t="str">
        <f aca="false">IF(FY373="Y",Y373,"")</f>
        <v/>
      </c>
      <c r="GA373" s="0" t="str">
        <f aca="false">IF($A373="","",IF(AND(I373="walk-in",CN373="pass",U373="new",FT373="N",FV373="N",AQ373&lt;&gt;"Y"),"Y","N"))</f>
        <v/>
      </c>
      <c r="GB373" s="0" t="str">
        <f aca="false">IF(GA373&lt;&gt;"Y","",IF(COUNTIFS($GA$2:$GA$1000,"Y",$J$2:$J$1000,"&gt;"&amp;J373)+COUNTIFS($GA$2:$GA$1000,"Y",$J$2:$J$1000,J373,$GD$2:$GD$1000,"&lt;"&amp;GD373)+1&lt;=25,COUNTIFS($GA$2:$GA$1000,"Y",$J$2:$J$1000,"&gt;"&amp;J373)+COUNTIFS($GA$2:$GA$1000,"Y",$J$2:$J$1000,J373,$GD$2:$GD$1000,"&lt;"&amp;GD373)+1,""))</f>
        <v/>
      </c>
      <c r="GC373" s="0" t="str">
        <f aca="false">IF(AND(_xlfn.ISFORMULA(C373),_xlfn.ISFORMULA(J373)),"Y","N")</f>
        <v>Y</v>
      </c>
      <c r="GD373" s="0" t="n">
        <f aca="false">ROW()-1</f>
        <v>372</v>
      </c>
    </row>
    <row r="374" customFormat="false" ht="15" hidden="false" customHeight="false" outlineLevel="0" collapsed="false">
      <c r="C374" s="0" t="str">
        <f aca="false">IF($A374="","",IF(AW374="Y",BM374&amp;"",AY374&amp;""))</f>
        <v/>
      </c>
      <c r="D374" s="0" t="str">
        <f aca="false">IF($A374="","",IF(AW374="Y",BN374&amp;"",AZ374&amp;""))</f>
        <v/>
      </c>
      <c r="E374" s="0" t="str">
        <f aca="false">IF($A374="","",IF(AW374="Y",BO374&amp;"",BA374&amp;""))</f>
        <v/>
      </c>
      <c r="F374" s="0" t="str">
        <f aca="false">IF($A374="","",IF(AW374="Y",BP374&amp;"",BB374&amp;""))</f>
        <v/>
      </c>
      <c r="G374" s="0" t="str">
        <f aca="false">IF($A374="","",IF(AW374="Y",BQ374&amp;"",BC374&amp;""))</f>
        <v/>
      </c>
      <c r="H374" s="0" t="str">
        <f aca="false">IF($A374="","",IF(AW374="Y",BR374&amp;"",BD374&amp;""))</f>
        <v/>
      </c>
      <c r="I374" s="0" t="str">
        <f aca="false">IF($A374="","",IF(R374="Y","warm-intro",IF(H374="verified","email",IF(C374&lt;&gt;"","linkedin",CB374&amp;""))))</f>
        <v/>
      </c>
      <c r="J374" s="0" t="str">
        <f aca="false">IF($A374="","",IF(CN374="pass",ROUND(N(EM374)+N(EN374)+N(EO374)+N(EP374)+N(EQ374)+N(ER374),1),0))</f>
        <v/>
      </c>
      <c r="K374" s="0" t="str">
        <f aca="false">IF($A374="","",IF(CN374&lt;&gt;"pass",CA374&amp;"",CA374&amp;"; "&amp;IF(AW374="Y",BZ374&amp;"",BL374&amp;"")&amp;IF(R374="Y","; known to the founder (+15)","")&amp;"."))</f>
        <v/>
      </c>
      <c r="R374" s="5"/>
      <c r="U374" s="5"/>
      <c r="Y374" s="0" t="str">
        <f aca="false">IF(FX374&lt;&gt;"Y","",COUNTIFS($FX$2:$FX$1000,"Y",$J$2:$J$1000,"&gt;"&amp;J374)+COUNTIFS($FX$2:$FX$1000,"Y",$J$2:$J$1000,J374,$GD$2:$GD$1000,"&lt;"&amp;GD374)+1)</f>
        <v/>
      </c>
      <c r="AB374" s="0" t="str">
        <f aca="false">IF($A374="","",IF(AW374="Y",BY374&amp;"",BK374&amp;""))</f>
        <v/>
      </c>
      <c r="AC374" s="0" t="str">
        <f aca="false">IF($A374="","",IF(AW374="Y",BS374&amp;"",BE374&amp;""))</f>
        <v/>
      </c>
      <c r="AD374" s="0" t="str">
        <f aca="false">IF($A374="","",IF(AW374="Y",BT374&amp;"",BF374&amp;""))</f>
        <v/>
      </c>
      <c r="AE374" s="0" t="str">
        <f aca="false">IF($A374="","",IF(AW374="Y",BU374&amp;"",BG374&amp;""))</f>
        <v/>
      </c>
      <c r="AF374" s="0" t="str">
        <f aca="false">IF($A374="","",IF(AW374="Y",BV374&amp;"",BH374&amp;""))</f>
        <v/>
      </c>
      <c r="AG374" s="0" t="str">
        <f aca="false">IF($A374="","",IF(AW374="Y",BW374&amp;"",BI374&amp;""))</f>
        <v/>
      </c>
      <c r="AH374" s="0" t="str">
        <f aca="false">IF($A374="","",IF(AW374="Y",BX374&amp;"",BJ374&amp;""))</f>
        <v/>
      </c>
      <c r="AQ374" s="5"/>
      <c r="AT374" s="0" t="str">
        <f aca="false">IF($A374="","",IF(AND(CN374="pass",AQ374&lt;&gt;"Y",C374&lt;&gt;"",OR(AX374&lt;&gt;"Y",AV374="Y")),"Y","N"))</f>
        <v/>
      </c>
      <c r="AU374" s="0" t="str">
        <f aca="false">IF($A374="","",_xlfn.TEXTJOIN("; ",TRUE(),IF(CN374&lt;&gt;"pass","gated out",""),IF(AQ374="Y","on hold: "&amp;AR374,""),IF(C374="","no contact named on an opened page",""),IF(AND(AX374="Y",AV374&lt;&gt;"Y"),"Tuesday estimate band "&amp;L374&amp;": founder's call","")))</f>
        <v/>
      </c>
      <c r="BC374" s="0" t="str">
        <f aca="false">IF($A374="","",IFERROR(INDEX(Enrichment!$A$2:$GZ$2000,MATCH($A374,INDEX(Enrichment!$A$2:$GZ$2000,0,MATCH("row_id",Enrichment!$A$1:$GZ$1,0)),0),MATCH("work_email",Enrichment!$A$1:$GZ$1,0))&amp;"",""))</f>
        <v/>
      </c>
      <c r="BD374" s="0" t="str">
        <f aca="false">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Q374" s="0" t="str">
        <f aca="false">IF($A374="","",IFERROR(INDEX(Enrichment!$A$2:$GZ$2000,MATCH($A374,INDEX(Enrichment!$A$2:$GZ$2000,0,MATCH("row_id",Enrichment!$A$1:$GZ$1,0)),0),MATCH("backup_work_email",Enrichment!$A$1:$GZ$1,0))&amp;"",""))</f>
        <v/>
      </c>
      <c r="BR374" s="0" t="str">
        <f aca="false">IF($A374="","",IF(BQ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EQ374" s="0" t="str">
        <f aca="false">IF($A374="","",IF(AH374="exact",10,IF(AH374="adjacent",5,0)))</f>
        <v/>
      </c>
      <c r="ER374" s="0" t="str">
        <f aca="false">IF($A374="","",IF(R374="Y",15,0))</f>
        <v/>
      </c>
      <c r="FS374" s="0" t="str">
        <f aca="false">IF($A374="","",IF(ISNUMBER(MATCH(U374,{"queued","contacted","replied","call_booked","call_done","yes_in_principle","materials_sent"},0)),"Y","N"))</f>
        <v/>
      </c>
      <c r="FT374" s="0" t="str">
        <f aca="false">IF($A374="","",IF(OR(T374="Y",U374="do_not_contact",AS374&amp;""&lt;&gt;""),"Y","N"))</f>
        <v/>
      </c>
      <c r="FU374" s="0" t="str">
        <f aca="false">IF($A374="","",IF(AP374&amp;""&lt;&gt;"",AP374&amp;"",$A374))</f>
        <v/>
      </c>
      <c r="FV374" s="0" t="str">
        <f aca="false">IF($A374="","",IF(COUNTIFS($FU$2:$FU$1000,FU374,$FS$2:$FS$1000,"Y")+COUNTIFS($FU$2:$FU$1000,FU374,$FT$2:$FT$1000,"Y")&gt;0,"Y","N"))</f>
        <v/>
      </c>
      <c r="FW374" s="0" t="str">
        <f aca="false">IF($A374="","",IF(AND(U374="new",T374="N",FT374="N",AT374="Y",FV374="N"),"Y","N"))</f>
        <v/>
      </c>
      <c r="FX374" s="0" t="str">
        <f aca="false">IF($A374="","",IF(FW374&lt;&gt;"Y","N",IF(COUNTIFS($FU$2:$FU$1000,FU374,$FW$2:$FW$1000,"Y",$J$2:$J$1000,"&gt;"&amp;J374)+COUNTIFS($FU$2:$FU$1000,FU374,$FW$2:$FW$1000,"Y",$J$2:$J$1000,J374,$GD$2:$GD$1000,"&lt;"&amp;GD374)=0,"Y","N")))</f>
        <v/>
      </c>
      <c r="FY374" s="0" t="str">
        <f aca="false">IF($A374="","",IF(AND(FW374="Y",FX374="Y",Y374&amp;""&lt;&gt;""),IF(Y374&lt;=10,"Y","N"),"N"))</f>
        <v/>
      </c>
      <c r="FZ374" s="0" t="str">
        <f aca="false">IF(FY374="Y",Y374,"")</f>
        <v/>
      </c>
      <c r="GA374" s="0" t="str">
        <f aca="false">IF($A374="","",IF(AND(I374="walk-in",CN374="pass",U374="new",FT374="N",FV374="N",AQ374&lt;&gt;"Y"),"Y","N"))</f>
        <v/>
      </c>
      <c r="GB374" s="0" t="str">
        <f aca="false">IF(GA374&lt;&gt;"Y","",IF(COUNTIFS($GA$2:$GA$1000,"Y",$J$2:$J$1000,"&gt;"&amp;J374)+COUNTIFS($GA$2:$GA$1000,"Y",$J$2:$J$1000,J374,$GD$2:$GD$1000,"&lt;"&amp;GD374)+1&lt;=25,COUNTIFS($GA$2:$GA$1000,"Y",$J$2:$J$1000,"&gt;"&amp;J374)+COUNTIFS($GA$2:$GA$1000,"Y",$J$2:$J$1000,J374,$GD$2:$GD$1000,"&lt;"&amp;GD374)+1,""))</f>
        <v/>
      </c>
      <c r="GC374" s="0" t="str">
        <f aca="false">IF(AND(_xlfn.ISFORMULA(C374),_xlfn.ISFORMULA(J374)),"Y","N")</f>
        <v>Y</v>
      </c>
      <c r="GD374" s="0" t="n">
        <f aca="false">ROW()-1</f>
        <v>373</v>
      </c>
    </row>
    <row r="375" customFormat="false" ht="15" hidden="false" customHeight="false" outlineLevel="0" collapsed="false">
      <c r="C375" s="0" t="str">
        <f aca="false">IF($A375="","",IF(AW375="Y",BM375&amp;"",AY375&amp;""))</f>
        <v/>
      </c>
      <c r="D375" s="0" t="str">
        <f aca="false">IF($A375="","",IF(AW375="Y",BN375&amp;"",AZ375&amp;""))</f>
        <v/>
      </c>
      <c r="E375" s="0" t="str">
        <f aca="false">IF($A375="","",IF(AW375="Y",BO375&amp;"",BA375&amp;""))</f>
        <v/>
      </c>
      <c r="F375" s="0" t="str">
        <f aca="false">IF($A375="","",IF(AW375="Y",BP375&amp;"",BB375&amp;""))</f>
        <v/>
      </c>
      <c r="G375" s="0" t="str">
        <f aca="false">IF($A375="","",IF(AW375="Y",BQ375&amp;"",BC375&amp;""))</f>
        <v/>
      </c>
      <c r="H375" s="0" t="str">
        <f aca="false">IF($A375="","",IF(AW375="Y",BR375&amp;"",BD375&amp;""))</f>
        <v/>
      </c>
      <c r="I375" s="0" t="str">
        <f aca="false">IF($A375="","",IF(R375="Y","warm-intro",IF(H375="verified","email",IF(C375&lt;&gt;"","linkedin",CB375&amp;""))))</f>
        <v/>
      </c>
      <c r="J375" s="0" t="str">
        <f aca="false">IF($A375="","",IF(CN375="pass",ROUND(N(EM375)+N(EN375)+N(EO375)+N(EP375)+N(EQ375)+N(ER375),1),0))</f>
        <v/>
      </c>
      <c r="K375" s="0" t="str">
        <f aca="false">IF($A375="","",IF(CN375&lt;&gt;"pass",CA375&amp;"",CA375&amp;"; "&amp;IF(AW375="Y",BZ375&amp;"",BL375&amp;"")&amp;IF(R375="Y","; known to the founder (+15)","")&amp;"."))</f>
        <v/>
      </c>
      <c r="R375" s="5"/>
      <c r="U375" s="5"/>
      <c r="Y375" s="0" t="str">
        <f aca="false">IF(FX375&lt;&gt;"Y","",COUNTIFS($FX$2:$FX$1000,"Y",$J$2:$J$1000,"&gt;"&amp;J375)+COUNTIFS($FX$2:$FX$1000,"Y",$J$2:$J$1000,J375,$GD$2:$GD$1000,"&lt;"&amp;GD375)+1)</f>
        <v/>
      </c>
      <c r="AB375" s="0" t="str">
        <f aca="false">IF($A375="","",IF(AW375="Y",BY375&amp;"",BK375&amp;""))</f>
        <v/>
      </c>
      <c r="AC375" s="0" t="str">
        <f aca="false">IF($A375="","",IF(AW375="Y",BS375&amp;"",BE375&amp;""))</f>
        <v/>
      </c>
      <c r="AD375" s="0" t="str">
        <f aca="false">IF($A375="","",IF(AW375="Y",BT375&amp;"",BF375&amp;""))</f>
        <v/>
      </c>
      <c r="AE375" s="0" t="str">
        <f aca="false">IF($A375="","",IF(AW375="Y",BU375&amp;"",BG375&amp;""))</f>
        <v/>
      </c>
      <c r="AF375" s="0" t="str">
        <f aca="false">IF($A375="","",IF(AW375="Y",BV375&amp;"",BH375&amp;""))</f>
        <v/>
      </c>
      <c r="AG375" s="0" t="str">
        <f aca="false">IF($A375="","",IF(AW375="Y",BW375&amp;"",BI375&amp;""))</f>
        <v/>
      </c>
      <c r="AH375" s="0" t="str">
        <f aca="false">IF($A375="","",IF(AW375="Y",BX375&amp;"",BJ375&amp;""))</f>
        <v/>
      </c>
      <c r="AQ375" s="5"/>
      <c r="AT375" s="0" t="str">
        <f aca="false">IF($A375="","",IF(AND(CN375="pass",AQ375&lt;&gt;"Y",C375&lt;&gt;"",OR(AX375&lt;&gt;"Y",AV375="Y")),"Y","N"))</f>
        <v/>
      </c>
      <c r="AU375" s="0" t="str">
        <f aca="false">IF($A375="","",_xlfn.TEXTJOIN("; ",TRUE(),IF(CN375&lt;&gt;"pass","gated out",""),IF(AQ375="Y","on hold: "&amp;AR375,""),IF(C375="","no contact named on an opened page",""),IF(AND(AX375="Y",AV375&lt;&gt;"Y"),"Tuesday estimate band "&amp;L375&amp;": founder's call","")))</f>
        <v/>
      </c>
      <c r="BC375" s="0" t="str">
        <f aca="false">IF($A375="","",IFERROR(INDEX(Enrichment!$A$2:$GZ$2000,MATCH($A375,INDEX(Enrichment!$A$2:$GZ$2000,0,MATCH("row_id",Enrichment!$A$1:$GZ$1,0)),0),MATCH("work_email",Enrichment!$A$1:$GZ$1,0))&amp;"",""))</f>
        <v/>
      </c>
      <c r="BD375" s="0" t="str">
        <f aca="false">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Q375" s="0" t="str">
        <f aca="false">IF($A375="","",IFERROR(INDEX(Enrichment!$A$2:$GZ$2000,MATCH($A375,INDEX(Enrichment!$A$2:$GZ$2000,0,MATCH("row_id",Enrichment!$A$1:$GZ$1,0)),0),MATCH("backup_work_email",Enrichment!$A$1:$GZ$1,0))&amp;"",""))</f>
        <v/>
      </c>
      <c r="BR375" s="0" t="str">
        <f aca="false">IF($A375="","",IF(BQ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EQ375" s="0" t="str">
        <f aca="false">IF($A375="","",IF(AH375="exact",10,IF(AH375="adjacent",5,0)))</f>
        <v/>
      </c>
      <c r="ER375" s="0" t="str">
        <f aca="false">IF($A375="","",IF(R375="Y",15,0))</f>
        <v/>
      </c>
      <c r="FS375" s="0" t="str">
        <f aca="false">IF($A375="","",IF(ISNUMBER(MATCH(U375,{"queued","contacted","replied","call_booked","call_done","yes_in_principle","materials_sent"},0)),"Y","N"))</f>
        <v/>
      </c>
      <c r="FT375" s="0" t="str">
        <f aca="false">IF($A375="","",IF(OR(T375="Y",U375="do_not_contact",AS375&amp;""&lt;&gt;""),"Y","N"))</f>
        <v/>
      </c>
      <c r="FU375" s="0" t="str">
        <f aca="false">IF($A375="","",IF(AP375&amp;""&lt;&gt;"",AP375&amp;"",$A375))</f>
        <v/>
      </c>
      <c r="FV375" s="0" t="str">
        <f aca="false">IF($A375="","",IF(COUNTIFS($FU$2:$FU$1000,FU375,$FS$2:$FS$1000,"Y")+COUNTIFS($FU$2:$FU$1000,FU375,$FT$2:$FT$1000,"Y")&gt;0,"Y","N"))</f>
        <v/>
      </c>
      <c r="FW375" s="0" t="str">
        <f aca="false">IF($A375="","",IF(AND(U375="new",T375="N",FT375="N",AT375="Y",FV375="N"),"Y","N"))</f>
        <v/>
      </c>
      <c r="FX375" s="0" t="str">
        <f aca="false">IF($A375="","",IF(FW375&lt;&gt;"Y","N",IF(COUNTIFS($FU$2:$FU$1000,FU375,$FW$2:$FW$1000,"Y",$J$2:$J$1000,"&gt;"&amp;J375)+COUNTIFS($FU$2:$FU$1000,FU375,$FW$2:$FW$1000,"Y",$J$2:$J$1000,J375,$GD$2:$GD$1000,"&lt;"&amp;GD375)=0,"Y","N")))</f>
        <v/>
      </c>
      <c r="FY375" s="0" t="str">
        <f aca="false">IF($A375="","",IF(AND(FW375="Y",FX375="Y",Y375&amp;""&lt;&gt;""),IF(Y375&lt;=10,"Y","N"),"N"))</f>
        <v/>
      </c>
      <c r="FZ375" s="0" t="str">
        <f aca="false">IF(FY375="Y",Y375,"")</f>
        <v/>
      </c>
      <c r="GA375" s="0" t="str">
        <f aca="false">IF($A375="","",IF(AND(I375="walk-in",CN375="pass",U375="new",FT375="N",FV375="N",AQ375&lt;&gt;"Y"),"Y","N"))</f>
        <v/>
      </c>
      <c r="GB375" s="0" t="str">
        <f aca="false">IF(GA375&lt;&gt;"Y","",IF(COUNTIFS($GA$2:$GA$1000,"Y",$J$2:$J$1000,"&gt;"&amp;J375)+COUNTIFS($GA$2:$GA$1000,"Y",$J$2:$J$1000,J375,$GD$2:$GD$1000,"&lt;"&amp;GD375)+1&lt;=25,COUNTIFS($GA$2:$GA$1000,"Y",$J$2:$J$1000,"&gt;"&amp;J375)+COUNTIFS($GA$2:$GA$1000,"Y",$J$2:$J$1000,J375,$GD$2:$GD$1000,"&lt;"&amp;GD375)+1,""))</f>
        <v/>
      </c>
      <c r="GC375" s="0" t="str">
        <f aca="false">IF(AND(_xlfn.ISFORMULA(C375),_xlfn.ISFORMULA(J375)),"Y","N")</f>
        <v>Y</v>
      </c>
      <c r="GD375" s="0" t="n">
        <f aca="false">ROW()-1</f>
        <v>374</v>
      </c>
    </row>
    <row r="376" customFormat="false" ht="15" hidden="false" customHeight="false" outlineLevel="0" collapsed="false">
      <c r="C376" s="0" t="str">
        <f aca="false">IF($A376="","",IF(AW376="Y",BM376&amp;"",AY376&amp;""))</f>
        <v/>
      </c>
      <c r="D376" s="0" t="str">
        <f aca="false">IF($A376="","",IF(AW376="Y",BN376&amp;"",AZ376&amp;""))</f>
        <v/>
      </c>
      <c r="E376" s="0" t="str">
        <f aca="false">IF($A376="","",IF(AW376="Y",BO376&amp;"",BA376&amp;""))</f>
        <v/>
      </c>
      <c r="F376" s="0" t="str">
        <f aca="false">IF($A376="","",IF(AW376="Y",BP376&amp;"",BB376&amp;""))</f>
        <v/>
      </c>
      <c r="G376" s="0" t="str">
        <f aca="false">IF($A376="","",IF(AW376="Y",BQ376&amp;"",BC376&amp;""))</f>
        <v/>
      </c>
      <c r="H376" s="0" t="str">
        <f aca="false">IF($A376="","",IF(AW376="Y",BR376&amp;"",BD376&amp;""))</f>
        <v/>
      </c>
      <c r="I376" s="0" t="str">
        <f aca="false">IF($A376="","",IF(R376="Y","warm-intro",IF(H376="verified","email",IF(C376&lt;&gt;"","linkedin",CB376&amp;""))))</f>
        <v/>
      </c>
      <c r="J376" s="0" t="str">
        <f aca="false">IF($A376="","",IF(CN376="pass",ROUND(N(EM376)+N(EN376)+N(EO376)+N(EP376)+N(EQ376)+N(ER376),1),0))</f>
        <v/>
      </c>
      <c r="K376" s="0" t="str">
        <f aca="false">IF($A376="","",IF(CN376&lt;&gt;"pass",CA376&amp;"",CA376&amp;"; "&amp;IF(AW376="Y",BZ376&amp;"",BL376&amp;"")&amp;IF(R376="Y","; known to the founder (+15)","")&amp;"."))</f>
        <v/>
      </c>
      <c r="R376" s="5"/>
      <c r="U376" s="5"/>
      <c r="Y376" s="0" t="str">
        <f aca="false">IF(FX376&lt;&gt;"Y","",COUNTIFS($FX$2:$FX$1000,"Y",$J$2:$J$1000,"&gt;"&amp;J376)+COUNTIFS($FX$2:$FX$1000,"Y",$J$2:$J$1000,J376,$GD$2:$GD$1000,"&lt;"&amp;GD376)+1)</f>
        <v/>
      </c>
      <c r="AB376" s="0" t="str">
        <f aca="false">IF($A376="","",IF(AW376="Y",BY376&amp;"",BK376&amp;""))</f>
        <v/>
      </c>
      <c r="AC376" s="0" t="str">
        <f aca="false">IF($A376="","",IF(AW376="Y",BS376&amp;"",BE376&amp;""))</f>
        <v/>
      </c>
      <c r="AD376" s="0" t="str">
        <f aca="false">IF($A376="","",IF(AW376="Y",BT376&amp;"",BF376&amp;""))</f>
        <v/>
      </c>
      <c r="AE376" s="0" t="str">
        <f aca="false">IF($A376="","",IF(AW376="Y",BU376&amp;"",BG376&amp;""))</f>
        <v/>
      </c>
      <c r="AF376" s="0" t="str">
        <f aca="false">IF($A376="","",IF(AW376="Y",BV376&amp;"",BH376&amp;""))</f>
        <v/>
      </c>
      <c r="AG376" s="0" t="str">
        <f aca="false">IF($A376="","",IF(AW376="Y",BW376&amp;"",BI376&amp;""))</f>
        <v/>
      </c>
      <c r="AH376" s="0" t="str">
        <f aca="false">IF($A376="","",IF(AW376="Y",BX376&amp;"",BJ376&amp;""))</f>
        <v/>
      </c>
      <c r="AQ376" s="5"/>
      <c r="AT376" s="0" t="str">
        <f aca="false">IF($A376="","",IF(AND(CN376="pass",AQ376&lt;&gt;"Y",C376&lt;&gt;"",OR(AX376&lt;&gt;"Y",AV376="Y")),"Y","N"))</f>
        <v/>
      </c>
      <c r="AU376" s="0" t="str">
        <f aca="false">IF($A376="","",_xlfn.TEXTJOIN("; ",TRUE(),IF(CN376&lt;&gt;"pass","gated out",""),IF(AQ376="Y","on hold: "&amp;AR376,""),IF(C376="","no contact named on an opened page",""),IF(AND(AX376="Y",AV376&lt;&gt;"Y"),"Tuesday estimate band "&amp;L376&amp;": founder's call","")))</f>
        <v/>
      </c>
      <c r="BC376" s="0" t="str">
        <f aca="false">IF($A376="","",IFERROR(INDEX(Enrichment!$A$2:$GZ$2000,MATCH($A376,INDEX(Enrichment!$A$2:$GZ$2000,0,MATCH("row_id",Enrichment!$A$1:$GZ$1,0)),0),MATCH("work_email",Enrichment!$A$1:$GZ$1,0))&amp;"",""))</f>
        <v/>
      </c>
      <c r="BD376" s="0" t="str">
        <f aca="false">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Q376" s="0" t="str">
        <f aca="false">IF($A376="","",IFERROR(INDEX(Enrichment!$A$2:$GZ$2000,MATCH($A376,INDEX(Enrichment!$A$2:$GZ$2000,0,MATCH("row_id",Enrichment!$A$1:$GZ$1,0)),0),MATCH("backup_work_email",Enrichment!$A$1:$GZ$1,0))&amp;"",""))</f>
        <v/>
      </c>
      <c r="BR376" s="0" t="str">
        <f aca="false">IF($A376="","",IF(BQ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EQ376" s="0" t="str">
        <f aca="false">IF($A376="","",IF(AH376="exact",10,IF(AH376="adjacent",5,0)))</f>
        <v/>
      </c>
      <c r="ER376" s="0" t="str">
        <f aca="false">IF($A376="","",IF(R376="Y",15,0))</f>
        <v/>
      </c>
      <c r="FS376" s="0" t="str">
        <f aca="false">IF($A376="","",IF(ISNUMBER(MATCH(U376,{"queued","contacted","replied","call_booked","call_done","yes_in_principle","materials_sent"},0)),"Y","N"))</f>
        <v/>
      </c>
      <c r="FT376" s="0" t="str">
        <f aca="false">IF($A376="","",IF(OR(T376="Y",U376="do_not_contact",AS376&amp;""&lt;&gt;""),"Y","N"))</f>
        <v/>
      </c>
      <c r="FU376" s="0" t="str">
        <f aca="false">IF($A376="","",IF(AP376&amp;""&lt;&gt;"",AP376&amp;"",$A376))</f>
        <v/>
      </c>
      <c r="FV376" s="0" t="str">
        <f aca="false">IF($A376="","",IF(COUNTIFS($FU$2:$FU$1000,FU376,$FS$2:$FS$1000,"Y")+COUNTIFS($FU$2:$FU$1000,FU376,$FT$2:$FT$1000,"Y")&gt;0,"Y","N"))</f>
        <v/>
      </c>
      <c r="FW376" s="0" t="str">
        <f aca="false">IF($A376="","",IF(AND(U376="new",T376="N",FT376="N",AT376="Y",FV376="N"),"Y","N"))</f>
        <v/>
      </c>
      <c r="FX376" s="0" t="str">
        <f aca="false">IF($A376="","",IF(FW376&lt;&gt;"Y","N",IF(COUNTIFS($FU$2:$FU$1000,FU376,$FW$2:$FW$1000,"Y",$J$2:$J$1000,"&gt;"&amp;J376)+COUNTIFS($FU$2:$FU$1000,FU376,$FW$2:$FW$1000,"Y",$J$2:$J$1000,J376,$GD$2:$GD$1000,"&lt;"&amp;GD376)=0,"Y","N")))</f>
        <v/>
      </c>
      <c r="FY376" s="0" t="str">
        <f aca="false">IF($A376="","",IF(AND(FW376="Y",FX376="Y",Y376&amp;""&lt;&gt;""),IF(Y376&lt;=10,"Y","N"),"N"))</f>
        <v/>
      </c>
      <c r="FZ376" s="0" t="str">
        <f aca="false">IF(FY376="Y",Y376,"")</f>
        <v/>
      </c>
      <c r="GA376" s="0" t="str">
        <f aca="false">IF($A376="","",IF(AND(I376="walk-in",CN376="pass",U376="new",FT376="N",FV376="N",AQ376&lt;&gt;"Y"),"Y","N"))</f>
        <v/>
      </c>
      <c r="GB376" s="0" t="str">
        <f aca="false">IF(GA376&lt;&gt;"Y","",IF(COUNTIFS($GA$2:$GA$1000,"Y",$J$2:$J$1000,"&gt;"&amp;J376)+COUNTIFS($GA$2:$GA$1000,"Y",$J$2:$J$1000,J376,$GD$2:$GD$1000,"&lt;"&amp;GD376)+1&lt;=25,COUNTIFS($GA$2:$GA$1000,"Y",$J$2:$J$1000,"&gt;"&amp;J376)+COUNTIFS($GA$2:$GA$1000,"Y",$J$2:$J$1000,J376,$GD$2:$GD$1000,"&lt;"&amp;GD376)+1,""))</f>
        <v/>
      </c>
      <c r="GC376" s="0" t="str">
        <f aca="false">IF(AND(_xlfn.ISFORMULA(C376),_xlfn.ISFORMULA(J376)),"Y","N")</f>
        <v>Y</v>
      </c>
      <c r="GD376" s="0" t="n">
        <f aca="false">ROW()-1</f>
        <v>375</v>
      </c>
    </row>
    <row r="377" customFormat="false" ht="15" hidden="false" customHeight="false" outlineLevel="0" collapsed="false">
      <c r="C377" s="0" t="str">
        <f aca="false">IF($A377="","",IF(AW377="Y",BM377&amp;"",AY377&amp;""))</f>
        <v/>
      </c>
      <c r="D377" s="0" t="str">
        <f aca="false">IF($A377="","",IF(AW377="Y",BN377&amp;"",AZ377&amp;""))</f>
        <v/>
      </c>
      <c r="E377" s="0" t="str">
        <f aca="false">IF($A377="","",IF(AW377="Y",BO377&amp;"",BA377&amp;""))</f>
        <v/>
      </c>
      <c r="F377" s="0" t="str">
        <f aca="false">IF($A377="","",IF(AW377="Y",BP377&amp;"",BB377&amp;""))</f>
        <v/>
      </c>
      <c r="G377" s="0" t="str">
        <f aca="false">IF($A377="","",IF(AW377="Y",BQ377&amp;"",BC377&amp;""))</f>
        <v/>
      </c>
      <c r="H377" s="0" t="str">
        <f aca="false">IF($A377="","",IF(AW377="Y",BR377&amp;"",BD377&amp;""))</f>
        <v/>
      </c>
      <c r="I377" s="0" t="str">
        <f aca="false">IF($A377="","",IF(R377="Y","warm-intro",IF(H377="verified","email",IF(C377&lt;&gt;"","linkedin",CB377&amp;""))))</f>
        <v/>
      </c>
      <c r="J377" s="0" t="str">
        <f aca="false">IF($A377="","",IF(CN377="pass",ROUND(N(EM377)+N(EN377)+N(EO377)+N(EP377)+N(EQ377)+N(ER377),1),0))</f>
        <v/>
      </c>
      <c r="K377" s="0" t="str">
        <f aca="false">IF($A377="","",IF(CN377&lt;&gt;"pass",CA377&amp;"",CA377&amp;"; "&amp;IF(AW377="Y",BZ377&amp;"",BL377&amp;"")&amp;IF(R377="Y","; known to the founder (+15)","")&amp;"."))</f>
        <v/>
      </c>
      <c r="R377" s="5"/>
      <c r="U377" s="5"/>
      <c r="Y377" s="0" t="str">
        <f aca="false">IF(FX377&lt;&gt;"Y","",COUNTIFS($FX$2:$FX$1000,"Y",$J$2:$J$1000,"&gt;"&amp;J377)+COUNTIFS($FX$2:$FX$1000,"Y",$J$2:$J$1000,J377,$GD$2:$GD$1000,"&lt;"&amp;GD377)+1)</f>
        <v/>
      </c>
      <c r="AB377" s="0" t="str">
        <f aca="false">IF($A377="","",IF(AW377="Y",BY377&amp;"",BK377&amp;""))</f>
        <v/>
      </c>
      <c r="AC377" s="0" t="str">
        <f aca="false">IF($A377="","",IF(AW377="Y",BS377&amp;"",BE377&amp;""))</f>
        <v/>
      </c>
      <c r="AD377" s="0" t="str">
        <f aca="false">IF($A377="","",IF(AW377="Y",BT377&amp;"",BF377&amp;""))</f>
        <v/>
      </c>
      <c r="AE377" s="0" t="str">
        <f aca="false">IF($A377="","",IF(AW377="Y",BU377&amp;"",BG377&amp;""))</f>
        <v/>
      </c>
      <c r="AF377" s="0" t="str">
        <f aca="false">IF($A377="","",IF(AW377="Y",BV377&amp;"",BH377&amp;""))</f>
        <v/>
      </c>
      <c r="AG377" s="0" t="str">
        <f aca="false">IF($A377="","",IF(AW377="Y",BW377&amp;"",BI377&amp;""))</f>
        <v/>
      </c>
      <c r="AH377" s="0" t="str">
        <f aca="false">IF($A377="","",IF(AW377="Y",BX377&amp;"",BJ377&amp;""))</f>
        <v/>
      </c>
      <c r="AQ377" s="5"/>
      <c r="AT377" s="0" t="str">
        <f aca="false">IF($A377="","",IF(AND(CN377="pass",AQ377&lt;&gt;"Y",C377&lt;&gt;"",OR(AX377&lt;&gt;"Y",AV377="Y")),"Y","N"))</f>
        <v/>
      </c>
      <c r="AU377" s="0" t="str">
        <f aca="false">IF($A377="","",_xlfn.TEXTJOIN("; ",TRUE(),IF(CN377&lt;&gt;"pass","gated out",""),IF(AQ377="Y","on hold: "&amp;AR377,""),IF(C377="","no contact named on an opened page",""),IF(AND(AX377="Y",AV377&lt;&gt;"Y"),"Tuesday estimate band "&amp;L377&amp;": founder's call","")))</f>
        <v/>
      </c>
      <c r="BC377" s="0" t="str">
        <f aca="false">IF($A377="","",IFERROR(INDEX(Enrichment!$A$2:$GZ$2000,MATCH($A377,INDEX(Enrichment!$A$2:$GZ$2000,0,MATCH("row_id",Enrichment!$A$1:$GZ$1,0)),0),MATCH("work_email",Enrichment!$A$1:$GZ$1,0))&amp;"",""))</f>
        <v/>
      </c>
      <c r="BD377" s="0" t="str">
        <f aca="false">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Q377" s="0" t="str">
        <f aca="false">IF($A377="","",IFERROR(INDEX(Enrichment!$A$2:$GZ$2000,MATCH($A377,INDEX(Enrichment!$A$2:$GZ$2000,0,MATCH("row_id",Enrichment!$A$1:$GZ$1,0)),0),MATCH("backup_work_email",Enrichment!$A$1:$GZ$1,0))&amp;"",""))</f>
        <v/>
      </c>
      <c r="BR377" s="0" t="str">
        <f aca="false">IF($A377="","",IF(BQ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EQ377" s="0" t="str">
        <f aca="false">IF($A377="","",IF(AH377="exact",10,IF(AH377="adjacent",5,0)))</f>
        <v/>
      </c>
      <c r="ER377" s="0" t="str">
        <f aca="false">IF($A377="","",IF(R377="Y",15,0))</f>
        <v/>
      </c>
      <c r="FS377" s="0" t="str">
        <f aca="false">IF($A377="","",IF(ISNUMBER(MATCH(U377,{"queued","contacted","replied","call_booked","call_done","yes_in_principle","materials_sent"},0)),"Y","N"))</f>
        <v/>
      </c>
      <c r="FT377" s="0" t="str">
        <f aca="false">IF($A377="","",IF(OR(T377="Y",U377="do_not_contact",AS377&amp;""&lt;&gt;""),"Y","N"))</f>
        <v/>
      </c>
      <c r="FU377" s="0" t="str">
        <f aca="false">IF($A377="","",IF(AP377&amp;""&lt;&gt;"",AP377&amp;"",$A377))</f>
        <v/>
      </c>
      <c r="FV377" s="0" t="str">
        <f aca="false">IF($A377="","",IF(COUNTIFS($FU$2:$FU$1000,FU377,$FS$2:$FS$1000,"Y")+COUNTIFS($FU$2:$FU$1000,FU377,$FT$2:$FT$1000,"Y")&gt;0,"Y","N"))</f>
        <v/>
      </c>
      <c r="FW377" s="0" t="str">
        <f aca="false">IF($A377="","",IF(AND(U377="new",T377="N",FT377="N",AT377="Y",FV377="N"),"Y","N"))</f>
        <v/>
      </c>
      <c r="FX377" s="0" t="str">
        <f aca="false">IF($A377="","",IF(FW377&lt;&gt;"Y","N",IF(COUNTIFS($FU$2:$FU$1000,FU377,$FW$2:$FW$1000,"Y",$J$2:$J$1000,"&gt;"&amp;J377)+COUNTIFS($FU$2:$FU$1000,FU377,$FW$2:$FW$1000,"Y",$J$2:$J$1000,J377,$GD$2:$GD$1000,"&lt;"&amp;GD377)=0,"Y","N")))</f>
        <v/>
      </c>
      <c r="FY377" s="0" t="str">
        <f aca="false">IF($A377="","",IF(AND(FW377="Y",FX377="Y",Y377&amp;""&lt;&gt;""),IF(Y377&lt;=10,"Y","N"),"N"))</f>
        <v/>
      </c>
      <c r="FZ377" s="0" t="str">
        <f aca="false">IF(FY377="Y",Y377,"")</f>
        <v/>
      </c>
      <c r="GA377" s="0" t="str">
        <f aca="false">IF($A377="","",IF(AND(I377="walk-in",CN377="pass",U377="new",FT377="N",FV377="N",AQ377&lt;&gt;"Y"),"Y","N"))</f>
        <v/>
      </c>
      <c r="GB377" s="0" t="str">
        <f aca="false">IF(GA377&lt;&gt;"Y","",IF(COUNTIFS($GA$2:$GA$1000,"Y",$J$2:$J$1000,"&gt;"&amp;J377)+COUNTIFS($GA$2:$GA$1000,"Y",$J$2:$J$1000,J377,$GD$2:$GD$1000,"&lt;"&amp;GD377)+1&lt;=25,COUNTIFS($GA$2:$GA$1000,"Y",$J$2:$J$1000,"&gt;"&amp;J377)+COUNTIFS($GA$2:$GA$1000,"Y",$J$2:$J$1000,J377,$GD$2:$GD$1000,"&lt;"&amp;GD377)+1,""))</f>
        <v/>
      </c>
      <c r="GC377" s="0" t="str">
        <f aca="false">IF(AND(_xlfn.ISFORMULA(C377),_xlfn.ISFORMULA(J377)),"Y","N")</f>
        <v>Y</v>
      </c>
      <c r="GD377" s="0" t="n">
        <f aca="false">ROW()-1</f>
        <v>376</v>
      </c>
    </row>
    <row r="378" customFormat="false" ht="15" hidden="false" customHeight="false" outlineLevel="0" collapsed="false">
      <c r="C378" s="0" t="str">
        <f aca="false">IF($A378="","",IF(AW378="Y",BM378&amp;"",AY378&amp;""))</f>
        <v/>
      </c>
      <c r="D378" s="0" t="str">
        <f aca="false">IF($A378="","",IF(AW378="Y",BN378&amp;"",AZ378&amp;""))</f>
        <v/>
      </c>
      <c r="E378" s="0" t="str">
        <f aca="false">IF($A378="","",IF(AW378="Y",BO378&amp;"",BA378&amp;""))</f>
        <v/>
      </c>
      <c r="F378" s="0" t="str">
        <f aca="false">IF($A378="","",IF(AW378="Y",BP378&amp;"",BB378&amp;""))</f>
        <v/>
      </c>
      <c r="G378" s="0" t="str">
        <f aca="false">IF($A378="","",IF(AW378="Y",BQ378&amp;"",BC378&amp;""))</f>
        <v/>
      </c>
      <c r="H378" s="0" t="str">
        <f aca="false">IF($A378="","",IF(AW378="Y",BR378&amp;"",BD378&amp;""))</f>
        <v/>
      </c>
      <c r="I378" s="0" t="str">
        <f aca="false">IF($A378="","",IF(R378="Y","warm-intro",IF(H378="verified","email",IF(C378&lt;&gt;"","linkedin",CB378&amp;""))))</f>
        <v/>
      </c>
      <c r="J378" s="0" t="str">
        <f aca="false">IF($A378="","",IF(CN378="pass",ROUND(N(EM378)+N(EN378)+N(EO378)+N(EP378)+N(EQ378)+N(ER378),1),0))</f>
        <v/>
      </c>
      <c r="K378" s="0" t="str">
        <f aca="false">IF($A378="","",IF(CN378&lt;&gt;"pass",CA378&amp;"",CA378&amp;"; "&amp;IF(AW378="Y",BZ378&amp;"",BL378&amp;"")&amp;IF(R378="Y","; known to the founder (+15)","")&amp;"."))</f>
        <v/>
      </c>
      <c r="R378" s="5"/>
      <c r="U378" s="5"/>
      <c r="Y378" s="0" t="str">
        <f aca="false">IF(FX378&lt;&gt;"Y","",COUNTIFS($FX$2:$FX$1000,"Y",$J$2:$J$1000,"&gt;"&amp;J378)+COUNTIFS($FX$2:$FX$1000,"Y",$J$2:$J$1000,J378,$GD$2:$GD$1000,"&lt;"&amp;GD378)+1)</f>
        <v/>
      </c>
      <c r="AB378" s="0" t="str">
        <f aca="false">IF($A378="","",IF(AW378="Y",BY378&amp;"",BK378&amp;""))</f>
        <v/>
      </c>
      <c r="AC378" s="0" t="str">
        <f aca="false">IF($A378="","",IF(AW378="Y",BS378&amp;"",BE378&amp;""))</f>
        <v/>
      </c>
      <c r="AD378" s="0" t="str">
        <f aca="false">IF($A378="","",IF(AW378="Y",BT378&amp;"",BF378&amp;""))</f>
        <v/>
      </c>
      <c r="AE378" s="0" t="str">
        <f aca="false">IF($A378="","",IF(AW378="Y",BU378&amp;"",BG378&amp;""))</f>
        <v/>
      </c>
      <c r="AF378" s="0" t="str">
        <f aca="false">IF($A378="","",IF(AW378="Y",BV378&amp;"",BH378&amp;""))</f>
        <v/>
      </c>
      <c r="AG378" s="0" t="str">
        <f aca="false">IF($A378="","",IF(AW378="Y",BW378&amp;"",BI378&amp;""))</f>
        <v/>
      </c>
      <c r="AH378" s="0" t="str">
        <f aca="false">IF($A378="","",IF(AW378="Y",BX378&amp;"",BJ378&amp;""))</f>
        <v/>
      </c>
      <c r="AQ378" s="5"/>
      <c r="AT378" s="0" t="str">
        <f aca="false">IF($A378="","",IF(AND(CN378="pass",AQ378&lt;&gt;"Y",C378&lt;&gt;"",OR(AX378&lt;&gt;"Y",AV378="Y")),"Y","N"))</f>
        <v/>
      </c>
      <c r="AU378" s="0" t="str">
        <f aca="false">IF($A378="","",_xlfn.TEXTJOIN("; ",TRUE(),IF(CN378&lt;&gt;"pass","gated out",""),IF(AQ378="Y","on hold: "&amp;AR378,""),IF(C378="","no contact named on an opened page",""),IF(AND(AX378="Y",AV378&lt;&gt;"Y"),"Tuesday estimate band "&amp;L378&amp;": founder's call","")))</f>
        <v/>
      </c>
      <c r="BC378" s="0" t="str">
        <f aca="false">IF($A378="","",IFERROR(INDEX(Enrichment!$A$2:$GZ$2000,MATCH($A378,INDEX(Enrichment!$A$2:$GZ$2000,0,MATCH("row_id",Enrichment!$A$1:$GZ$1,0)),0),MATCH("work_email",Enrichment!$A$1:$GZ$1,0))&amp;"",""))</f>
        <v/>
      </c>
      <c r="BD378" s="0" t="str">
        <f aca="false">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Q378" s="0" t="str">
        <f aca="false">IF($A378="","",IFERROR(INDEX(Enrichment!$A$2:$GZ$2000,MATCH($A378,INDEX(Enrichment!$A$2:$GZ$2000,0,MATCH("row_id",Enrichment!$A$1:$GZ$1,0)),0),MATCH("backup_work_email",Enrichment!$A$1:$GZ$1,0))&amp;"",""))</f>
        <v/>
      </c>
      <c r="BR378" s="0" t="str">
        <f aca="false">IF($A378="","",IF(BQ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EQ378" s="0" t="str">
        <f aca="false">IF($A378="","",IF(AH378="exact",10,IF(AH378="adjacent",5,0)))</f>
        <v/>
      </c>
      <c r="ER378" s="0" t="str">
        <f aca="false">IF($A378="","",IF(R378="Y",15,0))</f>
        <v/>
      </c>
      <c r="FS378" s="0" t="str">
        <f aca="false">IF($A378="","",IF(ISNUMBER(MATCH(U378,{"queued","contacted","replied","call_booked","call_done","yes_in_principle","materials_sent"},0)),"Y","N"))</f>
        <v/>
      </c>
      <c r="FT378" s="0" t="str">
        <f aca="false">IF($A378="","",IF(OR(T378="Y",U378="do_not_contact",AS378&amp;""&lt;&gt;""),"Y","N"))</f>
        <v/>
      </c>
      <c r="FU378" s="0" t="str">
        <f aca="false">IF($A378="","",IF(AP378&amp;""&lt;&gt;"",AP378&amp;"",$A378))</f>
        <v/>
      </c>
      <c r="FV378" s="0" t="str">
        <f aca="false">IF($A378="","",IF(COUNTIFS($FU$2:$FU$1000,FU378,$FS$2:$FS$1000,"Y")+COUNTIFS($FU$2:$FU$1000,FU378,$FT$2:$FT$1000,"Y")&gt;0,"Y","N"))</f>
        <v/>
      </c>
      <c r="FW378" s="0" t="str">
        <f aca="false">IF($A378="","",IF(AND(U378="new",T378="N",FT378="N",AT378="Y",FV378="N"),"Y","N"))</f>
        <v/>
      </c>
      <c r="FX378" s="0" t="str">
        <f aca="false">IF($A378="","",IF(FW378&lt;&gt;"Y","N",IF(COUNTIFS($FU$2:$FU$1000,FU378,$FW$2:$FW$1000,"Y",$J$2:$J$1000,"&gt;"&amp;J378)+COUNTIFS($FU$2:$FU$1000,FU378,$FW$2:$FW$1000,"Y",$J$2:$J$1000,J378,$GD$2:$GD$1000,"&lt;"&amp;GD378)=0,"Y","N")))</f>
        <v/>
      </c>
      <c r="FY378" s="0" t="str">
        <f aca="false">IF($A378="","",IF(AND(FW378="Y",FX378="Y",Y378&amp;""&lt;&gt;""),IF(Y378&lt;=10,"Y","N"),"N"))</f>
        <v/>
      </c>
      <c r="FZ378" s="0" t="str">
        <f aca="false">IF(FY378="Y",Y378,"")</f>
        <v/>
      </c>
      <c r="GA378" s="0" t="str">
        <f aca="false">IF($A378="","",IF(AND(I378="walk-in",CN378="pass",U378="new",FT378="N",FV378="N",AQ378&lt;&gt;"Y"),"Y","N"))</f>
        <v/>
      </c>
      <c r="GB378" s="0" t="str">
        <f aca="false">IF(GA378&lt;&gt;"Y","",IF(COUNTIFS($GA$2:$GA$1000,"Y",$J$2:$J$1000,"&gt;"&amp;J378)+COUNTIFS($GA$2:$GA$1000,"Y",$J$2:$J$1000,J378,$GD$2:$GD$1000,"&lt;"&amp;GD378)+1&lt;=25,COUNTIFS($GA$2:$GA$1000,"Y",$J$2:$J$1000,"&gt;"&amp;J378)+COUNTIFS($GA$2:$GA$1000,"Y",$J$2:$J$1000,J378,$GD$2:$GD$1000,"&lt;"&amp;GD378)+1,""))</f>
        <v/>
      </c>
      <c r="GC378" s="0" t="str">
        <f aca="false">IF(AND(_xlfn.ISFORMULA(C378),_xlfn.ISFORMULA(J378)),"Y","N")</f>
        <v>Y</v>
      </c>
      <c r="GD378" s="0" t="n">
        <f aca="false">ROW()-1</f>
        <v>377</v>
      </c>
    </row>
    <row r="379" customFormat="false" ht="15" hidden="false" customHeight="false" outlineLevel="0" collapsed="false">
      <c r="C379" s="0" t="str">
        <f aca="false">IF($A379="","",IF(AW379="Y",BM379&amp;"",AY379&amp;""))</f>
        <v/>
      </c>
      <c r="D379" s="0" t="str">
        <f aca="false">IF($A379="","",IF(AW379="Y",BN379&amp;"",AZ379&amp;""))</f>
        <v/>
      </c>
      <c r="E379" s="0" t="str">
        <f aca="false">IF($A379="","",IF(AW379="Y",BO379&amp;"",BA379&amp;""))</f>
        <v/>
      </c>
      <c r="F379" s="0" t="str">
        <f aca="false">IF($A379="","",IF(AW379="Y",BP379&amp;"",BB379&amp;""))</f>
        <v/>
      </c>
      <c r="G379" s="0" t="str">
        <f aca="false">IF($A379="","",IF(AW379="Y",BQ379&amp;"",BC379&amp;""))</f>
        <v/>
      </c>
      <c r="H379" s="0" t="str">
        <f aca="false">IF($A379="","",IF(AW379="Y",BR379&amp;"",BD379&amp;""))</f>
        <v/>
      </c>
      <c r="I379" s="0" t="str">
        <f aca="false">IF($A379="","",IF(R379="Y","warm-intro",IF(H379="verified","email",IF(C379&lt;&gt;"","linkedin",CB379&amp;""))))</f>
        <v/>
      </c>
      <c r="J379" s="0" t="str">
        <f aca="false">IF($A379="","",IF(CN379="pass",ROUND(N(EM379)+N(EN379)+N(EO379)+N(EP379)+N(EQ379)+N(ER379),1),0))</f>
        <v/>
      </c>
      <c r="K379" s="0" t="str">
        <f aca="false">IF($A379="","",IF(CN379&lt;&gt;"pass",CA379&amp;"",CA379&amp;"; "&amp;IF(AW379="Y",BZ379&amp;"",BL379&amp;"")&amp;IF(R379="Y","; known to the founder (+15)","")&amp;"."))</f>
        <v/>
      </c>
      <c r="R379" s="5"/>
      <c r="U379" s="5"/>
      <c r="Y379" s="0" t="str">
        <f aca="false">IF(FX379&lt;&gt;"Y","",COUNTIFS($FX$2:$FX$1000,"Y",$J$2:$J$1000,"&gt;"&amp;J379)+COUNTIFS($FX$2:$FX$1000,"Y",$J$2:$J$1000,J379,$GD$2:$GD$1000,"&lt;"&amp;GD379)+1)</f>
        <v/>
      </c>
      <c r="AB379" s="0" t="str">
        <f aca="false">IF($A379="","",IF(AW379="Y",BY379&amp;"",BK379&amp;""))</f>
        <v/>
      </c>
      <c r="AC379" s="0" t="str">
        <f aca="false">IF($A379="","",IF(AW379="Y",BS379&amp;"",BE379&amp;""))</f>
        <v/>
      </c>
      <c r="AD379" s="0" t="str">
        <f aca="false">IF($A379="","",IF(AW379="Y",BT379&amp;"",BF379&amp;""))</f>
        <v/>
      </c>
      <c r="AE379" s="0" t="str">
        <f aca="false">IF($A379="","",IF(AW379="Y",BU379&amp;"",BG379&amp;""))</f>
        <v/>
      </c>
      <c r="AF379" s="0" t="str">
        <f aca="false">IF($A379="","",IF(AW379="Y",BV379&amp;"",BH379&amp;""))</f>
        <v/>
      </c>
      <c r="AG379" s="0" t="str">
        <f aca="false">IF($A379="","",IF(AW379="Y",BW379&amp;"",BI379&amp;""))</f>
        <v/>
      </c>
      <c r="AH379" s="0" t="str">
        <f aca="false">IF($A379="","",IF(AW379="Y",BX379&amp;"",BJ379&amp;""))</f>
        <v/>
      </c>
      <c r="AQ379" s="5"/>
      <c r="AT379" s="0" t="str">
        <f aca="false">IF($A379="","",IF(AND(CN379="pass",AQ379&lt;&gt;"Y",C379&lt;&gt;"",OR(AX379&lt;&gt;"Y",AV379="Y")),"Y","N"))</f>
        <v/>
      </c>
      <c r="AU379" s="0" t="str">
        <f aca="false">IF($A379="","",_xlfn.TEXTJOIN("; ",TRUE(),IF(CN379&lt;&gt;"pass","gated out",""),IF(AQ379="Y","on hold: "&amp;AR379,""),IF(C379="","no contact named on an opened page",""),IF(AND(AX379="Y",AV379&lt;&gt;"Y"),"Tuesday estimate band "&amp;L379&amp;": founder's call","")))</f>
        <v/>
      </c>
      <c r="BC379" s="0" t="str">
        <f aca="false">IF($A379="","",IFERROR(INDEX(Enrichment!$A$2:$GZ$2000,MATCH($A379,INDEX(Enrichment!$A$2:$GZ$2000,0,MATCH("row_id",Enrichment!$A$1:$GZ$1,0)),0),MATCH("work_email",Enrichment!$A$1:$GZ$1,0))&amp;"",""))</f>
        <v/>
      </c>
      <c r="BD379" s="0" t="str">
        <f aca="false">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Q379" s="0" t="str">
        <f aca="false">IF($A379="","",IFERROR(INDEX(Enrichment!$A$2:$GZ$2000,MATCH($A379,INDEX(Enrichment!$A$2:$GZ$2000,0,MATCH("row_id",Enrichment!$A$1:$GZ$1,0)),0),MATCH("backup_work_email",Enrichment!$A$1:$GZ$1,0))&amp;"",""))</f>
        <v/>
      </c>
      <c r="BR379" s="0" t="str">
        <f aca="false">IF($A379="","",IF(BQ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EQ379" s="0" t="str">
        <f aca="false">IF($A379="","",IF(AH379="exact",10,IF(AH379="adjacent",5,0)))</f>
        <v/>
      </c>
      <c r="ER379" s="0" t="str">
        <f aca="false">IF($A379="","",IF(R379="Y",15,0))</f>
        <v/>
      </c>
      <c r="FS379" s="0" t="str">
        <f aca="false">IF($A379="","",IF(ISNUMBER(MATCH(U379,{"queued","contacted","replied","call_booked","call_done","yes_in_principle","materials_sent"},0)),"Y","N"))</f>
        <v/>
      </c>
      <c r="FT379" s="0" t="str">
        <f aca="false">IF($A379="","",IF(OR(T379="Y",U379="do_not_contact",AS379&amp;""&lt;&gt;""),"Y","N"))</f>
        <v/>
      </c>
      <c r="FU379" s="0" t="str">
        <f aca="false">IF($A379="","",IF(AP379&amp;""&lt;&gt;"",AP379&amp;"",$A379))</f>
        <v/>
      </c>
      <c r="FV379" s="0" t="str">
        <f aca="false">IF($A379="","",IF(COUNTIFS($FU$2:$FU$1000,FU379,$FS$2:$FS$1000,"Y")+COUNTIFS($FU$2:$FU$1000,FU379,$FT$2:$FT$1000,"Y")&gt;0,"Y","N"))</f>
        <v/>
      </c>
      <c r="FW379" s="0" t="str">
        <f aca="false">IF($A379="","",IF(AND(U379="new",T379="N",FT379="N",AT379="Y",FV379="N"),"Y","N"))</f>
        <v/>
      </c>
      <c r="FX379" s="0" t="str">
        <f aca="false">IF($A379="","",IF(FW379&lt;&gt;"Y","N",IF(COUNTIFS($FU$2:$FU$1000,FU379,$FW$2:$FW$1000,"Y",$J$2:$J$1000,"&gt;"&amp;J379)+COUNTIFS($FU$2:$FU$1000,FU379,$FW$2:$FW$1000,"Y",$J$2:$J$1000,J379,$GD$2:$GD$1000,"&lt;"&amp;GD379)=0,"Y","N")))</f>
        <v/>
      </c>
      <c r="FY379" s="0" t="str">
        <f aca="false">IF($A379="","",IF(AND(FW379="Y",FX379="Y",Y379&amp;""&lt;&gt;""),IF(Y379&lt;=10,"Y","N"),"N"))</f>
        <v/>
      </c>
      <c r="FZ379" s="0" t="str">
        <f aca="false">IF(FY379="Y",Y379,"")</f>
        <v/>
      </c>
      <c r="GA379" s="0" t="str">
        <f aca="false">IF($A379="","",IF(AND(I379="walk-in",CN379="pass",U379="new",FT379="N",FV379="N",AQ379&lt;&gt;"Y"),"Y","N"))</f>
        <v/>
      </c>
      <c r="GB379" s="0" t="str">
        <f aca="false">IF(GA379&lt;&gt;"Y","",IF(COUNTIFS($GA$2:$GA$1000,"Y",$J$2:$J$1000,"&gt;"&amp;J379)+COUNTIFS($GA$2:$GA$1000,"Y",$J$2:$J$1000,J379,$GD$2:$GD$1000,"&lt;"&amp;GD379)+1&lt;=25,COUNTIFS($GA$2:$GA$1000,"Y",$J$2:$J$1000,"&gt;"&amp;J379)+COUNTIFS($GA$2:$GA$1000,"Y",$J$2:$J$1000,J379,$GD$2:$GD$1000,"&lt;"&amp;GD379)+1,""))</f>
        <v/>
      </c>
      <c r="GC379" s="0" t="str">
        <f aca="false">IF(AND(_xlfn.ISFORMULA(C379),_xlfn.ISFORMULA(J379)),"Y","N")</f>
        <v>Y</v>
      </c>
      <c r="GD379" s="0" t="n">
        <f aca="false">ROW()-1</f>
        <v>378</v>
      </c>
    </row>
    <row r="380" customFormat="false" ht="15" hidden="false" customHeight="false" outlineLevel="0" collapsed="false">
      <c r="C380" s="0" t="str">
        <f aca="false">IF($A380="","",IF(AW380="Y",BM380&amp;"",AY380&amp;""))</f>
        <v/>
      </c>
      <c r="D380" s="0" t="str">
        <f aca="false">IF($A380="","",IF(AW380="Y",BN380&amp;"",AZ380&amp;""))</f>
        <v/>
      </c>
      <c r="E380" s="0" t="str">
        <f aca="false">IF($A380="","",IF(AW380="Y",BO380&amp;"",BA380&amp;""))</f>
        <v/>
      </c>
      <c r="F380" s="0" t="str">
        <f aca="false">IF($A380="","",IF(AW380="Y",BP380&amp;"",BB380&amp;""))</f>
        <v/>
      </c>
      <c r="G380" s="0" t="str">
        <f aca="false">IF($A380="","",IF(AW380="Y",BQ380&amp;"",BC380&amp;""))</f>
        <v/>
      </c>
      <c r="H380" s="0" t="str">
        <f aca="false">IF($A380="","",IF(AW380="Y",BR380&amp;"",BD380&amp;""))</f>
        <v/>
      </c>
      <c r="I380" s="0" t="str">
        <f aca="false">IF($A380="","",IF(R380="Y","warm-intro",IF(H380="verified","email",IF(C380&lt;&gt;"","linkedin",CB380&amp;""))))</f>
        <v/>
      </c>
      <c r="J380" s="0" t="str">
        <f aca="false">IF($A380="","",IF(CN380="pass",ROUND(N(EM380)+N(EN380)+N(EO380)+N(EP380)+N(EQ380)+N(ER380),1),0))</f>
        <v/>
      </c>
      <c r="K380" s="0" t="str">
        <f aca="false">IF($A380="","",IF(CN380&lt;&gt;"pass",CA380&amp;"",CA380&amp;"; "&amp;IF(AW380="Y",BZ380&amp;"",BL380&amp;"")&amp;IF(R380="Y","; known to the founder (+15)","")&amp;"."))</f>
        <v/>
      </c>
      <c r="R380" s="5"/>
      <c r="U380" s="5"/>
      <c r="Y380" s="0" t="str">
        <f aca="false">IF(FX380&lt;&gt;"Y","",COUNTIFS($FX$2:$FX$1000,"Y",$J$2:$J$1000,"&gt;"&amp;J380)+COUNTIFS($FX$2:$FX$1000,"Y",$J$2:$J$1000,J380,$GD$2:$GD$1000,"&lt;"&amp;GD380)+1)</f>
        <v/>
      </c>
      <c r="AB380" s="0" t="str">
        <f aca="false">IF($A380="","",IF(AW380="Y",BY380&amp;"",BK380&amp;""))</f>
        <v/>
      </c>
      <c r="AC380" s="0" t="str">
        <f aca="false">IF($A380="","",IF(AW380="Y",BS380&amp;"",BE380&amp;""))</f>
        <v/>
      </c>
      <c r="AD380" s="0" t="str">
        <f aca="false">IF($A380="","",IF(AW380="Y",BT380&amp;"",BF380&amp;""))</f>
        <v/>
      </c>
      <c r="AE380" s="0" t="str">
        <f aca="false">IF($A380="","",IF(AW380="Y",BU380&amp;"",BG380&amp;""))</f>
        <v/>
      </c>
      <c r="AF380" s="0" t="str">
        <f aca="false">IF($A380="","",IF(AW380="Y",BV380&amp;"",BH380&amp;""))</f>
        <v/>
      </c>
      <c r="AG380" s="0" t="str">
        <f aca="false">IF($A380="","",IF(AW380="Y",BW380&amp;"",BI380&amp;""))</f>
        <v/>
      </c>
      <c r="AH380" s="0" t="str">
        <f aca="false">IF($A380="","",IF(AW380="Y",BX380&amp;"",BJ380&amp;""))</f>
        <v/>
      </c>
      <c r="AQ380" s="5"/>
      <c r="AT380" s="0" t="str">
        <f aca="false">IF($A380="","",IF(AND(CN380="pass",AQ380&lt;&gt;"Y",C380&lt;&gt;"",OR(AX380&lt;&gt;"Y",AV380="Y")),"Y","N"))</f>
        <v/>
      </c>
      <c r="AU380" s="0" t="str">
        <f aca="false">IF($A380="","",_xlfn.TEXTJOIN("; ",TRUE(),IF(CN380&lt;&gt;"pass","gated out",""),IF(AQ380="Y","on hold: "&amp;AR380,""),IF(C380="","no contact named on an opened page",""),IF(AND(AX380="Y",AV380&lt;&gt;"Y"),"Tuesday estimate band "&amp;L380&amp;": founder's call","")))</f>
        <v/>
      </c>
      <c r="BC380" s="0" t="str">
        <f aca="false">IF($A380="","",IFERROR(INDEX(Enrichment!$A$2:$GZ$2000,MATCH($A380,INDEX(Enrichment!$A$2:$GZ$2000,0,MATCH("row_id",Enrichment!$A$1:$GZ$1,0)),0),MATCH("work_email",Enrichment!$A$1:$GZ$1,0))&amp;"",""))</f>
        <v/>
      </c>
      <c r="BD380" s="0" t="str">
        <f aca="false">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Q380" s="0" t="str">
        <f aca="false">IF($A380="","",IFERROR(INDEX(Enrichment!$A$2:$GZ$2000,MATCH($A380,INDEX(Enrichment!$A$2:$GZ$2000,0,MATCH("row_id",Enrichment!$A$1:$GZ$1,0)),0),MATCH("backup_work_email",Enrichment!$A$1:$GZ$1,0))&amp;"",""))</f>
        <v/>
      </c>
      <c r="BR380" s="0" t="str">
        <f aca="false">IF($A380="","",IF(BQ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EQ380" s="0" t="str">
        <f aca="false">IF($A380="","",IF(AH380="exact",10,IF(AH380="adjacent",5,0)))</f>
        <v/>
      </c>
      <c r="ER380" s="0" t="str">
        <f aca="false">IF($A380="","",IF(R380="Y",15,0))</f>
        <v/>
      </c>
      <c r="FS380" s="0" t="str">
        <f aca="false">IF($A380="","",IF(ISNUMBER(MATCH(U380,{"queued","contacted","replied","call_booked","call_done","yes_in_principle","materials_sent"},0)),"Y","N"))</f>
        <v/>
      </c>
      <c r="FT380" s="0" t="str">
        <f aca="false">IF($A380="","",IF(OR(T380="Y",U380="do_not_contact",AS380&amp;""&lt;&gt;""),"Y","N"))</f>
        <v/>
      </c>
      <c r="FU380" s="0" t="str">
        <f aca="false">IF($A380="","",IF(AP380&amp;""&lt;&gt;"",AP380&amp;"",$A380))</f>
        <v/>
      </c>
      <c r="FV380" s="0" t="str">
        <f aca="false">IF($A380="","",IF(COUNTIFS($FU$2:$FU$1000,FU380,$FS$2:$FS$1000,"Y")+COUNTIFS($FU$2:$FU$1000,FU380,$FT$2:$FT$1000,"Y")&gt;0,"Y","N"))</f>
        <v/>
      </c>
      <c r="FW380" s="0" t="str">
        <f aca="false">IF($A380="","",IF(AND(U380="new",T380="N",FT380="N",AT380="Y",FV380="N"),"Y","N"))</f>
        <v/>
      </c>
      <c r="FX380" s="0" t="str">
        <f aca="false">IF($A380="","",IF(FW380&lt;&gt;"Y","N",IF(COUNTIFS($FU$2:$FU$1000,FU380,$FW$2:$FW$1000,"Y",$J$2:$J$1000,"&gt;"&amp;J380)+COUNTIFS($FU$2:$FU$1000,FU380,$FW$2:$FW$1000,"Y",$J$2:$J$1000,J380,$GD$2:$GD$1000,"&lt;"&amp;GD380)=0,"Y","N")))</f>
        <v/>
      </c>
      <c r="FY380" s="0" t="str">
        <f aca="false">IF($A380="","",IF(AND(FW380="Y",FX380="Y",Y380&amp;""&lt;&gt;""),IF(Y380&lt;=10,"Y","N"),"N"))</f>
        <v/>
      </c>
      <c r="FZ380" s="0" t="str">
        <f aca="false">IF(FY380="Y",Y380,"")</f>
        <v/>
      </c>
      <c r="GA380" s="0" t="str">
        <f aca="false">IF($A380="","",IF(AND(I380="walk-in",CN380="pass",U380="new",FT380="N",FV380="N",AQ380&lt;&gt;"Y"),"Y","N"))</f>
        <v/>
      </c>
      <c r="GB380" s="0" t="str">
        <f aca="false">IF(GA380&lt;&gt;"Y","",IF(COUNTIFS($GA$2:$GA$1000,"Y",$J$2:$J$1000,"&gt;"&amp;J380)+COUNTIFS($GA$2:$GA$1000,"Y",$J$2:$J$1000,J380,$GD$2:$GD$1000,"&lt;"&amp;GD380)+1&lt;=25,COUNTIFS($GA$2:$GA$1000,"Y",$J$2:$J$1000,"&gt;"&amp;J380)+COUNTIFS($GA$2:$GA$1000,"Y",$J$2:$J$1000,J380,$GD$2:$GD$1000,"&lt;"&amp;GD380)+1,""))</f>
        <v/>
      </c>
      <c r="GC380" s="0" t="str">
        <f aca="false">IF(AND(_xlfn.ISFORMULA(C380),_xlfn.ISFORMULA(J380)),"Y","N")</f>
        <v>Y</v>
      </c>
      <c r="GD380" s="0" t="n">
        <f aca="false">ROW()-1</f>
        <v>379</v>
      </c>
    </row>
    <row r="381" customFormat="false" ht="15" hidden="false" customHeight="false" outlineLevel="0" collapsed="false">
      <c r="C381" s="0" t="str">
        <f aca="false">IF($A381="","",IF(AW381="Y",BM381&amp;"",AY381&amp;""))</f>
        <v/>
      </c>
      <c r="D381" s="0" t="str">
        <f aca="false">IF($A381="","",IF(AW381="Y",BN381&amp;"",AZ381&amp;""))</f>
        <v/>
      </c>
      <c r="E381" s="0" t="str">
        <f aca="false">IF($A381="","",IF(AW381="Y",BO381&amp;"",BA381&amp;""))</f>
        <v/>
      </c>
      <c r="F381" s="0" t="str">
        <f aca="false">IF($A381="","",IF(AW381="Y",BP381&amp;"",BB381&amp;""))</f>
        <v/>
      </c>
      <c r="G381" s="0" t="str">
        <f aca="false">IF($A381="","",IF(AW381="Y",BQ381&amp;"",BC381&amp;""))</f>
        <v/>
      </c>
      <c r="H381" s="0" t="str">
        <f aca="false">IF($A381="","",IF(AW381="Y",BR381&amp;"",BD381&amp;""))</f>
        <v/>
      </c>
      <c r="I381" s="0" t="str">
        <f aca="false">IF($A381="","",IF(R381="Y","warm-intro",IF(H381="verified","email",IF(C381&lt;&gt;"","linkedin",CB381&amp;""))))</f>
        <v/>
      </c>
      <c r="J381" s="0" t="str">
        <f aca="false">IF($A381="","",IF(CN381="pass",ROUND(N(EM381)+N(EN381)+N(EO381)+N(EP381)+N(EQ381)+N(ER381),1),0))</f>
        <v/>
      </c>
      <c r="K381" s="0" t="str">
        <f aca="false">IF($A381="","",IF(CN381&lt;&gt;"pass",CA381&amp;"",CA381&amp;"; "&amp;IF(AW381="Y",BZ381&amp;"",BL381&amp;"")&amp;IF(R381="Y","; known to the founder (+15)","")&amp;"."))</f>
        <v/>
      </c>
      <c r="R381" s="5"/>
      <c r="U381" s="5"/>
      <c r="Y381" s="0" t="str">
        <f aca="false">IF(FX381&lt;&gt;"Y","",COUNTIFS($FX$2:$FX$1000,"Y",$J$2:$J$1000,"&gt;"&amp;J381)+COUNTIFS($FX$2:$FX$1000,"Y",$J$2:$J$1000,J381,$GD$2:$GD$1000,"&lt;"&amp;GD381)+1)</f>
        <v/>
      </c>
      <c r="AB381" s="0" t="str">
        <f aca="false">IF($A381="","",IF(AW381="Y",BY381&amp;"",BK381&amp;""))</f>
        <v/>
      </c>
      <c r="AC381" s="0" t="str">
        <f aca="false">IF($A381="","",IF(AW381="Y",BS381&amp;"",BE381&amp;""))</f>
        <v/>
      </c>
      <c r="AD381" s="0" t="str">
        <f aca="false">IF($A381="","",IF(AW381="Y",BT381&amp;"",BF381&amp;""))</f>
        <v/>
      </c>
      <c r="AE381" s="0" t="str">
        <f aca="false">IF($A381="","",IF(AW381="Y",BU381&amp;"",BG381&amp;""))</f>
        <v/>
      </c>
      <c r="AF381" s="0" t="str">
        <f aca="false">IF($A381="","",IF(AW381="Y",BV381&amp;"",BH381&amp;""))</f>
        <v/>
      </c>
      <c r="AG381" s="0" t="str">
        <f aca="false">IF($A381="","",IF(AW381="Y",BW381&amp;"",BI381&amp;""))</f>
        <v/>
      </c>
      <c r="AH381" s="0" t="str">
        <f aca="false">IF($A381="","",IF(AW381="Y",BX381&amp;"",BJ381&amp;""))</f>
        <v/>
      </c>
      <c r="AQ381" s="5"/>
      <c r="AT381" s="0" t="str">
        <f aca="false">IF($A381="","",IF(AND(CN381="pass",AQ381&lt;&gt;"Y",C381&lt;&gt;"",OR(AX381&lt;&gt;"Y",AV381="Y")),"Y","N"))</f>
        <v/>
      </c>
      <c r="AU381" s="0" t="str">
        <f aca="false">IF($A381="","",_xlfn.TEXTJOIN("; ",TRUE(),IF(CN381&lt;&gt;"pass","gated out",""),IF(AQ381="Y","on hold: "&amp;AR381,""),IF(C381="","no contact named on an opened page",""),IF(AND(AX381="Y",AV381&lt;&gt;"Y"),"Tuesday estimate band "&amp;L381&amp;": founder's call","")))</f>
        <v/>
      </c>
      <c r="BC381" s="0" t="str">
        <f aca="false">IF($A381="","",IFERROR(INDEX(Enrichment!$A$2:$GZ$2000,MATCH($A381,INDEX(Enrichment!$A$2:$GZ$2000,0,MATCH("row_id",Enrichment!$A$1:$GZ$1,0)),0),MATCH("work_email",Enrichment!$A$1:$GZ$1,0))&amp;"",""))</f>
        <v/>
      </c>
      <c r="BD381" s="0" t="str">
        <f aca="false">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Q381" s="0" t="str">
        <f aca="false">IF($A381="","",IFERROR(INDEX(Enrichment!$A$2:$GZ$2000,MATCH($A381,INDEX(Enrichment!$A$2:$GZ$2000,0,MATCH("row_id",Enrichment!$A$1:$GZ$1,0)),0),MATCH("backup_work_email",Enrichment!$A$1:$GZ$1,0))&amp;"",""))</f>
        <v/>
      </c>
      <c r="BR381" s="0" t="str">
        <f aca="false">IF($A381="","",IF(BQ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EQ381" s="0" t="str">
        <f aca="false">IF($A381="","",IF(AH381="exact",10,IF(AH381="adjacent",5,0)))</f>
        <v/>
      </c>
      <c r="ER381" s="0" t="str">
        <f aca="false">IF($A381="","",IF(R381="Y",15,0))</f>
        <v/>
      </c>
      <c r="FS381" s="0" t="str">
        <f aca="false">IF($A381="","",IF(ISNUMBER(MATCH(U381,{"queued","contacted","replied","call_booked","call_done","yes_in_principle","materials_sent"},0)),"Y","N"))</f>
        <v/>
      </c>
      <c r="FT381" s="0" t="str">
        <f aca="false">IF($A381="","",IF(OR(T381="Y",U381="do_not_contact",AS381&amp;""&lt;&gt;""),"Y","N"))</f>
        <v/>
      </c>
      <c r="FU381" s="0" t="str">
        <f aca="false">IF($A381="","",IF(AP381&amp;""&lt;&gt;"",AP381&amp;"",$A381))</f>
        <v/>
      </c>
      <c r="FV381" s="0" t="str">
        <f aca="false">IF($A381="","",IF(COUNTIFS($FU$2:$FU$1000,FU381,$FS$2:$FS$1000,"Y")+COUNTIFS($FU$2:$FU$1000,FU381,$FT$2:$FT$1000,"Y")&gt;0,"Y","N"))</f>
        <v/>
      </c>
      <c r="FW381" s="0" t="str">
        <f aca="false">IF($A381="","",IF(AND(U381="new",T381="N",FT381="N",AT381="Y",FV381="N"),"Y","N"))</f>
        <v/>
      </c>
      <c r="FX381" s="0" t="str">
        <f aca="false">IF($A381="","",IF(FW381&lt;&gt;"Y","N",IF(COUNTIFS($FU$2:$FU$1000,FU381,$FW$2:$FW$1000,"Y",$J$2:$J$1000,"&gt;"&amp;J381)+COUNTIFS($FU$2:$FU$1000,FU381,$FW$2:$FW$1000,"Y",$J$2:$J$1000,J381,$GD$2:$GD$1000,"&lt;"&amp;GD381)=0,"Y","N")))</f>
        <v/>
      </c>
      <c r="FY381" s="0" t="str">
        <f aca="false">IF($A381="","",IF(AND(FW381="Y",FX381="Y",Y381&amp;""&lt;&gt;""),IF(Y381&lt;=10,"Y","N"),"N"))</f>
        <v/>
      </c>
      <c r="FZ381" s="0" t="str">
        <f aca="false">IF(FY381="Y",Y381,"")</f>
        <v/>
      </c>
      <c r="GA381" s="0" t="str">
        <f aca="false">IF($A381="","",IF(AND(I381="walk-in",CN381="pass",U381="new",FT381="N",FV381="N",AQ381&lt;&gt;"Y"),"Y","N"))</f>
        <v/>
      </c>
      <c r="GB381" s="0" t="str">
        <f aca="false">IF(GA381&lt;&gt;"Y","",IF(COUNTIFS($GA$2:$GA$1000,"Y",$J$2:$J$1000,"&gt;"&amp;J381)+COUNTIFS($GA$2:$GA$1000,"Y",$J$2:$J$1000,J381,$GD$2:$GD$1000,"&lt;"&amp;GD381)+1&lt;=25,COUNTIFS($GA$2:$GA$1000,"Y",$J$2:$J$1000,"&gt;"&amp;J381)+COUNTIFS($GA$2:$GA$1000,"Y",$J$2:$J$1000,J381,$GD$2:$GD$1000,"&lt;"&amp;GD381)+1,""))</f>
        <v/>
      </c>
      <c r="GC381" s="0" t="str">
        <f aca="false">IF(AND(_xlfn.ISFORMULA(C381),_xlfn.ISFORMULA(J381)),"Y","N")</f>
        <v>Y</v>
      </c>
      <c r="GD381" s="0" t="n">
        <f aca="false">ROW()-1</f>
        <v>380</v>
      </c>
    </row>
    <row r="382" customFormat="false" ht="15" hidden="false" customHeight="false" outlineLevel="0" collapsed="false">
      <c r="C382" s="0" t="str">
        <f aca="false">IF($A382="","",IF(AW382="Y",BM382&amp;"",AY382&amp;""))</f>
        <v/>
      </c>
      <c r="D382" s="0" t="str">
        <f aca="false">IF($A382="","",IF(AW382="Y",BN382&amp;"",AZ382&amp;""))</f>
        <v/>
      </c>
      <c r="E382" s="0" t="str">
        <f aca="false">IF($A382="","",IF(AW382="Y",BO382&amp;"",BA382&amp;""))</f>
        <v/>
      </c>
      <c r="F382" s="0" t="str">
        <f aca="false">IF($A382="","",IF(AW382="Y",BP382&amp;"",BB382&amp;""))</f>
        <v/>
      </c>
      <c r="G382" s="0" t="str">
        <f aca="false">IF($A382="","",IF(AW382="Y",BQ382&amp;"",BC382&amp;""))</f>
        <v/>
      </c>
      <c r="H382" s="0" t="str">
        <f aca="false">IF($A382="","",IF(AW382="Y",BR382&amp;"",BD382&amp;""))</f>
        <v/>
      </c>
      <c r="I382" s="0" t="str">
        <f aca="false">IF($A382="","",IF(R382="Y","warm-intro",IF(H382="verified","email",IF(C382&lt;&gt;"","linkedin",CB382&amp;""))))</f>
        <v/>
      </c>
      <c r="J382" s="0" t="str">
        <f aca="false">IF($A382="","",IF(CN382="pass",ROUND(N(EM382)+N(EN382)+N(EO382)+N(EP382)+N(EQ382)+N(ER382),1),0))</f>
        <v/>
      </c>
      <c r="K382" s="0" t="str">
        <f aca="false">IF($A382="","",IF(CN382&lt;&gt;"pass",CA382&amp;"",CA382&amp;"; "&amp;IF(AW382="Y",BZ382&amp;"",BL382&amp;"")&amp;IF(R382="Y","; known to the founder (+15)","")&amp;"."))</f>
        <v/>
      </c>
      <c r="R382" s="5"/>
      <c r="U382" s="5"/>
      <c r="Y382" s="0" t="str">
        <f aca="false">IF(FX382&lt;&gt;"Y","",COUNTIFS($FX$2:$FX$1000,"Y",$J$2:$J$1000,"&gt;"&amp;J382)+COUNTIFS($FX$2:$FX$1000,"Y",$J$2:$J$1000,J382,$GD$2:$GD$1000,"&lt;"&amp;GD382)+1)</f>
        <v/>
      </c>
      <c r="AB382" s="0" t="str">
        <f aca="false">IF($A382="","",IF(AW382="Y",BY382&amp;"",BK382&amp;""))</f>
        <v/>
      </c>
      <c r="AC382" s="0" t="str">
        <f aca="false">IF($A382="","",IF(AW382="Y",BS382&amp;"",BE382&amp;""))</f>
        <v/>
      </c>
      <c r="AD382" s="0" t="str">
        <f aca="false">IF($A382="","",IF(AW382="Y",BT382&amp;"",BF382&amp;""))</f>
        <v/>
      </c>
      <c r="AE382" s="0" t="str">
        <f aca="false">IF($A382="","",IF(AW382="Y",BU382&amp;"",BG382&amp;""))</f>
        <v/>
      </c>
      <c r="AF382" s="0" t="str">
        <f aca="false">IF($A382="","",IF(AW382="Y",BV382&amp;"",BH382&amp;""))</f>
        <v/>
      </c>
      <c r="AG382" s="0" t="str">
        <f aca="false">IF($A382="","",IF(AW382="Y",BW382&amp;"",BI382&amp;""))</f>
        <v/>
      </c>
      <c r="AH382" s="0" t="str">
        <f aca="false">IF($A382="","",IF(AW382="Y",BX382&amp;"",BJ382&amp;""))</f>
        <v/>
      </c>
      <c r="AQ382" s="5"/>
      <c r="AT382" s="0" t="str">
        <f aca="false">IF($A382="","",IF(AND(CN382="pass",AQ382&lt;&gt;"Y",C382&lt;&gt;"",OR(AX382&lt;&gt;"Y",AV382="Y")),"Y","N"))</f>
        <v/>
      </c>
      <c r="AU382" s="0" t="str">
        <f aca="false">IF($A382="","",_xlfn.TEXTJOIN("; ",TRUE(),IF(CN382&lt;&gt;"pass","gated out",""),IF(AQ382="Y","on hold: "&amp;AR382,""),IF(C382="","no contact named on an opened page",""),IF(AND(AX382="Y",AV382&lt;&gt;"Y"),"Tuesday estimate band "&amp;L382&amp;": founder's call","")))</f>
        <v/>
      </c>
      <c r="BC382" s="0" t="str">
        <f aca="false">IF($A382="","",IFERROR(INDEX(Enrichment!$A$2:$GZ$2000,MATCH($A382,INDEX(Enrichment!$A$2:$GZ$2000,0,MATCH("row_id",Enrichment!$A$1:$GZ$1,0)),0),MATCH("work_email",Enrichment!$A$1:$GZ$1,0))&amp;"",""))</f>
        <v/>
      </c>
      <c r="BD382" s="0" t="str">
        <f aca="false">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Q382" s="0" t="str">
        <f aca="false">IF($A382="","",IFERROR(INDEX(Enrichment!$A$2:$GZ$2000,MATCH($A382,INDEX(Enrichment!$A$2:$GZ$2000,0,MATCH("row_id",Enrichment!$A$1:$GZ$1,0)),0),MATCH("backup_work_email",Enrichment!$A$1:$GZ$1,0))&amp;"",""))</f>
        <v/>
      </c>
      <c r="BR382" s="0" t="str">
        <f aca="false">IF($A382="","",IF(BQ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EQ382" s="0" t="str">
        <f aca="false">IF($A382="","",IF(AH382="exact",10,IF(AH382="adjacent",5,0)))</f>
        <v/>
      </c>
      <c r="ER382" s="0" t="str">
        <f aca="false">IF($A382="","",IF(R382="Y",15,0))</f>
        <v/>
      </c>
      <c r="FS382" s="0" t="str">
        <f aca="false">IF($A382="","",IF(ISNUMBER(MATCH(U382,{"queued","contacted","replied","call_booked","call_done","yes_in_principle","materials_sent"},0)),"Y","N"))</f>
        <v/>
      </c>
      <c r="FT382" s="0" t="str">
        <f aca="false">IF($A382="","",IF(OR(T382="Y",U382="do_not_contact",AS382&amp;""&lt;&gt;""),"Y","N"))</f>
        <v/>
      </c>
      <c r="FU382" s="0" t="str">
        <f aca="false">IF($A382="","",IF(AP382&amp;""&lt;&gt;"",AP382&amp;"",$A382))</f>
        <v/>
      </c>
      <c r="FV382" s="0" t="str">
        <f aca="false">IF($A382="","",IF(COUNTIFS($FU$2:$FU$1000,FU382,$FS$2:$FS$1000,"Y")+COUNTIFS($FU$2:$FU$1000,FU382,$FT$2:$FT$1000,"Y")&gt;0,"Y","N"))</f>
        <v/>
      </c>
      <c r="FW382" s="0" t="str">
        <f aca="false">IF($A382="","",IF(AND(U382="new",T382="N",FT382="N",AT382="Y",FV382="N"),"Y","N"))</f>
        <v/>
      </c>
      <c r="FX382" s="0" t="str">
        <f aca="false">IF($A382="","",IF(FW382&lt;&gt;"Y","N",IF(COUNTIFS($FU$2:$FU$1000,FU382,$FW$2:$FW$1000,"Y",$J$2:$J$1000,"&gt;"&amp;J382)+COUNTIFS($FU$2:$FU$1000,FU382,$FW$2:$FW$1000,"Y",$J$2:$J$1000,J382,$GD$2:$GD$1000,"&lt;"&amp;GD382)=0,"Y","N")))</f>
        <v/>
      </c>
      <c r="FY382" s="0" t="str">
        <f aca="false">IF($A382="","",IF(AND(FW382="Y",FX382="Y",Y382&amp;""&lt;&gt;""),IF(Y382&lt;=10,"Y","N"),"N"))</f>
        <v/>
      </c>
      <c r="FZ382" s="0" t="str">
        <f aca="false">IF(FY382="Y",Y382,"")</f>
        <v/>
      </c>
      <c r="GA382" s="0" t="str">
        <f aca="false">IF($A382="","",IF(AND(I382="walk-in",CN382="pass",U382="new",FT382="N",FV382="N",AQ382&lt;&gt;"Y"),"Y","N"))</f>
        <v/>
      </c>
      <c r="GB382" s="0" t="str">
        <f aca="false">IF(GA382&lt;&gt;"Y","",IF(COUNTIFS($GA$2:$GA$1000,"Y",$J$2:$J$1000,"&gt;"&amp;J382)+COUNTIFS($GA$2:$GA$1000,"Y",$J$2:$J$1000,J382,$GD$2:$GD$1000,"&lt;"&amp;GD382)+1&lt;=25,COUNTIFS($GA$2:$GA$1000,"Y",$J$2:$J$1000,"&gt;"&amp;J382)+COUNTIFS($GA$2:$GA$1000,"Y",$J$2:$J$1000,J382,$GD$2:$GD$1000,"&lt;"&amp;GD382)+1,""))</f>
        <v/>
      </c>
      <c r="GC382" s="0" t="str">
        <f aca="false">IF(AND(_xlfn.ISFORMULA(C382),_xlfn.ISFORMULA(J382)),"Y","N")</f>
        <v>Y</v>
      </c>
      <c r="GD382" s="0" t="n">
        <f aca="false">ROW()-1</f>
        <v>381</v>
      </c>
    </row>
    <row r="383" customFormat="false" ht="15" hidden="false" customHeight="false" outlineLevel="0" collapsed="false">
      <c r="C383" s="0" t="str">
        <f aca="false">IF($A383="","",IF(AW383="Y",BM383&amp;"",AY383&amp;""))</f>
        <v/>
      </c>
      <c r="D383" s="0" t="str">
        <f aca="false">IF($A383="","",IF(AW383="Y",BN383&amp;"",AZ383&amp;""))</f>
        <v/>
      </c>
      <c r="E383" s="0" t="str">
        <f aca="false">IF($A383="","",IF(AW383="Y",BO383&amp;"",BA383&amp;""))</f>
        <v/>
      </c>
      <c r="F383" s="0" t="str">
        <f aca="false">IF($A383="","",IF(AW383="Y",BP383&amp;"",BB383&amp;""))</f>
        <v/>
      </c>
      <c r="G383" s="0" t="str">
        <f aca="false">IF($A383="","",IF(AW383="Y",BQ383&amp;"",BC383&amp;""))</f>
        <v/>
      </c>
      <c r="H383" s="0" t="str">
        <f aca="false">IF($A383="","",IF(AW383="Y",BR383&amp;"",BD383&amp;""))</f>
        <v/>
      </c>
      <c r="I383" s="0" t="str">
        <f aca="false">IF($A383="","",IF(R383="Y","warm-intro",IF(H383="verified","email",IF(C383&lt;&gt;"","linkedin",CB383&amp;""))))</f>
        <v/>
      </c>
      <c r="J383" s="0" t="str">
        <f aca="false">IF($A383="","",IF(CN383="pass",ROUND(N(EM383)+N(EN383)+N(EO383)+N(EP383)+N(EQ383)+N(ER383),1),0))</f>
        <v/>
      </c>
      <c r="K383" s="0" t="str">
        <f aca="false">IF($A383="","",IF(CN383&lt;&gt;"pass",CA383&amp;"",CA383&amp;"; "&amp;IF(AW383="Y",BZ383&amp;"",BL383&amp;"")&amp;IF(R383="Y","; known to the founder (+15)","")&amp;"."))</f>
        <v/>
      </c>
      <c r="R383" s="5"/>
      <c r="U383" s="5"/>
      <c r="Y383" s="0" t="str">
        <f aca="false">IF(FX383&lt;&gt;"Y","",COUNTIFS($FX$2:$FX$1000,"Y",$J$2:$J$1000,"&gt;"&amp;J383)+COUNTIFS($FX$2:$FX$1000,"Y",$J$2:$J$1000,J383,$GD$2:$GD$1000,"&lt;"&amp;GD383)+1)</f>
        <v/>
      </c>
      <c r="AB383" s="0" t="str">
        <f aca="false">IF($A383="","",IF(AW383="Y",BY383&amp;"",BK383&amp;""))</f>
        <v/>
      </c>
      <c r="AC383" s="0" t="str">
        <f aca="false">IF($A383="","",IF(AW383="Y",BS383&amp;"",BE383&amp;""))</f>
        <v/>
      </c>
      <c r="AD383" s="0" t="str">
        <f aca="false">IF($A383="","",IF(AW383="Y",BT383&amp;"",BF383&amp;""))</f>
        <v/>
      </c>
      <c r="AE383" s="0" t="str">
        <f aca="false">IF($A383="","",IF(AW383="Y",BU383&amp;"",BG383&amp;""))</f>
        <v/>
      </c>
      <c r="AF383" s="0" t="str">
        <f aca="false">IF($A383="","",IF(AW383="Y",BV383&amp;"",BH383&amp;""))</f>
        <v/>
      </c>
      <c r="AG383" s="0" t="str">
        <f aca="false">IF($A383="","",IF(AW383="Y",BW383&amp;"",BI383&amp;""))</f>
        <v/>
      </c>
      <c r="AH383" s="0" t="str">
        <f aca="false">IF($A383="","",IF(AW383="Y",BX383&amp;"",BJ383&amp;""))</f>
        <v/>
      </c>
      <c r="AQ383" s="5"/>
      <c r="AT383" s="0" t="str">
        <f aca="false">IF($A383="","",IF(AND(CN383="pass",AQ383&lt;&gt;"Y",C383&lt;&gt;"",OR(AX383&lt;&gt;"Y",AV383="Y")),"Y","N"))</f>
        <v/>
      </c>
      <c r="AU383" s="0" t="str">
        <f aca="false">IF($A383="","",_xlfn.TEXTJOIN("; ",TRUE(),IF(CN383&lt;&gt;"pass","gated out",""),IF(AQ383="Y","on hold: "&amp;AR383,""),IF(C383="","no contact named on an opened page",""),IF(AND(AX383="Y",AV383&lt;&gt;"Y"),"Tuesday estimate band "&amp;L383&amp;": founder's call","")))</f>
        <v/>
      </c>
      <c r="BC383" s="0" t="str">
        <f aca="false">IF($A383="","",IFERROR(INDEX(Enrichment!$A$2:$GZ$2000,MATCH($A383,INDEX(Enrichment!$A$2:$GZ$2000,0,MATCH("row_id",Enrichment!$A$1:$GZ$1,0)),0),MATCH("work_email",Enrichment!$A$1:$GZ$1,0))&amp;"",""))</f>
        <v/>
      </c>
      <c r="BD383" s="0" t="str">
        <f aca="false">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Q383" s="0" t="str">
        <f aca="false">IF($A383="","",IFERROR(INDEX(Enrichment!$A$2:$GZ$2000,MATCH($A383,INDEX(Enrichment!$A$2:$GZ$2000,0,MATCH("row_id",Enrichment!$A$1:$GZ$1,0)),0),MATCH("backup_work_email",Enrichment!$A$1:$GZ$1,0))&amp;"",""))</f>
        <v/>
      </c>
      <c r="BR383" s="0" t="str">
        <f aca="false">IF($A383="","",IF(BQ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EQ383" s="0" t="str">
        <f aca="false">IF($A383="","",IF(AH383="exact",10,IF(AH383="adjacent",5,0)))</f>
        <v/>
      </c>
      <c r="ER383" s="0" t="str">
        <f aca="false">IF($A383="","",IF(R383="Y",15,0))</f>
        <v/>
      </c>
      <c r="FS383" s="0" t="str">
        <f aca="false">IF($A383="","",IF(ISNUMBER(MATCH(U383,{"queued","contacted","replied","call_booked","call_done","yes_in_principle","materials_sent"},0)),"Y","N"))</f>
        <v/>
      </c>
      <c r="FT383" s="0" t="str">
        <f aca="false">IF($A383="","",IF(OR(T383="Y",U383="do_not_contact",AS383&amp;""&lt;&gt;""),"Y","N"))</f>
        <v/>
      </c>
      <c r="FU383" s="0" t="str">
        <f aca="false">IF($A383="","",IF(AP383&amp;""&lt;&gt;"",AP383&amp;"",$A383))</f>
        <v/>
      </c>
      <c r="FV383" s="0" t="str">
        <f aca="false">IF($A383="","",IF(COUNTIFS($FU$2:$FU$1000,FU383,$FS$2:$FS$1000,"Y")+COUNTIFS($FU$2:$FU$1000,FU383,$FT$2:$FT$1000,"Y")&gt;0,"Y","N"))</f>
        <v/>
      </c>
      <c r="FW383" s="0" t="str">
        <f aca="false">IF($A383="","",IF(AND(U383="new",T383="N",FT383="N",AT383="Y",FV383="N"),"Y","N"))</f>
        <v/>
      </c>
      <c r="FX383" s="0" t="str">
        <f aca="false">IF($A383="","",IF(FW383&lt;&gt;"Y","N",IF(COUNTIFS($FU$2:$FU$1000,FU383,$FW$2:$FW$1000,"Y",$J$2:$J$1000,"&gt;"&amp;J383)+COUNTIFS($FU$2:$FU$1000,FU383,$FW$2:$FW$1000,"Y",$J$2:$J$1000,J383,$GD$2:$GD$1000,"&lt;"&amp;GD383)=0,"Y","N")))</f>
        <v/>
      </c>
      <c r="FY383" s="0" t="str">
        <f aca="false">IF($A383="","",IF(AND(FW383="Y",FX383="Y",Y383&amp;""&lt;&gt;""),IF(Y383&lt;=10,"Y","N"),"N"))</f>
        <v/>
      </c>
      <c r="FZ383" s="0" t="str">
        <f aca="false">IF(FY383="Y",Y383,"")</f>
        <v/>
      </c>
      <c r="GA383" s="0" t="str">
        <f aca="false">IF($A383="","",IF(AND(I383="walk-in",CN383="pass",U383="new",FT383="N",FV383="N",AQ383&lt;&gt;"Y"),"Y","N"))</f>
        <v/>
      </c>
      <c r="GB383" s="0" t="str">
        <f aca="false">IF(GA383&lt;&gt;"Y","",IF(COUNTIFS($GA$2:$GA$1000,"Y",$J$2:$J$1000,"&gt;"&amp;J383)+COUNTIFS($GA$2:$GA$1000,"Y",$J$2:$J$1000,J383,$GD$2:$GD$1000,"&lt;"&amp;GD383)+1&lt;=25,COUNTIFS($GA$2:$GA$1000,"Y",$J$2:$J$1000,"&gt;"&amp;J383)+COUNTIFS($GA$2:$GA$1000,"Y",$J$2:$J$1000,J383,$GD$2:$GD$1000,"&lt;"&amp;GD383)+1,""))</f>
        <v/>
      </c>
      <c r="GC383" s="0" t="str">
        <f aca="false">IF(AND(_xlfn.ISFORMULA(C383),_xlfn.ISFORMULA(J383)),"Y","N")</f>
        <v>Y</v>
      </c>
      <c r="GD383" s="0" t="n">
        <f aca="false">ROW()-1</f>
        <v>382</v>
      </c>
    </row>
    <row r="384" customFormat="false" ht="15" hidden="false" customHeight="false" outlineLevel="0" collapsed="false">
      <c r="C384" s="0" t="str">
        <f aca="false">IF($A384="","",IF(AW384="Y",BM384&amp;"",AY384&amp;""))</f>
        <v/>
      </c>
      <c r="D384" s="0" t="str">
        <f aca="false">IF($A384="","",IF(AW384="Y",BN384&amp;"",AZ384&amp;""))</f>
        <v/>
      </c>
      <c r="E384" s="0" t="str">
        <f aca="false">IF($A384="","",IF(AW384="Y",BO384&amp;"",BA384&amp;""))</f>
        <v/>
      </c>
      <c r="F384" s="0" t="str">
        <f aca="false">IF($A384="","",IF(AW384="Y",BP384&amp;"",BB384&amp;""))</f>
        <v/>
      </c>
      <c r="G384" s="0" t="str">
        <f aca="false">IF($A384="","",IF(AW384="Y",BQ384&amp;"",BC384&amp;""))</f>
        <v/>
      </c>
      <c r="H384" s="0" t="str">
        <f aca="false">IF($A384="","",IF(AW384="Y",BR384&amp;"",BD384&amp;""))</f>
        <v/>
      </c>
      <c r="I384" s="0" t="str">
        <f aca="false">IF($A384="","",IF(R384="Y","warm-intro",IF(H384="verified","email",IF(C384&lt;&gt;"","linkedin",CB384&amp;""))))</f>
        <v/>
      </c>
      <c r="J384" s="0" t="str">
        <f aca="false">IF($A384="","",IF(CN384="pass",ROUND(N(EM384)+N(EN384)+N(EO384)+N(EP384)+N(EQ384)+N(ER384),1),0))</f>
        <v/>
      </c>
      <c r="K384" s="0" t="str">
        <f aca="false">IF($A384="","",IF(CN384&lt;&gt;"pass",CA384&amp;"",CA384&amp;"; "&amp;IF(AW384="Y",BZ384&amp;"",BL384&amp;"")&amp;IF(R384="Y","; known to the founder (+15)","")&amp;"."))</f>
        <v/>
      </c>
      <c r="R384" s="5"/>
      <c r="U384" s="5"/>
      <c r="Y384" s="0" t="str">
        <f aca="false">IF(FX384&lt;&gt;"Y","",COUNTIFS($FX$2:$FX$1000,"Y",$J$2:$J$1000,"&gt;"&amp;J384)+COUNTIFS($FX$2:$FX$1000,"Y",$J$2:$J$1000,J384,$GD$2:$GD$1000,"&lt;"&amp;GD384)+1)</f>
        <v/>
      </c>
      <c r="AB384" s="0" t="str">
        <f aca="false">IF($A384="","",IF(AW384="Y",BY384&amp;"",BK384&amp;""))</f>
        <v/>
      </c>
      <c r="AC384" s="0" t="str">
        <f aca="false">IF($A384="","",IF(AW384="Y",BS384&amp;"",BE384&amp;""))</f>
        <v/>
      </c>
      <c r="AD384" s="0" t="str">
        <f aca="false">IF($A384="","",IF(AW384="Y",BT384&amp;"",BF384&amp;""))</f>
        <v/>
      </c>
      <c r="AE384" s="0" t="str">
        <f aca="false">IF($A384="","",IF(AW384="Y",BU384&amp;"",BG384&amp;""))</f>
        <v/>
      </c>
      <c r="AF384" s="0" t="str">
        <f aca="false">IF($A384="","",IF(AW384="Y",BV384&amp;"",BH384&amp;""))</f>
        <v/>
      </c>
      <c r="AG384" s="0" t="str">
        <f aca="false">IF($A384="","",IF(AW384="Y",BW384&amp;"",BI384&amp;""))</f>
        <v/>
      </c>
      <c r="AH384" s="0" t="str">
        <f aca="false">IF($A384="","",IF(AW384="Y",BX384&amp;"",BJ384&amp;""))</f>
        <v/>
      </c>
      <c r="AQ384" s="5"/>
      <c r="AT384" s="0" t="str">
        <f aca="false">IF($A384="","",IF(AND(CN384="pass",AQ384&lt;&gt;"Y",C384&lt;&gt;"",OR(AX384&lt;&gt;"Y",AV384="Y")),"Y","N"))</f>
        <v/>
      </c>
      <c r="AU384" s="0" t="str">
        <f aca="false">IF($A384="","",_xlfn.TEXTJOIN("; ",TRUE(),IF(CN384&lt;&gt;"pass","gated out",""),IF(AQ384="Y","on hold: "&amp;AR384,""),IF(C384="","no contact named on an opened page",""),IF(AND(AX384="Y",AV384&lt;&gt;"Y"),"Tuesday estimate band "&amp;L384&amp;": founder's call","")))</f>
        <v/>
      </c>
      <c r="BC384" s="0" t="str">
        <f aca="false">IF($A384="","",IFERROR(INDEX(Enrichment!$A$2:$GZ$2000,MATCH($A384,INDEX(Enrichment!$A$2:$GZ$2000,0,MATCH("row_id",Enrichment!$A$1:$GZ$1,0)),0),MATCH("work_email",Enrichment!$A$1:$GZ$1,0))&amp;"",""))</f>
        <v/>
      </c>
      <c r="BD384" s="0" t="str">
        <f aca="false">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Q384" s="0" t="str">
        <f aca="false">IF($A384="","",IFERROR(INDEX(Enrichment!$A$2:$GZ$2000,MATCH($A384,INDEX(Enrichment!$A$2:$GZ$2000,0,MATCH("row_id",Enrichment!$A$1:$GZ$1,0)),0),MATCH("backup_work_email",Enrichment!$A$1:$GZ$1,0))&amp;"",""))</f>
        <v/>
      </c>
      <c r="BR384" s="0" t="str">
        <f aca="false">IF($A384="","",IF(BQ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EQ384" s="0" t="str">
        <f aca="false">IF($A384="","",IF(AH384="exact",10,IF(AH384="adjacent",5,0)))</f>
        <v/>
      </c>
      <c r="ER384" s="0" t="str">
        <f aca="false">IF($A384="","",IF(R384="Y",15,0))</f>
        <v/>
      </c>
      <c r="FS384" s="0" t="str">
        <f aca="false">IF($A384="","",IF(ISNUMBER(MATCH(U384,{"queued","contacted","replied","call_booked","call_done","yes_in_principle","materials_sent"},0)),"Y","N"))</f>
        <v/>
      </c>
      <c r="FT384" s="0" t="str">
        <f aca="false">IF($A384="","",IF(OR(T384="Y",U384="do_not_contact",AS384&amp;""&lt;&gt;""),"Y","N"))</f>
        <v/>
      </c>
      <c r="FU384" s="0" t="str">
        <f aca="false">IF($A384="","",IF(AP384&amp;""&lt;&gt;"",AP384&amp;"",$A384))</f>
        <v/>
      </c>
      <c r="FV384" s="0" t="str">
        <f aca="false">IF($A384="","",IF(COUNTIFS($FU$2:$FU$1000,FU384,$FS$2:$FS$1000,"Y")+COUNTIFS($FU$2:$FU$1000,FU384,$FT$2:$FT$1000,"Y")&gt;0,"Y","N"))</f>
        <v/>
      </c>
      <c r="FW384" s="0" t="str">
        <f aca="false">IF($A384="","",IF(AND(U384="new",T384="N",FT384="N",AT384="Y",FV384="N"),"Y","N"))</f>
        <v/>
      </c>
      <c r="FX384" s="0" t="str">
        <f aca="false">IF($A384="","",IF(FW384&lt;&gt;"Y","N",IF(COUNTIFS($FU$2:$FU$1000,FU384,$FW$2:$FW$1000,"Y",$J$2:$J$1000,"&gt;"&amp;J384)+COUNTIFS($FU$2:$FU$1000,FU384,$FW$2:$FW$1000,"Y",$J$2:$J$1000,J384,$GD$2:$GD$1000,"&lt;"&amp;GD384)=0,"Y","N")))</f>
        <v/>
      </c>
      <c r="FY384" s="0" t="str">
        <f aca="false">IF($A384="","",IF(AND(FW384="Y",FX384="Y",Y384&amp;""&lt;&gt;""),IF(Y384&lt;=10,"Y","N"),"N"))</f>
        <v/>
      </c>
      <c r="FZ384" s="0" t="str">
        <f aca="false">IF(FY384="Y",Y384,"")</f>
        <v/>
      </c>
      <c r="GA384" s="0" t="str">
        <f aca="false">IF($A384="","",IF(AND(I384="walk-in",CN384="pass",U384="new",FT384="N",FV384="N",AQ384&lt;&gt;"Y"),"Y","N"))</f>
        <v/>
      </c>
      <c r="GB384" s="0" t="str">
        <f aca="false">IF(GA384&lt;&gt;"Y","",IF(COUNTIFS($GA$2:$GA$1000,"Y",$J$2:$J$1000,"&gt;"&amp;J384)+COUNTIFS($GA$2:$GA$1000,"Y",$J$2:$J$1000,J384,$GD$2:$GD$1000,"&lt;"&amp;GD384)+1&lt;=25,COUNTIFS($GA$2:$GA$1000,"Y",$J$2:$J$1000,"&gt;"&amp;J384)+COUNTIFS($GA$2:$GA$1000,"Y",$J$2:$J$1000,J384,$GD$2:$GD$1000,"&lt;"&amp;GD384)+1,""))</f>
        <v/>
      </c>
      <c r="GC384" s="0" t="str">
        <f aca="false">IF(AND(_xlfn.ISFORMULA(C384),_xlfn.ISFORMULA(J384)),"Y","N")</f>
        <v>Y</v>
      </c>
      <c r="GD384" s="0" t="n">
        <f aca="false">ROW()-1</f>
        <v>383</v>
      </c>
    </row>
    <row r="385" customFormat="false" ht="15" hidden="false" customHeight="false" outlineLevel="0" collapsed="false">
      <c r="C385" s="0" t="str">
        <f aca="false">IF($A385="","",IF(AW385="Y",BM385&amp;"",AY385&amp;""))</f>
        <v/>
      </c>
      <c r="D385" s="0" t="str">
        <f aca="false">IF($A385="","",IF(AW385="Y",BN385&amp;"",AZ385&amp;""))</f>
        <v/>
      </c>
      <c r="E385" s="0" t="str">
        <f aca="false">IF($A385="","",IF(AW385="Y",BO385&amp;"",BA385&amp;""))</f>
        <v/>
      </c>
      <c r="F385" s="0" t="str">
        <f aca="false">IF($A385="","",IF(AW385="Y",BP385&amp;"",BB385&amp;""))</f>
        <v/>
      </c>
      <c r="G385" s="0" t="str">
        <f aca="false">IF($A385="","",IF(AW385="Y",BQ385&amp;"",BC385&amp;""))</f>
        <v/>
      </c>
      <c r="H385" s="0" t="str">
        <f aca="false">IF($A385="","",IF(AW385="Y",BR385&amp;"",BD385&amp;""))</f>
        <v/>
      </c>
      <c r="I385" s="0" t="str">
        <f aca="false">IF($A385="","",IF(R385="Y","warm-intro",IF(H385="verified","email",IF(C385&lt;&gt;"","linkedin",CB385&amp;""))))</f>
        <v/>
      </c>
      <c r="J385" s="0" t="str">
        <f aca="false">IF($A385="","",IF(CN385="pass",ROUND(N(EM385)+N(EN385)+N(EO385)+N(EP385)+N(EQ385)+N(ER385),1),0))</f>
        <v/>
      </c>
      <c r="K385" s="0" t="str">
        <f aca="false">IF($A385="","",IF(CN385&lt;&gt;"pass",CA385&amp;"",CA385&amp;"; "&amp;IF(AW385="Y",BZ385&amp;"",BL385&amp;"")&amp;IF(R385="Y","; known to the founder (+15)","")&amp;"."))</f>
        <v/>
      </c>
      <c r="R385" s="5"/>
      <c r="U385" s="5"/>
      <c r="Y385" s="0" t="str">
        <f aca="false">IF(FX385&lt;&gt;"Y","",COUNTIFS($FX$2:$FX$1000,"Y",$J$2:$J$1000,"&gt;"&amp;J385)+COUNTIFS($FX$2:$FX$1000,"Y",$J$2:$J$1000,J385,$GD$2:$GD$1000,"&lt;"&amp;GD385)+1)</f>
        <v/>
      </c>
      <c r="AB385" s="0" t="str">
        <f aca="false">IF($A385="","",IF(AW385="Y",BY385&amp;"",BK385&amp;""))</f>
        <v/>
      </c>
      <c r="AC385" s="0" t="str">
        <f aca="false">IF($A385="","",IF(AW385="Y",BS385&amp;"",BE385&amp;""))</f>
        <v/>
      </c>
      <c r="AD385" s="0" t="str">
        <f aca="false">IF($A385="","",IF(AW385="Y",BT385&amp;"",BF385&amp;""))</f>
        <v/>
      </c>
      <c r="AE385" s="0" t="str">
        <f aca="false">IF($A385="","",IF(AW385="Y",BU385&amp;"",BG385&amp;""))</f>
        <v/>
      </c>
      <c r="AF385" s="0" t="str">
        <f aca="false">IF($A385="","",IF(AW385="Y",BV385&amp;"",BH385&amp;""))</f>
        <v/>
      </c>
      <c r="AG385" s="0" t="str">
        <f aca="false">IF($A385="","",IF(AW385="Y",BW385&amp;"",BI385&amp;""))</f>
        <v/>
      </c>
      <c r="AH385" s="0" t="str">
        <f aca="false">IF($A385="","",IF(AW385="Y",BX385&amp;"",BJ385&amp;""))</f>
        <v/>
      </c>
      <c r="AQ385" s="5"/>
      <c r="AT385" s="0" t="str">
        <f aca="false">IF($A385="","",IF(AND(CN385="pass",AQ385&lt;&gt;"Y",C385&lt;&gt;"",OR(AX385&lt;&gt;"Y",AV385="Y")),"Y","N"))</f>
        <v/>
      </c>
      <c r="AU385" s="0" t="str">
        <f aca="false">IF($A385="","",_xlfn.TEXTJOIN("; ",TRUE(),IF(CN385&lt;&gt;"pass","gated out",""),IF(AQ385="Y","on hold: "&amp;AR385,""),IF(C385="","no contact named on an opened page",""),IF(AND(AX385="Y",AV385&lt;&gt;"Y"),"Tuesday estimate band "&amp;L385&amp;": founder's call","")))</f>
        <v/>
      </c>
      <c r="BC385" s="0" t="str">
        <f aca="false">IF($A385="","",IFERROR(INDEX(Enrichment!$A$2:$GZ$2000,MATCH($A385,INDEX(Enrichment!$A$2:$GZ$2000,0,MATCH("row_id",Enrichment!$A$1:$GZ$1,0)),0),MATCH("work_email",Enrichment!$A$1:$GZ$1,0))&amp;"",""))</f>
        <v/>
      </c>
      <c r="BD385" s="0" t="str">
        <f aca="false">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Q385" s="0" t="str">
        <f aca="false">IF($A385="","",IFERROR(INDEX(Enrichment!$A$2:$GZ$2000,MATCH($A385,INDEX(Enrichment!$A$2:$GZ$2000,0,MATCH("row_id",Enrichment!$A$1:$GZ$1,0)),0),MATCH("backup_work_email",Enrichment!$A$1:$GZ$1,0))&amp;"",""))</f>
        <v/>
      </c>
      <c r="BR385" s="0" t="str">
        <f aca="false">IF($A385="","",IF(BQ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EQ385" s="0" t="str">
        <f aca="false">IF($A385="","",IF(AH385="exact",10,IF(AH385="adjacent",5,0)))</f>
        <v/>
      </c>
      <c r="ER385" s="0" t="str">
        <f aca="false">IF($A385="","",IF(R385="Y",15,0))</f>
        <v/>
      </c>
      <c r="FS385" s="0" t="str">
        <f aca="false">IF($A385="","",IF(ISNUMBER(MATCH(U385,{"queued","contacted","replied","call_booked","call_done","yes_in_principle","materials_sent"},0)),"Y","N"))</f>
        <v/>
      </c>
      <c r="FT385" s="0" t="str">
        <f aca="false">IF($A385="","",IF(OR(T385="Y",U385="do_not_contact",AS385&amp;""&lt;&gt;""),"Y","N"))</f>
        <v/>
      </c>
      <c r="FU385" s="0" t="str">
        <f aca="false">IF($A385="","",IF(AP385&amp;""&lt;&gt;"",AP385&amp;"",$A385))</f>
        <v/>
      </c>
      <c r="FV385" s="0" t="str">
        <f aca="false">IF($A385="","",IF(COUNTIFS($FU$2:$FU$1000,FU385,$FS$2:$FS$1000,"Y")+COUNTIFS($FU$2:$FU$1000,FU385,$FT$2:$FT$1000,"Y")&gt;0,"Y","N"))</f>
        <v/>
      </c>
      <c r="FW385" s="0" t="str">
        <f aca="false">IF($A385="","",IF(AND(U385="new",T385="N",FT385="N",AT385="Y",FV385="N"),"Y","N"))</f>
        <v/>
      </c>
      <c r="FX385" s="0" t="str">
        <f aca="false">IF($A385="","",IF(FW385&lt;&gt;"Y","N",IF(COUNTIFS($FU$2:$FU$1000,FU385,$FW$2:$FW$1000,"Y",$J$2:$J$1000,"&gt;"&amp;J385)+COUNTIFS($FU$2:$FU$1000,FU385,$FW$2:$FW$1000,"Y",$J$2:$J$1000,J385,$GD$2:$GD$1000,"&lt;"&amp;GD385)=0,"Y","N")))</f>
        <v/>
      </c>
      <c r="FY385" s="0" t="str">
        <f aca="false">IF($A385="","",IF(AND(FW385="Y",FX385="Y",Y385&amp;""&lt;&gt;""),IF(Y385&lt;=10,"Y","N"),"N"))</f>
        <v/>
      </c>
      <c r="FZ385" s="0" t="str">
        <f aca="false">IF(FY385="Y",Y385,"")</f>
        <v/>
      </c>
      <c r="GA385" s="0" t="str">
        <f aca="false">IF($A385="","",IF(AND(I385="walk-in",CN385="pass",U385="new",FT385="N",FV385="N",AQ385&lt;&gt;"Y"),"Y","N"))</f>
        <v/>
      </c>
      <c r="GB385" s="0" t="str">
        <f aca="false">IF(GA385&lt;&gt;"Y","",IF(COUNTIFS($GA$2:$GA$1000,"Y",$J$2:$J$1000,"&gt;"&amp;J385)+COUNTIFS($GA$2:$GA$1000,"Y",$J$2:$J$1000,J385,$GD$2:$GD$1000,"&lt;"&amp;GD385)+1&lt;=25,COUNTIFS($GA$2:$GA$1000,"Y",$J$2:$J$1000,"&gt;"&amp;J385)+COUNTIFS($GA$2:$GA$1000,"Y",$J$2:$J$1000,J385,$GD$2:$GD$1000,"&lt;"&amp;GD385)+1,""))</f>
        <v/>
      </c>
      <c r="GC385" s="0" t="str">
        <f aca="false">IF(AND(_xlfn.ISFORMULA(C385),_xlfn.ISFORMULA(J385)),"Y","N")</f>
        <v>Y</v>
      </c>
      <c r="GD385" s="0" t="n">
        <f aca="false">ROW()-1</f>
        <v>384</v>
      </c>
    </row>
    <row r="386" customFormat="false" ht="15" hidden="false" customHeight="false" outlineLevel="0" collapsed="false">
      <c r="C386" s="0" t="str">
        <f aca="false">IF($A386="","",IF(AW386="Y",BM386&amp;"",AY386&amp;""))</f>
        <v/>
      </c>
      <c r="D386" s="0" t="str">
        <f aca="false">IF($A386="","",IF(AW386="Y",BN386&amp;"",AZ386&amp;""))</f>
        <v/>
      </c>
      <c r="E386" s="0" t="str">
        <f aca="false">IF($A386="","",IF(AW386="Y",BO386&amp;"",BA386&amp;""))</f>
        <v/>
      </c>
      <c r="F386" s="0" t="str">
        <f aca="false">IF($A386="","",IF(AW386="Y",BP386&amp;"",BB386&amp;""))</f>
        <v/>
      </c>
      <c r="G386" s="0" t="str">
        <f aca="false">IF($A386="","",IF(AW386="Y",BQ386&amp;"",BC386&amp;""))</f>
        <v/>
      </c>
      <c r="H386" s="0" t="str">
        <f aca="false">IF($A386="","",IF(AW386="Y",BR386&amp;"",BD386&amp;""))</f>
        <v/>
      </c>
      <c r="I386" s="0" t="str">
        <f aca="false">IF($A386="","",IF(R386="Y","warm-intro",IF(H386="verified","email",IF(C386&lt;&gt;"","linkedin",CB386&amp;""))))</f>
        <v/>
      </c>
      <c r="J386" s="0" t="str">
        <f aca="false">IF($A386="","",IF(CN386="pass",ROUND(N(EM386)+N(EN386)+N(EO386)+N(EP386)+N(EQ386)+N(ER386),1),0))</f>
        <v/>
      </c>
      <c r="K386" s="0" t="str">
        <f aca="false">IF($A386="","",IF(CN386&lt;&gt;"pass",CA386&amp;"",CA386&amp;"; "&amp;IF(AW386="Y",BZ386&amp;"",BL386&amp;"")&amp;IF(R386="Y","; known to the founder (+15)","")&amp;"."))</f>
        <v/>
      </c>
      <c r="R386" s="5"/>
      <c r="U386" s="5"/>
      <c r="Y386" s="0" t="str">
        <f aca="false">IF(FX386&lt;&gt;"Y","",COUNTIFS($FX$2:$FX$1000,"Y",$J$2:$J$1000,"&gt;"&amp;J386)+COUNTIFS($FX$2:$FX$1000,"Y",$J$2:$J$1000,J386,$GD$2:$GD$1000,"&lt;"&amp;GD386)+1)</f>
        <v/>
      </c>
      <c r="AB386" s="0" t="str">
        <f aca="false">IF($A386="","",IF(AW386="Y",BY386&amp;"",BK386&amp;""))</f>
        <v/>
      </c>
      <c r="AC386" s="0" t="str">
        <f aca="false">IF($A386="","",IF(AW386="Y",BS386&amp;"",BE386&amp;""))</f>
        <v/>
      </c>
      <c r="AD386" s="0" t="str">
        <f aca="false">IF($A386="","",IF(AW386="Y",BT386&amp;"",BF386&amp;""))</f>
        <v/>
      </c>
      <c r="AE386" s="0" t="str">
        <f aca="false">IF($A386="","",IF(AW386="Y",BU386&amp;"",BG386&amp;""))</f>
        <v/>
      </c>
      <c r="AF386" s="0" t="str">
        <f aca="false">IF($A386="","",IF(AW386="Y",BV386&amp;"",BH386&amp;""))</f>
        <v/>
      </c>
      <c r="AG386" s="0" t="str">
        <f aca="false">IF($A386="","",IF(AW386="Y",BW386&amp;"",BI386&amp;""))</f>
        <v/>
      </c>
      <c r="AH386" s="0" t="str">
        <f aca="false">IF($A386="","",IF(AW386="Y",BX386&amp;"",BJ386&amp;""))</f>
        <v/>
      </c>
      <c r="AQ386" s="5"/>
      <c r="AT386" s="0" t="str">
        <f aca="false">IF($A386="","",IF(AND(CN386="pass",AQ386&lt;&gt;"Y",C386&lt;&gt;"",OR(AX386&lt;&gt;"Y",AV386="Y")),"Y","N"))</f>
        <v/>
      </c>
      <c r="AU386" s="0" t="str">
        <f aca="false">IF($A386="","",_xlfn.TEXTJOIN("; ",TRUE(),IF(CN386&lt;&gt;"pass","gated out",""),IF(AQ386="Y","on hold: "&amp;AR386,""),IF(C386="","no contact named on an opened page",""),IF(AND(AX386="Y",AV386&lt;&gt;"Y"),"Tuesday estimate band "&amp;L386&amp;": founder's call","")))</f>
        <v/>
      </c>
      <c r="BC386" s="0" t="str">
        <f aca="false">IF($A386="","",IFERROR(INDEX(Enrichment!$A$2:$GZ$2000,MATCH($A386,INDEX(Enrichment!$A$2:$GZ$2000,0,MATCH("row_id",Enrichment!$A$1:$GZ$1,0)),0),MATCH("work_email",Enrichment!$A$1:$GZ$1,0))&amp;"",""))</f>
        <v/>
      </c>
      <c r="BD386" s="0" t="str">
        <f aca="false">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Q386" s="0" t="str">
        <f aca="false">IF($A386="","",IFERROR(INDEX(Enrichment!$A$2:$GZ$2000,MATCH($A386,INDEX(Enrichment!$A$2:$GZ$2000,0,MATCH("row_id",Enrichment!$A$1:$GZ$1,0)),0),MATCH("backup_work_email",Enrichment!$A$1:$GZ$1,0))&amp;"",""))</f>
        <v/>
      </c>
      <c r="BR386" s="0" t="str">
        <f aca="false">IF($A386="","",IF(BQ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EQ386" s="0" t="str">
        <f aca="false">IF($A386="","",IF(AH386="exact",10,IF(AH386="adjacent",5,0)))</f>
        <v/>
      </c>
      <c r="ER386" s="0" t="str">
        <f aca="false">IF($A386="","",IF(R386="Y",15,0))</f>
        <v/>
      </c>
      <c r="FS386" s="0" t="str">
        <f aca="false">IF($A386="","",IF(ISNUMBER(MATCH(U386,{"queued","contacted","replied","call_booked","call_done","yes_in_principle","materials_sent"},0)),"Y","N"))</f>
        <v/>
      </c>
      <c r="FT386" s="0" t="str">
        <f aca="false">IF($A386="","",IF(OR(T386="Y",U386="do_not_contact",AS386&amp;""&lt;&gt;""),"Y","N"))</f>
        <v/>
      </c>
      <c r="FU386" s="0" t="str">
        <f aca="false">IF($A386="","",IF(AP386&amp;""&lt;&gt;"",AP386&amp;"",$A386))</f>
        <v/>
      </c>
      <c r="FV386" s="0" t="str">
        <f aca="false">IF($A386="","",IF(COUNTIFS($FU$2:$FU$1000,FU386,$FS$2:$FS$1000,"Y")+COUNTIFS($FU$2:$FU$1000,FU386,$FT$2:$FT$1000,"Y")&gt;0,"Y","N"))</f>
        <v/>
      </c>
      <c r="FW386" s="0" t="str">
        <f aca="false">IF($A386="","",IF(AND(U386="new",T386="N",FT386="N",AT386="Y",FV386="N"),"Y","N"))</f>
        <v/>
      </c>
      <c r="FX386" s="0" t="str">
        <f aca="false">IF($A386="","",IF(FW386&lt;&gt;"Y","N",IF(COUNTIFS($FU$2:$FU$1000,FU386,$FW$2:$FW$1000,"Y",$J$2:$J$1000,"&gt;"&amp;J386)+COUNTIFS($FU$2:$FU$1000,FU386,$FW$2:$FW$1000,"Y",$J$2:$J$1000,J386,$GD$2:$GD$1000,"&lt;"&amp;GD386)=0,"Y","N")))</f>
        <v/>
      </c>
      <c r="FY386" s="0" t="str">
        <f aca="false">IF($A386="","",IF(AND(FW386="Y",FX386="Y",Y386&amp;""&lt;&gt;""),IF(Y386&lt;=10,"Y","N"),"N"))</f>
        <v/>
      </c>
      <c r="FZ386" s="0" t="str">
        <f aca="false">IF(FY386="Y",Y386,"")</f>
        <v/>
      </c>
      <c r="GA386" s="0" t="str">
        <f aca="false">IF($A386="","",IF(AND(I386="walk-in",CN386="pass",U386="new",FT386="N",FV386="N",AQ386&lt;&gt;"Y"),"Y","N"))</f>
        <v/>
      </c>
      <c r="GB386" s="0" t="str">
        <f aca="false">IF(GA386&lt;&gt;"Y","",IF(COUNTIFS($GA$2:$GA$1000,"Y",$J$2:$J$1000,"&gt;"&amp;J386)+COUNTIFS($GA$2:$GA$1000,"Y",$J$2:$J$1000,J386,$GD$2:$GD$1000,"&lt;"&amp;GD386)+1&lt;=25,COUNTIFS($GA$2:$GA$1000,"Y",$J$2:$J$1000,"&gt;"&amp;J386)+COUNTIFS($GA$2:$GA$1000,"Y",$J$2:$J$1000,J386,$GD$2:$GD$1000,"&lt;"&amp;GD386)+1,""))</f>
        <v/>
      </c>
      <c r="GC386" s="0" t="str">
        <f aca="false">IF(AND(_xlfn.ISFORMULA(C386),_xlfn.ISFORMULA(J386)),"Y","N")</f>
        <v>Y</v>
      </c>
      <c r="GD386" s="0" t="n">
        <f aca="false">ROW()-1</f>
        <v>385</v>
      </c>
    </row>
    <row r="387" customFormat="false" ht="15" hidden="false" customHeight="false" outlineLevel="0" collapsed="false">
      <c r="C387" s="0" t="str">
        <f aca="false">IF($A387="","",IF(AW387="Y",BM387&amp;"",AY387&amp;""))</f>
        <v/>
      </c>
      <c r="D387" s="0" t="str">
        <f aca="false">IF($A387="","",IF(AW387="Y",BN387&amp;"",AZ387&amp;""))</f>
        <v/>
      </c>
      <c r="E387" s="0" t="str">
        <f aca="false">IF($A387="","",IF(AW387="Y",BO387&amp;"",BA387&amp;""))</f>
        <v/>
      </c>
      <c r="F387" s="0" t="str">
        <f aca="false">IF($A387="","",IF(AW387="Y",BP387&amp;"",BB387&amp;""))</f>
        <v/>
      </c>
      <c r="G387" s="0" t="str">
        <f aca="false">IF($A387="","",IF(AW387="Y",BQ387&amp;"",BC387&amp;""))</f>
        <v/>
      </c>
      <c r="H387" s="0" t="str">
        <f aca="false">IF($A387="","",IF(AW387="Y",BR387&amp;"",BD387&amp;""))</f>
        <v/>
      </c>
      <c r="I387" s="0" t="str">
        <f aca="false">IF($A387="","",IF(R387="Y","warm-intro",IF(H387="verified","email",IF(C387&lt;&gt;"","linkedin",CB387&amp;""))))</f>
        <v/>
      </c>
      <c r="J387" s="0" t="str">
        <f aca="false">IF($A387="","",IF(CN387="pass",ROUND(N(EM387)+N(EN387)+N(EO387)+N(EP387)+N(EQ387)+N(ER387),1),0))</f>
        <v/>
      </c>
      <c r="K387" s="0" t="str">
        <f aca="false">IF($A387="","",IF(CN387&lt;&gt;"pass",CA387&amp;"",CA387&amp;"; "&amp;IF(AW387="Y",BZ387&amp;"",BL387&amp;"")&amp;IF(R387="Y","; known to the founder (+15)","")&amp;"."))</f>
        <v/>
      </c>
      <c r="R387" s="5"/>
      <c r="U387" s="5"/>
      <c r="Y387" s="0" t="str">
        <f aca="false">IF(FX387&lt;&gt;"Y","",COUNTIFS($FX$2:$FX$1000,"Y",$J$2:$J$1000,"&gt;"&amp;J387)+COUNTIFS($FX$2:$FX$1000,"Y",$J$2:$J$1000,J387,$GD$2:$GD$1000,"&lt;"&amp;GD387)+1)</f>
        <v/>
      </c>
      <c r="AB387" s="0" t="str">
        <f aca="false">IF($A387="","",IF(AW387="Y",BY387&amp;"",BK387&amp;""))</f>
        <v/>
      </c>
      <c r="AC387" s="0" t="str">
        <f aca="false">IF($A387="","",IF(AW387="Y",BS387&amp;"",BE387&amp;""))</f>
        <v/>
      </c>
      <c r="AD387" s="0" t="str">
        <f aca="false">IF($A387="","",IF(AW387="Y",BT387&amp;"",BF387&amp;""))</f>
        <v/>
      </c>
      <c r="AE387" s="0" t="str">
        <f aca="false">IF($A387="","",IF(AW387="Y",BU387&amp;"",BG387&amp;""))</f>
        <v/>
      </c>
      <c r="AF387" s="0" t="str">
        <f aca="false">IF($A387="","",IF(AW387="Y",BV387&amp;"",BH387&amp;""))</f>
        <v/>
      </c>
      <c r="AG387" s="0" t="str">
        <f aca="false">IF($A387="","",IF(AW387="Y",BW387&amp;"",BI387&amp;""))</f>
        <v/>
      </c>
      <c r="AH387" s="0" t="str">
        <f aca="false">IF($A387="","",IF(AW387="Y",BX387&amp;"",BJ387&amp;""))</f>
        <v/>
      </c>
      <c r="AQ387" s="5"/>
      <c r="AT387" s="0" t="str">
        <f aca="false">IF($A387="","",IF(AND(CN387="pass",AQ387&lt;&gt;"Y",C387&lt;&gt;"",OR(AX387&lt;&gt;"Y",AV387="Y")),"Y","N"))</f>
        <v/>
      </c>
      <c r="AU387" s="0" t="str">
        <f aca="false">IF($A387="","",_xlfn.TEXTJOIN("; ",TRUE(),IF(CN387&lt;&gt;"pass","gated out",""),IF(AQ387="Y","on hold: "&amp;AR387,""),IF(C387="","no contact named on an opened page",""),IF(AND(AX387="Y",AV387&lt;&gt;"Y"),"Tuesday estimate band "&amp;L387&amp;": founder's call","")))</f>
        <v/>
      </c>
      <c r="BC387" s="0" t="str">
        <f aca="false">IF($A387="","",IFERROR(INDEX(Enrichment!$A$2:$GZ$2000,MATCH($A387,INDEX(Enrichment!$A$2:$GZ$2000,0,MATCH("row_id",Enrichment!$A$1:$GZ$1,0)),0),MATCH("work_email",Enrichment!$A$1:$GZ$1,0))&amp;"",""))</f>
        <v/>
      </c>
      <c r="BD387" s="0" t="str">
        <f aca="false">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Q387" s="0" t="str">
        <f aca="false">IF($A387="","",IFERROR(INDEX(Enrichment!$A$2:$GZ$2000,MATCH($A387,INDEX(Enrichment!$A$2:$GZ$2000,0,MATCH("row_id",Enrichment!$A$1:$GZ$1,0)),0),MATCH("backup_work_email",Enrichment!$A$1:$GZ$1,0))&amp;"",""))</f>
        <v/>
      </c>
      <c r="BR387" s="0" t="str">
        <f aca="false">IF($A387="","",IF(BQ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EQ387" s="0" t="str">
        <f aca="false">IF($A387="","",IF(AH387="exact",10,IF(AH387="adjacent",5,0)))</f>
        <v/>
      </c>
      <c r="ER387" s="0" t="str">
        <f aca="false">IF($A387="","",IF(R387="Y",15,0))</f>
        <v/>
      </c>
      <c r="FS387" s="0" t="str">
        <f aca="false">IF($A387="","",IF(ISNUMBER(MATCH(U387,{"queued","contacted","replied","call_booked","call_done","yes_in_principle","materials_sent"},0)),"Y","N"))</f>
        <v/>
      </c>
      <c r="FT387" s="0" t="str">
        <f aca="false">IF($A387="","",IF(OR(T387="Y",U387="do_not_contact",AS387&amp;""&lt;&gt;""),"Y","N"))</f>
        <v/>
      </c>
      <c r="FU387" s="0" t="str">
        <f aca="false">IF($A387="","",IF(AP387&amp;""&lt;&gt;"",AP387&amp;"",$A387))</f>
        <v/>
      </c>
      <c r="FV387" s="0" t="str">
        <f aca="false">IF($A387="","",IF(COUNTIFS($FU$2:$FU$1000,FU387,$FS$2:$FS$1000,"Y")+COUNTIFS($FU$2:$FU$1000,FU387,$FT$2:$FT$1000,"Y")&gt;0,"Y","N"))</f>
        <v/>
      </c>
      <c r="FW387" s="0" t="str">
        <f aca="false">IF($A387="","",IF(AND(U387="new",T387="N",FT387="N",AT387="Y",FV387="N"),"Y","N"))</f>
        <v/>
      </c>
      <c r="FX387" s="0" t="str">
        <f aca="false">IF($A387="","",IF(FW387&lt;&gt;"Y","N",IF(COUNTIFS($FU$2:$FU$1000,FU387,$FW$2:$FW$1000,"Y",$J$2:$J$1000,"&gt;"&amp;J387)+COUNTIFS($FU$2:$FU$1000,FU387,$FW$2:$FW$1000,"Y",$J$2:$J$1000,J387,$GD$2:$GD$1000,"&lt;"&amp;GD387)=0,"Y","N")))</f>
        <v/>
      </c>
      <c r="FY387" s="0" t="str">
        <f aca="false">IF($A387="","",IF(AND(FW387="Y",FX387="Y",Y387&amp;""&lt;&gt;""),IF(Y387&lt;=10,"Y","N"),"N"))</f>
        <v/>
      </c>
      <c r="FZ387" s="0" t="str">
        <f aca="false">IF(FY387="Y",Y387,"")</f>
        <v/>
      </c>
      <c r="GA387" s="0" t="str">
        <f aca="false">IF($A387="","",IF(AND(I387="walk-in",CN387="pass",U387="new",FT387="N",FV387="N",AQ387&lt;&gt;"Y"),"Y","N"))</f>
        <v/>
      </c>
      <c r="GB387" s="0" t="str">
        <f aca="false">IF(GA387&lt;&gt;"Y","",IF(COUNTIFS($GA$2:$GA$1000,"Y",$J$2:$J$1000,"&gt;"&amp;J387)+COUNTIFS($GA$2:$GA$1000,"Y",$J$2:$J$1000,J387,$GD$2:$GD$1000,"&lt;"&amp;GD387)+1&lt;=25,COUNTIFS($GA$2:$GA$1000,"Y",$J$2:$J$1000,"&gt;"&amp;J387)+COUNTIFS($GA$2:$GA$1000,"Y",$J$2:$J$1000,J387,$GD$2:$GD$1000,"&lt;"&amp;GD387)+1,""))</f>
        <v/>
      </c>
      <c r="GC387" s="0" t="str">
        <f aca="false">IF(AND(_xlfn.ISFORMULA(C387),_xlfn.ISFORMULA(J387)),"Y","N")</f>
        <v>Y</v>
      </c>
      <c r="GD387" s="0" t="n">
        <f aca="false">ROW()-1</f>
        <v>386</v>
      </c>
    </row>
    <row r="388" customFormat="false" ht="15" hidden="false" customHeight="false" outlineLevel="0" collapsed="false">
      <c r="C388" s="0" t="str">
        <f aca="false">IF($A388="","",IF(AW388="Y",BM388&amp;"",AY388&amp;""))</f>
        <v/>
      </c>
      <c r="D388" s="0" t="str">
        <f aca="false">IF($A388="","",IF(AW388="Y",BN388&amp;"",AZ388&amp;""))</f>
        <v/>
      </c>
      <c r="E388" s="0" t="str">
        <f aca="false">IF($A388="","",IF(AW388="Y",BO388&amp;"",BA388&amp;""))</f>
        <v/>
      </c>
      <c r="F388" s="0" t="str">
        <f aca="false">IF($A388="","",IF(AW388="Y",BP388&amp;"",BB388&amp;""))</f>
        <v/>
      </c>
      <c r="G388" s="0" t="str">
        <f aca="false">IF($A388="","",IF(AW388="Y",BQ388&amp;"",BC388&amp;""))</f>
        <v/>
      </c>
      <c r="H388" s="0" t="str">
        <f aca="false">IF($A388="","",IF(AW388="Y",BR388&amp;"",BD388&amp;""))</f>
        <v/>
      </c>
      <c r="I388" s="0" t="str">
        <f aca="false">IF($A388="","",IF(R388="Y","warm-intro",IF(H388="verified","email",IF(C388&lt;&gt;"","linkedin",CB388&amp;""))))</f>
        <v/>
      </c>
      <c r="J388" s="0" t="str">
        <f aca="false">IF($A388="","",IF(CN388="pass",ROUND(N(EM388)+N(EN388)+N(EO388)+N(EP388)+N(EQ388)+N(ER388),1),0))</f>
        <v/>
      </c>
      <c r="K388" s="0" t="str">
        <f aca="false">IF($A388="","",IF(CN388&lt;&gt;"pass",CA388&amp;"",CA388&amp;"; "&amp;IF(AW388="Y",BZ388&amp;"",BL388&amp;"")&amp;IF(R388="Y","; known to the founder (+15)","")&amp;"."))</f>
        <v/>
      </c>
      <c r="R388" s="5"/>
      <c r="U388" s="5"/>
      <c r="Y388" s="0" t="str">
        <f aca="false">IF(FX388&lt;&gt;"Y","",COUNTIFS($FX$2:$FX$1000,"Y",$J$2:$J$1000,"&gt;"&amp;J388)+COUNTIFS($FX$2:$FX$1000,"Y",$J$2:$J$1000,J388,$GD$2:$GD$1000,"&lt;"&amp;GD388)+1)</f>
        <v/>
      </c>
      <c r="AB388" s="0" t="str">
        <f aca="false">IF($A388="","",IF(AW388="Y",BY388&amp;"",BK388&amp;""))</f>
        <v/>
      </c>
      <c r="AC388" s="0" t="str">
        <f aca="false">IF($A388="","",IF(AW388="Y",BS388&amp;"",BE388&amp;""))</f>
        <v/>
      </c>
      <c r="AD388" s="0" t="str">
        <f aca="false">IF($A388="","",IF(AW388="Y",BT388&amp;"",BF388&amp;""))</f>
        <v/>
      </c>
      <c r="AE388" s="0" t="str">
        <f aca="false">IF($A388="","",IF(AW388="Y",BU388&amp;"",BG388&amp;""))</f>
        <v/>
      </c>
      <c r="AF388" s="0" t="str">
        <f aca="false">IF($A388="","",IF(AW388="Y",BV388&amp;"",BH388&amp;""))</f>
        <v/>
      </c>
      <c r="AG388" s="0" t="str">
        <f aca="false">IF($A388="","",IF(AW388="Y",BW388&amp;"",BI388&amp;""))</f>
        <v/>
      </c>
      <c r="AH388" s="0" t="str">
        <f aca="false">IF($A388="","",IF(AW388="Y",BX388&amp;"",BJ388&amp;""))</f>
        <v/>
      </c>
      <c r="AQ388" s="5"/>
      <c r="AT388" s="0" t="str">
        <f aca="false">IF($A388="","",IF(AND(CN388="pass",AQ388&lt;&gt;"Y",C388&lt;&gt;"",OR(AX388&lt;&gt;"Y",AV388="Y")),"Y","N"))</f>
        <v/>
      </c>
      <c r="AU388" s="0" t="str">
        <f aca="false">IF($A388="","",_xlfn.TEXTJOIN("; ",TRUE(),IF(CN388&lt;&gt;"pass","gated out",""),IF(AQ388="Y","on hold: "&amp;AR388,""),IF(C388="","no contact named on an opened page",""),IF(AND(AX388="Y",AV388&lt;&gt;"Y"),"Tuesday estimate band "&amp;L388&amp;": founder's call","")))</f>
        <v/>
      </c>
      <c r="BC388" s="0" t="str">
        <f aca="false">IF($A388="","",IFERROR(INDEX(Enrichment!$A$2:$GZ$2000,MATCH($A388,INDEX(Enrichment!$A$2:$GZ$2000,0,MATCH("row_id",Enrichment!$A$1:$GZ$1,0)),0),MATCH("work_email",Enrichment!$A$1:$GZ$1,0))&amp;"",""))</f>
        <v/>
      </c>
      <c r="BD388" s="0" t="str">
        <f aca="false">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Q388" s="0" t="str">
        <f aca="false">IF($A388="","",IFERROR(INDEX(Enrichment!$A$2:$GZ$2000,MATCH($A388,INDEX(Enrichment!$A$2:$GZ$2000,0,MATCH("row_id",Enrichment!$A$1:$GZ$1,0)),0),MATCH("backup_work_email",Enrichment!$A$1:$GZ$1,0))&amp;"",""))</f>
        <v/>
      </c>
      <c r="BR388" s="0" t="str">
        <f aca="false">IF($A388="","",IF(BQ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EQ388" s="0" t="str">
        <f aca="false">IF($A388="","",IF(AH388="exact",10,IF(AH388="adjacent",5,0)))</f>
        <v/>
      </c>
      <c r="ER388" s="0" t="str">
        <f aca="false">IF($A388="","",IF(R388="Y",15,0))</f>
        <v/>
      </c>
      <c r="FS388" s="0" t="str">
        <f aca="false">IF($A388="","",IF(ISNUMBER(MATCH(U388,{"queued","contacted","replied","call_booked","call_done","yes_in_principle","materials_sent"},0)),"Y","N"))</f>
        <v/>
      </c>
      <c r="FT388" s="0" t="str">
        <f aca="false">IF($A388="","",IF(OR(T388="Y",U388="do_not_contact",AS388&amp;""&lt;&gt;""),"Y","N"))</f>
        <v/>
      </c>
      <c r="FU388" s="0" t="str">
        <f aca="false">IF($A388="","",IF(AP388&amp;""&lt;&gt;"",AP388&amp;"",$A388))</f>
        <v/>
      </c>
      <c r="FV388" s="0" t="str">
        <f aca="false">IF($A388="","",IF(COUNTIFS($FU$2:$FU$1000,FU388,$FS$2:$FS$1000,"Y")+COUNTIFS($FU$2:$FU$1000,FU388,$FT$2:$FT$1000,"Y")&gt;0,"Y","N"))</f>
        <v/>
      </c>
      <c r="FW388" s="0" t="str">
        <f aca="false">IF($A388="","",IF(AND(U388="new",T388="N",FT388="N",AT388="Y",FV388="N"),"Y","N"))</f>
        <v/>
      </c>
      <c r="FX388" s="0" t="str">
        <f aca="false">IF($A388="","",IF(FW388&lt;&gt;"Y","N",IF(COUNTIFS($FU$2:$FU$1000,FU388,$FW$2:$FW$1000,"Y",$J$2:$J$1000,"&gt;"&amp;J388)+COUNTIFS($FU$2:$FU$1000,FU388,$FW$2:$FW$1000,"Y",$J$2:$J$1000,J388,$GD$2:$GD$1000,"&lt;"&amp;GD388)=0,"Y","N")))</f>
        <v/>
      </c>
      <c r="FY388" s="0" t="str">
        <f aca="false">IF($A388="","",IF(AND(FW388="Y",FX388="Y",Y388&amp;""&lt;&gt;""),IF(Y388&lt;=10,"Y","N"),"N"))</f>
        <v/>
      </c>
      <c r="FZ388" s="0" t="str">
        <f aca="false">IF(FY388="Y",Y388,"")</f>
        <v/>
      </c>
      <c r="GA388" s="0" t="str">
        <f aca="false">IF($A388="","",IF(AND(I388="walk-in",CN388="pass",U388="new",FT388="N",FV388="N",AQ388&lt;&gt;"Y"),"Y","N"))</f>
        <v/>
      </c>
      <c r="GB388" s="0" t="str">
        <f aca="false">IF(GA388&lt;&gt;"Y","",IF(COUNTIFS($GA$2:$GA$1000,"Y",$J$2:$J$1000,"&gt;"&amp;J388)+COUNTIFS($GA$2:$GA$1000,"Y",$J$2:$J$1000,J388,$GD$2:$GD$1000,"&lt;"&amp;GD388)+1&lt;=25,COUNTIFS($GA$2:$GA$1000,"Y",$J$2:$J$1000,"&gt;"&amp;J388)+COUNTIFS($GA$2:$GA$1000,"Y",$J$2:$J$1000,J388,$GD$2:$GD$1000,"&lt;"&amp;GD388)+1,""))</f>
        <v/>
      </c>
      <c r="GC388" s="0" t="str">
        <f aca="false">IF(AND(_xlfn.ISFORMULA(C388),_xlfn.ISFORMULA(J388)),"Y","N")</f>
        <v>Y</v>
      </c>
      <c r="GD388" s="0" t="n">
        <f aca="false">ROW()-1</f>
        <v>387</v>
      </c>
    </row>
    <row r="389" customFormat="false" ht="15" hidden="false" customHeight="false" outlineLevel="0" collapsed="false">
      <c r="C389" s="0" t="str">
        <f aca="false">IF($A389="","",IF(AW389="Y",BM389&amp;"",AY389&amp;""))</f>
        <v/>
      </c>
      <c r="D389" s="0" t="str">
        <f aca="false">IF($A389="","",IF(AW389="Y",BN389&amp;"",AZ389&amp;""))</f>
        <v/>
      </c>
      <c r="E389" s="0" t="str">
        <f aca="false">IF($A389="","",IF(AW389="Y",BO389&amp;"",BA389&amp;""))</f>
        <v/>
      </c>
      <c r="F389" s="0" t="str">
        <f aca="false">IF($A389="","",IF(AW389="Y",BP389&amp;"",BB389&amp;""))</f>
        <v/>
      </c>
      <c r="G389" s="0" t="str">
        <f aca="false">IF($A389="","",IF(AW389="Y",BQ389&amp;"",BC389&amp;""))</f>
        <v/>
      </c>
      <c r="H389" s="0" t="str">
        <f aca="false">IF($A389="","",IF(AW389="Y",BR389&amp;"",BD389&amp;""))</f>
        <v/>
      </c>
      <c r="I389" s="0" t="str">
        <f aca="false">IF($A389="","",IF(R389="Y","warm-intro",IF(H389="verified","email",IF(C389&lt;&gt;"","linkedin",CB389&amp;""))))</f>
        <v/>
      </c>
      <c r="J389" s="0" t="str">
        <f aca="false">IF($A389="","",IF(CN389="pass",ROUND(N(EM389)+N(EN389)+N(EO389)+N(EP389)+N(EQ389)+N(ER389),1),0))</f>
        <v/>
      </c>
      <c r="K389" s="0" t="str">
        <f aca="false">IF($A389="","",IF(CN389&lt;&gt;"pass",CA389&amp;"",CA389&amp;"; "&amp;IF(AW389="Y",BZ389&amp;"",BL389&amp;"")&amp;IF(R389="Y","; known to the founder (+15)","")&amp;"."))</f>
        <v/>
      </c>
      <c r="R389" s="5"/>
      <c r="U389" s="5"/>
      <c r="Y389" s="0" t="str">
        <f aca="false">IF(FX389&lt;&gt;"Y","",COUNTIFS($FX$2:$FX$1000,"Y",$J$2:$J$1000,"&gt;"&amp;J389)+COUNTIFS($FX$2:$FX$1000,"Y",$J$2:$J$1000,J389,$GD$2:$GD$1000,"&lt;"&amp;GD389)+1)</f>
        <v/>
      </c>
      <c r="AB389" s="0" t="str">
        <f aca="false">IF($A389="","",IF(AW389="Y",BY389&amp;"",BK389&amp;""))</f>
        <v/>
      </c>
      <c r="AC389" s="0" t="str">
        <f aca="false">IF($A389="","",IF(AW389="Y",BS389&amp;"",BE389&amp;""))</f>
        <v/>
      </c>
      <c r="AD389" s="0" t="str">
        <f aca="false">IF($A389="","",IF(AW389="Y",BT389&amp;"",BF389&amp;""))</f>
        <v/>
      </c>
      <c r="AE389" s="0" t="str">
        <f aca="false">IF($A389="","",IF(AW389="Y",BU389&amp;"",BG389&amp;""))</f>
        <v/>
      </c>
      <c r="AF389" s="0" t="str">
        <f aca="false">IF($A389="","",IF(AW389="Y",BV389&amp;"",BH389&amp;""))</f>
        <v/>
      </c>
      <c r="AG389" s="0" t="str">
        <f aca="false">IF($A389="","",IF(AW389="Y",BW389&amp;"",BI389&amp;""))</f>
        <v/>
      </c>
      <c r="AH389" s="0" t="str">
        <f aca="false">IF($A389="","",IF(AW389="Y",BX389&amp;"",BJ389&amp;""))</f>
        <v/>
      </c>
      <c r="AQ389" s="5"/>
      <c r="AT389" s="0" t="str">
        <f aca="false">IF($A389="","",IF(AND(CN389="pass",AQ389&lt;&gt;"Y",C389&lt;&gt;"",OR(AX389&lt;&gt;"Y",AV389="Y")),"Y","N"))</f>
        <v/>
      </c>
      <c r="AU389" s="0" t="str">
        <f aca="false">IF($A389="","",_xlfn.TEXTJOIN("; ",TRUE(),IF(CN389&lt;&gt;"pass","gated out",""),IF(AQ389="Y","on hold: "&amp;AR389,""),IF(C389="","no contact named on an opened page",""),IF(AND(AX389="Y",AV389&lt;&gt;"Y"),"Tuesday estimate band "&amp;L389&amp;": founder's call","")))</f>
        <v/>
      </c>
      <c r="BC389" s="0" t="str">
        <f aca="false">IF($A389="","",IFERROR(INDEX(Enrichment!$A$2:$GZ$2000,MATCH($A389,INDEX(Enrichment!$A$2:$GZ$2000,0,MATCH("row_id",Enrichment!$A$1:$GZ$1,0)),0),MATCH("work_email",Enrichment!$A$1:$GZ$1,0))&amp;"",""))</f>
        <v/>
      </c>
      <c r="BD389" s="0" t="str">
        <f aca="false">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Q389" s="0" t="str">
        <f aca="false">IF($A389="","",IFERROR(INDEX(Enrichment!$A$2:$GZ$2000,MATCH($A389,INDEX(Enrichment!$A$2:$GZ$2000,0,MATCH("row_id",Enrichment!$A$1:$GZ$1,0)),0),MATCH("backup_work_email",Enrichment!$A$1:$GZ$1,0))&amp;"",""))</f>
        <v/>
      </c>
      <c r="BR389" s="0" t="str">
        <f aca="false">IF($A389="","",IF(BQ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EQ389" s="0" t="str">
        <f aca="false">IF($A389="","",IF(AH389="exact",10,IF(AH389="adjacent",5,0)))</f>
        <v/>
      </c>
      <c r="ER389" s="0" t="str">
        <f aca="false">IF($A389="","",IF(R389="Y",15,0))</f>
        <v/>
      </c>
      <c r="FS389" s="0" t="str">
        <f aca="false">IF($A389="","",IF(ISNUMBER(MATCH(U389,{"queued","contacted","replied","call_booked","call_done","yes_in_principle","materials_sent"},0)),"Y","N"))</f>
        <v/>
      </c>
      <c r="FT389" s="0" t="str">
        <f aca="false">IF($A389="","",IF(OR(T389="Y",U389="do_not_contact",AS389&amp;""&lt;&gt;""),"Y","N"))</f>
        <v/>
      </c>
      <c r="FU389" s="0" t="str">
        <f aca="false">IF($A389="","",IF(AP389&amp;""&lt;&gt;"",AP389&amp;"",$A389))</f>
        <v/>
      </c>
      <c r="FV389" s="0" t="str">
        <f aca="false">IF($A389="","",IF(COUNTIFS($FU$2:$FU$1000,FU389,$FS$2:$FS$1000,"Y")+COUNTIFS($FU$2:$FU$1000,FU389,$FT$2:$FT$1000,"Y")&gt;0,"Y","N"))</f>
        <v/>
      </c>
      <c r="FW389" s="0" t="str">
        <f aca="false">IF($A389="","",IF(AND(U389="new",T389="N",FT389="N",AT389="Y",FV389="N"),"Y","N"))</f>
        <v/>
      </c>
      <c r="FX389" s="0" t="str">
        <f aca="false">IF($A389="","",IF(FW389&lt;&gt;"Y","N",IF(COUNTIFS($FU$2:$FU$1000,FU389,$FW$2:$FW$1000,"Y",$J$2:$J$1000,"&gt;"&amp;J389)+COUNTIFS($FU$2:$FU$1000,FU389,$FW$2:$FW$1000,"Y",$J$2:$J$1000,J389,$GD$2:$GD$1000,"&lt;"&amp;GD389)=0,"Y","N")))</f>
        <v/>
      </c>
      <c r="FY389" s="0" t="str">
        <f aca="false">IF($A389="","",IF(AND(FW389="Y",FX389="Y",Y389&amp;""&lt;&gt;""),IF(Y389&lt;=10,"Y","N"),"N"))</f>
        <v/>
      </c>
      <c r="FZ389" s="0" t="str">
        <f aca="false">IF(FY389="Y",Y389,"")</f>
        <v/>
      </c>
      <c r="GA389" s="0" t="str">
        <f aca="false">IF($A389="","",IF(AND(I389="walk-in",CN389="pass",U389="new",FT389="N",FV389="N",AQ389&lt;&gt;"Y"),"Y","N"))</f>
        <v/>
      </c>
      <c r="GB389" s="0" t="str">
        <f aca="false">IF(GA389&lt;&gt;"Y","",IF(COUNTIFS($GA$2:$GA$1000,"Y",$J$2:$J$1000,"&gt;"&amp;J389)+COUNTIFS($GA$2:$GA$1000,"Y",$J$2:$J$1000,J389,$GD$2:$GD$1000,"&lt;"&amp;GD389)+1&lt;=25,COUNTIFS($GA$2:$GA$1000,"Y",$J$2:$J$1000,"&gt;"&amp;J389)+COUNTIFS($GA$2:$GA$1000,"Y",$J$2:$J$1000,J389,$GD$2:$GD$1000,"&lt;"&amp;GD389)+1,""))</f>
        <v/>
      </c>
      <c r="GC389" s="0" t="str">
        <f aca="false">IF(AND(_xlfn.ISFORMULA(C389),_xlfn.ISFORMULA(J389)),"Y","N")</f>
        <v>Y</v>
      </c>
      <c r="GD389" s="0" t="n">
        <f aca="false">ROW()-1</f>
        <v>388</v>
      </c>
    </row>
    <row r="390" customFormat="false" ht="15" hidden="false" customHeight="false" outlineLevel="0" collapsed="false">
      <c r="C390" s="0" t="str">
        <f aca="false">IF($A390="","",IF(AW390="Y",BM390&amp;"",AY390&amp;""))</f>
        <v/>
      </c>
      <c r="D390" s="0" t="str">
        <f aca="false">IF($A390="","",IF(AW390="Y",BN390&amp;"",AZ390&amp;""))</f>
        <v/>
      </c>
      <c r="E390" s="0" t="str">
        <f aca="false">IF($A390="","",IF(AW390="Y",BO390&amp;"",BA390&amp;""))</f>
        <v/>
      </c>
      <c r="F390" s="0" t="str">
        <f aca="false">IF($A390="","",IF(AW390="Y",BP390&amp;"",BB390&amp;""))</f>
        <v/>
      </c>
      <c r="G390" s="0" t="str">
        <f aca="false">IF($A390="","",IF(AW390="Y",BQ390&amp;"",BC390&amp;""))</f>
        <v/>
      </c>
      <c r="H390" s="0" t="str">
        <f aca="false">IF($A390="","",IF(AW390="Y",BR390&amp;"",BD390&amp;""))</f>
        <v/>
      </c>
      <c r="I390" s="0" t="str">
        <f aca="false">IF($A390="","",IF(R390="Y","warm-intro",IF(H390="verified","email",IF(C390&lt;&gt;"","linkedin",CB390&amp;""))))</f>
        <v/>
      </c>
      <c r="J390" s="0" t="str">
        <f aca="false">IF($A390="","",IF(CN390="pass",ROUND(N(EM390)+N(EN390)+N(EO390)+N(EP390)+N(EQ390)+N(ER390),1),0))</f>
        <v/>
      </c>
      <c r="K390" s="0" t="str">
        <f aca="false">IF($A390="","",IF(CN390&lt;&gt;"pass",CA390&amp;"",CA390&amp;"; "&amp;IF(AW390="Y",BZ390&amp;"",BL390&amp;"")&amp;IF(R390="Y","; known to the founder (+15)","")&amp;"."))</f>
        <v/>
      </c>
      <c r="R390" s="5"/>
      <c r="U390" s="5"/>
      <c r="Y390" s="0" t="str">
        <f aca="false">IF(FX390&lt;&gt;"Y","",COUNTIFS($FX$2:$FX$1000,"Y",$J$2:$J$1000,"&gt;"&amp;J390)+COUNTIFS($FX$2:$FX$1000,"Y",$J$2:$J$1000,J390,$GD$2:$GD$1000,"&lt;"&amp;GD390)+1)</f>
        <v/>
      </c>
      <c r="AB390" s="0" t="str">
        <f aca="false">IF($A390="","",IF(AW390="Y",BY390&amp;"",BK390&amp;""))</f>
        <v/>
      </c>
      <c r="AC390" s="0" t="str">
        <f aca="false">IF($A390="","",IF(AW390="Y",BS390&amp;"",BE390&amp;""))</f>
        <v/>
      </c>
      <c r="AD390" s="0" t="str">
        <f aca="false">IF($A390="","",IF(AW390="Y",BT390&amp;"",BF390&amp;""))</f>
        <v/>
      </c>
      <c r="AE390" s="0" t="str">
        <f aca="false">IF($A390="","",IF(AW390="Y",BU390&amp;"",BG390&amp;""))</f>
        <v/>
      </c>
      <c r="AF390" s="0" t="str">
        <f aca="false">IF($A390="","",IF(AW390="Y",BV390&amp;"",BH390&amp;""))</f>
        <v/>
      </c>
      <c r="AG390" s="0" t="str">
        <f aca="false">IF($A390="","",IF(AW390="Y",BW390&amp;"",BI390&amp;""))</f>
        <v/>
      </c>
      <c r="AH390" s="0" t="str">
        <f aca="false">IF($A390="","",IF(AW390="Y",BX390&amp;"",BJ390&amp;""))</f>
        <v/>
      </c>
      <c r="AQ390" s="5"/>
      <c r="AT390" s="0" t="str">
        <f aca="false">IF($A390="","",IF(AND(CN390="pass",AQ390&lt;&gt;"Y",C390&lt;&gt;"",OR(AX390&lt;&gt;"Y",AV390="Y")),"Y","N"))</f>
        <v/>
      </c>
      <c r="AU390" s="0" t="str">
        <f aca="false">IF($A390="","",_xlfn.TEXTJOIN("; ",TRUE(),IF(CN390&lt;&gt;"pass","gated out",""),IF(AQ390="Y","on hold: "&amp;AR390,""),IF(C390="","no contact named on an opened page",""),IF(AND(AX390="Y",AV390&lt;&gt;"Y"),"Tuesday estimate band "&amp;L390&amp;": founder's call","")))</f>
        <v/>
      </c>
      <c r="BC390" s="0" t="str">
        <f aca="false">IF($A390="","",IFERROR(INDEX(Enrichment!$A$2:$GZ$2000,MATCH($A390,INDEX(Enrichment!$A$2:$GZ$2000,0,MATCH("row_id",Enrichment!$A$1:$GZ$1,0)),0),MATCH("work_email",Enrichment!$A$1:$GZ$1,0))&amp;"",""))</f>
        <v/>
      </c>
      <c r="BD390" s="0" t="str">
        <f aca="false">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Q390" s="0" t="str">
        <f aca="false">IF($A390="","",IFERROR(INDEX(Enrichment!$A$2:$GZ$2000,MATCH($A390,INDEX(Enrichment!$A$2:$GZ$2000,0,MATCH("row_id",Enrichment!$A$1:$GZ$1,0)),0),MATCH("backup_work_email",Enrichment!$A$1:$GZ$1,0))&amp;"",""))</f>
        <v/>
      </c>
      <c r="BR390" s="0" t="str">
        <f aca="false">IF($A390="","",IF(BQ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EQ390" s="0" t="str">
        <f aca="false">IF($A390="","",IF(AH390="exact",10,IF(AH390="adjacent",5,0)))</f>
        <v/>
      </c>
      <c r="ER390" s="0" t="str">
        <f aca="false">IF($A390="","",IF(R390="Y",15,0))</f>
        <v/>
      </c>
      <c r="FS390" s="0" t="str">
        <f aca="false">IF($A390="","",IF(ISNUMBER(MATCH(U390,{"queued","contacted","replied","call_booked","call_done","yes_in_principle","materials_sent"},0)),"Y","N"))</f>
        <v/>
      </c>
      <c r="FT390" s="0" t="str">
        <f aca="false">IF($A390="","",IF(OR(T390="Y",U390="do_not_contact",AS390&amp;""&lt;&gt;""),"Y","N"))</f>
        <v/>
      </c>
      <c r="FU390" s="0" t="str">
        <f aca="false">IF($A390="","",IF(AP390&amp;""&lt;&gt;"",AP390&amp;"",$A390))</f>
        <v/>
      </c>
      <c r="FV390" s="0" t="str">
        <f aca="false">IF($A390="","",IF(COUNTIFS($FU$2:$FU$1000,FU390,$FS$2:$FS$1000,"Y")+COUNTIFS($FU$2:$FU$1000,FU390,$FT$2:$FT$1000,"Y")&gt;0,"Y","N"))</f>
        <v/>
      </c>
      <c r="FW390" s="0" t="str">
        <f aca="false">IF($A390="","",IF(AND(U390="new",T390="N",FT390="N",AT390="Y",FV390="N"),"Y","N"))</f>
        <v/>
      </c>
      <c r="FX390" s="0" t="str">
        <f aca="false">IF($A390="","",IF(FW390&lt;&gt;"Y","N",IF(COUNTIFS($FU$2:$FU$1000,FU390,$FW$2:$FW$1000,"Y",$J$2:$J$1000,"&gt;"&amp;J390)+COUNTIFS($FU$2:$FU$1000,FU390,$FW$2:$FW$1000,"Y",$J$2:$J$1000,J390,$GD$2:$GD$1000,"&lt;"&amp;GD390)=0,"Y","N")))</f>
        <v/>
      </c>
      <c r="FY390" s="0" t="str">
        <f aca="false">IF($A390="","",IF(AND(FW390="Y",FX390="Y",Y390&amp;""&lt;&gt;""),IF(Y390&lt;=10,"Y","N"),"N"))</f>
        <v/>
      </c>
      <c r="FZ390" s="0" t="str">
        <f aca="false">IF(FY390="Y",Y390,"")</f>
        <v/>
      </c>
      <c r="GA390" s="0" t="str">
        <f aca="false">IF($A390="","",IF(AND(I390="walk-in",CN390="pass",U390="new",FT390="N",FV390="N",AQ390&lt;&gt;"Y"),"Y","N"))</f>
        <v/>
      </c>
      <c r="GB390" s="0" t="str">
        <f aca="false">IF(GA390&lt;&gt;"Y","",IF(COUNTIFS($GA$2:$GA$1000,"Y",$J$2:$J$1000,"&gt;"&amp;J390)+COUNTIFS($GA$2:$GA$1000,"Y",$J$2:$J$1000,J390,$GD$2:$GD$1000,"&lt;"&amp;GD390)+1&lt;=25,COUNTIFS($GA$2:$GA$1000,"Y",$J$2:$J$1000,"&gt;"&amp;J390)+COUNTIFS($GA$2:$GA$1000,"Y",$J$2:$J$1000,J390,$GD$2:$GD$1000,"&lt;"&amp;GD390)+1,""))</f>
        <v/>
      </c>
      <c r="GC390" s="0" t="str">
        <f aca="false">IF(AND(_xlfn.ISFORMULA(C390),_xlfn.ISFORMULA(J390)),"Y","N")</f>
        <v>Y</v>
      </c>
      <c r="GD390" s="0" t="n">
        <f aca="false">ROW()-1</f>
        <v>389</v>
      </c>
    </row>
    <row r="391" customFormat="false" ht="15" hidden="false" customHeight="false" outlineLevel="0" collapsed="false">
      <c r="C391" s="0" t="str">
        <f aca="false">IF($A391="","",IF(AW391="Y",BM391&amp;"",AY391&amp;""))</f>
        <v/>
      </c>
      <c r="D391" s="0" t="str">
        <f aca="false">IF($A391="","",IF(AW391="Y",BN391&amp;"",AZ391&amp;""))</f>
        <v/>
      </c>
      <c r="E391" s="0" t="str">
        <f aca="false">IF($A391="","",IF(AW391="Y",BO391&amp;"",BA391&amp;""))</f>
        <v/>
      </c>
      <c r="F391" s="0" t="str">
        <f aca="false">IF($A391="","",IF(AW391="Y",BP391&amp;"",BB391&amp;""))</f>
        <v/>
      </c>
      <c r="G391" s="0" t="str">
        <f aca="false">IF($A391="","",IF(AW391="Y",BQ391&amp;"",BC391&amp;""))</f>
        <v/>
      </c>
      <c r="H391" s="0" t="str">
        <f aca="false">IF($A391="","",IF(AW391="Y",BR391&amp;"",BD391&amp;""))</f>
        <v/>
      </c>
      <c r="I391" s="0" t="str">
        <f aca="false">IF($A391="","",IF(R391="Y","warm-intro",IF(H391="verified","email",IF(C391&lt;&gt;"","linkedin",CB391&amp;""))))</f>
        <v/>
      </c>
      <c r="J391" s="0" t="str">
        <f aca="false">IF($A391="","",IF(CN391="pass",ROUND(N(EM391)+N(EN391)+N(EO391)+N(EP391)+N(EQ391)+N(ER391),1),0))</f>
        <v/>
      </c>
      <c r="K391" s="0" t="str">
        <f aca="false">IF($A391="","",IF(CN391&lt;&gt;"pass",CA391&amp;"",CA391&amp;"; "&amp;IF(AW391="Y",BZ391&amp;"",BL391&amp;"")&amp;IF(R391="Y","; known to the founder (+15)","")&amp;"."))</f>
        <v/>
      </c>
      <c r="R391" s="5"/>
      <c r="U391" s="5"/>
      <c r="Y391" s="0" t="str">
        <f aca="false">IF(FX391&lt;&gt;"Y","",COUNTIFS($FX$2:$FX$1000,"Y",$J$2:$J$1000,"&gt;"&amp;J391)+COUNTIFS($FX$2:$FX$1000,"Y",$J$2:$J$1000,J391,$GD$2:$GD$1000,"&lt;"&amp;GD391)+1)</f>
        <v/>
      </c>
      <c r="AB391" s="0" t="str">
        <f aca="false">IF($A391="","",IF(AW391="Y",BY391&amp;"",BK391&amp;""))</f>
        <v/>
      </c>
      <c r="AC391" s="0" t="str">
        <f aca="false">IF($A391="","",IF(AW391="Y",BS391&amp;"",BE391&amp;""))</f>
        <v/>
      </c>
      <c r="AD391" s="0" t="str">
        <f aca="false">IF($A391="","",IF(AW391="Y",BT391&amp;"",BF391&amp;""))</f>
        <v/>
      </c>
      <c r="AE391" s="0" t="str">
        <f aca="false">IF($A391="","",IF(AW391="Y",BU391&amp;"",BG391&amp;""))</f>
        <v/>
      </c>
      <c r="AF391" s="0" t="str">
        <f aca="false">IF($A391="","",IF(AW391="Y",BV391&amp;"",BH391&amp;""))</f>
        <v/>
      </c>
      <c r="AG391" s="0" t="str">
        <f aca="false">IF($A391="","",IF(AW391="Y",BW391&amp;"",BI391&amp;""))</f>
        <v/>
      </c>
      <c r="AH391" s="0" t="str">
        <f aca="false">IF($A391="","",IF(AW391="Y",BX391&amp;"",BJ391&amp;""))</f>
        <v/>
      </c>
      <c r="AQ391" s="5"/>
      <c r="AT391" s="0" t="str">
        <f aca="false">IF($A391="","",IF(AND(CN391="pass",AQ391&lt;&gt;"Y",C391&lt;&gt;"",OR(AX391&lt;&gt;"Y",AV391="Y")),"Y","N"))</f>
        <v/>
      </c>
      <c r="AU391" s="0" t="str">
        <f aca="false">IF($A391="","",_xlfn.TEXTJOIN("; ",TRUE(),IF(CN391&lt;&gt;"pass","gated out",""),IF(AQ391="Y","on hold: "&amp;AR391,""),IF(C391="","no contact named on an opened page",""),IF(AND(AX391="Y",AV391&lt;&gt;"Y"),"Tuesday estimate band "&amp;L391&amp;": founder's call","")))</f>
        <v/>
      </c>
      <c r="BC391" s="0" t="str">
        <f aca="false">IF($A391="","",IFERROR(INDEX(Enrichment!$A$2:$GZ$2000,MATCH($A391,INDEX(Enrichment!$A$2:$GZ$2000,0,MATCH("row_id",Enrichment!$A$1:$GZ$1,0)),0),MATCH("work_email",Enrichment!$A$1:$GZ$1,0))&amp;"",""))</f>
        <v/>
      </c>
      <c r="BD391" s="0" t="str">
        <f aca="false">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Q391" s="0" t="str">
        <f aca="false">IF($A391="","",IFERROR(INDEX(Enrichment!$A$2:$GZ$2000,MATCH($A391,INDEX(Enrichment!$A$2:$GZ$2000,0,MATCH("row_id",Enrichment!$A$1:$GZ$1,0)),0),MATCH("backup_work_email",Enrichment!$A$1:$GZ$1,0))&amp;"",""))</f>
        <v/>
      </c>
      <c r="BR391" s="0" t="str">
        <f aca="false">IF($A391="","",IF(BQ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EQ391" s="0" t="str">
        <f aca="false">IF($A391="","",IF(AH391="exact",10,IF(AH391="adjacent",5,0)))</f>
        <v/>
      </c>
      <c r="ER391" s="0" t="str">
        <f aca="false">IF($A391="","",IF(R391="Y",15,0))</f>
        <v/>
      </c>
      <c r="FS391" s="0" t="str">
        <f aca="false">IF($A391="","",IF(ISNUMBER(MATCH(U391,{"queued","contacted","replied","call_booked","call_done","yes_in_principle","materials_sent"},0)),"Y","N"))</f>
        <v/>
      </c>
      <c r="FT391" s="0" t="str">
        <f aca="false">IF($A391="","",IF(OR(T391="Y",U391="do_not_contact",AS391&amp;""&lt;&gt;""),"Y","N"))</f>
        <v/>
      </c>
      <c r="FU391" s="0" t="str">
        <f aca="false">IF($A391="","",IF(AP391&amp;""&lt;&gt;"",AP391&amp;"",$A391))</f>
        <v/>
      </c>
      <c r="FV391" s="0" t="str">
        <f aca="false">IF($A391="","",IF(COUNTIFS($FU$2:$FU$1000,FU391,$FS$2:$FS$1000,"Y")+COUNTIFS($FU$2:$FU$1000,FU391,$FT$2:$FT$1000,"Y")&gt;0,"Y","N"))</f>
        <v/>
      </c>
      <c r="FW391" s="0" t="str">
        <f aca="false">IF($A391="","",IF(AND(U391="new",T391="N",FT391="N",AT391="Y",FV391="N"),"Y","N"))</f>
        <v/>
      </c>
      <c r="FX391" s="0" t="str">
        <f aca="false">IF($A391="","",IF(FW391&lt;&gt;"Y","N",IF(COUNTIFS($FU$2:$FU$1000,FU391,$FW$2:$FW$1000,"Y",$J$2:$J$1000,"&gt;"&amp;J391)+COUNTIFS($FU$2:$FU$1000,FU391,$FW$2:$FW$1000,"Y",$J$2:$J$1000,J391,$GD$2:$GD$1000,"&lt;"&amp;GD391)=0,"Y","N")))</f>
        <v/>
      </c>
      <c r="FY391" s="0" t="str">
        <f aca="false">IF($A391="","",IF(AND(FW391="Y",FX391="Y",Y391&amp;""&lt;&gt;""),IF(Y391&lt;=10,"Y","N"),"N"))</f>
        <v/>
      </c>
      <c r="FZ391" s="0" t="str">
        <f aca="false">IF(FY391="Y",Y391,"")</f>
        <v/>
      </c>
      <c r="GA391" s="0" t="str">
        <f aca="false">IF($A391="","",IF(AND(I391="walk-in",CN391="pass",U391="new",FT391="N",FV391="N",AQ391&lt;&gt;"Y"),"Y","N"))</f>
        <v/>
      </c>
      <c r="GB391" s="0" t="str">
        <f aca="false">IF(GA391&lt;&gt;"Y","",IF(COUNTIFS($GA$2:$GA$1000,"Y",$J$2:$J$1000,"&gt;"&amp;J391)+COUNTIFS($GA$2:$GA$1000,"Y",$J$2:$J$1000,J391,$GD$2:$GD$1000,"&lt;"&amp;GD391)+1&lt;=25,COUNTIFS($GA$2:$GA$1000,"Y",$J$2:$J$1000,"&gt;"&amp;J391)+COUNTIFS($GA$2:$GA$1000,"Y",$J$2:$J$1000,J391,$GD$2:$GD$1000,"&lt;"&amp;GD391)+1,""))</f>
        <v/>
      </c>
      <c r="GC391" s="0" t="str">
        <f aca="false">IF(AND(_xlfn.ISFORMULA(C391),_xlfn.ISFORMULA(J391)),"Y","N")</f>
        <v>Y</v>
      </c>
      <c r="GD391" s="0" t="n">
        <f aca="false">ROW()-1</f>
        <v>390</v>
      </c>
    </row>
    <row r="392" customFormat="false" ht="15" hidden="false" customHeight="false" outlineLevel="0" collapsed="false">
      <c r="C392" s="0" t="str">
        <f aca="false">IF($A392="","",IF(AW392="Y",BM392&amp;"",AY392&amp;""))</f>
        <v/>
      </c>
      <c r="D392" s="0" t="str">
        <f aca="false">IF($A392="","",IF(AW392="Y",BN392&amp;"",AZ392&amp;""))</f>
        <v/>
      </c>
      <c r="E392" s="0" t="str">
        <f aca="false">IF($A392="","",IF(AW392="Y",BO392&amp;"",BA392&amp;""))</f>
        <v/>
      </c>
      <c r="F392" s="0" t="str">
        <f aca="false">IF($A392="","",IF(AW392="Y",BP392&amp;"",BB392&amp;""))</f>
        <v/>
      </c>
      <c r="G392" s="0" t="str">
        <f aca="false">IF($A392="","",IF(AW392="Y",BQ392&amp;"",BC392&amp;""))</f>
        <v/>
      </c>
      <c r="H392" s="0" t="str">
        <f aca="false">IF($A392="","",IF(AW392="Y",BR392&amp;"",BD392&amp;""))</f>
        <v/>
      </c>
      <c r="I392" s="0" t="str">
        <f aca="false">IF($A392="","",IF(R392="Y","warm-intro",IF(H392="verified","email",IF(C392&lt;&gt;"","linkedin",CB392&amp;""))))</f>
        <v/>
      </c>
      <c r="J392" s="0" t="str">
        <f aca="false">IF($A392="","",IF(CN392="pass",ROUND(N(EM392)+N(EN392)+N(EO392)+N(EP392)+N(EQ392)+N(ER392),1),0))</f>
        <v/>
      </c>
      <c r="K392" s="0" t="str">
        <f aca="false">IF($A392="","",IF(CN392&lt;&gt;"pass",CA392&amp;"",CA392&amp;"; "&amp;IF(AW392="Y",BZ392&amp;"",BL392&amp;"")&amp;IF(R392="Y","; known to the founder (+15)","")&amp;"."))</f>
        <v/>
      </c>
      <c r="R392" s="5"/>
      <c r="U392" s="5"/>
      <c r="Y392" s="0" t="str">
        <f aca="false">IF(FX392&lt;&gt;"Y","",COUNTIFS($FX$2:$FX$1000,"Y",$J$2:$J$1000,"&gt;"&amp;J392)+COUNTIFS($FX$2:$FX$1000,"Y",$J$2:$J$1000,J392,$GD$2:$GD$1000,"&lt;"&amp;GD392)+1)</f>
        <v/>
      </c>
      <c r="AB392" s="0" t="str">
        <f aca="false">IF($A392="","",IF(AW392="Y",BY392&amp;"",BK392&amp;""))</f>
        <v/>
      </c>
      <c r="AC392" s="0" t="str">
        <f aca="false">IF($A392="","",IF(AW392="Y",BS392&amp;"",BE392&amp;""))</f>
        <v/>
      </c>
      <c r="AD392" s="0" t="str">
        <f aca="false">IF($A392="","",IF(AW392="Y",BT392&amp;"",BF392&amp;""))</f>
        <v/>
      </c>
      <c r="AE392" s="0" t="str">
        <f aca="false">IF($A392="","",IF(AW392="Y",BU392&amp;"",BG392&amp;""))</f>
        <v/>
      </c>
      <c r="AF392" s="0" t="str">
        <f aca="false">IF($A392="","",IF(AW392="Y",BV392&amp;"",BH392&amp;""))</f>
        <v/>
      </c>
      <c r="AG392" s="0" t="str">
        <f aca="false">IF($A392="","",IF(AW392="Y",BW392&amp;"",BI392&amp;""))</f>
        <v/>
      </c>
      <c r="AH392" s="0" t="str">
        <f aca="false">IF($A392="","",IF(AW392="Y",BX392&amp;"",BJ392&amp;""))</f>
        <v/>
      </c>
      <c r="AQ392" s="5"/>
      <c r="AT392" s="0" t="str">
        <f aca="false">IF($A392="","",IF(AND(CN392="pass",AQ392&lt;&gt;"Y",C392&lt;&gt;"",OR(AX392&lt;&gt;"Y",AV392="Y")),"Y","N"))</f>
        <v/>
      </c>
      <c r="AU392" s="0" t="str">
        <f aca="false">IF($A392="","",_xlfn.TEXTJOIN("; ",TRUE(),IF(CN392&lt;&gt;"pass","gated out",""),IF(AQ392="Y","on hold: "&amp;AR392,""),IF(C392="","no contact named on an opened page",""),IF(AND(AX392="Y",AV392&lt;&gt;"Y"),"Tuesday estimate band "&amp;L392&amp;": founder's call","")))</f>
        <v/>
      </c>
      <c r="BC392" s="0" t="str">
        <f aca="false">IF($A392="","",IFERROR(INDEX(Enrichment!$A$2:$GZ$2000,MATCH($A392,INDEX(Enrichment!$A$2:$GZ$2000,0,MATCH("row_id",Enrichment!$A$1:$GZ$1,0)),0),MATCH("work_email",Enrichment!$A$1:$GZ$1,0))&amp;"",""))</f>
        <v/>
      </c>
      <c r="BD392" s="0" t="str">
        <f aca="false">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Q392" s="0" t="str">
        <f aca="false">IF($A392="","",IFERROR(INDEX(Enrichment!$A$2:$GZ$2000,MATCH($A392,INDEX(Enrichment!$A$2:$GZ$2000,0,MATCH("row_id",Enrichment!$A$1:$GZ$1,0)),0),MATCH("backup_work_email",Enrichment!$A$1:$GZ$1,0))&amp;"",""))</f>
        <v/>
      </c>
      <c r="BR392" s="0" t="str">
        <f aca="false">IF($A392="","",IF(BQ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EQ392" s="0" t="str">
        <f aca="false">IF($A392="","",IF(AH392="exact",10,IF(AH392="adjacent",5,0)))</f>
        <v/>
      </c>
      <c r="ER392" s="0" t="str">
        <f aca="false">IF($A392="","",IF(R392="Y",15,0))</f>
        <v/>
      </c>
      <c r="FS392" s="0" t="str">
        <f aca="false">IF($A392="","",IF(ISNUMBER(MATCH(U392,{"queued","contacted","replied","call_booked","call_done","yes_in_principle","materials_sent"},0)),"Y","N"))</f>
        <v/>
      </c>
      <c r="FT392" s="0" t="str">
        <f aca="false">IF($A392="","",IF(OR(T392="Y",U392="do_not_contact",AS392&amp;""&lt;&gt;""),"Y","N"))</f>
        <v/>
      </c>
      <c r="FU392" s="0" t="str">
        <f aca="false">IF($A392="","",IF(AP392&amp;""&lt;&gt;"",AP392&amp;"",$A392))</f>
        <v/>
      </c>
      <c r="FV392" s="0" t="str">
        <f aca="false">IF($A392="","",IF(COUNTIFS($FU$2:$FU$1000,FU392,$FS$2:$FS$1000,"Y")+COUNTIFS($FU$2:$FU$1000,FU392,$FT$2:$FT$1000,"Y")&gt;0,"Y","N"))</f>
        <v/>
      </c>
      <c r="FW392" s="0" t="str">
        <f aca="false">IF($A392="","",IF(AND(U392="new",T392="N",FT392="N",AT392="Y",FV392="N"),"Y","N"))</f>
        <v/>
      </c>
      <c r="FX392" s="0" t="str">
        <f aca="false">IF($A392="","",IF(FW392&lt;&gt;"Y","N",IF(COUNTIFS($FU$2:$FU$1000,FU392,$FW$2:$FW$1000,"Y",$J$2:$J$1000,"&gt;"&amp;J392)+COUNTIFS($FU$2:$FU$1000,FU392,$FW$2:$FW$1000,"Y",$J$2:$J$1000,J392,$GD$2:$GD$1000,"&lt;"&amp;GD392)=0,"Y","N")))</f>
        <v/>
      </c>
      <c r="FY392" s="0" t="str">
        <f aca="false">IF($A392="","",IF(AND(FW392="Y",FX392="Y",Y392&amp;""&lt;&gt;""),IF(Y392&lt;=10,"Y","N"),"N"))</f>
        <v/>
      </c>
      <c r="FZ392" s="0" t="str">
        <f aca="false">IF(FY392="Y",Y392,"")</f>
        <v/>
      </c>
      <c r="GA392" s="0" t="str">
        <f aca="false">IF($A392="","",IF(AND(I392="walk-in",CN392="pass",U392="new",FT392="N",FV392="N",AQ392&lt;&gt;"Y"),"Y","N"))</f>
        <v/>
      </c>
      <c r="GB392" s="0" t="str">
        <f aca="false">IF(GA392&lt;&gt;"Y","",IF(COUNTIFS($GA$2:$GA$1000,"Y",$J$2:$J$1000,"&gt;"&amp;J392)+COUNTIFS($GA$2:$GA$1000,"Y",$J$2:$J$1000,J392,$GD$2:$GD$1000,"&lt;"&amp;GD392)+1&lt;=25,COUNTIFS($GA$2:$GA$1000,"Y",$J$2:$J$1000,"&gt;"&amp;J392)+COUNTIFS($GA$2:$GA$1000,"Y",$J$2:$J$1000,J392,$GD$2:$GD$1000,"&lt;"&amp;GD392)+1,""))</f>
        <v/>
      </c>
      <c r="GC392" s="0" t="str">
        <f aca="false">IF(AND(_xlfn.ISFORMULA(C392),_xlfn.ISFORMULA(J392)),"Y","N")</f>
        <v>Y</v>
      </c>
      <c r="GD392" s="0" t="n">
        <f aca="false">ROW()-1</f>
        <v>391</v>
      </c>
    </row>
    <row r="393" customFormat="false" ht="15" hidden="false" customHeight="false" outlineLevel="0" collapsed="false">
      <c r="C393" s="0" t="str">
        <f aca="false">IF($A393="","",IF(AW393="Y",BM393&amp;"",AY393&amp;""))</f>
        <v/>
      </c>
      <c r="D393" s="0" t="str">
        <f aca="false">IF($A393="","",IF(AW393="Y",BN393&amp;"",AZ393&amp;""))</f>
        <v/>
      </c>
      <c r="E393" s="0" t="str">
        <f aca="false">IF($A393="","",IF(AW393="Y",BO393&amp;"",BA393&amp;""))</f>
        <v/>
      </c>
      <c r="F393" s="0" t="str">
        <f aca="false">IF($A393="","",IF(AW393="Y",BP393&amp;"",BB393&amp;""))</f>
        <v/>
      </c>
      <c r="G393" s="0" t="str">
        <f aca="false">IF($A393="","",IF(AW393="Y",BQ393&amp;"",BC393&amp;""))</f>
        <v/>
      </c>
      <c r="H393" s="0" t="str">
        <f aca="false">IF($A393="","",IF(AW393="Y",BR393&amp;"",BD393&amp;""))</f>
        <v/>
      </c>
      <c r="I393" s="0" t="str">
        <f aca="false">IF($A393="","",IF(R393="Y","warm-intro",IF(H393="verified","email",IF(C393&lt;&gt;"","linkedin",CB393&amp;""))))</f>
        <v/>
      </c>
      <c r="J393" s="0" t="str">
        <f aca="false">IF($A393="","",IF(CN393="pass",ROUND(N(EM393)+N(EN393)+N(EO393)+N(EP393)+N(EQ393)+N(ER393),1),0))</f>
        <v/>
      </c>
      <c r="K393" s="0" t="str">
        <f aca="false">IF($A393="","",IF(CN393&lt;&gt;"pass",CA393&amp;"",CA393&amp;"; "&amp;IF(AW393="Y",BZ393&amp;"",BL393&amp;"")&amp;IF(R393="Y","; known to the founder (+15)","")&amp;"."))</f>
        <v/>
      </c>
      <c r="R393" s="5"/>
      <c r="U393" s="5"/>
      <c r="Y393" s="0" t="str">
        <f aca="false">IF(FX393&lt;&gt;"Y","",COUNTIFS($FX$2:$FX$1000,"Y",$J$2:$J$1000,"&gt;"&amp;J393)+COUNTIFS($FX$2:$FX$1000,"Y",$J$2:$J$1000,J393,$GD$2:$GD$1000,"&lt;"&amp;GD393)+1)</f>
        <v/>
      </c>
      <c r="AB393" s="0" t="str">
        <f aca="false">IF($A393="","",IF(AW393="Y",BY393&amp;"",BK393&amp;""))</f>
        <v/>
      </c>
      <c r="AC393" s="0" t="str">
        <f aca="false">IF($A393="","",IF(AW393="Y",BS393&amp;"",BE393&amp;""))</f>
        <v/>
      </c>
      <c r="AD393" s="0" t="str">
        <f aca="false">IF($A393="","",IF(AW393="Y",BT393&amp;"",BF393&amp;""))</f>
        <v/>
      </c>
      <c r="AE393" s="0" t="str">
        <f aca="false">IF($A393="","",IF(AW393="Y",BU393&amp;"",BG393&amp;""))</f>
        <v/>
      </c>
      <c r="AF393" s="0" t="str">
        <f aca="false">IF($A393="","",IF(AW393="Y",BV393&amp;"",BH393&amp;""))</f>
        <v/>
      </c>
      <c r="AG393" s="0" t="str">
        <f aca="false">IF($A393="","",IF(AW393="Y",BW393&amp;"",BI393&amp;""))</f>
        <v/>
      </c>
      <c r="AH393" s="0" t="str">
        <f aca="false">IF($A393="","",IF(AW393="Y",BX393&amp;"",BJ393&amp;""))</f>
        <v/>
      </c>
      <c r="AQ393" s="5"/>
      <c r="AT393" s="0" t="str">
        <f aca="false">IF($A393="","",IF(AND(CN393="pass",AQ393&lt;&gt;"Y",C393&lt;&gt;"",OR(AX393&lt;&gt;"Y",AV393="Y")),"Y","N"))</f>
        <v/>
      </c>
      <c r="AU393" s="0" t="str">
        <f aca="false">IF($A393="","",_xlfn.TEXTJOIN("; ",TRUE(),IF(CN393&lt;&gt;"pass","gated out",""),IF(AQ393="Y","on hold: "&amp;AR393,""),IF(C393="","no contact named on an opened page",""),IF(AND(AX393="Y",AV393&lt;&gt;"Y"),"Tuesday estimate band "&amp;L393&amp;": founder's call","")))</f>
        <v/>
      </c>
      <c r="BC393" s="0" t="str">
        <f aca="false">IF($A393="","",IFERROR(INDEX(Enrichment!$A$2:$GZ$2000,MATCH($A393,INDEX(Enrichment!$A$2:$GZ$2000,0,MATCH("row_id",Enrichment!$A$1:$GZ$1,0)),0),MATCH("work_email",Enrichment!$A$1:$GZ$1,0))&amp;"",""))</f>
        <v/>
      </c>
      <c r="BD393" s="0" t="str">
        <f aca="false">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Q393" s="0" t="str">
        <f aca="false">IF($A393="","",IFERROR(INDEX(Enrichment!$A$2:$GZ$2000,MATCH($A393,INDEX(Enrichment!$A$2:$GZ$2000,0,MATCH("row_id",Enrichment!$A$1:$GZ$1,0)),0),MATCH("backup_work_email",Enrichment!$A$1:$GZ$1,0))&amp;"",""))</f>
        <v/>
      </c>
      <c r="BR393" s="0" t="str">
        <f aca="false">IF($A393="","",IF(BQ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EQ393" s="0" t="str">
        <f aca="false">IF($A393="","",IF(AH393="exact",10,IF(AH393="adjacent",5,0)))</f>
        <v/>
      </c>
      <c r="ER393" s="0" t="str">
        <f aca="false">IF($A393="","",IF(R393="Y",15,0))</f>
        <v/>
      </c>
      <c r="FS393" s="0" t="str">
        <f aca="false">IF($A393="","",IF(ISNUMBER(MATCH(U393,{"queued","contacted","replied","call_booked","call_done","yes_in_principle","materials_sent"},0)),"Y","N"))</f>
        <v/>
      </c>
      <c r="FT393" s="0" t="str">
        <f aca="false">IF($A393="","",IF(OR(T393="Y",U393="do_not_contact",AS393&amp;""&lt;&gt;""),"Y","N"))</f>
        <v/>
      </c>
      <c r="FU393" s="0" t="str">
        <f aca="false">IF($A393="","",IF(AP393&amp;""&lt;&gt;"",AP393&amp;"",$A393))</f>
        <v/>
      </c>
      <c r="FV393" s="0" t="str">
        <f aca="false">IF($A393="","",IF(COUNTIFS($FU$2:$FU$1000,FU393,$FS$2:$FS$1000,"Y")+COUNTIFS($FU$2:$FU$1000,FU393,$FT$2:$FT$1000,"Y")&gt;0,"Y","N"))</f>
        <v/>
      </c>
      <c r="FW393" s="0" t="str">
        <f aca="false">IF($A393="","",IF(AND(U393="new",T393="N",FT393="N",AT393="Y",FV393="N"),"Y","N"))</f>
        <v/>
      </c>
      <c r="FX393" s="0" t="str">
        <f aca="false">IF($A393="","",IF(FW393&lt;&gt;"Y","N",IF(COUNTIFS($FU$2:$FU$1000,FU393,$FW$2:$FW$1000,"Y",$J$2:$J$1000,"&gt;"&amp;J393)+COUNTIFS($FU$2:$FU$1000,FU393,$FW$2:$FW$1000,"Y",$J$2:$J$1000,J393,$GD$2:$GD$1000,"&lt;"&amp;GD393)=0,"Y","N")))</f>
        <v/>
      </c>
      <c r="FY393" s="0" t="str">
        <f aca="false">IF($A393="","",IF(AND(FW393="Y",FX393="Y",Y393&amp;""&lt;&gt;""),IF(Y393&lt;=10,"Y","N"),"N"))</f>
        <v/>
      </c>
      <c r="FZ393" s="0" t="str">
        <f aca="false">IF(FY393="Y",Y393,"")</f>
        <v/>
      </c>
      <c r="GA393" s="0" t="str">
        <f aca="false">IF($A393="","",IF(AND(I393="walk-in",CN393="pass",U393="new",FT393="N",FV393="N",AQ393&lt;&gt;"Y"),"Y","N"))</f>
        <v/>
      </c>
      <c r="GB393" s="0" t="str">
        <f aca="false">IF(GA393&lt;&gt;"Y","",IF(COUNTIFS($GA$2:$GA$1000,"Y",$J$2:$J$1000,"&gt;"&amp;J393)+COUNTIFS($GA$2:$GA$1000,"Y",$J$2:$J$1000,J393,$GD$2:$GD$1000,"&lt;"&amp;GD393)+1&lt;=25,COUNTIFS($GA$2:$GA$1000,"Y",$J$2:$J$1000,"&gt;"&amp;J393)+COUNTIFS($GA$2:$GA$1000,"Y",$J$2:$J$1000,J393,$GD$2:$GD$1000,"&lt;"&amp;GD393)+1,""))</f>
        <v/>
      </c>
      <c r="GC393" s="0" t="str">
        <f aca="false">IF(AND(_xlfn.ISFORMULA(C393),_xlfn.ISFORMULA(J393)),"Y","N")</f>
        <v>Y</v>
      </c>
      <c r="GD393" s="0" t="n">
        <f aca="false">ROW()-1</f>
        <v>392</v>
      </c>
    </row>
    <row r="394" customFormat="false" ht="15" hidden="false" customHeight="false" outlineLevel="0" collapsed="false">
      <c r="C394" s="0" t="str">
        <f aca="false">IF($A394="","",IF(AW394="Y",BM394&amp;"",AY394&amp;""))</f>
        <v/>
      </c>
      <c r="D394" s="0" t="str">
        <f aca="false">IF($A394="","",IF(AW394="Y",BN394&amp;"",AZ394&amp;""))</f>
        <v/>
      </c>
      <c r="E394" s="0" t="str">
        <f aca="false">IF($A394="","",IF(AW394="Y",BO394&amp;"",BA394&amp;""))</f>
        <v/>
      </c>
      <c r="F394" s="0" t="str">
        <f aca="false">IF($A394="","",IF(AW394="Y",BP394&amp;"",BB394&amp;""))</f>
        <v/>
      </c>
      <c r="G394" s="0" t="str">
        <f aca="false">IF($A394="","",IF(AW394="Y",BQ394&amp;"",BC394&amp;""))</f>
        <v/>
      </c>
      <c r="H394" s="0" t="str">
        <f aca="false">IF($A394="","",IF(AW394="Y",BR394&amp;"",BD394&amp;""))</f>
        <v/>
      </c>
      <c r="I394" s="0" t="str">
        <f aca="false">IF($A394="","",IF(R394="Y","warm-intro",IF(H394="verified","email",IF(C394&lt;&gt;"","linkedin",CB394&amp;""))))</f>
        <v/>
      </c>
      <c r="J394" s="0" t="str">
        <f aca="false">IF($A394="","",IF(CN394="pass",ROUND(N(EM394)+N(EN394)+N(EO394)+N(EP394)+N(EQ394)+N(ER394),1),0))</f>
        <v/>
      </c>
      <c r="K394" s="0" t="str">
        <f aca="false">IF($A394="","",IF(CN394&lt;&gt;"pass",CA394&amp;"",CA394&amp;"; "&amp;IF(AW394="Y",BZ394&amp;"",BL394&amp;"")&amp;IF(R394="Y","; known to the founder (+15)","")&amp;"."))</f>
        <v/>
      </c>
      <c r="R394" s="5"/>
      <c r="U394" s="5"/>
      <c r="Y394" s="0" t="str">
        <f aca="false">IF(FX394&lt;&gt;"Y","",COUNTIFS($FX$2:$FX$1000,"Y",$J$2:$J$1000,"&gt;"&amp;J394)+COUNTIFS($FX$2:$FX$1000,"Y",$J$2:$J$1000,J394,$GD$2:$GD$1000,"&lt;"&amp;GD394)+1)</f>
        <v/>
      </c>
      <c r="AB394" s="0" t="str">
        <f aca="false">IF($A394="","",IF(AW394="Y",BY394&amp;"",BK394&amp;""))</f>
        <v/>
      </c>
      <c r="AC394" s="0" t="str">
        <f aca="false">IF($A394="","",IF(AW394="Y",BS394&amp;"",BE394&amp;""))</f>
        <v/>
      </c>
      <c r="AD394" s="0" t="str">
        <f aca="false">IF($A394="","",IF(AW394="Y",BT394&amp;"",BF394&amp;""))</f>
        <v/>
      </c>
      <c r="AE394" s="0" t="str">
        <f aca="false">IF($A394="","",IF(AW394="Y",BU394&amp;"",BG394&amp;""))</f>
        <v/>
      </c>
      <c r="AF394" s="0" t="str">
        <f aca="false">IF($A394="","",IF(AW394="Y",BV394&amp;"",BH394&amp;""))</f>
        <v/>
      </c>
      <c r="AG394" s="0" t="str">
        <f aca="false">IF($A394="","",IF(AW394="Y",BW394&amp;"",BI394&amp;""))</f>
        <v/>
      </c>
      <c r="AH394" s="0" t="str">
        <f aca="false">IF($A394="","",IF(AW394="Y",BX394&amp;"",BJ394&amp;""))</f>
        <v/>
      </c>
      <c r="AQ394" s="5"/>
      <c r="AT394" s="0" t="str">
        <f aca="false">IF($A394="","",IF(AND(CN394="pass",AQ394&lt;&gt;"Y",C394&lt;&gt;"",OR(AX394&lt;&gt;"Y",AV394="Y")),"Y","N"))</f>
        <v/>
      </c>
      <c r="AU394" s="0" t="str">
        <f aca="false">IF($A394="","",_xlfn.TEXTJOIN("; ",TRUE(),IF(CN394&lt;&gt;"pass","gated out",""),IF(AQ394="Y","on hold: "&amp;AR394,""),IF(C394="","no contact named on an opened page",""),IF(AND(AX394="Y",AV394&lt;&gt;"Y"),"Tuesday estimate band "&amp;L394&amp;": founder's call","")))</f>
        <v/>
      </c>
      <c r="BC394" s="0" t="str">
        <f aca="false">IF($A394="","",IFERROR(INDEX(Enrichment!$A$2:$GZ$2000,MATCH($A394,INDEX(Enrichment!$A$2:$GZ$2000,0,MATCH("row_id",Enrichment!$A$1:$GZ$1,0)),0),MATCH("work_email",Enrichment!$A$1:$GZ$1,0))&amp;"",""))</f>
        <v/>
      </c>
      <c r="BD394" s="0" t="str">
        <f aca="false">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Q394" s="0" t="str">
        <f aca="false">IF($A394="","",IFERROR(INDEX(Enrichment!$A$2:$GZ$2000,MATCH($A394,INDEX(Enrichment!$A$2:$GZ$2000,0,MATCH("row_id",Enrichment!$A$1:$GZ$1,0)),0),MATCH("backup_work_email",Enrichment!$A$1:$GZ$1,0))&amp;"",""))</f>
        <v/>
      </c>
      <c r="BR394" s="0" t="str">
        <f aca="false">IF($A394="","",IF(BQ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EQ394" s="0" t="str">
        <f aca="false">IF($A394="","",IF(AH394="exact",10,IF(AH394="adjacent",5,0)))</f>
        <v/>
      </c>
      <c r="ER394" s="0" t="str">
        <f aca="false">IF($A394="","",IF(R394="Y",15,0))</f>
        <v/>
      </c>
      <c r="FS394" s="0" t="str">
        <f aca="false">IF($A394="","",IF(ISNUMBER(MATCH(U394,{"queued","contacted","replied","call_booked","call_done","yes_in_principle","materials_sent"},0)),"Y","N"))</f>
        <v/>
      </c>
      <c r="FT394" s="0" t="str">
        <f aca="false">IF($A394="","",IF(OR(T394="Y",U394="do_not_contact",AS394&amp;""&lt;&gt;""),"Y","N"))</f>
        <v/>
      </c>
      <c r="FU394" s="0" t="str">
        <f aca="false">IF($A394="","",IF(AP394&amp;""&lt;&gt;"",AP394&amp;"",$A394))</f>
        <v/>
      </c>
      <c r="FV394" s="0" t="str">
        <f aca="false">IF($A394="","",IF(COUNTIFS($FU$2:$FU$1000,FU394,$FS$2:$FS$1000,"Y")+COUNTIFS($FU$2:$FU$1000,FU394,$FT$2:$FT$1000,"Y")&gt;0,"Y","N"))</f>
        <v/>
      </c>
      <c r="FW394" s="0" t="str">
        <f aca="false">IF($A394="","",IF(AND(U394="new",T394="N",FT394="N",AT394="Y",FV394="N"),"Y","N"))</f>
        <v/>
      </c>
      <c r="FX394" s="0" t="str">
        <f aca="false">IF($A394="","",IF(FW394&lt;&gt;"Y","N",IF(COUNTIFS($FU$2:$FU$1000,FU394,$FW$2:$FW$1000,"Y",$J$2:$J$1000,"&gt;"&amp;J394)+COUNTIFS($FU$2:$FU$1000,FU394,$FW$2:$FW$1000,"Y",$J$2:$J$1000,J394,$GD$2:$GD$1000,"&lt;"&amp;GD394)=0,"Y","N")))</f>
        <v/>
      </c>
      <c r="FY394" s="0" t="str">
        <f aca="false">IF($A394="","",IF(AND(FW394="Y",FX394="Y",Y394&amp;""&lt;&gt;""),IF(Y394&lt;=10,"Y","N"),"N"))</f>
        <v/>
      </c>
      <c r="FZ394" s="0" t="str">
        <f aca="false">IF(FY394="Y",Y394,"")</f>
        <v/>
      </c>
      <c r="GA394" s="0" t="str">
        <f aca="false">IF($A394="","",IF(AND(I394="walk-in",CN394="pass",U394="new",FT394="N",FV394="N",AQ394&lt;&gt;"Y"),"Y","N"))</f>
        <v/>
      </c>
      <c r="GB394" s="0" t="str">
        <f aca="false">IF(GA394&lt;&gt;"Y","",IF(COUNTIFS($GA$2:$GA$1000,"Y",$J$2:$J$1000,"&gt;"&amp;J394)+COUNTIFS($GA$2:$GA$1000,"Y",$J$2:$J$1000,J394,$GD$2:$GD$1000,"&lt;"&amp;GD394)+1&lt;=25,COUNTIFS($GA$2:$GA$1000,"Y",$J$2:$J$1000,"&gt;"&amp;J394)+COUNTIFS($GA$2:$GA$1000,"Y",$J$2:$J$1000,J394,$GD$2:$GD$1000,"&lt;"&amp;GD394)+1,""))</f>
        <v/>
      </c>
      <c r="GC394" s="0" t="str">
        <f aca="false">IF(AND(_xlfn.ISFORMULA(C394),_xlfn.ISFORMULA(J394)),"Y","N")</f>
        <v>Y</v>
      </c>
      <c r="GD394" s="0" t="n">
        <f aca="false">ROW()-1</f>
        <v>393</v>
      </c>
    </row>
    <row r="395" customFormat="false" ht="15" hidden="false" customHeight="false" outlineLevel="0" collapsed="false">
      <c r="C395" s="0" t="str">
        <f aca="false">IF($A395="","",IF(AW395="Y",BM395&amp;"",AY395&amp;""))</f>
        <v/>
      </c>
      <c r="D395" s="0" t="str">
        <f aca="false">IF($A395="","",IF(AW395="Y",BN395&amp;"",AZ395&amp;""))</f>
        <v/>
      </c>
      <c r="E395" s="0" t="str">
        <f aca="false">IF($A395="","",IF(AW395="Y",BO395&amp;"",BA395&amp;""))</f>
        <v/>
      </c>
      <c r="F395" s="0" t="str">
        <f aca="false">IF($A395="","",IF(AW395="Y",BP395&amp;"",BB395&amp;""))</f>
        <v/>
      </c>
      <c r="G395" s="0" t="str">
        <f aca="false">IF($A395="","",IF(AW395="Y",BQ395&amp;"",BC395&amp;""))</f>
        <v/>
      </c>
      <c r="H395" s="0" t="str">
        <f aca="false">IF($A395="","",IF(AW395="Y",BR395&amp;"",BD395&amp;""))</f>
        <v/>
      </c>
      <c r="I395" s="0" t="str">
        <f aca="false">IF($A395="","",IF(R395="Y","warm-intro",IF(H395="verified","email",IF(C395&lt;&gt;"","linkedin",CB395&amp;""))))</f>
        <v/>
      </c>
      <c r="J395" s="0" t="str">
        <f aca="false">IF($A395="","",IF(CN395="pass",ROUND(N(EM395)+N(EN395)+N(EO395)+N(EP395)+N(EQ395)+N(ER395),1),0))</f>
        <v/>
      </c>
      <c r="K395" s="0" t="str">
        <f aca="false">IF($A395="","",IF(CN395&lt;&gt;"pass",CA395&amp;"",CA395&amp;"; "&amp;IF(AW395="Y",BZ395&amp;"",BL395&amp;"")&amp;IF(R395="Y","; known to the founder (+15)","")&amp;"."))</f>
        <v/>
      </c>
      <c r="R395" s="5"/>
      <c r="U395" s="5"/>
      <c r="Y395" s="0" t="str">
        <f aca="false">IF(FX395&lt;&gt;"Y","",COUNTIFS($FX$2:$FX$1000,"Y",$J$2:$J$1000,"&gt;"&amp;J395)+COUNTIFS($FX$2:$FX$1000,"Y",$J$2:$J$1000,J395,$GD$2:$GD$1000,"&lt;"&amp;GD395)+1)</f>
        <v/>
      </c>
      <c r="AB395" s="0" t="str">
        <f aca="false">IF($A395="","",IF(AW395="Y",BY395&amp;"",BK395&amp;""))</f>
        <v/>
      </c>
      <c r="AC395" s="0" t="str">
        <f aca="false">IF($A395="","",IF(AW395="Y",BS395&amp;"",BE395&amp;""))</f>
        <v/>
      </c>
      <c r="AD395" s="0" t="str">
        <f aca="false">IF($A395="","",IF(AW395="Y",BT395&amp;"",BF395&amp;""))</f>
        <v/>
      </c>
      <c r="AE395" s="0" t="str">
        <f aca="false">IF($A395="","",IF(AW395="Y",BU395&amp;"",BG395&amp;""))</f>
        <v/>
      </c>
      <c r="AF395" s="0" t="str">
        <f aca="false">IF($A395="","",IF(AW395="Y",BV395&amp;"",BH395&amp;""))</f>
        <v/>
      </c>
      <c r="AG395" s="0" t="str">
        <f aca="false">IF($A395="","",IF(AW395="Y",BW395&amp;"",BI395&amp;""))</f>
        <v/>
      </c>
      <c r="AH395" s="0" t="str">
        <f aca="false">IF($A395="","",IF(AW395="Y",BX395&amp;"",BJ395&amp;""))</f>
        <v/>
      </c>
      <c r="AQ395" s="5"/>
      <c r="AT395" s="0" t="str">
        <f aca="false">IF($A395="","",IF(AND(CN395="pass",AQ395&lt;&gt;"Y",C395&lt;&gt;"",OR(AX395&lt;&gt;"Y",AV395="Y")),"Y","N"))</f>
        <v/>
      </c>
      <c r="AU395" s="0" t="str">
        <f aca="false">IF($A395="","",_xlfn.TEXTJOIN("; ",TRUE(),IF(CN395&lt;&gt;"pass","gated out",""),IF(AQ395="Y","on hold: "&amp;AR395,""),IF(C395="","no contact named on an opened page",""),IF(AND(AX395="Y",AV395&lt;&gt;"Y"),"Tuesday estimate band "&amp;L395&amp;": founder's call","")))</f>
        <v/>
      </c>
      <c r="BC395" s="0" t="str">
        <f aca="false">IF($A395="","",IFERROR(INDEX(Enrichment!$A$2:$GZ$2000,MATCH($A395,INDEX(Enrichment!$A$2:$GZ$2000,0,MATCH("row_id",Enrichment!$A$1:$GZ$1,0)),0),MATCH("work_email",Enrichment!$A$1:$GZ$1,0))&amp;"",""))</f>
        <v/>
      </c>
      <c r="BD395" s="0" t="str">
        <f aca="false">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Q395" s="0" t="str">
        <f aca="false">IF($A395="","",IFERROR(INDEX(Enrichment!$A$2:$GZ$2000,MATCH($A395,INDEX(Enrichment!$A$2:$GZ$2000,0,MATCH("row_id",Enrichment!$A$1:$GZ$1,0)),0),MATCH("backup_work_email",Enrichment!$A$1:$GZ$1,0))&amp;"",""))</f>
        <v/>
      </c>
      <c r="BR395" s="0" t="str">
        <f aca="false">IF($A395="","",IF(BQ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EQ395" s="0" t="str">
        <f aca="false">IF($A395="","",IF(AH395="exact",10,IF(AH395="adjacent",5,0)))</f>
        <v/>
      </c>
      <c r="ER395" s="0" t="str">
        <f aca="false">IF($A395="","",IF(R395="Y",15,0))</f>
        <v/>
      </c>
      <c r="FS395" s="0" t="str">
        <f aca="false">IF($A395="","",IF(ISNUMBER(MATCH(U395,{"queued","contacted","replied","call_booked","call_done","yes_in_principle","materials_sent"},0)),"Y","N"))</f>
        <v/>
      </c>
      <c r="FT395" s="0" t="str">
        <f aca="false">IF($A395="","",IF(OR(T395="Y",U395="do_not_contact",AS395&amp;""&lt;&gt;""),"Y","N"))</f>
        <v/>
      </c>
      <c r="FU395" s="0" t="str">
        <f aca="false">IF($A395="","",IF(AP395&amp;""&lt;&gt;"",AP395&amp;"",$A395))</f>
        <v/>
      </c>
      <c r="FV395" s="0" t="str">
        <f aca="false">IF($A395="","",IF(COUNTIFS($FU$2:$FU$1000,FU395,$FS$2:$FS$1000,"Y")+COUNTIFS($FU$2:$FU$1000,FU395,$FT$2:$FT$1000,"Y")&gt;0,"Y","N"))</f>
        <v/>
      </c>
      <c r="FW395" s="0" t="str">
        <f aca="false">IF($A395="","",IF(AND(U395="new",T395="N",FT395="N",AT395="Y",FV395="N"),"Y","N"))</f>
        <v/>
      </c>
      <c r="FX395" s="0" t="str">
        <f aca="false">IF($A395="","",IF(FW395&lt;&gt;"Y","N",IF(COUNTIFS($FU$2:$FU$1000,FU395,$FW$2:$FW$1000,"Y",$J$2:$J$1000,"&gt;"&amp;J395)+COUNTIFS($FU$2:$FU$1000,FU395,$FW$2:$FW$1000,"Y",$J$2:$J$1000,J395,$GD$2:$GD$1000,"&lt;"&amp;GD395)=0,"Y","N")))</f>
        <v/>
      </c>
      <c r="FY395" s="0" t="str">
        <f aca="false">IF($A395="","",IF(AND(FW395="Y",FX395="Y",Y395&amp;""&lt;&gt;""),IF(Y395&lt;=10,"Y","N"),"N"))</f>
        <v/>
      </c>
      <c r="FZ395" s="0" t="str">
        <f aca="false">IF(FY395="Y",Y395,"")</f>
        <v/>
      </c>
      <c r="GA395" s="0" t="str">
        <f aca="false">IF($A395="","",IF(AND(I395="walk-in",CN395="pass",U395="new",FT395="N",FV395="N",AQ395&lt;&gt;"Y"),"Y","N"))</f>
        <v/>
      </c>
      <c r="GB395" s="0" t="str">
        <f aca="false">IF(GA395&lt;&gt;"Y","",IF(COUNTIFS($GA$2:$GA$1000,"Y",$J$2:$J$1000,"&gt;"&amp;J395)+COUNTIFS($GA$2:$GA$1000,"Y",$J$2:$J$1000,J395,$GD$2:$GD$1000,"&lt;"&amp;GD395)+1&lt;=25,COUNTIFS($GA$2:$GA$1000,"Y",$J$2:$J$1000,"&gt;"&amp;J395)+COUNTIFS($GA$2:$GA$1000,"Y",$J$2:$J$1000,J395,$GD$2:$GD$1000,"&lt;"&amp;GD395)+1,""))</f>
        <v/>
      </c>
      <c r="GC395" s="0" t="str">
        <f aca="false">IF(AND(_xlfn.ISFORMULA(C395),_xlfn.ISFORMULA(J395)),"Y","N")</f>
        <v>Y</v>
      </c>
      <c r="GD395" s="0" t="n">
        <f aca="false">ROW()-1</f>
        <v>394</v>
      </c>
    </row>
    <row r="396" customFormat="false" ht="15" hidden="false" customHeight="false" outlineLevel="0" collapsed="false">
      <c r="C396" s="0" t="str">
        <f aca="false">IF($A396="","",IF(AW396="Y",BM396&amp;"",AY396&amp;""))</f>
        <v/>
      </c>
      <c r="D396" s="0" t="str">
        <f aca="false">IF($A396="","",IF(AW396="Y",BN396&amp;"",AZ396&amp;""))</f>
        <v/>
      </c>
      <c r="E396" s="0" t="str">
        <f aca="false">IF($A396="","",IF(AW396="Y",BO396&amp;"",BA396&amp;""))</f>
        <v/>
      </c>
      <c r="F396" s="0" t="str">
        <f aca="false">IF($A396="","",IF(AW396="Y",BP396&amp;"",BB396&amp;""))</f>
        <v/>
      </c>
      <c r="G396" s="0" t="str">
        <f aca="false">IF($A396="","",IF(AW396="Y",BQ396&amp;"",BC396&amp;""))</f>
        <v/>
      </c>
      <c r="H396" s="0" t="str">
        <f aca="false">IF($A396="","",IF(AW396="Y",BR396&amp;"",BD396&amp;""))</f>
        <v/>
      </c>
      <c r="I396" s="0" t="str">
        <f aca="false">IF($A396="","",IF(R396="Y","warm-intro",IF(H396="verified","email",IF(C396&lt;&gt;"","linkedin",CB396&amp;""))))</f>
        <v/>
      </c>
      <c r="J396" s="0" t="str">
        <f aca="false">IF($A396="","",IF(CN396="pass",ROUND(N(EM396)+N(EN396)+N(EO396)+N(EP396)+N(EQ396)+N(ER396),1),0))</f>
        <v/>
      </c>
      <c r="K396" s="0" t="str">
        <f aca="false">IF($A396="","",IF(CN396&lt;&gt;"pass",CA396&amp;"",CA396&amp;"; "&amp;IF(AW396="Y",BZ396&amp;"",BL396&amp;"")&amp;IF(R396="Y","; known to the founder (+15)","")&amp;"."))</f>
        <v/>
      </c>
      <c r="R396" s="5"/>
      <c r="U396" s="5"/>
      <c r="Y396" s="0" t="str">
        <f aca="false">IF(FX396&lt;&gt;"Y","",COUNTIFS($FX$2:$FX$1000,"Y",$J$2:$J$1000,"&gt;"&amp;J396)+COUNTIFS($FX$2:$FX$1000,"Y",$J$2:$J$1000,J396,$GD$2:$GD$1000,"&lt;"&amp;GD396)+1)</f>
        <v/>
      </c>
      <c r="AB396" s="0" t="str">
        <f aca="false">IF($A396="","",IF(AW396="Y",BY396&amp;"",BK396&amp;""))</f>
        <v/>
      </c>
      <c r="AC396" s="0" t="str">
        <f aca="false">IF($A396="","",IF(AW396="Y",BS396&amp;"",BE396&amp;""))</f>
        <v/>
      </c>
      <c r="AD396" s="0" t="str">
        <f aca="false">IF($A396="","",IF(AW396="Y",BT396&amp;"",BF396&amp;""))</f>
        <v/>
      </c>
      <c r="AE396" s="0" t="str">
        <f aca="false">IF($A396="","",IF(AW396="Y",BU396&amp;"",BG396&amp;""))</f>
        <v/>
      </c>
      <c r="AF396" s="0" t="str">
        <f aca="false">IF($A396="","",IF(AW396="Y",BV396&amp;"",BH396&amp;""))</f>
        <v/>
      </c>
      <c r="AG396" s="0" t="str">
        <f aca="false">IF($A396="","",IF(AW396="Y",BW396&amp;"",BI396&amp;""))</f>
        <v/>
      </c>
      <c r="AH396" s="0" t="str">
        <f aca="false">IF($A396="","",IF(AW396="Y",BX396&amp;"",BJ396&amp;""))</f>
        <v/>
      </c>
      <c r="AQ396" s="5"/>
      <c r="AT396" s="0" t="str">
        <f aca="false">IF($A396="","",IF(AND(CN396="pass",AQ396&lt;&gt;"Y",C396&lt;&gt;"",OR(AX396&lt;&gt;"Y",AV396="Y")),"Y","N"))</f>
        <v/>
      </c>
      <c r="AU396" s="0" t="str">
        <f aca="false">IF($A396="","",_xlfn.TEXTJOIN("; ",TRUE(),IF(CN396&lt;&gt;"pass","gated out",""),IF(AQ396="Y","on hold: "&amp;AR396,""),IF(C396="","no contact named on an opened page",""),IF(AND(AX396="Y",AV396&lt;&gt;"Y"),"Tuesday estimate band "&amp;L396&amp;": founder's call","")))</f>
        <v/>
      </c>
      <c r="BC396" s="0" t="str">
        <f aca="false">IF($A396="","",IFERROR(INDEX(Enrichment!$A$2:$GZ$2000,MATCH($A396,INDEX(Enrichment!$A$2:$GZ$2000,0,MATCH("row_id",Enrichment!$A$1:$GZ$1,0)),0),MATCH("work_email",Enrichment!$A$1:$GZ$1,0))&amp;"",""))</f>
        <v/>
      </c>
      <c r="BD396" s="0" t="str">
        <f aca="false">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Q396" s="0" t="str">
        <f aca="false">IF($A396="","",IFERROR(INDEX(Enrichment!$A$2:$GZ$2000,MATCH($A396,INDEX(Enrichment!$A$2:$GZ$2000,0,MATCH("row_id",Enrichment!$A$1:$GZ$1,0)),0),MATCH("backup_work_email",Enrichment!$A$1:$GZ$1,0))&amp;"",""))</f>
        <v/>
      </c>
      <c r="BR396" s="0" t="str">
        <f aca="false">IF($A396="","",IF(BQ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EQ396" s="0" t="str">
        <f aca="false">IF($A396="","",IF(AH396="exact",10,IF(AH396="adjacent",5,0)))</f>
        <v/>
      </c>
      <c r="ER396" s="0" t="str">
        <f aca="false">IF($A396="","",IF(R396="Y",15,0))</f>
        <v/>
      </c>
      <c r="FS396" s="0" t="str">
        <f aca="false">IF($A396="","",IF(ISNUMBER(MATCH(U396,{"queued","contacted","replied","call_booked","call_done","yes_in_principle","materials_sent"},0)),"Y","N"))</f>
        <v/>
      </c>
      <c r="FT396" s="0" t="str">
        <f aca="false">IF($A396="","",IF(OR(T396="Y",U396="do_not_contact",AS396&amp;""&lt;&gt;""),"Y","N"))</f>
        <v/>
      </c>
      <c r="FU396" s="0" t="str">
        <f aca="false">IF($A396="","",IF(AP396&amp;""&lt;&gt;"",AP396&amp;"",$A396))</f>
        <v/>
      </c>
      <c r="FV396" s="0" t="str">
        <f aca="false">IF($A396="","",IF(COUNTIFS($FU$2:$FU$1000,FU396,$FS$2:$FS$1000,"Y")+COUNTIFS($FU$2:$FU$1000,FU396,$FT$2:$FT$1000,"Y")&gt;0,"Y","N"))</f>
        <v/>
      </c>
      <c r="FW396" s="0" t="str">
        <f aca="false">IF($A396="","",IF(AND(U396="new",T396="N",FT396="N",AT396="Y",FV396="N"),"Y","N"))</f>
        <v/>
      </c>
      <c r="FX396" s="0" t="str">
        <f aca="false">IF($A396="","",IF(FW396&lt;&gt;"Y","N",IF(COUNTIFS($FU$2:$FU$1000,FU396,$FW$2:$FW$1000,"Y",$J$2:$J$1000,"&gt;"&amp;J396)+COUNTIFS($FU$2:$FU$1000,FU396,$FW$2:$FW$1000,"Y",$J$2:$J$1000,J396,$GD$2:$GD$1000,"&lt;"&amp;GD396)=0,"Y","N")))</f>
        <v/>
      </c>
      <c r="FY396" s="0" t="str">
        <f aca="false">IF($A396="","",IF(AND(FW396="Y",FX396="Y",Y396&amp;""&lt;&gt;""),IF(Y396&lt;=10,"Y","N"),"N"))</f>
        <v/>
      </c>
      <c r="FZ396" s="0" t="str">
        <f aca="false">IF(FY396="Y",Y396,"")</f>
        <v/>
      </c>
      <c r="GA396" s="0" t="str">
        <f aca="false">IF($A396="","",IF(AND(I396="walk-in",CN396="pass",U396="new",FT396="N",FV396="N",AQ396&lt;&gt;"Y"),"Y","N"))</f>
        <v/>
      </c>
      <c r="GB396" s="0" t="str">
        <f aca="false">IF(GA396&lt;&gt;"Y","",IF(COUNTIFS($GA$2:$GA$1000,"Y",$J$2:$J$1000,"&gt;"&amp;J396)+COUNTIFS($GA$2:$GA$1000,"Y",$J$2:$J$1000,J396,$GD$2:$GD$1000,"&lt;"&amp;GD396)+1&lt;=25,COUNTIFS($GA$2:$GA$1000,"Y",$J$2:$J$1000,"&gt;"&amp;J396)+COUNTIFS($GA$2:$GA$1000,"Y",$J$2:$J$1000,J396,$GD$2:$GD$1000,"&lt;"&amp;GD396)+1,""))</f>
        <v/>
      </c>
      <c r="GC396" s="0" t="str">
        <f aca="false">IF(AND(_xlfn.ISFORMULA(C396),_xlfn.ISFORMULA(J396)),"Y","N")</f>
        <v>Y</v>
      </c>
      <c r="GD396" s="0" t="n">
        <f aca="false">ROW()-1</f>
        <v>395</v>
      </c>
    </row>
    <row r="397" customFormat="false" ht="15" hidden="false" customHeight="false" outlineLevel="0" collapsed="false">
      <c r="C397" s="0" t="str">
        <f aca="false">IF($A397="","",IF(AW397="Y",BM397&amp;"",AY397&amp;""))</f>
        <v/>
      </c>
      <c r="D397" s="0" t="str">
        <f aca="false">IF($A397="","",IF(AW397="Y",BN397&amp;"",AZ397&amp;""))</f>
        <v/>
      </c>
      <c r="E397" s="0" t="str">
        <f aca="false">IF($A397="","",IF(AW397="Y",BO397&amp;"",BA397&amp;""))</f>
        <v/>
      </c>
      <c r="F397" s="0" t="str">
        <f aca="false">IF($A397="","",IF(AW397="Y",BP397&amp;"",BB397&amp;""))</f>
        <v/>
      </c>
      <c r="G397" s="0" t="str">
        <f aca="false">IF($A397="","",IF(AW397="Y",BQ397&amp;"",BC397&amp;""))</f>
        <v/>
      </c>
      <c r="H397" s="0" t="str">
        <f aca="false">IF($A397="","",IF(AW397="Y",BR397&amp;"",BD397&amp;""))</f>
        <v/>
      </c>
      <c r="I397" s="0" t="str">
        <f aca="false">IF($A397="","",IF(R397="Y","warm-intro",IF(H397="verified","email",IF(C397&lt;&gt;"","linkedin",CB397&amp;""))))</f>
        <v/>
      </c>
      <c r="J397" s="0" t="str">
        <f aca="false">IF($A397="","",IF(CN397="pass",ROUND(N(EM397)+N(EN397)+N(EO397)+N(EP397)+N(EQ397)+N(ER397),1),0))</f>
        <v/>
      </c>
      <c r="K397" s="0" t="str">
        <f aca="false">IF($A397="","",IF(CN397&lt;&gt;"pass",CA397&amp;"",CA397&amp;"; "&amp;IF(AW397="Y",BZ397&amp;"",BL397&amp;"")&amp;IF(R397="Y","; known to the founder (+15)","")&amp;"."))</f>
        <v/>
      </c>
      <c r="R397" s="5"/>
      <c r="U397" s="5"/>
      <c r="Y397" s="0" t="str">
        <f aca="false">IF(FX397&lt;&gt;"Y","",COUNTIFS($FX$2:$FX$1000,"Y",$J$2:$J$1000,"&gt;"&amp;J397)+COUNTIFS($FX$2:$FX$1000,"Y",$J$2:$J$1000,J397,$GD$2:$GD$1000,"&lt;"&amp;GD397)+1)</f>
        <v/>
      </c>
      <c r="AB397" s="0" t="str">
        <f aca="false">IF($A397="","",IF(AW397="Y",BY397&amp;"",BK397&amp;""))</f>
        <v/>
      </c>
      <c r="AC397" s="0" t="str">
        <f aca="false">IF($A397="","",IF(AW397="Y",BS397&amp;"",BE397&amp;""))</f>
        <v/>
      </c>
      <c r="AD397" s="0" t="str">
        <f aca="false">IF($A397="","",IF(AW397="Y",BT397&amp;"",BF397&amp;""))</f>
        <v/>
      </c>
      <c r="AE397" s="0" t="str">
        <f aca="false">IF($A397="","",IF(AW397="Y",BU397&amp;"",BG397&amp;""))</f>
        <v/>
      </c>
      <c r="AF397" s="0" t="str">
        <f aca="false">IF($A397="","",IF(AW397="Y",BV397&amp;"",BH397&amp;""))</f>
        <v/>
      </c>
      <c r="AG397" s="0" t="str">
        <f aca="false">IF($A397="","",IF(AW397="Y",BW397&amp;"",BI397&amp;""))</f>
        <v/>
      </c>
      <c r="AH397" s="0" t="str">
        <f aca="false">IF($A397="","",IF(AW397="Y",BX397&amp;"",BJ397&amp;""))</f>
        <v/>
      </c>
      <c r="AQ397" s="5"/>
      <c r="AT397" s="0" t="str">
        <f aca="false">IF($A397="","",IF(AND(CN397="pass",AQ397&lt;&gt;"Y",C397&lt;&gt;"",OR(AX397&lt;&gt;"Y",AV397="Y")),"Y","N"))</f>
        <v/>
      </c>
      <c r="AU397" s="0" t="str">
        <f aca="false">IF($A397="","",_xlfn.TEXTJOIN("; ",TRUE(),IF(CN397&lt;&gt;"pass","gated out",""),IF(AQ397="Y","on hold: "&amp;AR397,""),IF(C397="","no contact named on an opened page",""),IF(AND(AX397="Y",AV397&lt;&gt;"Y"),"Tuesday estimate band "&amp;L397&amp;": founder's call","")))</f>
        <v/>
      </c>
      <c r="BC397" s="0" t="str">
        <f aca="false">IF($A397="","",IFERROR(INDEX(Enrichment!$A$2:$GZ$2000,MATCH($A397,INDEX(Enrichment!$A$2:$GZ$2000,0,MATCH("row_id",Enrichment!$A$1:$GZ$1,0)),0),MATCH("work_email",Enrichment!$A$1:$GZ$1,0))&amp;"",""))</f>
        <v/>
      </c>
      <c r="BD397" s="0" t="str">
        <f aca="false">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Q397" s="0" t="str">
        <f aca="false">IF($A397="","",IFERROR(INDEX(Enrichment!$A$2:$GZ$2000,MATCH($A397,INDEX(Enrichment!$A$2:$GZ$2000,0,MATCH("row_id",Enrichment!$A$1:$GZ$1,0)),0),MATCH("backup_work_email",Enrichment!$A$1:$GZ$1,0))&amp;"",""))</f>
        <v/>
      </c>
      <c r="BR397" s="0" t="str">
        <f aca="false">IF($A397="","",IF(BQ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EQ397" s="0" t="str">
        <f aca="false">IF($A397="","",IF(AH397="exact",10,IF(AH397="adjacent",5,0)))</f>
        <v/>
      </c>
      <c r="ER397" s="0" t="str">
        <f aca="false">IF($A397="","",IF(R397="Y",15,0))</f>
        <v/>
      </c>
      <c r="FS397" s="0" t="str">
        <f aca="false">IF($A397="","",IF(ISNUMBER(MATCH(U397,{"queued","contacted","replied","call_booked","call_done","yes_in_principle","materials_sent"},0)),"Y","N"))</f>
        <v/>
      </c>
      <c r="FT397" s="0" t="str">
        <f aca="false">IF($A397="","",IF(OR(T397="Y",U397="do_not_contact",AS397&amp;""&lt;&gt;""),"Y","N"))</f>
        <v/>
      </c>
      <c r="FU397" s="0" t="str">
        <f aca="false">IF($A397="","",IF(AP397&amp;""&lt;&gt;"",AP397&amp;"",$A397))</f>
        <v/>
      </c>
      <c r="FV397" s="0" t="str">
        <f aca="false">IF($A397="","",IF(COUNTIFS($FU$2:$FU$1000,FU397,$FS$2:$FS$1000,"Y")+COUNTIFS($FU$2:$FU$1000,FU397,$FT$2:$FT$1000,"Y")&gt;0,"Y","N"))</f>
        <v/>
      </c>
      <c r="FW397" s="0" t="str">
        <f aca="false">IF($A397="","",IF(AND(U397="new",T397="N",FT397="N",AT397="Y",FV397="N"),"Y","N"))</f>
        <v/>
      </c>
      <c r="FX397" s="0" t="str">
        <f aca="false">IF($A397="","",IF(FW397&lt;&gt;"Y","N",IF(COUNTIFS($FU$2:$FU$1000,FU397,$FW$2:$FW$1000,"Y",$J$2:$J$1000,"&gt;"&amp;J397)+COUNTIFS($FU$2:$FU$1000,FU397,$FW$2:$FW$1000,"Y",$J$2:$J$1000,J397,$GD$2:$GD$1000,"&lt;"&amp;GD397)=0,"Y","N")))</f>
        <v/>
      </c>
      <c r="FY397" s="0" t="str">
        <f aca="false">IF($A397="","",IF(AND(FW397="Y",FX397="Y",Y397&amp;""&lt;&gt;""),IF(Y397&lt;=10,"Y","N"),"N"))</f>
        <v/>
      </c>
      <c r="FZ397" s="0" t="str">
        <f aca="false">IF(FY397="Y",Y397,"")</f>
        <v/>
      </c>
      <c r="GA397" s="0" t="str">
        <f aca="false">IF($A397="","",IF(AND(I397="walk-in",CN397="pass",U397="new",FT397="N",FV397="N",AQ397&lt;&gt;"Y"),"Y","N"))</f>
        <v/>
      </c>
      <c r="GB397" s="0" t="str">
        <f aca="false">IF(GA397&lt;&gt;"Y","",IF(COUNTIFS($GA$2:$GA$1000,"Y",$J$2:$J$1000,"&gt;"&amp;J397)+COUNTIFS($GA$2:$GA$1000,"Y",$J$2:$J$1000,J397,$GD$2:$GD$1000,"&lt;"&amp;GD397)+1&lt;=25,COUNTIFS($GA$2:$GA$1000,"Y",$J$2:$J$1000,"&gt;"&amp;J397)+COUNTIFS($GA$2:$GA$1000,"Y",$J$2:$J$1000,J397,$GD$2:$GD$1000,"&lt;"&amp;GD397)+1,""))</f>
        <v/>
      </c>
      <c r="GC397" s="0" t="str">
        <f aca="false">IF(AND(_xlfn.ISFORMULA(C397),_xlfn.ISFORMULA(J397)),"Y","N")</f>
        <v>Y</v>
      </c>
      <c r="GD397" s="0" t="n">
        <f aca="false">ROW()-1</f>
        <v>396</v>
      </c>
    </row>
    <row r="398" customFormat="false" ht="15" hidden="false" customHeight="false" outlineLevel="0" collapsed="false">
      <c r="C398" s="0" t="str">
        <f aca="false">IF($A398="","",IF(AW398="Y",BM398&amp;"",AY398&amp;""))</f>
        <v/>
      </c>
      <c r="D398" s="0" t="str">
        <f aca="false">IF($A398="","",IF(AW398="Y",BN398&amp;"",AZ398&amp;""))</f>
        <v/>
      </c>
      <c r="E398" s="0" t="str">
        <f aca="false">IF($A398="","",IF(AW398="Y",BO398&amp;"",BA398&amp;""))</f>
        <v/>
      </c>
      <c r="F398" s="0" t="str">
        <f aca="false">IF($A398="","",IF(AW398="Y",BP398&amp;"",BB398&amp;""))</f>
        <v/>
      </c>
      <c r="G398" s="0" t="str">
        <f aca="false">IF($A398="","",IF(AW398="Y",BQ398&amp;"",BC398&amp;""))</f>
        <v/>
      </c>
      <c r="H398" s="0" t="str">
        <f aca="false">IF($A398="","",IF(AW398="Y",BR398&amp;"",BD398&amp;""))</f>
        <v/>
      </c>
      <c r="I398" s="0" t="str">
        <f aca="false">IF($A398="","",IF(R398="Y","warm-intro",IF(H398="verified","email",IF(C398&lt;&gt;"","linkedin",CB398&amp;""))))</f>
        <v/>
      </c>
      <c r="J398" s="0" t="str">
        <f aca="false">IF($A398="","",IF(CN398="pass",ROUND(N(EM398)+N(EN398)+N(EO398)+N(EP398)+N(EQ398)+N(ER398),1),0))</f>
        <v/>
      </c>
      <c r="K398" s="0" t="str">
        <f aca="false">IF($A398="","",IF(CN398&lt;&gt;"pass",CA398&amp;"",CA398&amp;"; "&amp;IF(AW398="Y",BZ398&amp;"",BL398&amp;"")&amp;IF(R398="Y","; known to the founder (+15)","")&amp;"."))</f>
        <v/>
      </c>
      <c r="R398" s="5"/>
      <c r="U398" s="5"/>
      <c r="Y398" s="0" t="str">
        <f aca="false">IF(FX398&lt;&gt;"Y","",COUNTIFS($FX$2:$FX$1000,"Y",$J$2:$J$1000,"&gt;"&amp;J398)+COUNTIFS($FX$2:$FX$1000,"Y",$J$2:$J$1000,J398,$GD$2:$GD$1000,"&lt;"&amp;GD398)+1)</f>
        <v/>
      </c>
      <c r="AB398" s="0" t="str">
        <f aca="false">IF($A398="","",IF(AW398="Y",BY398&amp;"",BK398&amp;""))</f>
        <v/>
      </c>
      <c r="AC398" s="0" t="str">
        <f aca="false">IF($A398="","",IF(AW398="Y",BS398&amp;"",BE398&amp;""))</f>
        <v/>
      </c>
      <c r="AD398" s="0" t="str">
        <f aca="false">IF($A398="","",IF(AW398="Y",BT398&amp;"",BF398&amp;""))</f>
        <v/>
      </c>
      <c r="AE398" s="0" t="str">
        <f aca="false">IF($A398="","",IF(AW398="Y",BU398&amp;"",BG398&amp;""))</f>
        <v/>
      </c>
      <c r="AF398" s="0" t="str">
        <f aca="false">IF($A398="","",IF(AW398="Y",BV398&amp;"",BH398&amp;""))</f>
        <v/>
      </c>
      <c r="AG398" s="0" t="str">
        <f aca="false">IF($A398="","",IF(AW398="Y",BW398&amp;"",BI398&amp;""))</f>
        <v/>
      </c>
      <c r="AH398" s="0" t="str">
        <f aca="false">IF($A398="","",IF(AW398="Y",BX398&amp;"",BJ398&amp;""))</f>
        <v/>
      </c>
      <c r="AQ398" s="5"/>
      <c r="AT398" s="0" t="str">
        <f aca="false">IF($A398="","",IF(AND(CN398="pass",AQ398&lt;&gt;"Y",C398&lt;&gt;"",OR(AX398&lt;&gt;"Y",AV398="Y")),"Y","N"))</f>
        <v/>
      </c>
      <c r="AU398" s="0" t="str">
        <f aca="false">IF($A398="","",_xlfn.TEXTJOIN("; ",TRUE(),IF(CN398&lt;&gt;"pass","gated out",""),IF(AQ398="Y","on hold: "&amp;AR398,""),IF(C398="","no contact named on an opened page",""),IF(AND(AX398="Y",AV398&lt;&gt;"Y"),"Tuesday estimate band "&amp;L398&amp;": founder's call","")))</f>
        <v/>
      </c>
      <c r="BC398" s="0" t="str">
        <f aca="false">IF($A398="","",IFERROR(INDEX(Enrichment!$A$2:$GZ$2000,MATCH($A398,INDEX(Enrichment!$A$2:$GZ$2000,0,MATCH("row_id",Enrichment!$A$1:$GZ$1,0)),0),MATCH("work_email",Enrichment!$A$1:$GZ$1,0))&amp;"",""))</f>
        <v/>
      </c>
      <c r="BD398" s="0" t="str">
        <f aca="false">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Q398" s="0" t="str">
        <f aca="false">IF($A398="","",IFERROR(INDEX(Enrichment!$A$2:$GZ$2000,MATCH($A398,INDEX(Enrichment!$A$2:$GZ$2000,0,MATCH("row_id",Enrichment!$A$1:$GZ$1,0)),0),MATCH("backup_work_email",Enrichment!$A$1:$GZ$1,0))&amp;"",""))</f>
        <v/>
      </c>
      <c r="BR398" s="0" t="str">
        <f aca="false">IF($A398="","",IF(BQ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EQ398" s="0" t="str">
        <f aca="false">IF($A398="","",IF(AH398="exact",10,IF(AH398="adjacent",5,0)))</f>
        <v/>
      </c>
      <c r="ER398" s="0" t="str">
        <f aca="false">IF($A398="","",IF(R398="Y",15,0))</f>
        <v/>
      </c>
      <c r="FS398" s="0" t="str">
        <f aca="false">IF($A398="","",IF(ISNUMBER(MATCH(U398,{"queued","contacted","replied","call_booked","call_done","yes_in_principle","materials_sent"},0)),"Y","N"))</f>
        <v/>
      </c>
      <c r="FT398" s="0" t="str">
        <f aca="false">IF($A398="","",IF(OR(T398="Y",U398="do_not_contact",AS398&amp;""&lt;&gt;""),"Y","N"))</f>
        <v/>
      </c>
      <c r="FU398" s="0" t="str">
        <f aca="false">IF($A398="","",IF(AP398&amp;""&lt;&gt;"",AP398&amp;"",$A398))</f>
        <v/>
      </c>
      <c r="FV398" s="0" t="str">
        <f aca="false">IF($A398="","",IF(COUNTIFS($FU$2:$FU$1000,FU398,$FS$2:$FS$1000,"Y")+COUNTIFS($FU$2:$FU$1000,FU398,$FT$2:$FT$1000,"Y")&gt;0,"Y","N"))</f>
        <v/>
      </c>
      <c r="FW398" s="0" t="str">
        <f aca="false">IF($A398="","",IF(AND(U398="new",T398="N",FT398="N",AT398="Y",FV398="N"),"Y","N"))</f>
        <v/>
      </c>
      <c r="FX398" s="0" t="str">
        <f aca="false">IF($A398="","",IF(FW398&lt;&gt;"Y","N",IF(COUNTIFS($FU$2:$FU$1000,FU398,$FW$2:$FW$1000,"Y",$J$2:$J$1000,"&gt;"&amp;J398)+COUNTIFS($FU$2:$FU$1000,FU398,$FW$2:$FW$1000,"Y",$J$2:$J$1000,J398,$GD$2:$GD$1000,"&lt;"&amp;GD398)=0,"Y","N")))</f>
        <v/>
      </c>
      <c r="FY398" s="0" t="str">
        <f aca="false">IF($A398="","",IF(AND(FW398="Y",FX398="Y",Y398&amp;""&lt;&gt;""),IF(Y398&lt;=10,"Y","N"),"N"))</f>
        <v/>
      </c>
      <c r="FZ398" s="0" t="str">
        <f aca="false">IF(FY398="Y",Y398,"")</f>
        <v/>
      </c>
      <c r="GA398" s="0" t="str">
        <f aca="false">IF($A398="","",IF(AND(I398="walk-in",CN398="pass",U398="new",FT398="N",FV398="N",AQ398&lt;&gt;"Y"),"Y","N"))</f>
        <v/>
      </c>
      <c r="GB398" s="0" t="str">
        <f aca="false">IF(GA398&lt;&gt;"Y","",IF(COUNTIFS($GA$2:$GA$1000,"Y",$J$2:$J$1000,"&gt;"&amp;J398)+COUNTIFS($GA$2:$GA$1000,"Y",$J$2:$J$1000,J398,$GD$2:$GD$1000,"&lt;"&amp;GD398)+1&lt;=25,COUNTIFS($GA$2:$GA$1000,"Y",$J$2:$J$1000,"&gt;"&amp;J398)+COUNTIFS($GA$2:$GA$1000,"Y",$J$2:$J$1000,J398,$GD$2:$GD$1000,"&lt;"&amp;GD398)+1,""))</f>
        <v/>
      </c>
      <c r="GC398" s="0" t="str">
        <f aca="false">IF(AND(_xlfn.ISFORMULA(C398),_xlfn.ISFORMULA(J398)),"Y","N")</f>
        <v>Y</v>
      </c>
      <c r="GD398" s="0" t="n">
        <f aca="false">ROW()-1</f>
        <v>397</v>
      </c>
    </row>
    <row r="399" customFormat="false" ht="15" hidden="false" customHeight="false" outlineLevel="0" collapsed="false">
      <c r="C399" s="0" t="str">
        <f aca="false">IF($A399="","",IF(AW399="Y",BM399&amp;"",AY399&amp;""))</f>
        <v/>
      </c>
      <c r="D399" s="0" t="str">
        <f aca="false">IF($A399="","",IF(AW399="Y",BN399&amp;"",AZ399&amp;""))</f>
        <v/>
      </c>
      <c r="E399" s="0" t="str">
        <f aca="false">IF($A399="","",IF(AW399="Y",BO399&amp;"",BA399&amp;""))</f>
        <v/>
      </c>
      <c r="F399" s="0" t="str">
        <f aca="false">IF($A399="","",IF(AW399="Y",BP399&amp;"",BB399&amp;""))</f>
        <v/>
      </c>
      <c r="G399" s="0" t="str">
        <f aca="false">IF($A399="","",IF(AW399="Y",BQ399&amp;"",BC399&amp;""))</f>
        <v/>
      </c>
      <c r="H399" s="0" t="str">
        <f aca="false">IF($A399="","",IF(AW399="Y",BR399&amp;"",BD399&amp;""))</f>
        <v/>
      </c>
      <c r="I399" s="0" t="str">
        <f aca="false">IF($A399="","",IF(R399="Y","warm-intro",IF(H399="verified","email",IF(C399&lt;&gt;"","linkedin",CB399&amp;""))))</f>
        <v/>
      </c>
      <c r="J399" s="0" t="str">
        <f aca="false">IF($A399="","",IF(CN399="pass",ROUND(N(EM399)+N(EN399)+N(EO399)+N(EP399)+N(EQ399)+N(ER399),1),0))</f>
        <v/>
      </c>
      <c r="K399" s="0" t="str">
        <f aca="false">IF($A399="","",IF(CN399&lt;&gt;"pass",CA399&amp;"",CA399&amp;"; "&amp;IF(AW399="Y",BZ399&amp;"",BL399&amp;"")&amp;IF(R399="Y","; known to the founder (+15)","")&amp;"."))</f>
        <v/>
      </c>
      <c r="R399" s="5"/>
      <c r="U399" s="5"/>
      <c r="Y399" s="0" t="str">
        <f aca="false">IF(FX399&lt;&gt;"Y","",COUNTIFS($FX$2:$FX$1000,"Y",$J$2:$J$1000,"&gt;"&amp;J399)+COUNTIFS($FX$2:$FX$1000,"Y",$J$2:$J$1000,J399,$GD$2:$GD$1000,"&lt;"&amp;GD399)+1)</f>
        <v/>
      </c>
      <c r="AB399" s="0" t="str">
        <f aca="false">IF($A399="","",IF(AW399="Y",BY399&amp;"",BK399&amp;""))</f>
        <v/>
      </c>
      <c r="AC399" s="0" t="str">
        <f aca="false">IF($A399="","",IF(AW399="Y",BS399&amp;"",BE399&amp;""))</f>
        <v/>
      </c>
      <c r="AD399" s="0" t="str">
        <f aca="false">IF($A399="","",IF(AW399="Y",BT399&amp;"",BF399&amp;""))</f>
        <v/>
      </c>
      <c r="AE399" s="0" t="str">
        <f aca="false">IF($A399="","",IF(AW399="Y",BU399&amp;"",BG399&amp;""))</f>
        <v/>
      </c>
      <c r="AF399" s="0" t="str">
        <f aca="false">IF($A399="","",IF(AW399="Y",BV399&amp;"",BH399&amp;""))</f>
        <v/>
      </c>
      <c r="AG399" s="0" t="str">
        <f aca="false">IF($A399="","",IF(AW399="Y",BW399&amp;"",BI399&amp;""))</f>
        <v/>
      </c>
      <c r="AH399" s="0" t="str">
        <f aca="false">IF($A399="","",IF(AW399="Y",BX399&amp;"",BJ399&amp;""))</f>
        <v/>
      </c>
      <c r="AQ399" s="5"/>
      <c r="AT399" s="0" t="str">
        <f aca="false">IF($A399="","",IF(AND(CN399="pass",AQ399&lt;&gt;"Y",C399&lt;&gt;"",OR(AX399&lt;&gt;"Y",AV399="Y")),"Y","N"))</f>
        <v/>
      </c>
      <c r="AU399" s="0" t="str">
        <f aca="false">IF($A399="","",_xlfn.TEXTJOIN("; ",TRUE(),IF(CN399&lt;&gt;"pass","gated out",""),IF(AQ399="Y","on hold: "&amp;AR399,""),IF(C399="","no contact named on an opened page",""),IF(AND(AX399="Y",AV399&lt;&gt;"Y"),"Tuesday estimate band "&amp;L399&amp;": founder's call","")))</f>
        <v/>
      </c>
      <c r="BC399" s="0" t="str">
        <f aca="false">IF($A399="","",IFERROR(INDEX(Enrichment!$A$2:$GZ$2000,MATCH($A399,INDEX(Enrichment!$A$2:$GZ$2000,0,MATCH("row_id",Enrichment!$A$1:$GZ$1,0)),0),MATCH("work_email",Enrichment!$A$1:$GZ$1,0))&amp;"",""))</f>
        <v/>
      </c>
      <c r="BD399" s="0" t="str">
        <f aca="false">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Q399" s="0" t="str">
        <f aca="false">IF($A399="","",IFERROR(INDEX(Enrichment!$A$2:$GZ$2000,MATCH($A399,INDEX(Enrichment!$A$2:$GZ$2000,0,MATCH("row_id",Enrichment!$A$1:$GZ$1,0)),0),MATCH("backup_work_email",Enrichment!$A$1:$GZ$1,0))&amp;"",""))</f>
        <v/>
      </c>
      <c r="BR399" s="0" t="str">
        <f aca="false">IF($A399="","",IF(BQ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EQ399" s="0" t="str">
        <f aca="false">IF($A399="","",IF(AH399="exact",10,IF(AH399="adjacent",5,0)))</f>
        <v/>
      </c>
      <c r="ER399" s="0" t="str">
        <f aca="false">IF($A399="","",IF(R399="Y",15,0))</f>
        <v/>
      </c>
      <c r="FS399" s="0" t="str">
        <f aca="false">IF($A399="","",IF(ISNUMBER(MATCH(U399,{"queued","contacted","replied","call_booked","call_done","yes_in_principle","materials_sent"},0)),"Y","N"))</f>
        <v/>
      </c>
      <c r="FT399" s="0" t="str">
        <f aca="false">IF($A399="","",IF(OR(T399="Y",U399="do_not_contact",AS399&amp;""&lt;&gt;""),"Y","N"))</f>
        <v/>
      </c>
      <c r="FU399" s="0" t="str">
        <f aca="false">IF($A399="","",IF(AP399&amp;""&lt;&gt;"",AP399&amp;"",$A399))</f>
        <v/>
      </c>
      <c r="FV399" s="0" t="str">
        <f aca="false">IF($A399="","",IF(COUNTIFS($FU$2:$FU$1000,FU399,$FS$2:$FS$1000,"Y")+COUNTIFS($FU$2:$FU$1000,FU399,$FT$2:$FT$1000,"Y")&gt;0,"Y","N"))</f>
        <v/>
      </c>
      <c r="FW399" s="0" t="str">
        <f aca="false">IF($A399="","",IF(AND(U399="new",T399="N",FT399="N",AT399="Y",FV399="N"),"Y","N"))</f>
        <v/>
      </c>
      <c r="FX399" s="0" t="str">
        <f aca="false">IF($A399="","",IF(FW399&lt;&gt;"Y","N",IF(COUNTIFS($FU$2:$FU$1000,FU399,$FW$2:$FW$1000,"Y",$J$2:$J$1000,"&gt;"&amp;J399)+COUNTIFS($FU$2:$FU$1000,FU399,$FW$2:$FW$1000,"Y",$J$2:$J$1000,J399,$GD$2:$GD$1000,"&lt;"&amp;GD399)=0,"Y","N")))</f>
        <v/>
      </c>
      <c r="FY399" s="0" t="str">
        <f aca="false">IF($A399="","",IF(AND(FW399="Y",FX399="Y",Y399&amp;""&lt;&gt;""),IF(Y399&lt;=10,"Y","N"),"N"))</f>
        <v/>
      </c>
      <c r="FZ399" s="0" t="str">
        <f aca="false">IF(FY399="Y",Y399,"")</f>
        <v/>
      </c>
      <c r="GA399" s="0" t="str">
        <f aca="false">IF($A399="","",IF(AND(I399="walk-in",CN399="pass",U399="new",FT399="N",FV399="N",AQ399&lt;&gt;"Y"),"Y","N"))</f>
        <v/>
      </c>
      <c r="GB399" s="0" t="str">
        <f aca="false">IF(GA399&lt;&gt;"Y","",IF(COUNTIFS($GA$2:$GA$1000,"Y",$J$2:$J$1000,"&gt;"&amp;J399)+COUNTIFS($GA$2:$GA$1000,"Y",$J$2:$J$1000,J399,$GD$2:$GD$1000,"&lt;"&amp;GD399)+1&lt;=25,COUNTIFS($GA$2:$GA$1000,"Y",$J$2:$J$1000,"&gt;"&amp;J399)+COUNTIFS($GA$2:$GA$1000,"Y",$J$2:$J$1000,J399,$GD$2:$GD$1000,"&lt;"&amp;GD399)+1,""))</f>
        <v/>
      </c>
      <c r="GC399" s="0" t="str">
        <f aca="false">IF(AND(_xlfn.ISFORMULA(C399),_xlfn.ISFORMULA(J399)),"Y","N")</f>
        <v>Y</v>
      </c>
      <c r="GD399" s="0" t="n">
        <f aca="false">ROW()-1</f>
        <v>398</v>
      </c>
    </row>
    <row r="400" customFormat="false" ht="15" hidden="false" customHeight="false" outlineLevel="0" collapsed="false">
      <c r="C400" s="0" t="str">
        <f aca="false">IF($A400="","",IF(AW400="Y",BM400&amp;"",AY400&amp;""))</f>
        <v/>
      </c>
      <c r="D400" s="0" t="str">
        <f aca="false">IF($A400="","",IF(AW400="Y",BN400&amp;"",AZ400&amp;""))</f>
        <v/>
      </c>
      <c r="E400" s="0" t="str">
        <f aca="false">IF($A400="","",IF(AW400="Y",BO400&amp;"",BA400&amp;""))</f>
        <v/>
      </c>
      <c r="F400" s="0" t="str">
        <f aca="false">IF($A400="","",IF(AW400="Y",BP400&amp;"",BB400&amp;""))</f>
        <v/>
      </c>
      <c r="G400" s="0" t="str">
        <f aca="false">IF($A400="","",IF(AW400="Y",BQ400&amp;"",BC400&amp;""))</f>
        <v/>
      </c>
      <c r="H400" s="0" t="str">
        <f aca="false">IF($A400="","",IF(AW400="Y",BR400&amp;"",BD400&amp;""))</f>
        <v/>
      </c>
      <c r="I400" s="0" t="str">
        <f aca="false">IF($A400="","",IF(R400="Y","warm-intro",IF(H400="verified","email",IF(C400&lt;&gt;"","linkedin",CB400&amp;""))))</f>
        <v/>
      </c>
      <c r="J400" s="0" t="str">
        <f aca="false">IF($A400="","",IF(CN400="pass",ROUND(N(EM400)+N(EN400)+N(EO400)+N(EP400)+N(EQ400)+N(ER400),1),0))</f>
        <v/>
      </c>
      <c r="K400" s="0" t="str">
        <f aca="false">IF($A400="","",IF(CN400&lt;&gt;"pass",CA400&amp;"",CA400&amp;"; "&amp;IF(AW400="Y",BZ400&amp;"",BL400&amp;"")&amp;IF(R400="Y","; known to the founder (+15)","")&amp;"."))</f>
        <v/>
      </c>
      <c r="R400" s="5"/>
      <c r="U400" s="5"/>
      <c r="Y400" s="0" t="str">
        <f aca="false">IF(FX400&lt;&gt;"Y","",COUNTIFS($FX$2:$FX$1000,"Y",$J$2:$J$1000,"&gt;"&amp;J400)+COUNTIFS($FX$2:$FX$1000,"Y",$J$2:$J$1000,J400,$GD$2:$GD$1000,"&lt;"&amp;GD400)+1)</f>
        <v/>
      </c>
      <c r="AB400" s="0" t="str">
        <f aca="false">IF($A400="","",IF(AW400="Y",BY400&amp;"",BK400&amp;""))</f>
        <v/>
      </c>
      <c r="AC400" s="0" t="str">
        <f aca="false">IF($A400="","",IF(AW400="Y",BS400&amp;"",BE400&amp;""))</f>
        <v/>
      </c>
      <c r="AD400" s="0" t="str">
        <f aca="false">IF($A400="","",IF(AW400="Y",BT400&amp;"",BF400&amp;""))</f>
        <v/>
      </c>
      <c r="AE400" s="0" t="str">
        <f aca="false">IF($A400="","",IF(AW400="Y",BU400&amp;"",BG400&amp;""))</f>
        <v/>
      </c>
      <c r="AF400" s="0" t="str">
        <f aca="false">IF($A400="","",IF(AW400="Y",BV400&amp;"",BH400&amp;""))</f>
        <v/>
      </c>
      <c r="AG400" s="0" t="str">
        <f aca="false">IF($A400="","",IF(AW400="Y",BW400&amp;"",BI400&amp;""))</f>
        <v/>
      </c>
      <c r="AH400" s="0" t="str">
        <f aca="false">IF($A400="","",IF(AW400="Y",BX400&amp;"",BJ400&amp;""))</f>
        <v/>
      </c>
      <c r="AQ400" s="5"/>
      <c r="AT400" s="0" t="str">
        <f aca="false">IF($A400="","",IF(AND(CN400="pass",AQ400&lt;&gt;"Y",C400&lt;&gt;"",OR(AX400&lt;&gt;"Y",AV400="Y")),"Y","N"))</f>
        <v/>
      </c>
      <c r="AU400" s="0" t="str">
        <f aca="false">IF($A400="","",_xlfn.TEXTJOIN("; ",TRUE(),IF(CN400&lt;&gt;"pass","gated out",""),IF(AQ400="Y","on hold: "&amp;AR400,""),IF(C400="","no contact named on an opened page",""),IF(AND(AX400="Y",AV400&lt;&gt;"Y"),"Tuesday estimate band "&amp;L400&amp;": founder's call","")))</f>
        <v/>
      </c>
      <c r="BC400" s="0" t="str">
        <f aca="false">IF($A400="","",IFERROR(INDEX(Enrichment!$A$2:$GZ$2000,MATCH($A400,INDEX(Enrichment!$A$2:$GZ$2000,0,MATCH("row_id",Enrichment!$A$1:$GZ$1,0)),0),MATCH("work_email",Enrichment!$A$1:$GZ$1,0))&amp;"",""))</f>
        <v/>
      </c>
      <c r="BD400" s="0" t="str">
        <f aca="false">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Q400" s="0" t="str">
        <f aca="false">IF($A400="","",IFERROR(INDEX(Enrichment!$A$2:$GZ$2000,MATCH($A400,INDEX(Enrichment!$A$2:$GZ$2000,0,MATCH("row_id",Enrichment!$A$1:$GZ$1,0)),0),MATCH("backup_work_email",Enrichment!$A$1:$GZ$1,0))&amp;"",""))</f>
        <v/>
      </c>
      <c r="BR400" s="0" t="str">
        <f aca="false">IF($A400="","",IF(BQ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EQ400" s="0" t="str">
        <f aca="false">IF($A400="","",IF(AH400="exact",10,IF(AH400="adjacent",5,0)))</f>
        <v/>
      </c>
      <c r="ER400" s="0" t="str">
        <f aca="false">IF($A400="","",IF(R400="Y",15,0))</f>
        <v/>
      </c>
      <c r="FS400" s="0" t="str">
        <f aca="false">IF($A400="","",IF(ISNUMBER(MATCH(U400,{"queued","contacted","replied","call_booked","call_done","yes_in_principle","materials_sent"},0)),"Y","N"))</f>
        <v/>
      </c>
      <c r="FT400" s="0" t="str">
        <f aca="false">IF($A400="","",IF(OR(T400="Y",U400="do_not_contact",AS400&amp;""&lt;&gt;""),"Y","N"))</f>
        <v/>
      </c>
      <c r="FU400" s="0" t="str">
        <f aca="false">IF($A400="","",IF(AP400&amp;""&lt;&gt;"",AP400&amp;"",$A400))</f>
        <v/>
      </c>
      <c r="FV400" s="0" t="str">
        <f aca="false">IF($A400="","",IF(COUNTIFS($FU$2:$FU$1000,FU400,$FS$2:$FS$1000,"Y")+COUNTIFS($FU$2:$FU$1000,FU400,$FT$2:$FT$1000,"Y")&gt;0,"Y","N"))</f>
        <v/>
      </c>
      <c r="FW400" s="0" t="str">
        <f aca="false">IF($A400="","",IF(AND(U400="new",T400="N",FT400="N",AT400="Y",FV400="N"),"Y","N"))</f>
        <v/>
      </c>
      <c r="FX400" s="0" t="str">
        <f aca="false">IF($A400="","",IF(FW400&lt;&gt;"Y","N",IF(COUNTIFS($FU$2:$FU$1000,FU400,$FW$2:$FW$1000,"Y",$J$2:$J$1000,"&gt;"&amp;J400)+COUNTIFS($FU$2:$FU$1000,FU400,$FW$2:$FW$1000,"Y",$J$2:$J$1000,J400,$GD$2:$GD$1000,"&lt;"&amp;GD400)=0,"Y","N")))</f>
        <v/>
      </c>
      <c r="FY400" s="0" t="str">
        <f aca="false">IF($A400="","",IF(AND(FW400="Y",FX400="Y",Y400&amp;""&lt;&gt;""),IF(Y400&lt;=10,"Y","N"),"N"))</f>
        <v/>
      </c>
      <c r="FZ400" s="0" t="str">
        <f aca="false">IF(FY400="Y",Y400,"")</f>
        <v/>
      </c>
      <c r="GA400" s="0" t="str">
        <f aca="false">IF($A400="","",IF(AND(I400="walk-in",CN400="pass",U400="new",FT400="N",FV400="N",AQ400&lt;&gt;"Y"),"Y","N"))</f>
        <v/>
      </c>
      <c r="GB400" s="0" t="str">
        <f aca="false">IF(GA400&lt;&gt;"Y","",IF(COUNTIFS($GA$2:$GA$1000,"Y",$J$2:$J$1000,"&gt;"&amp;J400)+COUNTIFS($GA$2:$GA$1000,"Y",$J$2:$J$1000,J400,$GD$2:$GD$1000,"&lt;"&amp;GD400)+1&lt;=25,COUNTIFS($GA$2:$GA$1000,"Y",$J$2:$J$1000,"&gt;"&amp;J400)+COUNTIFS($GA$2:$GA$1000,"Y",$J$2:$J$1000,J400,$GD$2:$GD$1000,"&lt;"&amp;GD400)+1,""))</f>
        <v/>
      </c>
      <c r="GC400" s="0" t="str">
        <f aca="false">IF(AND(_xlfn.ISFORMULA(C400),_xlfn.ISFORMULA(J400)),"Y","N")</f>
        <v>Y</v>
      </c>
      <c r="GD400" s="0" t="n">
        <f aca="false">ROW()-1</f>
        <v>399</v>
      </c>
    </row>
    <row r="401" customFormat="false" ht="15" hidden="false" customHeight="false" outlineLevel="0" collapsed="false">
      <c r="C401" s="0" t="str">
        <f aca="false">IF($A401="","",IF(AW401="Y",BM401&amp;"",AY401&amp;""))</f>
        <v/>
      </c>
      <c r="D401" s="0" t="str">
        <f aca="false">IF($A401="","",IF(AW401="Y",BN401&amp;"",AZ401&amp;""))</f>
        <v/>
      </c>
      <c r="E401" s="0" t="str">
        <f aca="false">IF($A401="","",IF(AW401="Y",BO401&amp;"",BA401&amp;""))</f>
        <v/>
      </c>
      <c r="F401" s="0" t="str">
        <f aca="false">IF($A401="","",IF(AW401="Y",BP401&amp;"",BB401&amp;""))</f>
        <v/>
      </c>
      <c r="G401" s="0" t="str">
        <f aca="false">IF($A401="","",IF(AW401="Y",BQ401&amp;"",BC401&amp;""))</f>
        <v/>
      </c>
      <c r="H401" s="0" t="str">
        <f aca="false">IF($A401="","",IF(AW401="Y",BR401&amp;"",BD401&amp;""))</f>
        <v/>
      </c>
      <c r="I401" s="0" t="str">
        <f aca="false">IF($A401="","",IF(R401="Y","warm-intro",IF(H401="verified","email",IF(C401&lt;&gt;"","linkedin",CB401&amp;""))))</f>
        <v/>
      </c>
      <c r="J401" s="0" t="str">
        <f aca="false">IF($A401="","",IF(CN401="pass",ROUND(N(EM401)+N(EN401)+N(EO401)+N(EP401)+N(EQ401)+N(ER401),1),0))</f>
        <v/>
      </c>
      <c r="K401" s="0" t="str">
        <f aca="false">IF($A401="","",IF(CN401&lt;&gt;"pass",CA401&amp;"",CA401&amp;"; "&amp;IF(AW401="Y",BZ401&amp;"",BL401&amp;"")&amp;IF(R401="Y","; known to the founder (+15)","")&amp;"."))</f>
        <v/>
      </c>
      <c r="R401" s="5"/>
      <c r="U401" s="5"/>
      <c r="Y401" s="0" t="str">
        <f aca="false">IF(FX401&lt;&gt;"Y","",COUNTIFS($FX$2:$FX$1000,"Y",$J$2:$J$1000,"&gt;"&amp;J401)+COUNTIFS($FX$2:$FX$1000,"Y",$J$2:$J$1000,J401,$GD$2:$GD$1000,"&lt;"&amp;GD401)+1)</f>
        <v/>
      </c>
      <c r="AB401" s="0" t="str">
        <f aca="false">IF($A401="","",IF(AW401="Y",BY401&amp;"",BK401&amp;""))</f>
        <v/>
      </c>
      <c r="AC401" s="0" t="str">
        <f aca="false">IF($A401="","",IF(AW401="Y",BS401&amp;"",BE401&amp;""))</f>
        <v/>
      </c>
      <c r="AD401" s="0" t="str">
        <f aca="false">IF($A401="","",IF(AW401="Y",BT401&amp;"",BF401&amp;""))</f>
        <v/>
      </c>
      <c r="AE401" s="0" t="str">
        <f aca="false">IF($A401="","",IF(AW401="Y",BU401&amp;"",BG401&amp;""))</f>
        <v/>
      </c>
      <c r="AF401" s="0" t="str">
        <f aca="false">IF($A401="","",IF(AW401="Y",BV401&amp;"",BH401&amp;""))</f>
        <v/>
      </c>
      <c r="AG401" s="0" t="str">
        <f aca="false">IF($A401="","",IF(AW401="Y",BW401&amp;"",BI401&amp;""))</f>
        <v/>
      </c>
      <c r="AH401" s="0" t="str">
        <f aca="false">IF($A401="","",IF(AW401="Y",BX401&amp;"",BJ401&amp;""))</f>
        <v/>
      </c>
      <c r="AQ401" s="5"/>
      <c r="AT401" s="0" t="str">
        <f aca="false">IF($A401="","",IF(AND(CN401="pass",AQ401&lt;&gt;"Y",C401&lt;&gt;"",OR(AX401&lt;&gt;"Y",AV401="Y")),"Y","N"))</f>
        <v/>
      </c>
      <c r="AU401" s="0" t="str">
        <f aca="false">IF($A401="","",_xlfn.TEXTJOIN("; ",TRUE(),IF(CN401&lt;&gt;"pass","gated out",""),IF(AQ401="Y","on hold: "&amp;AR401,""),IF(C401="","no contact named on an opened page",""),IF(AND(AX401="Y",AV401&lt;&gt;"Y"),"Tuesday estimate band "&amp;L401&amp;": founder's call","")))</f>
        <v/>
      </c>
      <c r="BC401" s="0" t="str">
        <f aca="false">IF($A401="","",IFERROR(INDEX(Enrichment!$A$2:$GZ$2000,MATCH($A401,INDEX(Enrichment!$A$2:$GZ$2000,0,MATCH("row_id",Enrichment!$A$1:$GZ$1,0)),0),MATCH("work_email",Enrichment!$A$1:$GZ$1,0))&amp;"",""))</f>
        <v/>
      </c>
      <c r="BD401" s="0" t="str">
        <f aca="false">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Q401" s="0" t="str">
        <f aca="false">IF($A401="","",IFERROR(INDEX(Enrichment!$A$2:$GZ$2000,MATCH($A401,INDEX(Enrichment!$A$2:$GZ$2000,0,MATCH("row_id",Enrichment!$A$1:$GZ$1,0)),0),MATCH("backup_work_email",Enrichment!$A$1:$GZ$1,0))&amp;"",""))</f>
        <v/>
      </c>
      <c r="BR401" s="0" t="str">
        <f aca="false">IF($A401="","",IF(BQ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EQ401" s="0" t="str">
        <f aca="false">IF($A401="","",IF(AH401="exact",10,IF(AH401="adjacent",5,0)))</f>
        <v/>
      </c>
      <c r="ER401" s="0" t="str">
        <f aca="false">IF($A401="","",IF(R401="Y",15,0))</f>
        <v/>
      </c>
      <c r="FS401" s="0" t="str">
        <f aca="false">IF($A401="","",IF(ISNUMBER(MATCH(U401,{"queued","contacted","replied","call_booked","call_done","yes_in_principle","materials_sent"},0)),"Y","N"))</f>
        <v/>
      </c>
      <c r="FT401" s="0" t="str">
        <f aca="false">IF($A401="","",IF(OR(T401="Y",U401="do_not_contact",AS401&amp;""&lt;&gt;""),"Y","N"))</f>
        <v/>
      </c>
      <c r="FU401" s="0" t="str">
        <f aca="false">IF($A401="","",IF(AP401&amp;""&lt;&gt;"",AP401&amp;"",$A401))</f>
        <v/>
      </c>
      <c r="FV401" s="0" t="str">
        <f aca="false">IF($A401="","",IF(COUNTIFS($FU$2:$FU$1000,FU401,$FS$2:$FS$1000,"Y")+COUNTIFS($FU$2:$FU$1000,FU401,$FT$2:$FT$1000,"Y")&gt;0,"Y","N"))</f>
        <v/>
      </c>
      <c r="FW401" s="0" t="str">
        <f aca="false">IF($A401="","",IF(AND(U401="new",T401="N",FT401="N",AT401="Y",FV401="N"),"Y","N"))</f>
        <v/>
      </c>
      <c r="FX401" s="0" t="str">
        <f aca="false">IF($A401="","",IF(FW401&lt;&gt;"Y","N",IF(COUNTIFS($FU$2:$FU$1000,FU401,$FW$2:$FW$1000,"Y",$J$2:$J$1000,"&gt;"&amp;J401)+COUNTIFS($FU$2:$FU$1000,FU401,$FW$2:$FW$1000,"Y",$J$2:$J$1000,J401,$GD$2:$GD$1000,"&lt;"&amp;GD401)=0,"Y","N")))</f>
        <v/>
      </c>
      <c r="FY401" s="0" t="str">
        <f aca="false">IF($A401="","",IF(AND(FW401="Y",FX401="Y",Y401&amp;""&lt;&gt;""),IF(Y401&lt;=10,"Y","N"),"N"))</f>
        <v/>
      </c>
      <c r="FZ401" s="0" t="str">
        <f aca="false">IF(FY401="Y",Y401,"")</f>
        <v/>
      </c>
      <c r="GA401" s="0" t="str">
        <f aca="false">IF($A401="","",IF(AND(I401="walk-in",CN401="pass",U401="new",FT401="N",FV401="N",AQ401&lt;&gt;"Y"),"Y","N"))</f>
        <v/>
      </c>
      <c r="GB401" s="0" t="str">
        <f aca="false">IF(GA401&lt;&gt;"Y","",IF(COUNTIFS($GA$2:$GA$1000,"Y",$J$2:$J$1000,"&gt;"&amp;J401)+COUNTIFS($GA$2:$GA$1000,"Y",$J$2:$J$1000,J401,$GD$2:$GD$1000,"&lt;"&amp;GD401)+1&lt;=25,COUNTIFS($GA$2:$GA$1000,"Y",$J$2:$J$1000,"&gt;"&amp;J401)+COUNTIFS($GA$2:$GA$1000,"Y",$J$2:$J$1000,J401,$GD$2:$GD$1000,"&lt;"&amp;GD401)+1,""))</f>
        <v/>
      </c>
      <c r="GC401" s="0" t="str">
        <f aca="false">IF(AND(_xlfn.ISFORMULA(C401),_xlfn.ISFORMULA(J401)),"Y","N")</f>
        <v>Y</v>
      </c>
      <c r="GD401" s="0" t="n">
        <f aca="false">ROW()-1</f>
        <v>400</v>
      </c>
    </row>
    <row r="402" customFormat="false" ht="15" hidden="false" customHeight="false" outlineLevel="0" collapsed="false">
      <c r="C402" s="0" t="str">
        <f aca="false">IF($A402="","",IF(AW402="Y",BM402&amp;"",AY402&amp;""))</f>
        <v/>
      </c>
      <c r="D402" s="0" t="str">
        <f aca="false">IF($A402="","",IF(AW402="Y",BN402&amp;"",AZ402&amp;""))</f>
        <v/>
      </c>
      <c r="E402" s="0" t="str">
        <f aca="false">IF($A402="","",IF(AW402="Y",BO402&amp;"",BA402&amp;""))</f>
        <v/>
      </c>
      <c r="F402" s="0" t="str">
        <f aca="false">IF($A402="","",IF(AW402="Y",BP402&amp;"",BB402&amp;""))</f>
        <v/>
      </c>
      <c r="G402" s="0" t="str">
        <f aca="false">IF($A402="","",IF(AW402="Y",BQ402&amp;"",BC402&amp;""))</f>
        <v/>
      </c>
      <c r="H402" s="0" t="str">
        <f aca="false">IF($A402="","",IF(AW402="Y",BR402&amp;"",BD402&amp;""))</f>
        <v/>
      </c>
      <c r="I402" s="0" t="str">
        <f aca="false">IF($A402="","",IF(R402="Y","warm-intro",IF(H402="verified","email",IF(C402&lt;&gt;"","linkedin",CB402&amp;""))))</f>
        <v/>
      </c>
      <c r="J402" s="0" t="str">
        <f aca="false">IF($A402="","",IF(CN402="pass",ROUND(N(EM402)+N(EN402)+N(EO402)+N(EP402)+N(EQ402)+N(ER402),1),0))</f>
        <v/>
      </c>
      <c r="K402" s="0" t="str">
        <f aca="false">IF($A402="","",IF(CN402&lt;&gt;"pass",CA402&amp;"",CA402&amp;"; "&amp;IF(AW402="Y",BZ402&amp;"",BL402&amp;"")&amp;IF(R402="Y","; known to the founder (+15)","")&amp;"."))</f>
        <v/>
      </c>
      <c r="R402" s="5"/>
      <c r="U402" s="5"/>
      <c r="Y402" s="0" t="str">
        <f aca="false">IF(FX402&lt;&gt;"Y","",COUNTIFS($FX$2:$FX$1000,"Y",$J$2:$J$1000,"&gt;"&amp;J402)+COUNTIFS($FX$2:$FX$1000,"Y",$J$2:$J$1000,J402,$GD$2:$GD$1000,"&lt;"&amp;GD402)+1)</f>
        <v/>
      </c>
      <c r="AB402" s="0" t="str">
        <f aca="false">IF($A402="","",IF(AW402="Y",BY402&amp;"",BK402&amp;""))</f>
        <v/>
      </c>
      <c r="AC402" s="0" t="str">
        <f aca="false">IF($A402="","",IF(AW402="Y",BS402&amp;"",BE402&amp;""))</f>
        <v/>
      </c>
      <c r="AD402" s="0" t="str">
        <f aca="false">IF($A402="","",IF(AW402="Y",BT402&amp;"",BF402&amp;""))</f>
        <v/>
      </c>
      <c r="AE402" s="0" t="str">
        <f aca="false">IF($A402="","",IF(AW402="Y",BU402&amp;"",BG402&amp;""))</f>
        <v/>
      </c>
      <c r="AF402" s="0" t="str">
        <f aca="false">IF($A402="","",IF(AW402="Y",BV402&amp;"",BH402&amp;""))</f>
        <v/>
      </c>
      <c r="AG402" s="0" t="str">
        <f aca="false">IF($A402="","",IF(AW402="Y",BW402&amp;"",BI402&amp;""))</f>
        <v/>
      </c>
      <c r="AH402" s="0" t="str">
        <f aca="false">IF($A402="","",IF(AW402="Y",BX402&amp;"",BJ402&amp;""))</f>
        <v/>
      </c>
      <c r="AQ402" s="5"/>
      <c r="AT402" s="0" t="str">
        <f aca="false">IF($A402="","",IF(AND(CN402="pass",AQ402&lt;&gt;"Y",C402&lt;&gt;"",OR(AX402&lt;&gt;"Y",AV402="Y")),"Y","N"))</f>
        <v/>
      </c>
      <c r="AU402" s="0" t="str">
        <f aca="false">IF($A402="","",_xlfn.TEXTJOIN("; ",TRUE(),IF(CN402&lt;&gt;"pass","gated out",""),IF(AQ402="Y","on hold: "&amp;AR402,""),IF(C402="","no contact named on an opened page",""),IF(AND(AX402="Y",AV402&lt;&gt;"Y"),"Tuesday estimate band "&amp;L402&amp;": founder's call","")))</f>
        <v/>
      </c>
      <c r="BC402" s="0" t="str">
        <f aca="false">IF($A402="","",IFERROR(INDEX(Enrichment!$A$2:$GZ$2000,MATCH($A402,INDEX(Enrichment!$A$2:$GZ$2000,0,MATCH("row_id",Enrichment!$A$1:$GZ$1,0)),0),MATCH("work_email",Enrichment!$A$1:$GZ$1,0))&amp;"",""))</f>
        <v/>
      </c>
      <c r="BD402" s="0" t="str">
        <f aca="false">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Q402" s="0" t="str">
        <f aca="false">IF($A402="","",IFERROR(INDEX(Enrichment!$A$2:$GZ$2000,MATCH($A402,INDEX(Enrichment!$A$2:$GZ$2000,0,MATCH("row_id",Enrichment!$A$1:$GZ$1,0)),0),MATCH("backup_work_email",Enrichment!$A$1:$GZ$1,0))&amp;"",""))</f>
        <v/>
      </c>
      <c r="BR402" s="0" t="str">
        <f aca="false">IF($A402="","",IF(BQ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EQ402" s="0" t="str">
        <f aca="false">IF($A402="","",IF(AH402="exact",10,IF(AH402="adjacent",5,0)))</f>
        <v/>
      </c>
      <c r="ER402" s="0" t="str">
        <f aca="false">IF($A402="","",IF(R402="Y",15,0))</f>
        <v/>
      </c>
      <c r="FS402" s="0" t="str">
        <f aca="false">IF($A402="","",IF(ISNUMBER(MATCH(U402,{"queued","contacted","replied","call_booked","call_done","yes_in_principle","materials_sent"},0)),"Y","N"))</f>
        <v/>
      </c>
      <c r="FT402" s="0" t="str">
        <f aca="false">IF($A402="","",IF(OR(T402="Y",U402="do_not_contact",AS402&amp;""&lt;&gt;""),"Y","N"))</f>
        <v/>
      </c>
      <c r="FU402" s="0" t="str">
        <f aca="false">IF($A402="","",IF(AP402&amp;""&lt;&gt;"",AP402&amp;"",$A402))</f>
        <v/>
      </c>
      <c r="FV402" s="0" t="str">
        <f aca="false">IF($A402="","",IF(COUNTIFS($FU$2:$FU$1000,FU402,$FS$2:$FS$1000,"Y")+COUNTIFS($FU$2:$FU$1000,FU402,$FT$2:$FT$1000,"Y")&gt;0,"Y","N"))</f>
        <v/>
      </c>
      <c r="FW402" s="0" t="str">
        <f aca="false">IF($A402="","",IF(AND(U402="new",T402="N",FT402="N",AT402="Y",FV402="N"),"Y","N"))</f>
        <v/>
      </c>
      <c r="FX402" s="0" t="str">
        <f aca="false">IF($A402="","",IF(FW402&lt;&gt;"Y","N",IF(COUNTIFS($FU$2:$FU$1000,FU402,$FW$2:$FW$1000,"Y",$J$2:$J$1000,"&gt;"&amp;J402)+COUNTIFS($FU$2:$FU$1000,FU402,$FW$2:$FW$1000,"Y",$J$2:$J$1000,J402,$GD$2:$GD$1000,"&lt;"&amp;GD402)=0,"Y","N")))</f>
        <v/>
      </c>
      <c r="FY402" s="0" t="str">
        <f aca="false">IF($A402="","",IF(AND(FW402="Y",FX402="Y",Y402&amp;""&lt;&gt;""),IF(Y402&lt;=10,"Y","N"),"N"))</f>
        <v/>
      </c>
      <c r="FZ402" s="0" t="str">
        <f aca="false">IF(FY402="Y",Y402,"")</f>
        <v/>
      </c>
      <c r="GA402" s="0" t="str">
        <f aca="false">IF($A402="","",IF(AND(I402="walk-in",CN402="pass",U402="new",FT402="N",FV402="N",AQ402&lt;&gt;"Y"),"Y","N"))</f>
        <v/>
      </c>
      <c r="GB402" s="0" t="str">
        <f aca="false">IF(GA402&lt;&gt;"Y","",IF(COUNTIFS($GA$2:$GA$1000,"Y",$J$2:$J$1000,"&gt;"&amp;J402)+COUNTIFS($GA$2:$GA$1000,"Y",$J$2:$J$1000,J402,$GD$2:$GD$1000,"&lt;"&amp;GD402)+1&lt;=25,COUNTIFS($GA$2:$GA$1000,"Y",$J$2:$J$1000,"&gt;"&amp;J402)+COUNTIFS($GA$2:$GA$1000,"Y",$J$2:$J$1000,J402,$GD$2:$GD$1000,"&lt;"&amp;GD402)+1,""))</f>
        <v/>
      </c>
      <c r="GC402" s="0" t="str">
        <f aca="false">IF(AND(_xlfn.ISFORMULA(C402),_xlfn.ISFORMULA(J402)),"Y","N")</f>
        <v>Y</v>
      </c>
      <c r="GD402" s="0" t="n">
        <f aca="false">ROW()-1</f>
        <v>401</v>
      </c>
    </row>
    <row r="403" customFormat="false" ht="15" hidden="false" customHeight="false" outlineLevel="0" collapsed="false">
      <c r="C403" s="0" t="str">
        <f aca="false">IF($A403="","",IF(AW403="Y",BM403&amp;"",AY403&amp;""))</f>
        <v/>
      </c>
      <c r="D403" s="0" t="str">
        <f aca="false">IF($A403="","",IF(AW403="Y",BN403&amp;"",AZ403&amp;""))</f>
        <v/>
      </c>
      <c r="E403" s="0" t="str">
        <f aca="false">IF($A403="","",IF(AW403="Y",BO403&amp;"",BA403&amp;""))</f>
        <v/>
      </c>
      <c r="F403" s="0" t="str">
        <f aca="false">IF($A403="","",IF(AW403="Y",BP403&amp;"",BB403&amp;""))</f>
        <v/>
      </c>
      <c r="G403" s="0" t="str">
        <f aca="false">IF($A403="","",IF(AW403="Y",BQ403&amp;"",BC403&amp;""))</f>
        <v/>
      </c>
      <c r="H403" s="0" t="str">
        <f aca="false">IF($A403="","",IF(AW403="Y",BR403&amp;"",BD403&amp;""))</f>
        <v/>
      </c>
      <c r="I403" s="0" t="str">
        <f aca="false">IF($A403="","",IF(R403="Y","warm-intro",IF(H403="verified","email",IF(C403&lt;&gt;"","linkedin",CB403&amp;""))))</f>
        <v/>
      </c>
      <c r="J403" s="0" t="str">
        <f aca="false">IF($A403="","",IF(CN403="pass",ROUND(N(EM403)+N(EN403)+N(EO403)+N(EP403)+N(EQ403)+N(ER403),1),0))</f>
        <v/>
      </c>
      <c r="K403" s="0" t="str">
        <f aca="false">IF($A403="","",IF(CN403&lt;&gt;"pass",CA403&amp;"",CA403&amp;"; "&amp;IF(AW403="Y",BZ403&amp;"",BL403&amp;"")&amp;IF(R403="Y","; known to the founder (+15)","")&amp;"."))</f>
        <v/>
      </c>
      <c r="R403" s="5"/>
      <c r="U403" s="5"/>
      <c r="Y403" s="0" t="str">
        <f aca="false">IF(FX403&lt;&gt;"Y","",COUNTIFS($FX$2:$FX$1000,"Y",$J$2:$J$1000,"&gt;"&amp;J403)+COUNTIFS($FX$2:$FX$1000,"Y",$J$2:$J$1000,J403,$GD$2:$GD$1000,"&lt;"&amp;GD403)+1)</f>
        <v/>
      </c>
      <c r="AB403" s="0" t="str">
        <f aca="false">IF($A403="","",IF(AW403="Y",BY403&amp;"",BK403&amp;""))</f>
        <v/>
      </c>
      <c r="AC403" s="0" t="str">
        <f aca="false">IF($A403="","",IF(AW403="Y",BS403&amp;"",BE403&amp;""))</f>
        <v/>
      </c>
      <c r="AD403" s="0" t="str">
        <f aca="false">IF($A403="","",IF(AW403="Y",BT403&amp;"",BF403&amp;""))</f>
        <v/>
      </c>
      <c r="AE403" s="0" t="str">
        <f aca="false">IF($A403="","",IF(AW403="Y",BU403&amp;"",BG403&amp;""))</f>
        <v/>
      </c>
      <c r="AF403" s="0" t="str">
        <f aca="false">IF($A403="","",IF(AW403="Y",BV403&amp;"",BH403&amp;""))</f>
        <v/>
      </c>
      <c r="AG403" s="0" t="str">
        <f aca="false">IF($A403="","",IF(AW403="Y",BW403&amp;"",BI403&amp;""))</f>
        <v/>
      </c>
      <c r="AH403" s="0" t="str">
        <f aca="false">IF($A403="","",IF(AW403="Y",BX403&amp;"",BJ403&amp;""))</f>
        <v/>
      </c>
      <c r="AQ403" s="5"/>
      <c r="AT403" s="0" t="str">
        <f aca="false">IF($A403="","",IF(AND(CN403="pass",AQ403&lt;&gt;"Y",C403&lt;&gt;"",OR(AX403&lt;&gt;"Y",AV403="Y")),"Y","N"))</f>
        <v/>
      </c>
      <c r="AU403" s="0" t="str">
        <f aca="false">IF($A403="","",_xlfn.TEXTJOIN("; ",TRUE(),IF(CN403&lt;&gt;"pass","gated out",""),IF(AQ403="Y","on hold: "&amp;AR403,""),IF(C403="","no contact named on an opened page",""),IF(AND(AX403="Y",AV403&lt;&gt;"Y"),"Tuesday estimate band "&amp;L403&amp;": founder's call","")))</f>
        <v/>
      </c>
      <c r="BC403" s="0" t="str">
        <f aca="false">IF($A403="","",IFERROR(INDEX(Enrichment!$A$2:$GZ$2000,MATCH($A403,INDEX(Enrichment!$A$2:$GZ$2000,0,MATCH("row_id",Enrichment!$A$1:$GZ$1,0)),0),MATCH("work_email",Enrichment!$A$1:$GZ$1,0))&amp;"",""))</f>
        <v/>
      </c>
      <c r="BD403" s="0" t="str">
        <f aca="false">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Q403" s="0" t="str">
        <f aca="false">IF($A403="","",IFERROR(INDEX(Enrichment!$A$2:$GZ$2000,MATCH($A403,INDEX(Enrichment!$A$2:$GZ$2000,0,MATCH("row_id",Enrichment!$A$1:$GZ$1,0)),0),MATCH("backup_work_email",Enrichment!$A$1:$GZ$1,0))&amp;"",""))</f>
        <v/>
      </c>
      <c r="BR403" s="0" t="str">
        <f aca="false">IF($A403="","",IF(BQ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EQ403" s="0" t="str">
        <f aca="false">IF($A403="","",IF(AH403="exact",10,IF(AH403="adjacent",5,0)))</f>
        <v/>
      </c>
      <c r="ER403" s="0" t="str">
        <f aca="false">IF($A403="","",IF(R403="Y",15,0))</f>
        <v/>
      </c>
      <c r="FS403" s="0" t="str">
        <f aca="false">IF($A403="","",IF(ISNUMBER(MATCH(U403,{"queued","contacted","replied","call_booked","call_done","yes_in_principle","materials_sent"},0)),"Y","N"))</f>
        <v/>
      </c>
      <c r="FT403" s="0" t="str">
        <f aca="false">IF($A403="","",IF(OR(T403="Y",U403="do_not_contact",AS403&amp;""&lt;&gt;""),"Y","N"))</f>
        <v/>
      </c>
      <c r="FU403" s="0" t="str">
        <f aca="false">IF($A403="","",IF(AP403&amp;""&lt;&gt;"",AP403&amp;"",$A403))</f>
        <v/>
      </c>
      <c r="FV403" s="0" t="str">
        <f aca="false">IF($A403="","",IF(COUNTIFS($FU$2:$FU$1000,FU403,$FS$2:$FS$1000,"Y")+COUNTIFS($FU$2:$FU$1000,FU403,$FT$2:$FT$1000,"Y")&gt;0,"Y","N"))</f>
        <v/>
      </c>
      <c r="FW403" s="0" t="str">
        <f aca="false">IF($A403="","",IF(AND(U403="new",T403="N",FT403="N",AT403="Y",FV403="N"),"Y","N"))</f>
        <v/>
      </c>
      <c r="FX403" s="0" t="str">
        <f aca="false">IF($A403="","",IF(FW403&lt;&gt;"Y","N",IF(COUNTIFS($FU$2:$FU$1000,FU403,$FW$2:$FW$1000,"Y",$J$2:$J$1000,"&gt;"&amp;J403)+COUNTIFS($FU$2:$FU$1000,FU403,$FW$2:$FW$1000,"Y",$J$2:$J$1000,J403,$GD$2:$GD$1000,"&lt;"&amp;GD403)=0,"Y","N")))</f>
        <v/>
      </c>
      <c r="FY403" s="0" t="str">
        <f aca="false">IF($A403="","",IF(AND(FW403="Y",FX403="Y",Y403&amp;""&lt;&gt;""),IF(Y403&lt;=10,"Y","N"),"N"))</f>
        <v/>
      </c>
      <c r="FZ403" s="0" t="str">
        <f aca="false">IF(FY403="Y",Y403,"")</f>
        <v/>
      </c>
      <c r="GA403" s="0" t="str">
        <f aca="false">IF($A403="","",IF(AND(I403="walk-in",CN403="pass",U403="new",FT403="N",FV403="N",AQ403&lt;&gt;"Y"),"Y","N"))</f>
        <v/>
      </c>
      <c r="GB403" s="0" t="str">
        <f aca="false">IF(GA403&lt;&gt;"Y","",IF(COUNTIFS($GA$2:$GA$1000,"Y",$J$2:$J$1000,"&gt;"&amp;J403)+COUNTIFS($GA$2:$GA$1000,"Y",$J$2:$J$1000,J403,$GD$2:$GD$1000,"&lt;"&amp;GD403)+1&lt;=25,COUNTIFS($GA$2:$GA$1000,"Y",$J$2:$J$1000,"&gt;"&amp;J403)+COUNTIFS($GA$2:$GA$1000,"Y",$J$2:$J$1000,J403,$GD$2:$GD$1000,"&lt;"&amp;GD403)+1,""))</f>
        <v/>
      </c>
      <c r="GC403" s="0" t="str">
        <f aca="false">IF(AND(_xlfn.ISFORMULA(C403),_xlfn.ISFORMULA(J403)),"Y","N")</f>
        <v>Y</v>
      </c>
      <c r="GD403" s="0" t="n">
        <f aca="false">ROW()-1</f>
        <v>402</v>
      </c>
    </row>
    <row r="404" customFormat="false" ht="15" hidden="false" customHeight="false" outlineLevel="0" collapsed="false">
      <c r="C404" s="0" t="str">
        <f aca="false">IF($A404="","",IF(AW404="Y",BM404&amp;"",AY404&amp;""))</f>
        <v/>
      </c>
      <c r="D404" s="0" t="str">
        <f aca="false">IF($A404="","",IF(AW404="Y",BN404&amp;"",AZ404&amp;""))</f>
        <v/>
      </c>
      <c r="E404" s="0" t="str">
        <f aca="false">IF($A404="","",IF(AW404="Y",BO404&amp;"",BA404&amp;""))</f>
        <v/>
      </c>
      <c r="F404" s="0" t="str">
        <f aca="false">IF($A404="","",IF(AW404="Y",BP404&amp;"",BB404&amp;""))</f>
        <v/>
      </c>
      <c r="G404" s="0" t="str">
        <f aca="false">IF($A404="","",IF(AW404="Y",BQ404&amp;"",BC404&amp;""))</f>
        <v/>
      </c>
      <c r="H404" s="0" t="str">
        <f aca="false">IF($A404="","",IF(AW404="Y",BR404&amp;"",BD404&amp;""))</f>
        <v/>
      </c>
      <c r="I404" s="0" t="str">
        <f aca="false">IF($A404="","",IF(R404="Y","warm-intro",IF(H404="verified","email",IF(C404&lt;&gt;"","linkedin",CB404&amp;""))))</f>
        <v/>
      </c>
      <c r="J404" s="0" t="str">
        <f aca="false">IF($A404="","",IF(CN404="pass",ROUND(N(EM404)+N(EN404)+N(EO404)+N(EP404)+N(EQ404)+N(ER404),1),0))</f>
        <v/>
      </c>
      <c r="K404" s="0" t="str">
        <f aca="false">IF($A404="","",IF(CN404&lt;&gt;"pass",CA404&amp;"",CA404&amp;"; "&amp;IF(AW404="Y",BZ404&amp;"",BL404&amp;"")&amp;IF(R404="Y","; known to the founder (+15)","")&amp;"."))</f>
        <v/>
      </c>
      <c r="R404" s="5"/>
      <c r="U404" s="5"/>
      <c r="Y404" s="0" t="str">
        <f aca="false">IF(FX404&lt;&gt;"Y","",COUNTIFS($FX$2:$FX$1000,"Y",$J$2:$J$1000,"&gt;"&amp;J404)+COUNTIFS($FX$2:$FX$1000,"Y",$J$2:$J$1000,J404,$GD$2:$GD$1000,"&lt;"&amp;GD404)+1)</f>
        <v/>
      </c>
      <c r="AB404" s="0" t="str">
        <f aca="false">IF($A404="","",IF(AW404="Y",BY404&amp;"",BK404&amp;""))</f>
        <v/>
      </c>
      <c r="AC404" s="0" t="str">
        <f aca="false">IF($A404="","",IF(AW404="Y",BS404&amp;"",BE404&amp;""))</f>
        <v/>
      </c>
      <c r="AD404" s="0" t="str">
        <f aca="false">IF($A404="","",IF(AW404="Y",BT404&amp;"",BF404&amp;""))</f>
        <v/>
      </c>
      <c r="AE404" s="0" t="str">
        <f aca="false">IF($A404="","",IF(AW404="Y",BU404&amp;"",BG404&amp;""))</f>
        <v/>
      </c>
      <c r="AF404" s="0" t="str">
        <f aca="false">IF($A404="","",IF(AW404="Y",BV404&amp;"",BH404&amp;""))</f>
        <v/>
      </c>
      <c r="AG404" s="0" t="str">
        <f aca="false">IF($A404="","",IF(AW404="Y",BW404&amp;"",BI404&amp;""))</f>
        <v/>
      </c>
      <c r="AH404" s="0" t="str">
        <f aca="false">IF($A404="","",IF(AW404="Y",BX404&amp;"",BJ404&amp;""))</f>
        <v/>
      </c>
      <c r="AQ404" s="5"/>
      <c r="AT404" s="0" t="str">
        <f aca="false">IF($A404="","",IF(AND(CN404="pass",AQ404&lt;&gt;"Y",C404&lt;&gt;"",OR(AX404&lt;&gt;"Y",AV404="Y")),"Y","N"))</f>
        <v/>
      </c>
      <c r="AU404" s="0" t="str">
        <f aca="false">IF($A404="","",_xlfn.TEXTJOIN("; ",TRUE(),IF(CN404&lt;&gt;"pass","gated out",""),IF(AQ404="Y","on hold: "&amp;AR404,""),IF(C404="","no contact named on an opened page",""),IF(AND(AX404="Y",AV404&lt;&gt;"Y"),"Tuesday estimate band "&amp;L404&amp;": founder's call","")))</f>
        <v/>
      </c>
      <c r="BC404" s="0" t="str">
        <f aca="false">IF($A404="","",IFERROR(INDEX(Enrichment!$A$2:$GZ$2000,MATCH($A404,INDEX(Enrichment!$A$2:$GZ$2000,0,MATCH("row_id",Enrichment!$A$1:$GZ$1,0)),0),MATCH("work_email",Enrichment!$A$1:$GZ$1,0))&amp;"",""))</f>
        <v/>
      </c>
      <c r="BD404" s="0" t="str">
        <f aca="false">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Q404" s="0" t="str">
        <f aca="false">IF($A404="","",IFERROR(INDEX(Enrichment!$A$2:$GZ$2000,MATCH($A404,INDEX(Enrichment!$A$2:$GZ$2000,0,MATCH("row_id",Enrichment!$A$1:$GZ$1,0)),0),MATCH("backup_work_email",Enrichment!$A$1:$GZ$1,0))&amp;"",""))</f>
        <v/>
      </c>
      <c r="BR404" s="0" t="str">
        <f aca="false">IF($A404="","",IF(BQ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EQ404" s="0" t="str">
        <f aca="false">IF($A404="","",IF(AH404="exact",10,IF(AH404="adjacent",5,0)))</f>
        <v/>
      </c>
      <c r="ER404" s="0" t="str">
        <f aca="false">IF($A404="","",IF(R404="Y",15,0))</f>
        <v/>
      </c>
      <c r="FS404" s="0" t="str">
        <f aca="false">IF($A404="","",IF(ISNUMBER(MATCH(U404,{"queued","contacted","replied","call_booked","call_done","yes_in_principle","materials_sent"},0)),"Y","N"))</f>
        <v/>
      </c>
      <c r="FT404" s="0" t="str">
        <f aca="false">IF($A404="","",IF(OR(T404="Y",U404="do_not_contact",AS404&amp;""&lt;&gt;""),"Y","N"))</f>
        <v/>
      </c>
      <c r="FU404" s="0" t="str">
        <f aca="false">IF($A404="","",IF(AP404&amp;""&lt;&gt;"",AP404&amp;"",$A404))</f>
        <v/>
      </c>
      <c r="FV404" s="0" t="str">
        <f aca="false">IF($A404="","",IF(COUNTIFS($FU$2:$FU$1000,FU404,$FS$2:$FS$1000,"Y")+COUNTIFS($FU$2:$FU$1000,FU404,$FT$2:$FT$1000,"Y")&gt;0,"Y","N"))</f>
        <v/>
      </c>
      <c r="FW404" s="0" t="str">
        <f aca="false">IF($A404="","",IF(AND(U404="new",T404="N",FT404="N",AT404="Y",FV404="N"),"Y","N"))</f>
        <v/>
      </c>
      <c r="FX404" s="0" t="str">
        <f aca="false">IF($A404="","",IF(FW404&lt;&gt;"Y","N",IF(COUNTIFS($FU$2:$FU$1000,FU404,$FW$2:$FW$1000,"Y",$J$2:$J$1000,"&gt;"&amp;J404)+COUNTIFS($FU$2:$FU$1000,FU404,$FW$2:$FW$1000,"Y",$J$2:$J$1000,J404,$GD$2:$GD$1000,"&lt;"&amp;GD404)=0,"Y","N")))</f>
        <v/>
      </c>
      <c r="FY404" s="0" t="str">
        <f aca="false">IF($A404="","",IF(AND(FW404="Y",FX404="Y",Y404&amp;""&lt;&gt;""),IF(Y404&lt;=10,"Y","N"),"N"))</f>
        <v/>
      </c>
      <c r="FZ404" s="0" t="str">
        <f aca="false">IF(FY404="Y",Y404,"")</f>
        <v/>
      </c>
      <c r="GA404" s="0" t="str">
        <f aca="false">IF($A404="","",IF(AND(I404="walk-in",CN404="pass",U404="new",FT404="N",FV404="N",AQ404&lt;&gt;"Y"),"Y","N"))</f>
        <v/>
      </c>
      <c r="GB404" s="0" t="str">
        <f aca="false">IF(GA404&lt;&gt;"Y","",IF(COUNTIFS($GA$2:$GA$1000,"Y",$J$2:$J$1000,"&gt;"&amp;J404)+COUNTIFS($GA$2:$GA$1000,"Y",$J$2:$J$1000,J404,$GD$2:$GD$1000,"&lt;"&amp;GD404)+1&lt;=25,COUNTIFS($GA$2:$GA$1000,"Y",$J$2:$J$1000,"&gt;"&amp;J404)+COUNTIFS($GA$2:$GA$1000,"Y",$J$2:$J$1000,J404,$GD$2:$GD$1000,"&lt;"&amp;GD404)+1,""))</f>
        <v/>
      </c>
      <c r="GC404" s="0" t="str">
        <f aca="false">IF(AND(_xlfn.ISFORMULA(C404),_xlfn.ISFORMULA(J404)),"Y","N")</f>
        <v>Y</v>
      </c>
      <c r="GD404" s="0" t="n">
        <f aca="false">ROW()-1</f>
        <v>403</v>
      </c>
    </row>
    <row r="405" customFormat="false" ht="15" hidden="false" customHeight="false" outlineLevel="0" collapsed="false">
      <c r="C405" s="0" t="str">
        <f aca="false">IF($A405="","",IF(AW405="Y",BM405&amp;"",AY405&amp;""))</f>
        <v/>
      </c>
      <c r="D405" s="0" t="str">
        <f aca="false">IF($A405="","",IF(AW405="Y",BN405&amp;"",AZ405&amp;""))</f>
        <v/>
      </c>
      <c r="E405" s="0" t="str">
        <f aca="false">IF($A405="","",IF(AW405="Y",BO405&amp;"",BA405&amp;""))</f>
        <v/>
      </c>
      <c r="F405" s="0" t="str">
        <f aca="false">IF($A405="","",IF(AW405="Y",BP405&amp;"",BB405&amp;""))</f>
        <v/>
      </c>
      <c r="G405" s="0" t="str">
        <f aca="false">IF($A405="","",IF(AW405="Y",BQ405&amp;"",BC405&amp;""))</f>
        <v/>
      </c>
      <c r="H405" s="0" t="str">
        <f aca="false">IF($A405="","",IF(AW405="Y",BR405&amp;"",BD405&amp;""))</f>
        <v/>
      </c>
      <c r="I405" s="0" t="str">
        <f aca="false">IF($A405="","",IF(R405="Y","warm-intro",IF(H405="verified","email",IF(C405&lt;&gt;"","linkedin",CB405&amp;""))))</f>
        <v/>
      </c>
      <c r="J405" s="0" t="str">
        <f aca="false">IF($A405="","",IF(CN405="pass",ROUND(N(EM405)+N(EN405)+N(EO405)+N(EP405)+N(EQ405)+N(ER405),1),0))</f>
        <v/>
      </c>
      <c r="K405" s="0" t="str">
        <f aca="false">IF($A405="","",IF(CN405&lt;&gt;"pass",CA405&amp;"",CA405&amp;"; "&amp;IF(AW405="Y",BZ405&amp;"",BL405&amp;"")&amp;IF(R405="Y","; known to the founder (+15)","")&amp;"."))</f>
        <v/>
      </c>
      <c r="R405" s="5"/>
      <c r="U405" s="5"/>
      <c r="Y405" s="0" t="str">
        <f aca="false">IF(FX405&lt;&gt;"Y","",COUNTIFS($FX$2:$FX$1000,"Y",$J$2:$J$1000,"&gt;"&amp;J405)+COUNTIFS($FX$2:$FX$1000,"Y",$J$2:$J$1000,J405,$GD$2:$GD$1000,"&lt;"&amp;GD405)+1)</f>
        <v/>
      </c>
      <c r="AB405" s="0" t="str">
        <f aca="false">IF($A405="","",IF(AW405="Y",BY405&amp;"",BK405&amp;""))</f>
        <v/>
      </c>
      <c r="AC405" s="0" t="str">
        <f aca="false">IF($A405="","",IF(AW405="Y",BS405&amp;"",BE405&amp;""))</f>
        <v/>
      </c>
      <c r="AD405" s="0" t="str">
        <f aca="false">IF($A405="","",IF(AW405="Y",BT405&amp;"",BF405&amp;""))</f>
        <v/>
      </c>
      <c r="AE405" s="0" t="str">
        <f aca="false">IF($A405="","",IF(AW405="Y",BU405&amp;"",BG405&amp;""))</f>
        <v/>
      </c>
      <c r="AF405" s="0" t="str">
        <f aca="false">IF($A405="","",IF(AW405="Y",BV405&amp;"",BH405&amp;""))</f>
        <v/>
      </c>
      <c r="AG405" s="0" t="str">
        <f aca="false">IF($A405="","",IF(AW405="Y",BW405&amp;"",BI405&amp;""))</f>
        <v/>
      </c>
      <c r="AH405" s="0" t="str">
        <f aca="false">IF($A405="","",IF(AW405="Y",BX405&amp;"",BJ405&amp;""))</f>
        <v/>
      </c>
      <c r="AQ405" s="5"/>
      <c r="AT405" s="0" t="str">
        <f aca="false">IF($A405="","",IF(AND(CN405="pass",AQ405&lt;&gt;"Y",C405&lt;&gt;"",OR(AX405&lt;&gt;"Y",AV405="Y")),"Y","N"))</f>
        <v/>
      </c>
      <c r="AU405" s="0" t="str">
        <f aca="false">IF($A405="","",_xlfn.TEXTJOIN("; ",TRUE(),IF(CN405&lt;&gt;"pass","gated out",""),IF(AQ405="Y","on hold: "&amp;AR405,""),IF(C405="","no contact named on an opened page",""),IF(AND(AX405="Y",AV405&lt;&gt;"Y"),"Tuesday estimate band "&amp;L405&amp;": founder's call","")))</f>
        <v/>
      </c>
      <c r="BC405" s="0" t="str">
        <f aca="false">IF($A405="","",IFERROR(INDEX(Enrichment!$A$2:$GZ$2000,MATCH($A405,INDEX(Enrichment!$A$2:$GZ$2000,0,MATCH("row_id",Enrichment!$A$1:$GZ$1,0)),0),MATCH("work_email",Enrichment!$A$1:$GZ$1,0))&amp;"",""))</f>
        <v/>
      </c>
      <c r="BD405" s="0" t="str">
        <f aca="false">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Q405" s="0" t="str">
        <f aca="false">IF($A405="","",IFERROR(INDEX(Enrichment!$A$2:$GZ$2000,MATCH($A405,INDEX(Enrichment!$A$2:$GZ$2000,0,MATCH("row_id",Enrichment!$A$1:$GZ$1,0)),0),MATCH("backup_work_email",Enrichment!$A$1:$GZ$1,0))&amp;"",""))</f>
        <v/>
      </c>
      <c r="BR405" s="0" t="str">
        <f aca="false">IF($A405="","",IF(BQ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EQ405" s="0" t="str">
        <f aca="false">IF($A405="","",IF(AH405="exact",10,IF(AH405="adjacent",5,0)))</f>
        <v/>
      </c>
      <c r="ER405" s="0" t="str">
        <f aca="false">IF($A405="","",IF(R405="Y",15,0))</f>
        <v/>
      </c>
      <c r="FS405" s="0" t="str">
        <f aca="false">IF($A405="","",IF(ISNUMBER(MATCH(U405,{"queued","contacted","replied","call_booked","call_done","yes_in_principle","materials_sent"},0)),"Y","N"))</f>
        <v/>
      </c>
      <c r="FT405" s="0" t="str">
        <f aca="false">IF($A405="","",IF(OR(T405="Y",U405="do_not_contact",AS405&amp;""&lt;&gt;""),"Y","N"))</f>
        <v/>
      </c>
      <c r="FU405" s="0" t="str">
        <f aca="false">IF($A405="","",IF(AP405&amp;""&lt;&gt;"",AP405&amp;"",$A405))</f>
        <v/>
      </c>
      <c r="FV405" s="0" t="str">
        <f aca="false">IF($A405="","",IF(COUNTIFS($FU$2:$FU$1000,FU405,$FS$2:$FS$1000,"Y")+COUNTIFS($FU$2:$FU$1000,FU405,$FT$2:$FT$1000,"Y")&gt;0,"Y","N"))</f>
        <v/>
      </c>
      <c r="FW405" s="0" t="str">
        <f aca="false">IF($A405="","",IF(AND(U405="new",T405="N",FT405="N",AT405="Y",FV405="N"),"Y","N"))</f>
        <v/>
      </c>
      <c r="FX405" s="0" t="str">
        <f aca="false">IF($A405="","",IF(FW405&lt;&gt;"Y","N",IF(COUNTIFS($FU$2:$FU$1000,FU405,$FW$2:$FW$1000,"Y",$J$2:$J$1000,"&gt;"&amp;J405)+COUNTIFS($FU$2:$FU$1000,FU405,$FW$2:$FW$1000,"Y",$J$2:$J$1000,J405,$GD$2:$GD$1000,"&lt;"&amp;GD405)=0,"Y","N")))</f>
        <v/>
      </c>
      <c r="FY405" s="0" t="str">
        <f aca="false">IF($A405="","",IF(AND(FW405="Y",FX405="Y",Y405&amp;""&lt;&gt;""),IF(Y405&lt;=10,"Y","N"),"N"))</f>
        <v/>
      </c>
      <c r="FZ405" s="0" t="str">
        <f aca="false">IF(FY405="Y",Y405,"")</f>
        <v/>
      </c>
      <c r="GA405" s="0" t="str">
        <f aca="false">IF($A405="","",IF(AND(I405="walk-in",CN405="pass",U405="new",FT405="N",FV405="N",AQ405&lt;&gt;"Y"),"Y","N"))</f>
        <v/>
      </c>
      <c r="GB405" s="0" t="str">
        <f aca="false">IF(GA405&lt;&gt;"Y","",IF(COUNTIFS($GA$2:$GA$1000,"Y",$J$2:$J$1000,"&gt;"&amp;J405)+COUNTIFS($GA$2:$GA$1000,"Y",$J$2:$J$1000,J405,$GD$2:$GD$1000,"&lt;"&amp;GD405)+1&lt;=25,COUNTIFS($GA$2:$GA$1000,"Y",$J$2:$J$1000,"&gt;"&amp;J405)+COUNTIFS($GA$2:$GA$1000,"Y",$J$2:$J$1000,J405,$GD$2:$GD$1000,"&lt;"&amp;GD405)+1,""))</f>
        <v/>
      </c>
      <c r="GC405" s="0" t="str">
        <f aca="false">IF(AND(_xlfn.ISFORMULA(C405),_xlfn.ISFORMULA(J405)),"Y","N")</f>
        <v>Y</v>
      </c>
      <c r="GD405" s="0" t="n">
        <f aca="false">ROW()-1</f>
        <v>404</v>
      </c>
    </row>
    <row r="406" customFormat="false" ht="15" hidden="false" customHeight="false" outlineLevel="0" collapsed="false">
      <c r="C406" s="0" t="str">
        <f aca="false">IF($A406="","",IF(AW406="Y",BM406&amp;"",AY406&amp;""))</f>
        <v/>
      </c>
      <c r="D406" s="0" t="str">
        <f aca="false">IF($A406="","",IF(AW406="Y",BN406&amp;"",AZ406&amp;""))</f>
        <v/>
      </c>
      <c r="E406" s="0" t="str">
        <f aca="false">IF($A406="","",IF(AW406="Y",BO406&amp;"",BA406&amp;""))</f>
        <v/>
      </c>
      <c r="F406" s="0" t="str">
        <f aca="false">IF($A406="","",IF(AW406="Y",BP406&amp;"",BB406&amp;""))</f>
        <v/>
      </c>
      <c r="G406" s="0" t="str">
        <f aca="false">IF($A406="","",IF(AW406="Y",BQ406&amp;"",BC406&amp;""))</f>
        <v/>
      </c>
      <c r="H406" s="0" t="str">
        <f aca="false">IF($A406="","",IF(AW406="Y",BR406&amp;"",BD406&amp;""))</f>
        <v/>
      </c>
      <c r="I406" s="0" t="str">
        <f aca="false">IF($A406="","",IF(R406="Y","warm-intro",IF(H406="verified","email",IF(C406&lt;&gt;"","linkedin",CB406&amp;""))))</f>
        <v/>
      </c>
      <c r="J406" s="0" t="str">
        <f aca="false">IF($A406="","",IF(CN406="pass",ROUND(N(EM406)+N(EN406)+N(EO406)+N(EP406)+N(EQ406)+N(ER406),1),0))</f>
        <v/>
      </c>
      <c r="K406" s="0" t="str">
        <f aca="false">IF($A406="","",IF(CN406&lt;&gt;"pass",CA406&amp;"",CA406&amp;"; "&amp;IF(AW406="Y",BZ406&amp;"",BL406&amp;"")&amp;IF(R406="Y","; known to the founder (+15)","")&amp;"."))</f>
        <v/>
      </c>
      <c r="R406" s="5"/>
      <c r="U406" s="5"/>
      <c r="Y406" s="0" t="str">
        <f aca="false">IF(FX406&lt;&gt;"Y","",COUNTIFS($FX$2:$FX$1000,"Y",$J$2:$J$1000,"&gt;"&amp;J406)+COUNTIFS($FX$2:$FX$1000,"Y",$J$2:$J$1000,J406,$GD$2:$GD$1000,"&lt;"&amp;GD406)+1)</f>
        <v/>
      </c>
      <c r="AB406" s="0" t="str">
        <f aca="false">IF($A406="","",IF(AW406="Y",BY406&amp;"",BK406&amp;""))</f>
        <v/>
      </c>
      <c r="AC406" s="0" t="str">
        <f aca="false">IF($A406="","",IF(AW406="Y",BS406&amp;"",BE406&amp;""))</f>
        <v/>
      </c>
      <c r="AD406" s="0" t="str">
        <f aca="false">IF($A406="","",IF(AW406="Y",BT406&amp;"",BF406&amp;""))</f>
        <v/>
      </c>
      <c r="AE406" s="0" t="str">
        <f aca="false">IF($A406="","",IF(AW406="Y",BU406&amp;"",BG406&amp;""))</f>
        <v/>
      </c>
      <c r="AF406" s="0" t="str">
        <f aca="false">IF($A406="","",IF(AW406="Y",BV406&amp;"",BH406&amp;""))</f>
        <v/>
      </c>
      <c r="AG406" s="0" t="str">
        <f aca="false">IF($A406="","",IF(AW406="Y",BW406&amp;"",BI406&amp;""))</f>
        <v/>
      </c>
      <c r="AH406" s="0" t="str">
        <f aca="false">IF($A406="","",IF(AW406="Y",BX406&amp;"",BJ406&amp;""))</f>
        <v/>
      </c>
      <c r="AQ406" s="5"/>
      <c r="AT406" s="0" t="str">
        <f aca="false">IF($A406="","",IF(AND(CN406="pass",AQ406&lt;&gt;"Y",C406&lt;&gt;"",OR(AX406&lt;&gt;"Y",AV406="Y")),"Y","N"))</f>
        <v/>
      </c>
      <c r="AU406" s="0" t="str">
        <f aca="false">IF($A406="","",_xlfn.TEXTJOIN("; ",TRUE(),IF(CN406&lt;&gt;"pass","gated out",""),IF(AQ406="Y","on hold: "&amp;AR406,""),IF(C406="","no contact named on an opened page",""),IF(AND(AX406="Y",AV406&lt;&gt;"Y"),"Tuesday estimate band "&amp;L406&amp;": founder's call","")))</f>
        <v/>
      </c>
      <c r="BC406" s="0" t="str">
        <f aca="false">IF($A406="","",IFERROR(INDEX(Enrichment!$A$2:$GZ$2000,MATCH($A406,INDEX(Enrichment!$A$2:$GZ$2000,0,MATCH("row_id",Enrichment!$A$1:$GZ$1,0)),0),MATCH("work_email",Enrichment!$A$1:$GZ$1,0))&amp;"",""))</f>
        <v/>
      </c>
      <c r="BD406" s="0" t="str">
        <f aca="false">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Q406" s="0" t="str">
        <f aca="false">IF($A406="","",IFERROR(INDEX(Enrichment!$A$2:$GZ$2000,MATCH($A406,INDEX(Enrichment!$A$2:$GZ$2000,0,MATCH("row_id",Enrichment!$A$1:$GZ$1,0)),0),MATCH("backup_work_email",Enrichment!$A$1:$GZ$1,0))&amp;"",""))</f>
        <v/>
      </c>
      <c r="BR406" s="0" t="str">
        <f aca="false">IF($A406="","",IF(BQ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EQ406" s="0" t="str">
        <f aca="false">IF($A406="","",IF(AH406="exact",10,IF(AH406="adjacent",5,0)))</f>
        <v/>
      </c>
      <c r="ER406" s="0" t="str">
        <f aca="false">IF($A406="","",IF(R406="Y",15,0))</f>
        <v/>
      </c>
      <c r="FS406" s="0" t="str">
        <f aca="false">IF($A406="","",IF(ISNUMBER(MATCH(U406,{"queued","contacted","replied","call_booked","call_done","yes_in_principle","materials_sent"},0)),"Y","N"))</f>
        <v/>
      </c>
      <c r="FT406" s="0" t="str">
        <f aca="false">IF($A406="","",IF(OR(T406="Y",U406="do_not_contact",AS406&amp;""&lt;&gt;""),"Y","N"))</f>
        <v/>
      </c>
      <c r="FU406" s="0" t="str">
        <f aca="false">IF($A406="","",IF(AP406&amp;""&lt;&gt;"",AP406&amp;"",$A406))</f>
        <v/>
      </c>
      <c r="FV406" s="0" t="str">
        <f aca="false">IF($A406="","",IF(COUNTIFS($FU$2:$FU$1000,FU406,$FS$2:$FS$1000,"Y")+COUNTIFS($FU$2:$FU$1000,FU406,$FT$2:$FT$1000,"Y")&gt;0,"Y","N"))</f>
        <v/>
      </c>
      <c r="FW406" s="0" t="str">
        <f aca="false">IF($A406="","",IF(AND(U406="new",T406="N",FT406="N",AT406="Y",FV406="N"),"Y","N"))</f>
        <v/>
      </c>
      <c r="FX406" s="0" t="str">
        <f aca="false">IF($A406="","",IF(FW406&lt;&gt;"Y","N",IF(COUNTIFS($FU$2:$FU$1000,FU406,$FW$2:$FW$1000,"Y",$J$2:$J$1000,"&gt;"&amp;J406)+COUNTIFS($FU$2:$FU$1000,FU406,$FW$2:$FW$1000,"Y",$J$2:$J$1000,J406,$GD$2:$GD$1000,"&lt;"&amp;GD406)=0,"Y","N")))</f>
        <v/>
      </c>
      <c r="FY406" s="0" t="str">
        <f aca="false">IF($A406="","",IF(AND(FW406="Y",FX406="Y",Y406&amp;""&lt;&gt;""),IF(Y406&lt;=10,"Y","N"),"N"))</f>
        <v/>
      </c>
      <c r="FZ406" s="0" t="str">
        <f aca="false">IF(FY406="Y",Y406,"")</f>
        <v/>
      </c>
      <c r="GA406" s="0" t="str">
        <f aca="false">IF($A406="","",IF(AND(I406="walk-in",CN406="pass",U406="new",FT406="N",FV406="N",AQ406&lt;&gt;"Y"),"Y","N"))</f>
        <v/>
      </c>
      <c r="GB406" s="0" t="str">
        <f aca="false">IF(GA406&lt;&gt;"Y","",IF(COUNTIFS($GA$2:$GA$1000,"Y",$J$2:$J$1000,"&gt;"&amp;J406)+COUNTIFS($GA$2:$GA$1000,"Y",$J$2:$J$1000,J406,$GD$2:$GD$1000,"&lt;"&amp;GD406)+1&lt;=25,COUNTIFS($GA$2:$GA$1000,"Y",$J$2:$J$1000,"&gt;"&amp;J406)+COUNTIFS($GA$2:$GA$1000,"Y",$J$2:$J$1000,J406,$GD$2:$GD$1000,"&lt;"&amp;GD406)+1,""))</f>
        <v/>
      </c>
      <c r="GC406" s="0" t="str">
        <f aca="false">IF(AND(_xlfn.ISFORMULA(C406),_xlfn.ISFORMULA(J406)),"Y","N")</f>
        <v>Y</v>
      </c>
      <c r="GD406" s="0" t="n">
        <f aca="false">ROW()-1</f>
        <v>405</v>
      </c>
    </row>
    <row r="407" customFormat="false" ht="15" hidden="false" customHeight="false" outlineLevel="0" collapsed="false">
      <c r="C407" s="0" t="str">
        <f aca="false">IF($A407="","",IF(AW407="Y",BM407&amp;"",AY407&amp;""))</f>
        <v/>
      </c>
      <c r="D407" s="0" t="str">
        <f aca="false">IF($A407="","",IF(AW407="Y",BN407&amp;"",AZ407&amp;""))</f>
        <v/>
      </c>
      <c r="E407" s="0" t="str">
        <f aca="false">IF($A407="","",IF(AW407="Y",BO407&amp;"",BA407&amp;""))</f>
        <v/>
      </c>
      <c r="F407" s="0" t="str">
        <f aca="false">IF($A407="","",IF(AW407="Y",BP407&amp;"",BB407&amp;""))</f>
        <v/>
      </c>
      <c r="G407" s="0" t="str">
        <f aca="false">IF($A407="","",IF(AW407="Y",BQ407&amp;"",BC407&amp;""))</f>
        <v/>
      </c>
      <c r="H407" s="0" t="str">
        <f aca="false">IF($A407="","",IF(AW407="Y",BR407&amp;"",BD407&amp;""))</f>
        <v/>
      </c>
      <c r="I407" s="0" t="str">
        <f aca="false">IF($A407="","",IF(R407="Y","warm-intro",IF(H407="verified","email",IF(C407&lt;&gt;"","linkedin",CB407&amp;""))))</f>
        <v/>
      </c>
      <c r="J407" s="0" t="str">
        <f aca="false">IF($A407="","",IF(CN407="pass",ROUND(N(EM407)+N(EN407)+N(EO407)+N(EP407)+N(EQ407)+N(ER407),1),0))</f>
        <v/>
      </c>
      <c r="K407" s="0" t="str">
        <f aca="false">IF($A407="","",IF(CN407&lt;&gt;"pass",CA407&amp;"",CA407&amp;"; "&amp;IF(AW407="Y",BZ407&amp;"",BL407&amp;"")&amp;IF(R407="Y","; known to the founder (+15)","")&amp;"."))</f>
        <v/>
      </c>
      <c r="R407" s="5"/>
      <c r="U407" s="5"/>
      <c r="Y407" s="0" t="str">
        <f aca="false">IF(FX407&lt;&gt;"Y","",COUNTIFS($FX$2:$FX$1000,"Y",$J$2:$J$1000,"&gt;"&amp;J407)+COUNTIFS($FX$2:$FX$1000,"Y",$J$2:$J$1000,J407,$GD$2:$GD$1000,"&lt;"&amp;GD407)+1)</f>
        <v/>
      </c>
      <c r="AB407" s="0" t="str">
        <f aca="false">IF($A407="","",IF(AW407="Y",BY407&amp;"",BK407&amp;""))</f>
        <v/>
      </c>
      <c r="AC407" s="0" t="str">
        <f aca="false">IF($A407="","",IF(AW407="Y",BS407&amp;"",BE407&amp;""))</f>
        <v/>
      </c>
      <c r="AD407" s="0" t="str">
        <f aca="false">IF($A407="","",IF(AW407="Y",BT407&amp;"",BF407&amp;""))</f>
        <v/>
      </c>
      <c r="AE407" s="0" t="str">
        <f aca="false">IF($A407="","",IF(AW407="Y",BU407&amp;"",BG407&amp;""))</f>
        <v/>
      </c>
      <c r="AF407" s="0" t="str">
        <f aca="false">IF($A407="","",IF(AW407="Y",BV407&amp;"",BH407&amp;""))</f>
        <v/>
      </c>
      <c r="AG407" s="0" t="str">
        <f aca="false">IF($A407="","",IF(AW407="Y",BW407&amp;"",BI407&amp;""))</f>
        <v/>
      </c>
      <c r="AH407" s="0" t="str">
        <f aca="false">IF($A407="","",IF(AW407="Y",BX407&amp;"",BJ407&amp;""))</f>
        <v/>
      </c>
      <c r="AQ407" s="5"/>
      <c r="AT407" s="0" t="str">
        <f aca="false">IF($A407="","",IF(AND(CN407="pass",AQ407&lt;&gt;"Y",C407&lt;&gt;"",OR(AX407&lt;&gt;"Y",AV407="Y")),"Y","N"))</f>
        <v/>
      </c>
      <c r="AU407" s="0" t="str">
        <f aca="false">IF($A407="","",_xlfn.TEXTJOIN("; ",TRUE(),IF(CN407&lt;&gt;"pass","gated out",""),IF(AQ407="Y","on hold: "&amp;AR407,""),IF(C407="","no contact named on an opened page",""),IF(AND(AX407="Y",AV407&lt;&gt;"Y"),"Tuesday estimate band "&amp;L407&amp;": founder's call","")))</f>
        <v/>
      </c>
      <c r="BC407" s="0" t="str">
        <f aca="false">IF($A407="","",IFERROR(INDEX(Enrichment!$A$2:$GZ$2000,MATCH($A407,INDEX(Enrichment!$A$2:$GZ$2000,0,MATCH("row_id",Enrichment!$A$1:$GZ$1,0)),0),MATCH("work_email",Enrichment!$A$1:$GZ$1,0))&amp;"",""))</f>
        <v/>
      </c>
      <c r="BD407" s="0" t="str">
        <f aca="false">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Q407" s="0" t="str">
        <f aca="false">IF($A407="","",IFERROR(INDEX(Enrichment!$A$2:$GZ$2000,MATCH($A407,INDEX(Enrichment!$A$2:$GZ$2000,0,MATCH("row_id",Enrichment!$A$1:$GZ$1,0)),0),MATCH("backup_work_email",Enrichment!$A$1:$GZ$1,0))&amp;"",""))</f>
        <v/>
      </c>
      <c r="BR407" s="0" t="str">
        <f aca="false">IF($A407="","",IF(BQ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EQ407" s="0" t="str">
        <f aca="false">IF($A407="","",IF(AH407="exact",10,IF(AH407="adjacent",5,0)))</f>
        <v/>
      </c>
      <c r="ER407" s="0" t="str">
        <f aca="false">IF($A407="","",IF(R407="Y",15,0))</f>
        <v/>
      </c>
      <c r="FS407" s="0" t="str">
        <f aca="false">IF($A407="","",IF(ISNUMBER(MATCH(U407,{"queued","contacted","replied","call_booked","call_done","yes_in_principle","materials_sent"},0)),"Y","N"))</f>
        <v/>
      </c>
      <c r="FT407" s="0" t="str">
        <f aca="false">IF($A407="","",IF(OR(T407="Y",U407="do_not_contact",AS407&amp;""&lt;&gt;""),"Y","N"))</f>
        <v/>
      </c>
      <c r="FU407" s="0" t="str">
        <f aca="false">IF($A407="","",IF(AP407&amp;""&lt;&gt;"",AP407&amp;"",$A407))</f>
        <v/>
      </c>
      <c r="FV407" s="0" t="str">
        <f aca="false">IF($A407="","",IF(COUNTIFS($FU$2:$FU$1000,FU407,$FS$2:$FS$1000,"Y")+COUNTIFS($FU$2:$FU$1000,FU407,$FT$2:$FT$1000,"Y")&gt;0,"Y","N"))</f>
        <v/>
      </c>
      <c r="FW407" s="0" t="str">
        <f aca="false">IF($A407="","",IF(AND(U407="new",T407="N",FT407="N",AT407="Y",FV407="N"),"Y","N"))</f>
        <v/>
      </c>
      <c r="FX407" s="0" t="str">
        <f aca="false">IF($A407="","",IF(FW407&lt;&gt;"Y","N",IF(COUNTIFS($FU$2:$FU$1000,FU407,$FW$2:$FW$1000,"Y",$J$2:$J$1000,"&gt;"&amp;J407)+COUNTIFS($FU$2:$FU$1000,FU407,$FW$2:$FW$1000,"Y",$J$2:$J$1000,J407,$GD$2:$GD$1000,"&lt;"&amp;GD407)=0,"Y","N")))</f>
        <v/>
      </c>
      <c r="FY407" s="0" t="str">
        <f aca="false">IF($A407="","",IF(AND(FW407="Y",FX407="Y",Y407&amp;""&lt;&gt;""),IF(Y407&lt;=10,"Y","N"),"N"))</f>
        <v/>
      </c>
      <c r="FZ407" s="0" t="str">
        <f aca="false">IF(FY407="Y",Y407,"")</f>
        <v/>
      </c>
      <c r="GA407" s="0" t="str">
        <f aca="false">IF($A407="","",IF(AND(I407="walk-in",CN407="pass",U407="new",FT407="N",FV407="N",AQ407&lt;&gt;"Y"),"Y","N"))</f>
        <v/>
      </c>
      <c r="GB407" s="0" t="str">
        <f aca="false">IF(GA407&lt;&gt;"Y","",IF(COUNTIFS($GA$2:$GA$1000,"Y",$J$2:$J$1000,"&gt;"&amp;J407)+COUNTIFS($GA$2:$GA$1000,"Y",$J$2:$J$1000,J407,$GD$2:$GD$1000,"&lt;"&amp;GD407)+1&lt;=25,COUNTIFS($GA$2:$GA$1000,"Y",$J$2:$J$1000,"&gt;"&amp;J407)+COUNTIFS($GA$2:$GA$1000,"Y",$J$2:$J$1000,J407,$GD$2:$GD$1000,"&lt;"&amp;GD407)+1,""))</f>
        <v/>
      </c>
      <c r="GC407" s="0" t="str">
        <f aca="false">IF(AND(_xlfn.ISFORMULA(C407),_xlfn.ISFORMULA(J407)),"Y","N")</f>
        <v>Y</v>
      </c>
      <c r="GD407" s="0" t="n">
        <f aca="false">ROW()-1</f>
        <v>406</v>
      </c>
    </row>
    <row r="408" customFormat="false" ht="15" hidden="false" customHeight="false" outlineLevel="0" collapsed="false">
      <c r="C408" s="0" t="str">
        <f aca="false">IF($A408="","",IF(AW408="Y",BM408&amp;"",AY408&amp;""))</f>
        <v/>
      </c>
      <c r="D408" s="0" t="str">
        <f aca="false">IF($A408="","",IF(AW408="Y",BN408&amp;"",AZ408&amp;""))</f>
        <v/>
      </c>
      <c r="E408" s="0" t="str">
        <f aca="false">IF($A408="","",IF(AW408="Y",BO408&amp;"",BA408&amp;""))</f>
        <v/>
      </c>
      <c r="F408" s="0" t="str">
        <f aca="false">IF($A408="","",IF(AW408="Y",BP408&amp;"",BB408&amp;""))</f>
        <v/>
      </c>
      <c r="G408" s="0" t="str">
        <f aca="false">IF($A408="","",IF(AW408="Y",BQ408&amp;"",BC408&amp;""))</f>
        <v/>
      </c>
      <c r="H408" s="0" t="str">
        <f aca="false">IF($A408="","",IF(AW408="Y",BR408&amp;"",BD408&amp;""))</f>
        <v/>
      </c>
      <c r="I408" s="0" t="str">
        <f aca="false">IF($A408="","",IF(R408="Y","warm-intro",IF(H408="verified","email",IF(C408&lt;&gt;"","linkedin",CB408&amp;""))))</f>
        <v/>
      </c>
      <c r="J408" s="0" t="str">
        <f aca="false">IF($A408="","",IF(CN408="pass",ROUND(N(EM408)+N(EN408)+N(EO408)+N(EP408)+N(EQ408)+N(ER408),1),0))</f>
        <v/>
      </c>
      <c r="K408" s="0" t="str">
        <f aca="false">IF($A408="","",IF(CN408&lt;&gt;"pass",CA408&amp;"",CA408&amp;"; "&amp;IF(AW408="Y",BZ408&amp;"",BL408&amp;"")&amp;IF(R408="Y","; known to the founder (+15)","")&amp;"."))</f>
        <v/>
      </c>
      <c r="R408" s="5"/>
      <c r="U408" s="5"/>
      <c r="Y408" s="0" t="str">
        <f aca="false">IF(FX408&lt;&gt;"Y","",COUNTIFS($FX$2:$FX$1000,"Y",$J$2:$J$1000,"&gt;"&amp;J408)+COUNTIFS($FX$2:$FX$1000,"Y",$J$2:$J$1000,J408,$GD$2:$GD$1000,"&lt;"&amp;GD408)+1)</f>
        <v/>
      </c>
      <c r="AB408" s="0" t="str">
        <f aca="false">IF($A408="","",IF(AW408="Y",BY408&amp;"",BK408&amp;""))</f>
        <v/>
      </c>
      <c r="AC408" s="0" t="str">
        <f aca="false">IF($A408="","",IF(AW408="Y",BS408&amp;"",BE408&amp;""))</f>
        <v/>
      </c>
      <c r="AD408" s="0" t="str">
        <f aca="false">IF($A408="","",IF(AW408="Y",BT408&amp;"",BF408&amp;""))</f>
        <v/>
      </c>
      <c r="AE408" s="0" t="str">
        <f aca="false">IF($A408="","",IF(AW408="Y",BU408&amp;"",BG408&amp;""))</f>
        <v/>
      </c>
      <c r="AF408" s="0" t="str">
        <f aca="false">IF($A408="","",IF(AW408="Y",BV408&amp;"",BH408&amp;""))</f>
        <v/>
      </c>
      <c r="AG408" s="0" t="str">
        <f aca="false">IF($A408="","",IF(AW408="Y",BW408&amp;"",BI408&amp;""))</f>
        <v/>
      </c>
      <c r="AH408" s="0" t="str">
        <f aca="false">IF($A408="","",IF(AW408="Y",BX408&amp;"",BJ408&amp;""))</f>
        <v/>
      </c>
      <c r="AQ408" s="5"/>
      <c r="AT408" s="0" t="str">
        <f aca="false">IF($A408="","",IF(AND(CN408="pass",AQ408&lt;&gt;"Y",C408&lt;&gt;"",OR(AX408&lt;&gt;"Y",AV408="Y")),"Y","N"))</f>
        <v/>
      </c>
      <c r="AU408" s="0" t="str">
        <f aca="false">IF($A408="","",_xlfn.TEXTJOIN("; ",TRUE(),IF(CN408&lt;&gt;"pass","gated out",""),IF(AQ408="Y","on hold: "&amp;AR408,""),IF(C408="","no contact named on an opened page",""),IF(AND(AX408="Y",AV408&lt;&gt;"Y"),"Tuesday estimate band "&amp;L408&amp;": founder's call","")))</f>
        <v/>
      </c>
      <c r="BC408" s="0" t="str">
        <f aca="false">IF($A408="","",IFERROR(INDEX(Enrichment!$A$2:$GZ$2000,MATCH($A408,INDEX(Enrichment!$A$2:$GZ$2000,0,MATCH("row_id",Enrichment!$A$1:$GZ$1,0)),0),MATCH("work_email",Enrichment!$A$1:$GZ$1,0))&amp;"",""))</f>
        <v/>
      </c>
      <c r="BD408" s="0" t="str">
        <f aca="false">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Q408" s="0" t="str">
        <f aca="false">IF($A408="","",IFERROR(INDEX(Enrichment!$A$2:$GZ$2000,MATCH($A408,INDEX(Enrichment!$A$2:$GZ$2000,0,MATCH("row_id",Enrichment!$A$1:$GZ$1,0)),0),MATCH("backup_work_email",Enrichment!$A$1:$GZ$1,0))&amp;"",""))</f>
        <v/>
      </c>
      <c r="BR408" s="0" t="str">
        <f aca="false">IF($A408="","",IF(BQ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EQ408" s="0" t="str">
        <f aca="false">IF($A408="","",IF(AH408="exact",10,IF(AH408="adjacent",5,0)))</f>
        <v/>
      </c>
      <c r="ER408" s="0" t="str">
        <f aca="false">IF($A408="","",IF(R408="Y",15,0))</f>
        <v/>
      </c>
      <c r="FS408" s="0" t="str">
        <f aca="false">IF($A408="","",IF(ISNUMBER(MATCH(U408,{"queued","contacted","replied","call_booked","call_done","yes_in_principle","materials_sent"},0)),"Y","N"))</f>
        <v/>
      </c>
      <c r="FT408" s="0" t="str">
        <f aca="false">IF($A408="","",IF(OR(T408="Y",U408="do_not_contact",AS408&amp;""&lt;&gt;""),"Y","N"))</f>
        <v/>
      </c>
      <c r="FU408" s="0" t="str">
        <f aca="false">IF($A408="","",IF(AP408&amp;""&lt;&gt;"",AP408&amp;"",$A408))</f>
        <v/>
      </c>
      <c r="FV408" s="0" t="str">
        <f aca="false">IF($A408="","",IF(COUNTIFS($FU$2:$FU$1000,FU408,$FS$2:$FS$1000,"Y")+COUNTIFS($FU$2:$FU$1000,FU408,$FT$2:$FT$1000,"Y")&gt;0,"Y","N"))</f>
        <v/>
      </c>
      <c r="FW408" s="0" t="str">
        <f aca="false">IF($A408="","",IF(AND(U408="new",T408="N",FT408="N",AT408="Y",FV408="N"),"Y","N"))</f>
        <v/>
      </c>
      <c r="FX408" s="0" t="str">
        <f aca="false">IF($A408="","",IF(FW408&lt;&gt;"Y","N",IF(COUNTIFS($FU$2:$FU$1000,FU408,$FW$2:$FW$1000,"Y",$J$2:$J$1000,"&gt;"&amp;J408)+COUNTIFS($FU$2:$FU$1000,FU408,$FW$2:$FW$1000,"Y",$J$2:$J$1000,J408,$GD$2:$GD$1000,"&lt;"&amp;GD408)=0,"Y","N")))</f>
        <v/>
      </c>
      <c r="FY408" s="0" t="str">
        <f aca="false">IF($A408="","",IF(AND(FW408="Y",FX408="Y",Y408&amp;""&lt;&gt;""),IF(Y408&lt;=10,"Y","N"),"N"))</f>
        <v/>
      </c>
      <c r="FZ408" s="0" t="str">
        <f aca="false">IF(FY408="Y",Y408,"")</f>
        <v/>
      </c>
      <c r="GA408" s="0" t="str">
        <f aca="false">IF($A408="","",IF(AND(I408="walk-in",CN408="pass",U408="new",FT408="N",FV408="N",AQ408&lt;&gt;"Y"),"Y","N"))</f>
        <v/>
      </c>
      <c r="GB408" s="0" t="str">
        <f aca="false">IF(GA408&lt;&gt;"Y","",IF(COUNTIFS($GA$2:$GA$1000,"Y",$J$2:$J$1000,"&gt;"&amp;J408)+COUNTIFS($GA$2:$GA$1000,"Y",$J$2:$J$1000,J408,$GD$2:$GD$1000,"&lt;"&amp;GD408)+1&lt;=25,COUNTIFS($GA$2:$GA$1000,"Y",$J$2:$J$1000,"&gt;"&amp;J408)+COUNTIFS($GA$2:$GA$1000,"Y",$J$2:$J$1000,J408,$GD$2:$GD$1000,"&lt;"&amp;GD408)+1,""))</f>
        <v/>
      </c>
      <c r="GC408" s="0" t="str">
        <f aca="false">IF(AND(_xlfn.ISFORMULA(C408),_xlfn.ISFORMULA(J408)),"Y","N")</f>
        <v>Y</v>
      </c>
      <c r="GD408" s="0" t="n">
        <f aca="false">ROW()-1</f>
        <v>407</v>
      </c>
    </row>
    <row r="409" customFormat="false" ht="15" hidden="false" customHeight="false" outlineLevel="0" collapsed="false">
      <c r="C409" s="0" t="str">
        <f aca="false">IF($A409="","",IF(AW409="Y",BM409&amp;"",AY409&amp;""))</f>
        <v/>
      </c>
      <c r="D409" s="0" t="str">
        <f aca="false">IF($A409="","",IF(AW409="Y",BN409&amp;"",AZ409&amp;""))</f>
        <v/>
      </c>
      <c r="E409" s="0" t="str">
        <f aca="false">IF($A409="","",IF(AW409="Y",BO409&amp;"",BA409&amp;""))</f>
        <v/>
      </c>
      <c r="F409" s="0" t="str">
        <f aca="false">IF($A409="","",IF(AW409="Y",BP409&amp;"",BB409&amp;""))</f>
        <v/>
      </c>
      <c r="G409" s="0" t="str">
        <f aca="false">IF($A409="","",IF(AW409="Y",BQ409&amp;"",BC409&amp;""))</f>
        <v/>
      </c>
      <c r="H409" s="0" t="str">
        <f aca="false">IF($A409="","",IF(AW409="Y",BR409&amp;"",BD409&amp;""))</f>
        <v/>
      </c>
      <c r="I409" s="0" t="str">
        <f aca="false">IF($A409="","",IF(R409="Y","warm-intro",IF(H409="verified","email",IF(C409&lt;&gt;"","linkedin",CB409&amp;""))))</f>
        <v/>
      </c>
      <c r="J409" s="0" t="str">
        <f aca="false">IF($A409="","",IF(CN409="pass",ROUND(N(EM409)+N(EN409)+N(EO409)+N(EP409)+N(EQ409)+N(ER409),1),0))</f>
        <v/>
      </c>
      <c r="K409" s="0" t="str">
        <f aca="false">IF($A409="","",IF(CN409&lt;&gt;"pass",CA409&amp;"",CA409&amp;"; "&amp;IF(AW409="Y",BZ409&amp;"",BL409&amp;"")&amp;IF(R409="Y","; known to the founder (+15)","")&amp;"."))</f>
        <v/>
      </c>
      <c r="R409" s="5"/>
      <c r="U409" s="5"/>
      <c r="Y409" s="0" t="str">
        <f aca="false">IF(FX409&lt;&gt;"Y","",COUNTIFS($FX$2:$FX$1000,"Y",$J$2:$J$1000,"&gt;"&amp;J409)+COUNTIFS($FX$2:$FX$1000,"Y",$J$2:$J$1000,J409,$GD$2:$GD$1000,"&lt;"&amp;GD409)+1)</f>
        <v/>
      </c>
      <c r="AB409" s="0" t="str">
        <f aca="false">IF($A409="","",IF(AW409="Y",BY409&amp;"",BK409&amp;""))</f>
        <v/>
      </c>
      <c r="AC409" s="0" t="str">
        <f aca="false">IF($A409="","",IF(AW409="Y",BS409&amp;"",BE409&amp;""))</f>
        <v/>
      </c>
      <c r="AD409" s="0" t="str">
        <f aca="false">IF($A409="","",IF(AW409="Y",BT409&amp;"",BF409&amp;""))</f>
        <v/>
      </c>
      <c r="AE409" s="0" t="str">
        <f aca="false">IF($A409="","",IF(AW409="Y",BU409&amp;"",BG409&amp;""))</f>
        <v/>
      </c>
      <c r="AF409" s="0" t="str">
        <f aca="false">IF($A409="","",IF(AW409="Y",BV409&amp;"",BH409&amp;""))</f>
        <v/>
      </c>
      <c r="AG409" s="0" t="str">
        <f aca="false">IF($A409="","",IF(AW409="Y",BW409&amp;"",BI409&amp;""))</f>
        <v/>
      </c>
      <c r="AH409" s="0" t="str">
        <f aca="false">IF($A409="","",IF(AW409="Y",BX409&amp;"",BJ409&amp;""))</f>
        <v/>
      </c>
      <c r="AQ409" s="5"/>
      <c r="AT409" s="0" t="str">
        <f aca="false">IF($A409="","",IF(AND(CN409="pass",AQ409&lt;&gt;"Y",C409&lt;&gt;"",OR(AX409&lt;&gt;"Y",AV409="Y")),"Y","N"))</f>
        <v/>
      </c>
      <c r="AU409" s="0" t="str">
        <f aca="false">IF($A409="","",_xlfn.TEXTJOIN("; ",TRUE(),IF(CN409&lt;&gt;"pass","gated out",""),IF(AQ409="Y","on hold: "&amp;AR409,""),IF(C409="","no contact named on an opened page",""),IF(AND(AX409="Y",AV409&lt;&gt;"Y"),"Tuesday estimate band "&amp;L409&amp;": founder's call","")))</f>
        <v/>
      </c>
      <c r="BC409" s="0" t="str">
        <f aca="false">IF($A409="","",IFERROR(INDEX(Enrichment!$A$2:$GZ$2000,MATCH($A409,INDEX(Enrichment!$A$2:$GZ$2000,0,MATCH("row_id",Enrichment!$A$1:$GZ$1,0)),0),MATCH("work_email",Enrichment!$A$1:$GZ$1,0))&amp;"",""))</f>
        <v/>
      </c>
      <c r="BD409" s="0" t="str">
        <f aca="false">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Q409" s="0" t="str">
        <f aca="false">IF($A409="","",IFERROR(INDEX(Enrichment!$A$2:$GZ$2000,MATCH($A409,INDEX(Enrichment!$A$2:$GZ$2000,0,MATCH("row_id",Enrichment!$A$1:$GZ$1,0)),0),MATCH("backup_work_email",Enrichment!$A$1:$GZ$1,0))&amp;"",""))</f>
        <v/>
      </c>
      <c r="BR409" s="0" t="str">
        <f aca="false">IF($A409="","",IF(BQ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EQ409" s="0" t="str">
        <f aca="false">IF($A409="","",IF(AH409="exact",10,IF(AH409="adjacent",5,0)))</f>
        <v/>
      </c>
      <c r="ER409" s="0" t="str">
        <f aca="false">IF($A409="","",IF(R409="Y",15,0))</f>
        <v/>
      </c>
      <c r="FS409" s="0" t="str">
        <f aca="false">IF($A409="","",IF(ISNUMBER(MATCH(U409,{"queued","contacted","replied","call_booked","call_done","yes_in_principle","materials_sent"},0)),"Y","N"))</f>
        <v/>
      </c>
      <c r="FT409" s="0" t="str">
        <f aca="false">IF($A409="","",IF(OR(T409="Y",U409="do_not_contact",AS409&amp;""&lt;&gt;""),"Y","N"))</f>
        <v/>
      </c>
      <c r="FU409" s="0" t="str">
        <f aca="false">IF($A409="","",IF(AP409&amp;""&lt;&gt;"",AP409&amp;"",$A409))</f>
        <v/>
      </c>
      <c r="FV409" s="0" t="str">
        <f aca="false">IF($A409="","",IF(COUNTIFS($FU$2:$FU$1000,FU409,$FS$2:$FS$1000,"Y")+COUNTIFS($FU$2:$FU$1000,FU409,$FT$2:$FT$1000,"Y")&gt;0,"Y","N"))</f>
        <v/>
      </c>
      <c r="FW409" s="0" t="str">
        <f aca="false">IF($A409="","",IF(AND(U409="new",T409="N",FT409="N",AT409="Y",FV409="N"),"Y","N"))</f>
        <v/>
      </c>
      <c r="FX409" s="0" t="str">
        <f aca="false">IF($A409="","",IF(FW409&lt;&gt;"Y","N",IF(COUNTIFS($FU$2:$FU$1000,FU409,$FW$2:$FW$1000,"Y",$J$2:$J$1000,"&gt;"&amp;J409)+COUNTIFS($FU$2:$FU$1000,FU409,$FW$2:$FW$1000,"Y",$J$2:$J$1000,J409,$GD$2:$GD$1000,"&lt;"&amp;GD409)=0,"Y","N")))</f>
        <v/>
      </c>
      <c r="FY409" s="0" t="str">
        <f aca="false">IF($A409="","",IF(AND(FW409="Y",FX409="Y",Y409&amp;""&lt;&gt;""),IF(Y409&lt;=10,"Y","N"),"N"))</f>
        <v/>
      </c>
      <c r="FZ409" s="0" t="str">
        <f aca="false">IF(FY409="Y",Y409,"")</f>
        <v/>
      </c>
      <c r="GA409" s="0" t="str">
        <f aca="false">IF($A409="","",IF(AND(I409="walk-in",CN409="pass",U409="new",FT409="N",FV409="N",AQ409&lt;&gt;"Y"),"Y","N"))</f>
        <v/>
      </c>
      <c r="GB409" s="0" t="str">
        <f aca="false">IF(GA409&lt;&gt;"Y","",IF(COUNTIFS($GA$2:$GA$1000,"Y",$J$2:$J$1000,"&gt;"&amp;J409)+COUNTIFS($GA$2:$GA$1000,"Y",$J$2:$J$1000,J409,$GD$2:$GD$1000,"&lt;"&amp;GD409)+1&lt;=25,COUNTIFS($GA$2:$GA$1000,"Y",$J$2:$J$1000,"&gt;"&amp;J409)+COUNTIFS($GA$2:$GA$1000,"Y",$J$2:$J$1000,J409,$GD$2:$GD$1000,"&lt;"&amp;GD409)+1,""))</f>
        <v/>
      </c>
      <c r="GC409" s="0" t="str">
        <f aca="false">IF(AND(_xlfn.ISFORMULA(C409),_xlfn.ISFORMULA(J409)),"Y","N")</f>
        <v>Y</v>
      </c>
      <c r="GD409" s="0" t="n">
        <f aca="false">ROW()-1</f>
        <v>408</v>
      </c>
    </row>
    <row r="410" customFormat="false" ht="15" hidden="false" customHeight="false" outlineLevel="0" collapsed="false">
      <c r="C410" s="0" t="str">
        <f aca="false">IF($A410="","",IF(AW410="Y",BM410&amp;"",AY410&amp;""))</f>
        <v/>
      </c>
      <c r="D410" s="0" t="str">
        <f aca="false">IF($A410="","",IF(AW410="Y",BN410&amp;"",AZ410&amp;""))</f>
        <v/>
      </c>
      <c r="E410" s="0" t="str">
        <f aca="false">IF($A410="","",IF(AW410="Y",BO410&amp;"",BA410&amp;""))</f>
        <v/>
      </c>
      <c r="F410" s="0" t="str">
        <f aca="false">IF($A410="","",IF(AW410="Y",BP410&amp;"",BB410&amp;""))</f>
        <v/>
      </c>
      <c r="G410" s="0" t="str">
        <f aca="false">IF($A410="","",IF(AW410="Y",BQ410&amp;"",BC410&amp;""))</f>
        <v/>
      </c>
      <c r="H410" s="0" t="str">
        <f aca="false">IF($A410="","",IF(AW410="Y",BR410&amp;"",BD410&amp;""))</f>
        <v/>
      </c>
      <c r="I410" s="0" t="str">
        <f aca="false">IF($A410="","",IF(R410="Y","warm-intro",IF(H410="verified","email",IF(C410&lt;&gt;"","linkedin",CB410&amp;""))))</f>
        <v/>
      </c>
      <c r="J410" s="0" t="str">
        <f aca="false">IF($A410="","",IF(CN410="pass",ROUND(N(EM410)+N(EN410)+N(EO410)+N(EP410)+N(EQ410)+N(ER410),1),0))</f>
        <v/>
      </c>
      <c r="K410" s="0" t="str">
        <f aca="false">IF($A410="","",IF(CN410&lt;&gt;"pass",CA410&amp;"",CA410&amp;"; "&amp;IF(AW410="Y",BZ410&amp;"",BL410&amp;"")&amp;IF(R410="Y","; known to the founder (+15)","")&amp;"."))</f>
        <v/>
      </c>
      <c r="R410" s="5"/>
      <c r="U410" s="5"/>
      <c r="Y410" s="0" t="str">
        <f aca="false">IF(FX410&lt;&gt;"Y","",COUNTIFS($FX$2:$FX$1000,"Y",$J$2:$J$1000,"&gt;"&amp;J410)+COUNTIFS($FX$2:$FX$1000,"Y",$J$2:$J$1000,J410,$GD$2:$GD$1000,"&lt;"&amp;GD410)+1)</f>
        <v/>
      </c>
      <c r="AB410" s="0" t="str">
        <f aca="false">IF($A410="","",IF(AW410="Y",BY410&amp;"",BK410&amp;""))</f>
        <v/>
      </c>
      <c r="AC410" s="0" t="str">
        <f aca="false">IF($A410="","",IF(AW410="Y",BS410&amp;"",BE410&amp;""))</f>
        <v/>
      </c>
      <c r="AD410" s="0" t="str">
        <f aca="false">IF($A410="","",IF(AW410="Y",BT410&amp;"",BF410&amp;""))</f>
        <v/>
      </c>
      <c r="AE410" s="0" t="str">
        <f aca="false">IF($A410="","",IF(AW410="Y",BU410&amp;"",BG410&amp;""))</f>
        <v/>
      </c>
      <c r="AF410" s="0" t="str">
        <f aca="false">IF($A410="","",IF(AW410="Y",BV410&amp;"",BH410&amp;""))</f>
        <v/>
      </c>
      <c r="AG410" s="0" t="str">
        <f aca="false">IF($A410="","",IF(AW410="Y",BW410&amp;"",BI410&amp;""))</f>
        <v/>
      </c>
      <c r="AH410" s="0" t="str">
        <f aca="false">IF($A410="","",IF(AW410="Y",BX410&amp;"",BJ410&amp;""))</f>
        <v/>
      </c>
      <c r="AQ410" s="5"/>
      <c r="AT410" s="0" t="str">
        <f aca="false">IF($A410="","",IF(AND(CN410="pass",AQ410&lt;&gt;"Y",C410&lt;&gt;"",OR(AX410&lt;&gt;"Y",AV410="Y")),"Y","N"))</f>
        <v/>
      </c>
      <c r="AU410" s="0" t="str">
        <f aca="false">IF($A410="","",_xlfn.TEXTJOIN("; ",TRUE(),IF(CN410&lt;&gt;"pass","gated out",""),IF(AQ410="Y","on hold: "&amp;AR410,""),IF(C410="","no contact named on an opened page",""),IF(AND(AX410="Y",AV410&lt;&gt;"Y"),"Tuesday estimate band "&amp;L410&amp;": founder's call","")))</f>
        <v/>
      </c>
      <c r="BC410" s="0" t="str">
        <f aca="false">IF($A410="","",IFERROR(INDEX(Enrichment!$A$2:$GZ$2000,MATCH($A410,INDEX(Enrichment!$A$2:$GZ$2000,0,MATCH("row_id",Enrichment!$A$1:$GZ$1,0)),0),MATCH("work_email",Enrichment!$A$1:$GZ$1,0))&amp;"",""))</f>
        <v/>
      </c>
      <c r="BD410" s="0" t="str">
        <f aca="false">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Q410" s="0" t="str">
        <f aca="false">IF($A410="","",IFERROR(INDEX(Enrichment!$A$2:$GZ$2000,MATCH($A410,INDEX(Enrichment!$A$2:$GZ$2000,0,MATCH("row_id",Enrichment!$A$1:$GZ$1,0)),0),MATCH("backup_work_email",Enrichment!$A$1:$GZ$1,0))&amp;"",""))</f>
        <v/>
      </c>
      <c r="BR410" s="0" t="str">
        <f aca="false">IF($A410="","",IF(BQ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EQ410" s="0" t="str">
        <f aca="false">IF($A410="","",IF(AH410="exact",10,IF(AH410="adjacent",5,0)))</f>
        <v/>
      </c>
      <c r="ER410" s="0" t="str">
        <f aca="false">IF($A410="","",IF(R410="Y",15,0))</f>
        <v/>
      </c>
      <c r="FS410" s="0" t="str">
        <f aca="false">IF($A410="","",IF(ISNUMBER(MATCH(U410,{"queued","contacted","replied","call_booked","call_done","yes_in_principle","materials_sent"},0)),"Y","N"))</f>
        <v/>
      </c>
      <c r="FT410" s="0" t="str">
        <f aca="false">IF($A410="","",IF(OR(T410="Y",U410="do_not_contact",AS410&amp;""&lt;&gt;""),"Y","N"))</f>
        <v/>
      </c>
      <c r="FU410" s="0" t="str">
        <f aca="false">IF($A410="","",IF(AP410&amp;""&lt;&gt;"",AP410&amp;"",$A410))</f>
        <v/>
      </c>
      <c r="FV410" s="0" t="str">
        <f aca="false">IF($A410="","",IF(COUNTIFS($FU$2:$FU$1000,FU410,$FS$2:$FS$1000,"Y")+COUNTIFS($FU$2:$FU$1000,FU410,$FT$2:$FT$1000,"Y")&gt;0,"Y","N"))</f>
        <v/>
      </c>
      <c r="FW410" s="0" t="str">
        <f aca="false">IF($A410="","",IF(AND(U410="new",T410="N",FT410="N",AT410="Y",FV410="N"),"Y","N"))</f>
        <v/>
      </c>
      <c r="FX410" s="0" t="str">
        <f aca="false">IF($A410="","",IF(FW410&lt;&gt;"Y","N",IF(COUNTIFS($FU$2:$FU$1000,FU410,$FW$2:$FW$1000,"Y",$J$2:$J$1000,"&gt;"&amp;J410)+COUNTIFS($FU$2:$FU$1000,FU410,$FW$2:$FW$1000,"Y",$J$2:$J$1000,J410,$GD$2:$GD$1000,"&lt;"&amp;GD410)=0,"Y","N")))</f>
        <v/>
      </c>
      <c r="FY410" s="0" t="str">
        <f aca="false">IF($A410="","",IF(AND(FW410="Y",FX410="Y",Y410&amp;""&lt;&gt;""),IF(Y410&lt;=10,"Y","N"),"N"))</f>
        <v/>
      </c>
      <c r="FZ410" s="0" t="str">
        <f aca="false">IF(FY410="Y",Y410,"")</f>
        <v/>
      </c>
      <c r="GA410" s="0" t="str">
        <f aca="false">IF($A410="","",IF(AND(I410="walk-in",CN410="pass",U410="new",FT410="N",FV410="N",AQ410&lt;&gt;"Y"),"Y","N"))</f>
        <v/>
      </c>
      <c r="GB410" s="0" t="str">
        <f aca="false">IF(GA410&lt;&gt;"Y","",IF(COUNTIFS($GA$2:$GA$1000,"Y",$J$2:$J$1000,"&gt;"&amp;J410)+COUNTIFS($GA$2:$GA$1000,"Y",$J$2:$J$1000,J410,$GD$2:$GD$1000,"&lt;"&amp;GD410)+1&lt;=25,COUNTIFS($GA$2:$GA$1000,"Y",$J$2:$J$1000,"&gt;"&amp;J410)+COUNTIFS($GA$2:$GA$1000,"Y",$J$2:$J$1000,J410,$GD$2:$GD$1000,"&lt;"&amp;GD410)+1,""))</f>
        <v/>
      </c>
      <c r="GC410" s="0" t="str">
        <f aca="false">IF(AND(_xlfn.ISFORMULA(C410),_xlfn.ISFORMULA(J410)),"Y","N")</f>
        <v>Y</v>
      </c>
      <c r="GD410" s="0" t="n">
        <f aca="false">ROW()-1</f>
        <v>409</v>
      </c>
    </row>
    <row r="411" customFormat="false" ht="15" hidden="false" customHeight="false" outlineLevel="0" collapsed="false">
      <c r="C411" s="0" t="str">
        <f aca="false">IF($A411="","",IF(AW411="Y",BM411&amp;"",AY411&amp;""))</f>
        <v/>
      </c>
      <c r="D411" s="0" t="str">
        <f aca="false">IF($A411="","",IF(AW411="Y",BN411&amp;"",AZ411&amp;""))</f>
        <v/>
      </c>
      <c r="E411" s="0" t="str">
        <f aca="false">IF($A411="","",IF(AW411="Y",BO411&amp;"",BA411&amp;""))</f>
        <v/>
      </c>
      <c r="F411" s="0" t="str">
        <f aca="false">IF($A411="","",IF(AW411="Y",BP411&amp;"",BB411&amp;""))</f>
        <v/>
      </c>
      <c r="G411" s="0" t="str">
        <f aca="false">IF($A411="","",IF(AW411="Y",BQ411&amp;"",BC411&amp;""))</f>
        <v/>
      </c>
      <c r="H411" s="0" t="str">
        <f aca="false">IF($A411="","",IF(AW411="Y",BR411&amp;"",BD411&amp;""))</f>
        <v/>
      </c>
      <c r="I411" s="0" t="str">
        <f aca="false">IF($A411="","",IF(R411="Y","warm-intro",IF(H411="verified","email",IF(C411&lt;&gt;"","linkedin",CB411&amp;""))))</f>
        <v/>
      </c>
      <c r="J411" s="0" t="str">
        <f aca="false">IF($A411="","",IF(CN411="pass",ROUND(N(EM411)+N(EN411)+N(EO411)+N(EP411)+N(EQ411)+N(ER411),1),0))</f>
        <v/>
      </c>
      <c r="K411" s="0" t="str">
        <f aca="false">IF($A411="","",IF(CN411&lt;&gt;"pass",CA411&amp;"",CA411&amp;"; "&amp;IF(AW411="Y",BZ411&amp;"",BL411&amp;"")&amp;IF(R411="Y","; known to the founder (+15)","")&amp;"."))</f>
        <v/>
      </c>
      <c r="R411" s="5"/>
      <c r="U411" s="5"/>
      <c r="Y411" s="0" t="str">
        <f aca="false">IF(FX411&lt;&gt;"Y","",COUNTIFS($FX$2:$FX$1000,"Y",$J$2:$J$1000,"&gt;"&amp;J411)+COUNTIFS($FX$2:$FX$1000,"Y",$J$2:$J$1000,J411,$GD$2:$GD$1000,"&lt;"&amp;GD411)+1)</f>
        <v/>
      </c>
      <c r="AB411" s="0" t="str">
        <f aca="false">IF($A411="","",IF(AW411="Y",BY411&amp;"",BK411&amp;""))</f>
        <v/>
      </c>
      <c r="AC411" s="0" t="str">
        <f aca="false">IF($A411="","",IF(AW411="Y",BS411&amp;"",BE411&amp;""))</f>
        <v/>
      </c>
      <c r="AD411" s="0" t="str">
        <f aca="false">IF($A411="","",IF(AW411="Y",BT411&amp;"",BF411&amp;""))</f>
        <v/>
      </c>
      <c r="AE411" s="0" t="str">
        <f aca="false">IF($A411="","",IF(AW411="Y",BU411&amp;"",BG411&amp;""))</f>
        <v/>
      </c>
      <c r="AF411" s="0" t="str">
        <f aca="false">IF($A411="","",IF(AW411="Y",BV411&amp;"",BH411&amp;""))</f>
        <v/>
      </c>
      <c r="AG411" s="0" t="str">
        <f aca="false">IF($A411="","",IF(AW411="Y",BW411&amp;"",BI411&amp;""))</f>
        <v/>
      </c>
      <c r="AH411" s="0" t="str">
        <f aca="false">IF($A411="","",IF(AW411="Y",BX411&amp;"",BJ411&amp;""))</f>
        <v/>
      </c>
      <c r="AQ411" s="5"/>
      <c r="AT411" s="0" t="str">
        <f aca="false">IF($A411="","",IF(AND(CN411="pass",AQ411&lt;&gt;"Y",C411&lt;&gt;"",OR(AX411&lt;&gt;"Y",AV411="Y")),"Y","N"))</f>
        <v/>
      </c>
      <c r="AU411" s="0" t="str">
        <f aca="false">IF($A411="","",_xlfn.TEXTJOIN("; ",TRUE(),IF(CN411&lt;&gt;"pass","gated out",""),IF(AQ411="Y","on hold: "&amp;AR411,""),IF(C411="","no contact named on an opened page",""),IF(AND(AX411="Y",AV411&lt;&gt;"Y"),"Tuesday estimate band "&amp;L411&amp;": founder's call","")))</f>
        <v/>
      </c>
      <c r="BC411" s="0" t="str">
        <f aca="false">IF($A411="","",IFERROR(INDEX(Enrichment!$A$2:$GZ$2000,MATCH($A411,INDEX(Enrichment!$A$2:$GZ$2000,0,MATCH("row_id",Enrichment!$A$1:$GZ$1,0)),0),MATCH("work_email",Enrichment!$A$1:$GZ$1,0))&amp;"",""))</f>
        <v/>
      </c>
      <c r="BD411" s="0" t="str">
        <f aca="false">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Q411" s="0" t="str">
        <f aca="false">IF($A411="","",IFERROR(INDEX(Enrichment!$A$2:$GZ$2000,MATCH($A411,INDEX(Enrichment!$A$2:$GZ$2000,0,MATCH("row_id",Enrichment!$A$1:$GZ$1,0)),0),MATCH("backup_work_email",Enrichment!$A$1:$GZ$1,0))&amp;"",""))</f>
        <v/>
      </c>
      <c r="BR411" s="0" t="str">
        <f aca="false">IF($A411="","",IF(BQ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EQ411" s="0" t="str">
        <f aca="false">IF($A411="","",IF(AH411="exact",10,IF(AH411="adjacent",5,0)))</f>
        <v/>
      </c>
      <c r="ER411" s="0" t="str">
        <f aca="false">IF($A411="","",IF(R411="Y",15,0))</f>
        <v/>
      </c>
      <c r="FS411" s="0" t="str">
        <f aca="false">IF($A411="","",IF(ISNUMBER(MATCH(U411,{"queued","contacted","replied","call_booked","call_done","yes_in_principle","materials_sent"},0)),"Y","N"))</f>
        <v/>
      </c>
      <c r="FT411" s="0" t="str">
        <f aca="false">IF($A411="","",IF(OR(T411="Y",U411="do_not_contact",AS411&amp;""&lt;&gt;""),"Y","N"))</f>
        <v/>
      </c>
      <c r="FU411" s="0" t="str">
        <f aca="false">IF($A411="","",IF(AP411&amp;""&lt;&gt;"",AP411&amp;"",$A411))</f>
        <v/>
      </c>
      <c r="FV411" s="0" t="str">
        <f aca="false">IF($A411="","",IF(COUNTIFS($FU$2:$FU$1000,FU411,$FS$2:$FS$1000,"Y")+COUNTIFS($FU$2:$FU$1000,FU411,$FT$2:$FT$1000,"Y")&gt;0,"Y","N"))</f>
        <v/>
      </c>
      <c r="FW411" s="0" t="str">
        <f aca="false">IF($A411="","",IF(AND(U411="new",T411="N",FT411="N",AT411="Y",FV411="N"),"Y","N"))</f>
        <v/>
      </c>
      <c r="FX411" s="0" t="str">
        <f aca="false">IF($A411="","",IF(FW411&lt;&gt;"Y","N",IF(COUNTIFS($FU$2:$FU$1000,FU411,$FW$2:$FW$1000,"Y",$J$2:$J$1000,"&gt;"&amp;J411)+COUNTIFS($FU$2:$FU$1000,FU411,$FW$2:$FW$1000,"Y",$J$2:$J$1000,J411,$GD$2:$GD$1000,"&lt;"&amp;GD411)=0,"Y","N")))</f>
        <v/>
      </c>
      <c r="FY411" s="0" t="str">
        <f aca="false">IF($A411="","",IF(AND(FW411="Y",FX411="Y",Y411&amp;""&lt;&gt;""),IF(Y411&lt;=10,"Y","N"),"N"))</f>
        <v/>
      </c>
      <c r="FZ411" s="0" t="str">
        <f aca="false">IF(FY411="Y",Y411,"")</f>
        <v/>
      </c>
      <c r="GA411" s="0" t="str">
        <f aca="false">IF($A411="","",IF(AND(I411="walk-in",CN411="pass",U411="new",FT411="N",FV411="N",AQ411&lt;&gt;"Y"),"Y","N"))</f>
        <v/>
      </c>
      <c r="GB411" s="0" t="str">
        <f aca="false">IF(GA411&lt;&gt;"Y","",IF(COUNTIFS($GA$2:$GA$1000,"Y",$J$2:$J$1000,"&gt;"&amp;J411)+COUNTIFS($GA$2:$GA$1000,"Y",$J$2:$J$1000,J411,$GD$2:$GD$1000,"&lt;"&amp;GD411)+1&lt;=25,COUNTIFS($GA$2:$GA$1000,"Y",$J$2:$J$1000,"&gt;"&amp;J411)+COUNTIFS($GA$2:$GA$1000,"Y",$J$2:$J$1000,J411,$GD$2:$GD$1000,"&lt;"&amp;GD411)+1,""))</f>
        <v/>
      </c>
      <c r="GC411" s="0" t="str">
        <f aca="false">IF(AND(_xlfn.ISFORMULA(C411),_xlfn.ISFORMULA(J411)),"Y","N")</f>
        <v>Y</v>
      </c>
      <c r="GD411" s="0" t="n">
        <f aca="false">ROW()-1</f>
        <v>410</v>
      </c>
    </row>
    <row r="412" customFormat="false" ht="15" hidden="false" customHeight="false" outlineLevel="0" collapsed="false">
      <c r="C412" s="0" t="str">
        <f aca="false">IF($A412="","",IF(AW412="Y",BM412&amp;"",AY412&amp;""))</f>
        <v/>
      </c>
      <c r="D412" s="0" t="str">
        <f aca="false">IF($A412="","",IF(AW412="Y",BN412&amp;"",AZ412&amp;""))</f>
        <v/>
      </c>
      <c r="E412" s="0" t="str">
        <f aca="false">IF($A412="","",IF(AW412="Y",BO412&amp;"",BA412&amp;""))</f>
        <v/>
      </c>
      <c r="F412" s="0" t="str">
        <f aca="false">IF($A412="","",IF(AW412="Y",BP412&amp;"",BB412&amp;""))</f>
        <v/>
      </c>
      <c r="G412" s="0" t="str">
        <f aca="false">IF($A412="","",IF(AW412="Y",BQ412&amp;"",BC412&amp;""))</f>
        <v/>
      </c>
      <c r="H412" s="0" t="str">
        <f aca="false">IF($A412="","",IF(AW412="Y",BR412&amp;"",BD412&amp;""))</f>
        <v/>
      </c>
      <c r="I412" s="0" t="str">
        <f aca="false">IF($A412="","",IF(R412="Y","warm-intro",IF(H412="verified","email",IF(C412&lt;&gt;"","linkedin",CB412&amp;""))))</f>
        <v/>
      </c>
      <c r="J412" s="0" t="str">
        <f aca="false">IF($A412="","",IF(CN412="pass",ROUND(N(EM412)+N(EN412)+N(EO412)+N(EP412)+N(EQ412)+N(ER412),1),0))</f>
        <v/>
      </c>
      <c r="K412" s="0" t="str">
        <f aca="false">IF($A412="","",IF(CN412&lt;&gt;"pass",CA412&amp;"",CA412&amp;"; "&amp;IF(AW412="Y",BZ412&amp;"",BL412&amp;"")&amp;IF(R412="Y","; known to the founder (+15)","")&amp;"."))</f>
        <v/>
      </c>
      <c r="R412" s="5"/>
      <c r="U412" s="5"/>
      <c r="Y412" s="0" t="str">
        <f aca="false">IF(FX412&lt;&gt;"Y","",COUNTIFS($FX$2:$FX$1000,"Y",$J$2:$J$1000,"&gt;"&amp;J412)+COUNTIFS($FX$2:$FX$1000,"Y",$J$2:$J$1000,J412,$GD$2:$GD$1000,"&lt;"&amp;GD412)+1)</f>
        <v/>
      </c>
      <c r="AB412" s="0" t="str">
        <f aca="false">IF($A412="","",IF(AW412="Y",BY412&amp;"",BK412&amp;""))</f>
        <v/>
      </c>
      <c r="AC412" s="0" t="str">
        <f aca="false">IF($A412="","",IF(AW412="Y",BS412&amp;"",BE412&amp;""))</f>
        <v/>
      </c>
      <c r="AD412" s="0" t="str">
        <f aca="false">IF($A412="","",IF(AW412="Y",BT412&amp;"",BF412&amp;""))</f>
        <v/>
      </c>
      <c r="AE412" s="0" t="str">
        <f aca="false">IF($A412="","",IF(AW412="Y",BU412&amp;"",BG412&amp;""))</f>
        <v/>
      </c>
      <c r="AF412" s="0" t="str">
        <f aca="false">IF($A412="","",IF(AW412="Y",BV412&amp;"",BH412&amp;""))</f>
        <v/>
      </c>
      <c r="AG412" s="0" t="str">
        <f aca="false">IF($A412="","",IF(AW412="Y",BW412&amp;"",BI412&amp;""))</f>
        <v/>
      </c>
      <c r="AH412" s="0" t="str">
        <f aca="false">IF($A412="","",IF(AW412="Y",BX412&amp;"",BJ412&amp;""))</f>
        <v/>
      </c>
      <c r="AQ412" s="5"/>
      <c r="AT412" s="0" t="str">
        <f aca="false">IF($A412="","",IF(AND(CN412="pass",AQ412&lt;&gt;"Y",C412&lt;&gt;"",OR(AX412&lt;&gt;"Y",AV412="Y")),"Y","N"))</f>
        <v/>
      </c>
      <c r="AU412" s="0" t="str">
        <f aca="false">IF($A412="","",_xlfn.TEXTJOIN("; ",TRUE(),IF(CN412&lt;&gt;"pass","gated out",""),IF(AQ412="Y","on hold: "&amp;AR412,""),IF(C412="","no contact named on an opened page",""),IF(AND(AX412="Y",AV412&lt;&gt;"Y"),"Tuesday estimate band "&amp;L412&amp;": founder's call","")))</f>
        <v/>
      </c>
      <c r="BC412" s="0" t="str">
        <f aca="false">IF($A412="","",IFERROR(INDEX(Enrichment!$A$2:$GZ$2000,MATCH($A412,INDEX(Enrichment!$A$2:$GZ$2000,0,MATCH("row_id",Enrichment!$A$1:$GZ$1,0)),0),MATCH("work_email",Enrichment!$A$1:$GZ$1,0))&amp;"",""))</f>
        <v/>
      </c>
      <c r="BD412" s="0" t="str">
        <f aca="false">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Q412" s="0" t="str">
        <f aca="false">IF($A412="","",IFERROR(INDEX(Enrichment!$A$2:$GZ$2000,MATCH($A412,INDEX(Enrichment!$A$2:$GZ$2000,0,MATCH("row_id",Enrichment!$A$1:$GZ$1,0)),0),MATCH("backup_work_email",Enrichment!$A$1:$GZ$1,0))&amp;"",""))</f>
        <v/>
      </c>
      <c r="BR412" s="0" t="str">
        <f aca="false">IF($A412="","",IF(BQ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EQ412" s="0" t="str">
        <f aca="false">IF($A412="","",IF(AH412="exact",10,IF(AH412="adjacent",5,0)))</f>
        <v/>
      </c>
      <c r="ER412" s="0" t="str">
        <f aca="false">IF($A412="","",IF(R412="Y",15,0))</f>
        <v/>
      </c>
      <c r="FS412" s="0" t="str">
        <f aca="false">IF($A412="","",IF(ISNUMBER(MATCH(U412,{"queued","contacted","replied","call_booked","call_done","yes_in_principle","materials_sent"},0)),"Y","N"))</f>
        <v/>
      </c>
      <c r="FT412" s="0" t="str">
        <f aca="false">IF($A412="","",IF(OR(T412="Y",U412="do_not_contact",AS412&amp;""&lt;&gt;""),"Y","N"))</f>
        <v/>
      </c>
      <c r="FU412" s="0" t="str">
        <f aca="false">IF($A412="","",IF(AP412&amp;""&lt;&gt;"",AP412&amp;"",$A412))</f>
        <v/>
      </c>
      <c r="FV412" s="0" t="str">
        <f aca="false">IF($A412="","",IF(COUNTIFS($FU$2:$FU$1000,FU412,$FS$2:$FS$1000,"Y")+COUNTIFS($FU$2:$FU$1000,FU412,$FT$2:$FT$1000,"Y")&gt;0,"Y","N"))</f>
        <v/>
      </c>
      <c r="FW412" s="0" t="str">
        <f aca="false">IF($A412="","",IF(AND(U412="new",T412="N",FT412="N",AT412="Y",FV412="N"),"Y","N"))</f>
        <v/>
      </c>
      <c r="FX412" s="0" t="str">
        <f aca="false">IF($A412="","",IF(FW412&lt;&gt;"Y","N",IF(COUNTIFS($FU$2:$FU$1000,FU412,$FW$2:$FW$1000,"Y",$J$2:$J$1000,"&gt;"&amp;J412)+COUNTIFS($FU$2:$FU$1000,FU412,$FW$2:$FW$1000,"Y",$J$2:$J$1000,J412,$GD$2:$GD$1000,"&lt;"&amp;GD412)=0,"Y","N")))</f>
        <v/>
      </c>
      <c r="FY412" s="0" t="str">
        <f aca="false">IF($A412="","",IF(AND(FW412="Y",FX412="Y",Y412&amp;""&lt;&gt;""),IF(Y412&lt;=10,"Y","N"),"N"))</f>
        <v/>
      </c>
      <c r="FZ412" s="0" t="str">
        <f aca="false">IF(FY412="Y",Y412,"")</f>
        <v/>
      </c>
      <c r="GA412" s="0" t="str">
        <f aca="false">IF($A412="","",IF(AND(I412="walk-in",CN412="pass",U412="new",FT412="N",FV412="N",AQ412&lt;&gt;"Y"),"Y","N"))</f>
        <v/>
      </c>
      <c r="GB412" s="0" t="str">
        <f aca="false">IF(GA412&lt;&gt;"Y","",IF(COUNTIFS($GA$2:$GA$1000,"Y",$J$2:$J$1000,"&gt;"&amp;J412)+COUNTIFS($GA$2:$GA$1000,"Y",$J$2:$J$1000,J412,$GD$2:$GD$1000,"&lt;"&amp;GD412)+1&lt;=25,COUNTIFS($GA$2:$GA$1000,"Y",$J$2:$J$1000,"&gt;"&amp;J412)+COUNTIFS($GA$2:$GA$1000,"Y",$J$2:$J$1000,J412,$GD$2:$GD$1000,"&lt;"&amp;GD412)+1,""))</f>
        <v/>
      </c>
      <c r="GC412" s="0" t="str">
        <f aca="false">IF(AND(_xlfn.ISFORMULA(C412),_xlfn.ISFORMULA(J412)),"Y","N")</f>
        <v>Y</v>
      </c>
      <c r="GD412" s="0" t="n">
        <f aca="false">ROW()-1</f>
        <v>411</v>
      </c>
    </row>
    <row r="413" customFormat="false" ht="15" hidden="false" customHeight="false" outlineLevel="0" collapsed="false">
      <c r="C413" s="0" t="str">
        <f aca="false">IF($A413="","",IF(AW413="Y",BM413&amp;"",AY413&amp;""))</f>
        <v/>
      </c>
      <c r="D413" s="0" t="str">
        <f aca="false">IF($A413="","",IF(AW413="Y",BN413&amp;"",AZ413&amp;""))</f>
        <v/>
      </c>
      <c r="E413" s="0" t="str">
        <f aca="false">IF($A413="","",IF(AW413="Y",BO413&amp;"",BA413&amp;""))</f>
        <v/>
      </c>
      <c r="F413" s="0" t="str">
        <f aca="false">IF($A413="","",IF(AW413="Y",BP413&amp;"",BB413&amp;""))</f>
        <v/>
      </c>
      <c r="G413" s="0" t="str">
        <f aca="false">IF($A413="","",IF(AW413="Y",BQ413&amp;"",BC413&amp;""))</f>
        <v/>
      </c>
      <c r="H413" s="0" t="str">
        <f aca="false">IF($A413="","",IF(AW413="Y",BR413&amp;"",BD413&amp;""))</f>
        <v/>
      </c>
      <c r="I413" s="0" t="str">
        <f aca="false">IF($A413="","",IF(R413="Y","warm-intro",IF(H413="verified","email",IF(C413&lt;&gt;"","linkedin",CB413&amp;""))))</f>
        <v/>
      </c>
      <c r="J413" s="0" t="str">
        <f aca="false">IF($A413="","",IF(CN413="pass",ROUND(N(EM413)+N(EN413)+N(EO413)+N(EP413)+N(EQ413)+N(ER413),1),0))</f>
        <v/>
      </c>
      <c r="K413" s="0" t="str">
        <f aca="false">IF($A413="","",IF(CN413&lt;&gt;"pass",CA413&amp;"",CA413&amp;"; "&amp;IF(AW413="Y",BZ413&amp;"",BL413&amp;"")&amp;IF(R413="Y","; known to the founder (+15)","")&amp;"."))</f>
        <v/>
      </c>
      <c r="R413" s="5"/>
      <c r="U413" s="5"/>
      <c r="Y413" s="0" t="str">
        <f aca="false">IF(FX413&lt;&gt;"Y","",COUNTIFS($FX$2:$FX$1000,"Y",$J$2:$J$1000,"&gt;"&amp;J413)+COUNTIFS($FX$2:$FX$1000,"Y",$J$2:$J$1000,J413,$GD$2:$GD$1000,"&lt;"&amp;GD413)+1)</f>
        <v/>
      </c>
      <c r="AB413" s="0" t="str">
        <f aca="false">IF($A413="","",IF(AW413="Y",BY413&amp;"",BK413&amp;""))</f>
        <v/>
      </c>
      <c r="AC413" s="0" t="str">
        <f aca="false">IF($A413="","",IF(AW413="Y",BS413&amp;"",BE413&amp;""))</f>
        <v/>
      </c>
      <c r="AD413" s="0" t="str">
        <f aca="false">IF($A413="","",IF(AW413="Y",BT413&amp;"",BF413&amp;""))</f>
        <v/>
      </c>
      <c r="AE413" s="0" t="str">
        <f aca="false">IF($A413="","",IF(AW413="Y",BU413&amp;"",BG413&amp;""))</f>
        <v/>
      </c>
      <c r="AF413" s="0" t="str">
        <f aca="false">IF($A413="","",IF(AW413="Y",BV413&amp;"",BH413&amp;""))</f>
        <v/>
      </c>
      <c r="AG413" s="0" t="str">
        <f aca="false">IF($A413="","",IF(AW413="Y",BW413&amp;"",BI413&amp;""))</f>
        <v/>
      </c>
      <c r="AH413" s="0" t="str">
        <f aca="false">IF($A413="","",IF(AW413="Y",BX413&amp;"",BJ413&amp;""))</f>
        <v/>
      </c>
      <c r="AQ413" s="5"/>
      <c r="AT413" s="0" t="str">
        <f aca="false">IF($A413="","",IF(AND(CN413="pass",AQ413&lt;&gt;"Y",C413&lt;&gt;"",OR(AX413&lt;&gt;"Y",AV413="Y")),"Y","N"))</f>
        <v/>
      </c>
      <c r="AU413" s="0" t="str">
        <f aca="false">IF($A413="","",_xlfn.TEXTJOIN("; ",TRUE(),IF(CN413&lt;&gt;"pass","gated out",""),IF(AQ413="Y","on hold: "&amp;AR413,""),IF(C413="","no contact named on an opened page",""),IF(AND(AX413="Y",AV413&lt;&gt;"Y"),"Tuesday estimate band "&amp;L413&amp;": founder's call","")))</f>
        <v/>
      </c>
      <c r="BC413" s="0" t="str">
        <f aca="false">IF($A413="","",IFERROR(INDEX(Enrichment!$A$2:$GZ$2000,MATCH($A413,INDEX(Enrichment!$A$2:$GZ$2000,0,MATCH("row_id",Enrichment!$A$1:$GZ$1,0)),0),MATCH("work_email",Enrichment!$A$1:$GZ$1,0))&amp;"",""))</f>
        <v/>
      </c>
      <c r="BD413" s="0" t="str">
        <f aca="false">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Q413" s="0" t="str">
        <f aca="false">IF($A413="","",IFERROR(INDEX(Enrichment!$A$2:$GZ$2000,MATCH($A413,INDEX(Enrichment!$A$2:$GZ$2000,0,MATCH("row_id",Enrichment!$A$1:$GZ$1,0)),0),MATCH("backup_work_email",Enrichment!$A$1:$GZ$1,0))&amp;"",""))</f>
        <v/>
      </c>
      <c r="BR413" s="0" t="str">
        <f aca="false">IF($A413="","",IF(BQ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EQ413" s="0" t="str">
        <f aca="false">IF($A413="","",IF(AH413="exact",10,IF(AH413="adjacent",5,0)))</f>
        <v/>
      </c>
      <c r="ER413" s="0" t="str">
        <f aca="false">IF($A413="","",IF(R413="Y",15,0))</f>
        <v/>
      </c>
      <c r="FS413" s="0" t="str">
        <f aca="false">IF($A413="","",IF(ISNUMBER(MATCH(U413,{"queued","contacted","replied","call_booked","call_done","yes_in_principle","materials_sent"},0)),"Y","N"))</f>
        <v/>
      </c>
      <c r="FT413" s="0" t="str">
        <f aca="false">IF($A413="","",IF(OR(T413="Y",U413="do_not_contact",AS413&amp;""&lt;&gt;""),"Y","N"))</f>
        <v/>
      </c>
      <c r="FU413" s="0" t="str">
        <f aca="false">IF($A413="","",IF(AP413&amp;""&lt;&gt;"",AP413&amp;"",$A413))</f>
        <v/>
      </c>
      <c r="FV413" s="0" t="str">
        <f aca="false">IF($A413="","",IF(COUNTIFS($FU$2:$FU$1000,FU413,$FS$2:$FS$1000,"Y")+COUNTIFS($FU$2:$FU$1000,FU413,$FT$2:$FT$1000,"Y")&gt;0,"Y","N"))</f>
        <v/>
      </c>
      <c r="FW413" s="0" t="str">
        <f aca="false">IF($A413="","",IF(AND(U413="new",T413="N",FT413="N",AT413="Y",FV413="N"),"Y","N"))</f>
        <v/>
      </c>
      <c r="FX413" s="0" t="str">
        <f aca="false">IF($A413="","",IF(FW413&lt;&gt;"Y","N",IF(COUNTIFS($FU$2:$FU$1000,FU413,$FW$2:$FW$1000,"Y",$J$2:$J$1000,"&gt;"&amp;J413)+COUNTIFS($FU$2:$FU$1000,FU413,$FW$2:$FW$1000,"Y",$J$2:$J$1000,J413,$GD$2:$GD$1000,"&lt;"&amp;GD413)=0,"Y","N")))</f>
        <v/>
      </c>
      <c r="FY413" s="0" t="str">
        <f aca="false">IF($A413="","",IF(AND(FW413="Y",FX413="Y",Y413&amp;""&lt;&gt;""),IF(Y413&lt;=10,"Y","N"),"N"))</f>
        <v/>
      </c>
      <c r="FZ413" s="0" t="str">
        <f aca="false">IF(FY413="Y",Y413,"")</f>
        <v/>
      </c>
      <c r="GA413" s="0" t="str">
        <f aca="false">IF($A413="","",IF(AND(I413="walk-in",CN413="pass",U413="new",FT413="N",FV413="N",AQ413&lt;&gt;"Y"),"Y","N"))</f>
        <v/>
      </c>
      <c r="GB413" s="0" t="str">
        <f aca="false">IF(GA413&lt;&gt;"Y","",IF(COUNTIFS($GA$2:$GA$1000,"Y",$J$2:$J$1000,"&gt;"&amp;J413)+COUNTIFS($GA$2:$GA$1000,"Y",$J$2:$J$1000,J413,$GD$2:$GD$1000,"&lt;"&amp;GD413)+1&lt;=25,COUNTIFS($GA$2:$GA$1000,"Y",$J$2:$J$1000,"&gt;"&amp;J413)+COUNTIFS($GA$2:$GA$1000,"Y",$J$2:$J$1000,J413,$GD$2:$GD$1000,"&lt;"&amp;GD413)+1,""))</f>
        <v/>
      </c>
      <c r="GC413" s="0" t="str">
        <f aca="false">IF(AND(_xlfn.ISFORMULA(C413),_xlfn.ISFORMULA(J413)),"Y","N")</f>
        <v>Y</v>
      </c>
      <c r="GD413" s="0" t="n">
        <f aca="false">ROW()-1</f>
        <v>412</v>
      </c>
    </row>
    <row r="414" customFormat="false" ht="15" hidden="false" customHeight="false" outlineLevel="0" collapsed="false">
      <c r="C414" s="0" t="str">
        <f aca="false">IF($A414="","",IF(AW414="Y",BM414&amp;"",AY414&amp;""))</f>
        <v/>
      </c>
      <c r="D414" s="0" t="str">
        <f aca="false">IF($A414="","",IF(AW414="Y",BN414&amp;"",AZ414&amp;""))</f>
        <v/>
      </c>
      <c r="E414" s="0" t="str">
        <f aca="false">IF($A414="","",IF(AW414="Y",BO414&amp;"",BA414&amp;""))</f>
        <v/>
      </c>
      <c r="F414" s="0" t="str">
        <f aca="false">IF($A414="","",IF(AW414="Y",BP414&amp;"",BB414&amp;""))</f>
        <v/>
      </c>
      <c r="G414" s="0" t="str">
        <f aca="false">IF($A414="","",IF(AW414="Y",BQ414&amp;"",BC414&amp;""))</f>
        <v/>
      </c>
      <c r="H414" s="0" t="str">
        <f aca="false">IF($A414="","",IF(AW414="Y",BR414&amp;"",BD414&amp;""))</f>
        <v/>
      </c>
      <c r="I414" s="0" t="str">
        <f aca="false">IF($A414="","",IF(R414="Y","warm-intro",IF(H414="verified","email",IF(C414&lt;&gt;"","linkedin",CB414&amp;""))))</f>
        <v/>
      </c>
      <c r="J414" s="0" t="str">
        <f aca="false">IF($A414="","",IF(CN414="pass",ROUND(N(EM414)+N(EN414)+N(EO414)+N(EP414)+N(EQ414)+N(ER414),1),0))</f>
        <v/>
      </c>
      <c r="K414" s="0" t="str">
        <f aca="false">IF($A414="","",IF(CN414&lt;&gt;"pass",CA414&amp;"",CA414&amp;"; "&amp;IF(AW414="Y",BZ414&amp;"",BL414&amp;"")&amp;IF(R414="Y","; known to the founder (+15)","")&amp;"."))</f>
        <v/>
      </c>
      <c r="R414" s="5"/>
      <c r="U414" s="5"/>
      <c r="Y414" s="0" t="str">
        <f aca="false">IF(FX414&lt;&gt;"Y","",COUNTIFS($FX$2:$FX$1000,"Y",$J$2:$J$1000,"&gt;"&amp;J414)+COUNTIFS($FX$2:$FX$1000,"Y",$J$2:$J$1000,J414,$GD$2:$GD$1000,"&lt;"&amp;GD414)+1)</f>
        <v/>
      </c>
      <c r="AB414" s="0" t="str">
        <f aca="false">IF($A414="","",IF(AW414="Y",BY414&amp;"",BK414&amp;""))</f>
        <v/>
      </c>
      <c r="AC414" s="0" t="str">
        <f aca="false">IF($A414="","",IF(AW414="Y",BS414&amp;"",BE414&amp;""))</f>
        <v/>
      </c>
      <c r="AD414" s="0" t="str">
        <f aca="false">IF($A414="","",IF(AW414="Y",BT414&amp;"",BF414&amp;""))</f>
        <v/>
      </c>
      <c r="AE414" s="0" t="str">
        <f aca="false">IF($A414="","",IF(AW414="Y",BU414&amp;"",BG414&amp;""))</f>
        <v/>
      </c>
      <c r="AF414" s="0" t="str">
        <f aca="false">IF($A414="","",IF(AW414="Y",BV414&amp;"",BH414&amp;""))</f>
        <v/>
      </c>
      <c r="AG414" s="0" t="str">
        <f aca="false">IF($A414="","",IF(AW414="Y",BW414&amp;"",BI414&amp;""))</f>
        <v/>
      </c>
      <c r="AH414" s="0" t="str">
        <f aca="false">IF($A414="","",IF(AW414="Y",BX414&amp;"",BJ414&amp;""))</f>
        <v/>
      </c>
      <c r="AQ414" s="5"/>
      <c r="AT414" s="0" t="str">
        <f aca="false">IF($A414="","",IF(AND(CN414="pass",AQ414&lt;&gt;"Y",C414&lt;&gt;"",OR(AX414&lt;&gt;"Y",AV414="Y")),"Y","N"))</f>
        <v/>
      </c>
      <c r="AU414" s="0" t="str">
        <f aca="false">IF($A414="","",_xlfn.TEXTJOIN("; ",TRUE(),IF(CN414&lt;&gt;"pass","gated out",""),IF(AQ414="Y","on hold: "&amp;AR414,""),IF(C414="","no contact named on an opened page",""),IF(AND(AX414="Y",AV414&lt;&gt;"Y"),"Tuesday estimate band "&amp;L414&amp;": founder's call","")))</f>
        <v/>
      </c>
      <c r="BC414" s="0" t="str">
        <f aca="false">IF($A414="","",IFERROR(INDEX(Enrichment!$A$2:$GZ$2000,MATCH($A414,INDEX(Enrichment!$A$2:$GZ$2000,0,MATCH("row_id",Enrichment!$A$1:$GZ$1,0)),0),MATCH("work_email",Enrichment!$A$1:$GZ$1,0))&amp;"",""))</f>
        <v/>
      </c>
      <c r="BD414" s="0" t="str">
        <f aca="false">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Q414" s="0" t="str">
        <f aca="false">IF($A414="","",IFERROR(INDEX(Enrichment!$A$2:$GZ$2000,MATCH($A414,INDEX(Enrichment!$A$2:$GZ$2000,0,MATCH("row_id",Enrichment!$A$1:$GZ$1,0)),0),MATCH("backup_work_email",Enrichment!$A$1:$GZ$1,0))&amp;"",""))</f>
        <v/>
      </c>
      <c r="BR414" s="0" t="str">
        <f aca="false">IF($A414="","",IF(BQ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EQ414" s="0" t="str">
        <f aca="false">IF($A414="","",IF(AH414="exact",10,IF(AH414="adjacent",5,0)))</f>
        <v/>
      </c>
      <c r="ER414" s="0" t="str">
        <f aca="false">IF($A414="","",IF(R414="Y",15,0))</f>
        <v/>
      </c>
      <c r="FS414" s="0" t="str">
        <f aca="false">IF($A414="","",IF(ISNUMBER(MATCH(U414,{"queued","contacted","replied","call_booked","call_done","yes_in_principle","materials_sent"},0)),"Y","N"))</f>
        <v/>
      </c>
      <c r="FT414" s="0" t="str">
        <f aca="false">IF($A414="","",IF(OR(T414="Y",U414="do_not_contact",AS414&amp;""&lt;&gt;""),"Y","N"))</f>
        <v/>
      </c>
      <c r="FU414" s="0" t="str">
        <f aca="false">IF($A414="","",IF(AP414&amp;""&lt;&gt;"",AP414&amp;"",$A414))</f>
        <v/>
      </c>
      <c r="FV414" s="0" t="str">
        <f aca="false">IF($A414="","",IF(COUNTIFS($FU$2:$FU$1000,FU414,$FS$2:$FS$1000,"Y")+COUNTIFS($FU$2:$FU$1000,FU414,$FT$2:$FT$1000,"Y")&gt;0,"Y","N"))</f>
        <v/>
      </c>
      <c r="FW414" s="0" t="str">
        <f aca="false">IF($A414="","",IF(AND(U414="new",T414="N",FT414="N",AT414="Y",FV414="N"),"Y","N"))</f>
        <v/>
      </c>
      <c r="FX414" s="0" t="str">
        <f aca="false">IF($A414="","",IF(FW414&lt;&gt;"Y","N",IF(COUNTIFS($FU$2:$FU$1000,FU414,$FW$2:$FW$1000,"Y",$J$2:$J$1000,"&gt;"&amp;J414)+COUNTIFS($FU$2:$FU$1000,FU414,$FW$2:$FW$1000,"Y",$J$2:$J$1000,J414,$GD$2:$GD$1000,"&lt;"&amp;GD414)=0,"Y","N")))</f>
        <v/>
      </c>
      <c r="FY414" s="0" t="str">
        <f aca="false">IF($A414="","",IF(AND(FW414="Y",FX414="Y",Y414&amp;""&lt;&gt;""),IF(Y414&lt;=10,"Y","N"),"N"))</f>
        <v/>
      </c>
      <c r="FZ414" s="0" t="str">
        <f aca="false">IF(FY414="Y",Y414,"")</f>
        <v/>
      </c>
      <c r="GA414" s="0" t="str">
        <f aca="false">IF($A414="","",IF(AND(I414="walk-in",CN414="pass",U414="new",FT414="N",FV414="N",AQ414&lt;&gt;"Y"),"Y","N"))</f>
        <v/>
      </c>
      <c r="GB414" s="0" t="str">
        <f aca="false">IF(GA414&lt;&gt;"Y","",IF(COUNTIFS($GA$2:$GA$1000,"Y",$J$2:$J$1000,"&gt;"&amp;J414)+COUNTIFS($GA$2:$GA$1000,"Y",$J$2:$J$1000,J414,$GD$2:$GD$1000,"&lt;"&amp;GD414)+1&lt;=25,COUNTIFS($GA$2:$GA$1000,"Y",$J$2:$J$1000,"&gt;"&amp;J414)+COUNTIFS($GA$2:$GA$1000,"Y",$J$2:$J$1000,J414,$GD$2:$GD$1000,"&lt;"&amp;GD414)+1,""))</f>
        <v/>
      </c>
      <c r="GC414" s="0" t="str">
        <f aca="false">IF(AND(_xlfn.ISFORMULA(C414),_xlfn.ISFORMULA(J414)),"Y","N")</f>
        <v>Y</v>
      </c>
      <c r="GD414" s="0" t="n">
        <f aca="false">ROW()-1</f>
        <v>413</v>
      </c>
    </row>
    <row r="415" customFormat="false" ht="15" hidden="false" customHeight="false" outlineLevel="0" collapsed="false">
      <c r="C415" s="0" t="str">
        <f aca="false">IF($A415="","",IF(AW415="Y",BM415&amp;"",AY415&amp;""))</f>
        <v/>
      </c>
      <c r="D415" s="0" t="str">
        <f aca="false">IF($A415="","",IF(AW415="Y",BN415&amp;"",AZ415&amp;""))</f>
        <v/>
      </c>
      <c r="E415" s="0" t="str">
        <f aca="false">IF($A415="","",IF(AW415="Y",BO415&amp;"",BA415&amp;""))</f>
        <v/>
      </c>
      <c r="F415" s="0" t="str">
        <f aca="false">IF($A415="","",IF(AW415="Y",BP415&amp;"",BB415&amp;""))</f>
        <v/>
      </c>
      <c r="G415" s="0" t="str">
        <f aca="false">IF($A415="","",IF(AW415="Y",BQ415&amp;"",BC415&amp;""))</f>
        <v/>
      </c>
      <c r="H415" s="0" t="str">
        <f aca="false">IF($A415="","",IF(AW415="Y",BR415&amp;"",BD415&amp;""))</f>
        <v/>
      </c>
      <c r="I415" s="0" t="str">
        <f aca="false">IF($A415="","",IF(R415="Y","warm-intro",IF(H415="verified","email",IF(C415&lt;&gt;"","linkedin",CB415&amp;""))))</f>
        <v/>
      </c>
      <c r="J415" s="0" t="str">
        <f aca="false">IF($A415="","",IF(CN415="pass",ROUND(N(EM415)+N(EN415)+N(EO415)+N(EP415)+N(EQ415)+N(ER415),1),0))</f>
        <v/>
      </c>
      <c r="K415" s="0" t="str">
        <f aca="false">IF($A415="","",IF(CN415&lt;&gt;"pass",CA415&amp;"",CA415&amp;"; "&amp;IF(AW415="Y",BZ415&amp;"",BL415&amp;"")&amp;IF(R415="Y","; known to the founder (+15)","")&amp;"."))</f>
        <v/>
      </c>
      <c r="R415" s="5"/>
      <c r="U415" s="5"/>
      <c r="Y415" s="0" t="str">
        <f aca="false">IF(FX415&lt;&gt;"Y","",COUNTIFS($FX$2:$FX$1000,"Y",$J$2:$J$1000,"&gt;"&amp;J415)+COUNTIFS($FX$2:$FX$1000,"Y",$J$2:$J$1000,J415,$GD$2:$GD$1000,"&lt;"&amp;GD415)+1)</f>
        <v/>
      </c>
      <c r="AB415" s="0" t="str">
        <f aca="false">IF($A415="","",IF(AW415="Y",BY415&amp;"",BK415&amp;""))</f>
        <v/>
      </c>
      <c r="AC415" s="0" t="str">
        <f aca="false">IF($A415="","",IF(AW415="Y",BS415&amp;"",BE415&amp;""))</f>
        <v/>
      </c>
      <c r="AD415" s="0" t="str">
        <f aca="false">IF($A415="","",IF(AW415="Y",BT415&amp;"",BF415&amp;""))</f>
        <v/>
      </c>
      <c r="AE415" s="0" t="str">
        <f aca="false">IF($A415="","",IF(AW415="Y",BU415&amp;"",BG415&amp;""))</f>
        <v/>
      </c>
      <c r="AF415" s="0" t="str">
        <f aca="false">IF($A415="","",IF(AW415="Y",BV415&amp;"",BH415&amp;""))</f>
        <v/>
      </c>
      <c r="AG415" s="0" t="str">
        <f aca="false">IF($A415="","",IF(AW415="Y",BW415&amp;"",BI415&amp;""))</f>
        <v/>
      </c>
      <c r="AH415" s="0" t="str">
        <f aca="false">IF($A415="","",IF(AW415="Y",BX415&amp;"",BJ415&amp;""))</f>
        <v/>
      </c>
      <c r="AQ415" s="5"/>
      <c r="AT415" s="0" t="str">
        <f aca="false">IF($A415="","",IF(AND(CN415="pass",AQ415&lt;&gt;"Y",C415&lt;&gt;"",OR(AX415&lt;&gt;"Y",AV415="Y")),"Y","N"))</f>
        <v/>
      </c>
      <c r="AU415" s="0" t="str">
        <f aca="false">IF($A415="","",_xlfn.TEXTJOIN("; ",TRUE(),IF(CN415&lt;&gt;"pass","gated out",""),IF(AQ415="Y","on hold: "&amp;AR415,""),IF(C415="","no contact named on an opened page",""),IF(AND(AX415="Y",AV415&lt;&gt;"Y"),"Tuesday estimate band "&amp;L415&amp;": founder's call","")))</f>
        <v/>
      </c>
      <c r="BC415" s="0" t="str">
        <f aca="false">IF($A415="","",IFERROR(INDEX(Enrichment!$A$2:$GZ$2000,MATCH($A415,INDEX(Enrichment!$A$2:$GZ$2000,0,MATCH("row_id",Enrichment!$A$1:$GZ$1,0)),0),MATCH("work_email",Enrichment!$A$1:$GZ$1,0))&amp;"",""))</f>
        <v/>
      </c>
      <c r="BD415" s="0" t="str">
        <f aca="false">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Q415" s="0" t="str">
        <f aca="false">IF($A415="","",IFERROR(INDEX(Enrichment!$A$2:$GZ$2000,MATCH($A415,INDEX(Enrichment!$A$2:$GZ$2000,0,MATCH("row_id",Enrichment!$A$1:$GZ$1,0)),0),MATCH("backup_work_email",Enrichment!$A$1:$GZ$1,0))&amp;"",""))</f>
        <v/>
      </c>
      <c r="BR415" s="0" t="str">
        <f aca="false">IF($A415="","",IF(BQ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EQ415" s="0" t="str">
        <f aca="false">IF($A415="","",IF(AH415="exact",10,IF(AH415="adjacent",5,0)))</f>
        <v/>
      </c>
      <c r="ER415" s="0" t="str">
        <f aca="false">IF($A415="","",IF(R415="Y",15,0))</f>
        <v/>
      </c>
      <c r="FS415" s="0" t="str">
        <f aca="false">IF($A415="","",IF(ISNUMBER(MATCH(U415,{"queued","contacted","replied","call_booked","call_done","yes_in_principle","materials_sent"},0)),"Y","N"))</f>
        <v/>
      </c>
      <c r="FT415" s="0" t="str">
        <f aca="false">IF($A415="","",IF(OR(T415="Y",U415="do_not_contact",AS415&amp;""&lt;&gt;""),"Y","N"))</f>
        <v/>
      </c>
      <c r="FU415" s="0" t="str">
        <f aca="false">IF($A415="","",IF(AP415&amp;""&lt;&gt;"",AP415&amp;"",$A415))</f>
        <v/>
      </c>
      <c r="FV415" s="0" t="str">
        <f aca="false">IF($A415="","",IF(COUNTIFS($FU$2:$FU$1000,FU415,$FS$2:$FS$1000,"Y")+COUNTIFS($FU$2:$FU$1000,FU415,$FT$2:$FT$1000,"Y")&gt;0,"Y","N"))</f>
        <v/>
      </c>
      <c r="FW415" s="0" t="str">
        <f aca="false">IF($A415="","",IF(AND(U415="new",T415="N",FT415="N",AT415="Y",FV415="N"),"Y","N"))</f>
        <v/>
      </c>
      <c r="FX415" s="0" t="str">
        <f aca="false">IF($A415="","",IF(FW415&lt;&gt;"Y","N",IF(COUNTIFS($FU$2:$FU$1000,FU415,$FW$2:$FW$1000,"Y",$J$2:$J$1000,"&gt;"&amp;J415)+COUNTIFS($FU$2:$FU$1000,FU415,$FW$2:$FW$1000,"Y",$J$2:$J$1000,J415,$GD$2:$GD$1000,"&lt;"&amp;GD415)=0,"Y","N")))</f>
        <v/>
      </c>
      <c r="FY415" s="0" t="str">
        <f aca="false">IF($A415="","",IF(AND(FW415="Y",FX415="Y",Y415&amp;""&lt;&gt;""),IF(Y415&lt;=10,"Y","N"),"N"))</f>
        <v/>
      </c>
      <c r="FZ415" s="0" t="str">
        <f aca="false">IF(FY415="Y",Y415,"")</f>
        <v/>
      </c>
      <c r="GA415" s="0" t="str">
        <f aca="false">IF($A415="","",IF(AND(I415="walk-in",CN415="pass",U415="new",FT415="N",FV415="N",AQ415&lt;&gt;"Y"),"Y","N"))</f>
        <v/>
      </c>
      <c r="GB415" s="0" t="str">
        <f aca="false">IF(GA415&lt;&gt;"Y","",IF(COUNTIFS($GA$2:$GA$1000,"Y",$J$2:$J$1000,"&gt;"&amp;J415)+COUNTIFS($GA$2:$GA$1000,"Y",$J$2:$J$1000,J415,$GD$2:$GD$1000,"&lt;"&amp;GD415)+1&lt;=25,COUNTIFS($GA$2:$GA$1000,"Y",$J$2:$J$1000,"&gt;"&amp;J415)+COUNTIFS($GA$2:$GA$1000,"Y",$J$2:$J$1000,J415,$GD$2:$GD$1000,"&lt;"&amp;GD415)+1,""))</f>
        <v/>
      </c>
      <c r="GC415" s="0" t="str">
        <f aca="false">IF(AND(_xlfn.ISFORMULA(C415),_xlfn.ISFORMULA(J415)),"Y","N")</f>
        <v>Y</v>
      </c>
      <c r="GD415" s="0" t="n">
        <f aca="false">ROW()-1</f>
        <v>414</v>
      </c>
    </row>
    <row r="416" customFormat="false" ht="15" hidden="false" customHeight="false" outlineLevel="0" collapsed="false">
      <c r="C416" s="0" t="str">
        <f aca="false">IF($A416="","",IF(AW416="Y",BM416&amp;"",AY416&amp;""))</f>
        <v/>
      </c>
      <c r="D416" s="0" t="str">
        <f aca="false">IF($A416="","",IF(AW416="Y",BN416&amp;"",AZ416&amp;""))</f>
        <v/>
      </c>
      <c r="E416" s="0" t="str">
        <f aca="false">IF($A416="","",IF(AW416="Y",BO416&amp;"",BA416&amp;""))</f>
        <v/>
      </c>
      <c r="F416" s="0" t="str">
        <f aca="false">IF($A416="","",IF(AW416="Y",BP416&amp;"",BB416&amp;""))</f>
        <v/>
      </c>
      <c r="G416" s="0" t="str">
        <f aca="false">IF($A416="","",IF(AW416="Y",BQ416&amp;"",BC416&amp;""))</f>
        <v/>
      </c>
      <c r="H416" s="0" t="str">
        <f aca="false">IF($A416="","",IF(AW416="Y",BR416&amp;"",BD416&amp;""))</f>
        <v/>
      </c>
      <c r="I416" s="0" t="str">
        <f aca="false">IF($A416="","",IF(R416="Y","warm-intro",IF(H416="verified","email",IF(C416&lt;&gt;"","linkedin",CB416&amp;""))))</f>
        <v/>
      </c>
      <c r="J416" s="0" t="str">
        <f aca="false">IF($A416="","",IF(CN416="pass",ROUND(N(EM416)+N(EN416)+N(EO416)+N(EP416)+N(EQ416)+N(ER416),1),0))</f>
        <v/>
      </c>
      <c r="K416" s="0" t="str">
        <f aca="false">IF($A416="","",IF(CN416&lt;&gt;"pass",CA416&amp;"",CA416&amp;"; "&amp;IF(AW416="Y",BZ416&amp;"",BL416&amp;"")&amp;IF(R416="Y","; known to the founder (+15)","")&amp;"."))</f>
        <v/>
      </c>
      <c r="R416" s="5"/>
      <c r="U416" s="5"/>
      <c r="Y416" s="0" t="str">
        <f aca="false">IF(FX416&lt;&gt;"Y","",COUNTIFS($FX$2:$FX$1000,"Y",$J$2:$J$1000,"&gt;"&amp;J416)+COUNTIFS($FX$2:$FX$1000,"Y",$J$2:$J$1000,J416,$GD$2:$GD$1000,"&lt;"&amp;GD416)+1)</f>
        <v/>
      </c>
      <c r="AB416" s="0" t="str">
        <f aca="false">IF($A416="","",IF(AW416="Y",BY416&amp;"",BK416&amp;""))</f>
        <v/>
      </c>
      <c r="AC416" s="0" t="str">
        <f aca="false">IF($A416="","",IF(AW416="Y",BS416&amp;"",BE416&amp;""))</f>
        <v/>
      </c>
      <c r="AD416" s="0" t="str">
        <f aca="false">IF($A416="","",IF(AW416="Y",BT416&amp;"",BF416&amp;""))</f>
        <v/>
      </c>
      <c r="AE416" s="0" t="str">
        <f aca="false">IF($A416="","",IF(AW416="Y",BU416&amp;"",BG416&amp;""))</f>
        <v/>
      </c>
      <c r="AF416" s="0" t="str">
        <f aca="false">IF($A416="","",IF(AW416="Y",BV416&amp;"",BH416&amp;""))</f>
        <v/>
      </c>
      <c r="AG416" s="0" t="str">
        <f aca="false">IF($A416="","",IF(AW416="Y",BW416&amp;"",BI416&amp;""))</f>
        <v/>
      </c>
      <c r="AH416" s="0" t="str">
        <f aca="false">IF($A416="","",IF(AW416="Y",BX416&amp;"",BJ416&amp;""))</f>
        <v/>
      </c>
      <c r="AQ416" s="5"/>
      <c r="AT416" s="0" t="str">
        <f aca="false">IF($A416="","",IF(AND(CN416="pass",AQ416&lt;&gt;"Y",C416&lt;&gt;"",OR(AX416&lt;&gt;"Y",AV416="Y")),"Y","N"))</f>
        <v/>
      </c>
      <c r="AU416" s="0" t="str">
        <f aca="false">IF($A416="","",_xlfn.TEXTJOIN("; ",TRUE(),IF(CN416&lt;&gt;"pass","gated out",""),IF(AQ416="Y","on hold: "&amp;AR416,""),IF(C416="","no contact named on an opened page",""),IF(AND(AX416="Y",AV416&lt;&gt;"Y"),"Tuesday estimate band "&amp;L416&amp;": founder's call","")))</f>
        <v/>
      </c>
      <c r="BC416" s="0" t="str">
        <f aca="false">IF($A416="","",IFERROR(INDEX(Enrichment!$A$2:$GZ$2000,MATCH($A416,INDEX(Enrichment!$A$2:$GZ$2000,0,MATCH("row_id",Enrichment!$A$1:$GZ$1,0)),0),MATCH("work_email",Enrichment!$A$1:$GZ$1,0))&amp;"",""))</f>
        <v/>
      </c>
      <c r="BD416" s="0" t="str">
        <f aca="false">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Q416" s="0" t="str">
        <f aca="false">IF($A416="","",IFERROR(INDEX(Enrichment!$A$2:$GZ$2000,MATCH($A416,INDEX(Enrichment!$A$2:$GZ$2000,0,MATCH("row_id",Enrichment!$A$1:$GZ$1,0)),0),MATCH("backup_work_email",Enrichment!$A$1:$GZ$1,0))&amp;"",""))</f>
        <v/>
      </c>
      <c r="BR416" s="0" t="str">
        <f aca="false">IF($A416="","",IF(BQ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EQ416" s="0" t="str">
        <f aca="false">IF($A416="","",IF(AH416="exact",10,IF(AH416="adjacent",5,0)))</f>
        <v/>
      </c>
      <c r="ER416" s="0" t="str">
        <f aca="false">IF($A416="","",IF(R416="Y",15,0))</f>
        <v/>
      </c>
      <c r="FS416" s="0" t="str">
        <f aca="false">IF($A416="","",IF(ISNUMBER(MATCH(U416,{"queued","contacted","replied","call_booked","call_done","yes_in_principle","materials_sent"},0)),"Y","N"))</f>
        <v/>
      </c>
      <c r="FT416" s="0" t="str">
        <f aca="false">IF($A416="","",IF(OR(T416="Y",U416="do_not_contact",AS416&amp;""&lt;&gt;""),"Y","N"))</f>
        <v/>
      </c>
      <c r="FU416" s="0" t="str">
        <f aca="false">IF($A416="","",IF(AP416&amp;""&lt;&gt;"",AP416&amp;"",$A416))</f>
        <v/>
      </c>
      <c r="FV416" s="0" t="str">
        <f aca="false">IF($A416="","",IF(COUNTIFS($FU$2:$FU$1000,FU416,$FS$2:$FS$1000,"Y")+COUNTIFS($FU$2:$FU$1000,FU416,$FT$2:$FT$1000,"Y")&gt;0,"Y","N"))</f>
        <v/>
      </c>
      <c r="FW416" s="0" t="str">
        <f aca="false">IF($A416="","",IF(AND(U416="new",T416="N",FT416="N",AT416="Y",FV416="N"),"Y","N"))</f>
        <v/>
      </c>
      <c r="FX416" s="0" t="str">
        <f aca="false">IF($A416="","",IF(FW416&lt;&gt;"Y","N",IF(COUNTIFS($FU$2:$FU$1000,FU416,$FW$2:$FW$1000,"Y",$J$2:$J$1000,"&gt;"&amp;J416)+COUNTIFS($FU$2:$FU$1000,FU416,$FW$2:$FW$1000,"Y",$J$2:$J$1000,J416,$GD$2:$GD$1000,"&lt;"&amp;GD416)=0,"Y","N")))</f>
        <v/>
      </c>
      <c r="FY416" s="0" t="str">
        <f aca="false">IF($A416="","",IF(AND(FW416="Y",FX416="Y",Y416&amp;""&lt;&gt;""),IF(Y416&lt;=10,"Y","N"),"N"))</f>
        <v/>
      </c>
      <c r="FZ416" s="0" t="str">
        <f aca="false">IF(FY416="Y",Y416,"")</f>
        <v/>
      </c>
      <c r="GA416" s="0" t="str">
        <f aca="false">IF($A416="","",IF(AND(I416="walk-in",CN416="pass",U416="new",FT416="N",FV416="N",AQ416&lt;&gt;"Y"),"Y","N"))</f>
        <v/>
      </c>
      <c r="GB416" s="0" t="str">
        <f aca="false">IF(GA416&lt;&gt;"Y","",IF(COUNTIFS($GA$2:$GA$1000,"Y",$J$2:$J$1000,"&gt;"&amp;J416)+COUNTIFS($GA$2:$GA$1000,"Y",$J$2:$J$1000,J416,$GD$2:$GD$1000,"&lt;"&amp;GD416)+1&lt;=25,COUNTIFS($GA$2:$GA$1000,"Y",$J$2:$J$1000,"&gt;"&amp;J416)+COUNTIFS($GA$2:$GA$1000,"Y",$J$2:$J$1000,J416,$GD$2:$GD$1000,"&lt;"&amp;GD416)+1,""))</f>
        <v/>
      </c>
      <c r="GC416" s="0" t="str">
        <f aca="false">IF(AND(_xlfn.ISFORMULA(C416),_xlfn.ISFORMULA(J416)),"Y","N")</f>
        <v>Y</v>
      </c>
      <c r="GD416" s="0" t="n">
        <f aca="false">ROW()-1</f>
        <v>415</v>
      </c>
    </row>
    <row r="417" customFormat="false" ht="15" hidden="false" customHeight="false" outlineLevel="0" collapsed="false">
      <c r="C417" s="0" t="str">
        <f aca="false">IF($A417="","",IF(AW417="Y",BM417&amp;"",AY417&amp;""))</f>
        <v/>
      </c>
      <c r="D417" s="0" t="str">
        <f aca="false">IF($A417="","",IF(AW417="Y",BN417&amp;"",AZ417&amp;""))</f>
        <v/>
      </c>
      <c r="E417" s="0" t="str">
        <f aca="false">IF($A417="","",IF(AW417="Y",BO417&amp;"",BA417&amp;""))</f>
        <v/>
      </c>
      <c r="F417" s="0" t="str">
        <f aca="false">IF($A417="","",IF(AW417="Y",BP417&amp;"",BB417&amp;""))</f>
        <v/>
      </c>
      <c r="G417" s="0" t="str">
        <f aca="false">IF($A417="","",IF(AW417="Y",BQ417&amp;"",BC417&amp;""))</f>
        <v/>
      </c>
      <c r="H417" s="0" t="str">
        <f aca="false">IF($A417="","",IF(AW417="Y",BR417&amp;"",BD417&amp;""))</f>
        <v/>
      </c>
      <c r="I417" s="0" t="str">
        <f aca="false">IF($A417="","",IF(R417="Y","warm-intro",IF(H417="verified","email",IF(C417&lt;&gt;"","linkedin",CB417&amp;""))))</f>
        <v/>
      </c>
      <c r="J417" s="0" t="str">
        <f aca="false">IF($A417="","",IF(CN417="pass",ROUND(N(EM417)+N(EN417)+N(EO417)+N(EP417)+N(EQ417)+N(ER417),1),0))</f>
        <v/>
      </c>
      <c r="K417" s="0" t="str">
        <f aca="false">IF($A417="","",IF(CN417&lt;&gt;"pass",CA417&amp;"",CA417&amp;"; "&amp;IF(AW417="Y",BZ417&amp;"",BL417&amp;"")&amp;IF(R417="Y","; known to the founder (+15)","")&amp;"."))</f>
        <v/>
      </c>
      <c r="R417" s="5"/>
      <c r="U417" s="5"/>
      <c r="Y417" s="0" t="str">
        <f aca="false">IF(FX417&lt;&gt;"Y","",COUNTIFS($FX$2:$FX$1000,"Y",$J$2:$J$1000,"&gt;"&amp;J417)+COUNTIFS($FX$2:$FX$1000,"Y",$J$2:$J$1000,J417,$GD$2:$GD$1000,"&lt;"&amp;GD417)+1)</f>
        <v/>
      </c>
      <c r="AB417" s="0" t="str">
        <f aca="false">IF($A417="","",IF(AW417="Y",BY417&amp;"",BK417&amp;""))</f>
        <v/>
      </c>
      <c r="AC417" s="0" t="str">
        <f aca="false">IF($A417="","",IF(AW417="Y",BS417&amp;"",BE417&amp;""))</f>
        <v/>
      </c>
      <c r="AD417" s="0" t="str">
        <f aca="false">IF($A417="","",IF(AW417="Y",BT417&amp;"",BF417&amp;""))</f>
        <v/>
      </c>
      <c r="AE417" s="0" t="str">
        <f aca="false">IF($A417="","",IF(AW417="Y",BU417&amp;"",BG417&amp;""))</f>
        <v/>
      </c>
      <c r="AF417" s="0" t="str">
        <f aca="false">IF($A417="","",IF(AW417="Y",BV417&amp;"",BH417&amp;""))</f>
        <v/>
      </c>
      <c r="AG417" s="0" t="str">
        <f aca="false">IF($A417="","",IF(AW417="Y",BW417&amp;"",BI417&amp;""))</f>
        <v/>
      </c>
      <c r="AH417" s="0" t="str">
        <f aca="false">IF($A417="","",IF(AW417="Y",BX417&amp;"",BJ417&amp;""))</f>
        <v/>
      </c>
      <c r="AQ417" s="5"/>
      <c r="AT417" s="0" t="str">
        <f aca="false">IF($A417="","",IF(AND(CN417="pass",AQ417&lt;&gt;"Y",C417&lt;&gt;"",OR(AX417&lt;&gt;"Y",AV417="Y")),"Y","N"))</f>
        <v/>
      </c>
      <c r="AU417" s="0" t="str">
        <f aca="false">IF($A417="","",_xlfn.TEXTJOIN("; ",TRUE(),IF(CN417&lt;&gt;"pass","gated out",""),IF(AQ417="Y","on hold: "&amp;AR417,""),IF(C417="","no contact named on an opened page",""),IF(AND(AX417="Y",AV417&lt;&gt;"Y"),"Tuesday estimate band "&amp;L417&amp;": founder's call","")))</f>
        <v/>
      </c>
      <c r="BC417" s="0" t="str">
        <f aca="false">IF($A417="","",IFERROR(INDEX(Enrichment!$A$2:$GZ$2000,MATCH($A417,INDEX(Enrichment!$A$2:$GZ$2000,0,MATCH("row_id",Enrichment!$A$1:$GZ$1,0)),0),MATCH("work_email",Enrichment!$A$1:$GZ$1,0))&amp;"",""))</f>
        <v/>
      </c>
      <c r="BD417" s="0" t="str">
        <f aca="false">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Q417" s="0" t="str">
        <f aca="false">IF($A417="","",IFERROR(INDEX(Enrichment!$A$2:$GZ$2000,MATCH($A417,INDEX(Enrichment!$A$2:$GZ$2000,0,MATCH("row_id",Enrichment!$A$1:$GZ$1,0)),0),MATCH("backup_work_email",Enrichment!$A$1:$GZ$1,0))&amp;"",""))</f>
        <v/>
      </c>
      <c r="BR417" s="0" t="str">
        <f aca="false">IF($A417="","",IF(BQ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EQ417" s="0" t="str">
        <f aca="false">IF($A417="","",IF(AH417="exact",10,IF(AH417="adjacent",5,0)))</f>
        <v/>
      </c>
      <c r="ER417" s="0" t="str">
        <f aca="false">IF($A417="","",IF(R417="Y",15,0))</f>
        <v/>
      </c>
      <c r="FS417" s="0" t="str">
        <f aca="false">IF($A417="","",IF(ISNUMBER(MATCH(U417,{"queued","contacted","replied","call_booked","call_done","yes_in_principle","materials_sent"},0)),"Y","N"))</f>
        <v/>
      </c>
      <c r="FT417" s="0" t="str">
        <f aca="false">IF($A417="","",IF(OR(T417="Y",U417="do_not_contact",AS417&amp;""&lt;&gt;""),"Y","N"))</f>
        <v/>
      </c>
      <c r="FU417" s="0" t="str">
        <f aca="false">IF($A417="","",IF(AP417&amp;""&lt;&gt;"",AP417&amp;"",$A417))</f>
        <v/>
      </c>
      <c r="FV417" s="0" t="str">
        <f aca="false">IF($A417="","",IF(COUNTIFS($FU$2:$FU$1000,FU417,$FS$2:$FS$1000,"Y")+COUNTIFS($FU$2:$FU$1000,FU417,$FT$2:$FT$1000,"Y")&gt;0,"Y","N"))</f>
        <v/>
      </c>
      <c r="FW417" s="0" t="str">
        <f aca="false">IF($A417="","",IF(AND(U417="new",T417="N",FT417="N",AT417="Y",FV417="N"),"Y","N"))</f>
        <v/>
      </c>
      <c r="FX417" s="0" t="str">
        <f aca="false">IF($A417="","",IF(FW417&lt;&gt;"Y","N",IF(COUNTIFS($FU$2:$FU$1000,FU417,$FW$2:$FW$1000,"Y",$J$2:$J$1000,"&gt;"&amp;J417)+COUNTIFS($FU$2:$FU$1000,FU417,$FW$2:$FW$1000,"Y",$J$2:$J$1000,J417,$GD$2:$GD$1000,"&lt;"&amp;GD417)=0,"Y","N")))</f>
        <v/>
      </c>
      <c r="FY417" s="0" t="str">
        <f aca="false">IF($A417="","",IF(AND(FW417="Y",FX417="Y",Y417&amp;""&lt;&gt;""),IF(Y417&lt;=10,"Y","N"),"N"))</f>
        <v/>
      </c>
      <c r="FZ417" s="0" t="str">
        <f aca="false">IF(FY417="Y",Y417,"")</f>
        <v/>
      </c>
      <c r="GA417" s="0" t="str">
        <f aca="false">IF($A417="","",IF(AND(I417="walk-in",CN417="pass",U417="new",FT417="N",FV417="N",AQ417&lt;&gt;"Y"),"Y","N"))</f>
        <v/>
      </c>
      <c r="GB417" s="0" t="str">
        <f aca="false">IF(GA417&lt;&gt;"Y","",IF(COUNTIFS($GA$2:$GA$1000,"Y",$J$2:$J$1000,"&gt;"&amp;J417)+COUNTIFS($GA$2:$GA$1000,"Y",$J$2:$J$1000,J417,$GD$2:$GD$1000,"&lt;"&amp;GD417)+1&lt;=25,COUNTIFS($GA$2:$GA$1000,"Y",$J$2:$J$1000,"&gt;"&amp;J417)+COUNTIFS($GA$2:$GA$1000,"Y",$J$2:$J$1000,J417,$GD$2:$GD$1000,"&lt;"&amp;GD417)+1,""))</f>
        <v/>
      </c>
      <c r="GC417" s="0" t="str">
        <f aca="false">IF(AND(_xlfn.ISFORMULA(C417),_xlfn.ISFORMULA(J417)),"Y","N")</f>
        <v>Y</v>
      </c>
      <c r="GD417" s="0" t="n">
        <f aca="false">ROW()-1</f>
        <v>416</v>
      </c>
    </row>
    <row r="418" customFormat="false" ht="15" hidden="false" customHeight="false" outlineLevel="0" collapsed="false">
      <c r="C418" s="0" t="str">
        <f aca="false">IF($A418="","",IF(AW418="Y",BM418&amp;"",AY418&amp;""))</f>
        <v/>
      </c>
      <c r="D418" s="0" t="str">
        <f aca="false">IF($A418="","",IF(AW418="Y",BN418&amp;"",AZ418&amp;""))</f>
        <v/>
      </c>
      <c r="E418" s="0" t="str">
        <f aca="false">IF($A418="","",IF(AW418="Y",BO418&amp;"",BA418&amp;""))</f>
        <v/>
      </c>
      <c r="F418" s="0" t="str">
        <f aca="false">IF($A418="","",IF(AW418="Y",BP418&amp;"",BB418&amp;""))</f>
        <v/>
      </c>
      <c r="G418" s="0" t="str">
        <f aca="false">IF($A418="","",IF(AW418="Y",BQ418&amp;"",BC418&amp;""))</f>
        <v/>
      </c>
      <c r="H418" s="0" t="str">
        <f aca="false">IF($A418="","",IF(AW418="Y",BR418&amp;"",BD418&amp;""))</f>
        <v/>
      </c>
      <c r="I418" s="0" t="str">
        <f aca="false">IF($A418="","",IF(R418="Y","warm-intro",IF(H418="verified","email",IF(C418&lt;&gt;"","linkedin",CB418&amp;""))))</f>
        <v/>
      </c>
      <c r="J418" s="0" t="str">
        <f aca="false">IF($A418="","",IF(CN418="pass",ROUND(N(EM418)+N(EN418)+N(EO418)+N(EP418)+N(EQ418)+N(ER418),1),0))</f>
        <v/>
      </c>
      <c r="K418" s="0" t="str">
        <f aca="false">IF($A418="","",IF(CN418&lt;&gt;"pass",CA418&amp;"",CA418&amp;"; "&amp;IF(AW418="Y",BZ418&amp;"",BL418&amp;"")&amp;IF(R418="Y","; known to the founder (+15)","")&amp;"."))</f>
        <v/>
      </c>
      <c r="R418" s="5"/>
      <c r="U418" s="5"/>
      <c r="Y418" s="0" t="str">
        <f aca="false">IF(FX418&lt;&gt;"Y","",COUNTIFS($FX$2:$FX$1000,"Y",$J$2:$J$1000,"&gt;"&amp;J418)+COUNTIFS($FX$2:$FX$1000,"Y",$J$2:$J$1000,J418,$GD$2:$GD$1000,"&lt;"&amp;GD418)+1)</f>
        <v/>
      </c>
      <c r="AB418" s="0" t="str">
        <f aca="false">IF($A418="","",IF(AW418="Y",BY418&amp;"",BK418&amp;""))</f>
        <v/>
      </c>
      <c r="AC418" s="0" t="str">
        <f aca="false">IF($A418="","",IF(AW418="Y",BS418&amp;"",BE418&amp;""))</f>
        <v/>
      </c>
      <c r="AD418" s="0" t="str">
        <f aca="false">IF($A418="","",IF(AW418="Y",BT418&amp;"",BF418&amp;""))</f>
        <v/>
      </c>
      <c r="AE418" s="0" t="str">
        <f aca="false">IF($A418="","",IF(AW418="Y",BU418&amp;"",BG418&amp;""))</f>
        <v/>
      </c>
      <c r="AF418" s="0" t="str">
        <f aca="false">IF($A418="","",IF(AW418="Y",BV418&amp;"",BH418&amp;""))</f>
        <v/>
      </c>
      <c r="AG418" s="0" t="str">
        <f aca="false">IF($A418="","",IF(AW418="Y",BW418&amp;"",BI418&amp;""))</f>
        <v/>
      </c>
      <c r="AH418" s="0" t="str">
        <f aca="false">IF($A418="","",IF(AW418="Y",BX418&amp;"",BJ418&amp;""))</f>
        <v/>
      </c>
      <c r="AQ418" s="5"/>
      <c r="AT418" s="0" t="str">
        <f aca="false">IF($A418="","",IF(AND(CN418="pass",AQ418&lt;&gt;"Y",C418&lt;&gt;"",OR(AX418&lt;&gt;"Y",AV418="Y")),"Y","N"))</f>
        <v/>
      </c>
      <c r="AU418" s="0" t="str">
        <f aca="false">IF($A418="","",_xlfn.TEXTJOIN("; ",TRUE(),IF(CN418&lt;&gt;"pass","gated out",""),IF(AQ418="Y","on hold: "&amp;AR418,""),IF(C418="","no contact named on an opened page",""),IF(AND(AX418="Y",AV418&lt;&gt;"Y"),"Tuesday estimate band "&amp;L418&amp;": founder's call","")))</f>
        <v/>
      </c>
      <c r="BC418" s="0" t="str">
        <f aca="false">IF($A418="","",IFERROR(INDEX(Enrichment!$A$2:$GZ$2000,MATCH($A418,INDEX(Enrichment!$A$2:$GZ$2000,0,MATCH("row_id",Enrichment!$A$1:$GZ$1,0)),0),MATCH("work_email",Enrichment!$A$1:$GZ$1,0))&amp;"",""))</f>
        <v/>
      </c>
      <c r="BD418" s="0" t="str">
        <f aca="false">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Q418" s="0" t="str">
        <f aca="false">IF($A418="","",IFERROR(INDEX(Enrichment!$A$2:$GZ$2000,MATCH($A418,INDEX(Enrichment!$A$2:$GZ$2000,0,MATCH("row_id",Enrichment!$A$1:$GZ$1,0)),0),MATCH("backup_work_email",Enrichment!$A$1:$GZ$1,0))&amp;"",""))</f>
        <v/>
      </c>
      <c r="BR418" s="0" t="str">
        <f aca="false">IF($A418="","",IF(BQ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EQ418" s="0" t="str">
        <f aca="false">IF($A418="","",IF(AH418="exact",10,IF(AH418="adjacent",5,0)))</f>
        <v/>
      </c>
      <c r="ER418" s="0" t="str">
        <f aca="false">IF($A418="","",IF(R418="Y",15,0))</f>
        <v/>
      </c>
      <c r="FS418" s="0" t="str">
        <f aca="false">IF($A418="","",IF(ISNUMBER(MATCH(U418,{"queued","contacted","replied","call_booked","call_done","yes_in_principle","materials_sent"},0)),"Y","N"))</f>
        <v/>
      </c>
      <c r="FT418" s="0" t="str">
        <f aca="false">IF($A418="","",IF(OR(T418="Y",U418="do_not_contact",AS418&amp;""&lt;&gt;""),"Y","N"))</f>
        <v/>
      </c>
      <c r="FU418" s="0" t="str">
        <f aca="false">IF($A418="","",IF(AP418&amp;""&lt;&gt;"",AP418&amp;"",$A418))</f>
        <v/>
      </c>
      <c r="FV418" s="0" t="str">
        <f aca="false">IF($A418="","",IF(COUNTIFS($FU$2:$FU$1000,FU418,$FS$2:$FS$1000,"Y")+COUNTIFS($FU$2:$FU$1000,FU418,$FT$2:$FT$1000,"Y")&gt;0,"Y","N"))</f>
        <v/>
      </c>
      <c r="FW418" s="0" t="str">
        <f aca="false">IF($A418="","",IF(AND(U418="new",T418="N",FT418="N",AT418="Y",FV418="N"),"Y","N"))</f>
        <v/>
      </c>
      <c r="FX418" s="0" t="str">
        <f aca="false">IF($A418="","",IF(FW418&lt;&gt;"Y","N",IF(COUNTIFS($FU$2:$FU$1000,FU418,$FW$2:$FW$1000,"Y",$J$2:$J$1000,"&gt;"&amp;J418)+COUNTIFS($FU$2:$FU$1000,FU418,$FW$2:$FW$1000,"Y",$J$2:$J$1000,J418,$GD$2:$GD$1000,"&lt;"&amp;GD418)=0,"Y","N")))</f>
        <v/>
      </c>
      <c r="FY418" s="0" t="str">
        <f aca="false">IF($A418="","",IF(AND(FW418="Y",FX418="Y",Y418&amp;""&lt;&gt;""),IF(Y418&lt;=10,"Y","N"),"N"))</f>
        <v/>
      </c>
      <c r="FZ418" s="0" t="str">
        <f aca="false">IF(FY418="Y",Y418,"")</f>
        <v/>
      </c>
      <c r="GA418" s="0" t="str">
        <f aca="false">IF($A418="","",IF(AND(I418="walk-in",CN418="pass",U418="new",FT418="N",FV418="N",AQ418&lt;&gt;"Y"),"Y","N"))</f>
        <v/>
      </c>
      <c r="GB418" s="0" t="str">
        <f aca="false">IF(GA418&lt;&gt;"Y","",IF(COUNTIFS($GA$2:$GA$1000,"Y",$J$2:$J$1000,"&gt;"&amp;J418)+COUNTIFS($GA$2:$GA$1000,"Y",$J$2:$J$1000,J418,$GD$2:$GD$1000,"&lt;"&amp;GD418)+1&lt;=25,COUNTIFS($GA$2:$GA$1000,"Y",$J$2:$J$1000,"&gt;"&amp;J418)+COUNTIFS($GA$2:$GA$1000,"Y",$J$2:$J$1000,J418,$GD$2:$GD$1000,"&lt;"&amp;GD418)+1,""))</f>
        <v/>
      </c>
      <c r="GC418" s="0" t="str">
        <f aca="false">IF(AND(_xlfn.ISFORMULA(C418),_xlfn.ISFORMULA(J418)),"Y","N")</f>
        <v>Y</v>
      </c>
      <c r="GD418" s="0" t="n">
        <f aca="false">ROW()-1</f>
        <v>417</v>
      </c>
    </row>
    <row r="419" customFormat="false" ht="15" hidden="false" customHeight="false" outlineLevel="0" collapsed="false">
      <c r="C419" s="0" t="str">
        <f aca="false">IF($A419="","",IF(AW419="Y",BM419&amp;"",AY419&amp;""))</f>
        <v/>
      </c>
      <c r="D419" s="0" t="str">
        <f aca="false">IF($A419="","",IF(AW419="Y",BN419&amp;"",AZ419&amp;""))</f>
        <v/>
      </c>
      <c r="E419" s="0" t="str">
        <f aca="false">IF($A419="","",IF(AW419="Y",BO419&amp;"",BA419&amp;""))</f>
        <v/>
      </c>
      <c r="F419" s="0" t="str">
        <f aca="false">IF($A419="","",IF(AW419="Y",BP419&amp;"",BB419&amp;""))</f>
        <v/>
      </c>
      <c r="G419" s="0" t="str">
        <f aca="false">IF($A419="","",IF(AW419="Y",BQ419&amp;"",BC419&amp;""))</f>
        <v/>
      </c>
      <c r="H419" s="0" t="str">
        <f aca="false">IF($A419="","",IF(AW419="Y",BR419&amp;"",BD419&amp;""))</f>
        <v/>
      </c>
      <c r="I419" s="0" t="str">
        <f aca="false">IF($A419="","",IF(R419="Y","warm-intro",IF(H419="verified","email",IF(C419&lt;&gt;"","linkedin",CB419&amp;""))))</f>
        <v/>
      </c>
      <c r="J419" s="0" t="str">
        <f aca="false">IF($A419="","",IF(CN419="pass",ROUND(N(EM419)+N(EN419)+N(EO419)+N(EP419)+N(EQ419)+N(ER419),1),0))</f>
        <v/>
      </c>
      <c r="K419" s="0" t="str">
        <f aca="false">IF($A419="","",IF(CN419&lt;&gt;"pass",CA419&amp;"",CA419&amp;"; "&amp;IF(AW419="Y",BZ419&amp;"",BL419&amp;"")&amp;IF(R419="Y","; known to the founder (+15)","")&amp;"."))</f>
        <v/>
      </c>
      <c r="R419" s="5"/>
      <c r="U419" s="5"/>
      <c r="Y419" s="0" t="str">
        <f aca="false">IF(FX419&lt;&gt;"Y","",COUNTIFS($FX$2:$FX$1000,"Y",$J$2:$J$1000,"&gt;"&amp;J419)+COUNTIFS($FX$2:$FX$1000,"Y",$J$2:$J$1000,J419,$GD$2:$GD$1000,"&lt;"&amp;GD419)+1)</f>
        <v/>
      </c>
      <c r="AB419" s="0" t="str">
        <f aca="false">IF($A419="","",IF(AW419="Y",BY419&amp;"",BK419&amp;""))</f>
        <v/>
      </c>
      <c r="AC419" s="0" t="str">
        <f aca="false">IF($A419="","",IF(AW419="Y",BS419&amp;"",BE419&amp;""))</f>
        <v/>
      </c>
      <c r="AD419" s="0" t="str">
        <f aca="false">IF($A419="","",IF(AW419="Y",BT419&amp;"",BF419&amp;""))</f>
        <v/>
      </c>
      <c r="AE419" s="0" t="str">
        <f aca="false">IF($A419="","",IF(AW419="Y",BU419&amp;"",BG419&amp;""))</f>
        <v/>
      </c>
      <c r="AF419" s="0" t="str">
        <f aca="false">IF($A419="","",IF(AW419="Y",BV419&amp;"",BH419&amp;""))</f>
        <v/>
      </c>
      <c r="AG419" s="0" t="str">
        <f aca="false">IF($A419="","",IF(AW419="Y",BW419&amp;"",BI419&amp;""))</f>
        <v/>
      </c>
      <c r="AH419" s="0" t="str">
        <f aca="false">IF($A419="","",IF(AW419="Y",BX419&amp;"",BJ419&amp;""))</f>
        <v/>
      </c>
      <c r="AQ419" s="5"/>
      <c r="AT419" s="0" t="str">
        <f aca="false">IF($A419="","",IF(AND(CN419="pass",AQ419&lt;&gt;"Y",C419&lt;&gt;"",OR(AX419&lt;&gt;"Y",AV419="Y")),"Y","N"))</f>
        <v/>
      </c>
      <c r="AU419" s="0" t="str">
        <f aca="false">IF($A419="","",_xlfn.TEXTJOIN("; ",TRUE(),IF(CN419&lt;&gt;"pass","gated out",""),IF(AQ419="Y","on hold: "&amp;AR419,""),IF(C419="","no contact named on an opened page",""),IF(AND(AX419="Y",AV419&lt;&gt;"Y"),"Tuesday estimate band "&amp;L419&amp;": founder's call","")))</f>
        <v/>
      </c>
      <c r="BC419" s="0" t="str">
        <f aca="false">IF($A419="","",IFERROR(INDEX(Enrichment!$A$2:$GZ$2000,MATCH($A419,INDEX(Enrichment!$A$2:$GZ$2000,0,MATCH("row_id",Enrichment!$A$1:$GZ$1,0)),0),MATCH("work_email",Enrichment!$A$1:$GZ$1,0))&amp;"",""))</f>
        <v/>
      </c>
      <c r="BD419" s="0" t="str">
        <f aca="false">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Q419" s="0" t="str">
        <f aca="false">IF($A419="","",IFERROR(INDEX(Enrichment!$A$2:$GZ$2000,MATCH($A419,INDEX(Enrichment!$A$2:$GZ$2000,0,MATCH("row_id",Enrichment!$A$1:$GZ$1,0)),0),MATCH("backup_work_email",Enrichment!$A$1:$GZ$1,0))&amp;"",""))</f>
        <v/>
      </c>
      <c r="BR419" s="0" t="str">
        <f aca="false">IF($A419="","",IF(BQ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EQ419" s="0" t="str">
        <f aca="false">IF($A419="","",IF(AH419="exact",10,IF(AH419="adjacent",5,0)))</f>
        <v/>
      </c>
      <c r="ER419" s="0" t="str">
        <f aca="false">IF($A419="","",IF(R419="Y",15,0))</f>
        <v/>
      </c>
      <c r="FS419" s="0" t="str">
        <f aca="false">IF($A419="","",IF(ISNUMBER(MATCH(U419,{"queued","contacted","replied","call_booked","call_done","yes_in_principle","materials_sent"},0)),"Y","N"))</f>
        <v/>
      </c>
      <c r="FT419" s="0" t="str">
        <f aca="false">IF($A419="","",IF(OR(T419="Y",U419="do_not_contact",AS419&amp;""&lt;&gt;""),"Y","N"))</f>
        <v/>
      </c>
      <c r="FU419" s="0" t="str">
        <f aca="false">IF($A419="","",IF(AP419&amp;""&lt;&gt;"",AP419&amp;"",$A419))</f>
        <v/>
      </c>
      <c r="FV419" s="0" t="str">
        <f aca="false">IF($A419="","",IF(COUNTIFS($FU$2:$FU$1000,FU419,$FS$2:$FS$1000,"Y")+COUNTIFS($FU$2:$FU$1000,FU419,$FT$2:$FT$1000,"Y")&gt;0,"Y","N"))</f>
        <v/>
      </c>
      <c r="FW419" s="0" t="str">
        <f aca="false">IF($A419="","",IF(AND(U419="new",T419="N",FT419="N",AT419="Y",FV419="N"),"Y","N"))</f>
        <v/>
      </c>
      <c r="FX419" s="0" t="str">
        <f aca="false">IF($A419="","",IF(FW419&lt;&gt;"Y","N",IF(COUNTIFS($FU$2:$FU$1000,FU419,$FW$2:$FW$1000,"Y",$J$2:$J$1000,"&gt;"&amp;J419)+COUNTIFS($FU$2:$FU$1000,FU419,$FW$2:$FW$1000,"Y",$J$2:$J$1000,J419,$GD$2:$GD$1000,"&lt;"&amp;GD419)=0,"Y","N")))</f>
        <v/>
      </c>
      <c r="FY419" s="0" t="str">
        <f aca="false">IF($A419="","",IF(AND(FW419="Y",FX419="Y",Y419&amp;""&lt;&gt;""),IF(Y419&lt;=10,"Y","N"),"N"))</f>
        <v/>
      </c>
      <c r="FZ419" s="0" t="str">
        <f aca="false">IF(FY419="Y",Y419,"")</f>
        <v/>
      </c>
      <c r="GA419" s="0" t="str">
        <f aca="false">IF($A419="","",IF(AND(I419="walk-in",CN419="pass",U419="new",FT419="N",FV419="N",AQ419&lt;&gt;"Y"),"Y","N"))</f>
        <v/>
      </c>
      <c r="GB419" s="0" t="str">
        <f aca="false">IF(GA419&lt;&gt;"Y","",IF(COUNTIFS($GA$2:$GA$1000,"Y",$J$2:$J$1000,"&gt;"&amp;J419)+COUNTIFS($GA$2:$GA$1000,"Y",$J$2:$J$1000,J419,$GD$2:$GD$1000,"&lt;"&amp;GD419)+1&lt;=25,COUNTIFS($GA$2:$GA$1000,"Y",$J$2:$J$1000,"&gt;"&amp;J419)+COUNTIFS($GA$2:$GA$1000,"Y",$J$2:$J$1000,J419,$GD$2:$GD$1000,"&lt;"&amp;GD419)+1,""))</f>
        <v/>
      </c>
      <c r="GC419" s="0" t="str">
        <f aca="false">IF(AND(_xlfn.ISFORMULA(C419),_xlfn.ISFORMULA(J419)),"Y","N")</f>
        <v>Y</v>
      </c>
      <c r="GD419" s="0" t="n">
        <f aca="false">ROW()-1</f>
        <v>418</v>
      </c>
    </row>
    <row r="420" customFormat="false" ht="15" hidden="false" customHeight="false" outlineLevel="0" collapsed="false">
      <c r="C420" s="0" t="str">
        <f aca="false">IF($A420="","",IF(AW420="Y",BM420&amp;"",AY420&amp;""))</f>
        <v/>
      </c>
      <c r="D420" s="0" t="str">
        <f aca="false">IF($A420="","",IF(AW420="Y",BN420&amp;"",AZ420&amp;""))</f>
        <v/>
      </c>
      <c r="E420" s="0" t="str">
        <f aca="false">IF($A420="","",IF(AW420="Y",BO420&amp;"",BA420&amp;""))</f>
        <v/>
      </c>
      <c r="F420" s="0" t="str">
        <f aca="false">IF($A420="","",IF(AW420="Y",BP420&amp;"",BB420&amp;""))</f>
        <v/>
      </c>
      <c r="G420" s="0" t="str">
        <f aca="false">IF($A420="","",IF(AW420="Y",BQ420&amp;"",BC420&amp;""))</f>
        <v/>
      </c>
      <c r="H420" s="0" t="str">
        <f aca="false">IF($A420="","",IF(AW420="Y",BR420&amp;"",BD420&amp;""))</f>
        <v/>
      </c>
      <c r="I420" s="0" t="str">
        <f aca="false">IF($A420="","",IF(R420="Y","warm-intro",IF(H420="verified","email",IF(C420&lt;&gt;"","linkedin",CB420&amp;""))))</f>
        <v/>
      </c>
      <c r="J420" s="0" t="str">
        <f aca="false">IF($A420="","",IF(CN420="pass",ROUND(N(EM420)+N(EN420)+N(EO420)+N(EP420)+N(EQ420)+N(ER420),1),0))</f>
        <v/>
      </c>
      <c r="K420" s="0" t="str">
        <f aca="false">IF($A420="","",IF(CN420&lt;&gt;"pass",CA420&amp;"",CA420&amp;"; "&amp;IF(AW420="Y",BZ420&amp;"",BL420&amp;"")&amp;IF(R420="Y","; known to the founder (+15)","")&amp;"."))</f>
        <v/>
      </c>
      <c r="R420" s="5"/>
      <c r="U420" s="5"/>
      <c r="Y420" s="0" t="str">
        <f aca="false">IF(FX420&lt;&gt;"Y","",COUNTIFS($FX$2:$FX$1000,"Y",$J$2:$J$1000,"&gt;"&amp;J420)+COUNTIFS($FX$2:$FX$1000,"Y",$J$2:$J$1000,J420,$GD$2:$GD$1000,"&lt;"&amp;GD420)+1)</f>
        <v/>
      </c>
      <c r="AB420" s="0" t="str">
        <f aca="false">IF($A420="","",IF(AW420="Y",BY420&amp;"",BK420&amp;""))</f>
        <v/>
      </c>
      <c r="AC420" s="0" t="str">
        <f aca="false">IF($A420="","",IF(AW420="Y",BS420&amp;"",BE420&amp;""))</f>
        <v/>
      </c>
      <c r="AD420" s="0" t="str">
        <f aca="false">IF($A420="","",IF(AW420="Y",BT420&amp;"",BF420&amp;""))</f>
        <v/>
      </c>
      <c r="AE420" s="0" t="str">
        <f aca="false">IF($A420="","",IF(AW420="Y",BU420&amp;"",BG420&amp;""))</f>
        <v/>
      </c>
      <c r="AF420" s="0" t="str">
        <f aca="false">IF($A420="","",IF(AW420="Y",BV420&amp;"",BH420&amp;""))</f>
        <v/>
      </c>
      <c r="AG420" s="0" t="str">
        <f aca="false">IF($A420="","",IF(AW420="Y",BW420&amp;"",BI420&amp;""))</f>
        <v/>
      </c>
      <c r="AH420" s="0" t="str">
        <f aca="false">IF($A420="","",IF(AW420="Y",BX420&amp;"",BJ420&amp;""))</f>
        <v/>
      </c>
      <c r="AQ420" s="5"/>
      <c r="AT420" s="0" t="str">
        <f aca="false">IF($A420="","",IF(AND(CN420="pass",AQ420&lt;&gt;"Y",C420&lt;&gt;"",OR(AX420&lt;&gt;"Y",AV420="Y")),"Y","N"))</f>
        <v/>
      </c>
      <c r="AU420" s="0" t="str">
        <f aca="false">IF($A420="","",_xlfn.TEXTJOIN("; ",TRUE(),IF(CN420&lt;&gt;"pass","gated out",""),IF(AQ420="Y","on hold: "&amp;AR420,""),IF(C420="","no contact named on an opened page",""),IF(AND(AX420="Y",AV420&lt;&gt;"Y"),"Tuesday estimate band "&amp;L420&amp;": founder's call","")))</f>
        <v/>
      </c>
      <c r="BC420" s="0" t="str">
        <f aca="false">IF($A420="","",IFERROR(INDEX(Enrichment!$A$2:$GZ$2000,MATCH($A420,INDEX(Enrichment!$A$2:$GZ$2000,0,MATCH("row_id",Enrichment!$A$1:$GZ$1,0)),0),MATCH("work_email",Enrichment!$A$1:$GZ$1,0))&amp;"",""))</f>
        <v/>
      </c>
      <c r="BD420" s="0" t="str">
        <f aca="false">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Q420" s="0" t="str">
        <f aca="false">IF($A420="","",IFERROR(INDEX(Enrichment!$A$2:$GZ$2000,MATCH($A420,INDEX(Enrichment!$A$2:$GZ$2000,0,MATCH("row_id",Enrichment!$A$1:$GZ$1,0)),0),MATCH("backup_work_email",Enrichment!$A$1:$GZ$1,0))&amp;"",""))</f>
        <v/>
      </c>
      <c r="BR420" s="0" t="str">
        <f aca="false">IF($A420="","",IF(BQ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EQ420" s="0" t="str">
        <f aca="false">IF($A420="","",IF(AH420="exact",10,IF(AH420="adjacent",5,0)))</f>
        <v/>
      </c>
      <c r="ER420" s="0" t="str">
        <f aca="false">IF($A420="","",IF(R420="Y",15,0))</f>
        <v/>
      </c>
      <c r="FS420" s="0" t="str">
        <f aca="false">IF($A420="","",IF(ISNUMBER(MATCH(U420,{"queued","contacted","replied","call_booked","call_done","yes_in_principle","materials_sent"},0)),"Y","N"))</f>
        <v/>
      </c>
      <c r="FT420" s="0" t="str">
        <f aca="false">IF($A420="","",IF(OR(T420="Y",U420="do_not_contact",AS420&amp;""&lt;&gt;""),"Y","N"))</f>
        <v/>
      </c>
      <c r="FU420" s="0" t="str">
        <f aca="false">IF($A420="","",IF(AP420&amp;""&lt;&gt;"",AP420&amp;"",$A420))</f>
        <v/>
      </c>
      <c r="FV420" s="0" t="str">
        <f aca="false">IF($A420="","",IF(COUNTIFS($FU$2:$FU$1000,FU420,$FS$2:$FS$1000,"Y")+COUNTIFS($FU$2:$FU$1000,FU420,$FT$2:$FT$1000,"Y")&gt;0,"Y","N"))</f>
        <v/>
      </c>
      <c r="FW420" s="0" t="str">
        <f aca="false">IF($A420="","",IF(AND(U420="new",T420="N",FT420="N",AT420="Y",FV420="N"),"Y","N"))</f>
        <v/>
      </c>
      <c r="FX420" s="0" t="str">
        <f aca="false">IF($A420="","",IF(FW420&lt;&gt;"Y","N",IF(COUNTIFS($FU$2:$FU$1000,FU420,$FW$2:$FW$1000,"Y",$J$2:$J$1000,"&gt;"&amp;J420)+COUNTIFS($FU$2:$FU$1000,FU420,$FW$2:$FW$1000,"Y",$J$2:$J$1000,J420,$GD$2:$GD$1000,"&lt;"&amp;GD420)=0,"Y","N")))</f>
        <v/>
      </c>
      <c r="FY420" s="0" t="str">
        <f aca="false">IF($A420="","",IF(AND(FW420="Y",FX420="Y",Y420&amp;""&lt;&gt;""),IF(Y420&lt;=10,"Y","N"),"N"))</f>
        <v/>
      </c>
      <c r="FZ420" s="0" t="str">
        <f aca="false">IF(FY420="Y",Y420,"")</f>
        <v/>
      </c>
      <c r="GA420" s="0" t="str">
        <f aca="false">IF($A420="","",IF(AND(I420="walk-in",CN420="pass",U420="new",FT420="N",FV420="N",AQ420&lt;&gt;"Y"),"Y","N"))</f>
        <v/>
      </c>
      <c r="GB420" s="0" t="str">
        <f aca="false">IF(GA420&lt;&gt;"Y","",IF(COUNTIFS($GA$2:$GA$1000,"Y",$J$2:$J$1000,"&gt;"&amp;J420)+COUNTIFS($GA$2:$GA$1000,"Y",$J$2:$J$1000,J420,$GD$2:$GD$1000,"&lt;"&amp;GD420)+1&lt;=25,COUNTIFS($GA$2:$GA$1000,"Y",$J$2:$J$1000,"&gt;"&amp;J420)+COUNTIFS($GA$2:$GA$1000,"Y",$J$2:$J$1000,J420,$GD$2:$GD$1000,"&lt;"&amp;GD420)+1,""))</f>
        <v/>
      </c>
      <c r="GC420" s="0" t="str">
        <f aca="false">IF(AND(_xlfn.ISFORMULA(C420),_xlfn.ISFORMULA(J420)),"Y","N")</f>
        <v>Y</v>
      </c>
      <c r="GD420" s="0" t="n">
        <f aca="false">ROW()-1</f>
        <v>419</v>
      </c>
    </row>
    <row r="421" customFormat="false" ht="15" hidden="false" customHeight="false" outlineLevel="0" collapsed="false">
      <c r="C421" s="0" t="str">
        <f aca="false">IF($A421="","",IF(AW421="Y",BM421&amp;"",AY421&amp;""))</f>
        <v/>
      </c>
      <c r="D421" s="0" t="str">
        <f aca="false">IF($A421="","",IF(AW421="Y",BN421&amp;"",AZ421&amp;""))</f>
        <v/>
      </c>
      <c r="E421" s="0" t="str">
        <f aca="false">IF($A421="","",IF(AW421="Y",BO421&amp;"",BA421&amp;""))</f>
        <v/>
      </c>
      <c r="F421" s="0" t="str">
        <f aca="false">IF($A421="","",IF(AW421="Y",BP421&amp;"",BB421&amp;""))</f>
        <v/>
      </c>
      <c r="G421" s="0" t="str">
        <f aca="false">IF($A421="","",IF(AW421="Y",BQ421&amp;"",BC421&amp;""))</f>
        <v/>
      </c>
      <c r="H421" s="0" t="str">
        <f aca="false">IF($A421="","",IF(AW421="Y",BR421&amp;"",BD421&amp;""))</f>
        <v/>
      </c>
      <c r="I421" s="0" t="str">
        <f aca="false">IF($A421="","",IF(R421="Y","warm-intro",IF(H421="verified","email",IF(C421&lt;&gt;"","linkedin",CB421&amp;""))))</f>
        <v/>
      </c>
      <c r="J421" s="0" t="str">
        <f aca="false">IF($A421="","",IF(CN421="pass",ROUND(N(EM421)+N(EN421)+N(EO421)+N(EP421)+N(EQ421)+N(ER421),1),0))</f>
        <v/>
      </c>
      <c r="K421" s="0" t="str">
        <f aca="false">IF($A421="","",IF(CN421&lt;&gt;"pass",CA421&amp;"",CA421&amp;"; "&amp;IF(AW421="Y",BZ421&amp;"",BL421&amp;"")&amp;IF(R421="Y","; known to the founder (+15)","")&amp;"."))</f>
        <v/>
      </c>
      <c r="R421" s="5"/>
      <c r="U421" s="5"/>
      <c r="Y421" s="0" t="str">
        <f aca="false">IF(FX421&lt;&gt;"Y","",COUNTIFS($FX$2:$FX$1000,"Y",$J$2:$J$1000,"&gt;"&amp;J421)+COUNTIFS($FX$2:$FX$1000,"Y",$J$2:$J$1000,J421,$GD$2:$GD$1000,"&lt;"&amp;GD421)+1)</f>
        <v/>
      </c>
      <c r="AB421" s="0" t="str">
        <f aca="false">IF($A421="","",IF(AW421="Y",BY421&amp;"",BK421&amp;""))</f>
        <v/>
      </c>
      <c r="AC421" s="0" t="str">
        <f aca="false">IF($A421="","",IF(AW421="Y",BS421&amp;"",BE421&amp;""))</f>
        <v/>
      </c>
      <c r="AD421" s="0" t="str">
        <f aca="false">IF($A421="","",IF(AW421="Y",BT421&amp;"",BF421&amp;""))</f>
        <v/>
      </c>
      <c r="AE421" s="0" t="str">
        <f aca="false">IF($A421="","",IF(AW421="Y",BU421&amp;"",BG421&amp;""))</f>
        <v/>
      </c>
      <c r="AF421" s="0" t="str">
        <f aca="false">IF($A421="","",IF(AW421="Y",BV421&amp;"",BH421&amp;""))</f>
        <v/>
      </c>
      <c r="AG421" s="0" t="str">
        <f aca="false">IF($A421="","",IF(AW421="Y",BW421&amp;"",BI421&amp;""))</f>
        <v/>
      </c>
      <c r="AH421" s="0" t="str">
        <f aca="false">IF($A421="","",IF(AW421="Y",BX421&amp;"",BJ421&amp;""))</f>
        <v/>
      </c>
      <c r="AQ421" s="5"/>
      <c r="AT421" s="0" t="str">
        <f aca="false">IF($A421="","",IF(AND(CN421="pass",AQ421&lt;&gt;"Y",C421&lt;&gt;"",OR(AX421&lt;&gt;"Y",AV421="Y")),"Y","N"))</f>
        <v/>
      </c>
      <c r="AU421" s="0" t="str">
        <f aca="false">IF($A421="","",_xlfn.TEXTJOIN("; ",TRUE(),IF(CN421&lt;&gt;"pass","gated out",""),IF(AQ421="Y","on hold: "&amp;AR421,""),IF(C421="","no contact named on an opened page",""),IF(AND(AX421="Y",AV421&lt;&gt;"Y"),"Tuesday estimate band "&amp;L421&amp;": founder's call","")))</f>
        <v/>
      </c>
      <c r="BC421" s="0" t="str">
        <f aca="false">IF($A421="","",IFERROR(INDEX(Enrichment!$A$2:$GZ$2000,MATCH($A421,INDEX(Enrichment!$A$2:$GZ$2000,0,MATCH("row_id",Enrichment!$A$1:$GZ$1,0)),0),MATCH("work_email",Enrichment!$A$1:$GZ$1,0))&amp;"",""))</f>
        <v/>
      </c>
      <c r="BD421" s="0" t="str">
        <f aca="false">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Q421" s="0" t="str">
        <f aca="false">IF($A421="","",IFERROR(INDEX(Enrichment!$A$2:$GZ$2000,MATCH($A421,INDEX(Enrichment!$A$2:$GZ$2000,0,MATCH("row_id",Enrichment!$A$1:$GZ$1,0)),0),MATCH("backup_work_email",Enrichment!$A$1:$GZ$1,0))&amp;"",""))</f>
        <v/>
      </c>
      <c r="BR421" s="0" t="str">
        <f aca="false">IF($A421="","",IF(BQ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EQ421" s="0" t="str">
        <f aca="false">IF($A421="","",IF(AH421="exact",10,IF(AH421="adjacent",5,0)))</f>
        <v/>
      </c>
      <c r="ER421" s="0" t="str">
        <f aca="false">IF($A421="","",IF(R421="Y",15,0))</f>
        <v/>
      </c>
      <c r="FS421" s="0" t="str">
        <f aca="false">IF($A421="","",IF(ISNUMBER(MATCH(U421,{"queued","contacted","replied","call_booked","call_done","yes_in_principle","materials_sent"},0)),"Y","N"))</f>
        <v/>
      </c>
      <c r="FT421" s="0" t="str">
        <f aca="false">IF($A421="","",IF(OR(T421="Y",U421="do_not_contact",AS421&amp;""&lt;&gt;""),"Y","N"))</f>
        <v/>
      </c>
      <c r="FU421" s="0" t="str">
        <f aca="false">IF($A421="","",IF(AP421&amp;""&lt;&gt;"",AP421&amp;"",$A421))</f>
        <v/>
      </c>
      <c r="FV421" s="0" t="str">
        <f aca="false">IF($A421="","",IF(COUNTIFS($FU$2:$FU$1000,FU421,$FS$2:$FS$1000,"Y")+COUNTIFS($FU$2:$FU$1000,FU421,$FT$2:$FT$1000,"Y")&gt;0,"Y","N"))</f>
        <v/>
      </c>
      <c r="FW421" s="0" t="str">
        <f aca="false">IF($A421="","",IF(AND(U421="new",T421="N",FT421="N",AT421="Y",FV421="N"),"Y","N"))</f>
        <v/>
      </c>
      <c r="FX421" s="0" t="str">
        <f aca="false">IF($A421="","",IF(FW421&lt;&gt;"Y","N",IF(COUNTIFS($FU$2:$FU$1000,FU421,$FW$2:$FW$1000,"Y",$J$2:$J$1000,"&gt;"&amp;J421)+COUNTIFS($FU$2:$FU$1000,FU421,$FW$2:$FW$1000,"Y",$J$2:$J$1000,J421,$GD$2:$GD$1000,"&lt;"&amp;GD421)=0,"Y","N")))</f>
        <v/>
      </c>
      <c r="FY421" s="0" t="str">
        <f aca="false">IF($A421="","",IF(AND(FW421="Y",FX421="Y",Y421&amp;""&lt;&gt;""),IF(Y421&lt;=10,"Y","N"),"N"))</f>
        <v/>
      </c>
      <c r="FZ421" s="0" t="str">
        <f aca="false">IF(FY421="Y",Y421,"")</f>
        <v/>
      </c>
      <c r="GA421" s="0" t="str">
        <f aca="false">IF($A421="","",IF(AND(I421="walk-in",CN421="pass",U421="new",FT421="N",FV421="N",AQ421&lt;&gt;"Y"),"Y","N"))</f>
        <v/>
      </c>
      <c r="GB421" s="0" t="str">
        <f aca="false">IF(GA421&lt;&gt;"Y","",IF(COUNTIFS($GA$2:$GA$1000,"Y",$J$2:$J$1000,"&gt;"&amp;J421)+COUNTIFS($GA$2:$GA$1000,"Y",$J$2:$J$1000,J421,$GD$2:$GD$1000,"&lt;"&amp;GD421)+1&lt;=25,COUNTIFS($GA$2:$GA$1000,"Y",$J$2:$J$1000,"&gt;"&amp;J421)+COUNTIFS($GA$2:$GA$1000,"Y",$J$2:$J$1000,J421,$GD$2:$GD$1000,"&lt;"&amp;GD421)+1,""))</f>
        <v/>
      </c>
      <c r="GC421" s="0" t="str">
        <f aca="false">IF(AND(_xlfn.ISFORMULA(C421),_xlfn.ISFORMULA(J421)),"Y","N")</f>
        <v>Y</v>
      </c>
      <c r="GD421" s="0" t="n">
        <f aca="false">ROW()-1</f>
        <v>420</v>
      </c>
    </row>
    <row r="422" customFormat="false" ht="15" hidden="false" customHeight="false" outlineLevel="0" collapsed="false">
      <c r="C422" s="0" t="str">
        <f aca="false">IF($A422="","",IF(AW422="Y",BM422&amp;"",AY422&amp;""))</f>
        <v/>
      </c>
      <c r="D422" s="0" t="str">
        <f aca="false">IF($A422="","",IF(AW422="Y",BN422&amp;"",AZ422&amp;""))</f>
        <v/>
      </c>
      <c r="E422" s="0" t="str">
        <f aca="false">IF($A422="","",IF(AW422="Y",BO422&amp;"",BA422&amp;""))</f>
        <v/>
      </c>
      <c r="F422" s="0" t="str">
        <f aca="false">IF($A422="","",IF(AW422="Y",BP422&amp;"",BB422&amp;""))</f>
        <v/>
      </c>
      <c r="G422" s="0" t="str">
        <f aca="false">IF($A422="","",IF(AW422="Y",BQ422&amp;"",BC422&amp;""))</f>
        <v/>
      </c>
      <c r="H422" s="0" t="str">
        <f aca="false">IF($A422="","",IF(AW422="Y",BR422&amp;"",BD422&amp;""))</f>
        <v/>
      </c>
      <c r="I422" s="0" t="str">
        <f aca="false">IF($A422="","",IF(R422="Y","warm-intro",IF(H422="verified","email",IF(C422&lt;&gt;"","linkedin",CB422&amp;""))))</f>
        <v/>
      </c>
      <c r="J422" s="0" t="str">
        <f aca="false">IF($A422="","",IF(CN422="pass",ROUND(N(EM422)+N(EN422)+N(EO422)+N(EP422)+N(EQ422)+N(ER422),1),0))</f>
        <v/>
      </c>
      <c r="K422" s="0" t="str">
        <f aca="false">IF($A422="","",IF(CN422&lt;&gt;"pass",CA422&amp;"",CA422&amp;"; "&amp;IF(AW422="Y",BZ422&amp;"",BL422&amp;"")&amp;IF(R422="Y","; known to the founder (+15)","")&amp;"."))</f>
        <v/>
      </c>
      <c r="R422" s="5"/>
      <c r="U422" s="5"/>
      <c r="Y422" s="0" t="str">
        <f aca="false">IF(FX422&lt;&gt;"Y","",COUNTIFS($FX$2:$FX$1000,"Y",$J$2:$J$1000,"&gt;"&amp;J422)+COUNTIFS($FX$2:$FX$1000,"Y",$J$2:$J$1000,J422,$GD$2:$GD$1000,"&lt;"&amp;GD422)+1)</f>
        <v/>
      </c>
      <c r="AB422" s="0" t="str">
        <f aca="false">IF($A422="","",IF(AW422="Y",BY422&amp;"",BK422&amp;""))</f>
        <v/>
      </c>
      <c r="AC422" s="0" t="str">
        <f aca="false">IF($A422="","",IF(AW422="Y",BS422&amp;"",BE422&amp;""))</f>
        <v/>
      </c>
      <c r="AD422" s="0" t="str">
        <f aca="false">IF($A422="","",IF(AW422="Y",BT422&amp;"",BF422&amp;""))</f>
        <v/>
      </c>
      <c r="AE422" s="0" t="str">
        <f aca="false">IF($A422="","",IF(AW422="Y",BU422&amp;"",BG422&amp;""))</f>
        <v/>
      </c>
      <c r="AF422" s="0" t="str">
        <f aca="false">IF($A422="","",IF(AW422="Y",BV422&amp;"",BH422&amp;""))</f>
        <v/>
      </c>
      <c r="AG422" s="0" t="str">
        <f aca="false">IF($A422="","",IF(AW422="Y",BW422&amp;"",BI422&amp;""))</f>
        <v/>
      </c>
      <c r="AH422" s="0" t="str">
        <f aca="false">IF($A422="","",IF(AW422="Y",BX422&amp;"",BJ422&amp;""))</f>
        <v/>
      </c>
      <c r="AQ422" s="5"/>
      <c r="AT422" s="0" t="str">
        <f aca="false">IF($A422="","",IF(AND(CN422="pass",AQ422&lt;&gt;"Y",C422&lt;&gt;"",OR(AX422&lt;&gt;"Y",AV422="Y")),"Y","N"))</f>
        <v/>
      </c>
      <c r="AU422" s="0" t="str">
        <f aca="false">IF($A422="","",_xlfn.TEXTJOIN("; ",TRUE(),IF(CN422&lt;&gt;"pass","gated out",""),IF(AQ422="Y","on hold: "&amp;AR422,""),IF(C422="","no contact named on an opened page",""),IF(AND(AX422="Y",AV422&lt;&gt;"Y"),"Tuesday estimate band "&amp;L422&amp;": founder's call","")))</f>
        <v/>
      </c>
      <c r="BC422" s="0" t="str">
        <f aca="false">IF($A422="","",IFERROR(INDEX(Enrichment!$A$2:$GZ$2000,MATCH($A422,INDEX(Enrichment!$A$2:$GZ$2000,0,MATCH("row_id",Enrichment!$A$1:$GZ$1,0)),0),MATCH("work_email",Enrichment!$A$1:$GZ$1,0))&amp;"",""))</f>
        <v/>
      </c>
      <c r="BD422" s="0" t="str">
        <f aca="false">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Q422" s="0" t="str">
        <f aca="false">IF($A422="","",IFERROR(INDEX(Enrichment!$A$2:$GZ$2000,MATCH($A422,INDEX(Enrichment!$A$2:$GZ$2000,0,MATCH("row_id",Enrichment!$A$1:$GZ$1,0)),0),MATCH("backup_work_email",Enrichment!$A$1:$GZ$1,0))&amp;"",""))</f>
        <v/>
      </c>
      <c r="BR422" s="0" t="str">
        <f aca="false">IF($A422="","",IF(BQ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EQ422" s="0" t="str">
        <f aca="false">IF($A422="","",IF(AH422="exact",10,IF(AH422="adjacent",5,0)))</f>
        <v/>
      </c>
      <c r="ER422" s="0" t="str">
        <f aca="false">IF($A422="","",IF(R422="Y",15,0))</f>
        <v/>
      </c>
      <c r="FS422" s="0" t="str">
        <f aca="false">IF($A422="","",IF(ISNUMBER(MATCH(U422,{"queued","contacted","replied","call_booked","call_done","yes_in_principle","materials_sent"},0)),"Y","N"))</f>
        <v/>
      </c>
      <c r="FT422" s="0" t="str">
        <f aca="false">IF($A422="","",IF(OR(T422="Y",U422="do_not_contact",AS422&amp;""&lt;&gt;""),"Y","N"))</f>
        <v/>
      </c>
      <c r="FU422" s="0" t="str">
        <f aca="false">IF($A422="","",IF(AP422&amp;""&lt;&gt;"",AP422&amp;"",$A422))</f>
        <v/>
      </c>
      <c r="FV422" s="0" t="str">
        <f aca="false">IF($A422="","",IF(COUNTIFS($FU$2:$FU$1000,FU422,$FS$2:$FS$1000,"Y")+COUNTIFS($FU$2:$FU$1000,FU422,$FT$2:$FT$1000,"Y")&gt;0,"Y","N"))</f>
        <v/>
      </c>
      <c r="FW422" s="0" t="str">
        <f aca="false">IF($A422="","",IF(AND(U422="new",T422="N",FT422="N",AT422="Y",FV422="N"),"Y","N"))</f>
        <v/>
      </c>
      <c r="FX422" s="0" t="str">
        <f aca="false">IF($A422="","",IF(FW422&lt;&gt;"Y","N",IF(COUNTIFS($FU$2:$FU$1000,FU422,$FW$2:$FW$1000,"Y",$J$2:$J$1000,"&gt;"&amp;J422)+COUNTIFS($FU$2:$FU$1000,FU422,$FW$2:$FW$1000,"Y",$J$2:$J$1000,J422,$GD$2:$GD$1000,"&lt;"&amp;GD422)=0,"Y","N")))</f>
        <v/>
      </c>
      <c r="FY422" s="0" t="str">
        <f aca="false">IF($A422="","",IF(AND(FW422="Y",FX422="Y",Y422&amp;""&lt;&gt;""),IF(Y422&lt;=10,"Y","N"),"N"))</f>
        <v/>
      </c>
      <c r="FZ422" s="0" t="str">
        <f aca="false">IF(FY422="Y",Y422,"")</f>
        <v/>
      </c>
      <c r="GA422" s="0" t="str">
        <f aca="false">IF($A422="","",IF(AND(I422="walk-in",CN422="pass",U422="new",FT422="N",FV422="N",AQ422&lt;&gt;"Y"),"Y","N"))</f>
        <v/>
      </c>
      <c r="GB422" s="0" t="str">
        <f aca="false">IF(GA422&lt;&gt;"Y","",IF(COUNTIFS($GA$2:$GA$1000,"Y",$J$2:$J$1000,"&gt;"&amp;J422)+COUNTIFS($GA$2:$GA$1000,"Y",$J$2:$J$1000,J422,$GD$2:$GD$1000,"&lt;"&amp;GD422)+1&lt;=25,COUNTIFS($GA$2:$GA$1000,"Y",$J$2:$J$1000,"&gt;"&amp;J422)+COUNTIFS($GA$2:$GA$1000,"Y",$J$2:$J$1000,J422,$GD$2:$GD$1000,"&lt;"&amp;GD422)+1,""))</f>
        <v/>
      </c>
      <c r="GC422" s="0" t="str">
        <f aca="false">IF(AND(_xlfn.ISFORMULA(C422),_xlfn.ISFORMULA(J422)),"Y","N")</f>
        <v>Y</v>
      </c>
      <c r="GD422" s="0" t="n">
        <f aca="false">ROW()-1</f>
        <v>421</v>
      </c>
    </row>
    <row r="423" customFormat="false" ht="15" hidden="false" customHeight="false" outlineLevel="0" collapsed="false">
      <c r="C423" s="0" t="str">
        <f aca="false">IF($A423="","",IF(AW423="Y",BM423&amp;"",AY423&amp;""))</f>
        <v/>
      </c>
      <c r="D423" s="0" t="str">
        <f aca="false">IF($A423="","",IF(AW423="Y",BN423&amp;"",AZ423&amp;""))</f>
        <v/>
      </c>
      <c r="E423" s="0" t="str">
        <f aca="false">IF($A423="","",IF(AW423="Y",BO423&amp;"",BA423&amp;""))</f>
        <v/>
      </c>
      <c r="F423" s="0" t="str">
        <f aca="false">IF($A423="","",IF(AW423="Y",BP423&amp;"",BB423&amp;""))</f>
        <v/>
      </c>
      <c r="G423" s="0" t="str">
        <f aca="false">IF($A423="","",IF(AW423="Y",BQ423&amp;"",BC423&amp;""))</f>
        <v/>
      </c>
      <c r="H423" s="0" t="str">
        <f aca="false">IF($A423="","",IF(AW423="Y",BR423&amp;"",BD423&amp;""))</f>
        <v/>
      </c>
      <c r="I423" s="0" t="str">
        <f aca="false">IF($A423="","",IF(R423="Y","warm-intro",IF(H423="verified","email",IF(C423&lt;&gt;"","linkedin",CB423&amp;""))))</f>
        <v/>
      </c>
      <c r="J423" s="0" t="str">
        <f aca="false">IF($A423="","",IF(CN423="pass",ROUND(N(EM423)+N(EN423)+N(EO423)+N(EP423)+N(EQ423)+N(ER423),1),0))</f>
        <v/>
      </c>
      <c r="K423" s="0" t="str">
        <f aca="false">IF($A423="","",IF(CN423&lt;&gt;"pass",CA423&amp;"",CA423&amp;"; "&amp;IF(AW423="Y",BZ423&amp;"",BL423&amp;"")&amp;IF(R423="Y","; known to the founder (+15)","")&amp;"."))</f>
        <v/>
      </c>
      <c r="R423" s="5"/>
      <c r="U423" s="5"/>
      <c r="Y423" s="0" t="str">
        <f aca="false">IF(FX423&lt;&gt;"Y","",COUNTIFS($FX$2:$FX$1000,"Y",$J$2:$J$1000,"&gt;"&amp;J423)+COUNTIFS($FX$2:$FX$1000,"Y",$J$2:$J$1000,J423,$GD$2:$GD$1000,"&lt;"&amp;GD423)+1)</f>
        <v/>
      </c>
      <c r="AB423" s="0" t="str">
        <f aca="false">IF($A423="","",IF(AW423="Y",BY423&amp;"",BK423&amp;""))</f>
        <v/>
      </c>
      <c r="AC423" s="0" t="str">
        <f aca="false">IF($A423="","",IF(AW423="Y",BS423&amp;"",BE423&amp;""))</f>
        <v/>
      </c>
      <c r="AD423" s="0" t="str">
        <f aca="false">IF($A423="","",IF(AW423="Y",BT423&amp;"",BF423&amp;""))</f>
        <v/>
      </c>
      <c r="AE423" s="0" t="str">
        <f aca="false">IF($A423="","",IF(AW423="Y",BU423&amp;"",BG423&amp;""))</f>
        <v/>
      </c>
      <c r="AF423" s="0" t="str">
        <f aca="false">IF($A423="","",IF(AW423="Y",BV423&amp;"",BH423&amp;""))</f>
        <v/>
      </c>
      <c r="AG423" s="0" t="str">
        <f aca="false">IF($A423="","",IF(AW423="Y",BW423&amp;"",BI423&amp;""))</f>
        <v/>
      </c>
      <c r="AH423" s="0" t="str">
        <f aca="false">IF($A423="","",IF(AW423="Y",BX423&amp;"",BJ423&amp;""))</f>
        <v/>
      </c>
      <c r="AQ423" s="5"/>
      <c r="AT423" s="0" t="str">
        <f aca="false">IF($A423="","",IF(AND(CN423="pass",AQ423&lt;&gt;"Y",C423&lt;&gt;"",OR(AX423&lt;&gt;"Y",AV423="Y")),"Y","N"))</f>
        <v/>
      </c>
      <c r="AU423" s="0" t="str">
        <f aca="false">IF($A423="","",_xlfn.TEXTJOIN("; ",TRUE(),IF(CN423&lt;&gt;"pass","gated out",""),IF(AQ423="Y","on hold: "&amp;AR423,""),IF(C423="","no contact named on an opened page",""),IF(AND(AX423="Y",AV423&lt;&gt;"Y"),"Tuesday estimate band "&amp;L423&amp;": founder's call","")))</f>
        <v/>
      </c>
      <c r="BC423" s="0" t="str">
        <f aca="false">IF($A423="","",IFERROR(INDEX(Enrichment!$A$2:$GZ$2000,MATCH($A423,INDEX(Enrichment!$A$2:$GZ$2000,0,MATCH("row_id",Enrichment!$A$1:$GZ$1,0)),0),MATCH("work_email",Enrichment!$A$1:$GZ$1,0))&amp;"",""))</f>
        <v/>
      </c>
      <c r="BD423" s="0" t="str">
        <f aca="false">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Q423" s="0" t="str">
        <f aca="false">IF($A423="","",IFERROR(INDEX(Enrichment!$A$2:$GZ$2000,MATCH($A423,INDEX(Enrichment!$A$2:$GZ$2000,0,MATCH("row_id",Enrichment!$A$1:$GZ$1,0)),0),MATCH("backup_work_email",Enrichment!$A$1:$GZ$1,0))&amp;"",""))</f>
        <v/>
      </c>
      <c r="BR423" s="0" t="str">
        <f aca="false">IF($A423="","",IF(BQ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EQ423" s="0" t="str">
        <f aca="false">IF($A423="","",IF(AH423="exact",10,IF(AH423="adjacent",5,0)))</f>
        <v/>
      </c>
      <c r="ER423" s="0" t="str">
        <f aca="false">IF($A423="","",IF(R423="Y",15,0))</f>
        <v/>
      </c>
      <c r="FS423" s="0" t="str">
        <f aca="false">IF($A423="","",IF(ISNUMBER(MATCH(U423,{"queued","contacted","replied","call_booked","call_done","yes_in_principle","materials_sent"},0)),"Y","N"))</f>
        <v/>
      </c>
      <c r="FT423" s="0" t="str">
        <f aca="false">IF($A423="","",IF(OR(T423="Y",U423="do_not_contact",AS423&amp;""&lt;&gt;""),"Y","N"))</f>
        <v/>
      </c>
      <c r="FU423" s="0" t="str">
        <f aca="false">IF($A423="","",IF(AP423&amp;""&lt;&gt;"",AP423&amp;"",$A423))</f>
        <v/>
      </c>
      <c r="FV423" s="0" t="str">
        <f aca="false">IF($A423="","",IF(COUNTIFS($FU$2:$FU$1000,FU423,$FS$2:$FS$1000,"Y")+COUNTIFS($FU$2:$FU$1000,FU423,$FT$2:$FT$1000,"Y")&gt;0,"Y","N"))</f>
        <v/>
      </c>
      <c r="FW423" s="0" t="str">
        <f aca="false">IF($A423="","",IF(AND(U423="new",T423="N",FT423="N",AT423="Y",FV423="N"),"Y","N"))</f>
        <v/>
      </c>
      <c r="FX423" s="0" t="str">
        <f aca="false">IF($A423="","",IF(FW423&lt;&gt;"Y","N",IF(COUNTIFS($FU$2:$FU$1000,FU423,$FW$2:$FW$1000,"Y",$J$2:$J$1000,"&gt;"&amp;J423)+COUNTIFS($FU$2:$FU$1000,FU423,$FW$2:$FW$1000,"Y",$J$2:$J$1000,J423,$GD$2:$GD$1000,"&lt;"&amp;GD423)=0,"Y","N")))</f>
        <v/>
      </c>
      <c r="FY423" s="0" t="str">
        <f aca="false">IF($A423="","",IF(AND(FW423="Y",FX423="Y",Y423&amp;""&lt;&gt;""),IF(Y423&lt;=10,"Y","N"),"N"))</f>
        <v/>
      </c>
      <c r="FZ423" s="0" t="str">
        <f aca="false">IF(FY423="Y",Y423,"")</f>
        <v/>
      </c>
      <c r="GA423" s="0" t="str">
        <f aca="false">IF($A423="","",IF(AND(I423="walk-in",CN423="pass",U423="new",FT423="N",FV423="N",AQ423&lt;&gt;"Y"),"Y","N"))</f>
        <v/>
      </c>
      <c r="GB423" s="0" t="str">
        <f aca="false">IF(GA423&lt;&gt;"Y","",IF(COUNTIFS($GA$2:$GA$1000,"Y",$J$2:$J$1000,"&gt;"&amp;J423)+COUNTIFS($GA$2:$GA$1000,"Y",$J$2:$J$1000,J423,$GD$2:$GD$1000,"&lt;"&amp;GD423)+1&lt;=25,COUNTIFS($GA$2:$GA$1000,"Y",$J$2:$J$1000,"&gt;"&amp;J423)+COUNTIFS($GA$2:$GA$1000,"Y",$J$2:$J$1000,J423,$GD$2:$GD$1000,"&lt;"&amp;GD423)+1,""))</f>
        <v/>
      </c>
      <c r="GC423" s="0" t="str">
        <f aca="false">IF(AND(_xlfn.ISFORMULA(C423),_xlfn.ISFORMULA(J423)),"Y","N")</f>
        <v>Y</v>
      </c>
      <c r="GD423" s="0" t="n">
        <f aca="false">ROW()-1</f>
        <v>422</v>
      </c>
    </row>
    <row r="424" customFormat="false" ht="15" hidden="false" customHeight="false" outlineLevel="0" collapsed="false">
      <c r="C424" s="0" t="str">
        <f aca="false">IF($A424="","",IF(AW424="Y",BM424&amp;"",AY424&amp;""))</f>
        <v/>
      </c>
      <c r="D424" s="0" t="str">
        <f aca="false">IF($A424="","",IF(AW424="Y",BN424&amp;"",AZ424&amp;""))</f>
        <v/>
      </c>
      <c r="E424" s="0" t="str">
        <f aca="false">IF($A424="","",IF(AW424="Y",BO424&amp;"",BA424&amp;""))</f>
        <v/>
      </c>
      <c r="F424" s="0" t="str">
        <f aca="false">IF($A424="","",IF(AW424="Y",BP424&amp;"",BB424&amp;""))</f>
        <v/>
      </c>
      <c r="G424" s="0" t="str">
        <f aca="false">IF($A424="","",IF(AW424="Y",BQ424&amp;"",BC424&amp;""))</f>
        <v/>
      </c>
      <c r="H424" s="0" t="str">
        <f aca="false">IF($A424="","",IF(AW424="Y",BR424&amp;"",BD424&amp;""))</f>
        <v/>
      </c>
      <c r="I424" s="0" t="str">
        <f aca="false">IF($A424="","",IF(R424="Y","warm-intro",IF(H424="verified","email",IF(C424&lt;&gt;"","linkedin",CB424&amp;""))))</f>
        <v/>
      </c>
      <c r="J424" s="0" t="str">
        <f aca="false">IF($A424="","",IF(CN424="pass",ROUND(N(EM424)+N(EN424)+N(EO424)+N(EP424)+N(EQ424)+N(ER424),1),0))</f>
        <v/>
      </c>
      <c r="K424" s="0" t="str">
        <f aca="false">IF($A424="","",IF(CN424&lt;&gt;"pass",CA424&amp;"",CA424&amp;"; "&amp;IF(AW424="Y",BZ424&amp;"",BL424&amp;"")&amp;IF(R424="Y","; known to the founder (+15)","")&amp;"."))</f>
        <v/>
      </c>
      <c r="R424" s="5"/>
      <c r="U424" s="5"/>
      <c r="Y424" s="0" t="str">
        <f aca="false">IF(FX424&lt;&gt;"Y","",COUNTIFS($FX$2:$FX$1000,"Y",$J$2:$J$1000,"&gt;"&amp;J424)+COUNTIFS($FX$2:$FX$1000,"Y",$J$2:$J$1000,J424,$GD$2:$GD$1000,"&lt;"&amp;GD424)+1)</f>
        <v/>
      </c>
      <c r="AB424" s="0" t="str">
        <f aca="false">IF($A424="","",IF(AW424="Y",BY424&amp;"",BK424&amp;""))</f>
        <v/>
      </c>
      <c r="AC424" s="0" t="str">
        <f aca="false">IF($A424="","",IF(AW424="Y",BS424&amp;"",BE424&amp;""))</f>
        <v/>
      </c>
      <c r="AD424" s="0" t="str">
        <f aca="false">IF($A424="","",IF(AW424="Y",BT424&amp;"",BF424&amp;""))</f>
        <v/>
      </c>
      <c r="AE424" s="0" t="str">
        <f aca="false">IF($A424="","",IF(AW424="Y",BU424&amp;"",BG424&amp;""))</f>
        <v/>
      </c>
      <c r="AF424" s="0" t="str">
        <f aca="false">IF($A424="","",IF(AW424="Y",BV424&amp;"",BH424&amp;""))</f>
        <v/>
      </c>
      <c r="AG424" s="0" t="str">
        <f aca="false">IF($A424="","",IF(AW424="Y",BW424&amp;"",BI424&amp;""))</f>
        <v/>
      </c>
      <c r="AH424" s="0" t="str">
        <f aca="false">IF($A424="","",IF(AW424="Y",BX424&amp;"",BJ424&amp;""))</f>
        <v/>
      </c>
      <c r="AQ424" s="5"/>
      <c r="AT424" s="0" t="str">
        <f aca="false">IF($A424="","",IF(AND(CN424="pass",AQ424&lt;&gt;"Y",C424&lt;&gt;"",OR(AX424&lt;&gt;"Y",AV424="Y")),"Y","N"))</f>
        <v/>
      </c>
      <c r="AU424" s="0" t="str">
        <f aca="false">IF($A424="","",_xlfn.TEXTJOIN("; ",TRUE(),IF(CN424&lt;&gt;"pass","gated out",""),IF(AQ424="Y","on hold: "&amp;AR424,""),IF(C424="","no contact named on an opened page",""),IF(AND(AX424="Y",AV424&lt;&gt;"Y"),"Tuesday estimate band "&amp;L424&amp;": founder's call","")))</f>
        <v/>
      </c>
      <c r="BC424" s="0" t="str">
        <f aca="false">IF($A424="","",IFERROR(INDEX(Enrichment!$A$2:$GZ$2000,MATCH($A424,INDEX(Enrichment!$A$2:$GZ$2000,0,MATCH("row_id",Enrichment!$A$1:$GZ$1,0)),0),MATCH("work_email",Enrichment!$A$1:$GZ$1,0))&amp;"",""))</f>
        <v/>
      </c>
      <c r="BD424" s="0" t="str">
        <f aca="false">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Q424" s="0" t="str">
        <f aca="false">IF($A424="","",IFERROR(INDEX(Enrichment!$A$2:$GZ$2000,MATCH($A424,INDEX(Enrichment!$A$2:$GZ$2000,0,MATCH("row_id",Enrichment!$A$1:$GZ$1,0)),0),MATCH("backup_work_email",Enrichment!$A$1:$GZ$1,0))&amp;"",""))</f>
        <v/>
      </c>
      <c r="BR424" s="0" t="str">
        <f aca="false">IF($A424="","",IF(BQ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EQ424" s="0" t="str">
        <f aca="false">IF($A424="","",IF(AH424="exact",10,IF(AH424="adjacent",5,0)))</f>
        <v/>
      </c>
      <c r="ER424" s="0" t="str">
        <f aca="false">IF($A424="","",IF(R424="Y",15,0))</f>
        <v/>
      </c>
      <c r="FS424" s="0" t="str">
        <f aca="false">IF($A424="","",IF(ISNUMBER(MATCH(U424,{"queued","contacted","replied","call_booked","call_done","yes_in_principle","materials_sent"},0)),"Y","N"))</f>
        <v/>
      </c>
      <c r="FT424" s="0" t="str">
        <f aca="false">IF($A424="","",IF(OR(T424="Y",U424="do_not_contact",AS424&amp;""&lt;&gt;""),"Y","N"))</f>
        <v/>
      </c>
      <c r="FU424" s="0" t="str">
        <f aca="false">IF($A424="","",IF(AP424&amp;""&lt;&gt;"",AP424&amp;"",$A424))</f>
        <v/>
      </c>
      <c r="FV424" s="0" t="str">
        <f aca="false">IF($A424="","",IF(COUNTIFS($FU$2:$FU$1000,FU424,$FS$2:$FS$1000,"Y")+COUNTIFS($FU$2:$FU$1000,FU424,$FT$2:$FT$1000,"Y")&gt;0,"Y","N"))</f>
        <v/>
      </c>
      <c r="FW424" s="0" t="str">
        <f aca="false">IF($A424="","",IF(AND(U424="new",T424="N",FT424="N",AT424="Y",FV424="N"),"Y","N"))</f>
        <v/>
      </c>
      <c r="FX424" s="0" t="str">
        <f aca="false">IF($A424="","",IF(FW424&lt;&gt;"Y","N",IF(COUNTIFS($FU$2:$FU$1000,FU424,$FW$2:$FW$1000,"Y",$J$2:$J$1000,"&gt;"&amp;J424)+COUNTIFS($FU$2:$FU$1000,FU424,$FW$2:$FW$1000,"Y",$J$2:$J$1000,J424,$GD$2:$GD$1000,"&lt;"&amp;GD424)=0,"Y","N")))</f>
        <v/>
      </c>
      <c r="FY424" s="0" t="str">
        <f aca="false">IF($A424="","",IF(AND(FW424="Y",FX424="Y",Y424&amp;""&lt;&gt;""),IF(Y424&lt;=10,"Y","N"),"N"))</f>
        <v/>
      </c>
      <c r="FZ424" s="0" t="str">
        <f aca="false">IF(FY424="Y",Y424,"")</f>
        <v/>
      </c>
      <c r="GA424" s="0" t="str">
        <f aca="false">IF($A424="","",IF(AND(I424="walk-in",CN424="pass",U424="new",FT424="N",FV424="N",AQ424&lt;&gt;"Y"),"Y","N"))</f>
        <v/>
      </c>
      <c r="GB424" s="0" t="str">
        <f aca="false">IF(GA424&lt;&gt;"Y","",IF(COUNTIFS($GA$2:$GA$1000,"Y",$J$2:$J$1000,"&gt;"&amp;J424)+COUNTIFS($GA$2:$GA$1000,"Y",$J$2:$J$1000,J424,$GD$2:$GD$1000,"&lt;"&amp;GD424)+1&lt;=25,COUNTIFS($GA$2:$GA$1000,"Y",$J$2:$J$1000,"&gt;"&amp;J424)+COUNTIFS($GA$2:$GA$1000,"Y",$J$2:$J$1000,J424,$GD$2:$GD$1000,"&lt;"&amp;GD424)+1,""))</f>
        <v/>
      </c>
      <c r="GC424" s="0" t="str">
        <f aca="false">IF(AND(_xlfn.ISFORMULA(C424),_xlfn.ISFORMULA(J424)),"Y","N")</f>
        <v>Y</v>
      </c>
      <c r="GD424" s="0" t="n">
        <f aca="false">ROW()-1</f>
        <v>423</v>
      </c>
    </row>
    <row r="425" customFormat="false" ht="15" hidden="false" customHeight="false" outlineLevel="0" collapsed="false">
      <c r="C425" s="0" t="str">
        <f aca="false">IF($A425="","",IF(AW425="Y",BM425&amp;"",AY425&amp;""))</f>
        <v/>
      </c>
      <c r="D425" s="0" t="str">
        <f aca="false">IF($A425="","",IF(AW425="Y",BN425&amp;"",AZ425&amp;""))</f>
        <v/>
      </c>
      <c r="E425" s="0" t="str">
        <f aca="false">IF($A425="","",IF(AW425="Y",BO425&amp;"",BA425&amp;""))</f>
        <v/>
      </c>
      <c r="F425" s="0" t="str">
        <f aca="false">IF($A425="","",IF(AW425="Y",BP425&amp;"",BB425&amp;""))</f>
        <v/>
      </c>
      <c r="G425" s="0" t="str">
        <f aca="false">IF($A425="","",IF(AW425="Y",BQ425&amp;"",BC425&amp;""))</f>
        <v/>
      </c>
      <c r="H425" s="0" t="str">
        <f aca="false">IF($A425="","",IF(AW425="Y",BR425&amp;"",BD425&amp;""))</f>
        <v/>
      </c>
      <c r="I425" s="0" t="str">
        <f aca="false">IF($A425="","",IF(R425="Y","warm-intro",IF(H425="verified","email",IF(C425&lt;&gt;"","linkedin",CB425&amp;""))))</f>
        <v/>
      </c>
      <c r="J425" s="0" t="str">
        <f aca="false">IF($A425="","",IF(CN425="pass",ROUND(N(EM425)+N(EN425)+N(EO425)+N(EP425)+N(EQ425)+N(ER425),1),0))</f>
        <v/>
      </c>
      <c r="K425" s="0" t="str">
        <f aca="false">IF($A425="","",IF(CN425&lt;&gt;"pass",CA425&amp;"",CA425&amp;"; "&amp;IF(AW425="Y",BZ425&amp;"",BL425&amp;"")&amp;IF(R425="Y","; known to the founder (+15)","")&amp;"."))</f>
        <v/>
      </c>
      <c r="R425" s="5"/>
      <c r="U425" s="5"/>
      <c r="Y425" s="0" t="str">
        <f aca="false">IF(FX425&lt;&gt;"Y","",COUNTIFS($FX$2:$FX$1000,"Y",$J$2:$J$1000,"&gt;"&amp;J425)+COUNTIFS($FX$2:$FX$1000,"Y",$J$2:$J$1000,J425,$GD$2:$GD$1000,"&lt;"&amp;GD425)+1)</f>
        <v/>
      </c>
      <c r="AB425" s="0" t="str">
        <f aca="false">IF($A425="","",IF(AW425="Y",BY425&amp;"",BK425&amp;""))</f>
        <v/>
      </c>
      <c r="AC425" s="0" t="str">
        <f aca="false">IF($A425="","",IF(AW425="Y",BS425&amp;"",BE425&amp;""))</f>
        <v/>
      </c>
      <c r="AD425" s="0" t="str">
        <f aca="false">IF($A425="","",IF(AW425="Y",BT425&amp;"",BF425&amp;""))</f>
        <v/>
      </c>
      <c r="AE425" s="0" t="str">
        <f aca="false">IF($A425="","",IF(AW425="Y",BU425&amp;"",BG425&amp;""))</f>
        <v/>
      </c>
      <c r="AF425" s="0" t="str">
        <f aca="false">IF($A425="","",IF(AW425="Y",BV425&amp;"",BH425&amp;""))</f>
        <v/>
      </c>
      <c r="AG425" s="0" t="str">
        <f aca="false">IF($A425="","",IF(AW425="Y",BW425&amp;"",BI425&amp;""))</f>
        <v/>
      </c>
      <c r="AH425" s="0" t="str">
        <f aca="false">IF($A425="","",IF(AW425="Y",BX425&amp;"",BJ425&amp;""))</f>
        <v/>
      </c>
      <c r="AQ425" s="5"/>
      <c r="AT425" s="0" t="str">
        <f aca="false">IF($A425="","",IF(AND(CN425="pass",AQ425&lt;&gt;"Y",C425&lt;&gt;"",OR(AX425&lt;&gt;"Y",AV425="Y")),"Y","N"))</f>
        <v/>
      </c>
      <c r="AU425" s="0" t="str">
        <f aca="false">IF($A425="","",_xlfn.TEXTJOIN("; ",TRUE(),IF(CN425&lt;&gt;"pass","gated out",""),IF(AQ425="Y","on hold: "&amp;AR425,""),IF(C425="","no contact named on an opened page",""),IF(AND(AX425="Y",AV425&lt;&gt;"Y"),"Tuesday estimate band "&amp;L425&amp;": founder's call","")))</f>
        <v/>
      </c>
      <c r="BC425" s="0" t="str">
        <f aca="false">IF($A425="","",IFERROR(INDEX(Enrichment!$A$2:$GZ$2000,MATCH($A425,INDEX(Enrichment!$A$2:$GZ$2000,0,MATCH("row_id",Enrichment!$A$1:$GZ$1,0)),0),MATCH("work_email",Enrichment!$A$1:$GZ$1,0))&amp;"",""))</f>
        <v/>
      </c>
      <c r="BD425" s="0" t="str">
        <f aca="false">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Q425" s="0" t="str">
        <f aca="false">IF($A425="","",IFERROR(INDEX(Enrichment!$A$2:$GZ$2000,MATCH($A425,INDEX(Enrichment!$A$2:$GZ$2000,0,MATCH("row_id",Enrichment!$A$1:$GZ$1,0)),0),MATCH("backup_work_email",Enrichment!$A$1:$GZ$1,0))&amp;"",""))</f>
        <v/>
      </c>
      <c r="BR425" s="0" t="str">
        <f aca="false">IF($A425="","",IF(BQ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EQ425" s="0" t="str">
        <f aca="false">IF($A425="","",IF(AH425="exact",10,IF(AH425="adjacent",5,0)))</f>
        <v/>
      </c>
      <c r="ER425" s="0" t="str">
        <f aca="false">IF($A425="","",IF(R425="Y",15,0))</f>
        <v/>
      </c>
      <c r="FS425" s="0" t="str">
        <f aca="false">IF($A425="","",IF(ISNUMBER(MATCH(U425,{"queued","contacted","replied","call_booked","call_done","yes_in_principle","materials_sent"},0)),"Y","N"))</f>
        <v/>
      </c>
      <c r="FT425" s="0" t="str">
        <f aca="false">IF($A425="","",IF(OR(T425="Y",U425="do_not_contact",AS425&amp;""&lt;&gt;""),"Y","N"))</f>
        <v/>
      </c>
      <c r="FU425" s="0" t="str">
        <f aca="false">IF($A425="","",IF(AP425&amp;""&lt;&gt;"",AP425&amp;"",$A425))</f>
        <v/>
      </c>
      <c r="FV425" s="0" t="str">
        <f aca="false">IF($A425="","",IF(COUNTIFS($FU$2:$FU$1000,FU425,$FS$2:$FS$1000,"Y")+COUNTIFS($FU$2:$FU$1000,FU425,$FT$2:$FT$1000,"Y")&gt;0,"Y","N"))</f>
        <v/>
      </c>
      <c r="FW425" s="0" t="str">
        <f aca="false">IF($A425="","",IF(AND(U425="new",T425="N",FT425="N",AT425="Y",FV425="N"),"Y","N"))</f>
        <v/>
      </c>
      <c r="FX425" s="0" t="str">
        <f aca="false">IF($A425="","",IF(FW425&lt;&gt;"Y","N",IF(COUNTIFS($FU$2:$FU$1000,FU425,$FW$2:$FW$1000,"Y",$J$2:$J$1000,"&gt;"&amp;J425)+COUNTIFS($FU$2:$FU$1000,FU425,$FW$2:$FW$1000,"Y",$J$2:$J$1000,J425,$GD$2:$GD$1000,"&lt;"&amp;GD425)=0,"Y","N")))</f>
        <v/>
      </c>
      <c r="FY425" s="0" t="str">
        <f aca="false">IF($A425="","",IF(AND(FW425="Y",FX425="Y",Y425&amp;""&lt;&gt;""),IF(Y425&lt;=10,"Y","N"),"N"))</f>
        <v/>
      </c>
      <c r="FZ425" s="0" t="str">
        <f aca="false">IF(FY425="Y",Y425,"")</f>
        <v/>
      </c>
      <c r="GA425" s="0" t="str">
        <f aca="false">IF($A425="","",IF(AND(I425="walk-in",CN425="pass",U425="new",FT425="N",FV425="N",AQ425&lt;&gt;"Y"),"Y","N"))</f>
        <v/>
      </c>
      <c r="GB425" s="0" t="str">
        <f aca="false">IF(GA425&lt;&gt;"Y","",IF(COUNTIFS($GA$2:$GA$1000,"Y",$J$2:$J$1000,"&gt;"&amp;J425)+COUNTIFS($GA$2:$GA$1000,"Y",$J$2:$J$1000,J425,$GD$2:$GD$1000,"&lt;"&amp;GD425)+1&lt;=25,COUNTIFS($GA$2:$GA$1000,"Y",$J$2:$J$1000,"&gt;"&amp;J425)+COUNTIFS($GA$2:$GA$1000,"Y",$J$2:$J$1000,J425,$GD$2:$GD$1000,"&lt;"&amp;GD425)+1,""))</f>
        <v/>
      </c>
      <c r="GC425" s="0" t="str">
        <f aca="false">IF(AND(_xlfn.ISFORMULA(C425),_xlfn.ISFORMULA(J425)),"Y","N")</f>
        <v>Y</v>
      </c>
      <c r="GD425" s="0" t="n">
        <f aca="false">ROW()-1</f>
        <v>424</v>
      </c>
    </row>
    <row r="426" customFormat="false" ht="15" hidden="false" customHeight="false" outlineLevel="0" collapsed="false">
      <c r="C426" s="0" t="str">
        <f aca="false">IF($A426="","",IF(AW426="Y",BM426&amp;"",AY426&amp;""))</f>
        <v/>
      </c>
      <c r="D426" s="0" t="str">
        <f aca="false">IF($A426="","",IF(AW426="Y",BN426&amp;"",AZ426&amp;""))</f>
        <v/>
      </c>
      <c r="E426" s="0" t="str">
        <f aca="false">IF($A426="","",IF(AW426="Y",BO426&amp;"",BA426&amp;""))</f>
        <v/>
      </c>
      <c r="F426" s="0" t="str">
        <f aca="false">IF($A426="","",IF(AW426="Y",BP426&amp;"",BB426&amp;""))</f>
        <v/>
      </c>
      <c r="G426" s="0" t="str">
        <f aca="false">IF($A426="","",IF(AW426="Y",BQ426&amp;"",BC426&amp;""))</f>
        <v/>
      </c>
      <c r="H426" s="0" t="str">
        <f aca="false">IF($A426="","",IF(AW426="Y",BR426&amp;"",BD426&amp;""))</f>
        <v/>
      </c>
      <c r="I426" s="0" t="str">
        <f aca="false">IF($A426="","",IF(R426="Y","warm-intro",IF(H426="verified","email",IF(C426&lt;&gt;"","linkedin",CB426&amp;""))))</f>
        <v/>
      </c>
      <c r="J426" s="0" t="str">
        <f aca="false">IF($A426="","",IF(CN426="pass",ROUND(N(EM426)+N(EN426)+N(EO426)+N(EP426)+N(EQ426)+N(ER426),1),0))</f>
        <v/>
      </c>
      <c r="K426" s="0" t="str">
        <f aca="false">IF($A426="","",IF(CN426&lt;&gt;"pass",CA426&amp;"",CA426&amp;"; "&amp;IF(AW426="Y",BZ426&amp;"",BL426&amp;"")&amp;IF(R426="Y","; known to the founder (+15)","")&amp;"."))</f>
        <v/>
      </c>
      <c r="R426" s="5"/>
      <c r="U426" s="5"/>
      <c r="Y426" s="0" t="str">
        <f aca="false">IF(FX426&lt;&gt;"Y","",COUNTIFS($FX$2:$FX$1000,"Y",$J$2:$J$1000,"&gt;"&amp;J426)+COUNTIFS($FX$2:$FX$1000,"Y",$J$2:$J$1000,J426,$GD$2:$GD$1000,"&lt;"&amp;GD426)+1)</f>
        <v/>
      </c>
      <c r="AB426" s="0" t="str">
        <f aca="false">IF($A426="","",IF(AW426="Y",BY426&amp;"",BK426&amp;""))</f>
        <v/>
      </c>
      <c r="AC426" s="0" t="str">
        <f aca="false">IF($A426="","",IF(AW426="Y",BS426&amp;"",BE426&amp;""))</f>
        <v/>
      </c>
      <c r="AD426" s="0" t="str">
        <f aca="false">IF($A426="","",IF(AW426="Y",BT426&amp;"",BF426&amp;""))</f>
        <v/>
      </c>
      <c r="AE426" s="0" t="str">
        <f aca="false">IF($A426="","",IF(AW426="Y",BU426&amp;"",BG426&amp;""))</f>
        <v/>
      </c>
      <c r="AF426" s="0" t="str">
        <f aca="false">IF($A426="","",IF(AW426="Y",BV426&amp;"",BH426&amp;""))</f>
        <v/>
      </c>
      <c r="AG426" s="0" t="str">
        <f aca="false">IF($A426="","",IF(AW426="Y",BW426&amp;"",BI426&amp;""))</f>
        <v/>
      </c>
      <c r="AH426" s="0" t="str">
        <f aca="false">IF($A426="","",IF(AW426="Y",BX426&amp;"",BJ426&amp;""))</f>
        <v/>
      </c>
      <c r="AQ426" s="5"/>
      <c r="AT426" s="0" t="str">
        <f aca="false">IF($A426="","",IF(AND(CN426="pass",AQ426&lt;&gt;"Y",C426&lt;&gt;"",OR(AX426&lt;&gt;"Y",AV426="Y")),"Y","N"))</f>
        <v/>
      </c>
      <c r="AU426" s="0" t="str">
        <f aca="false">IF($A426="","",_xlfn.TEXTJOIN("; ",TRUE(),IF(CN426&lt;&gt;"pass","gated out",""),IF(AQ426="Y","on hold: "&amp;AR426,""),IF(C426="","no contact named on an opened page",""),IF(AND(AX426="Y",AV426&lt;&gt;"Y"),"Tuesday estimate band "&amp;L426&amp;": founder's call","")))</f>
        <v/>
      </c>
      <c r="BC426" s="0" t="str">
        <f aca="false">IF($A426="","",IFERROR(INDEX(Enrichment!$A$2:$GZ$2000,MATCH($A426,INDEX(Enrichment!$A$2:$GZ$2000,0,MATCH("row_id",Enrichment!$A$1:$GZ$1,0)),0),MATCH("work_email",Enrichment!$A$1:$GZ$1,0))&amp;"",""))</f>
        <v/>
      </c>
      <c r="BD426" s="0" t="str">
        <f aca="false">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Q426" s="0" t="str">
        <f aca="false">IF($A426="","",IFERROR(INDEX(Enrichment!$A$2:$GZ$2000,MATCH($A426,INDEX(Enrichment!$A$2:$GZ$2000,0,MATCH("row_id",Enrichment!$A$1:$GZ$1,0)),0),MATCH("backup_work_email",Enrichment!$A$1:$GZ$1,0))&amp;"",""))</f>
        <v/>
      </c>
      <c r="BR426" s="0" t="str">
        <f aca="false">IF($A426="","",IF(BQ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EQ426" s="0" t="str">
        <f aca="false">IF($A426="","",IF(AH426="exact",10,IF(AH426="adjacent",5,0)))</f>
        <v/>
      </c>
      <c r="ER426" s="0" t="str">
        <f aca="false">IF($A426="","",IF(R426="Y",15,0))</f>
        <v/>
      </c>
      <c r="FS426" s="0" t="str">
        <f aca="false">IF($A426="","",IF(ISNUMBER(MATCH(U426,{"queued","contacted","replied","call_booked","call_done","yes_in_principle","materials_sent"},0)),"Y","N"))</f>
        <v/>
      </c>
      <c r="FT426" s="0" t="str">
        <f aca="false">IF($A426="","",IF(OR(T426="Y",U426="do_not_contact",AS426&amp;""&lt;&gt;""),"Y","N"))</f>
        <v/>
      </c>
      <c r="FU426" s="0" t="str">
        <f aca="false">IF($A426="","",IF(AP426&amp;""&lt;&gt;"",AP426&amp;"",$A426))</f>
        <v/>
      </c>
      <c r="FV426" s="0" t="str">
        <f aca="false">IF($A426="","",IF(COUNTIFS($FU$2:$FU$1000,FU426,$FS$2:$FS$1000,"Y")+COUNTIFS($FU$2:$FU$1000,FU426,$FT$2:$FT$1000,"Y")&gt;0,"Y","N"))</f>
        <v/>
      </c>
      <c r="FW426" s="0" t="str">
        <f aca="false">IF($A426="","",IF(AND(U426="new",T426="N",FT426="N",AT426="Y",FV426="N"),"Y","N"))</f>
        <v/>
      </c>
      <c r="FX426" s="0" t="str">
        <f aca="false">IF($A426="","",IF(FW426&lt;&gt;"Y","N",IF(COUNTIFS($FU$2:$FU$1000,FU426,$FW$2:$FW$1000,"Y",$J$2:$J$1000,"&gt;"&amp;J426)+COUNTIFS($FU$2:$FU$1000,FU426,$FW$2:$FW$1000,"Y",$J$2:$J$1000,J426,$GD$2:$GD$1000,"&lt;"&amp;GD426)=0,"Y","N")))</f>
        <v/>
      </c>
      <c r="FY426" s="0" t="str">
        <f aca="false">IF($A426="","",IF(AND(FW426="Y",FX426="Y",Y426&amp;""&lt;&gt;""),IF(Y426&lt;=10,"Y","N"),"N"))</f>
        <v/>
      </c>
      <c r="FZ426" s="0" t="str">
        <f aca="false">IF(FY426="Y",Y426,"")</f>
        <v/>
      </c>
      <c r="GA426" s="0" t="str">
        <f aca="false">IF($A426="","",IF(AND(I426="walk-in",CN426="pass",U426="new",FT426="N",FV426="N",AQ426&lt;&gt;"Y"),"Y","N"))</f>
        <v/>
      </c>
      <c r="GB426" s="0" t="str">
        <f aca="false">IF(GA426&lt;&gt;"Y","",IF(COUNTIFS($GA$2:$GA$1000,"Y",$J$2:$J$1000,"&gt;"&amp;J426)+COUNTIFS($GA$2:$GA$1000,"Y",$J$2:$J$1000,J426,$GD$2:$GD$1000,"&lt;"&amp;GD426)+1&lt;=25,COUNTIFS($GA$2:$GA$1000,"Y",$J$2:$J$1000,"&gt;"&amp;J426)+COUNTIFS($GA$2:$GA$1000,"Y",$J$2:$J$1000,J426,$GD$2:$GD$1000,"&lt;"&amp;GD426)+1,""))</f>
        <v/>
      </c>
      <c r="GC426" s="0" t="str">
        <f aca="false">IF(AND(_xlfn.ISFORMULA(C426),_xlfn.ISFORMULA(J426)),"Y","N")</f>
        <v>Y</v>
      </c>
      <c r="GD426" s="0" t="n">
        <f aca="false">ROW()-1</f>
        <v>425</v>
      </c>
    </row>
    <row r="427" customFormat="false" ht="15" hidden="false" customHeight="false" outlineLevel="0" collapsed="false">
      <c r="C427" s="0" t="str">
        <f aca="false">IF($A427="","",IF(AW427="Y",BM427&amp;"",AY427&amp;""))</f>
        <v/>
      </c>
      <c r="D427" s="0" t="str">
        <f aca="false">IF($A427="","",IF(AW427="Y",BN427&amp;"",AZ427&amp;""))</f>
        <v/>
      </c>
      <c r="E427" s="0" t="str">
        <f aca="false">IF($A427="","",IF(AW427="Y",BO427&amp;"",BA427&amp;""))</f>
        <v/>
      </c>
      <c r="F427" s="0" t="str">
        <f aca="false">IF($A427="","",IF(AW427="Y",BP427&amp;"",BB427&amp;""))</f>
        <v/>
      </c>
      <c r="G427" s="0" t="str">
        <f aca="false">IF($A427="","",IF(AW427="Y",BQ427&amp;"",BC427&amp;""))</f>
        <v/>
      </c>
      <c r="H427" s="0" t="str">
        <f aca="false">IF($A427="","",IF(AW427="Y",BR427&amp;"",BD427&amp;""))</f>
        <v/>
      </c>
      <c r="I427" s="0" t="str">
        <f aca="false">IF($A427="","",IF(R427="Y","warm-intro",IF(H427="verified","email",IF(C427&lt;&gt;"","linkedin",CB427&amp;""))))</f>
        <v/>
      </c>
      <c r="J427" s="0" t="str">
        <f aca="false">IF($A427="","",IF(CN427="pass",ROUND(N(EM427)+N(EN427)+N(EO427)+N(EP427)+N(EQ427)+N(ER427),1),0))</f>
        <v/>
      </c>
      <c r="K427" s="0" t="str">
        <f aca="false">IF($A427="","",IF(CN427&lt;&gt;"pass",CA427&amp;"",CA427&amp;"; "&amp;IF(AW427="Y",BZ427&amp;"",BL427&amp;"")&amp;IF(R427="Y","; known to the founder (+15)","")&amp;"."))</f>
        <v/>
      </c>
      <c r="R427" s="5"/>
      <c r="U427" s="5"/>
      <c r="Y427" s="0" t="str">
        <f aca="false">IF(FX427&lt;&gt;"Y","",COUNTIFS($FX$2:$FX$1000,"Y",$J$2:$J$1000,"&gt;"&amp;J427)+COUNTIFS($FX$2:$FX$1000,"Y",$J$2:$J$1000,J427,$GD$2:$GD$1000,"&lt;"&amp;GD427)+1)</f>
        <v/>
      </c>
      <c r="AB427" s="0" t="str">
        <f aca="false">IF($A427="","",IF(AW427="Y",BY427&amp;"",BK427&amp;""))</f>
        <v/>
      </c>
      <c r="AC427" s="0" t="str">
        <f aca="false">IF($A427="","",IF(AW427="Y",BS427&amp;"",BE427&amp;""))</f>
        <v/>
      </c>
      <c r="AD427" s="0" t="str">
        <f aca="false">IF($A427="","",IF(AW427="Y",BT427&amp;"",BF427&amp;""))</f>
        <v/>
      </c>
      <c r="AE427" s="0" t="str">
        <f aca="false">IF($A427="","",IF(AW427="Y",BU427&amp;"",BG427&amp;""))</f>
        <v/>
      </c>
      <c r="AF427" s="0" t="str">
        <f aca="false">IF($A427="","",IF(AW427="Y",BV427&amp;"",BH427&amp;""))</f>
        <v/>
      </c>
      <c r="AG427" s="0" t="str">
        <f aca="false">IF($A427="","",IF(AW427="Y",BW427&amp;"",BI427&amp;""))</f>
        <v/>
      </c>
      <c r="AH427" s="0" t="str">
        <f aca="false">IF($A427="","",IF(AW427="Y",BX427&amp;"",BJ427&amp;""))</f>
        <v/>
      </c>
      <c r="AQ427" s="5"/>
      <c r="AT427" s="0" t="str">
        <f aca="false">IF($A427="","",IF(AND(CN427="pass",AQ427&lt;&gt;"Y",C427&lt;&gt;"",OR(AX427&lt;&gt;"Y",AV427="Y")),"Y","N"))</f>
        <v/>
      </c>
      <c r="AU427" s="0" t="str">
        <f aca="false">IF($A427="","",_xlfn.TEXTJOIN("; ",TRUE(),IF(CN427&lt;&gt;"pass","gated out",""),IF(AQ427="Y","on hold: "&amp;AR427,""),IF(C427="","no contact named on an opened page",""),IF(AND(AX427="Y",AV427&lt;&gt;"Y"),"Tuesday estimate band "&amp;L427&amp;": founder's call","")))</f>
        <v/>
      </c>
      <c r="BC427" s="0" t="str">
        <f aca="false">IF($A427="","",IFERROR(INDEX(Enrichment!$A$2:$GZ$2000,MATCH($A427,INDEX(Enrichment!$A$2:$GZ$2000,0,MATCH("row_id",Enrichment!$A$1:$GZ$1,0)),0),MATCH("work_email",Enrichment!$A$1:$GZ$1,0))&amp;"",""))</f>
        <v/>
      </c>
      <c r="BD427" s="0" t="str">
        <f aca="false">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Q427" s="0" t="str">
        <f aca="false">IF($A427="","",IFERROR(INDEX(Enrichment!$A$2:$GZ$2000,MATCH($A427,INDEX(Enrichment!$A$2:$GZ$2000,0,MATCH("row_id",Enrichment!$A$1:$GZ$1,0)),0),MATCH("backup_work_email",Enrichment!$A$1:$GZ$1,0))&amp;"",""))</f>
        <v/>
      </c>
      <c r="BR427" s="0" t="str">
        <f aca="false">IF($A427="","",IF(BQ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EQ427" s="0" t="str">
        <f aca="false">IF($A427="","",IF(AH427="exact",10,IF(AH427="adjacent",5,0)))</f>
        <v/>
      </c>
      <c r="ER427" s="0" t="str">
        <f aca="false">IF($A427="","",IF(R427="Y",15,0))</f>
        <v/>
      </c>
      <c r="FS427" s="0" t="str">
        <f aca="false">IF($A427="","",IF(ISNUMBER(MATCH(U427,{"queued","contacted","replied","call_booked","call_done","yes_in_principle","materials_sent"},0)),"Y","N"))</f>
        <v/>
      </c>
      <c r="FT427" s="0" t="str">
        <f aca="false">IF($A427="","",IF(OR(T427="Y",U427="do_not_contact",AS427&amp;""&lt;&gt;""),"Y","N"))</f>
        <v/>
      </c>
      <c r="FU427" s="0" t="str">
        <f aca="false">IF($A427="","",IF(AP427&amp;""&lt;&gt;"",AP427&amp;"",$A427))</f>
        <v/>
      </c>
      <c r="FV427" s="0" t="str">
        <f aca="false">IF($A427="","",IF(COUNTIFS($FU$2:$FU$1000,FU427,$FS$2:$FS$1000,"Y")+COUNTIFS($FU$2:$FU$1000,FU427,$FT$2:$FT$1000,"Y")&gt;0,"Y","N"))</f>
        <v/>
      </c>
      <c r="FW427" s="0" t="str">
        <f aca="false">IF($A427="","",IF(AND(U427="new",T427="N",FT427="N",AT427="Y",FV427="N"),"Y","N"))</f>
        <v/>
      </c>
      <c r="FX427" s="0" t="str">
        <f aca="false">IF($A427="","",IF(FW427&lt;&gt;"Y","N",IF(COUNTIFS($FU$2:$FU$1000,FU427,$FW$2:$FW$1000,"Y",$J$2:$J$1000,"&gt;"&amp;J427)+COUNTIFS($FU$2:$FU$1000,FU427,$FW$2:$FW$1000,"Y",$J$2:$J$1000,J427,$GD$2:$GD$1000,"&lt;"&amp;GD427)=0,"Y","N")))</f>
        <v/>
      </c>
      <c r="FY427" s="0" t="str">
        <f aca="false">IF($A427="","",IF(AND(FW427="Y",FX427="Y",Y427&amp;""&lt;&gt;""),IF(Y427&lt;=10,"Y","N"),"N"))</f>
        <v/>
      </c>
      <c r="FZ427" s="0" t="str">
        <f aca="false">IF(FY427="Y",Y427,"")</f>
        <v/>
      </c>
      <c r="GA427" s="0" t="str">
        <f aca="false">IF($A427="","",IF(AND(I427="walk-in",CN427="pass",U427="new",FT427="N",FV427="N",AQ427&lt;&gt;"Y"),"Y","N"))</f>
        <v/>
      </c>
      <c r="GB427" s="0" t="str">
        <f aca="false">IF(GA427&lt;&gt;"Y","",IF(COUNTIFS($GA$2:$GA$1000,"Y",$J$2:$J$1000,"&gt;"&amp;J427)+COUNTIFS($GA$2:$GA$1000,"Y",$J$2:$J$1000,J427,$GD$2:$GD$1000,"&lt;"&amp;GD427)+1&lt;=25,COUNTIFS($GA$2:$GA$1000,"Y",$J$2:$J$1000,"&gt;"&amp;J427)+COUNTIFS($GA$2:$GA$1000,"Y",$J$2:$J$1000,J427,$GD$2:$GD$1000,"&lt;"&amp;GD427)+1,""))</f>
        <v/>
      </c>
      <c r="GC427" s="0" t="str">
        <f aca="false">IF(AND(_xlfn.ISFORMULA(C427),_xlfn.ISFORMULA(J427)),"Y","N")</f>
        <v>Y</v>
      </c>
      <c r="GD427" s="0" t="n">
        <f aca="false">ROW()-1</f>
        <v>426</v>
      </c>
    </row>
    <row r="428" customFormat="false" ht="15" hidden="false" customHeight="false" outlineLevel="0" collapsed="false">
      <c r="C428" s="0" t="str">
        <f aca="false">IF($A428="","",IF(AW428="Y",BM428&amp;"",AY428&amp;""))</f>
        <v/>
      </c>
      <c r="D428" s="0" t="str">
        <f aca="false">IF($A428="","",IF(AW428="Y",BN428&amp;"",AZ428&amp;""))</f>
        <v/>
      </c>
      <c r="E428" s="0" t="str">
        <f aca="false">IF($A428="","",IF(AW428="Y",BO428&amp;"",BA428&amp;""))</f>
        <v/>
      </c>
      <c r="F428" s="0" t="str">
        <f aca="false">IF($A428="","",IF(AW428="Y",BP428&amp;"",BB428&amp;""))</f>
        <v/>
      </c>
      <c r="G428" s="0" t="str">
        <f aca="false">IF($A428="","",IF(AW428="Y",BQ428&amp;"",BC428&amp;""))</f>
        <v/>
      </c>
      <c r="H428" s="0" t="str">
        <f aca="false">IF($A428="","",IF(AW428="Y",BR428&amp;"",BD428&amp;""))</f>
        <v/>
      </c>
      <c r="I428" s="0" t="str">
        <f aca="false">IF($A428="","",IF(R428="Y","warm-intro",IF(H428="verified","email",IF(C428&lt;&gt;"","linkedin",CB428&amp;""))))</f>
        <v/>
      </c>
      <c r="J428" s="0" t="str">
        <f aca="false">IF($A428="","",IF(CN428="pass",ROUND(N(EM428)+N(EN428)+N(EO428)+N(EP428)+N(EQ428)+N(ER428),1),0))</f>
        <v/>
      </c>
      <c r="K428" s="0" t="str">
        <f aca="false">IF($A428="","",IF(CN428&lt;&gt;"pass",CA428&amp;"",CA428&amp;"; "&amp;IF(AW428="Y",BZ428&amp;"",BL428&amp;"")&amp;IF(R428="Y","; known to the founder (+15)","")&amp;"."))</f>
        <v/>
      </c>
      <c r="R428" s="5"/>
      <c r="U428" s="5"/>
      <c r="Y428" s="0" t="str">
        <f aca="false">IF(FX428&lt;&gt;"Y","",COUNTIFS($FX$2:$FX$1000,"Y",$J$2:$J$1000,"&gt;"&amp;J428)+COUNTIFS($FX$2:$FX$1000,"Y",$J$2:$J$1000,J428,$GD$2:$GD$1000,"&lt;"&amp;GD428)+1)</f>
        <v/>
      </c>
      <c r="AB428" s="0" t="str">
        <f aca="false">IF($A428="","",IF(AW428="Y",BY428&amp;"",BK428&amp;""))</f>
        <v/>
      </c>
      <c r="AC428" s="0" t="str">
        <f aca="false">IF($A428="","",IF(AW428="Y",BS428&amp;"",BE428&amp;""))</f>
        <v/>
      </c>
      <c r="AD428" s="0" t="str">
        <f aca="false">IF($A428="","",IF(AW428="Y",BT428&amp;"",BF428&amp;""))</f>
        <v/>
      </c>
      <c r="AE428" s="0" t="str">
        <f aca="false">IF($A428="","",IF(AW428="Y",BU428&amp;"",BG428&amp;""))</f>
        <v/>
      </c>
      <c r="AF428" s="0" t="str">
        <f aca="false">IF($A428="","",IF(AW428="Y",BV428&amp;"",BH428&amp;""))</f>
        <v/>
      </c>
      <c r="AG428" s="0" t="str">
        <f aca="false">IF($A428="","",IF(AW428="Y",BW428&amp;"",BI428&amp;""))</f>
        <v/>
      </c>
      <c r="AH428" s="0" t="str">
        <f aca="false">IF($A428="","",IF(AW428="Y",BX428&amp;"",BJ428&amp;""))</f>
        <v/>
      </c>
      <c r="AQ428" s="5"/>
      <c r="AT428" s="0" t="str">
        <f aca="false">IF($A428="","",IF(AND(CN428="pass",AQ428&lt;&gt;"Y",C428&lt;&gt;"",OR(AX428&lt;&gt;"Y",AV428="Y")),"Y","N"))</f>
        <v/>
      </c>
      <c r="AU428" s="0" t="str">
        <f aca="false">IF($A428="","",_xlfn.TEXTJOIN("; ",TRUE(),IF(CN428&lt;&gt;"pass","gated out",""),IF(AQ428="Y","on hold: "&amp;AR428,""),IF(C428="","no contact named on an opened page",""),IF(AND(AX428="Y",AV428&lt;&gt;"Y"),"Tuesday estimate band "&amp;L428&amp;": founder's call","")))</f>
        <v/>
      </c>
      <c r="BC428" s="0" t="str">
        <f aca="false">IF($A428="","",IFERROR(INDEX(Enrichment!$A$2:$GZ$2000,MATCH($A428,INDEX(Enrichment!$A$2:$GZ$2000,0,MATCH("row_id",Enrichment!$A$1:$GZ$1,0)),0),MATCH("work_email",Enrichment!$A$1:$GZ$1,0))&amp;"",""))</f>
        <v/>
      </c>
      <c r="BD428" s="0" t="str">
        <f aca="false">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Q428" s="0" t="str">
        <f aca="false">IF($A428="","",IFERROR(INDEX(Enrichment!$A$2:$GZ$2000,MATCH($A428,INDEX(Enrichment!$A$2:$GZ$2000,0,MATCH("row_id",Enrichment!$A$1:$GZ$1,0)),0),MATCH("backup_work_email",Enrichment!$A$1:$GZ$1,0))&amp;"",""))</f>
        <v/>
      </c>
      <c r="BR428" s="0" t="str">
        <f aca="false">IF($A428="","",IF(BQ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EQ428" s="0" t="str">
        <f aca="false">IF($A428="","",IF(AH428="exact",10,IF(AH428="adjacent",5,0)))</f>
        <v/>
      </c>
      <c r="ER428" s="0" t="str">
        <f aca="false">IF($A428="","",IF(R428="Y",15,0))</f>
        <v/>
      </c>
      <c r="FS428" s="0" t="str">
        <f aca="false">IF($A428="","",IF(ISNUMBER(MATCH(U428,{"queued","contacted","replied","call_booked","call_done","yes_in_principle","materials_sent"},0)),"Y","N"))</f>
        <v/>
      </c>
      <c r="FT428" s="0" t="str">
        <f aca="false">IF($A428="","",IF(OR(T428="Y",U428="do_not_contact",AS428&amp;""&lt;&gt;""),"Y","N"))</f>
        <v/>
      </c>
      <c r="FU428" s="0" t="str">
        <f aca="false">IF($A428="","",IF(AP428&amp;""&lt;&gt;"",AP428&amp;"",$A428))</f>
        <v/>
      </c>
      <c r="FV428" s="0" t="str">
        <f aca="false">IF($A428="","",IF(COUNTIFS($FU$2:$FU$1000,FU428,$FS$2:$FS$1000,"Y")+COUNTIFS($FU$2:$FU$1000,FU428,$FT$2:$FT$1000,"Y")&gt;0,"Y","N"))</f>
        <v/>
      </c>
      <c r="FW428" s="0" t="str">
        <f aca="false">IF($A428="","",IF(AND(U428="new",T428="N",FT428="N",AT428="Y",FV428="N"),"Y","N"))</f>
        <v/>
      </c>
      <c r="FX428" s="0" t="str">
        <f aca="false">IF($A428="","",IF(FW428&lt;&gt;"Y","N",IF(COUNTIFS($FU$2:$FU$1000,FU428,$FW$2:$FW$1000,"Y",$J$2:$J$1000,"&gt;"&amp;J428)+COUNTIFS($FU$2:$FU$1000,FU428,$FW$2:$FW$1000,"Y",$J$2:$J$1000,J428,$GD$2:$GD$1000,"&lt;"&amp;GD428)=0,"Y","N")))</f>
        <v/>
      </c>
      <c r="FY428" s="0" t="str">
        <f aca="false">IF($A428="","",IF(AND(FW428="Y",FX428="Y",Y428&amp;""&lt;&gt;""),IF(Y428&lt;=10,"Y","N"),"N"))</f>
        <v/>
      </c>
      <c r="FZ428" s="0" t="str">
        <f aca="false">IF(FY428="Y",Y428,"")</f>
        <v/>
      </c>
      <c r="GA428" s="0" t="str">
        <f aca="false">IF($A428="","",IF(AND(I428="walk-in",CN428="pass",U428="new",FT428="N",FV428="N",AQ428&lt;&gt;"Y"),"Y","N"))</f>
        <v/>
      </c>
      <c r="GB428" s="0" t="str">
        <f aca="false">IF(GA428&lt;&gt;"Y","",IF(COUNTIFS($GA$2:$GA$1000,"Y",$J$2:$J$1000,"&gt;"&amp;J428)+COUNTIFS($GA$2:$GA$1000,"Y",$J$2:$J$1000,J428,$GD$2:$GD$1000,"&lt;"&amp;GD428)+1&lt;=25,COUNTIFS($GA$2:$GA$1000,"Y",$J$2:$J$1000,"&gt;"&amp;J428)+COUNTIFS($GA$2:$GA$1000,"Y",$J$2:$J$1000,J428,$GD$2:$GD$1000,"&lt;"&amp;GD428)+1,""))</f>
        <v/>
      </c>
      <c r="GC428" s="0" t="str">
        <f aca="false">IF(AND(_xlfn.ISFORMULA(C428),_xlfn.ISFORMULA(J428)),"Y","N")</f>
        <v>Y</v>
      </c>
      <c r="GD428" s="0" t="n">
        <f aca="false">ROW()-1</f>
        <v>427</v>
      </c>
    </row>
    <row r="429" customFormat="false" ht="15" hidden="false" customHeight="false" outlineLevel="0" collapsed="false">
      <c r="C429" s="0" t="str">
        <f aca="false">IF($A429="","",IF(AW429="Y",BM429&amp;"",AY429&amp;""))</f>
        <v/>
      </c>
      <c r="D429" s="0" t="str">
        <f aca="false">IF($A429="","",IF(AW429="Y",BN429&amp;"",AZ429&amp;""))</f>
        <v/>
      </c>
      <c r="E429" s="0" t="str">
        <f aca="false">IF($A429="","",IF(AW429="Y",BO429&amp;"",BA429&amp;""))</f>
        <v/>
      </c>
      <c r="F429" s="0" t="str">
        <f aca="false">IF($A429="","",IF(AW429="Y",BP429&amp;"",BB429&amp;""))</f>
        <v/>
      </c>
      <c r="G429" s="0" t="str">
        <f aca="false">IF($A429="","",IF(AW429="Y",BQ429&amp;"",BC429&amp;""))</f>
        <v/>
      </c>
      <c r="H429" s="0" t="str">
        <f aca="false">IF($A429="","",IF(AW429="Y",BR429&amp;"",BD429&amp;""))</f>
        <v/>
      </c>
      <c r="I429" s="0" t="str">
        <f aca="false">IF($A429="","",IF(R429="Y","warm-intro",IF(H429="verified","email",IF(C429&lt;&gt;"","linkedin",CB429&amp;""))))</f>
        <v/>
      </c>
      <c r="J429" s="0" t="str">
        <f aca="false">IF($A429="","",IF(CN429="pass",ROUND(N(EM429)+N(EN429)+N(EO429)+N(EP429)+N(EQ429)+N(ER429),1),0))</f>
        <v/>
      </c>
      <c r="K429" s="0" t="str">
        <f aca="false">IF($A429="","",IF(CN429&lt;&gt;"pass",CA429&amp;"",CA429&amp;"; "&amp;IF(AW429="Y",BZ429&amp;"",BL429&amp;"")&amp;IF(R429="Y","; known to the founder (+15)","")&amp;"."))</f>
        <v/>
      </c>
      <c r="R429" s="5"/>
      <c r="U429" s="5"/>
      <c r="Y429" s="0" t="str">
        <f aca="false">IF(FX429&lt;&gt;"Y","",COUNTIFS($FX$2:$FX$1000,"Y",$J$2:$J$1000,"&gt;"&amp;J429)+COUNTIFS($FX$2:$FX$1000,"Y",$J$2:$J$1000,J429,$GD$2:$GD$1000,"&lt;"&amp;GD429)+1)</f>
        <v/>
      </c>
      <c r="AB429" s="0" t="str">
        <f aca="false">IF($A429="","",IF(AW429="Y",BY429&amp;"",BK429&amp;""))</f>
        <v/>
      </c>
      <c r="AC429" s="0" t="str">
        <f aca="false">IF($A429="","",IF(AW429="Y",BS429&amp;"",BE429&amp;""))</f>
        <v/>
      </c>
      <c r="AD429" s="0" t="str">
        <f aca="false">IF($A429="","",IF(AW429="Y",BT429&amp;"",BF429&amp;""))</f>
        <v/>
      </c>
      <c r="AE429" s="0" t="str">
        <f aca="false">IF($A429="","",IF(AW429="Y",BU429&amp;"",BG429&amp;""))</f>
        <v/>
      </c>
      <c r="AF429" s="0" t="str">
        <f aca="false">IF($A429="","",IF(AW429="Y",BV429&amp;"",BH429&amp;""))</f>
        <v/>
      </c>
      <c r="AG429" s="0" t="str">
        <f aca="false">IF($A429="","",IF(AW429="Y",BW429&amp;"",BI429&amp;""))</f>
        <v/>
      </c>
      <c r="AH429" s="0" t="str">
        <f aca="false">IF($A429="","",IF(AW429="Y",BX429&amp;"",BJ429&amp;""))</f>
        <v/>
      </c>
      <c r="AQ429" s="5"/>
      <c r="AT429" s="0" t="str">
        <f aca="false">IF($A429="","",IF(AND(CN429="pass",AQ429&lt;&gt;"Y",C429&lt;&gt;"",OR(AX429&lt;&gt;"Y",AV429="Y")),"Y","N"))</f>
        <v/>
      </c>
      <c r="AU429" s="0" t="str">
        <f aca="false">IF($A429="","",_xlfn.TEXTJOIN("; ",TRUE(),IF(CN429&lt;&gt;"pass","gated out",""),IF(AQ429="Y","on hold: "&amp;AR429,""),IF(C429="","no contact named on an opened page",""),IF(AND(AX429="Y",AV429&lt;&gt;"Y"),"Tuesday estimate band "&amp;L429&amp;": founder's call","")))</f>
        <v/>
      </c>
      <c r="BC429" s="0" t="str">
        <f aca="false">IF($A429="","",IFERROR(INDEX(Enrichment!$A$2:$GZ$2000,MATCH($A429,INDEX(Enrichment!$A$2:$GZ$2000,0,MATCH("row_id",Enrichment!$A$1:$GZ$1,0)),0),MATCH("work_email",Enrichment!$A$1:$GZ$1,0))&amp;"",""))</f>
        <v/>
      </c>
      <c r="BD429" s="0" t="str">
        <f aca="false">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Q429" s="0" t="str">
        <f aca="false">IF($A429="","",IFERROR(INDEX(Enrichment!$A$2:$GZ$2000,MATCH($A429,INDEX(Enrichment!$A$2:$GZ$2000,0,MATCH("row_id",Enrichment!$A$1:$GZ$1,0)),0),MATCH("backup_work_email",Enrichment!$A$1:$GZ$1,0))&amp;"",""))</f>
        <v/>
      </c>
      <c r="BR429" s="0" t="str">
        <f aca="false">IF($A429="","",IF(BQ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EQ429" s="0" t="str">
        <f aca="false">IF($A429="","",IF(AH429="exact",10,IF(AH429="adjacent",5,0)))</f>
        <v/>
      </c>
      <c r="ER429" s="0" t="str">
        <f aca="false">IF($A429="","",IF(R429="Y",15,0))</f>
        <v/>
      </c>
      <c r="FS429" s="0" t="str">
        <f aca="false">IF($A429="","",IF(ISNUMBER(MATCH(U429,{"queued","contacted","replied","call_booked","call_done","yes_in_principle","materials_sent"},0)),"Y","N"))</f>
        <v/>
      </c>
      <c r="FT429" s="0" t="str">
        <f aca="false">IF($A429="","",IF(OR(T429="Y",U429="do_not_contact",AS429&amp;""&lt;&gt;""),"Y","N"))</f>
        <v/>
      </c>
      <c r="FU429" s="0" t="str">
        <f aca="false">IF($A429="","",IF(AP429&amp;""&lt;&gt;"",AP429&amp;"",$A429))</f>
        <v/>
      </c>
      <c r="FV429" s="0" t="str">
        <f aca="false">IF($A429="","",IF(COUNTIFS($FU$2:$FU$1000,FU429,$FS$2:$FS$1000,"Y")+COUNTIFS($FU$2:$FU$1000,FU429,$FT$2:$FT$1000,"Y")&gt;0,"Y","N"))</f>
        <v/>
      </c>
      <c r="FW429" s="0" t="str">
        <f aca="false">IF($A429="","",IF(AND(U429="new",T429="N",FT429="N",AT429="Y",FV429="N"),"Y","N"))</f>
        <v/>
      </c>
      <c r="FX429" s="0" t="str">
        <f aca="false">IF($A429="","",IF(FW429&lt;&gt;"Y","N",IF(COUNTIFS($FU$2:$FU$1000,FU429,$FW$2:$FW$1000,"Y",$J$2:$J$1000,"&gt;"&amp;J429)+COUNTIFS($FU$2:$FU$1000,FU429,$FW$2:$FW$1000,"Y",$J$2:$J$1000,J429,$GD$2:$GD$1000,"&lt;"&amp;GD429)=0,"Y","N")))</f>
        <v/>
      </c>
      <c r="FY429" s="0" t="str">
        <f aca="false">IF($A429="","",IF(AND(FW429="Y",FX429="Y",Y429&amp;""&lt;&gt;""),IF(Y429&lt;=10,"Y","N"),"N"))</f>
        <v/>
      </c>
      <c r="FZ429" s="0" t="str">
        <f aca="false">IF(FY429="Y",Y429,"")</f>
        <v/>
      </c>
      <c r="GA429" s="0" t="str">
        <f aca="false">IF($A429="","",IF(AND(I429="walk-in",CN429="pass",U429="new",FT429="N",FV429="N",AQ429&lt;&gt;"Y"),"Y","N"))</f>
        <v/>
      </c>
      <c r="GB429" s="0" t="str">
        <f aca="false">IF(GA429&lt;&gt;"Y","",IF(COUNTIFS($GA$2:$GA$1000,"Y",$J$2:$J$1000,"&gt;"&amp;J429)+COUNTIFS($GA$2:$GA$1000,"Y",$J$2:$J$1000,J429,$GD$2:$GD$1000,"&lt;"&amp;GD429)+1&lt;=25,COUNTIFS($GA$2:$GA$1000,"Y",$J$2:$J$1000,"&gt;"&amp;J429)+COUNTIFS($GA$2:$GA$1000,"Y",$J$2:$J$1000,J429,$GD$2:$GD$1000,"&lt;"&amp;GD429)+1,""))</f>
        <v/>
      </c>
      <c r="GC429" s="0" t="str">
        <f aca="false">IF(AND(_xlfn.ISFORMULA(C429),_xlfn.ISFORMULA(J429)),"Y","N")</f>
        <v>Y</v>
      </c>
      <c r="GD429" s="0" t="n">
        <f aca="false">ROW()-1</f>
        <v>428</v>
      </c>
    </row>
    <row r="430" customFormat="false" ht="15" hidden="false" customHeight="false" outlineLevel="0" collapsed="false">
      <c r="C430" s="0" t="str">
        <f aca="false">IF($A430="","",IF(AW430="Y",BM430&amp;"",AY430&amp;""))</f>
        <v/>
      </c>
      <c r="D430" s="0" t="str">
        <f aca="false">IF($A430="","",IF(AW430="Y",BN430&amp;"",AZ430&amp;""))</f>
        <v/>
      </c>
      <c r="E430" s="0" t="str">
        <f aca="false">IF($A430="","",IF(AW430="Y",BO430&amp;"",BA430&amp;""))</f>
        <v/>
      </c>
      <c r="F430" s="0" t="str">
        <f aca="false">IF($A430="","",IF(AW430="Y",BP430&amp;"",BB430&amp;""))</f>
        <v/>
      </c>
      <c r="G430" s="0" t="str">
        <f aca="false">IF($A430="","",IF(AW430="Y",BQ430&amp;"",BC430&amp;""))</f>
        <v/>
      </c>
      <c r="H430" s="0" t="str">
        <f aca="false">IF($A430="","",IF(AW430="Y",BR430&amp;"",BD430&amp;""))</f>
        <v/>
      </c>
      <c r="I430" s="0" t="str">
        <f aca="false">IF($A430="","",IF(R430="Y","warm-intro",IF(H430="verified","email",IF(C430&lt;&gt;"","linkedin",CB430&amp;""))))</f>
        <v/>
      </c>
      <c r="J430" s="0" t="str">
        <f aca="false">IF($A430="","",IF(CN430="pass",ROUND(N(EM430)+N(EN430)+N(EO430)+N(EP430)+N(EQ430)+N(ER430),1),0))</f>
        <v/>
      </c>
      <c r="K430" s="0" t="str">
        <f aca="false">IF($A430="","",IF(CN430&lt;&gt;"pass",CA430&amp;"",CA430&amp;"; "&amp;IF(AW430="Y",BZ430&amp;"",BL430&amp;"")&amp;IF(R430="Y","; known to the founder (+15)","")&amp;"."))</f>
        <v/>
      </c>
      <c r="R430" s="5"/>
      <c r="U430" s="5"/>
      <c r="Y430" s="0" t="str">
        <f aca="false">IF(FX430&lt;&gt;"Y","",COUNTIFS($FX$2:$FX$1000,"Y",$J$2:$J$1000,"&gt;"&amp;J430)+COUNTIFS($FX$2:$FX$1000,"Y",$J$2:$J$1000,J430,$GD$2:$GD$1000,"&lt;"&amp;GD430)+1)</f>
        <v/>
      </c>
      <c r="AB430" s="0" t="str">
        <f aca="false">IF($A430="","",IF(AW430="Y",BY430&amp;"",BK430&amp;""))</f>
        <v/>
      </c>
      <c r="AC430" s="0" t="str">
        <f aca="false">IF($A430="","",IF(AW430="Y",BS430&amp;"",BE430&amp;""))</f>
        <v/>
      </c>
      <c r="AD430" s="0" t="str">
        <f aca="false">IF($A430="","",IF(AW430="Y",BT430&amp;"",BF430&amp;""))</f>
        <v/>
      </c>
      <c r="AE430" s="0" t="str">
        <f aca="false">IF($A430="","",IF(AW430="Y",BU430&amp;"",BG430&amp;""))</f>
        <v/>
      </c>
      <c r="AF430" s="0" t="str">
        <f aca="false">IF($A430="","",IF(AW430="Y",BV430&amp;"",BH430&amp;""))</f>
        <v/>
      </c>
      <c r="AG430" s="0" t="str">
        <f aca="false">IF($A430="","",IF(AW430="Y",BW430&amp;"",BI430&amp;""))</f>
        <v/>
      </c>
      <c r="AH430" s="0" t="str">
        <f aca="false">IF($A430="","",IF(AW430="Y",BX430&amp;"",BJ430&amp;""))</f>
        <v/>
      </c>
      <c r="AQ430" s="5"/>
      <c r="AT430" s="0" t="str">
        <f aca="false">IF($A430="","",IF(AND(CN430="pass",AQ430&lt;&gt;"Y",C430&lt;&gt;"",OR(AX430&lt;&gt;"Y",AV430="Y")),"Y","N"))</f>
        <v/>
      </c>
      <c r="AU430" s="0" t="str">
        <f aca="false">IF($A430="","",_xlfn.TEXTJOIN("; ",TRUE(),IF(CN430&lt;&gt;"pass","gated out",""),IF(AQ430="Y","on hold: "&amp;AR430,""),IF(C430="","no contact named on an opened page",""),IF(AND(AX430="Y",AV430&lt;&gt;"Y"),"Tuesday estimate band "&amp;L430&amp;": founder's call","")))</f>
        <v/>
      </c>
      <c r="BC430" s="0" t="str">
        <f aca="false">IF($A430="","",IFERROR(INDEX(Enrichment!$A$2:$GZ$2000,MATCH($A430,INDEX(Enrichment!$A$2:$GZ$2000,0,MATCH("row_id",Enrichment!$A$1:$GZ$1,0)),0),MATCH("work_email",Enrichment!$A$1:$GZ$1,0))&amp;"",""))</f>
        <v/>
      </c>
      <c r="BD430" s="0" t="str">
        <f aca="false">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Q430" s="0" t="str">
        <f aca="false">IF($A430="","",IFERROR(INDEX(Enrichment!$A$2:$GZ$2000,MATCH($A430,INDEX(Enrichment!$A$2:$GZ$2000,0,MATCH("row_id",Enrichment!$A$1:$GZ$1,0)),0),MATCH("backup_work_email",Enrichment!$A$1:$GZ$1,0))&amp;"",""))</f>
        <v/>
      </c>
      <c r="BR430" s="0" t="str">
        <f aca="false">IF($A430="","",IF(BQ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EQ430" s="0" t="str">
        <f aca="false">IF($A430="","",IF(AH430="exact",10,IF(AH430="adjacent",5,0)))</f>
        <v/>
      </c>
      <c r="ER430" s="0" t="str">
        <f aca="false">IF($A430="","",IF(R430="Y",15,0))</f>
        <v/>
      </c>
      <c r="FS430" s="0" t="str">
        <f aca="false">IF($A430="","",IF(ISNUMBER(MATCH(U430,{"queued","contacted","replied","call_booked","call_done","yes_in_principle","materials_sent"},0)),"Y","N"))</f>
        <v/>
      </c>
      <c r="FT430" s="0" t="str">
        <f aca="false">IF($A430="","",IF(OR(T430="Y",U430="do_not_contact",AS430&amp;""&lt;&gt;""),"Y","N"))</f>
        <v/>
      </c>
      <c r="FU430" s="0" t="str">
        <f aca="false">IF($A430="","",IF(AP430&amp;""&lt;&gt;"",AP430&amp;"",$A430))</f>
        <v/>
      </c>
      <c r="FV430" s="0" t="str">
        <f aca="false">IF($A430="","",IF(COUNTIFS($FU$2:$FU$1000,FU430,$FS$2:$FS$1000,"Y")+COUNTIFS($FU$2:$FU$1000,FU430,$FT$2:$FT$1000,"Y")&gt;0,"Y","N"))</f>
        <v/>
      </c>
      <c r="FW430" s="0" t="str">
        <f aca="false">IF($A430="","",IF(AND(U430="new",T430="N",FT430="N",AT430="Y",FV430="N"),"Y","N"))</f>
        <v/>
      </c>
      <c r="FX430" s="0" t="str">
        <f aca="false">IF($A430="","",IF(FW430&lt;&gt;"Y","N",IF(COUNTIFS($FU$2:$FU$1000,FU430,$FW$2:$FW$1000,"Y",$J$2:$J$1000,"&gt;"&amp;J430)+COUNTIFS($FU$2:$FU$1000,FU430,$FW$2:$FW$1000,"Y",$J$2:$J$1000,J430,$GD$2:$GD$1000,"&lt;"&amp;GD430)=0,"Y","N")))</f>
        <v/>
      </c>
      <c r="FY430" s="0" t="str">
        <f aca="false">IF($A430="","",IF(AND(FW430="Y",FX430="Y",Y430&amp;""&lt;&gt;""),IF(Y430&lt;=10,"Y","N"),"N"))</f>
        <v/>
      </c>
      <c r="FZ430" s="0" t="str">
        <f aca="false">IF(FY430="Y",Y430,"")</f>
        <v/>
      </c>
      <c r="GA430" s="0" t="str">
        <f aca="false">IF($A430="","",IF(AND(I430="walk-in",CN430="pass",U430="new",FT430="N",FV430="N",AQ430&lt;&gt;"Y"),"Y","N"))</f>
        <v/>
      </c>
      <c r="GB430" s="0" t="str">
        <f aca="false">IF(GA430&lt;&gt;"Y","",IF(COUNTIFS($GA$2:$GA$1000,"Y",$J$2:$J$1000,"&gt;"&amp;J430)+COUNTIFS($GA$2:$GA$1000,"Y",$J$2:$J$1000,J430,$GD$2:$GD$1000,"&lt;"&amp;GD430)+1&lt;=25,COUNTIFS($GA$2:$GA$1000,"Y",$J$2:$J$1000,"&gt;"&amp;J430)+COUNTIFS($GA$2:$GA$1000,"Y",$J$2:$J$1000,J430,$GD$2:$GD$1000,"&lt;"&amp;GD430)+1,""))</f>
        <v/>
      </c>
      <c r="GC430" s="0" t="str">
        <f aca="false">IF(AND(_xlfn.ISFORMULA(C430),_xlfn.ISFORMULA(J430)),"Y","N")</f>
        <v>Y</v>
      </c>
      <c r="GD430" s="0" t="n">
        <f aca="false">ROW()-1</f>
        <v>429</v>
      </c>
    </row>
    <row r="431" customFormat="false" ht="15" hidden="false" customHeight="false" outlineLevel="0" collapsed="false">
      <c r="C431" s="0" t="str">
        <f aca="false">IF($A431="","",IF(AW431="Y",BM431&amp;"",AY431&amp;""))</f>
        <v/>
      </c>
      <c r="D431" s="0" t="str">
        <f aca="false">IF($A431="","",IF(AW431="Y",BN431&amp;"",AZ431&amp;""))</f>
        <v/>
      </c>
      <c r="E431" s="0" t="str">
        <f aca="false">IF($A431="","",IF(AW431="Y",BO431&amp;"",BA431&amp;""))</f>
        <v/>
      </c>
      <c r="F431" s="0" t="str">
        <f aca="false">IF($A431="","",IF(AW431="Y",BP431&amp;"",BB431&amp;""))</f>
        <v/>
      </c>
      <c r="G431" s="0" t="str">
        <f aca="false">IF($A431="","",IF(AW431="Y",BQ431&amp;"",BC431&amp;""))</f>
        <v/>
      </c>
      <c r="H431" s="0" t="str">
        <f aca="false">IF($A431="","",IF(AW431="Y",BR431&amp;"",BD431&amp;""))</f>
        <v/>
      </c>
      <c r="I431" s="0" t="str">
        <f aca="false">IF($A431="","",IF(R431="Y","warm-intro",IF(H431="verified","email",IF(C431&lt;&gt;"","linkedin",CB431&amp;""))))</f>
        <v/>
      </c>
      <c r="J431" s="0" t="str">
        <f aca="false">IF($A431="","",IF(CN431="pass",ROUND(N(EM431)+N(EN431)+N(EO431)+N(EP431)+N(EQ431)+N(ER431),1),0))</f>
        <v/>
      </c>
      <c r="K431" s="0" t="str">
        <f aca="false">IF($A431="","",IF(CN431&lt;&gt;"pass",CA431&amp;"",CA431&amp;"; "&amp;IF(AW431="Y",BZ431&amp;"",BL431&amp;"")&amp;IF(R431="Y","; known to the founder (+15)","")&amp;"."))</f>
        <v/>
      </c>
      <c r="R431" s="5"/>
      <c r="U431" s="5"/>
      <c r="Y431" s="0" t="str">
        <f aca="false">IF(FX431&lt;&gt;"Y","",COUNTIFS($FX$2:$FX$1000,"Y",$J$2:$J$1000,"&gt;"&amp;J431)+COUNTIFS($FX$2:$FX$1000,"Y",$J$2:$J$1000,J431,$GD$2:$GD$1000,"&lt;"&amp;GD431)+1)</f>
        <v/>
      </c>
      <c r="AB431" s="0" t="str">
        <f aca="false">IF($A431="","",IF(AW431="Y",BY431&amp;"",BK431&amp;""))</f>
        <v/>
      </c>
      <c r="AC431" s="0" t="str">
        <f aca="false">IF($A431="","",IF(AW431="Y",BS431&amp;"",BE431&amp;""))</f>
        <v/>
      </c>
      <c r="AD431" s="0" t="str">
        <f aca="false">IF($A431="","",IF(AW431="Y",BT431&amp;"",BF431&amp;""))</f>
        <v/>
      </c>
      <c r="AE431" s="0" t="str">
        <f aca="false">IF($A431="","",IF(AW431="Y",BU431&amp;"",BG431&amp;""))</f>
        <v/>
      </c>
      <c r="AF431" s="0" t="str">
        <f aca="false">IF($A431="","",IF(AW431="Y",BV431&amp;"",BH431&amp;""))</f>
        <v/>
      </c>
      <c r="AG431" s="0" t="str">
        <f aca="false">IF($A431="","",IF(AW431="Y",BW431&amp;"",BI431&amp;""))</f>
        <v/>
      </c>
      <c r="AH431" s="0" t="str">
        <f aca="false">IF($A431="","",IF(AW431="Y",BX431&amp;"",BJ431&amp;""))</f>
        <v/>
      </c>
      <c r="AQ431" s="5"/>
      <c r="AT431" s="0" t="str">
        <f aca="false">IF($A431="","",IF(AND(CN431="pass",AQ431&lt;&gt;"Y",C431&lt;&gt;"",OR(AX431&lt;&gt;"Y",AV431="Y")),"Y","N"))</f>
        <v/>
      </c>
      <c r="AU431" s="0" t="str">
        <f aca="false">IF($A431="","",_xlfn.TEXTJOIN("; ",TRUE(),IF(CN431&lt;&gt;"pass","gated out",""),IF(AQ431="Y","on hold: "&amp;AR431,""),IF(C431="","no contact named on an opened page",""),IF(AND(AX431="Y",AV431&lt;&gt;"Y"),"Tuesday estimate band "&amp;L431&amp;": founder's call","")))</f>
        <v/>
      </c>
      <c r="BC431" s="0" t="str">
        <f aca="false">IF($A431="","",IFERROR(INDEX(Enrichment!$A$2:$GZ$2000,MATCH($A431,INDEX(Enrichment!$A$2:$GZ$2000,0,MATCH("row_id",Enrichment!$A$1:$GZ$1,0)),0),MATCH("work_email",Enrichment!$A$1:$GZ$1,0))&amp;"",""))</f>
        <v/>
      </c>
      <c r="BD431" s="0" t="str">
        <f aca="false">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Q431" s="0" t="str">
        <f aca="false">IF($A431="","",IFERROR(INDEX(Enrichment!$A$2:$GZ$2000,MATCH($A431,INDEX(Enrichment!$A$2:$GZ$2000,0,MATCH("row_id",Enrichment!$A$1:$GZ$1,0)),0),MATCH("backup_work_email",Enrichment!$A$1:$GZ$1,0))&amp;"",""))</f>
        <v/>
      </c>
      <c r="BR431" s="0" t="str">
        <f aca="false">IF($A431="","",IF(BQ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EQ431" s="0" t="str">
        <f aca="false">IF($A431="","",IF(AH431="exact",10,IF(AH431="adjacent",5,0)))</f>
        <v/>
      </c>
      <c r="ER431" s="0" t="str">
        <f aca="false">IF($A431="","",IF(R431="Y",15,0))</f>
        <v/>
      </c>
      <c r="FS431" s="0" t="str">
        <f aca="false">IF($A431="","",IF(ISNUMBER(MATCH(U431,{"queued","contacted","replied","call_booked","call_done","yes_in_principle","materials_sent"},0)),"Y","N"))</f>
        <v/>
      </c>
      <c r="FT431" s="0" t="str">
        <f aca="false">IF($A431="","",IF(OR(T431="Y",U431="do_not_contact",AS431&amp;""&lt;&gt;""),"Y","N"))</f>
        <v/>
      </c>
      <c r="FU431" s="0" t="str">
        <f aca="false">IF($A431="","",IF(AP431&amp;""&lt;&gt;"",AP431&amp;"",$A431))</f>
        <v/>
      </c>
      <c r="FV431" s="0" t="str">
        <f aca="false">IF($A431="","",IF(COUNTIFS($FU$2:$FU$1000,FU431,$FS$2:$FS$1000,"Y")+COUNTIFS($FU$2:$FU$1000,FU431,$FT$2:$FT$1000,"Y")&gt;0,"Y","N"))</f>
        <v/>
      </c>
      <c r="FW431" s="0" t="str">
        <f aca="false">IF($A431="","",IF(AND(U431="new",T431="N",FT431="N",AT431="Y",FV431="N"),"Y","N"))</f>
        <v/>
      </c>
      <c r="FX431" s="0" t="str">
        <f aca="false">IF($A431="","",IF(FW431&lt;&gt;"Y","N",IF(COUNTIFS($FU$2:$FU$1000,FU431,$FW$2:$FW$1000,"Y",$J$2:$J$1000,"&gt;"&amp;J431)+COUNTIFS($FU$2:$FU$1000,FU431,$FW$2:$FW$1000,"Y",$J$2:$J$1000,J431,$GD$2:$GD$1000,"&lt;"&amp;GD431)=0,"Y","N")))</f>
        <v/>
      </c>
      <c r="FY431" s="0" t="str">
        <f aca="false">IF($A431="","",IF(AND(FW431="Y",FX431="Y",Y431&amp;""&lt;&gt;""),IF(Y431&lt;=10,"Y","N"),"N"))</f>
        <v/>
      </c>
      <c r="FZ431" s="0" t="str">
        <f aca="false">IF(FY431="Y",Y431,"")</f>
        <v/>
      </c>
      <c r="GA431" s="0" t="str">
        <f aca="false">IF($A431="","",IF(AND(I431="walk-in",CN431="pass",U431="new",FT431="N",FV431="N",AQ431&lt;&gt;"Y"),"Y","N"))</f>
        <v/>
      </c>
      <c r="GB431" s="0" t="str">
        <f aca="false">IF(GA431&lt;&gt;"Y","",IF(COUNTIFS($GA$2:$GA$1000,"Y",$J$2:$J$1000,"&gt;"&amp;J431)+COUNTIFS($GA$2:$GA$1000,"Y",$J$2:$J$1000,J431,$GD$2:$GD$1000,"&lt;"&amp;GD431)+1&lt;=25,COUNTIFS($GA$2:$GA$1000,"Y",$J$2:$J$1000,"&gt;"&amp;J431)+COUNTIFS($GA$2:$GA$1000,"Y",$J$2:$J$1000,J431,$GD$2:$GD$1000,"&lt;"&amp;GD431)+1,""))</f>
        <v/>
      </c>
      <c r="GC431" s="0" t="str">
        <f aca="false">IF(AND(_xlfn.ISFORMULA(C431),_xlfn.ISFORMULA(J431)),"Y","N")</f>
        <v>Y</v>
      </c>
      <c r="GD431" s="0" t="n">
        <f aca="false">ROW()-1</f>
        <v>430</v>
      </c>
    </row>
    <row r="432" customFormat="false" ht="15" hidden="false" customHeight="false" outlineLevel="0" collapsed="false">
      <c r="C432" s="0" t="str">
        <f aca="false">IF($A432="","",IF(AW432="Y",BM432&amp;"",AY432&amp;""))</f>
        <v/>
      </c>
      <c r="D432" s="0" t="str">
        <f aca="false">IF($A432="","",IF(AW432="Y",BN432&amp;"",AZ432&amp;""))</f>
        <v/>
      </c>
      <c r="E432" s="0" t="str">
        <f aca="false">IF($A432="","",IF(AW432="Y",BO432&amp;"",BA432&amp;""))</f>
        <v/>
      </c>
      <c r="F432" s="0" t="str">
        <f aca="false">IF($A432="","",IF(AW432="Y",BP432&amp;"",BB432&amp;""))</f>
        <v/>
      </c>
      <c r="G432" s="0" t="str">
        <f aca="false">IF($A432="","",IF(AW432="Y",BQ432&amp;"",BC432&amp;""))</f>
        <v/>
      </c>
      <c r="H432" s="0" t="str">
        <f aca="false">IF($A432="","",IF(AW432="Y",BR432&amp;"",BD432&amp;""))</f>
        <v/>
      </c>
      <c r="I432" s="0" t="str">
        <f aca="false">IF($A432="","",IF(R432="Y","warm-intro",IF(H432="verified","email",IF(C432&lt;&gt;"","linkedin",CB432&amp;""))))</f>
        <v/>
      </c>
      <c r="J432" s="0" t="str">
        <f aca="false">IF($A432="","",IF(CN432="pass",ROUND(N(EM432)+N(EN432)+N(EO432)+N(EP432)+N(EQ432)+N(ER432),1),0))</f>
        <v/>
      </c>
      <c r="K432" s="0" t="str">
        <f aca="false">IF($A432="","",IF(CN432&lt;&gt;"pass",CA432&amp;"",CA432&amp;"; "&amp;IF(AW432="Y",BZ432&amp;"",BL432&amp;"")&amp;IF(R432="Y","; known to the founder (+15)","")&amp;"."))</f>
        <v/>
      </c>
      <c r="R432" s="5"/>
      <c r="U432" s="5"/>
      <c r="Y432" s="0" t="str">
        <f aca="false">IF(FX432&lt;&gt;"Y","",COUNTIFS($FX$2:$FX$1000,"Y",$J$2:$J$1000,"&gt;"&amp;J432)+COUNTIFS($FX$2:$FX$1000,"Y",$J$2:$J$1000,J432,$GD$2:$GD$1000,"&lt;"&amp;GD432)+1)</f>
        <v/>
      </c>
      <c r="AB432" s="0" t="str">
        <f aca="false">IF($A432="","",IF(AW432="Y",BY432&amp;"",BK432&amp;""))</f>
        <v/>
      </c>
      <c r="AC432" s="0" t="str">
        <f aca="false">IF($A432="","",IF(AW432="Y",BS432&amp;"",BE432&amp;""))</f>
        <v/>
      </c>
      <c r="AD432" s="0" t="str">
        <f aca="false">IF($A432="","",IF(AW432="Y",BT432&amp;"",BF432&amp;""))</f>
        <v/>
      </c>
      <c r="AE432" s="0" t="str">
        <f aca="false">IF($A432="","",IF(AW432="Y",BU432&amp;"",BG432&amp;""))</f>
        <v/>
      </c>
      <c r="AF432" s="0" t="str">
        <f aca="false">IF($A432="","",IF(AW432="Y",BV432&amp;"",BH432&amp;""))</f>
        <v/>
      </c>
      <c r="AG432" s="0" t="str">
        <f aca="false">IF($A432="","",IF(AW432="Y",BW432&amp;"",BI432&amp;""))</f>
        <v/>
      </c>
      <c r="AH432" s="0" t="str">
        <f aca="false">IF($A432="","",IF(AW432="Y",BX432&amp;"",BJ432&amp;""))</f>
        <v/>
      </c>
      <c r="AQ432" s="5"/>
      <c r="AT432" s="0" t="str">
        <f aca="false">IF($A432="","",IF(AND(CN432="pass",AQ432&lt;&gt;"Y",C432&lt;&gt;"",OR(AX432&lt;&gt;"Y",AV432="Y")),"Y","N"))</f>
        <v/>
      </c>
      <c r="AU432" s="0" t="str">
        <f aca="false">IF($A432="","",_xlfn.TEXTJOIN("; ",TRUE(),IF(CN432&lt;&gt;"pass","gated out",""),IF(AQ432="Y","on hold: "&amp;AR432,""),IF(C432="","no contact named on an opened page",""),IF(AND(AX432="Y",AV432&lt;&gt;"Y"),"Tuesday estimate band "&amp;L432&amp;": founder's call","")))</f>
        <v/>
      </c>
      <c r="BC432" s="0" t="str">
        <f aca="false">IF($A432="","",IFERROR(INDEX(Enrichment!$A$2:$GZ$2000,MATCH($A432,INDEX(Enrichment!$A$2:$GZ$2000,0,MATCH("row_id",Enrichment!$A$1:$GZ$1,0)),0),MATCH("work_email",Enrichment!$A$1:$GZ$1,0))&amp;"",""))</f>
        <v/>
      </c>
      <c r="BD432" s="0" t="str">
        <f aca="false">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Q432" s="0" t="str">
        <f aca="false">IF($A432="","",IFERROR(INDEX(Enrichment!$A$2:$GZ$2000,MATCH($A432,INDEX(Enrichment!$A$2:$GZ$2000,0,MATCH("row_id",Enrichment!$A$1:$GZ$1,0)),0),MATCH("backup_work_email",Enrichment!$A$1:$GZ$1,0))&amp;"",""))</f>
        <v/>
      </c>
      <c r="BR432" s="0" t="str">
        <f aca="false">IF($A432="","",IF(BQ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EQ432" s="0" t="str">
        <f aca="false">IF($A432="","",IF(AH432="exact",10,IF(AH432="adjacent",5,0)))</f>
        <v/>
      </c>
      <c r="ER432" s="0" t="str">
        <f aca="false">IF($A432="","",IF(R432="Y",15,0))</f>
        <v/>
      </c>
      <c r="FS432" s="0" t="str">
        <f aca="false">IF($A432="","",IF(ISNUMBER(MATCH(U432,{"queued","contacted","replied","call_booked","call_done","yes_in_principle","materials_sent"},0)),"Y","N"))</f>
        <v/>
      </c>
      <c r="FT432" s="0" t="str">
        <f aca="false">IF($A432="","",IF(OR(T432="Y",U432="do_not_contact",AS432&amp;""&lt;&gt;""),"Y","N"))</f>
        <v/>
      </c>
      <c r="FU432" s="0" t="str">
        <f aca="false">IF($A432="","",IF(AP432&amp;""&lt;&gt;"",AP432&amp;"",$A432))</f>
        <v/>
      </c>
      <c r="FV432" s="0" t="str">
        <f aca="false">IF($A432="","",IF(COUNTIFS($FU$2:$FU$1000,FU432,$FS$2:$FS$1000,"Y")+COUNTIFS($FU$2:$FU$1000,FU432,$FT$2:$FT$1000,"Y")&gt;0,"Y","N"))</f>
        <v/>
      </c>
      <c r="FW432" s="0" t="str">
        <f aca="false">IF($A432="","",IF(AND(U432="new",T432="N",FT432="N",AT432="Y",FV432="N"),"Y","N"))</f>
        <v/>
      </c>
      <c r="FX432" s="0" t="str">
        <f aca="false">IF($A432="","",IF(FW432&lt;&gt;"Y","N",IF(COUNTIFS($FU$2:$FU$1000,FU432,$FW$2:$FW$1000,"Y",$J$2:$J$1000,"&gt;"&amp;J432)+COUNTIFS($FU$2:$FU$1000,FU432,$FW$2:$FW$1000,"Y",$J$2:$J$1000,J432,$GD$2:$GD$1000,"&lt;"&amp;GD432)=0,"Y","N")))</f>
        <v/>
      </c>
      <c r="FY432" s="0" t="str">
        <f aca="false">IF($A432="","",IF(AND(FW432="Y",FX432="Y",Y432&amp;""&lt;&gt;""),IF(Y432&lt;=10,"Y","N"),"N"))</f>
        <v/>
      </c>
      <c r="FZ432" s="0" t="str">
        <f aca="false">IF(FY432="Y",Y432,"")</f>
        <v/>
      </c>
      <c r="GA432" s="0" t="str">
        <f aca="false">IF($A432="","",IF(AND(I432="walk-in",CN432="pass",U432="new",FT432="N",FV432="N",AQ432&lt;&gt;"Y"),"Y","N"))</f>
        <v/>
      </c>
      <c r="GB432" s="0" t="str">
        <f aca="false">IF(GA432&lt;&gt;"Y","",IF(COUNTIFS($GA$2:$GA$1000,"Y",$J$2:$J$1000,"&gt;"&amp;J432)+COUNTIFS($GA$2:$GA$1000,"Y",$J$2:$J$1000,J432,$GD$2:$GD$1000,"&lt;"&amp;GD432)+1&lt;=25,COUNTIFS($GA$2:$GA$1000,"Y",$J$2:$J$1000,"&gt;"&amp;J432)+COUNTIFS($GA$2:$GA$1000,"Y",$J$2:$J$1000,J432,$GD$2:$GD$1000,"&lt;"&amp;GD432)+1,""))</f>
        <v/>
      </c>
      <c r="GC432" s="0" t="str">
        <f aca="false">IF(AND(_xlfn.ISFORMULA(C432),_xlfn.ISFORMULA(J432)),"Y","N")</f>
        <v>Y</v>
      </c>
      <c r="GD432" s="0" t="n">
        <f aca="false">ROW()-1</f>
        <v>431</v>
      </c>
    </row>
    <row r="433" customFormat="false" ht="15" hidden="false" customHeight="false" outlineLevel="0" collapsed="false">
      <c r="C433" s="0" t="str">
        <f aca="false">IF($A433="","",IF(AW433="Y",BM433&amp;"",AY433&amp;""))</f>
        <v/>
      </c>
      <c r="D433" s="0" t="str">
        <f aca="false">IF($A433="","",IF(AW433="Y",BN433&amp;"",AZ433&amp;""))</f>
        <v/>
      </c>
      <c r="E433" s="0" t="str">
        <f aca="false">IF($A433="","",IF(AW433="Y",BO433&amp;"",BA433&amp;""))</f>
        <v/>
      </c>
      <c r="F433" s="0" t="str">
        <f aca="false">IF($A433="","",IF(AW433="Y",BP433&amp;"",BB433&amp;""))</f>
        <v/>
      </c>
      <c r="G433" s="0" t="str">
        <f aca="false">IF($A433="","",IF(AW433="Y",BQ433&amp;"",BC433&amp;""))</f>
        <v/>
      </c>
      <c r="H433" s="0" t="str">
        <f aca="false">IF($A433="","",IF(AW433="Y",BR433&amp;"",BD433&amp;""))</f>
        <v/>
      </c>
      <c r="I433" s="0" t="str">
        <f aca="false">IF($A433="","",IF(R433="Y","warm-intro",IF(H433="verified","email",IF(C433&lt;&gt;"","linkedin",CB433&amp;""))))</f>
        <v/>
      </c>
      <c r="J433" s="0" t="str">
        <f aca="false">IF($A433="","",IF(CN433="pass",ROUND(N(EM433)+N(EN433)+N(EO433)+N(EP433)+N(EQ433)+N(ER433),1),0))</f>
        <v/>
      </c>
      <c r="K433" s="0" t="str">
        <f aca="false">IF($A433="","",IF(CN433&lt;&gt;"pass",CA433&amp;"",CA433&amp;"; "&amp;IF(AW433="Y",BZ433&amp;"",BL433&amp;"")&amp;IF(R433="Y","; known to the founder (+15)","")&amp;"."))</f>
        <v/>
      </c>
      <c r="R433" s="5"/>
      <c r="U433" s="5"/>
      <c r="Y433" s="0" t="str">
        <f aca="false">IF(FX433&lt;&gt;"Y","",COUNTIFS($FX$2:$FX$1000,"Y",$J$2:$J$1000,"&gt;"&amp;J433)+COUNTIFS($FX$2:$FX$1000,"Y",$J$2:$J$1000,J433,$GD$2:$GD$1000,"&lt;"&amp;GD433)+1)</f>
        <v/>
      </c>
      <c r="AB433" s="0" t="str">
        <f aca="false">IF($A433="","",IF(AW433="Y",BY433&amp;"",BK433&amp;""))</f>
        <v/>
      </c>
      <c r="AC433" s="0" t="str">
        <f aca="false">IF($A433="","",IF(AW433="Y",BS433&amp;"",BE433&amp;""))</f>
        <v/>
      </c>
      <c r="AD433" s="0" t="str">
        <f aca="false">IF($A433="","",IF(AW433="Y",BT433&amp;"",BF433&amp;""))</f>
        <v/>
      </c>
      <c r="AE433" s="0" t="str">
        <f aca="false">IF($A433="","",IF(AW433="Y",BU433&amp;"",BG433&amp;""))</f>
        <v/>
      </c>
      <c r="AF433" s="0" t="str">
        <f aca="false">IF($A433="","",IF(AW433="Y",BV433&amp;"",BH433&amp;""))</f>
        <v/>
      </c>
      <c r="AG433" s="0" t="str">
        <f aca="false">IF($A433="","",IF(AW433="Y",BW433&amp;"",BI433&amp;""))</f>
        <v/>
      </c>
      <c r="AH433" s="0" t="str">
        <f aca="false">IF($A433="","",IF(AW433="Y",BX433&amp;"",BJ433&amp;""))</f>
        <v/>
      </c>
      <c r="AQ433" s="5"/>
      <c r="AT433" s="0" t="str">
        <f aca="false">IF($A433="","",IF(AND(CN433="pass",AQ433&lt;&gt;"Y",C433&lt;&gt;"",OR(AX433&lt;&gt;"Y",AV433="Y")),"Y","N"))</f>
        <v/>
      </c>
      <c r="AU433" s="0" t="str">
        <f aca="false">IF($A433="","",_xlfn.TEXTJOIN("; ",TRUE(),IF(CN433&lt;&gt;"pass","gated out",""),IF(AQ433="Y","on hold: "&amp;AR433,""),IF(C433="","no contact named on an opened page",""),IF(AND(AX433="Y",AV433&lt;&gt;"Y"),"Tuesday estimate band "&amp;L433&amp;": founder's call","")))</f>
        <v/>
      </c>
      <c r="BC433" s="0" t="str">
        <f aca="false">IF($A433="","",IFERROR(INDEX(Enrichment!$A$2:$GZ$2000,MATCH($A433,INDEX(Enrichment!$A$2:$GZ$2000,0,MATCH("row_id",Enrichment!$A$1:$GZ$1,0)),0),MATCH("work_email",Enrichment!$A$1:$GZ$1,0))&amp;"",""))</f>
        <v/>
      </c>
      <c r="BD433" s="0" t="str">
        <f aca="false">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Q433" s="0" t="str">
        <f aca="false">IF($A433="","",IFERROR(INDEX(Enrichment!$A$2:$GZ$2000,MATCH($A433,INDEX(Enrichment!$A$2:$GZ$2000,0,MATCH("row_id",Enrichment!$A$1:$GZ$1,0)),0),MATCH("backup_work_email",Enrichment!$A$1:$GZ$1,0))&amp;"",""))</f>
        <v/>
      </c>
      <c r="BR433" s="0" t="str">
        <f aca="false">IF($A433="","",IF(BQ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EQ433" s="0" t="str">
        <f aca="false">IF($A433="","",IF(AH433="exact",10,IF(AH433="adjacent",5,0)))</f>
        <v/>
      </c>
      <c r="ER433" s="0" t="str">
        <f aca="false">IF($A433="","",IF(R433="Y",15,0))</f>
        <v/>
      </c>
      <c r="FS433" s="0" t="str">
        <f aca="false">IF($A433="","",IF(ISNUMBER(MATCH(U433,{"queued","contacted","replied","call_booked","call_done","yes_in_principle","materials_sent"},0)),"Y","N"))</f>
        <v/>
      </c>
      <c r="FT433" s="0" t="str">
        <f aca="false">IF($A433="","",IF(OR(T433="Y",U433="do_not_contact",AS433&amp;""&lt;&gt;""),"Y","N"))</f>
        <v/>
      </c>
      <c r="FU433" s="0" t="str">
        <f aca="false">IF($A433="","",IF(AP433&amp;""&lt;&gt;"",AP433&amp;"",$A433))</f>
        <v/>
      </c>
      <c r="FV433" s="0" t="str">
        <f aca="false">IF($A433="","",IF(COUNTIFS($FU$2:$FU$1000,FU433,$FS$2:$FS$1000,"Y")+COUNTIFS($FU$2:$FU$1000,FU433,$FT$2:$FT$1000,"Y")&gt;0,"Y","N"))</f>
        <v/>
      </c>
      <c r="FW433" s="0" t="str">
        <f aca="false">IF($A433="","",IF(AND(U433="new",T433="N",FT433="N",AT433="Y",FV433="N"),"Y","N"))</f>
        <v/>
      </c>
      <c r="FX433" s="0" t="str">
        <f aca="false">IF($A433="","",IF(FW433&lt;&gt;"Y","N",IF(COUNTIFS($FU$2:$FU$1000,FU433,$FW$2:$FW$1000,"Y",$J$2:$J$1000,"&gt;"&amp;J433)+COUNTIFS($FU$2:$FU$1000,FU433,$FW$2:$FW$1000,"Y",$J$2:$J$1000,J433,$GD$2:$GD$1000,"&lt;"&amp;GD433)=0,"Y","N")))</f>
        <v/>
      </c>
      <c r="FY433" s="0" t="str">
        <f aca="false">IF($A433="","",IF(AND(FW433="Y",FX433="Y",Y433&amp;""&lt;&gt;""),IF(Y433&lt;=10,"Y","N"),"N"))</f>
        <v/>
      </c>
      <c r="FZ433" s="0" t="str">
        <f aca="false">IF(FY433="Y",Y433,"")</f>
        <v/>
      </c>
      <c r="GA433" s="0" t="str">
        <f aca="false">IF($A433="","",IF(AND(I433="walk-in",CN433="pass",U433="new",FT433="N",FV433="N",AQ433&lt;&gt;"Y"),"Y","N"))</f>
        <v/>
      </c>
      <c r="GB433" s="0" t="str">
        <f aca="false">IF(GA433&lt;&gt;"Y","",IF(COUNTIFS($GA$2:$GA$1000,"Y",$J$2:$J$1000,"&gt;"&amp;J433)+COUNTIFS($GA$2:$GA$1000,"Y",$J$2:$J$1000,J433,$GD$2:$GD$1000,"&lt;"&amp;GD433)+1&lt;=25,COUNTIFS($GA$2:$GA$1000,"Y",$J$2:$J$1000,"&gt;"&amp;J433)+COUNTIFS($GA$2:$GA$1000,"Y",$J$2:$J$1000,J433,$GD$2:$GD$1000,"&lt;"&amp;GD433)+1,""))</f>
        <v/>
      </c>
      <c r="GC433" s="0" t="str">
        <f aca="false">IF(AND(_xlfn.ISFORMULA(C433),_xlfn.ISFORMULA(J433)),"Y","N")</f>
        <v>Y</v>
      </c>
      <c r="GD433" s="0" t="n">
        <f aca="false">ROW()-1</f>
        <v>432</v>
      </c>
    </row>
    <row r="434" customFormat="false" ht="15" hidden="false" customHeight="false" outlineLevel="0" collapsed="false">
      <c r="C434" s="0" t="str">
        <f aca="false">IF($A434="","",IF(AW434="Y",BM434&amp;"",AY434&amp;""))</f>
        <v/>
      </c>
      <c r="D434" s="0" t="str">
        <f aca="false">IF($A434="","",IF(AW434="Y",BN434&amp;"",AZ434&amp;""))</f>
        <v/>
      </c>
      <c r="E434" s="0" t="str">
        <f aca="false">IF($A434="","",IF(AW434="Y",BO434&amp;"",BA434&amp;""))</f>
        <v/>
      </c>
      <c r="F434" s="0" t="str">
        <f aca="false">IF($A434="","",IF(AW434="Y",BP434&amp;"",BB434&amp;""))</f>
        <v/>
      </c>
      <c r="G434" s="0" t="str">
        <f aca="false">IF($A434="","",IF(AW434="Y",BQ434&amp;"",BC434&amp;""))</f>
        <v/>
      </c>
      <c r="H434" s="0" t="str">
        <f aca="false">IF($A434="","",IF(AW434="Y",BR434&amp;"",BD434&amp;""))</f>
        <v/>
      </c>
      <c r="I434" s="0" t="str">
        <f aca="false">IF($A434="","",IF(R434="Y","warm-intro",IF(H434="verified","email",IF(C434&lt;&gt;"","linkedin",CB434&amp;""))))</f>
        <v/>
      </c>
      <c r="J434" s="0" t="str">
        <f aca="false">IF($A434="","",IF(CN434="pass",ROUND(N(EM434)+N(EN434)+N(EO434)+N(EP434)+N(EQ434)+N(ER434),1),0))</f>
        <v/>
      </c>
      <c r="K434" s="0" t="str">
        <f aca="false">IF($A434="","",IF(CN434&lt;&gt;"pass",CA434&amp;"",CA434&amp;"; "&amp;IF(AW434="Y",BZ434&amp;"",BL434&amp;"")&amp;IF(R434="Y","; known to the founder (+15)","")&amp;"."))</f>
        <v/>
      </c>
      <c r="R434" s="5"/>
      <c r="U434" s="5"/>
      <c r="Y434" s="0" t="str">
        <f aca="false">IF(FX434&lt;&gt;"Y","",COUNTIFS($FX$2:$FX$1000,"Y",$J$2:$J$1000,"&gt;"&amp;J434)+COUNTIFS($FX$2:$FX$1000,"Y",$J$2:$J$1000,J434,$GD$2:$GD$1000,"&lt;"&amp;GD434)+1)</f>
        <v/>
      </c>
      <c r="AB434" s="0" t="str">
        <f aca="false">IF($A434="","",IF(AW434="Y",BY434&amp;"",BK434&amp;""))</f>
        <v/>
      </c>
      <c r="AC434" s="0" t="str">
        <f aca="false">IF($A434="","",IF(AW434="Y",BS434&amp;"",BE434&amp;""))</f>
        <v/>
      </c>
      <c r="AD434" s="0" t="str">
        <f aca="false">IF($A434="","",IF(AW434="Y",BT434&amp;"",BF434&amp;""))</f>
        <v/>
      </c>
      <c r="AE434" s="0" t="str">
        <f aca="false">IF($A434="","",IF(AW434="Y",BU434&amp;"",BG434&amp;""))</f>
        <v/>
      </c>
      <c r="AF434" s="0" t="str">
        <f aca="false">IF($A434="","",IF(AW434="Y",BV434&amp;"",BH434&amp;""))</f>
        <v/>
      </c>
      <c r="AG434" s="0" t="str">
        <f aca="false">IF($A434="","",IF(AW434="Y",BW434&amp;"",BI434&amp;""))</f>
        <v/>
      </c>
      <c r="AH434" s="0" t="str">
        <f aca="false">IF($A434="","",IF(AW434="Y",BX434&amp;"",BJ434&amp;""))</f>
        <v/>
      </c>
      <c r="AQ434" s="5"/>
      <c r="AT434" s="0" t="str">
        <f aca="false">IF($A434="","",IF(AND(CN434="pass",AQ434&lt;&gt;"Y",C434&lt;&gt;"",OR(AX434&lt;&gt;"Y",AV434="Y")),"Y","N"))</f>
        <v/>
      </c>
      <c r="AU434" s="0" t="str">
        <f aca="false">IF($A434="","",_xlfn.TEXTJOIN("; ",TRUE(),IF(CN434&lt;&gt;"pass","gated out",""),IF(AQ434="Y","on hold: "&amp;AR434,""),IF(C434="","no contact named on an opened page",""),IF(AND(AX434="Y",AV434&lt;&gt;"Y"),"Tuesday estimate band "&amp;L434&amp;": founder's call","")))</f>
        <v/>
      </c>
      <c r="BC434" s="0" t="str">
        <f aca="false">IF($A434="","",IFERROR(INDEX(Enrichment!$A$2:$GZ$2000,MATCH($A434,INDEX(Enrichment!$A$2:$GZ$2000,0,MATCH("row_id",Enrichment!$A$1:$GZ$1,0)),0),MATCH("work_email",Enrichment!$A$1:$GZ$1,0))&amp;"",""))</f>
        <v/>
      </c>
      <c r="BD434" s="0" t="str">
        <f aca="false">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Q434" s="0" t="str">
        <f aca="false">IF($A434="","",IFERROR(INDEX(Enrichment!$A$2:$GZ$2000,MATCH($A434,INDEX(Enrichment!$A$2:$GZ$2000,0,MATCH("row_id",Enrichment!$A$1:$GZ$1,0)),0),MATCH("backup_work_email",Enrichment!$A$1:$GZ$1,0))&amp;"",""))</f>
        <v/>
      </c>
      <c r="BR434" s="0" t="str">
        <f aca="false">IF($A434="","",IF(BQ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EQ434" s="0" t="str">
        <f aca="false">IF($A434="","",IF(AH434="exact",10,IF(AH434="adjacent",5,0)))</f>
        <v/>
      </c>
      <c r="ER434" s="0" t="str">
        <f aca="false">IF($A434="","",IF(R434="Y",15,0))</f>
        <v/>
      </c>
      <c r="FS434" s="0" t="str">
        <f aca="false">IF($A434="","",IF(ISNUMBER(MATCH(U434,{"queued","contacted","replied","call_booked","call_done","yes_in_principle","materials_sent"},0)),"Y","N"))</f>
        <v/>
      </c>
      <c r="FT434" s="0" t="str">
        <f aca="false">IF($A434="","",IF(OR(T434="Y",U434="do_not_contact",AS434&amp;""&lt;&gt;""),"Y","N"))</f>
        <v/>
      </c>
      <c r="FU434" s="0" t="str">
        <f aca="false">IF($A434="","",IF(AP434&amp;""&lt;&gt;"",AP434&amp;"",$A434))</f>
        <v/>
      </c>
      <c r="FV434" s="0" t="str">
        <f aca="false">IF($A434="","",IF(COUNTIFS($FU$2:$FU$1000,FU434,$FS$2:$FS$1000,"Y")+COUNTIFS($FU$2:$FU$1000,FU434,$FT$2:$FT$1000,"Y")&gt;0,"Y","N"))</f>
        <v/>
      </c>
      <c r="FW434" s="0" t="str">
        <f aca="false">IF($A434="","",IF(AND(U434="new",T434="N",FT434="N",AT434="Y",FV434="N"),"Y","N"))</f>
        <v/>
      </c>
      <c r="FX434" s="0" t="str">
        <f aca="false">IF($A434="","",IF(FW434&lt;&gt;"Y","N",IF(COUNTIFS($FU$2:$FU$1000,FU434,$FW$2:$FW$1000,"Y",$J$2:$J$1000,"&gt;"&amp;J434)+COUNTIFS($FU$2:$FU$1000,FU434,$FW$2:$FW$1000,"Y",$J$2:$J$1000,J434,$GD$2:$GD$1000,"&lt;"&amp;GD434)=0,"Y","N")))</f>
        <v/>
      </c>
      <c r="FY434" s="0" t="str">
        <f aca="false">IF($A434="","",IF(AND(FW434="Y",FX434="Y",Y434&amp;""&lt;&gt;""),IF(Y434&lt;=10,"Y","N"),"N"))</f>
        <v/>
      </c>
      <c r="FZ434" s="0" t="str">
        <f aca="false">IF(FY434="Y",Y434,"")</f>
        <v/>
      </c>
      <c r="GA434" s="0" t="str">
        <f aca="false">IF($A434="","",IF(AND(I434="walk-in",CN434="pass",U434="new",FT434="N",FV434="N",AQ434&lt;&gt;"Y"),"Y","N"))</f>
        <v/>
      </c>
      <c r="GB434" s="0" t="str">
        <f aca="false">IF(GA434&lt;&gt;"Y","",IF(COUNTIFS($GA$2:$GA$1000,"Y",$J$2:$J$1000,"&gt;"&amp;J434)+COUNTIFS($GA$2:$GA$1000,"Y",$J$2:$J$1000,J434,$GD$2:$GD$1000,"&lt;"&amp;GD434)+1&lt;=25,COUNTIFS($GA$2:$GA$1000,"Y",$J$2:$J$1000,"&gt;"&amp;J434)+COUNTIFS($GA$2:$GA$1000,"Y",$J$2:$J$1000,J434,$GD$2:$GD$1000,"&lt;"&amp;GD434)+1,""))</f>
        <v/>
      </c>
      <c r="GC434" s="0" t="str">
        <f aca="false">IF(AND(_xlfn.ISFORMULA(C434),_xlfn.ISFORMULA(J434)),"Y","N")</f>
        <v>Y</v>
      </c>
      <c r="GD434" s="0" t="n">
        <f aca="false">ROW()-1</f>
        <v>433</v>
      </c>
    </row>
    <row r="435" customFormat="false" ht="15" hidden="false" customHeight="false" outlineLevel="0" collapsed="false">
      <c r="C435" s="0" t="str">
        <f aca="false">IF($A435="","",IF(AW435="Y",BM435&amp;"",AY435&amp;""))</f>
        <v/>
      </c>
      <c r="D435" s="0" t="str">
        <f aca="false">IF($A435="","",IF(AW435="Y",BN435&amp;"",AZ435&amp;""))</f>
        <v/>
      </c>
      <c r="E435" s="0" t="str">
        <f aca="false">IF($A435="","",IF(AW435="Y",BO435&amp;"",BA435&amp;""))</f>
        <v/>
      </c>
      <c r="F435" s="0" t="str">
        <f aca="false">IF($A435="","",IF(AW435="Y",BP435&amp;"",BB435&amp;""))</f>
        <v/>
      </c>
      <c r="G435" s="0" t="str">
        <f aca="false">IF($A435="","",IF(AW435="Y",BQ435&amp;"",BC435&amp;""))</f>
        <v/>
      </c>
      <c r="H435" s="0" t="str">
        <f aca="false">IF($A435="","",IF(AW435="Y",BR435&amp;"",BD435&amp;""))</f>
        <v/>
      </c>
      <c r="I435" s="0" t="str">
        <f aca="false">IF($A435="","",IF(R435="Y","warm-intro",IF(H435="verified","email",IF(C435&lt;&gt;"","linkedin",CB435&amp;""))))</f>
        <v/>
      </c>
      <c r="J435" s="0" t="str">
        <f aca="false">IF($A435="","",IF(CN435="pass",ROUND(N(EM435)+N(EN435)+N(EO435)+N(EP435)+N(EQ435)+N(ER435),1),0))</f>
        <v/>
      </c>
      <c r="K435" s="0" t="str">
        <f aca="false">IF($A435="","",IF(CN435&lt;&gt;"pass",CA435&amp;"",CA435&amp;"; "&amp;IF(AW435="Y",BZ435&amp;"",BL435&amp;"")&amp;IF(R435="Y","; known to the founder (+15)","")&amp;"."))</f>
        <v/>
      </c>
      <c r="R435" s="5"/>
      <c r="U435" s="5"/>
      <c r="Y435" s="0" t="str">
        <f aca="false">IF(FX435&lt;&gt;"Y","",COUNTIFS($FX$2:$FX$1000,"Y",$J$2:$J$1000,"&gt;"&amp;J435)+COUNTIFS($FX$2:$FX$1000,"Y",$J$2:$J$1000,J435,$GD$2:$GD$1000,"&lt;"&amp;GD435)+1)</f>
        <v/>
      </c>
      <c r="AB435" s="0" t="str">
        <f aca="false">IF($A435="","",IF(AW435="Y",BY435&amp;"",BK435&amp;""))</f>
        <v/>
      </c>
      <c r="AC435" s="0" t="str">
        <f aca="false">IF($A435="","",IF(AW435="Y",BS435&amp;"",BE435&amp;""))</f>
        <v/>
      </c>
      <c r="AD435" s="0" t="str">
        <f aca="false">IF($A435="","",IF(AW435="Y",BT435&amp;"",BF435&amp;""))</f>
        <v/>
      </c>
      <c r="AE435" s="0" t="str">
        <f aca="false">IF($A435="","",IF(AW435="Y",BU435&amp;"",BG435&amp;""))</f>
        <v/>
      </c>
      <c r="AF435" s="0" t="str">
        <f aca="false">IF($A435="","",IF(AW435="Y",BV435&amp;"",BH435&amp;""))</f>
        <v/>
      </c>
      <c r="AG435" s="0" t="str">
        <f aca="false">IF($A435="","",IF(AW435="Y",BW435&amp;"",BI435&amp;""))</f>
        <v/>
      </c>
      <c r="AH435" s="0" t="str">
        <f aca="false">IF($A435="","",IF(AW435="Y",BX435&amp;"",BJ435&amp;""))</f>
        <v/>
      </c>
      <c r="AQ435" s="5"/>
      <c r="AT435" s="0" t="str">
        <f aca="false">IF($A435="","",IF(AND(CN435="pass",AQ435&lt;&gt;"Y",C435&lt;&gt;"",OR(AX435&lt;&gt;"Y",AV435="Y")),"Y","N"))</f>
        <v/>
      </c>
      <c r="AU435" s="0" t="str">
        <f aca="false">IF($A435="","",_xlfn.TEXTJOIN("; ",TRUE(),IF(CN435&lt;&gt;"pass","gated out",""),IF(AQ435="Y","on hold: "&amp;AR435,""),IF(C435="","no contact named on an opened page",""),IF(AND(AX435="Y",AV435&lt;&gt;"Y"),"Tuesday estimate band "&amp;L435&amp;": founder's call","")))</f>
        <v/>
      </c>
      <c r="BC435" s="0" t="str">
        <f aca="false">IF($A435="","",IFERROR(INDEX(Enrichment!$A$2:$GZ$2000,MATCH($A435,INDEX(Enrichment!$A$2:$GZ$2000,0,MATCH("row_id",Enrichment!$A$1:$GZ$1,0)),0),MATCH("work_email",Enrichment!$A$1:$GZ$1,0))&amp;"",""))</f>
        <v/>
      </c>
      <c r="BD435" s="0" t="str">
        <f aca="false">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Q435" s="0" t="str">
        <f aca="false">IF($A435="","",IFERROR(INDEX(Enrichment!$A$2:$GZ$2000,MATCH($A435,INDEX(Enrichment!$A$2:$GZ$2000,0,MATCH("row_id",Enrichment!$A$1:$GZ$1,0)),0),MATCH("backup_work_email",Enrichment!$A$1:$GZ$1,0))&amp;"",""))</f>
        <v/>
      </c>
      <c r="BR435" s="0" t="str">
        <f aca="false">IF($A435="","",IF(BQ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EQ435" s="0" t="str">
        <f aca="false">IF($A435="","",IF(AH435="exact",10,IF(AH435="adjacent",5,0)))</f>
        <v/>
      </c>
      <c r="ER435" s="0" t="str">
        <f aca="false">IF($A435="","",IF(R435="Y",15,0))</f>
        <v/>
      </c>
      <c r="FS435" s="0" t="str">
        <f aca="false">IF($A435="","",IF(ISNUMBER(MATCH(U435,{"queued","contacted","replied","call_booked","call_done","yes_in_principle","materials_sent"},0)),"Y","N"))</f>
        <v/>
      </c>
      <c r="FT435" s="0" t="str">
        <f aca="false">IF($A435="","",IF(OR(T435="Y",U435="do_not_contact",AS435&amp;""&lt;&gt;""),"Y","N"))</f>
        <v/>
      </c>
      <c r="FU435" s="0" t="str">
        <f aca="false">IF($A435="","",IF(AP435&amp;""&lt;&gt;"",AP435&amp;"",$A435))</f>
        <v/>
      </c>
      <c r="FV435" s="0" t="str">
        <f aca="false">IF($A435="","",IF(COUNTIFS($FU$2:$FU$1000,FU435,$FS$2:$FS$1000,"Y")+COUNTIFS($FU$2:$FU$1000,FU435,$FT$2:$FT$1000,"Y")&gt;0,"Y","N"))</f>
        <v/>
      </c>
      <c r="FW435" s="0" t="str">
        <f aca="false">IF($A435="","",IF(AND(U435="new",T435="N",FT435="N",AT435="Y",FV435="N"),"Y","N"))</f>
        <v/>
      </c>
      <c r="FX435" s="0" t="str">
        <f aca="false">IF($A435="","",IF(FW435&lt;&gt;"Y","N",IF(COUNTIFS($FU$2:$FU$1000,FU435,$FW$2:$FW$1000,"Y",$J$2:$J$1000,"&gt;"&amp;J435)+COUNTIFS($FU$2:$FU$1000,FU435,$FW$2:$FW$1000,"Y",$J$2:$J$1000,J435,$GD$2:$GD$1000,"&lt;"&amp;GD435)=0,"Y","N")))</f>
        <v/>
      </c>
      <c r="FY435" s="0" t="str">
        <f aca="false">IF($A435="","",IF(AND(FW435="Y",FX435="Y",Y435&amp;""&lt;&gt;""),IF(Y435&lt;=10,"Y","N"),"N"))</f>
        <v/>
      </c>
      <c r="FZ435" s="0" t="str">
        <f aca="false">IF(FY435="Y",Y435,"")</f>
        <v/>
      </c>
      <c r="GA435" s="0" t="str">
        <f aca="false">IF($A435="","",IF(AND(I435="walk-in",CN435="pass",U435="new",FT435="N",FV435="N",AQ435&lt;&gt;"Y"),"Y","N"))</f>
        <v/>
      </c>
      <c r="GB435" s="0" t="str">
        <f aca="false">IF(GA435&lt;&gt;"Y","",IF(COUNTIFS($GA$2:$GA$1000,"Y",$J$2:$J$1000,"&gt;"&amp;J435)+COUNTIFS($GA$2:$GA$1000,"Y",$J$2:$J$1000,J435,$GD$2:$GD$1000,"&lt;"&amp;GD435)+1&lt;=25,COUNTIFS($GA$2:$GA$1000,"Y",$J$2:$J$1000,"&gt;"&amp;J435)+COUNTIFS($GA$2:$GA$1000,"Y",$J$2:$J$1000,J435,$GD$2:$GD$1000,"&lt;"&amp;GD435)+1,""))</f>
        <v/>
      </c>
      <c r="GC435" s="0" t="str">
        <f aca="false">IF(AND(_xlfn.ISFORMULA(C435),_xlfn.ISFORMULA(J435)),"Y","N")</f>
        <v>Y</v>
      </c>
      <c r="GD435" s="0" t="n">
        <f aca="false">ROW()-1</f>
        <v>434</v>
      </c>
    </row>
    <row r="436" customFormat="false" ht="15" hidden="false" customHeight="false" outlineLevel="0" collapsed="false">
      <c r="C436" s="0" t="str">
        <f aca="false">IF($A436="","",IF(AW436="Y",BM436&amp;"",AY436&amp;""))</f>
        <v/>
      </c>
      <c r="D436" s="0" t="str">
        <f aca="false">IF($A436="","",IF(AW436="Y",BN436&amp;"",AZ436&amp;""))</f>
        <v/>
      </c>
      <c r="E436" s="0" t="str">
        <f aca="false">IF($A436="","",IF(AW436="Y",BO436&amp;"",BA436&amp;""))</f>
        <v/>
      </c>
      <c r="F436" s="0" t="str">
        <f aca="false">IF($A436="","",IF(AW436="Y",BP436&amp;"",BB436&amp;""))</f>
        <v/>
      </c>
      <c r="G436" s="0" t="str">
        <f aca="false">IF($A436="","",IF(AW436="Y",BQ436&amp;"",BC436&amp;""))</f>
        <v/>
      </c>
      <c r="H436" s="0" t="str">
        <f aca="false">IF($A436="","",IF(AW436="Y",BR436&amp;"",BD436&amp;""))</f>
        <v/>
      </c>
      <c r="I436" s="0" t="str">
        <f aca="false">IF($A436="","",IF(R436="Y","warm-intro",IF(H436="verified","email",IF(C436&lt;&gt;"","linkedin",CB436&amp;""))))</f>
        <v/>
      </c>
      <c r="J436" s="0" t="str">
        <f aca="false">IF($A436="","",IF(CN436="pass",ROUND(N(EM436)+N(EN436)+N(EO436)+N(EP436)+N(EQ436)+N(ER436),1),0))</f>
        <v/>
      </c>
      <c r="K436" s="0" t="str">
        <f aca="false">IF($A436="","",IF(CN436&lt;&gt;"pass",CA436&amp;"",CA436&amp;"; "&amp;IF(AW436="Y",BZ436&amp;"",BL436&amp;"")&amp;IF(R436="Y","; known to the founder (+15)","")&amp;"."))</f>
        <v/>
      </c>
      <c r="R436" s="5"/>
      <c r="U436" s="5"/>
      <c r="Y436" s="0" t="str">
        <f aca="false">IF(FX436&lt;&gt;"Y","",COUNTIFS($FX$2:$FX$1000,"Y",$J$2:$J$1000,"&gt;"&amp;J436)+COUNTIFS($FX$2:$FX$1000,"Y",$J$2:$J$1000,J436,$GD$2:$GD$1000,"&lt;"&amp;GD436)+1)</f>
        <v/>
      </c>
      <c r="AB436" s="0" t="str">
        <f aca="false">IF($A436="","",IF(AW436="Y",BY436&amp;"",BK436&amp;""))</f>
        <v/>
      </c>
      <c r="AC436" s="0" t="str">
        <f aca="false">IF($A436="","",IF(AW436="Y",BS436&amp;"",BE436&amp;""))</f>
        <v/>
      </c>
      <c r="AD436" s="0" t="str">
        <f aca="false">IF($A436="","",IF(AW436="Y",BT436&amp;"",BF436&amp;""))</f>
        <v/>
      </c>
      <c r="AE436" s="0" t="str">
        <f aca="false">IF($A436="","",IF(AW436="Y",BU436&amp;"",BG436&amp;""))</f>
        <v/>
      </c>
      <c r="AF436" s="0" t="str">
        <f aca="false">IF($A436="","",IF(AW436="Y",BV436&amp;"",BH436&amp;""))</f>
        <v/>
      </c>
      <c r="AG436" s="0" t="str">
        <f aca="false">IF($A436="","",IF(AW436="Y",BW436&amp;"",BI436&amp;""))</f>
        <v/>
      </c>
      <c r="AH436" s="0" t="str">
        <f aca="false">IF($A436="","",IF(AW436="Y",BX436&amp;"",BJ436&amp;""))</f>
        <v/>
      </c>
      <c r="AQ436" s="5"/>
      <c r="AT436" s="0" t="str">
        <f aca="false">IF($A436="","",IF(AND(CN436="pass",AQ436&lt;&gt;"Y",C436&lt;&gt;"",OR(AX436&lt;&gt;"Y",AV436="Y")),"Y","N"))</f>
        <v/>
      </c>
      <c r="AU436" s="0" t="str">
        <f aca="false">IF($A436="","",_xlfn.TEXTJOIN("; ",TRUE(),IF(CN436&lt;&gt;"pass","gated out",""),IF(AQ436="Y","on hold: "&amp;AR436,""),IF(C436="","no contact named on an opened page",""),IF(AND(AX436="Y",AV436&lt;&gt;"Y"),"Tuesday estimate band "&amp;L436&amp;": founder's call","")))</f>
        <v/>
      </c>
      <c r="BC436" s="0" t="str">
        <f aca="false">IF($A436="","",IFERROR(INDEX(Enrichment!$A$2:$GZ$2000,MATCH($A436,INDEX(Enrichment!$A$2:$GZ$2000,0,MATCH("row_id",Enrichment!$A$1:$GZ$1,0)),0),MATCH("work_email",Enrichment!$A$1:$GZ$1,0))&amp;"",""))</f>
        <v/>
      </c>
      <c r="BD436" s="0" t="str">
        <f aca="false">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Q436" s="0" t="str">
        <f aca="false">IF($A436="","",IFERROR(INDEX(Enrichment!$A$2:$GZ$2000,MATCH($A436,INDEX(Enrichment!$A$2:$GZ$2000,0,MATCH("row_id",Enrichment!$A$1:$GZ$1,0)),0),MATCH("backup_work_email",Enrichment!$A$1:$GZ$1,0))&amp;"",""))</f>
        <v/>
      </c>
      <c r="BR436" s="0" t="str">
        <f aca="false">IF($A436="","",IF(BQ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EQ436" s="0" t="str">
        <f aca="false">IF($A436="","",IF(AH436="exact",10,IF(AH436="adjacent",5,0)))</f>
        <v/>
      </c>
      <c r="ER436" s="0" t="str">
        <f aca="false">IF($A436="","",IF(R436="Y",15,0))</f>
        <v/>
      </c>
      <c r="FS436" s="0" t="str">
        <f aca="false">IF($A436="","",IF(ISNUMBER(MATCH(U436,{"queued","contacted","replied","call_booked","call_done","yes_in_principle","materials_sent"},0)),"Y","N"))</f>
        <v/>
      </c>
      <c r="FT436" s="0" t="str">
        <f aca="false">IF($A436="","",IF(OR(T436="Y",U436="do_not_contact",AS436&amp;""&lt;&gt;""),"Y","N"))</f>
        <v/>
      </c>
      <c r="FU436" s="0" t="str">
        <f aca="false">IF($A436="","",IF(AP436&amp;""&lt;&gt;"",AP436&amp;"",$A436))</f>
        <v/>
      </c>
      <c r="FV436" s="0" t="str">
        <f aca="false">IF($A436="","",IF(COUNTIFS($FU$2:$FU$1000,FU436,$FS$2:$FS$1000,"Y")+COUNTIFS($FU$2:$FU$1000,FU436,$FT$2:$FT$1000,"Y")&gt;0,"Y","N"))</f>
        <v/>
      </c>
      <c r="FW436" s="0" t="str">
        <f aca="false">IF($A436="","",IF(AND(U436="new",T436="N",FT436="N",AT436="Y",FV436="N"),"Y","N"))</f>
        <v/>
      </c>
      <c r="FX436" s="0" t="str">
        <f aca="false">IF($A436="","",IF(FW436&lt;&gt;"Y","N",IF(COUNTIFS($FU$2:$FU$1000,FU436,$FW$2:$FW$1000,"Y",$J$2:$J$1000,"&gt;"&amp;J436)+COUNTIFS($FU$2:$FU$1000,FU436,$FW$2:$FW$1000,"Y",$J$2:$J$1000,J436,$GD$2:$GD$1000,"&lt;"&amp;GD436)=0,"Y","N")))</f>
        <v/>
      </c>
      <c r="FY436" s="0" t="str">
        <f aca="false">IF($A436="","",IF(AND(FW436="Y",FX436="Y",Y436&amp;""&lt;&gt;""),IF(Y436&lt;=10,"Y","N"),"N"))</f>
        <v/>
      </c>
      <c r="FZ436" s="0" t="str">
        <f aca="false">IF(FY436="Y",Y436,"")</f>
        <v/>
      </c>
      <c r="GA436" s="0" t="str">
        <f aca="false">IF($A436="","",IF(AND(I436="walk-in",CN436="pass",U436="new",FT436="N",FV436="N",AQ436&lt;&gt;"Y"),"Y","N"))</f>
        <v/>
      </c>
      <c r="GB436" s="0" t="str">
        <f aca="false">IF(GA436&lt;&gt;"Y","",IF(COUNTIFS($GA$2:$GA$1000,"Y",$J$2:$J$1000,"&gt;"&amp;J436)+COUNTIFS($GA$2:$GA$1000,"Y",$J$2:$J$1000,J436,$GD$2:$GD$1000,"&lt;"&amp;GD436)+1&lt;=25,COUNTIFS($GA$2:$GA$1000,"Y",$J$2:$J$1000,"&gt;"&amp;J436)+COUNTIFS($GA$2:$GA$1000,"Y",$J$2:$J$1000,J436,$GD$2:$GD$1000,"&lt;"&amp;GD436)+1,""))</f>
        <v/>
      </c>
      <c r="GC436" s="0" t="str">
        <f aca="false">IF(AND(_xlfn.ISFORMULA(C436),_xlfn.ISFORMULA(J436)),"Y","N")</f>
        <v>Y</v>
      </c>
      <c r="GD436" s="0" t="n">
        <f aca="false">ROW()-1</f>
        <v>435</v>
      </c>
    </row>
    <row r="437" customFormat="false" ht="15" hidden="false" customHeight="false" outlineLevel="0" collapsed="false">
      <c r="C437" s="0" t="str">
        <f aca="false">IF($A437="","",IF(AW437="Y",BM437&amp;"",AY437&amp;""))</f>
        <v/>
      </c>
      <c r="D437" s="0" t="str">
        <f aca="false">IF($A437="","",IF(AW437="Y",BN437&amp;"",AZ437&amp;""))</f>
        <v/>
      </c>
      <c r="E437" s="0" t="str">
        <f aca="false">IF($A437="","",IF(AW437="Y",BO437&amp;"",BA437&amp;""))</f>
        <v/>
      </c>
      <c r="F437" s="0" t="str">
        <f aca="false">IF($A437="","",IF(AW437="Y",BP437&amp;"",BB437&amp;""))</f>
        <v/>
      </c>
      <c r="G437" s="0" t="str">
        <f aca="false">IF($A437="","",IF(AW437="Y",BQ437&amp;"",BC437&amp;""))</f>
        <v/>
      </c>
      <c r="H437" s="0" t="str">
        <f aca="false">IF($A437="","",IF(AW437="Y",BR437&amp;"",BD437&amp;""))</f>
        <v/>
      </c>
      <c r="I437" s="0" t="str">
        <f aca="false">IF($A437="","",IF(R437="Y","warm-intro",IF(H437="verified","email",IF(C437&lt;&gt;"","linkedin",CB437&amp;""))))</f>
        <v/>
      </c>
      <c r="J437" s="0" t="str">
        <f aca="false">IF($A437="","",IF(CN437="pass",ROUND(N(EM437)+N(EN437)+N(EO437)+N(EP437)+N(EQ437)+N(ER437),1),0))</f>
        <v/>
      </c>
      <c r="K437" s="0" t="str">
        <f aca="false">IF($A437="","",IF(CN437&lt;&gt;"pass",CA437&amp;"",CA437&amp;"; "&amp;IF(AW437="Y",BZ437&amp;"",BL437&amp;"")&amp;IF(R437="Y","; known to the founder (+15)","")&amp;"."))</f>
        <v/>
      </c>
      <c r="R437" s="5"/>
      <c r="U437" s="5"/>
      <c r="Y437" s="0" t="str">
        <f aca="false">IF(FX437&lt;&gt;"Y","",COUNTIFS($FX$2:$FX$1000,"Y",$J$2:$J$1000,"&gt;"&amp;J437)+COUNTIFS($FX$2:$FX$1000,"Y",$J$2:$J$1000,J437,$GD$2:$GD$1000,"&lt;"&amp;GD437)+1)</f>
        <v/>
      </c>
      <c r="AB437" s="0" t="str">
        <f aca="false">IF($A437="","",IF(AW437="Y",BY437&amp;"",BK437&amp;""))</f>
        <v/>
      </c>
      <c r="AC437" s="0" t="str">
        <f aca="false">IF($A437="","",IF(AW437="Y",BS437&amp;"",BE437&amp;""))</f>
        <v/>
      </c>
      <c r="AD437" s="0" t="str">
        <f aca="false">IF($A437="","",IF(AW437="Y",BT437&amp;"",BF437&amp;""))</f>
        <v/>
      </c>
      <c r="AE437" s="0" t="str">
        <f aca="false">IF($A437="","",IF(AW437="Y",BU437&amp;"",BG437&amp;""))</f>
        <v/>
      </c>
      <c r="AF437" s="0" t="str">
        <f aca="false">IF($A437="","",IF(AW437="Y",BV437&amp;"",BH437&amp;""))</f>
        <v/>
      </c>
      <c r="AG437" s="0" t="str">
        <f aca="false">IF($A437="","",IF(AW437="Y",BW437&amp;"",BI437&amp;""))</f>
        <v/>
      </c>
      <c r="AH437" s="0" t="str">
        <f aca="false">IF($A437="","",IF(AW437="Y",BX437&amp;"",BJ437&amp;""))</f>
        <v/>
      </c>
      <c r="AQ437" s="5"/>
      <c r="AT437" s="0" t="str">
        <f aca="false">IF($A437="","",IF(AND(CN437="pass",AQ437&lt;&gt;"Y",C437&lt;&gt;"",OR(AX437&lt;&gt;"Y",AV437="Y")),"Y","N"))</f>
        <v/>
      </c>
      <c r="AU437" s="0" t="str">
        <f aca="false">IF($A437="","",_xlfn.TEXTJOIN("; ",TRUE(),IF(CN437&lt;&gt;"pass","gated out",""),IF(AQ437="Y","on hold: "&amp;AR437,""),IF(C437="","no contact named on an opened page",""),IF(AND(AX437="Y",AV437&lt;&gt;"Y"),"Tuesday estimate band "&amp;L437&amp;": founder's call","")))</f>
        <v/>
      </c>
      <c r="BC437" s="0" t="str">
        <f aca="false">IF($A437="","",IFERROR(INDEX(Enrichment!$A$2:$GZ$2000,MATCH($A437,INDEX(Enrichment!$A$2:$GZ$2000,0,MATCH("row_id",Enrichment!$A$1:$GZ$1,0)),0),MATCH("work_email",Enrichment!$A$1:$GZ$1,0))&amp;"",""))</f>
        <v/>
      </c>
      <c r="BD437" s="0" t="str">
        <f aca="false">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Q437" s="0" t="str">
        <f aca="false">IF($A437="","",IFERROR(INDEX(Enrichment!$A$2:$GZ$2000,MATCH($A437,INDEX(Enrichment!$A$2:$GZ$2000,0,MATCH("row_id",Enrichment!$A$1:$GZ$1,0)),0),MATCH("backup_work_email",Enrichment!$A$1:$GZ$1,0))&amp;"",""))</f>
        <v/>
      </c>
      <c r="BR437" s="0" t="str">
        <f aca="false">IF($A437="","",IF(BQ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EQ437" s="0" t="str">
        <f aca="false">IF($A437="","",IF(AH437="exact",10,IF(AH437="adjacent",5,0)))</f>
        <v/>
      </c>
      <c r="ER437" s="0" t="str">
        <f aca="false">IF($A437="","",IF(R437="Y",15,0))</f>
        <v/>
      </c>
      <c r="FS437" s="0" t="str">
        <f aca="false">IF($A437="","",IF(ISNUMBER(MATCH(U437,{"queued","contacted","replied","call_booked","call_done","yes_in_principle","materials_sent"},0)),"Y","N"))</f>
        <v/>
      </c>
      <c r="FT437" s="0" t="str">
        <f aca="false">IF($A437="","",IF(OR(T437="Y",U437="do_not_contact",AS437&amp;""&lt;&gt;""),"Y","N"))</f>
        <v/>
      </c>
      <c r="FU437" s="0" t="str">
        <f aca="false">IF($A437="","",IF(AP437&amp;""&lt;&gt;"",AP437&amp;"",$A437))</f>
        <v/>
      </c>
      <c r="FV437" s="0" t="str">
        <f aca="false">IF($A437="","",IF(COUNTIFS($FU$2:$FU$1000,FU437,$FS$2:$FS$1000,"Y")+COUNTIFS($FU$2:$FU$1000,FU437,$FT$2:$FT$1000,"Y")&gt;0,"Y","N"))</f>
        <v/>
      </c>
      <c r="FW437" s="0" t="str">
        <f aca="false">IF($A437="","",IF(AND(U437="new",T437="N",FT437="N",AT437="Y",FV437="N"),"Y","N"))</f>
        <v/>
      </c>
      <c r="FX437" s="0" t="str">
        <f aca="false">IF($A437="","",IF(FW437&lt;&gt;"Y","N",IF(COUNTIFS($FU$2:$FU$1000,FU437,$FW$2:$FW$1000,"Y",$J$2:$J$1000,"&gt;"&amp;J437)+COUNTIFS($FU$2:$FU$1000,FU437,$FW$2:$FW$1000,"Y",$J$2:$J$1000,J437,$GD$2:$GD$1000,"&lt;"&amp;GD437)=0,"Y","N")))</f>
        <v/>
      </c>
      <c r="FY437" s="0" t="str">
        <f aca="false">IF($A437="","",IF(AND(FW437="Y",FX437="Y",Y437&amp;""&lt;&gt;""),IF(Y437&lt;=10,"Y","N"),"N"))</f>
        <v/>
      </c>
      <c r="FZ437" s="0" t="str">
        <f aca="false">IF(FY437="Y",Y437,"")</f>
        <v/>
      </c>
      <c r="GA437" s="0" t="str">
        <f aca="false">IF($A437="","",IF(AND(I437="walk-in",CN437="pass",U437="new",FT437="N",FV437="N",AQ437&lt;&gt;"Y"),"Y","N"))</f>
        <v/>
      </c>
      <c r="GB437" s="0" t="str">
        <f aca="false">IF(GA437&lt;&gt;"Y","",IF(COUNTIFS($GA$2:$GA$1000,"Y",$J$2:$J$1000,"&gt;"&amp;J437)+COUNTIFS($GA$2:$GA$1000,"Y",$J$2:$J$1000,J437,$GD$2:$GD$1000,"&lt;"&amp;GD437)+1&lt;=25,COUNTIFS($GA$2:$GA$1000,"Y",$J$2:$J$1000,"&gt;"&amp;J437)+COUNTIFS($GA$2:$GA$1000,"Y",$J$2:$J$1000,J437,$GD$2:$GD$1000,"&lt;"&amp;GD437)+1,""))</f>
        <v/>
      </c>
      <c r="GC437" s="0" t="str">
        <f aca="false">IF(AND(_xlfn.ISFORMULA(C437),_xlfn.ISFORMULA(J437)),"Y","N")</f>
        <v>Y</v>
      </c>
      <c r="GD437" s="0" t="n">
        <f aca="false">ROW()-1</f>
        <v>436</v>
      </c>
    </row>
    <row r="438" customFormat="false" ht="15" hidden="false" customHeight="false" outlineLevel="0" collapsed="false">
      <c r="C438" s="0" t="str">
        <f aca="false">IF($A438="","",IF(AW438="Y",BM438&amp;"",AY438&amp;""))</f>
        <v/>
      </c>
      <c r="D438" s="0" t="str">
        <f aca="false">IF($A438="","",IF(AW438="Y",BN438&amp;"",AZ438&amp;""))</f>
        <v/>
      </c>
      <c r="E438" s="0" t="str">
        <f aca="false">IF($A438="","",IF(AW438="Y",BO438&amp;"",BA438&amp;""))</f>
        <v/>
      </c>
      <c r="F438" s="0" t="str">
        <f aca="false">IF($A438="","",IF(AW438="Y",BP438&amp;"",BB438&amp;""))</f>
        <v/>
      </c>
      <c r="G438" s="0" t="str">
        <f aca="false">IF($A438="","",IF(AW438="Y",BQ438&amp;"",BC438&amp;""))</f>
        <v/>
      </c>
      <c r="H438" s="0" t="str">
        <f aca="false">IF($A438="","",IF(AW438="Y",BR438&amp;"",BD438&amp;""))</f>
        <v/>
      </c>
      <c r="I438" s="0" t="str">
        <f aca="false">IF($A438="","",IF(R438="Y","warm-intro",IF(H438="verified","email",IF(C438&lt;&gt;"","linkedin",CB438&amp;""))))</f>
        <v/>
      </c>
      <c r="J438" s="0" t="str">
        <f aca="false">IF($A438="","",IF(CN438="pass",ROUND(N(EM438)+N(EN438)+N(EO438)+N(EP438)+N(EQ438)+N(ER438),1),0))</f>
        <v/>
      </c>
      <c r="K438" s="0" t="str">
        <f aca="false">IF($A438="","",IF(CN438&lt;&gt;"pass",CA438&amp;"",CA438&amp;"; "&amp;IF(AW438="Y",BZ438&amp;"",BL438&amp;"")&amp;IF(R438="Y","; known to the founder (+15)","")&amp;"."))</f>
        <v/>
      </c>
      <c r="R438" s="5"/>
      <c r="U438" s="5"/>
      <c r="Y438" s="0" t="str">
        <f aca="false">IF(FX438&lt;&gt;"Y","",COUNTIFS($FX$2:$FX$1000,"Y",$J$2:$J$1000,"&gt;"&amp;J438)+COUNTIFS($FX$2:$FX$1000,"Y",$J$2:$J$1000,J438,$GD$2:$GD$1000,"&lt;"&amp;GD438)+1)</f>
        <v/>
      </c>
      <c r="AB438" s="0" t="str">
        <f aca="false">IF($A438="","",IF(AW438="Y",BY438&amp;"",BK438&amp;""))</f>
        <v/>
      </c>
      <c r="AC438" s="0" t="str">
        <f aca="false">IF($A438="","",IF(AW438="Y",BS438&amp;"",BE438&amp;""))</f>
        <v/>
      </c>
      <c r="AD438" s="0" t="str">
        <f aca="false">IF($A438="","",IF(AW438="Y",BT438&amp;"",BF438&amp;""))</f>
        <v/>
      </c>
      <c r="AE438" s="0" t="str">
        <f aca="false">IF($A438="","",IF(AW438="Y",BU438&amp;"",BG438&amp;""))</f>
        <v/>
      </c>
      <c r="AF438" s="0" t="str">
        <f aca="false">IF($A438="","",IF(AW438="Y",BV438&amp;"",BH438&amp;""))</f>
        <v/>
      </c>
      <c r="AG438" s="0" t="str">
        <f aca="false">IF($A438="","",IF(AW438="Y",BW438&amp;"",BI438&amp;""))</f>
        <v/>
      </c>
      <c r="AH438" s="0" t="str">
        <f aca="false">IF($A438="","",IF(AW438="Y",BX438&amp;"",BJ438&amp;""))</f>
        <v/>
      </c>
      <c r="AQ438" s="5"/>
      <c r="AT438" s="0" t="str">
        <f aca="false">IF($A438="","",IF(AND(CN438="pass",AQ438&lt;&gt;"Y",C438&lt;&gt;"",OR(AX438&lt;&gt;"Y",AV438="Y")),"Y","N"))</f>
        <v/>
      </c>
      <c r="AU438" s="0" t="str">
        <f aca="false">IF($A438="","",_xlfn.TEXTJOIN("; ",TRUE(),IF(CN438&lt;&gt;"pass","gated out",""),IF(AQ438="Y","on hold: "&amp;AR438,""),IF(C438="","no contact named on an opened page",""),IF(AND(AX438="Y",AV438&lt;&gt;"Y"),"Tuesday estimate band "&amp;L438&amp;": founder's call","")))</f>
        <v/>
      </c>
      <c r="BC438" s="0" t="str">
        <f aca="false">IF($A438="","",IFERROR(INDEX(Enrichment!$A$2:$GZ$2000,MATCH($A438,INDEX(Enrichment!$A$2:$GZ$2000,0,MATCH("row_id",Enrichment!$A$1:$GZ$1,0)),0),MATCH("work_email",Enrichment!$A$1:$GZ$1,0))&amp;"",""))</f>
        <v/>
      </c>
      <c r="BD438" s="0" t="str">
        <f aca="false">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Q438" s="0" t="str">
        <f aca="false">IF($A438="","",IFERROR(INDEX(Enrichment!$A$2:$GZ$2000,MATCH($A438,INDEX(Enrichment!$A$2:$GZ$2000,0,MATCH("row_id",Enrichment!$A$1:$GZ$1,0)),0),MATCH("backup_work_email",Enrichment!$A$1:$GZ$1,0))&amp;"",""))</f>
        <v/>
      </c>
      <c r="BR438" s="0" t="str">
        <f aca="false">IF($A438="","",IF(BQ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EQ438" s="0" t="str">
        <f aca="false">IF($A438="","",IF(AH438="exact",10,IF(AH438="adjacent",5,0)))</f>
        <v/>
      </c>
      <c r="ER438" s="0" t="str">
        <f aca="false">IF($A438="","",IF(R438="Y",15,0))</f>
        <v/>
      </c>
      <c r="FS438" s="0" t="str">
        <f aca="false">IF($A438="","",IF(ISNUMBER(MATCH(U438,{"queued","contacted","replied","call_booked","call_done","yes_in_principle","materials_sent"},0)),"Y","N"))</f>
        <v/>
      </c>
      <c r="FT438" s="0" t="str">
        <f aca="false">IF($A438="","",IF(OR(T438="Y",U438="do_not_contact",AS438&amp;""&lt;&gt;""),"Y","N"))</f>
        <v/>
      </c>
      <c r="FU438" s="0" t="str">
        <f aca="false">IF($A438="","",IF(AP438&amp;""&lt;&gt;"",AP438&amp;"",$A438))</f>
        <v/>
      </c>
      <c r="FV438" s="0" t="str">
        <f aca="false">IF($A438="","",IF(COUNTIFS($FU$2:$FU$1000,FU438,$FS$2:$FS$1000,"Y")+COUNTIFS($FU$2:$FU$1000,FU438,$FT$2:$FT$1000,"Y")&gt;0,"Y","N"))</f>
        <v/>
      </c>
      <c r="FW438" s="0" t="str">
        <f aca="false">IF($A438="","",IF(AND(U438="new",T438="N",FT438="N",AT438="Y",FV438="N"),"Y","N"))</f>
        <v/>
      </c>
      <c r="FX438" s="0" t="str">
        <f aca="false">IF($A438="","",IF(FW438&lt;&gt;"Y","N",IF(COUNTIFS($FU$2:$FU$1000,FU438,$FW$2:$FW$1000,"Y",$J$2:$J$1000,"&gt;"&amp;J438)+COUNTIFS($FU$2:$FU$1000,FU438,$FW$2:$FW$1000,"Y",$J$2:$J$1000,J438,$GD$2:$GD$1000,"&lt;"&amp;GD438)=0,"Y","N")))</f>
        <v/>
      </c>
      <c r="FY438" s="0" t="str">
        <f aca="false">IF($A438="","",IF(AND(FW438="Y",FX438="Y",Y438&amp;""&lt;&gt;""),IF(Y438&lt;=10,"Y","N"),"N"))</f>
        <v/>
      </c>
      <c r="FZ438" s="0" t="str">
        <f aca="false">IF(FY438="Y",Y438,"")</f>
        <v/>
      </c>
      <c r="GA438" s="0" t="str">
        <f aca="false">IF($A438="","",IF(AND(I438="walk-in",CN438="pass",U438="new",FT438="N",FV438="N",AQ438&lt;&gt;"Y"),"Y","N"))</f>
        <v/>
      </c>
      <c r="GB438" s="0" t="str">
        <f aca="false">IF(GA438&lt;&gt;"Y","",IF(COUNTIFS($GA$2:$GA$1000,"Y",$J$2:$J$1000,"&gt;"&amp;J438)+COUNTIFS($GA$2:$GA$1000,"Y",$J$2:$J$1000,J438,$GD$2:$GD$1000,"&lt;"&amp;GD438)+1&lt;=25,COUNTIFS($GA$2:$GA$1000,"Y",$J$2:$J$1000,"&gt;"&amp;J438)+COUNTIFS($GA$2:$GA$1000,"Y",$J$2:$J$1000,J438,$GD$2:$GD$1000,"&lt;"&amp;GD438)+1,""))</f>
        <v/>
      </c>
      <c r="GC438" s="0" t="str">
        <f aca="false">IF(AND(_xlfn.ISFORMULA(C438),_xlfn.ISFORMULA(J438)),"Y","N")</f>
        <v>Y</v>
      </c>
      <c r="GD438" s="0" t="n">
        <f aca="false">ROW()-1</f>
        <v>437</v>
      </c>
    </row>
    <row r="439" customFormat="false" ht="15" hidden="false" customHeight="false" outlineLevel="0" collapsed="false">
      <c r="C439" s="0" t="str">
        <f aca="false">IF($A439="","",IF(AW439="Y",BM439&amp;"",AY439&amp;""))</f>
        <v/>
      </c>
      <c r="D439" s="0" t="str">
        <f aca="false">IF($A439="","",IF(AW439="Y",BN439&amp;"",AZ439&amp;""))</f>
        <v/>
      </c>
      <c r="E439" s="0" t="str">
        <f aca="false">IF($A439="","",IF(AW439="Y",BO439&amp;"",BA439&amp;""))</f>
        <v/>
      </c>
      <c r="F439" s="0" t="str">
        <f aca="false">IF($A439="","",IF(AW439="Y",BP439&amp;"",BB439&amp;""))</f>
        <v/>
      </c>
      <c r="G439" s="0" t="str">
        <f aca="false">IF($A439="","",IF(AW439="Y",BQ439&amp;"",BC439&amp;""))</f>
        <v/>
      </c>
      <c r="H439" s="0" t="str">
        <f aca="false">IF($A439="","",IF(AW439="Y",BR439&amp;"",BD439&amp;""))</f>
        <v/>
      </c>
      <c r="I439" s="0" t="str">
        <f aca="false">IF($A439="","",IF(R439="Y","warm-intro",IF(H439="verified","email",IF(C439&lt;&gt;"","linkedin",CB439&amp;""))))</f>
        <v/>
      </c>
      <c r="J439" s="0" t="str">
        <f aca="false">IF($A439="","",IF(CN439="pass",ROUND(N(EM439)+N(EN439)+N(EO439)+N(EP439)+N(EQ439)+N(ER439),1),0))</f>
        <v/>
      </c>
      <c r="K439" s="0" t="str">
        <f aca="false">IF($A439="","",IF(CN439&lt;&gt;"pass",CA439&amp;"",CA439&amp;"; "&amp;IF(AW439="Y",BZ439&amp;"",BL439&amp;"")&amp;IF(R439="Y","; known to the founder (+15)","")&amp;"."))</f>
        <v/>
      </c>
      <c r="R439" s="5"/>
      <c r="U439" s="5"/>
      <c r="Y439" s="0" t="str">
        <f aca="false">IF(FX439&lt;&gt;"Y","",COUNTIFS($FX$2:$FX$1000,"Y",$J$2:$J$1000,"&gt;"&amp;J439)+COUNTIFS($FX$2:$FX$1000,"Y",$J$2:$J$1000,J439,$GD$2:$GD$1000,"&lt;"&amp;GD439)+1)</f>
        <v/>
      </c>
      <c r="AB439" s="0" t="str">
        <f aca="false">IF($A439="","",IF(AW439="Y",BY439&amp;"",BK439&amp;""))</f>
        <v/>
      </c>
      <c r="AC439" s="0" t="str">
        <f aca="false">IF($A439="","",IF(AW439="Y",BS439&amp;"",BE439&amp;""))</f>
        <v/>
      </c>
      <c r="AD439" s="0" t="str">
        <f aca="false">IF($A439="","",IF(AW439="Y",BT439&amp;"",BF439&amp;""))</f>
        <v/>
      </c>
      <c r="AE439" s="0" t="str">
        <f aca="false">IF($A439="","",IF(AW439="Y",BU439&amp;"",BG439&amp;""))</f>
        <v/>
      </c>
      <c r="AF439" s="0" t="str">
        <f aca="false">IF($A439="","",IF(AW439="Y",BV439&amp;"",BH439&amp;""))</f>
        <v/>
      </c>
      <c r="AG439" s="0" t="str">
        <f aca="false">IF($A439="","",IF(AW439="Y",BW439&amp;"",BI439&amp;""))</f>
        <v/>
      </c>
      <c r="AH439" s="0" t="str">
        <f aca="false">IF($A439="","",IF(AW439="Y",BX439&amp;"",BJ439&amp;""))</f>
        <v/>
      </c>
      <c r="AQ439" s="5"/>
      <c r="AT439" s="0" t="str">
        <f aca="false">IF($A439="","",IF(AND(CN439="pass",AQ439&lt;&gt;"Y",C439&lt;&gt;"",OR(AX439&lt;&gt;"Y",AV439="Y")),"Y","N"))</f>
        <v/>
      </c>
      <c r="AU439" s="0" t="str">
        <f aca="false">IF($A439="","",_xlfn.TEXTJOIN("; ",TRUE(),IF(CN439&lt;&gt;"pass","gated out",""),IF(AQ439="Y","on hold: "&amp;AR439,""),IF(C439="","no contact named on an opened page",""),IF(AND(AX439="Y",AV439&lt;&gt;"Y"),"Tuesday estimate band "&amp;L439&amp;": founder's call","")))</f>
        <v/>
      </c>
      <c r="BC439" s="0" t="str">
        <f aca="false">IF($A439="","",IFERROR(INDEX(Enrichment!$A$2:$GZ$2000,MATCH($A439,INDEX(Enrichment!$A$2:$GZ$2000,0,MATCH("row_id",Enrichment!$A$1:$GZ$1,0)),0),MATCH("work_email",Enrichment!$A$1:$GZ$1,0))&amp;"",""))</f>
        <v/>
      </c>
      <c r="BD439" s="0" t="str">
        <f aca="false">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Q439" s="0" t="str">
        <f aca="false">IF($A439="","",IFERROR(INDEX(Enrichment!$A$2:$GZ$2000,MATCH($A439,INDEX(Enrichment!$A$2:$GZ$2000,0,MATCH("row_id",Enrichment!$A$1:$GZ$1,0)),0),MATCH("backup_work_email",Enrichment!$A$1:$GZ$1,0))&amp;"",""))</f>
        <v/>
      </c>
      <c r="BR439" s="0" t="str">
        <f aca="false">IF($A439="","",IF(BQ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EQ439" s="0" t="str">
        <f aca="false">IF($A439="","",IF(AH439="exact",10,IF(AH439="adjacent",5,0)))</f>
        <v/>
      </c>
      <c r="ER439" s="0" t="str">
        <f aca="false">IF($A439="","",IF(R439="Y",15,0))</f>
        <v/>
      </c>
      <c r="FS439" s="0" t="str">
        <f aca="false">IF($A439="","",IF(ISNUMBER(MATCH(U439,{"queued","contacted","replied","call_booked","call_done","yes_in_principle","materials_sent"},0)),"Y","N"))</f>
        <v/>
      </c>
      <c r="FT439" s="0" t="str">
        <f aca="false">IF($A439="","",IF(OR(T439="Y",U439="do_not_contact",AS439&amp;""&lt;&gt;""),"Y","N"))</f>
        <v/>
      </c>
      <c r="FU439" s="0" t="str">
        <f aca="false">IF($A439="","",IF(AP439&amp;""&lt;&gt;"",AP439&amp;"",$A439))</f>
        <v/>
      </c>
      <c r="FV439" s="0" t="str">
        <f aca="false">IF($A439="","",IF(COUNTIFS($FU$2:$FU$1000,FU439,$FS$2:$FS$1000,"Y")+COUNTIFS($FU$2:$FU$1000,FU439,$FT$2:$FT$1000,"Y")&gt;0,"Y","N"))</f>
        <v/>
      </c>
      <c r="FW439" s="0" t="str">
        <f aca="false">IF($A439="","",IF(AND(U439="new",T439="N",FT439="N",AT439="Y",FV439="N"),"Y","N"))</f>
        <v/>
      </c>
      <c r="FX439" s="0" t="str">
        <f aca="false">IF($A439="","",IF(FW439&lt;&gt;"Y","N",IF(COUNTIFS($FU$2:$FU$1000,FU439,$FW$2:$FW$1000,"Y",$J$2:$J$1000,"&gt;"&amp;J439)+COUNTIFS($FU$2:$FU$1000,FU439,$FW$2:$FW$1000,"Y",$J$2:$J$1000,J439,$GD$2:$GD$1000,"&lt;"&amp;GD439)=0,"Y","N")))</f>
        <v/>
      </c>
      <c r="FY439" s="0" t="str">
        <f aca="false">IF($A439="","",IF(AND(FW439="Y",FX439="Y",Y439&amp;""&lt;&gt;""),IF(Y439&lt;=10,"Y","N"),"N"))</f>
        <v/>
      </c>
      <c r="FZ439" s="0" t="str">
        <f aca="false">IF(FY439="Y",Y439,"")</f>
        <v/>
      </c>
      <c r="GA439" s="0" t="str">
        <f aca="false">IF($A439="","",IF(AND(I439="walk-in",CN439="pass",U439="new",FT439="N",FV439="N",AQ439&lt;&gt;"Y"),"Y","N"))</f>
        <v/>
      </c>
      <c r="GB439" s="0" t="str">
        <f aca="false">IF(GA439&lt;&gt;"Y","",IF(COUNTIFS($GA$2:$GA$1000,"Y",$J$2:$J$1000,"&gt;"&amp;J439)+COUNTIFS($GA$2:$GA$1000,"Y",$J$2:$J$1000,J439,$GD$2:$GD$1000,"&lt;"&amp;GD439)+1&lt;=25,COUNTIFS($GA$2:$GA$1000,"Y",$J$2:$J$1000,"&gt;"&amp;J439)+COUNTIFS($GA$2:$GA$1000,"Y",$J$2:$J$1000,J439,$GD$2:$GD$1000,"&lt;"&amp;GD439)+1,""))</f>
        <v/>
      </c>
      <c r="GC439" s="0" t="str">
        <f aca="false">IF(AND(_xlfn.ISFORMULA(C439),_xlfn.ISFORMULA(J439)),"Y","N")</f>
        <v>Y</v>
      </c>
      <c r="GD439" s="0" t="n">
        <f aca="false">ROW()-1</f>
        <v>438</v>
      </c>
    </row>
    <row r="440" customFormat="false" ht="15" hidden="false" customHeight="false" outlineLevel="0" collapsed="false">
      <c r="C440" s="0" t="str">
        <f aca="false">IF($A440="","",IF(AW440="Y",BM440&amp;"",AY440&amp;""))</f>
        <v/>
      </c>
      <c r="D440" s="0" t="str">
        <f aca="false">IF($A440="","",IF(AW440="Y",BN440&amp;"",AZ440&amp;""))</f>
        <v/>
      </c>
      <c r="E440" s="0" t="str">
        <f aca="false">IF($A440="","",IF(AW440="Y",BO440&amp;"",BA440&amp;""))</f>
        <v/>
      </c>
      <c r="F440" s="0" t="str">
        <f aca="false">IF($A440="","",IF(AW440="Y",BP440&amp;"",BB440&amp;""))</f>
        <v/>
      </c>
      <c r="G440" s="0" t="str">
        <f aca="false">IF($A440="","",IF(AW440="Y",BQ440&amp;"",BC440&amp;""))</f>
        <v/>
      </c>
      <c r="H440" s="0" t="str">
        <f aca="false">IF($A440="","",IF(AW440="Y",BR440&amp;"",BD440&amp;""))</f>
        <v/>
      </c>
      <c r="I440" s="0" t="str">
        <f aca="false">IF($A440="","",IF(R440="Y","warm-intro",IF(H440="verified","email",IF(C440&lt;&gt;"","linkedin",CB440&amp;""))))</f>
        <v/>
      </c>
      <c r="J440" s="0" t="str">
        <f aca="false">IF($A440="","",IF(CN440="pass",ROUND(N(EM440)+N(EN440)+N(EO440)+N(EP440)+N(EQ440)+N(ER440),1),0))</f>
        <v/>
      </c>
      <c r="K440" s="0" t="str">
        <f aca="false">IF($A440="","",IF(CN440&lt;&gt;"pass",CA440&amp;"",CA440&amp;"; "&amp;IF(AW440="Y",BZ440&amp;"",BL440&amp;"")&amp;IF(R440="Y","; known to the founder (+15)","")&amp;"."))</f>
        <v/>
      </c>
      <c r="R440" s="5"/>
      <c r="U440" s="5"/>
      <c r="Y440" s="0" t="str">
        <f aca="false">IF(FX440&lt;&gt;"Y","",COUNTIFS($FX$2:$FX$1000,"Y",$J$2:$J$1000,"&gt;"&amp;J440)+COUNTIFS($FX$2:$FX$1000,"Y",$J$2:$J$1000,J440,$GD$2:$GD$1000,"&lt;"&amp;GD440)+1)</f>
        <v/>
      </c>
      <c r="AB440" s="0" t="str">
        <f aca="false">IF($A440="","",IF(AW440="Y",BY440&amp;"",BK440&amp;""))</f>
        <v/>
      </c>
      <c r="AC440" s="0" t="str">
        <f aca="false">IF($A440="","",IF(AW440="Y",BS440&amp;"",BE440&amp;""))</f>
        <v/>
      </c>
      <c r="AD440" s="0" t="str">
        <f aca="false">IF($A440="","",IF(AW440="Y",BT440&amp;"",BF440&amp;""))</f>
        <v/>
      </c>
      <c r="AE440" s="0" t="str">
        <f aca="false">IF($A440="","",IF(AW440="Y",BU440&amp;"",BG440&amp;""))</f>
        <v/>
      </c>
      <c r="AF440" s="0" t="str">
        <f aca="false">IF($A440="","",IF(AW440="Y",BV440&amp;"",BH440&amp;""))</f>
        <v/>
      </c>
      <c r="AG440" s="0" t="str">
        <f aca="false">IF($A440="","",IF(AW440="Y",BW440&amp;"",BI440&amp;""))</f>
        <v/>
      </c>
      <c r="AH440" s="0" t="str">
        <f aca="false">IF($A440="","",IF(AW440="Y",BX440&amp;"",BJ440&amp;""))</f>
        <v/>
      </c>
      <c r="AQ440" s="5"/>
      <c r="AT440" s="0" t="str">
        <f aca="false">IF($A440="","",IF(AND(CN440="pass",AQ440&lt;&gt;"Y",C440&lt;&gt;"",OR(AX440&lt;&gt;"Y",AV440="Y")),"Y","N"))</f>
        <v/>
      </c>
      <c r="AU440" s="0" t="str">
        <f aca="false">IF($A440="","",_xlfn.TEXTJOIN("; ",TRUE(),IF(CN440&lt;&gt;"pass","gated out",""),IF(AQ440="Y","on hold: "&amp;AR440,""),IF(C440="","no contact named on an opened page",""),IF(AND(AX440="Y",AV440&lt;&gt;"Y"),"Tuesday estimate band "&amp;L440&amp;": founder's call","")))</f>
        <v/>
      </c>
      <c r="BC440" s="0" t="str">
        <f aca="false">IF($A440="","",IFERROR(INDEX(Enrichment!$A$2:$GZ$2000,MATCH($A440,INDEX(Enrichment!$A$2:$GZ$2000,0,MATCH("row_id",Enrichment!$A$1:$GZ$1,0)),0),MATCH("work_email",Enrichment!$A$1:$GZ$1,0))&amp;"",""))</f>
        <v/>
      </c>
      <c r="BD440" s="0" t="str">
        <f aca="false">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Q440" s="0" t="str">
        <f aca="false">IF($A440="","",IFERROR(INDEX(Enrichment!$A$2:$GZ$2000,MATCH($A440,INDEX(Enrichment!$A$2:$GZ$2000,0,MATCH("row_id",Enrichment!$A$1:$GZ$1,0)),0),MATCH("backup_work_email",Enrichment!$A$1:$GZ$1,0))&amp;"",""))</f>
        <v/>
      </c>
      <c r="BR440" s="0" t="str">
        <f aca="false">IF($A440="","",IF(BQ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EQ440" s="0" t="str">
        <f aca="false">IF($A440="","",IF(AH440="exact",10,IF(AH440="adjacent",5,0)))</f>
        <v/>
      </c>
      <c r="ER440" s="0" t="str">
        <f aca="false">IF($A440="","",IF(R440="Y",15,0))</f>
        <v/>
      </c>
      <c r="FS440" s="0" t="str">
        <f aca="false">IF($A440="","",IF(ISNUMBER(MATCH(U440,{"queued","contacted","replied","call_booked","call_done","yes_in_principle","materials_sent"},0)),"Y","N"))</f>
        <v/>
      </c>
      <c r="FT440" s="0" t="str">
        <f aca="false">IF($A440="","",IF(OR(T440="Y",U440="do_not_contact",AS440&amp;""&lt;&gt;""),"Y","N"))</f>
        <v/>
      </c>
      <c r="FU440" s="0" t="str">
        <f aca="false">IF($A440="","",IF(AP440&amp;""&lt;&gt;"",AP440&amp;"",$A440))</f>
        <v/>
      </c>
      <c r="FV440" s="0" t="str">
        <f aca="false">IF($A440="","",IF(COUNTIFS($FU$2:$FU$1000,FU440,$FS$2:$FS$1000,"Y")+COUNTIFS($FU$2:$FU$1000,FU440,$FT$2:$FT$1000,"Y")&gt;0,"Y","N"))</f>
        <v/>
      </c>
      <c r="FW440" s="0" t="str">
        <f aca="false">IF($A440="","",IF(AND(U440="new",T440="N",FT440="N",AT440="Y",FV440="N"),"Y","N"))</f>
        <v/>
      </c>
      <c r="FX440" s="0" t="str">
        <f aca="false">IF($A440="","",IF(FW440&lt;&gt;"Y","N",IF(COUNTIFS($FU$2:$FU$1000,FU440,$FW$2:$FW$1000,"Y",$J$2:$J$1000,"&gt;"&amp;J440)+COUNTIFS($FU$2:$FU$1000,FU440,$FW$2:$FW$1000,"Y",$J$2:$J$1000,J440,$GD$2:$GD$1000,"&lt;"&amp;GD440)=0,"Y","N")))</f>
        <v/>
      </c>
      <c r="FY440" s="0" t="str">
        <f aca="false">IF($A440="","",IF(AND(FW440="Y",FX440="Y",Y440&amp;""&lt;&gt;""),IF(Y440&lt;=10,"Y","N"),"N"))</f>
        <v/>
      </c>
      <c r="FZ440" s="0" t="str">
        <f aca="false">IF(FY440="Y",Y440,"")</f>
        <v/>
      </c>
      <c r="GA440" s="0" t="str">
        <f aca="false">IF($A440="","",IF(AND(I440="walk-in",CN440="pass",U440="new",FT440="N",FV440="N",AQ440&lt;&gt;"Y"),"Y","N"))</f>
        <v/>
      </c>
      <c r="GB440" s="0" t="str">
        <f aca="false">IF(GA440&lt;&gt;"Y","",IF(COUNTIFS($GA$2:$GA$1000,"Y",$J$2:$J$1000,"&gt;"&amp;J440)+COUNTIFS($GA$2:$GA$1000,"Y",$J$2:$J$1000,J440,$GD$2:$GD$1000,"&lt;"&amp;GD440)+1&lt;=25,COUNTIFS($GA$2:$GA$1000,"Y",$J$2:$J$1000,"&gt;"&amp;J440)+COUNTIFS($GA$2:$GA$1000,"Y",$J$2:$J$1000,J440,$GD$2:$GD$1000,"&lt;"&amp;GD440)+1,""))</f>
        <v/>
      </c>
      <c r="GC440" s="0" t="str">
        <f aca="false">IF(AND(_xlfn.ISFORMULA(C440),_xlfn.ISFORMULA(J440)),"Y","N")</f>
        <v>Y</v>
      </c>
      <c r="GD440" s="0" t="n">
        <f aca="false">ROW()-1</f>
        <v>439</v>
      </c>
    </row>
    <row r="441" customFormat="false" ht="15" hidden="false" customHeight="false" outlineLevel="0" collapsed="false">
      <c r="C441" s="0" t="str">
        <f aca="false">IF($A441="","",IF(AW441="Y",BM441&amp;"",AY441&amp;""))</f>
        <v/>
      </c>
      <c r="D441" s="0" t="str">
        <f aca="false">IF($A441="","",IF(AW441="Y",BN441&amp;"",AZ441&amp;""))</f>
        <v/>
      </c>
      <c r="E441" s="0" t="str">
        <f aca="false">IF($A441="","",IF(AW441="Y",BO441&amp;"",BA441&amp;""))</f>
        <v/>
      </c>
      <c r="F441" s="0" t="str">
        <f aca="false">IF($A441="","",IF(AW441="Y",BP441&amp;"",BB441&amp;""))</f>
        <v/>
      </c>
      <c r="G441" s="0" t="str">
        <f aca="false">IF($A441="","",IF(AW441="Y",BQ441&amp;"",BC441&amp;""))</f>
        <v/>
      </c>
      <c r="H441" s="0" t="str">
        <f aca="false">IF($A441="","",IF(AW441="Y",BR441&amp;"",BD441&amp;""))</f>
        <v/>
      </c>
      <c r="I441" s="0" t="str">
        <f aca="false">IF($A441="","",IF(R441="Y","warm-intro",IF(H441="verified","email",IF(C441&lt;&gt;"","linkedin",CB441&amp;""))))</f>
        <v/>
      </c>
      <c r="J441" s="0" t="str">
        <f aca="false">IF($A441="","",IF(CN441="pass",ROUND(N(EM441)+N(EN441)+N(EO441)+N(EP441)+N(EQ441)+N(ER441),1),0))</f>
        <v/>
      </c>
      <c r="K441" s="0" t="str">
        <f aca="false">IF($A441="","",IF(CN441&lt;&gt;"pass",CA441&amp;"",CA441&amp;"; "&amp;IF(AW441="Y",BZ441&amp;"",BL441&amp;"")&amp;IF(R441="Y","; known to the founder (+15)","")&amp;"."))</f>
        <v/>
      </c>
      <c r="R441" s="5"/>
      <c r="U441" s="5"/>
      <c r="Y441" s="0" t="str">
        <f aca="false">IF(FX441&lt;&gt;"Y","",COUNTIFS($FX$2:$FX$1000,"Y",$J$2:$J$1000,"&gt;"&amp;J441)+COUNTIFS($FX$2:$FX$1000,"Y",$J$2:$J$1000,J441,$GD$2:$GD$1000,"&lt;"&amp;GD441)+1)</f>
        <v/>
      </c>
      <c r="AB441" s="0" t="str">
        <f aca="false">IF($A441="","",IF(AW441="Y",BY441&amp;"",BK441&amp;""))</f>
        <v/>
      </c>
      <c r="AC441" s="0" t="str">
        <f aca="false">IF($A441="","",IF(AW441="Y",BS441&amp;"",BE441&amp;""))</f>
        <v/>
      </c>
      <c r="AD441" s="0" t="str">
        <f aca="false">IF($A441="","",IF(AW441="Y",BT441&amp;"",BF441&amp;""))</f>
        <v/>
      </c>
      <c r="AE441" s="0" t="str">
        <f aca="false">IF($A441="","",IF(AW441="Y",BU441&amp;"",BG441&amp;""))</f>
        <v/>
      </c>
      <c r="AF441" s="0" t="str">
        <f aca="false">IF($A441="","",IF(AW441="Y",BV441&amp;"",BH441&amp;""))</f>
        <v/>
      </c>
      <c r="AG441" s="0" t="str">
        <f aca="false">IF($A441="","",IF(AW441="Y",BW441&amp;"",BI441&amp;""))</f>
        <v/>
      </c>
      <c r="AH441" s="0" t="str">
        <f aca="false">IF($A441="","",IF(AW441="Y",BX441&amp;"",BJ441&amp;""))</f>
        <v/>
      </c>
      <c r="AQ441" s="5"/>
      <c r="AT441" s="0" t="str">
        <f aca="false">IF($A441="","",IF(AND(CN441="pass",AQ441&lt;&gt;"Y",C441&lt;&gt;"",OR(AX441&lt;&gt;"Y",AV441="Y")),"Y","N"))</f>
        <v/>
      </c>
      <c r="AU441" s="0" t="str">
        <f aca="false">IF($A441="","",_xlfn.TEXTJOIN("; ",TRUE(),IF(CN441&lt;&gt;"pass","gated out",""),IF(AQ441="Y","on hold: "&amp;AR441,""),IF(C441="","no contact named on an opened page",""),IF(AND(AX441="Y",AV441&lt;&gt;"Y"),"Tuesday estimate band "&amp;L441&amp;": founder's call","")))</f>
        <v/>
      </c>
      <c r="BC441" s="0" t="str">
        <f aca="false">IF($A441="","",IFERROR(INDEX(Enrichment!$A$2:$GZ$2000,MATCH($A441,INDEX(Enrichment!$A$2:$GZ$2000,0,MATCH("row_id",Enrichment!$A$1:$GZ$1,0)),0),MATCH("work_email",Enrichment!$A$1:$GZ$1,0))&amp;"",""))</f>
        <v/>
      </c>
      <c r="BD441" s="0" t="str">
        <f aca="false">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Q441" s="0" t="str">
        <f aca="false">IF($A441="","",IFERROR(INDEX(Enrichment!$A$2:$GZ$2000,MATCH($A441,INDEX(Enrichment!$A$2:$GZ$2000,0,MATCH("row_id",Enrichment!$A$1:$GZ$1,0)),0),MATCH("backup_work_email",Enrichment!$A$1:$GZ$1,0))&amp;"",""))</f>
        <v/>
      </c>
      <c r="BR441" s="0" t="str">
        <f aca="false">IF($A441="","",IF(BQ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EQ441" s="0" t="str">
        <f aca="false">IF($A441="","",IF(AH441="exact",10,IF(AH441="adjacent",5,0)))</f>
        <v/>
      </c>
      <c r="ER441" s="0" t="str">
        <f aca="false">IF($A441="","",IF(R441="Y",15,0))</f>
        <v/>
      </c>
      <c r="FS441" s="0" t="str">
        <f aca="false">IF($A441="","",IF(ISNUMBER(MATCH(U441,{"queued","contacted","replied","call_booked","call_done","yes_in_principle","materials_sent"},0)),"Y","N"))</f>
        <v/>
      </c>
      <c r="FT441" s="0" t="str">
        <f aca="false">IF($A441="","",IF(OR(T441="Y",U441="do_not_contact",AS441&amp;""&lt;&gt;""),"Y","N"))</f>
        <v/>
      </c>
      <c r="FU441" s="0" t="str">
        <f aca="false">IF($A441="","",IF(AP441&amp;""&lt;&gt;"",AP441&amp;"",$A441))</f>
        <v/>
      </c>
      <c r="FV441" s="0" t="str">
        <f aca="false">IF($A441="","",IF(COUNTIFS($FU$2:$FU$1000,FU441,$FS$2:$FS$1000,"Y")+COUNTIFS($FU$2:$FU$1000,FU441,$FT$2:$FT$1000,"Y")&gt;0,"Y","N"))</f>
        <v/>
      </c>
      <c r="FW441" s="0" t="str">
        <f aca="false">IF($A441="","",IF(AND(U441="new",T441="N",FT441="N",AT441="Y",FV441="N"),"Y","N"))</f>
        <v/>
      </c>
      <c r="FX441" s="0" t="str">
        <f aca="false">IF($A441="","",IF(FW441&lt;&gt;"Y","N",IF(COUNTIFS($FU$2:$FU$1000,FU441,$FW$2:$FW$1000,"Y",$J$2:$J$1000,"&gt;"&amp;J441)+COUNTIFS($FU$2:$FU$1000,FU441,$FW$2:$FW$1000,"Y",$J$2:$J$1000,J441,$GD$2:$GD$1000,"&lt;"&amp;GD441)=0,"Y","N")))</f>
        <v/>
      </c>
      <c r="FY441" s="0" t="str">
        <f aca="false">IF($A441="","",IF(AND(FW441="Y",FX441="Y",Y441&amp;""&lt;&gt;""),IF(Y441&lt;=10,"Y","N"),"N"))</f>
        <v/>
      </c>
      <c r="FZ441" s="0" t="str">
        <f aca="false">IF(FY441="Y",Y441,"")</f>
        <v/>
      </c>
      <c r="GA441" s="0" t="str">
        <f aca="false">IF($A441="","",IF(AND(I441="walk-in",CN441="pass",U441="new",FT441="N",FV441="N",AQ441&lt;&gt;"Y"),"Y","N"))</f>
        <v/>
      </c>
      <c r="GB441" s="0" t="str">
        <f aca="false">IF(GA441&lt;&gt;"Y","",IF(COUNTIFS($GA$2:$GA$1000,"Y",$J$2:$J$1000,"&gt;"&amp;J441)+COUNTIFS($GA$2:$GA$1000,"Y",$J$2:$J$1000,J441,$GD$2:$GD$1000,"&lt;"&amp;GD441)+1&lt;=25,COUNTIFS($GA$2:$GA$1000,"Y",$J$2:$J$1000,"&gt;"&amp;J441)+COUNTIFS($GA$2:$GA$1000,"Y",$J$2:$J$1000,J441,$GD$2:$GD$1000,"&lt;"&amp;GD441)+1,""))</f>
        <v/>
      </c>
      <c r="GC441" s="0" t="str">
        <f aca="false">IF(AND(_xlfn.ISFORMULA(C441),_xlfn.ISFORMULA(J441)),"Y","N")</f>
        <v>Y</v>
      </c>
      <c r="GD441" s="0" t="n">
        <f aca="false">ROW()-1</f>
        <v>440</v>
      </c>
    </row>
    <row r="442" customFormat="false" ht="15" hidden="false" customHeight="false" outlineLevel="0" collapsed="false">
      <c r="C442" s="0" t="str">
        <f aca="false">IF($A442="","",IF(AW442="Y",BM442&amp;"",AY442&amp;""))</f>
        <v/>
      </c>
      <c r="D442" s="0" t="str">
        <f aca="false">IF($A442="","",IF(AW442="Y",BN442&amp;"",AZ442&amp;""))</f>
        <v/>
      </c>
      <c r="E442" s="0" t="str">
        <f aca="false">IF($A442="","",IF(AW442="Y",BO442&amp;"",BA442&amp;""))</f>
        <v/>
      </c>
      <c r="F442" s="0" t="str">
        <f aca="false">IF($A442="","",IF(AW442="Y",BP442&amp;"",BB442&amp;""))</f>
        <v/>
      </c>
      <c r="G442" s="0" t="str">
        <f aca="false">IF($A442="","",IF(AW442="Y",BQ442&amp;"",BC442&amp;""))</f>
        <v/>
      </c>
      <c r="H442" s="0" t="str">
        <f aca="false">IF($A442="","",IF(AW442="Y",BR442&amp;"",BD442&amp;""))</f>
        <v/>
      </c>
      <c r="I442" s="0" t="str">
        <f aca="false">IF($A442="","",IF(R442="Y","warm-intro",IF(H442="verified","email",IF(C442&lt;&gt;"","linkedin",CB442&amp;""))))</f>
        <v/>
      </c>
      <c r="J442" s="0" t="str">
        <f aca="false">IF($A442="","",IF(CN442="pass",ROUND(N(EM442)+N(EN442)+N(EO442)+N(EP442)+N(EQ442)+N(ER442),1),0))</f>
        <v/>
      </c>
      <c r="K442" s="0" t="str">
        <f aca="false">IF($A442="","",IF(CN442&lt;&gt;"pass",CA442&amp;"",CA442&amp;"; "&amp;IF(AW442="Y",BZ442&amp;"",BL442&amp;"")&amp;IF(R442="Y","; known to the founder (+15)","")&amp;"."))</f>
        <v/>
      </c>
      <c r="R442" s="5"/>
      <c r="U442" s="5"/>
      <c r="Y442" s="0" t="str">
        <f aca="false">IF(FX442&lt;&gt;"Y","",COUNTIFS($FX$2:$FX$1000,"Y",$J$2:$J$1000,"&gt;"&amp;J442)+COUNTIFS($FX$2:$FX$1000,"Y",$J$2:$J$1000,J442,$GD$2:$GD$1000,"&lt;"&amp;GD442)+1)</f>
        <v/>
      </c>
      <c r="AB442" s="0" t="str">
        <f aca="false">IF($A442="","",IF(AW442="Y",BY442&amp;"",BK442&amp;""))</f>
        <v/>
      </c>
      <c r="AC442" s="0" t="str">
        <f aca="false">IF($A442="","",IF(AW442="Y",BS442&amp;"",BE442&amp;""))</f>
        <v/>
      </c>
      <c r="AD442" s="0" t="str">
        <f aca="false">IF($A442="","",IF(AW442="Y",BT442&amp;"",BF442&amp;""))</f>
        <v/>
      </c>
      <c r="AE442" s="0" t="str">
        <f aca="false">IF($A442="","",IF(AW442="Y",BU442&amp;"",BG442&amp;""))</f>
        <v/>
      </c>
      <c r="AF442" s="0" t="str">
        <f aca="false">IF($A442="","",IF(AW442="Y",BV442&amp;"",BH442&amp;""))</f>
        <v/>
      </c>
      <c r="AG442" s="0" t="str">
        <f aca="false">IF($A442="","",IF(AW442="Y",BW442&amp;"",BI442&amp;""))</f>
        <v/>
      </c>
      <c r="AH442" s="0" t="str">
        <f aca="false">IF($A442="","",IF(AW442="Y",BX442&amp;"",BJ442&amp;""))</f>
        <v/>
      </c>
      <c r="AQ442" s="5"/>
      <c r="AT442" s="0" t="str">
        <f aca="false">IF($A442="","",IF(AND(CN442="pass",AQ442&lt;&gt;"Y",C442&lt;&gt;"",OR(AX442&lt;&gt;"Y",AV442="Y")),"Y","N"))</f>
        <v/>
      </c>
      <c r="AU442" s="0" t="str">
        <f aca="false">IF($A442="","",_xlfn.TEXTJOIN("; ",TRUE(),IF(CN442&lt;&gt;"pass","gated out",""),IF(AQ442="Y","on hold: "&amp;AR442,""),IF(C442="","no contact named on an opened page",""),IF(AND(AX442="Y",AV442&lt;&gt;"Y"),"Tuesday estimate band "&amp;L442&amp;": founder's call","")))</f>
        <v/>
      </c>
      <c r="BC442" s="0" t="str">
        <f aca="false">IF($A442="","",IFERROR(INDEX(Enrichment!$A$2:$GZ$2000,MATCH($A442,INDEX(Enrichment!$A$2:$GZ$2000,0,MATCH("row_id",Enrichment!$A$1:$GZ$1,0)),0),MATCH("work_email",Enrichment!$A$1:$GZ$1,0))&amp;"",""))</f>
        <v/>
      </c>
      <c r="BD442" s="0" t="str">
        <f aca="false">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Q442" s="0" t="str">
        <f aca="false">IF($A442="","",IFERROR(INDEX(Enrichment!$A$2:$GZ$2000,MATCH($A442,INDEX(Enrichment!$A$2:$GZ$2000,0,MATCH("row_id",Enrichment!$A$1:$GZ$1,0)),0),MATCH("backup_work_email",Enrichment!$A$1:$GZ$1,0))&amp;"",""))</f>
        <v/>
      </c>
      <c r="BR442" s="0" t="str">
        <f aca="false">IF($A442="","",IF(BQ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EQ442" s="0" t="str">
        <f aca="false">IF($A442="","",IF(AH442="exact",10,IF(AH442="adjacent",5,0)))</f>
        <v/>
      </c>
      <c r="ER442" s="0" t="str">
        <f aca="false">IF($A442="","",IF(R442="Y",15,0))</f>
        <v/>
      </c>
      <c r="FS442" s="0" t="str">
        <f aca="false">IF($A442="","",IF(ISNUMBER(MATCH(U442,{"queued","contacted","replied","call_booked","call_done","yes_in_principle","materials_sent"},0)),"Y","N"))</f>
        <v/>
      </c>
      <c r="FT442" s="0" t="str">
        <f aca="false">IF($A442="","",IF(OR(T442="Y",U442="do_not_contact",AS442&amp;""&lt;&gt;""),"Y","N"))</f>
        <v/>
      </c>
      <c r="FU442" s="0" t="str">
        <f aca="false">IF($A442="","",IF(AP442&amp;""&lt;&gt;"",AP442&amp;"",$A442))</f>
        <v/>
      </c>
      <c r="FV442" s="0" t="str">
        <f aca="false">IF($A442="","",IF(COUNTIFS($FU$2:$FU$1000,FU442,$FS$2:$FS$1000,"Y")+COUNTIFS($FU$2:$FU$1000,FU442,$FT$2:$FT$1000,"Y")&gt;0,"Y","N"))</f>
        <v/>
      </c>
      <c r="FW442" s="0" t="str">
        <f aca="false">IF($A442="","",IF(AND(U442="new",T442="N",FT442="N",AT442="Y",FV442="N"),"Y","N"))</f>
        <v/>
      </c>
      <c r="FX442" s="0" t="str">
        <f aca="false">IF($A442="","",IF(FW442&lt;&gt;"Y","N",IF(COUNTIFS($FU$2:$FU$1000,FU442,$FW$2:$FW$1000,"Y",$J$2:$J$1000,"&gt;"&amp;J442)+COUNTIFS($FU$2:$FU$1000,FU442,$FW$2:$FW$1000,"Y",$J$2:$J$1000,J442,$GD$2:$GD$1000,"&lt;"&amp;GD442)=0,"Y","N")))</f>
        <v/>
      </c>
      <c r="FY442" s="0" t="str">
        <f aca="false">IF($A442="","",IF(AND(FW442="Y",FX442="Y",Y442&amp;""&lt;&gt;""),IF(Y442&lt;=10,"Y","N"),"N"))</f>
        <v/>
      </c>
      <c r="FZ442" s="0" t="str">
        <f aca="false">IF(FY442="Y",Y442,"")</f>
        <v/>
      </c>
      <c r="GA442" s="0" t="str">
        <f aca="false">IF($A442="","",IF(AND(I442="walk-in",CN442="pass",U442="new",FT442="N",FV442="N",AQ442&lt;&gt;"Y"),"Y","N"))</f>
        <v/>
      </c>
      <c r="GB442" s="0" t="str">
        <f aca="false">IF(GA442&lt;&gt;"Y","",IF(COUNTIFS($GA$2:$GA$1000,"Y",$J$2:$J$1000,"&gt;"&amp;J442)+COUNTIFS($GA$2:$GA$1000,"Y",$J$2:$J$1000,J442,$GD$2:$GD$1000,"&lt;"&amp;GD442)+1&lt;=25,COUNTIFS($GA$2:$GA$1000,"Y",$J$2:$J$1000,"&gt;"&amp;J442)+COUNTIFS($GA$2:$GA$1000,"Y",$J$2:$J$1000,J442,$GD$2:$GD$1000,"&lt;"&amp;GD442)+1,""))</f>
        <v/>
      </c>
      <c r="GC442" s="0" t="str">
        <f aca="false">IF(AND(_xlfn.ISFORMULA(C442),_xlfn.ISFORMULA(J442)),"Y","N")</f>
        <v>Y</v>
      </c>
      <c r="GD442" s="0" t="n">
        <f aca="false">ROW()-1</f>
        <v>441</v>
      </c>
    </row>
    <row r="443" customFormat="false" ht="15" hidden="false" customHeight="false" outlineLevel="0" collapsed="false">
      <c r="C443" s="0" t="str">
        <f aca="false">IF($A443="","",IF(AW443="Y",BM443&amp;"",AY443&amp;""))</f>
        <v/>
      </c>
      <c r="D443" s="0" t="str">
        <f aca="false">IF($A443="","",IF(AW443="Y",BN443&amp;"",AZ443&amp;""))</f>
        <v/>
      </c>
      <c r="E443" s="0" t="str">
        <f aca="false">IF($A443="","",IF(AW443="Y",BO443&amp;"",BA443&amp;""))</f>
        <v/>
      </c>
      <c r="F443" s="0" t="str">
        <f aca="false">IF($A443="","",IF(AW443="Y",BP443&amp;"",BB443&amp;""))</f>
        <v/>
      </c>
      <c r="G443" s="0" t="str">
        <f aca="false">IF($A443="","",IF(AW443="Y",BQ443&amp;"",BC443&amp;""))</f>
        <v/>
      </c>
      <c r="H443" s="0" t="str">
        <f aca="false">IF($A443="","",IF(AW443="Y",BR443&amp;"",BD443&amp;""))</f>
        <v/>
      </c>
      <c r="I443" s="0" t="str">
        <f aca="false">IF($A443="","",IF(R443="Y","warm-intro",IF(H443="verified","email",IF(C443&lt;&gt;"","linkedin",CB443&amp;""))))</f>
        <v/>
      </c>
      <c r="J443" s="0" t="str">
        <f aca="false">IF($A443="","",IF(CN443="pass",ROUND(N(EM443)+N(EN443)+N(EO443)+N(EP443)+N(EQ443)+N(ER443),1),0))</f>
        <v/>
      </c>
      <c r="K443" s="0" t="str">
        <f aca="false">IF($A443="","",IF(CN443&lt;&gt;"pass",CA443&amp;"",CA443&amp;"; "&amp;IF(AW443="Y",BZ443&amp;"",BL443&amp;"")&amp;IF(R443="Y","; known to the founder (+15)","")&amp;"."))</f>
        <v/>
      </c>
      <c r="R443" s="5"/>
      <c r="U443" s="5"/>
      <c r="Y443" s="0" t="str">
        <f aca="false">IF(FX443&lt;&gt;"Y","",COUNTIFS($FX$2:$FX$1000,"Y",$J$2:$J$1000,"&gt;"&amp;J443)+COUNTIFS($FX$2:$FX$1000,"Y",$J$2:$J$1000,J443,$GD$2:$GD$1000,"&lt;"&amp;GD443)+1)</f>
        <v/>
      </c>
      <c r="AB443" s="0" t="str">
        <f aca="false">IF($A443="","",IF(AW443="Y",BY443&amp;"",BK443&amp;""))</f>
        <v/>
      </c>
      <c r="AC443" s="0" t="str">
        <f aca="false">IF($A443="","",IF(AW443="Y",BS443&amp;"",BE443&amp;""))</f>
        <v/>
      </c>
      <c r="AD443" s="0" t="str">
        <f aca="false">IF($A443="","",IF(AW443="Y",BT443&amp;"",BF443&amp;""))</f>
        <v/>
      </c>
      <c r="AE443" s="0" t="str">
        <f aca="false">IF($A443="","",IF(AW443="Y",BU443&amp;"",BG443&amp;""))</f>
        <v/>
      </c>
      <c r="AF443" s="0" t="str">
        <f aca="false">IF($A443="","",IF(AW443="Y",BV443&amp;"",BH443&amp;""))</f>
        <v/>
      </c>
      <c r="AG443" s="0" t="str">
        <f aca="false">IF($A443="","",IF(AW443="Y",BW443&amp;"",BI443&amp;""))</f>
        <v/>
      </c>
      <c r="AH443" s="0" t="str">
        <f aca="false">IF($A443="","",IF(AW443="Y",BX443&amp;"",BJ443&amp;""))</f>
        <v/>
      </c>
      <c r="AQ443" s="5"/>
      <c r="AT443" s="0" t="str">
        <f aca="false">IF($A443="","",IF(AND(CN443="pass",AQ443&lt;&gt;"Y",C443&lt;&gt;"",OR(AX443&lt;&gt;"Y",AV443="Y")),"Y","N"))</f>
        <v/>
      </c>
      <c r="AU443" s="0" t="str">
        <f aca="false">IF($A443="","",_xlfn.TEXTJOIN("; ",TRUE(),IF(CN443&lt;&gt;"pass","gated out",""),IF(AQ443="Y","on hold: "&amp;AR443,""),IF(C443="","no contact named on an opened page",""),IF(AND(AX443="Y",AV443&lt;&gt;"Y"),"Tuesday estimate band "&amp;L443&amp;": founder's call","")))</f>
        <v/>
      </c>
      <c r="BC443" s="0" t="str">
        <f aca="false">IF($A443="","",IFERROR(INDEX(Enrichment!$A$2:$GZ$2000,MATCH($A443,INDEX(Enrichment!$A$2:$GZ$2000,0,MATCH("row_id",Enrichment!$A$1:$GZ$1,0)),0),MATCH("work_email",Enrichment!$A$1:$GZ$1,0))&amp;"",""))</f>
        <v/>
      </c>
      <c r="BD443" s="0" t="str">
        <f aca="false">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Q443" s="0" t="str">
        <f aca="false">IF($A443="","",IFERROR(INDEX(Enrichment!$A$2:$GZ$2000,MATCH($A443,INDEX(Enrichment!$A$2:$GZ$2000,0,MATCH("row_id",Enrichment!$A$1:$GZ$1,0)),0),MATCH("backup_work_email",Enrichment!$A$1:$GZ$1,0))&amp;"",""))</f>
        <v/>
      </c>
      <c r="BR443" s="0" t="str">
        <f aca="false">IF($A443="","",IF(BQ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EQ443" s="0" t="str">
        <f aca="false">IF($A443="","",IF(AH443="exact",10,IF(AH443="adjacent",5,0)))</f>
        <v/>
      </c>
      <c r="ER443" s="0" t="str">
        <f aca="false">IF($A443="","",IF(R443="Y",15,0))</f>
        <v/>
      </c>
      <c r="FS443" s="0" t="str">
        <f aca="false">IF($A443="","",IF(ISNUMBER(MATCH(U443,{"queued","contacted","replied","call_booked","call_done","yes_in_principle","materials_sent"},0)),"Y","N"))</f>
        <v/>
      </c>
      <c r="FT443" s="0" t="str">
        <f aca="false">IF($A443="","",IF(OR(T443="Y",U443="do_not_contact",AS443&amp;""&lt;&gt;""),"Y","N"))</f>
        <v/>
      </c>
      <c r="FU443" s="0" t="str">
        <f aca="false">IF($A443="","",IF(AP443&amp;""&lt;&gt;"",AP443&amp;"",$A443))</f>
        <v/>
      </c>
      <c r="FV443" s="0" t="str">
        <f aca="false">IF($A443="","",IF(COUNTIFS($FU$2:$FU$1000,FU443,$FS$2:$FS$1000,"Y")+COUNTIFS($FU$2:$FU$1000,FU443,$FT$2:$FT$1000,"Y")&gt;0,"Y","N"))</f>
        <v/>
      </c>
      <c r="FW443" s="0" t="str">
        <f aca="false">IF($A443="","",IF(AND(U443="new",T443="N",FT443="N",AT443="Y",FV443="N"),"Y","N"))</f>
        <v/>
      </c>
      <c r="FX443" s="0" t="str">
        <f aca="false">IF($A443="","",IF(FW443&lt;&gt;"Y","N",IF(COUNTIFS($FU$2:$FU$1000,FU443,$FW$2:$FW$1000,"Y",$J$2:$J$1000,"&gt;"&amp;J443)+COUNTIFS($FU$2:$FU$1000,FU443,$FW$2:$FW$1000,"Y",$J$2:$J$1000,J443,$GD$2:$GD$1000,"&lt;"&amp;GD443)=0,"Y","N")))</f>
        <v/>
      </c>
      <c r="FY443" s="0" t="str">
        <f aca="false">IF($A443="","",IF(AND(FW443="Y",FX443="Y",Y443&amp;""&lt;&gt;""),IF(Y443&lt;=10,"Y","N"),"N"))</f>
        <v/>
      </c>
      <c r="FZ443" s="0" t="str">
        <f aca="false">IF(FY443="Y",Y443,"")</f>
        <v/>
      </c>
      <c r="GA443" s="0" t="str">
        <f aca="false">IF($A443="","",IF(AND(I443="walk-in",CN443="pass",U443="new",FT443="N",FV443="N",AQ443&lt;&gt;"Y"),"Y","N"))</f>
        <v/>
      </c>
      <c r="GB443" s="0" t="str">
        <f aca="false">IF(GA443&lt;&gt;"Y","",IF(COUNTIFS($GA$2:$GA$1000,"Y",$J$2:$J$1000,"&gt;"&amp;J443)+COUNTIFS($GA$2:$GA$1000,"Y",$J$2:$J$1000,J443,$GD$2:$GD$1000,"&lt;"&amp;GD443)+1&lt;=25,COUNTIFS($GA$2:$GA$1000,"Y",$J$2:$J$1000,"&gt;"&amp;J443)+COUNTIFS($GA$2:$GA$1000,"Y",$J$2:$J$1000,J443,$GD$2:$GD$1000,"&lt;"&amp;GD443)+1,""))</f>
        <v/>
      </c>
      <c r="GC443" s="0" t="str">
        <f aca="false">IF(AND(_xlfn.ISFORMULA(C443),_xlfn.ISFORMULA(J443)),"Y","N")</f>
        <v>Y</v>
      </c>
      <c r="GD443" s="0" t="n">
        <f aca="false">ROW()-1</f>
        <v>442</v>
      </c>
    </row>
    <row r="444" customFormat="false" ht="15" hidden="false" customHeight="false" outlineLevel="0" collapsed="false">
      <c r="C444" s="0" t="str">
        <f aca="false">IF($A444="","",IF(AW444="Y",BM444&amp;"",AY444&amp;""))</f>
        <v/>
      </c>
      <c r="D444" s="0" t="str">
        <f aca="false">IF($A444="","",IF(AW444="Y",BN444&amp;"",AZ444&amp;""))</f>
        <v/>
      </c>
      <c r="E444" s="0" t="str">
        <f aca="false">IF($A444="","",IF(AW444="Y",BO444&amp;"",BA444&amp;""))</f>
        <v/>
      </c>
      <c r="F444" s="0" t="str">
        <f aca="false">IF($A444="","",IF(AW444="Y",BP444&amp;"",BB444&amp;""))</f>
        <v/>
      </c>
      <c r="G444" s="0" t="str">
        <f aca="false">IF($A444="","",IF(AW444="Y",BQ444&amp;"",BC444&amp;""))</f>
        <v/>
      </c>
      <c r="H444" s="0" t="str">
        <f aca="false">IF($A444="","",IF(AW444="Y",BR444&amp;"",BD444&amp;""))</f>
        <v/>
      </c>
      <c r="I444" s="0" t="str">
        <f aca="false">IF($A444="","",IF(R444="Y","warm-intro",IF(H444="verified","email",IF(C444&lt;&gt;"","linkedin",CB444&amp;""))))</f>
        <v/>
      </c>
      <c r="J444" s="0" t="str">
        <f aca="false">IF($A444="","",IF(CN444="pass",ROUND(N(EM444)+N(EN444)+N(EO444)+N(EP444)+N(EQ444)+N(ER444),1),0))</f>
        <v/>
      </c>
      <c r="K444" s="0" t="str">
        <f aca="false">IF($A444="","",IF(CN444&lt;&gt;"pass",CA444&amp;"",CA444&amp;"; "&amp;IF(AW444="Y",BZ444&amp;"",BL444&amp;"")&amp;IF(R444="Y","; known to the founder (+15)","")&amp;"."))</f>
        <v/>
      </c>
      <c r="R444" s="5"/>
      <c r="U444" s="5"/>
      <c r="Y444" s="0" t="str">
        <f aca="false">IF(FX444&lt;&gt;"Y","",COUNTIFS($FX$2:$FX$1000,"Y",$J$2:$J$1000,"&gt;"&amp;J444)+COUNTIFS($FX$2:$FX$1000,"Y",$J$2:$J$1000,J444,$GD$2:$GD$1000,"&lt;"&amp;GD444)+1)</f>
        <v/>
      </c>
      <c r="AB444" s="0" t="str">
        <f aca="false">IF($A444="","",IF(AW444="Y",BY444&amp;"",BK444&amp;""))</f>
        <v/>
      </c>
      <c r="AC444" s="0" t="str">
        <f aca="false">IF($A444="","",IF(AW444="Y",BS444&amp;"",BE444&amp;""))</f>
        <v/>
      </c>
      <c r="AD444" s="0" t="str">
        <f aca="false">IF($A444="","",IF(AW444="Y",BT444&amp;"",BF444&amp;""))</f>
        <v/>
      </c>
      <c r="AE444" s="0" t="str">
        <f aca="false">IF($A444="","",IF(AW444="Y",BU444&amp;"",BG444&amp;""))</f>
        <v/>
      </c>
      <c r="AF444" s="0" t="str">
        <f aca="false">IF($A444="","",IF(AW444="Y",BV444&amp;"",BH444&amp;""))</f>
        <v/>
      </c>
      <c r="AG444" s="0" t="str">
        <f aca="false">IF($A444="","",IF(AW444="Y",BW444&amp;"",BI444&amp;""))</f>
        <v/>
      </c>
      <c r="AH444" s="0" t="str">
        <f aca="false">IF($A444="","",IF(AW444="Y",BX444&amp;"",BJ444&amp;""))</f>
        <v/>
      </c>
      <c r="AQ444" s="5"/>
      <c r="AT444" s="0" t="str">
        <f aca="false">IF($A444="","",IF(AND(CN444="pass",AQ444&lt;&gt;"Y",C444&lt;&gt;"",OR(AX444&lt;&gt;"Y",AV444="Y")),"Y","N"))</f>
        <v/>
      </c>
      <c r="AU444" s="0" t="str">
        <f aca="false">IF($A444="","",_xlfn.TEXTJOIN("; ",TRUE(),IF(CN444&lt;&gt;"pass","gated out",""),IF(AQ444="Y","on hold: "&amp;AR444,""),IF(C444="","no contact named on an opened page",""),IF(AND(AX444="Y",AV444&lt;&gt;"Y"),"Tuesday estimate band "&amp;L444&amp;": founder's call","")))</f>
        <v/>
      </c>
      <c r="BC444" s="0" t="str">
        <f aca="false">IF($A444="","",IFERROR(INDEX(Enrichment!$A$2:$GZ$2000,MATCH($A444,INDEX(Enrichment!$A$2:$GZ$2000,0,MATCH("row_id",Enrichment!$A$1:$GZ$1,0)),0),MATCH("work_email",Enrichment!$A$1:$GZ$1,0))&amp;"",""))</f>
        <v/>
      </c>
      <c r="BD444" s="0" t="str">
        <f aca="false">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Q444" s="0" t="str">
        <f aca="false">IF($A444="","",IFERROR(INDEX(Enrichment!$A$2:$GZ$2000,MATCH($A444,INDEX(Enrichment!$A$2:$GZ$2000,0,MATCH("row_id",Enrichment!$A$1:$GZ$1,0)),0),MATCH("backup_work_email",Enrichment!$A$1:$GZ$1,0))&amp;"",""))</f>
        <v/>
      </c>
      <c r="BR444" s="0" t="str">
        <f aca="false">IF($A444="","",IF(BQ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EQ444" s="0" t="str">
        <f aca="false">IF($A444="","",IF(AH444="exact",10,IF(AH444="adjacent",5,0)))</f>
        <v/>
      </c>
      <c r="ER444" s="0" t="str">
        <f aca="false">IF($A444="","",IF(R444="Y",15,0))</f>
        <v/>
      </c>
      <c r="FS444" s="0" t="str">
        <f aca="false">IF($A444="","",IF(ISNUMBER(MATCH(U444,{"queued","contacted","replied","call_booked","call_done","yes_in_principle","materials_sent"},0)),"Y","N"))</f>
        <v/>
      </c>
      <c r="FT444" s="0" t="str">
        <f aca="false">IF($A444="","",IF(OR(T444="Y",U444="do_not_contact",AS444&amp;""&lt;&gt;""),"Y","N"))</f>
        <v/>
      </c>
      <c r="FU444" s="0" t="str">
        <f aca="false">IF($A444="","",IF(AP444&amp;""&lt;&gt;"",AP444&amp;"",$A444))</f>
        <v/>
      </c>
      <c r="FV444" s="0" t="str">
        <f aca="false">IF($A444="","",IF(COUNTIFS($FU$2:$FU$1000,FU444,$FS$2:$FS$1000,"Y")+COUNTIFS($FU$2:$FU$1000,FU444,$FT$2:$FT$1000,"Y")&gt;0,"Y","N"))</f>
        <v/>
      </c>
      <c r="FW444" s="0" t="str">
        <f aca="false">IF($A444="","",IF(AND(U444="new",T444="N",FT444="N",AT444="Y",FV444="N"),"Y","N"))</f>
        <v/>
      </c>
      <c r="FX444" s="0" t="str">
        <f aca="false">IF($A444="","",IF(FW444&lt;&gt;"Y","N",IF(COUNTIFS($FU$2:$FU$1000,FU444,$FW$2:$FW$1000,"Y",$J$2:$J$1000,"&gt;"&amp;J444)+COUNTIFS($FU$2:$FU$1000,FU444,$FW$2:$FW$1000,"Y",$J$2:$J$1000,J444,$GD$2:$GD$1000,"&lt;"&amp;GD444)=0,"Y","N")))</f>
        <v/>
      </c>
      <c r="FY444" s="0" t="str">
        <f aca="false">IF($A444="","",IF(AND(FW444="Y",FX444="Y",Y444&amp;""&lt;&gt;""),IF(Y444&lt;=10,"Y","N"),"N"))</f>
        <v/>
      </c>
      <c r="FZ444" s="0" t="str">
        <f aca="false">IF(FY444="Y",Y444,"")</f>
        <v/>
      </c>
      <c r="GA444" s="0" t="str">
        <f aca="false">IF($A444="","",IF(AND(I444="walk-in",CN444="pass",U444="new",FT444="N",FV444="N",AQ444&lt;&gt;"Y"),"Y","N"))</f>
        <v/>
      </c>
      <c r="GB444" s="0" t="str">
        <f aca="false">IF(GA444&lt;&gt;"Y","",IF(COUNTIFS($GA$2:$GA$1000,"Y",$J$2:$J$1000,"&gt;"&amp;J444)+COUNTIFS($GA$2:$GA$1000,"Y",$J$2:$J$1000,J444,$GD$2:$GD$1000,"&lt;"&amp;GD444)+1&lt;=25,COUNTIFS($GA$2:$GA$1000,"Y",$J$2:$J$1000,"&gt;"&amp;J444)+COUNTIFS($GA$2:$GA$1000,"Y",$J$2:$J$1000,J444,$GD$2:$GD$1000,"&lt;"&amp;GD444)+1,""))</f>
        <v/>
      </c>
      <c r="GC444" s="0" t="str">
        <f aca="false">IF(AND(_xlfn.ISFORMULA(C444),_xlfn.ISFORMULA(J444)),"Y","N")</f>
        <v>Y</v>
      </c>
      <c r="GD444" s="0" t="n">
        <f aca="false">ROW()-1</f>
        <v>443</v>
      </c>
    </row>
    <row r="445" customFormat="false" ht="15" hidden="false" customHeight="false" outlineLevel="0" collapsed="false">
      <c r="C445" s="0" t="str">
        <f aca="false">IF($A445="","",IF(AW445="Y",BM445&amp;"",AY445&amp;""))</f>
        <v/>
      </c>
      <c r="D445" s="0" t="str">
        <f aca="false">IF($A445="","",IF(AW445="Y",BN445&amp;"",AZ445&amp;""))</f>
        <v/>
      </c>
      <c r="E445" s="0" t="str">
        <f aca="false">IF($A445="","",IF(AW445="Y",BO445&amp;"",BA445&amp;""))</f>
        <v/>
      </c>
      <c r="F445" s="0" t="str">
        <f aca="false">IF($A445="","",IF(AW445="Y",BP445&amp;"",BB445&amp;""))</f>
        <v/>
      </c>
      <c r="G445" s="0" t="str">
        <f aca="false">IF($A445="","",IF(AW445="Y",BQ445&amp;"",BC445&amp;""))</f>
        <v/>
      </c>
      <c r="H445" s="0" t="str">
        <f aca="false">IF($A445="","",IF(AW445="Y",BR445&amp;"",BD445&amp;""))</f>
        <v/>
      </c>
      <c r="I445" s="0" t="str">
        <f aca="false">IF($A445="","",IF(R445="Y","warm-intro",IF(H445="verified","email",IF(C445&lt;&gt;"","linkedin",CB445&amp;""))))</f>
        <v/>
      </c>
      <c r="J445" s="0" t="str">
        <f aca="false">IF($A445="","",IF(CN445="pass",ROUND(N(EM445)+N(EN445)+N(EO445)+N(EP445)+N(EQ445)+N(ER445),1),0))</f>
        <v/>
      </c>
      <c r="K445" s="0" t="str">
        <f aca="false">IF($A445="","",IF(CN445&lt;&gt;"pass",CA445&amp;"",CA445&amp;"; "&amp;IF(AW445="Y",BZ445&amp;"",BL445&amp;"")&amp;IF(R445="Y","; known to the founder (+15)","")&amp;"."))</f>
        <v/>
      </c>
      <c r="R445" s="5"/>
      <c r="U445" s="5"/>
      <c r="Y445" s="0" t="str">
        <f aca="false">IF(FX445&lt;&gt;"Y","",COUNTIFS($FX$2:$FX$1000,"Y",$J$2:$J$1000,"&gt;"&amp;J445)+COUNTIFS($FX$2:$FX$1000,"Y",$J$2:$J$1000,J445,$GD$2:$GD$1000,"&lt;"&amp;GD445)+1)</f>
        <v/>
      </c>
      <c r="AB445" s="0" t="str">
        <f aca="false">IF($A445="","",IF(AW445="Y",BY445&amp;"",BK445&amp;""))</f>
        <v/>
      </c>
      <c r="AC445" s="0" t="str">
        <f aca="false">IF($A445="","",IF(AW445="Y",BS445&amp;"",BE445&amp;""))</f>
        <v/>
      </c>
      <c r="AD445" s="0" t="str">
        <f aca="false">IF($A445="","",IF(AW445="Y",BT445&amp;"",BF445&amp;""))</f>
        <v/>
      </c>
      <c r="AE445" s="0" t="str">
        <f aca="false">IF($A445="","",IF(AW445="Y",BU445&amp;"",BG445&amp;""))</f>
        <v/>
      </c>
      <c r="AF445" s="0" t="str">
        <f aca="false">IF($A445="","",IF(AW445="Y",BV445&amp;"",BH445&amp;""))</f>
        <v/>
      </c>
      <c r="AG445" s="0" t="str">
        <f aca="false">IF($A445="","",IF(AW445="Y",BW445&amp;"",BI445&amp;""))</f>
        <v/>
      </c>
      <c r="AH445" s="0" t="str">
        <f aca="false">IF($A445="","",IF(AW445="Y",BX445&amp;"",BJ445&amp;""))</f>
        <v/>
      </c>
      <c r="AQ445" s="5"/>
      <c r="AT445" s="0" t="str">
        <f aca="false">IF($A445="","",IF(AND(CN445="pass",AQ445&lt;&gt;"Y",C445&lt;&gt;"",OR(AX445&lt;&gt;"Y",AV445="Y")),"Y","N"))</f>
        <v/>
      </c>
      <c r="AU445" s="0" t="str">
        <f aca="false">IF($A445="","",_xlfn.TEXTJOIN("; ",TRUE(),IF(CN445&lt;&gt;"pass","gated out",""),IF(AQ445="Y","on hold: "&amp;AR445,""),IF(C445="","no contact named on an opened page",""),IF(AND(AX445="Y",AV445&lt;&gt;"Y"),"Tuesday estimate band "&amp;L445&amp;": founder's call","")))</f>
        <v/>
      </c>
      <c r="BC445" s="0" t="str">
        <f aca="false">IF($A445="","",IFERROR(INDEX(Enrichment!$A$2:$GZ$2000,MATCH($A445,INDEX(Enrichment!$A$2:$GZ$2000,0,MATCH("row_id",Enrichment!$A$1:$GZ$1,0)),0),MATCH("work_email",Enrichment!$A$1:$GZ$1,0))&amp;"",""))</f>
        <v/>
      </c>
      <c r="BD445" s="0" t="str">
        <f aca="false">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Q445" s="0" t="str">
        <f aca="false">IF($A445="","",IFERROR(INDEX(Enrichment!$A$2:$GZ$2000,MATCH($A445,INDEX(Enrichment!$A$2:$GZ$2000,0,MATCH("row_id",Enrichment!$A$1:$GZ$1,0)),0),MATCH("backup_work_email",Enrichment!$A$1:$GZ$1,0))&amp;"",""))</f>
        <v/>
      </c>
      <c r="BR445" s="0" t="str">
        <f aca="false">IF($A445="","",IF(BQ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EQ445" s="0" t="str">
        <f aca="false">IF($A445="","",IF(AH445="exact",10,IF(AH445="adjacent",5,0)))</f>
        <v/>
      </c>
      <c r="ER445" s="0" t="str">
        <f aca="false">IF($A445="","",IF(R445="Y",15,0))</f>
        <v/>
      </c>
      <c r="FS445" s="0" t="str">
        <f aca="false">IF($A445="","",IF(ISNUMBER(MATCH(U445,{"queued","contacted","replied","call_booked","call_done","yes_in_principle","materials_sent"},0)),"Y","N"))</f>
        <v/>
      </c>
      <c r="FT445" s="0" t="str">
        <f aca="false">IF($A445="","",IF(OR(T445="Y",U445="do_not_contact",AS445&amp;""&lt;&gt;""),"Y","N"))</f>
        <v/>
      </c>
      <c r="FU445" s="0" t="str">
        <f aca="false">IF($A445="","",IF(AP445&amp;""&lt;&gt;"",AP445&amp;"",$A445))</f>
        <v/>
      </c>
      <c r="FV445" s="0" t="str">
        <f aca="false">IF($A445="","",IF(COUNTIFS($FU$2:$FU$1000,FU445,$FS$2:$FS$1000,"Y")+COUNTIFS($FU$2:$FU$1000,FU445,$FT$2:$FT$1000,"Y")&gt;0,"Y","N"))</f>
        <v/>
      </c>
      <c r="FW445" s="0" t="str">
        <f aca="false">IF($A445="","",IF(AND(U445="new",T445="N",FT445="N",AT445="Y",FV445="N"),"Y","N"))</f>
        <v/>
      </c>
      <c r="FX445" s="0" t="str">
        <f aca="false">IF($A445="","",IF(FW445&lt;&gt;"Y","N",IF(COUNTIFS($FU$2:$FU$1000,FU445,$FW$2:$FW$1000,"Y",$J$2:$J$1000,"&gt;"&amp;J445)+COUNTIFS($FU$2:$FU$1000,FU445,$FW$2:$FW$1000,"Y",$J$2:$J$1000,J445,$GD$2:$GD$1000,"&lt;"&amp;GD445)=0,"Y","N")))</f>
        <v/>
      </c>
      <c r="FY445" s="0" t="str">
        <f aca="false">IF($A445="","",IF(AND(FW445="Y",FX445="Y",Y445&amp;""&lt;&gt;""),IF(Y445&lt;=10,"Y","N"),"N"))</f>
        <v/>
      </c>
      <c r="FZ445" s="0" t="str">
        <f aca="false">IF(FY445="Y",Y445,"")</f>
        <v/>
      </c>
      <c r="GA445" s="0" t="str">
        <f aca="false">IF($A445="","",IF(AND(I445="walk-in",CN445="pass",U445="new",FT445="N",FV445="N",AQ445&lt;&gt;"Y"),"Y","N"))</f>
        <v/>
      </c>
      <c r="GB445" s="0" t="str">
        <f aca="false">IF(GA445&lt;&gt;"Y","",IF(COUNTIFS($GA$2:$GA$1000,"Y",$J$2:$J$1000,"&gt;"&amp;J445)+COUNTIFS($GA$2:$GA$1000,"Y",$J$2:$J$1000,J445,$GD$2:$GD$1000,"&lt;"&amp;GD445)+1&lt;=25,COUNTIFS($GA$2:$GA$1000,"Y",$J$2:$J$1000,"&gt;"&amp;J445)+COUNTIFS($GA$2:$GA$1000,"Y",$J$2:$J$1000,J445,$GD$2:$GD$1000,"&lt;"&amp;GD445)+1,""))</f>
        <v/>
      </c>
      <c r="GC445" s="0" t="str">
        <f aca="false">IF(AND(_xlfn.ISFORMULA(C445),_xlfn.ISFORMULA(J445)),"Y","N")</f>
        <v>Y</v>
      </c>
      <c r="GD445" s="0" t="n">
        <f aca="false">ROW()-1</f>
        <v>444</v>
      </c>
    </row>
    <row r="446" customFormat="false" ht="15" hidden="false" customHeight="false" outlineLevel="0" collapsed="false">
      <c r="C446" s="0" t="str">
        <f aca="false">IF($A446="","",IF(AW446="Y",BM446&amp;"",AY446&amp;""))</f>
        <v/>
      </c>
      <c r="D446" s="0" t="str">
        <f aca="false">IF($A446="","",IF(AW446="Y",BN446&amp;"",AZ446&amp;""))</f>
        <v/>
      </c>
      <c r="E446" s="0" t="str">
        <f aca="false">IF($A446="","",IF(AW446="Y",BO446&amp;"",BA446&amp;""))</f>
        <v/>
      </c>
      <c r="F446" s="0" t="str">
        <f aca="false">IF($A446="","",IF(AW446="Y",BP446&amp;"",BB446&amp;""))</f>
        <v/>
      </c>
      <c r="G446" s="0" t="str">
        <f aca="false">IF($A446="","",IF(AW446="Y",BQ446&amp;"",BC446&amp;""))</f>
        <v/>
      </c>
      <c r="H446" s="0" t="str">
        <f aca="false">IF($A446="","",IF(AW446="Y",BR446&amp;"",BD446&amp;""))</f>
        <v/>
      </c>
      <c r="I446" s="0" t="str">
        <f aca="false">IF($A446="","",IF(R446="Y","warm-intro",IF(H446="verified","email",IF(C446&lt;&gt;"","linkedin",CB446&amp;""))))</f>
        <v/>
      </c>
      <c r="J446" s="0" t="str">
        <f aca="false">IF($A446="","",IF(CN446="pass",ROUND(N(EM446)+N(EN446)+N(EO446)+N(EP446)+N(EQ446)+N(ER446),1),0))</f>
        <v/>
      </c>
      <c r="K446" s="0" t="str">
        <f aca="false">IF($A446="","",IF(CN446&lt;&gt;"pass",CA446&amp;"",CA446&amp;"; "&amp;IF(AW446="Y",BZ446&amp;"",BL446&amp;"")&amp;IF(R446="Y","; known to the founder (+15)","")&amp;"."))</f>
        <v/>
      </c>
      <c r="R446" s="5"/>
      <c r="U446" s="5"/>
      <c r="Y446" s="0" t="str">
        <f aca="false">IF(FX446&lt;&gt;"Y","",COUNTIFS($FX$2:$FX$1000,"Y",$J$2:$J$1000,"&gt;"&amp;J446)+COUNTIFS($FX$2:$FX$1000,"Y",$J$2:$J$1000,J446,$GD$2:$GD$1000,"&lt;"&amp;GD446)+1)</f>
        <v/>
      </c>
      <c r="AB446" s="0" t="str">
        <f aca="false">IF($A446="","",IF(AW446="Y",BY446&amp;"",BK446&amp;""))</f>
        <v/>
      </c>
      <c r="AC446" s="0" t="str">
        <f aca="false">IF($A446="","",IF(AW446="Y",BS446&amp;"",BE446&amp;""))</f>
        <v/>
      </c>
      <c r="AD446" s="0" t="str">
        <f aca="false">IF($A446="","",IF(AW446="Y",BT446&amp;"",BF446&amp;""))</f>
        <v/>
      </c>
      <c r="AE446" s="0" t="str">
        <f aca="false">IF($A446="","",IF(AW446="Y",BU446&amp;"",BG446&amp;""))</f>
        <v/>
      </c>
      <c r="AF446" s="0" t="str">
        <f aca="false">IF($A446="","",IF(AW446="Y",BV446&amp;"",BH446&amp;""))</f>
        <v/>
      </c>
      <c r="AG446" s="0" t="str">
        <f aca="false">IF($A446="","",IF(AW446="Y",BW446&amp;"",BI446&amp;""))</f>
        <v/>
      </c>
      <c r="AH446" s="0" t="str">
        <f aca="false">IF($A446="","",IF(AW446="Y",BX446&amp;"",BJ446&amp;""))</f>
        <v/>
      </c>
      <c r="AQ446" s="5"/>
      <c r="AT446" s="0" t="str">
        <f aca="false">IF($A446="","",IF(AND(CN446="pass",AQ446&lt;&gt;"Y",C446&lt;&gt;"",OR(AX446&lt;&gt;"Y",AV446="Y")),"Y","N"))</f>
        <v/>
      </c>
      <c r="AU446" s="0" t="str">
        <f aca="false">IF($A446="","",_xlfn.TEXTJOIN("; ",TRUE(),IF(CN446&lt;&gt;"pass","gated out",""),IF(AQ446="Y","on hold: "&amp;AR446,""),IF(C446="","no contact named on an opened page",""),IF(AND(AX446="Y",AV446&lt;&gt;"Y"),"Tuesday estimate band "&amp;L446&amp;": founder's call","")))</f>
        <v/>
      </c>
      <c r="BC446" s="0" t="str">
        <f aca="false">IF($A446="","",IFERROR(INDEX(Enrichment!$A$2:$GZ$2000,MATCH($A446,INDEX(Enrichment!$A$2:$GZ$2000,0,MATCH("row_id",Enrichment!$A$1:$GZ$1,0)),0),MATCH("work_email",Enrichment!$A$1:$GZ$1,0))&amp;"",""))</f>
        <v/>
      </c>
      <c r="BD446" s="0" t="str">
        <f aca="false">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Q446" s="0" t="str">
        <f aca="false">IF($A446="","",IFERROR(INDEX(Enrichment!$A$2:$GZ$2000,MATCH($A446,INDEX(Enrichment!$A$2:$GZ$2000,0,MATCH("row_id",Enrichment!$A$1:$GZ$1,0)),0),MATCH("backup_work_email",Enrichment!$A$1:$GZ$1,0))&amp;"",""))</f>
        <v/>
      </c>
      <c r="BR446" s="0" t="str">
        <f aca="false">IF($A446="","",IF(BQ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EQ446" s="0" t="str">
        <f aca="false">IF($A446="","",IF(AH446="exact",10,IF(AH446="adjacent",5,0)))</f>
        <v/>
      </c>
      <c r="ER446" s="0" t="str">
        <f aca="false">IF($A446="","",IF(R446="Y",15,0))</f>
        <v/>
      </c>
      <c r="FS446" s="0" t="str">
        <f aca="false">IF($A446="","",IF(ISNUMBER(MATCH(U446,{"queued","contacted","replied","call_booked","call_done","yes_in_principle","materials_sent"},0)),"Y","N"))</f>
        <v/>
      </c>
      <c r="FT446" s="0" t="str">
        <f aca="false">IF($A446="","",IF(OR(T446="Y",U446="do_not_contact",AS446&amp;""&lt;&gt;""),"Y","N"))</f>
        <v/>
      </c>
      <c r="FU446" s="0" t="str">
        <f aca="false">IF($A446="","",IF(AP446&amp;""&lt;&gt;"",AP446&amp;"",$A446))</f>
        <v/>
      </c>
      <c r="FV446" s="0" t="str">
        <f aca="false">IF($A446="","",IF(COUNTIFS($FU$2:$FU$1000,FU446,$FS$2:$FS$1000,"Y")+COUNTIFS($FU$2:$FU$1000,FU446,$FT$2:$FT$1000,"Y")&gt;0,"Y","N"))</f>
        <v/>
      </c>
      <c r="FW446" s="0" t="str">
        <f aca="false">IF($A446="","",IF(AND(U446="new",T446="N",FT446="N",AT446="Y",FV446="N"),"Y","N"))</f>
        <v/>
      </c>
      <c r="FX446" s="0" t="str">
        <f aca="false">IF($A446="","",IF(FW446&lt;&gt;"Y","N",IF(COUNTIFS($FU$2:$FU$1000,FU446,$FW$2:$FW$1000,"Y",$J$2:$J$1000,"&gt;"&amp;J446)+COUNTIFS($FU$2:$FU$1000,FU446,$FW$2:$FW$1000,"Y",$J$2:$J$1000,J446,$GD$2:$GD$1000,"&lt;"&amp;GD446)=0,"Y","N")))</f>
        <v/>
      </c>
      <c r="FY446" s="0" t="str">
        <f aca="false">IF($A446="","",IF(AND(FW446="Y",FX446="Y",Y446&amp;""&lt;&gt;""),IF(Y446&lt;=10,"Y","N"),"N"))</f>
        <v/>
      </c>
      <c r="FZ446" s="0" t="str">
        <f aca="false">IF(FY446="Y",Y446,"")</f>
        <v/>
      </c>
      <c r="GA446" s="0" t="str">
        <f aca="false">IF($A446="","",IF(AND(I446="walk-in",CN446="pass",U446="new",FT446="N",FV446="N",AQ446&lt;&gt;"Y"),"Y","N"))</f>
        <v/>
      </c>
      <c r="GB446" s="0" t="str">
        <f aca="false">IF(GA446&lt;&gt;"Y","",IF(COUNTIFS($GA$2:$GA$1000,"Y",$J$2:$J$1000,"&gt;"&amp;J446)+COUNTIFS($GA$2:$GA$1000,"Y",$J$2:$J$1000,J446,$GD$2:$GD$1000,"&lt;"&amp;GD446)+1&lt;=25,COUNTIFS($GA$2:$GA$1000,"Y",$J$2:$J$1000,"&gt;"&amp;J446)+COUNTIFS($GA$2:$GA$1000,"Y",$J$2:$J$1000,J446,$GD$2:$GD$1000,"&lt;"&amp;GD446)+1,""))</f>
        <v/>
      </c>
      <c r="GC446" s="0" t="str">
        <f aca="false">IF(AND(_xlfn.ISFORMULA(C446),_xlfn.ISFORMULA(J446)),"Y","N")</f>
        <v>Y</v>
      </c>
      <c r="GD446" s="0" t="n">
        <f aca="false">ROW()-1</f>
        <v>445</v>
      </c>
    </row>
    <row r="447" customFormat="false" ht="15" hidden="false" customHeight="false" outlineLevel="0" collapsed="false">
      <c r="C447" s="0" t="str">
        <f aca="false">IF($A447="","",IF(AW447="Y",BM447&amp;"",AY447&amp;""))</f>
        <v/>
      </c>
      <c r="D447" s="0" t="str">
        <f aca="false">IF($A447="","",IF(AW447="Y",BN447&amp;"",AZ447&amp;""))</f>
        <v/>
      </c>
      <c r="E447" s="0" t="str">
        <f aca="false">IF($A447="","",IF(AW447="Y",BO447&amp;"",BA447&amp;""))</f>
        <v/>
      </c>
      <c r="F447" s="0" t="str">
        <f aca="false">IF($A447="","",IF(AW447="Y",BP447&amp;"",BB447&amp;""))</f>
        <v/>
      </c>
      <c r="G447" s="0" t="str">
        <f aca="false">IF($A447="","",IF(AW447="Y",BQ447&amp;"",BC447&amp;""))</f>
        <v/>
      </c>
      <c r="H447" s="0" t="str">
        <f aca="false">IF($A447="","",IF(AW447="Y",BR447&amp;"",BD447&amp;""))</f>
        <v/>
      </c>
      <c r="I447" s="0" t="str">
        <f aca="false">IF($A447="","",IF(R447="Y","warm-intro",IF(H447="verified","email",IF(C447&lt;&gt;"","linkedin",CB447&amp;""))))</f>
        <v/>
      </c>
      <c r="J447" s="0" t="str">
        <f aca="false">IF($A447="","",IF(CN447="pass",ROUND(N(EM447)+N(EN447)+N(EO447)+N(EP447)+N(EQ447)+N(ER447),1),0))</f>
        <v/>
      </c>
      <c r="K447" s="0" t="str">
        <f aca="false">IF($A447="","",IF(CN447&lt;&gt;"pass",CA447&amp;"",CA447&amp;"; "&amp;IF(AW447="Y",BZ447&amp;"",BL447&amp;"")&amp;IF(R447="Y","; known to the founder (+15)","")&amp;"."))</f>
        <v/>
      </c>
      <c r="R447" s="5"/>
      <c r="U447" s="5"/>
      <c r="Y447" s="0" t="str">
        <f aca="false">IF(FX447&lt;&gt;"Y","",COUNTIFS($FX$2:$FX$1000,"Y",$J$2:$J$1000,"&gt;"&amp;J447)+COUNTIFS($FX$2:$FX$1000,"Y",$J$2:$J$1000,J447,$GD$2:$GD$1000,"&lt;"&amp;GD447)+1)</f>
        <v/>
      </c>
      <c r="AB447" s="0" t="str">
        <f aca="false">IF($A447="","",IF(AW447="Y",BY447&amp;"",BK447&amp;""))</f>
        <v/>
      </c>
      <c r="AC447" s="0" t="str">
        <f aca="false">IF($A447="","",IF(AW447="Y",BS447&amp;"",BE447&amp;""))</f>
        <v/>
      </c>
      <c r="AD447" s="0" t="str">
        <f aca="false">IF($A447="","",IF(AW447="Y",BT447&amp;"",BF447&amp;""))</f>
        <v/>
      </c>
      <c r="AE447" s="0" t="str">
        <f aca="false">IF($A447="","",IF(AW447="Y",BU447&amp;"",BG447&amp;""))</f>
        <v/>
      </c>
      <c r="AF447" s="0" t="str">
        <f aca="false">IF($A447="","",IF(AW447="Y",BV447&amp;"",BH447&amp;""))</f>
        <v/>
      </c>
      <c r="AG447" s="0" t="str">
        <f aca="false">IF($A447="","",IF(AW447="Y",BW447&amp;"",BI447&amp;""))</f>
        <v/>
      </c>
      <c r="AH447" s="0" t="str">
        <f aca="false">IF($A447="","",IF(AW447="Y",BX447&amp;"",BJ447&amp;""))</f>
        <v/>
      </c>
      <c r="AQ447" s="5"/>
      <c r="AT447" s="0" t="str">
        <f aca="false">IF($A447="","",IF(AND(CN447="pass",AQ447&lt;&gt;"Y",C447&lt;&gt;"",OR(AX447&lt;&gt;"Y",AV447="Y")),"Y","N"))</f>
        <v/>
      </c>
      <c r="AU447" s="0" t="str">
        <f aca="false">IF($A447="","",_xlfn.TEXTJOIN("; ",TRUE(),IF(CN447&lt;&gt;"pass","gated out",""),IF(AQ447="Y","on hold: "&amp;AR447,""),IF(C447="","no contact named on an opened page",""),IF(AND(AX447="Y",AV447&lt;&gt;"Y"),"Tuesday estimate band "&amp;L447&amp;": founder's call","")))</f>
        <v/>
      </c>
      <c r="BC447" s="0" t="str">
        <f aca="false">IF($A447="","",IFERROR(INDEX(Enrichment!$A$2:$GZ$2000,MATCH($A447,INDEX(Enrichment!$A$2:$GZ$2000,0,MATCH("row_id",Enrichment!$A$1:$GZ$1,0)),0),MATCH("work_email",Enrichment!$A$1:$GZ$1,0))&amp;"",""))</f>
        <v/>
      </c>
      <c r="BD447" s="0" t="str">
        <f aca="false">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Q447" s="0" t="str">
        <f aca="false">IF($A447="","",IFERROR(INDEX(Enrichment!$A$2:$GZ$2000,MATCH($A447,INDEX(Enrichment!$A$2:$GZ$2000,0,MATCH("row_id",Enrichment!$A$1:$GZ$1,0)),0),MATCH("backup_work_email",Enrichment!$A$1:$GZ$1,0))&amp;"",""))</f>
        <v/>
      </c>
      <c r="BR447" s="0" t="str">
        <f aca="false">IF($A447="","",IF(BQ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EQ447" s="0" t="str">
        <f aca="false">IF($A447="","",IF(AH447="exact",10,IF(AH447="adjacent",5,0)))</f>
        <v/>
      </c>
      <c r="ER447" s="0" t="str">
        <f aca="false">IF($A447="","",IF(R447="Y",15,0))</f>
        <v/>
      </c>
      <c r="FS447" s="0" t="str">
        <f aca="false">IF($A447="","",IF(ISNUMBER(MATCH(U447,{"queued","contacted","replied","call_booked","call_done","yes_in_principle","materials_sent"},0)),"Y","N"))</f>
        <v/>
      </c>
      <c r="FT447" s="0" t="str">
        <f aca="false">IF($A447="","",IF(OR(T447="Y",U447="do_not_contact",AS447&amp;""&lt;&gt;""),"Y","N"))</f>
        <v/>
      </c>
      <c r="FU447" s="0" t="str">
        <f aca="false">IF($A447="","",IF(AP447&amp;""&lt;&gt;"",AP447&amp;"",$A447))</f>
        <v/>
      </c>
      <c r="FV447" s="0" t="str">
        <f aca="false">IF($A447="","",IF(COUNTIFS($FU$2:$FU$1000,FU447,$FS$2:$FS$1000,"Y")+COUNTIFS($FU$2:$FU$1000,FU447,$FT$2:$FT$1000,"Y")&gt;0,"Y","N"))</f>
        <v/>
      </c>
      <c r="FW447" s="0" t="str">
        <f aca="false">IF($A447="","",IF(AND(U447="new",T447="N",FT447="N",AT447="Y",FV447="N"),"Y","N"))</f>
        <v/>
      </c>
      <c r="FX447" s="0" t="str">
        <f aca="false">IF($A447="","",IF(FW447&lt;&gt;"Y","N",IF(COUNTIFS($FU$2:$FU$1000,FU447,$FW$2:$FW$1000,"Y",$J$2:$J$1000,"&gt;"&amp;J447)+COUNTIFS($FU$2:$FU$1000,FU447,$FW$2:$FW$1000,"Y",$J$2:$J$1000,J447,$GD$2:$GD$1000,"&lt;"&amp;GD447)=0,"Y","N")))</f>
        <v/>
      </c>
      <c r="FY447" s="0" t="str">
        <f aca="false">IF($A447="","",IF(AND(FW447="Y",FX447="Y",Y447&amp;""&lt;&gt;""),IF(Y447&lt;=10,"Y","N"),"N"))</f>
        <v/>
      </c>
      <c r="FZ447" s="0" t="str">
        <f aca="false">IF(FY447="Y",Y447,"")</f>
        <v/>
      </c>
      <c r="GA447" s="0" t="str">
        <f aca="false">IF($A447="","",IF(AND(I447="walk-in",CN447="pass",U447="new",FT447="N",FV447="N",AQ447&lt;&gt;"Y"),"Y","N"))</f>
        <v/>
      </c>
      <c r="GB447" s="0" t="str">
        <f aca="false">IF(GA447&lt;&gt;"Y","",IF(COUNTIFS($GA$2:$GA$1000,"Y",$J$2:$J$1000,"&gt;"&amp;J447)+COUNTIFS($GA$2:$GA$1000,"Y",$J$2:$J$1000,J447,$GD$2:$GD$1000,"&lt;"&amp;GD447)+1&lt;=25,COUNTIFS($GA$2:$GA$1000,"Y",$J$2:$J$1000,"&gt;"&amp;J447)+COUNTIFS($GA$2:$GA$1000,"Y",$J$2:$J$1000,J447,$GD$2:$GD$1000,"&lt;"&amp;GD447)+1,""))</f>
        <v/>
      </c>
      <c r="GC447" s="0" t="str">
        <f aca="false">IF(AND(_xlfn.ISFORMULA(C447),_xlfn.ISFORMULA(J447)),"Y","N")</f>
        <v>Y</v>
      </c>
      <c r="GD447" s="0" t="n">
        <f aca="false">ROW()-1</f>
        <v>446</v>
      </c>
    </row>
    <row r="448" customFormat="false" ht="15" hidden="false" customHeight="false" outlineLevel="0" collapsed="false">
      <c r="C448" s="0" t="str">
        <f aca="false">IF($A448="","",IF(AW448="Y",BM448&amp;"",AY448&amp;""))</f>
        <v/>
      </c>
      <c r="D448" s="0" t="str">
        <f aca="false">IF($A448="","",IF(AW448="Y",BN448&amp;"",AZ448&amp;""))</f>
        <v/>
      </c>
      <c r="E448" s="0" t="str">
        <f aca="false">IF($A448="","",IF(AW448="Y",BO448&amp;"",BA448&amp;""))</f>
        <v/>
      </c>
      <c r="F448" s="0" t="str">
        <f aca="false">IF($A448="","",IF(AW448="Y",BP448&amp;"",BB448&amp;""))</f>
        <v/>
      </c>
      <c r="G448" s="0" t="str">
        <f aca="false">IF($A448="","",IF(AW448="Y",BQ448&amp;"",BC448&amp;""))</f>
        <v/>
      </c>
      <c r="H448" s="0" t="str">
        <f aca="false">IF($A448="","",IF(AW448="Y",BR448&amp;"",BD448&amp;""))</f>
        <v/>
      </c>
      <c r="I448" s="0" t="str">
        <f aca="false">IF($A448="","",IF(R448="Y","warm-intro",IF(H448="verified","email",IF(C448&lt;&gt;"","linkedin",CB448&amp;""))))</f>
        <v/>
      </c>
      <c r="J448" s="0" t="str">
        <f aca="false">IF($A448="","",IF(CN448="pass",ROUND(N(EM448)+N(EN448)+N(EO448)+N(EP448)+N(EQ448)+N(ER448),1),0))</f>
        <v/>
      </c>
      <c r="K448" s="0" t="str">
        <f aca="false">IF($A448="","",IF(CN448&lt;&gt;"pass",CA448&amp;"",CA448&amp;"; "&amp;IF(AW448="Y",BZ448&amp;"",BL448&amp;"")&amp;IF(R448="Y","; known to the founder (+15)","")&amp;"."))</f>
        <v/>
      </c>
      <c r="R448" s="5"/>
      <c r="U448" s="5"/>
      <c r="Y448" s="0" t="str">
        <f aca="false">IF(FX448&lt;&gt;"Y","",COUNTIFS($FX$2:$FX$1000,"Y",$J$2:$J$1000,"&gt;"&amp;J448)+COUNTIFS($FX$2:$FX$1000,"Y",$J$2:$J$1000,J448,$GD$2:$GD$1000,"&lt;"&amp;GD448)+1)</f>
        <v/>
      </c>
      <c r="AB448" s="0" t="str">
        <f aca="false">IF($A448="","",IF(AW448="Y",BY448&amp;"",BK448&amp;""))</f>
        <v/>
      </c>
      <c r="AC448" s="0" t="str">
        <f aca="false">IF($A448="","",IF(AW448="Y",BS448&amp;"",BE448&amp;""))</f>
        <v/>
      </c>
      <c r="AD448" s="0" t="str">
        <f aca="false">IF($A448="","",IF(AW448="Y",BT448&amp;"",BF448&amp;""))</f>
        <v/>
      </c>
      <c r="AE448" s="0" t="str">
        <f aca="false">IF($A448="","",IF(AW448="Y",BU448&amp;"",BG448&amp;""))</f>
        <v/>
      </c>
      <c r="AF448" s="0" t="str">
        <f aca="false">IF($A448="","",IF(AW448="Y",BV448&amp;"",BH448&amp;""))</f>
        <v/>
      </c>
      <c r="AG448" s="0" t="str">
        <f aca="false">IF($A448="","",IF(AW448="Y",BW448&amp;"",BI448&amp;""))</f>
        <v/>
      </c>
      <c r="AH448" s="0" t="str">
        <f aca="false">IF($A448="","",IF(AW448="Y",BX448&amp;"",BJ448&amp;""))</f>
        <v/>
      </c>
      <c r="AQ448" s="5"/>
      <c r="AT448" s="0" t="str">
        <f aca="false">IF($A448="","",IF(AND(CN448="pass",AQ448&lt;&gt;"Y",C448&lt;&gt;"",OR(AX448&lt;&gt;"Y",AV448="Y")),"Y","N"))</f>
        <v/>
      </c>
      <c r="AU448" s="0" t="str">
        <f aca="false">IF($A448="","",_xlfn.TEXTJOIN("; ",TRUE(),IF(CN448&lt;&gt;"pass","gated out",""),IF(AQ448="Y","on hold: "&amp;AR448,""),IF(C448="","no contact named on an opened page",""),IF(AND(AX448="Y",AV448&lt;&gt;"Y"),"Tuesday estimate band "&amp;L448&amp;": founder's call","")))</f>
        <v/>
      </c>
      <c r="BC448" s="0" t="str">
        <f aca="false">IF($A448="","",IFERROR(INDEX(Enrichment!$A$2:$GZ$2000,MATCH($A448,INDEX(Enrichment!$A$2:$GZ$2000,0,MATCH("row_id",Enrichment!$A$1:$GZ$1,0)),0),MATCH("work_email",Enrichment!$A$1:$GZ$1,0))&amp;"",""))</f>
        <v/>
      </c>
      <c r="BD448" s="0" t="str">
        <f aca="false">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Q448" s="0" t="str">
        <f aca="false">IF($A448="","",IFERROR(INDEX(Enrichment!$A$2:$GZ$2000,MATCH($A448,INDEX(Enrichment!$A$2:$GZ$2000,0,MATCH("row_id",Enrichment!$A$1:$GZ$1,0)),0),MATCH("backup_work_email",Enrichment!$A$1:$GZ$1,0))&amp;"",""))</f>
        <v/>
      </c>
      <c r="BR448" s="0" t="str">
        <f aca="false">IF($A448="","",IF(BQ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EQ448" s="0" t="str">
        <f aca="false">IF($A448="","",IF(AH448="exact",10,IF(AH448="adjacent",5,0)))</f>
        <v/>
      </c>
      <c r="ER448" s="0" t="str">
        <f aca="false">IF($A448="","",IF(R448="Y",15,0))</f>
        <v/>
      </c>
      <c r="FS448" s="0" t="str">
        <f aca="false">IF($A448="","",IF(ISNUMBER(MATCH(U448,{"queued","contacted","replied","call_booked","call_done","yes_in_principle","materials_sent"},0)),"Y","N"))</f>
        <v/>
      </c>
      <c r="FT448" s="0" t="str">
        <f aca="false">IF($A448="","",IF(OR(T448="Y",U448="do_not_contact",AS448&amp;""&lt;&gt;""),"Y","N"))</f>
        <v/>
      </c>
      <c r="FU448" s="0" t="str">
        <f aca="false">IF($A448="","",IF(AP448&amp;""&lt;&gt;"",AP448&amp;"",$A448))</f>
        <v/>
      </c>
      <c r="FV448" s="0" t="str">
        <f aca="false">IF($A448="","",IF(COUNTIFS($FU$2:$FU$1000,FU448,$FS$2:$FS$1000,"Y")+COUNTIFS($FU$2:$FU$1000,FU448,$FT$2:$FT$1000,"Y")&gt;0,"Y","N"))</f>
        <v/>
      </c>
      <c r="FW448" s="0" t="str">
        <f aca="false">IF($A448="","",IF(AND(U448="new",T448="N",FT448="N",AT448="Y",FV448="N"),"Y","N"))</f>
        <v/>
      </c>
      <c r="FX448" s="0" t="str">
        <f aca="false">IF($A448="","",IF(FW448&lt;&gt;"Y","N",IF(COUNTIFS($FU$2:$FU$1000,FU448,$FW$2:$FW$1000,"Y",$J$2:$J$1000,"&gt;"&amp;J448)+COUNTIFS($FU$2:$FU$1000,FU448,$FW$2:$FW$1000,"Y",$J$2:$J$1000,J448,$GD$2:$GD$1000,"&lt;"&amp;GD448)=0,"Y","N")))</f>
        <v/>
      </c>
      <c r="FY448" s="0" t="str">
        <f aca="false">IF($A448="","",IF(AND(FW448="Y",FX448="Y",Y448&amp;""&lt;&gt;""),IF(Y448&lt;=10,"Y","N"),"N"))</f>
        <v/>
      </c>
      <c r="FZ448" s="0" t="str">
        <f aca="false">IF(FY448="Y",Y448,"")</f>
        <v/>
      </c>
      <c r="GA448" s="0" t="str">
        <f aca="false">IF($A448="","",IF(AND(I448="walk-in",CN448="pass",U448="new",FT448="N",FV448="N",AQ448&lt;&gt;"Y"),"Y","N"))</f>
        <v/>
      </c>
      <c r="GB448" s="0" t="str">
        <f aca="false">IF(GA448&lt;&gt;"Y","",IF(COUNTIFS($GA$2:$GA$1000,"Y",$J$2:$J$1000,"&gt;"&amp;J448)+COUNTIFS($GA$2:$GA$1000,"Y",$J$2:$J$1000,J448,$GD$2:$GD$1000,"&lt;"&amp;GD448)+1&lt;=25,COUNTIFS($GA$2:$GA$1000,"Y",$J$2:$J$1000,"&gt;"&amp;J448)+COUNTIFS($GA$2:$GA$1000,"Y",$J$2:$J$1000,J448,$GD$2:$GD$1000,"&lt;"&amp;GD448)+1,""))</f>
        <v/>
      </c>
      <c r="GC448" s="0" t="str">
        <f aca="false">IF(AND(_xlfn.ISFORMULA(C448),_xlfn.ISFORMULA(J448)),"Y","N")</f>
        <v>Y</v>
      </c>
      <c r="GD448" s="0" t="n">
        <f aca="false">ROW()-1</f>
        <v>447</v>
      </c>
    </row>
    <row r="449" customFormat="false" ht="15" hidden="false" customHeight="false" outlineLevel="0" collapsed="false">
      <c r="C449" s="0" t="str">
        <f aca="false">IF($A449="","",IF(AW449="Y",BM449&amp;"",AY449&amp;""))</f>
        <v/>
      </c>
      <c r="D449" s="0" t="str">
        <f aca="false">IF($A449="","",IF(AW449="Y",BN449&amp;"",AZ449&amp;""))</f>
        <v/>
      </c>
      <c r="E449" s="0" t="str">
        <f aca="false">IF($A449="","",IF(AW449="Y",BO449&amp;"",BA449&amp;""))</f>
        <v/>
      </c>
      <c r="F449" s="0" t="str">
        <f aca="false">IF($A449="","",IF(AW449="Y",BP449&amp;"",BB449&amp;""))</f>
        <v/>
      </c>
      <c r="G449" s="0" t="str">
        <f aca="false">IF($A449="","",IF(AW449="Y",BQ449&amp;"",BC449&amp;""))</f>
        <v/>
      </c>
      <c r="H449" s="0" t="str">
        <f aca="false">IF($A449="","",IF(AW449="Y",BR449&amp;"",BD449&amp;""))</f>
        <v/>
      </c>
      <c r="I449" s="0" t="str">
        <f aca="false">IF($A449="","",IF(R449="Y","warm-intro",IF(H449="verified","email",IF(C449&lt;&gt;"","linkedin",CB449&amp;""))))</f>
        <v/>
      </c>
      <c r="J449" s="0" t="str">
        <f aca="false">IF($A449="","",IF(CN449="pass",ROUND(N(EM449)+N(EN449)+N(EO449)+N(EP449)+N(EQ449)+N(ER449),1),0))</f>
        <v/>
      </c>
      <c r="K449" s="0" t="str">
        <f aca="false">IF($A449="","",IF(CN449&lt;&gt;"pass",CA449&amp;"",CA449&amp;"; "&amp;IF(AW449="Y",BZ449&amp;"",BL449&amp;"")&amp;IF(R449="Y","; known to the founder (+15)","")&amp;"."))</f>
        <v/>
      </c>
      <c r="R449" s="5"/>
      <c r="U449" s="5"/>
      <c r="Y449" s="0" t="str">
        <f aca="false">IF(FX449&lt;&gt;"Y","",COUNTIFS($FX$2:$FX$1000,"Y",$J$2:$J$1000,"&gt;"&amp;J449)+COUNTIFS($FX$2:$FX$1000,"Y",$J$2:$J$1000,J449,$GD$2:$GD$1000,"&lt;"&amp;GD449)+1)</f>
        <v/>
      </c>
      <c r="AB449" s="0" t="str">
        <f aca="false">IF($A449="","",IF(AW449="Y",BY449&amp;"",BK449&amp;""))</f>
        <v/>
      </c>
      <c r="AC449" s="0" t="str">
        <f aca="false">IF($A449="","",IF(AW449="Y",BS449&amp;"",BE449&amp;""))</f>
        <v/>
      </c>
      <c r="AD449" s="0" t="str">
        <f aca="false">IF($A449="","",IF(AW449="Y",BT449&amp;"",BF449&amp;""))</f>
        <v/>
      </c>
      <c r="AE449" s="0" t="str">
        <f aca="false">IF($A449="","",IF(AW449="Y",BU449&amp;"",BG449&amp;""))</f>
        <v/>
      </c>
      <c r="AF449" s="0" t="str">
        <f aca="false">IF($A449="","",IF(AW449="Y",BV449&amp;"",BH449&amp;""))</f>
        <v/>
      </c>
      <c r="AG449" s="0" t="str">
        <f aca="false">IF($A449="","",IF(AW449="Y",BW449&amp;"",BI449&amp;""))</f>
        <v/>
      </c>
      <c r="AH449" s="0" t="str">
        <f aca="false">IF($A449="","",IF(AW449="Y",BX449&amp;"",BJ449&amp;""))</f>
        <v/>
      </c>
      <c r="AQ449" s="5"/>
      <c r="AT449" s="0" t="str">
        <f aca="false">IF($A449="","",IF(AND(CN449="pass",AQ449&lt;&gt;"Y",C449&lt;&gt;"",OR(AX449&lt;&gt;"Y",AV449="Y")),"Y","N"))</f>
        <v/>
      </c>
      <c r="AU449" s="0" t="str">
        <f aca="false">IF($A449="","",_xlfn.TEXTJOIN("; ",TRUE(),IF(CN449&lt;&gt;"pass","gated out",""),IF(AQ449="Y","on hold: "&amp;AR449,""),IF(C449="","no contact named on an opened page",""),IF(AND(AX449="Y",AV449&lt;&gt;"Y"),"Tuesday estimate band "&amp;L449&amp;": founder's call","")))</f>
        <v/>
      </c>
      <c r="BC449" s="0" t="str">
        <f aca="false">IF($A449="","",IFERROR(INDEX(Enrichment!$A$2:$GZ$2000,MATCH($A449,INDEX(Enrichment!$A$2:$GZ$2000,0,MATCH("row_id",Enrichment!$A$1:$GZ$1,0)),0),MATCH("work_email",Enrichment!$A$1:$GZ$1,0))&amp;"",""))</f>
        <v/>
      </c>
      <c r="BD449" s="0" t="str">
        <f aca="false">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Q449" s="0" t="str">
        <f aca="false">IF($A449="","",IFERROR(INDEX(Enrichment!$A$2:$GZ$2000,MATCH($A449,INDEX(Enrichment!$A$2:$GZ$2000,0,MATCH("row_id",Enrichment!$A$1:$GZ$1,0)),0),MATCH("backup_work_email",Enrichment!$A$1:$GZ$1,0))&amp;"",""))</f>
        <v/>
      </c>
      <c r="BR449" s="0" t="str">
        <f aca="false">IF($A449="","",IF(BQ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EQ449" s="0" t="str">
        <f aca="false">IF($A449="","",IF(AH449="exact",10,IF(AH449="adjacent",5,0)))</f>
        <v/>
      </c>
      <c r="ER449" s="0" t="str">
        <f aca="false">IF($A449="","",IF(R449="Y",15,0))</f>
        <v/>
      </c>
      <c r="FS449" s="0" t="str">
        <f aca="false">IF($A449="","",IF(ISNUMBER(MATCH(U449,{"queued","contacted","replied","call_booked","call_done","yes_in_principle","materials_sent"},0)),"Y","N"))</f>
        <v/>
      </c>
      <c r="FT449" s="0" t="str">
        <f aca="false">IF($A449="","",IF(OR(T449="Y",U449="do_not_contact",AS449&amp;""&lt;&gt;""),"Y","N"))</f>
        <v/>
      </c>
      <c r="FU449" s="0" t="str">
        <f aca="false">IF($A449="","",IF(AP449&amp;""&lt;&gt;"",AP449&amp;"",$A449))</f>
        <v/>
      </c>
      <c r="FV449" s="0" t="str">
        <f aca="false">IF($A449="","",IF(COUNTIFS($FU$2:$FU$1000,FU449,$FS$2:$FS$1000,"Y")+COUNTIFS($FU$2:$FU$1000,FU449,$FT$2:$FT$1000,"Y")&gt;0,"Y","N"))</f>
        <v/>
      </c>
      <c r="FW449" s="0" t="str">
        <f aca="false">IF($A449="","",IF(AND(U449="new",T449="N",FT449="N",AT449="Y",FV449="N"),"Y","N"))</f>
        <v/>
      </c>
      <c r="FX449" s="0" t="str">
        <f aca="false">IF($A449="","",IF(FW449&lt;&gt;"Y","N",IF(COUNTIFS($FU$2:$FU$1000,FU449,$FW$2:$FW$1000,"Y",$J$2:$J$1000,"&gt;"&amp;J449)+COUNTIFS($FU$2:$FU$1000,FU449,$FW$2:$FW$1000,"Y",$J$2:$J$1000,J449,$GD$2:$GD$1000,"&lt;"&amp;GD449)=0,"Y","N")))</f>
        <v/>
      </c>
      <c r="FY449" s="0" t="str">
        <f aca="false">IF($A449="","",IF(AND(FW449="Y",FX449="Y",Y449&amp;""&lt;&gt;""),IF(Y449&lt;=10,"Y","N"),"N"))</f>
        <v/>
      </c>
      <c r="FZ449" s="0" t="str">
        <f aca="false">IF(FY449="Y",Y449,"")</f>
        <v/>
      </c>
      <c r="GA449" s="0" t="str">
        <f aca="false">IF($A449="","",IF(AND(I449="walk-in",CN449="pass",U449="new",FT449="N",FV449="N",AQ449&lt;&gt;"Y"),"Y","N"))</f>
        <v/>
      </c>
      <c r="GB449" s="0" t="str">
        <f aca="false">IF(GA449&lt;&gt;"Y","",IF(COUNTIFS($GA$2:$GA$1000,"Y",$J$2:$J$1000,"&gt;"&amp;J449)+COUNTIFS($GA$2:$GA$1000,"Y",$J$2:$J$1000,J449,$GD$2:$GD$1000,"&lt;"&amp;GD449)+1&lt;=25,COUNTIFS($GA$2:$GA$1000,"Y",$J$2:$J$1000,"&gt;"&amp;J449)+COUNTIFS($GA$2:$GA$1000,"Y",$J$2:$J$1000,J449,$GD$2:$GD$1000,"&lt;"&amp;GD449)+1,""))</f>
        <v/>
      </c>
      <c r="GC449" s="0" t="str">
        <f aca="false">IF(AND(_xlfn.ISFORMULA(C449),_xlfn.ISFORMULA(J449)),"Y","N")</f>
        <v>Y</v>
      </c>
      <c r="GD449" s="0" t="n">
        <f aca="false">ROW()-1</f>
        <v>448</v>
      </c>
    </row>
    <row r="450" customFormat="false" ht="15" hidden="false" customHeight="false" outlineLevel="0" collapsed="false">
      <c r="C450" s="0" t="str">
        <f aca="false">IF($A450="","",IF(AW450="Y",BM450&amp;"",AY450&amp;""))</f>
        <v/>
      </c>
      <c r="D450" s="0" t="str">
        <f aca="false">IF($A450="","",IF(AW450="Y",BN450&amp;"",AZ450&amp;""))</f>
        <v/>
      </c>
      <c r="E450" s="0" t="str">
        <f aca="false">IF($A450="","",IF(AW450="Y",BO450&amp;"",BA450&amp;""))</f>
        <v/>
      </c>
      <c r="F450" s="0" t="str">
        <f aca="false">IF($A450="","",IF(AW450="Y",BP450&amp;"",BB450&amp;""))</f>
        <v/>
      </c>
      <c r="G450" s="0" t="str">
        <f aca="false">IF($A450="","",IF(AW450="Y",BQ450&amp;"",BC450&amp;""))</f>
        <v/>
      </c>
      <c r="H450" s="0" t="str">
        <f aca="false">IF($A450="","",IF(AW450="Y",BR450&amp;"",BD450&amp;""))</f>
        <v/>
      </c>
      <c r="I450" s="0" t="str">
        <f aca="false">IF($A450="","",IF(R450="Y","warm-intro",IF(H450="verified","email",IF(C450&lt;&gt;"","linkedin",CB450&amp;""))))</f>
        <v/>
      </c>
      <c r="J450" s="0" t="str">
        <f aca="false">IF($A450="","",IF(CN450="pass",ROUND(N(EM450)+N(EN450)+N(EO450)+N(EP450)+N(EQ450)+N(ER450),1),0))</f>
        <v/>
      </c>
      <c r="K450" s="0" t="str">
        <f aca="false">IF($A450="","",IF(CN450&lt;&gt;"pass",CA450&amp;"",CA450&amp;"; "&amp;IF(AW450="Y",BZ450&amp;"",BL450&amp;"")&amp;IF(R450="Y","; known to the founder (+15)","")&amp;"."))</f>
        <v/>
      </c>
      <c r="R450" s="5"/>
      <c r="U450" s="5"/>
      <c r="Y450" s="0" t="str">
        <f aca="false">IF(FX450&lt;&gt;"Y","",COUNTIFS($FX$2:$FX$1000,"Y",$J$2:$J$1000,"&gt;"&amp;J450)+COUNTIFS($FX$2:$FX$1000,"Y",$J$2:$J$1000,J450,$GD$2:$GD$1000,"&lt;"&amp;GD450)+1)</f>
        <v/>
      </c>
      <c r="AB450" s="0" t="str">
        <f aca="false">IF($A450="","",IF(AW450="Y",BY450&amp;"",BK450&amp;""))</f>
        <v/>
      </c>
      <c r="AC450" s="0" t="str">
        <f aca="false">IF($A450="","",IF(AW450="Y",BS450&amp;"",BE450&amp;""))</f>
        <v/>
      </c>
      <c r="AD450" s="0" t="str">
        <f aca="false">IF($A450="","",IF(AW450="Y",BT450&amp;"",BF450&amp;""))</f>
        <v/>
      </c>
      <c r="AE450" s="0" t="str">
        <f aca="false">IF($A450="","",IF(AW450="Y",BU450&amp;"",BG450&amp;""))</f>
        <v/>
      </c>
      <c r="AF450" s="0" t="str">
        <f aca="false">IF($A450="","",IF(AW450="Y",BV450&amp;"",BH450&amp;""))</f>
        <v/>
      </c>
      <c r="AG450" s="0" t="str">
        <f aca="false">IF($A450="","",IF(AW450="Y",BW450&amp;"",BI450&amp;""))</f>
        <v/>
      </c>
      <c r="AH450" s="0" t="str">
        <f aca="false">IF($A450="","",IF(AW450="Y",BX450&amp;"",BJ450&amp;""))</f>
        <v/>
      </c>
      <c r="AQ450" s="5"/>
      <c r="AT450" s="0" t="str">
        <f aca="false">IF($A450="","",IF(AND(CN450="pass",AQ450&lt;&gt;"Y",C450&lt;&gt;"",OR(AX450&lt;&gt;"Y",AV450="Y")),"Y","N"))</f>
        <v/>
      </c>
      <c r="AU450" s="0" t="str">
        <f aca="false">IF($A450="","",_xlfn.TEXTJOIN("; ",TRUE(),IF(CN450&lt;&gt;"pass","gated out",""),IF(AQ450="Y","on hold: "&amp;AR450,""),IF(C450="","no contact named on an opened page",""),IF(AND(AX450="Y",AV450&lt;&gt;"Y"),"Tuesday estimate band "&amp;L450&amp;": founder's call","")))</f>
        <v/>
      </c>
      <c r="BC450" s="0" t="str">
        <f aca="false">IF($A450="","",IFERROR(INDEX(Enrichment!$A$2:$GZ$2000,MATCH($A450,INDEX(Enrichment!$A$2:$GZ$2000,0,MATCH("row_id",Enrichment!$A$1:$GZ$1,0)),0),MATCH("work_email",Enrichment!$A$1:$GZ$1,0))&amp;"",""))</f>
        <v/>
      </c>
      <c r="BD450" s="0" t="str">
        <f aca="false">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Q450" s="0" t="str">
        <f aca="false">IF($A450="","",IFERROR(INDEX(Enrichment!$A$2:$GZ$2000,MATCH($A450,INDEX(Enrichment!$A$2:$GZ$2000,0,MATCH("row_id",Enrichment!$A$1:$GZ$1,0)),0),MATCH("backup_work_email",Enrichment!$A$1:$GZ$1,0))&amp;"",""))</f>
        <v/>
      </c>
      <c r="BR450" s="0" t="str">
        <f aca="false">IF($A450="","",IF(BQ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EQ450" s="0" t="str">
        <f aca="false">IF($A450="","",IF(AH450="exact",10,IF(AH450="adjacent",5,0)))</f>
        <v/>
      </c>
      <c r="ER450" s="0" t="str">
        <f aca="false">IF($A450="","",IF(R450="Y",15,0))</f>
        <v/>
      </c>
      <c r="FS450" s="0" t="str">
        <f aca="false">IF($A450="","",IF(ISNUMBER(MATCH(U450,{"queued","contacted","replied","call_booked","call_done","yes_in_principle","materials_sent"},0)),"Y","N"))</f>
        <v/>
      </c>
      <c r="FT450" s="0" t="str">
        <f aca="false">IF($A450="","",IF(OR(T450="Y",U450="do_not_contact",AS450&amp;""&lt;&gt;""),"Y","N"))</f>
        <v/>
      </c>
      <c r="FU450" s="0" t="str">
        <f aca="false">IF($A450="","",IF(AP450&amp;""&lt;&gt;"",AP450&amp;"",$A450))</f>
        <v/>
      </c>
      <c r="FV450" s="0" t="str">
        <f aca="false">IF($A450="","",IF(COUNTIFS($FU$2:$FU$1000,FU450,$FS$2:$FS$1000,"Y")+COUNTIFS($FU$2:$FU$1000,FU450,$FT$2:$FT$1000,"Y")&gt;0,"Y","N"))</f>
        <v/>
      </c>
      <c r="FW450" s="0" t="str">
        <f aca="false">IF($A450="","",IF(AND(U450="new",T450="N",FT450="N",AT450="Y",FV450="N"),"Y","N"))</f>
        <v/>
      </c>
      <c r="FX450" s="0" t="str">
        <f aca="false">IF($A450="","",IF(FW450&lt;&gt;"Y","N",IF(COUNTIFS($FU$2:$FU$1000,FU450,$FW$2:$FW$1000,"Y",$J$2:$J$1000,"&gt;"&amp;J450)+COUNTIFS($FU$2:$FU$1000,FU450,$FW$2:$FW$1000,"Y",$J$2:$J$1000,J450,$GD$2:$GD$1000,"&lt;"&amp;GD450)=0,"Y","N")))</f>
        <v/>
      </c>
      <c r="FY450" s="0" t="str">
        <f aca="false">IF($A450="","",IF(AND(FW450="Y",FX450="Y",Y450&amp;""&lt;&gt;""),IF(Y450&lt;=10,"Y","N"),"N"))</f>
        <v/>
      </c>
      <c r="FZ450" s="0" t="str">
        <f aca="false">IF(FY450="Y",Y450,"")</f>
        <v/>
      </c>
      <c r="GA450" s="0" t="str">
        <f aca="false">IF($A450="","",IF(AND(I450="walk-in",CN450="pass",U450="new",FT450="N",FV450="N",AQ450&lt;&gt;"Y"),"Y","N"))</f>
        <v/>
      </c>
      <c r="GB450" s="0" t="str">
        <f aca="false">IF(GA450&lt;&gt;"Y","",IF(COUNTIFS($GA$2:$GA$1000,"Y",$J$2:$J$1000,"&gt;"&amp;J450)+COUNTIFS($GA$2:$GA$1000,"Y",$J$2:$J$1000,J450,$GD$2:$GD$1000,"&lt;"&amp;GD450)+1&lt;=25,COUNTIFS($GA$2:$GA$1000,"Y",$J$2:$J$1000,"&gt;"&amp;J450)+COUNTIFS($GA$2:$GA$1000,"Y",$J$2:$J$1000,J450,$GD$2:$GD$1000,"&lt;"&amp;GD450)+1,""))</f>
        <v/>
      </c>
      <c r="GC450" s="0" t="str">
        <f aca="false">IF(AND(_xlfn.ISFORMULA(C450),_xlfn.ISFORMULA(J450)),"Y","N")</f>
        <v>Y</v>
      </c>
      <c r="GD450" s="0" t="n">
        <f aca="false">ROW()-1</f>
        <v>449</v>
      </c>
    </row>
    <row r="451" customFormat="false" ht="15" hidden="false" customHeight="false" outlineLevel="0" collapsed="false">
      <c r="C451" s="0" t="str">
        <f aca="false">IF($A451="","",IF(AW451="Y",BM451&amp;"",AY451&amp;""))</f>
        <v/>
      </c>
      <c r="D451" s="0" t="str">
        <f aca="false">IF($A451="","",IF(AW451="Y",BN451&amp;"",AZ451&amp;""))</f>
        <v/>
      </c>
      <c r="E451" s="0" t="str">
        <f aca="false">IF($A451="","",IF(AW451="Y",BO451&amp;"",BA451&amp;""))</f>
        <v/>
      </c>
      <c r="F451" s="0" t="str">
        <f aca="false">IF($A451="","",IF(AW451="Y",BP451&amp;"",BB451&amp;""))</f>
        <v/>
      </c>
      <c r="G451" s="0" t="str">
        <f aca="false">IF($A451="","",IF(AW451="Y",BQ451&amp;"",BC451&amp;""))</f>
        <v/>
      </c>
      <c r="H451" s="0" t="str">
        <f aca="false">IF($A451="","",IF(AW451="Y",BR451&amp;"",BD451&amp;""))</f>
        <v/>
      </c>
      <c r="I451" s="0" t="str">
        <f aca="false">IF($A451="","",IF(R451="Y","warm-intro",IF(H451="verified","email",IF(C451&lt;&gt;"","linkedin",CB451&amp;""))))</f>
        <v/>
      </c>
      <c r="J451" s="0" t="str">
        <f aca="false">IF($A451="","",IF(CN451="pass",ROUND(N(EM451)+N(EN451)+N(EO451)+N(EP451)+N(EQ451)+N(ER451),1),0))</f>
        <v/>
      </c>
      <c r="K451" s="0" t="str">
        <f aca="false">IF($A451="","",IF(CN451&lt;&gt;"pass",CA451&amp;"",CA451&amp;"; "&amp;IF(AW451="Y",BZ451&amp;"",BL451&amp;"")&amp;IF(R451="Y","; known to the founder (+15)","")&amp;"."))</f>
        <v/>
      </c>
      <c r="R451" s="5"/>
      <c r="U451" s="5"/>
      <c r="Y451" s="0" t="str">
        <f aca="false">IF(FX451&lt;&gt;"Y","",COUNTIFS($FX$2:$FX$1000,"Y",$J$2:$J$1000,"&gt;"&amp;J451)+COUNTIFS($FX$2:$FX$1000,"Y",$J$2:$J$1000,J451,$GD$2:$GD$1000,"&lt;"&amp;GD451)+1)</f>
        <v/>
      </c>
      <c r="AB451" s="0" t="str">
        <f aca="false">IF($A451="","",IF(AW451="Y",BY451&amp;"",BK451&amp;""))</f>
        <v/>
      </c>
      <c r="AC451" s="0" t="str">
        <f aca="false">IF($A451="","",IF(AW451="Y",BS451&amp;"",BE451&amp;""))</f>
        <v/>
      </c>
      <c r="AD451" s="0" t="str">
        <f aca="false">IF($A451="","",IF(AW451="Y",BT451&amp;"",BF451&amp;""))</f>
        <v/>
      </c>
      <c r="AE451" s="0" t="str">
        <f aca="false">IF($A451="","",IF(AW451="Y",BU451&amp;"",BG451&amp;""))</f>
        <v/>
      </c>
      <c r="AF451" s="0" t="str">
        <f aca="false">IF($A451="","",IF(AW451="Y",BV451&amp;"",BH451&amp;""))</f>
        <v/>
      </c>
      <c r="AG451" s="0" t="str">
        <f aca="false">IF($A451="","",IF(AW451="Y",BW451&amp;"",BI451&amp;""))</f>
        <v/>
      </c>
      <c r="AH451" s="0" t="str">
        <f aca="false">IF($A451="","",IF(AW451="Y",BX451&amp;"",BJ451&amp;""))</f>
        <v/>
      </c>
      <c r="AQ451" s="5"/>
      <c r="AT451" s="0" t="str">
        <f aca="false">IF($A451="","",IF(AND(CN451="pass",AQ451&lt;&gt;"Y",C451&lt;&gt;"",OR(AX451&lt;&gt;"Y",AV451="Y")),"Y","N"))</f>
        <v/>
      </c>
      <c r="AU451" s="0" t="str">
        <f aca="false">IF($A451="","",_xlfn.TEXTJOIN("; ",TRUE(),IF(CN451&lt;&gt;"pass","gated out",""),IF(AQ451="Y","on hold: "&amp;AR451,""),IF(C451="","no contact named on an opened page",""),IF(AND(AX451="Y",AV451&lt;&gt;"Y"),"Tuesday estimate band "&amp;L451&amp;": founder's call","")))</f>
        <v/>
      </c>
      <c r="BC451" s="0" t="str">
        <f aca="false">IF($A451="","",IFERROR(INDEX(Enrichment!$A$2:$GZ$2000,MATCH($A451,INDEX(Enrichment!$A$2:$GZ$2000,0,MATCH("row_id",Enrichment!$A$1:$GZ$1,0)),0),MATCH("work_email",Enrichment!$A$1:$GZ$1,0))&amp;"",""))</f>
        <v/>
      </c>
      <c r="BD451" s="0" t="str">
        <f aca="false">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Q451" s="0" t="str">
        <f aca="false">IF($A451="","",IFERROR(INDEX(Enrichment!$A$2:$GZ$2000,MATCH($A451,INDEX(Enrichment!$A$2:$GZ$2000,0,MATCH("row_id",Enrichment!$A$1:$GZ$1,0)),0),MATCH("backup_work_email",Enrichment!$A$1:$GZ$1,0))&amp;"",""))</f>
        <v/>
      </c>
      <c r="BR451" s="0" t="str">
        <f aca="false">IF($A451="","",IF(BQ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EQ451" s="0" t="str">
        <f aca="false">IF($A451="","",IF(AH451="exact",10,IF(AH451="adjacent",5,0)))</f>
        <v/>
      </c>
      <c r="ER451" s="0" t="str">
        <f aca="false">IF($A451="","",IF(R451="Y",15,0))</f>
        <v/>
      </c>
      <c r="FS451" s="0" t="str">
        <f aca="false">IF($A451="","",IF(ISNUMBER(MATCH(U451,{"queued","contacted","replied","call_booked","call_done","yes_in_principle","materials_sent"},0)),"Y","N"))</f>
        <v/>
      </c>
      <c r="FT451" s="0" t="str">
        <f aca="false">IF($A451="","",IF(OR(T451="Y",U451="do_not_contact",AS451&amp;""&lt;&gt;""),"Y","N"))</f>
        <v/>
      </c>
      <c r="FU451" s="0" t="str">
        <f aca="false">IF($A451="","",IF(AP451&amp;""&lt;&gt;"",AP451&amp;"",$A451))</f>
        <v/>
      </c>
      <c r="FV451" s="0" t="str">
        <f aca="false">IF($A451="","",IF(COUNTIFS($FU$2:$FU$1000,FU451,$FS$2:$FS$1000,"Y")+COUNTIFS($FU$2:$FU$1000,FU451,$FT$2:$FT$1000,"Y")&gt;0,"Y","N"))</f>
        <v/>
      </c>
      <c r="FW451" s="0" t="str">
        <f aca="false">IF($A451="","",IF(AND(U451="new",T451="N",FT451="N",AT451="Y",FV451="N"),"Y","N"))</f>
        <v/>
      </c>
      <c r="FX451" s="0" t="str">
        <f aca="false">IF($A451="","",IF(FW451&lt;&gt;"Y","N",IF(COUNTIFS($FU$2:$FU$1000,FU451,$FW$2:$FW$1000,"Y",$J$2:$J$1000,"&gt;"&amp;J451)+COUNTIFS($FU$2:$FU$1000,FU451,$FW$2:$FW$1000,"Y",$J$2:$J$1000,J451,$GD$2:$GD$1000,"&lt;"&amp;GD451)=0,"Y","N")))</f>
        <v/>
      </c>
      <c r="FY451" s="0" t="str">
        <f aca="false">IF($A451="","",IF(AND(FW451="Y",FX451="Y",Y451&amp;""&lt;&gt;""),IF(Y451&lt;=10,"Y","N"),"N"))</f>
        <v/>
      </c>
      <c r="FZ451" s="0" t="str">
        <f aca="false">IF(FY451="Y",Y451,"")</f>
        <v/>
      </c>
      <c r="GA451" s="0" t="str">
        <f aca="false">IF($A451="","",IF(AND(I451="walk-in",CN451="pass",U451="new",FT451="N",FV451="N",AQ451&lt;&gt;"Y"),"Y","N"))</f>
        <v/>
      </c>
      <c r="GB451" s="0" t="str">
        <f aca="false">IF(GA451&lt;&gt;"Y","",IF(COUNTIFS($GA$2:$GA$1000,"Y",$J$2:$J$1000,"&gt;"&amp;J451)+COUNTIFS($GA$2:$GA$1000,"Y",$J$2:$J$1000,J451,$GD$2:$GD$1000,"&lt;"&amp;GD451)+1&lt;=25,COUNTIFS($GA$2:$GA$1000,"Y",$J$2:$J$1000,"&gt;"&amp;J451)+COUNTIFS($GA$2:$GA$1000,"Y",$J$2:$J$1000,J451,$GD$2:$GD$1000,"&lt;"&amp;GD451)+1,""))</f>
        <v/>
      </c>
      <c r="GC451" s="0" t="str">
        <f aca="false">IF(AND(_xlfn.ISFORMULA(C451),_xlfn.ISFORMULA(J451)),"Y","N")</f>
        <v>Y</v>
      </c>
      <c r="GD451" s="0" t="n">
        <f aca="false">ROW()-1</f>
        <v>450</v>
      </c>
    </row>
    <row r="452" customFormat="false" ht="15" hidden="false" customHeight="false" outlineLevel="0" collapsed="false">
      <c r="C452" s="0" t="str">
        <f aca="false">IF($A452="","",IF(AW452="Y",BM452&amp;"",AY452&amp;""))</f>
        <v/>
      </c>
      <c r="D452" s="0" t="str">
        <f aca="false">IF($A452="","",IF(AW452="Y",BN452&amp;"",AZ452&amp;""))</f>
        <v/>
      </c>
      <c r="E452" s="0" t="str">
        <f aca="false">IF($A452="","",IF(AW452="Y",BO452&amp;"",BA452&amp;""))</f>
        <v/>
      </c>
      <c r="F452" s="0" t="str">
        <f aca="false">IF($A452="","",IF(AW452="Y",BP452&amp;"",BB452&amp;""))</f>
        <v/>
      </c>
      <c r="G452" s="0" t="str">
        <f aca="false">IF($A452="","",IF(AW452="Y",BQ452&amp;"",BC452&amp;""))</f>
        <v/>
      </c>
      <c r="H452" s="0" t="str">
        <f aca="false">IF($A452="","",IF(AW452="Y",BR452&amp;"",BD452&amp;""))</f>
        <v/>
      </c>
      <c r="I452" s="0" t="str">
        <f aca="false">IF($A452="","",IF(R452="Y","warm-intro",IF(H452="verified","email",IF(C452&lt;&gt;"","linkedin",CB452&amp;""))))</f>
        <v/>
      </c>
      <c r="J452" s="0" t="str">
        <f aca="false">IF($A452="","",IF(CN452="pass",ROUND(N(EM452)+N(EN452)+N(EO452)+N(EP452)+N(EQ452)+N(ER452),1),0))</f>
        <v/>
      </c>
      <c r="K452" s="0" t="str">
        <f aca="false">IF($A452="","",IF(CN452&lt;&gt;"pass",CA452&amp;"",CA452&amp;"; "&amp;IF(AW452="Y",BZ452&amp;"",BL452&amp;"")&amp;IF(R452="Y","; known to the founder (+15)","")&amp;"."))</f>
        <v/>
      </c>
      <c r="R452" s="5"/>
      <c r="U452" s="5"/>
      <c r="Y452" s="0" t="str">
        <f aca="false">IF(FX452&lt;&gt;"Y","",COUNTIFS($FX$2:$FX$1000,"Y",$J$2:$J$1000,"&gt;"&amp;J452)+COUNTIFS($FX$2:$FX$1000,"Y",$J$2:$J$1000,J452,$GD$2:$GD$1000,"&lt;"&amp;GD452)+1)</f>
        <v/>
      </c>
      <c r="AB452" s="0" t="str">
        <f aca="false">IF($A452="","",IF(AW452="Y",BY452&amp;"",BK452&amp;""))</f>
        <v/>
      </c>
      <c r="AC452" s="0" t="str">
        <f aca="false">IF($A452="","",IF(AW452="Y",BS452&amp;"",BE452&amp;""))</f>
        <v/>
      </c>
      <c r="AD452" s="0" t="str">
        <f aca="false">IF($A452="","",IF(AW452="Y",BT452&amp;"",BF452&amp;""))</f>
        <v/>
      </c>
      <c r="AE452" s="0" t="str">
        <f aca="false">IF($A452="","",IF(AW452="Y",BU452&amp;"",BG452&amp;""))</f>
        <v/>
      </c>
      <c r="AF452" s="0" t="str">
        <f aca="false">IF($A452="","",IF(AW452="Y",BV452&amp;"",BH452&amp;""))</f>
        <v/>
      </c>
      <c r="AG452" s="0" t="str">
        <f aca="false">IF($A452="","",IF(AW452="Y",BW452&amp;"",BI452&amp;""))</f>
        <v/>
      </c>
      <c r="AH452" s="0" t="str">
        <f aca="false">IF($A452="","",IF(AW452="Y",BX452&amp;"",BJ452&amp;""))</f>
        <v/>
      </c>
      <c r="AQ452" s="5"/>
      <c r="AT452" s="0" t="str">
        <f aca="false">IF($A452="","",IF(AND(CN452="pass",AQ452&lt;&gt;"Y",C452&lt;&gt;"",OR(AX452&lt;&gt;"Y",AV452="Y")),"Y","N"))</f>
        <v/>
      </c>
      <c r="AU452" s="0" t="str">
        <f aca="false">IF($A452="","",_xlfn.TEXTJOIN("; ",TRUE(),IF(CN452&lt;&gt;"pass","gated out",""),IF(AQ452="Y","on hold: "&amp;AR452,""),IF(C452="","no contact named on an opened page",""),IF(AND(AX452="Y",AV452&lt;&gt;"Y"),"Tuesday estimate band "&amp;L452&amp;": founder's call","")))</f>
        <v/>
      </c>
      <c r="BC452" s="0" t="str">
        <f aca="false">IF($A452="","",IFERROR(INDEX(Enrichment!$A$2:$GZ$2000,MATCH($A452,INDEX(Enrichment!$A$2:$GZ$2000,0,MATCH("row_id",Enrichment!$A$1:$GZ$1,0)),0),MATCH("work_email",Enrichment!$A$1:$GZ$1,0))&amp;"",""))</f>
        <v/>
      </c>
      <c r="BD452" s="0" t="str">
        <f aca="false">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Q452" s="0" t="str">
        <f aca="false">IF($A452="","",IFERROR(INDEX(Enrichment!$A$2:$GZ$2000,MATCH($A452,INDEX(Enrichment!$A$2:$GZ$2000,0,MATCH("row_id",Enrichment!$A$1:$GZ$1,0)),0),MATCH("backup_work_email",Enrichment!$A$1:$GZ$1,0))&amp;"",""))</f>
        <v/>
      </c>
      <c r="BR452" s="0" t="str">
        <f aca="false">IF($A452="","",IF(BQ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EQ452" s="0" t="str">
        <f aca="false">IF($A452="","",IF(AH452="exact",10,IF(AH452="adjacent",5,0)))</f>
        <v/>
      </c>
      <c r="ER452" s="0" t="str">
        <f aca="false">IF($A452="","",IF(R452="Y",15,0))</f>
        <v/>
      </c>
      <c r="FS452" s="0" t="str">
        <f aca="false">IF($A452="","",IF(ISNUMBER(MATCH(U452,{"queued","contacted","replied","call_booked","call_done","yes_in_principle","materials_sent"},0)),"Y","N"))</f>
        <v/>
      </c>
      <c r="FT452" s="0" t="str">
        <f aca="false">IF($A452="","",IF(OR(T452="Y",U452="do_not_contact",AS452&amp;""&lt;&gt;""),"Y","N"))</f>
        <v/>
      </c>
      <c r="FU452" s="0" t="str">
        <f aca="false">IF($A452="","",IF(AP452&amp;""&lt;&gt;"",AP452&amp;"",$A452))</f>
        <v/>
      </c>
      <c r="FV452" s="0" t="str">
        <f aca="false">IF($A452="","",IF(COUNTIFS($FU$2:$FU$1000,FU452,$FS$2:$FS$1000,"Y")+COUNTIFS($FU$2:$FU$1000,FU452,$FT$2:$FT$1000,"Y")&gt;0,"Y","N"))</f>
        <v/>
      </c>
      <c r="FW452" s="0" t="str">
        <f aca="false">IF($A452="","",IF(AND(U452="new",T452="N",FT452="N",AT452="Y",FV452="N"),"Y","N"))</f>
        <v/>
      </c>
      <c r="FX452" s="0" t="str">
        <f aca="false">IF($A452="","",IF(FW452&lt;&gt;"Y","N",IF(COUNTIFS($FU$2:$FU$1000,FU452,$FW$2:$FW$1000,"Y",$J$2:$J$1000,"&gt;"&amp;J452)+COUNTIFS($FU$2:$FU$1000,FU452,$FW$2:$FW$1000,"Y",$J$2:$J$1000,J452,$GD$2:$GD$1000,"&lt;"&amp;GD452)=0,"Y","N")))</f>
        <v/>
      </c>
      <c r="FY452" s="0" t="str">
        <f aca="false">IF($A452="","",IF(AND(FW452="Y",FX452="Y",Y452&amp;""&lt;&gt;""),IF(Y452&lt;=10,"Y","N"),"N"))</f>
        <v/>
      </c>
      <c r="FZ452" s="0" t="str">
        <f aca="false">IF(FY452="Y",Y452,"")</f>
        <v/>
      </c>
      <c r="GA452" s="0" t="str">
        <f aca="false">IF($A452="","",IF(AND(I452="walk-in",CN452="pass",U452="new",FT452="N",FV452="N",AQ452&lt;&gt;"Y"),"Y","N"))</f>
        <v/>
      </c>
      <c r="GB452" s="0" t="str">
        <f aca="false">IF(GA452&lt;&gt;"Y","",IF(COUNTIFS($GA$2:$GA$1000,"Y",$J$2:$J$1000,"&gt;"&amp;J452)+COUNTIFS($GA$2:$GA$1000,"Y",$J$2:$J$1000,J452,$GD$2:$GD$1000,"&lt;"&amp;GD452)+1&lt;=25,COUNTIFS($GA$2:$GA$1000,"Y",$J$2:$J$1000,"&gt;"&amp;J452)+COUNTIFS($GA$2:$GA$1000,"Y",$J$2:$J$1000,J452,$GD$2:$GD$1000,"&lt;"&amp;GD452)+1,""))</f>
        <v/>
      </c>
      <c r="GC452" s="0" t="str">
        <f aca="false">IF(AND(_xlfn.ISFORMULA(C452),_xlfn.ISFORMULA(J452)),"Y","N")</f>
        <v>Y</v>
      </c>
      <c r="GD452" s="0" t="n">
        <f aca="false">ROW()-1</f>
        <v>451</v>
      </c>
    </row>
    <row r="453" customFormat="false" ht="15" hidden="false" customHeight="false" outlineLevel="0" collapsed="false">
      <c r="C453" s="0" t="str">
        <f aca="false">IF($A453="","",IF(AW453="Y",BM453&amp;"",AY453&amp;""))</f>
        <v/>
      </c>
      <c r="D453" s="0" t="str">
        <f aca="false">IF($A453="","",IF(AW453="Y",BN453&amp;"",AZ453&amp;""))</f>
        <v/>
      </c>
      <c r="E453" s="0" t="str">
        <f aca="false">IF($A453="","",IF(AW453="Y",BO453&amp;"",BA453&amp;""))</f>
        <v/>
      </c>
      <c r="F453" s="0" t="str">
        <f aca="false">IF($A453="","",IF(AW453="Y",BP453&amp;"",BB453&amp;""))</f>
        <v/>
      </c>
      <c r="G453" s="0" t="str">
        <f aca="false">IF($A453="","",IF(AW453="Y",BQ453&amp;"",BC453&amp;""))</f>
        <v/>
      </c>
      <c r="H453" s="0" t="str">
        <f aca="false">IF($A453="","",IF(AW453="Y",BR453&amp;"",BD453&amp;""))</f>
        <v/>
      </c>
      <c r="I453" s="0" t="str">
        <f aca="false">IF($A453="","",IF(R453="Y","warm-intro",IF(H453="verified","email",IF(C453&lt;&gt;"","linkedin",CB453&amp;""))))</f>
        <v/>
      </c>
      <c r="J453" s="0" t="str">
        <f aca="false">IF($A453="","",IF(CN453="pass",ROUND(N(EM453)+N(EN453)+N(EO453)+N(EP453)+N(EQ453)+N(ER453),1),0))</f>
        <v/>
      </c>
      <c r="K453" s="0" t="str">
        <f aca="false">IF($A453="","",IF(CN453&lt;&gt;"pass",CA453&amp;"",CA453&amp;"; "&amp;IF(AW453="Y",BZ453&amp;"",BL453&amp;"")&amp;IF(R453="Y","; known to the founder (+15)","")&amp;"."))</f>
        <v/>
      </c>
      <c r="R453" s="5"/>
      <c r="U453" s="5"/>
      <c r="Y453" s="0" t="str">
        <f aca="false">IF(FX453&lt;&gt;"Y","",COUNTIFS($FX$2:$FX$1000,"Y",$J$2:$J$1000,"&gt;"&amp;J453)+COUNTIFS($FX$2:$FX$1000,"Y",$J$2:$J$1000,J453,$GD$2:$GD$1000,"&lt;"&amp;GD453)+1)</f>
        <v/>
      </c>
      <c r="AB453" s="0" t="str">
        <f aca="false">IF($A453="","",IF(AW453="Y",BY453&amp;"",BK453&amp;""))</f>
        <v/>
      </c>
      <c r="AC453" s="0" t="str">
        <f aca="false">IF($A453="","",IF(AW453="Y",BS453&amp;"",BE453&amp;""))</f>
        <v/>
      </c>
      <c r="AD453" s="0" t="str">
        <f aca="false">IF($A453="","",IF(AW453="Y",BT453&amp;"",BF453&amp;""))</f>
        <v/>
      </c>
      <c r="AE453" s="0" t="str">
        <f aca="false">IF($A453="","",IF(AW453="Y",BU453&amp;"",BG453&amp;""))</f>
        <v/>
      </c>
      <c r="AF453" s="0" t="str">
        <f aca="false">IF($A453="","",IF(AW453="Y",BV453&amp;"",BH453&amp;""))</f>
        <v/>
      </c>
      <c r="AG453" s="0" t="str">
        <f aca="false">IF($A453="","",IF(AW453="Y",BW453&amp;"",BI453&amp;""))</f>
        <v/>
      </c>
      <c r="AH453" s="0" t="str">
        <f aca="false">IF($A453="","",IF(AW453="Y",BX453&amp;"",BJ453&amp;""))</f>
        <v/>
      </c>
      <c r="AQ453" s="5"/>
      <c r="AT453" s="0" t="str">
        <f aca="false">IF($A453="","",IF(AND(CN453="pass",AQ453&lt;&gt;"Y",C453&lt;&gt;"",OR(AX453&lt;&gt;"Y",AV453="Y")),"Y","N"))</f>
        <v/>
      </c>
      <c r="AU453" s="0" t="str">
        <f aca="false">IF($A453="","",_xlfn.TEXTJOIN("; ",TRUE(),IF(CN453&lt;&gt;"pass","gated out",""),IF(AQ453="Y","on hold: "&amp;AR453,""),IF(C453="","no contact named on an opened page",""),IF(AND(AX453="Y",AV453&lt;&gt;"Y"),"Tuesday estimate band "&amp;L453&amp;": founder's call","")))</f>
        <v/>
      </c>
      <c r="BC453" s="0" t="str">
        <f aca="false">IF($A453="","",IFERROR(INDEX(Enrichment!$A$2:$GZ$2000,MATCH($A453,INDEX(Enrichment!$A$2:$GZ$2000,0,MATCH("row_id",Enrichment!$A$1:$GZ$1,0)),0),MATCH("work_email",Enrichment!$A$1:$GZ$1,0))&amp;"",""))</f>
        <v/>
      </c>
      <c r="BD453" s="0" t="str">
        <f aca="false">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Q453" s="0" t="str">
        <f aca="false">IF($A453="","",IFERROR(INDEX(Enrichment!$A$2:$GZ$2000,MATCH($A453,INDEX(Enrichment!$A$2:$GZ$2000,0,MATCH("row_id",Enrichment!$A$1:$GZ$1,0)),0),MATCH("backup_work_email",Enrichment!$A$1:$GZ$1,0))&amp;"",""))</f>
        <v/>
      </c>
      <c r="BR453" s="0" t="str">
        <f aca="false">IF($A453="","",IF(BQ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EQ453" s="0" t="str">
        <f aca="false">IF($A453="","",IF(AH453="exact",10,IF(AH453="adjacent",5,0)))</f>
        <v/>
      </c>
      <c r="ER453" s="0" t="str">
        <f aca="false">IF($A453="","",IF(R453="Y",15,0))</f>
        <v/>
      </c>
      <c r="FS453" s="0" t="str">
        <f aca="false">IF($A453="","",IF(ISNUMBER(MATCH(U453,{"queued","contacted","replied","call_booked","call_done","yes_in_principle","materials_sent"},0)),"Y","N"))</f>
        <v/>
      </c>
      <c r="FT453" s="0" t="str">
        <f aca="false">IF($A453="","",IF(OR(T453="Y",U453="do_not_contact",AS453&amp;""&lt;&gt;""),"Y","N"))</f>
        <v/>
      </c>
      <c r="FU453" s="0" t="str">
        <f aca="false">IF($A453="","",IF(AP453&amp;""&lt;&gt;"",AP453&amp;"",$A453))</f>
        <v/>
      </c>
      <c r="FV453" s="0" t="str">
        <f aca="false">IF($A453="","",IF(COUNTIFS($FU$2:$FU$1000,FU453,$FS$2:$FS$1000,"Y")+COUNTIFS($FU$2:$FU$1000,FU453,$FT$2:$FT$1000,"Y")&gt;0,"Y","N"))</f>
        <v/>
      </c>
      <c r="FW453" s="0" t="str">
        <f aca="false">IF($A453="","",IF(AND(U453="new",T453="N",FT453="N",AT453="Y",FV453="N"),"Y","N"))</f>
        <v/>
      </c>
      <c r="FX453" s="0" t="str">
        <f aca="false">IF($A453="","",IF(FW453&lt;&gt;"Y","N",IF(COUNTIFS($FU$2:$FU$1000,FU453,$FW$2:$FW$1000,"Y",$J$2:$J$1000,"&gt;"&amp;J453)+COUNTIFS($FU$2:$FU$1000,FU453,$FW$2:$FW$1000,"Y",$J$2:$J$1000,J453,$GD$2:$GD$1000,"&lt;"&amp;GD453)=0,"Y","N")))</f>
        <v/>
      </c>
      <c r="FY453" s="0" t="str">
        <f aca="false">IF($A453="","",IF(AND(FW453="Y",FX453="Y",Y453&amp;""&lt;&gt;""),IF(Y453&lt;=10,"Y","N"),"N"))</f>
        <v/>
      </c>
      <c r="FZ453" s="0" t="str">
        <f aca="false">IF(FY453="Y",Y453,"")</f>
        <v/>
      </c>
      <c r="GA453" s="0" t="str">
        <f aca="false">IF($A453="","",IF(AND(I453="walk-in",CN453="pass",U453="new",FT453="N",FV453="N",AQ453&lt;&gt;"Y"),"Y","N"))</f>
        <v/>
      </c>
      <c r="GB453" s="0" t="str">
        <f aca="false">IF(GA453&lt;&gt;"Y","",IF(COUNTIFS($GA$2:$GA$1000,"Y",$J$2:$J$1000,"&gt;"&amp;J453)+COUNTIFS($GA$2:$GA$1000,"Y",$J$2:$J$1000,J453,$GD$2:$GD$1000,"&lt;"&amp;GD453)+1&lt;=25,COUNTIFS($GA$2:$GA$1000,"Y",$J$2:$J$1000,"&gt;"&amp;J453)+COUNTIFS($GA$2:$GA$1000,"Y",$J$2:$J$1000,J453,$GD$2:$GD$1000,"&lt;"&amp;GD453)+1,""))</f>
        <v/>
      </c>
      <c r="GC453" s="0" t="str">
        <f aca="false">IF(AND(_xlfn.ISFORMULA(C453),_xlfn.ISFORMULA(J453)),"Y","N")</f>
        <v>Y</v>
      </c>
      <c r="GD453" s="0" t="n">
        <f aca="false">ROW()-1</f>
        <v>452</v>
      </c>
    </row>
    <row r="454" customFormat="false" ht="15" hidden="false" customHeight="false" outlineLevel="0" collapsed="false">
      <c r="C454" s="0" t="str">
        <f aca="false">IF($A454="","",IF(AW454="Y",BM454&amp;"",AY454&amp;""))</f>
        <v/>
      </c>
      <c r="D454" s="0" t="str">
        <f aca="false">IF($A454="","",IF(AW454="Y",BN454&amp;"",AZ454&amp;""))</f>
        <v/>
      </c>
      <c r="E454" s="0" t="str">
        <f aca="false">IF($A454="","",IF(AW454="Y",BO454&amp;"",BA454&amp;""))</f>
        <v/>
      </c>
      <c r="F454" s="0" t="str">
        <f aca="false">IF($A454="","",IF(AW454="Y",BP454&amp;"",BB454&amp;""))</f>
        <v/>
      </c>
      <c r="G454" s="0" t="str">
        <f aca="false">IF($A454="","",IF(AW454="Y",BQ454&amp;"",BC454&amp;""))</f>
        <v/>
      </c>
      <c r="H454" s="0" t="str">
        <f aca="false">IF($A454="","",IF(AW454="Y",BR454&amp;"",BD454&amp;""))</f>
        <v/>
      </c>
      <c r="I454" s="0" t="str">
        <f aca="false">IF($A454="","",IF(R454="Y","warm-intro",IF(H454="verified","email",IF(C454&lt;&gt;"","linkedin",CB454&amp;""))))</f>
        <v/>
      </c>
      <c r="J454" s="0" t="str">
        <f aca="false">IF($A454="","",IF(CN454="pass",ROUND(N(EM454)+N(EN454)+N(EO454)+N(EP454)+N(EQ454)+N(ER454),1),0))</f>
        <v/>
      </c>
      <c r="K454" s="0" t="str">
        <f aca="false">IF($A454="","",IF(CN454&lt;&gt;"pass",CA454&amp;"",CA454&amp;"; "&amp;IF(AW454="Y",BZ454&amp;"",BL454&amp;"")&amp;IF(R454="Y","; known to the founder (+15)","")&amp;"."))</f>
        <v/>
      </c>
      <c r="R454" s="5"/>
      <c r="U454" s="5"/>
      <c r="Y454" s="0" t="str">
        <f aca="false">IF(FX454&lt;&gt;"Y","",COUNTIFS($FX$2:$FX$1000,"Y",$J$2:$J$1000,"&gt;"&amp;J454)+COUNTIFS($FX$2:$FX$1000,"Y",$J$2:$J$1000,J454,$GD$2:$GD$1000,"&lt;"&amp;GD454)+1)</f>
        <v/>
      </c>
      <c r="AB454" s="0" t="str">
        <f aca="false">IF($A454="","",IF(AW454="Y",BY454&amp;"",BK454&amp;""))</f>
        <v/>
      </c>
      <c r="AC454" s="0" t="str">
        <f aca="false">IF($A454="","",IF(AW454="Y",BS454&amp;"",BE454&amp;""))</f>
        <v/>
      </c>
      <c r="AD454" s="0" t="str">
        <f aca="false">IF($A454="","",IF(AW454="Y",BT454&amp;"",BF454&amp;""))</f>
        <v/>
      </c>
      <c r="AE454" s="0" t="str">
        <f aca="false">IF($A454="","",IF(AW454="Y",BU454&amp;"",BG454&amp;""))</f>
        <v/>
      </c>
      <c r="AF454" s="0" t="str">
        <f aca="false">IF($A454="","",IF(AW454="Y",BV454&amp;"",BH454&amp;""))</f>
        <v/>
      </c>
      <c r="AG454" s="0" t="str">
        <f aca="false">IF($A454="","",IF(AW454="Y",BW454&amp;"",BI454&amp;""))</f>
        <v/>
      </c>
      <c r="AH454" s="0" t="str">
        <f aca="false">IF($A454="","",IF(AW454="Y",BX454&amp;"",BJ454&amp;""))</f>
        <v/>
      </c>
      <c r="AQ454" s="5"/>
      <c r="AT454" s="0" t="str">
        <f aca="false">IF($A454="","",IF(AND(CN454="pass",AQ454&lt;&gt;"Y",C454&lt;&gt;"",OR(AX454&lt;&gt;"Y",AV454="Y")),"Y","N"))</f>
        <v/>
      </c>
      <c r="AU454" s="0" t="str">
        <f aca="false">IF($A454="","",_xlfn.TEXTJOIN("; ",TRUE(),IF(CN454&lt;&gt;"pass","gated out",""),IF(AQ454="Y","on hold: "&amp;AR454,""),IF(C454="","no contact named on an opened page",""),IF(AND(AX454="Y",AV454&lt;&gt;"Y"),"Tuesday estimate band "&amp;L454&amp;": founder's call","")))</f>
        <v/>
      </c>
      <c r="BC454" s="0" t="str">
        <f aca="false">IF($A454="","",IFERROR(INDEX(Enrichment!$A$2:$GZ$2000,MATCH($A454,INDEX(Enrichment!$A$2:$GZ$2000,0,MATCH("row_id",Enrichment!$A$1:$GZ$1,0)),0),MATCH("work_email",Enrichment!$A$1:$GZ$1,0))&amp;"",""))</f>
        <v/>
      </c>
      <c r="BD454" s="0" t="str">
        <f aca="false">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Q454" s="0" t="str">
        <f aca="false">IF($A454="","",IFERROR(INDEX(Enrichment!$A$2:$GZ$2000,MATCH($A454,INDEX(Enrichment!$A$2:$GZ$2000,0,MATCH("row_id",Enrichment!$A$1:$GZ$1,0)),0),MATCH("backup_work_email",Enrichment!$A$1:$GZ$1,0))&amp;"",""))</f>
        <v/>
      </c>
      <c r="BR454" s="0" t="str">
        <f aca="false">IF($A454="","",IF(BQ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EQ454" s="0" t="str">
        <f aca="false">IF($A454="","",IF(AH454="exact",10,IF(AH454="adjacent",5,0)))</f>
        <v/>
      </c>
      <c r="ER454" s="0" t="str">
        <f aca="false">IF($A454="","",IF(R454="Y",15,0))</f>
        <v/>
      </c>
      <c r="FS454" s="0" t="str">
        <f aca="false">IF($A454="","",IF(ISNUMBER(MATCH(U454,{"queued","contacted","replied","call_booked","call_done","yes_in_principle","materials_sent"},0)),"Y","N"))</f>
        <v/>
      </c>
      <c r="FT454" s="0" t="str">
        <f aca="false">IF($A454="","",IF(OR(T454="Y",U454="do_not_contact",AS454&amp;""&lt;&gt;""),"Y","N"))</f>
        <v/>
      </c>
      <c r="FU454" s="0" t="str">
        <f aca="false">IF($A454="","",IF(AP454&amp;""&lt;&gt;"",AP454&amp;"",$A454))</f>
        <v/>
      </c>
      <c r="FV454" s="0" t="str">
        <f aca="false">IF($A454="","",IF(COUNTIFS($FU$2:$FU$1000,FU454,$FS$2:$FS$1000,"Y")+COUNTIFS($FU$2:$FU$1000,FU454,$FT$2:$FT$1000,"Y")&gt;0,"Y","N"))</f>
        <v/>
      </c>
      <c r="FW454" s="0" t="str">
        <f aca="false">IF($A454="","",IF(AND(U454="new",T454="N",FT454="N",AT454="Y",FV454="N"),"Y","N"))</f>
        <v/>
      </c>
      <c r="FX454" s="0" t="str">
        <f aca="false">IF($A454="","",IF(FW454&lt;&gt;"Y","N",IF(COUNTIFS($FU$2:$FU$1000,FU454,$FW$2:$FW$1000,"Y",$J$2:$J$1000,"&gt;"&amp;J454)+COUNTIFS($FU$2:$FU$1000,FU454,$FW$2:$FW$1000,"Y",$J$2:$J$1000,J454,$GD$2:$GD$1000,"&lt;"&amp;GD454)=0,"Y","N")))</f>
        <v/>
      </c>
      <c r="FY454" s="0" t="str">
        <f aca="false">IF($A454="","",IF(AND(FW454="Y",FX454="Y",Y454&amp;""&lt;&gt;""),IF(Y454&lt;=10,"Y","N"),"N"))</f>
        <v/>
      </c>
      <c r="FZ454" s="0" t="str">
        <f aca="false">IF(FY454="Y",Y454,"")</f>
        <v/>
      </c>
      <c r="GA454" s="0" t="str">
        <f aca="false">IF($A454="","",IF(AND(I454="walk-in",CN454="pass",U454="new",FT454="N",FV454="N",AQ454&lt;&gt;"Y"),"Y","N"))</f>
        <v/>
      </c>
      <c r="GB454" s="0" t="str">
        <f aca="false">IF(GA454&lt;&gt;"Y","",IF(COUNTIFS($GA$2:$GA$1000,"Y",$J$2:$J$1000,"&gt;"&amp;J454)+COUNTIFS($GA$2:$GA$1000,"Y",$J$2:$J$1000,J454,$GD$2:$GD$1000,"&lt;"&amp;GD454)+1&lt;=25,COUNTIFS($GA$2:$GA$1000,"Y",$J$2:$J$1000,"&gt;"&amp;J454)+COUNTIFS($GA$2:$GA$1000,"Y",$J$2:$J$1000,J454,$GD$2:$GD$1000,"&lt;"&amp;GD454)+1,""))</f>
        <v/>
      </c>
      <c r="GC454" s="0" t="str">
        <f aca="false">IF(AND(_xlfn.ISFORMULA(C454),_xlfn.ISFORMULA(J454)),"Y","N")</f>
        <v>Y</v>
      </c>
      <c r="GD454" s="0" t="n">
        <f aca="false">ROW()-1</f>
        <v>453</v>
      </c>
    </row>
    <row r="455" customFormat="false" ht="15" hidden="false" customHeight="false" outlineLevel="0" collapsed="false">
      <c r="C455" s="0" t="str">
        <f aca="false">IF($A455="","",IF(AW455="Y",BM455&amp;"",AY455&amp;""))</f>
        <v/>
      </c>
      <c r="D455" s="0" t="str">
        <f aca="false">IF($A455="","",IF(AW455="Y",BN455&amp;"",AZ455&amp;""))</f>
        <v/>
      </c>
      <c r="E455" s="0" t="str">
        <f aca="false">IF($A455="","",IF(AW455="Y",BO455&amp;"",BA455&amp;""))</f>
        <v/>
      </c>
      <c r="F455" s="0" t="str">
        <f aca="false">IF($A455="","",IF(AW455="Y",BP455&amp;"",BB455&amp;""))</f>
        <v/>
      </c>
      <c r="G455" s="0" t="str">
        <f aca="false">IF($A455="","",IF(AW455="Y",BQ455&amp;"",BC455&amp;""))</f>
        <v/>
      </c>
      <c r="H455" s="0" t="str">
        <f aca="false">IF($A455="","",IF(AW455="Y",BR455&amp;"",BD455&amp;""))</f>
        <v/>
      </c>
      <c r="I455" s="0" t="str">
        <f aca="false">IF($A455="","",IF(R455="Y","warm-intro",IF(H455="verified","email",IF(C455&lt;&gt;"","linkedin",CB455&amp;""))))</f>
        <v/>
      </c>
      <c r="J455" s="0" t="str">
        <f aca="false">IF($A455="","",IF(CN455="pass",ROUND(N(EM455)+N(EN455)+N(EO455)+N(EP455)+N(EQ455)+N(ER455),1),0))</f>
        <v/>
      </c>
      <c r="K455" s="0" t="str">
        <f aca="false">IF($A455="","",IF(CN455&lt;&gt;"pass",CA455&amp;"",CA455&amp;"; "&amp;IF(AW455="Y",BZ455&amp;"",BL455&amp;"")&amp;IF(R455="Y","; known to the founder (+15)","")&amp;"."))</f>
        <v/>
      </c>
      <c r="R455" s="5"/>
      <c r="U455" s="5"/>
      <c r="Y455" s="0" t="str">
        <f aca="false">IF(FX455&lt;&gt;"Y","",COUNTIFS($FX$2:$FX$1000,"Y",$J$2:$J$1000,"&gt;"&amp;J455)+COUNTIFS($FX$2:$FX$1000,"Y",$J$2:$J$1000,J455,$GD$2:$GD$1000,"&lt;"&amp;GD455)+1)</f>
        <v/>
      </c>
      <c r="AB455" s="0" t="str">
        <f aca="false">IF($A455="","",IF(AW455="Y",BY455&amp;"",BK455&amp;""))</f>
        <v/>
      </c>
      <c r="AC455" s="0" t="str">
        <f aca="false">IF($A455="","",IF(AW455="Y",BS455&amp;"",BE455&amp;""))</f>
        <v/>
      </c>
      <c r="AD455" s="0" t="str">
        <f aca="false">IF($A455="","",IF(AW455="Y",BT455&amp;"",BF455&amp;""))</f>
        <v/>
      </c>
      <c r="AE455" s="0" t="str">
        <f aca="false">IF($A455="","",IF(AW455="Y",BU455&amp;"",BG455&amp;""))</f>
        <v/>
      </c>
      <c r="AF455" s="0" t="str">
        <f aca="false">IF($A455="","",IF(AW455="Y",BV455&amp;"",BH455&amp;""))</f>
        <v/>
      </c>
      <c r="AG455" s="0" t="str">
        <f aca="false">IF($A455="","",IF(AW455="Y",BW455&amp;"",BI455&amp;""))</f>
        <v/>
      </c>
      <c r="AH455" s="0" t="str">
        <f aca="false">IF($A455="","",IF(AW455="Y",BX455&amp;"",BJ455&amp;""))</f>
        <v/>
      </c>
      <c r="AQ455" s="5"/>
      <c r="AT455" s="0" t="str">
        <f aca="false">IF($A455="","",IF(AND(CN455="pass",AQ455&lt;&gt;"Y",C455&lt;&gt;"",OR(AX455&lt;&gt;"Y",AV455="Y")),"Y","N"))</f>
        <v/>
      </c>
      <c r="AU455" s="0" t="str">
        <f aca="false">IF($A455="","",_xlfn.TEXTJOIN("; ",TRUE(),IF(CN455&lt;&gt;"pass","gated out",""),IF(AQ455="Y","on hold: "&amp;AR455,""),IF(C455="","no contact named on an opened page",""),IF(AND(AX455="Y",AV455&lt;&gt;"Y"),"Tuesday estimate band "&amp;L455&amp;": founder's call","")))</f>
        <v/>
      </c>
      <c r="BC455" s="0" t="str">
        <f aca="false">IF($A455="","",IFERROR(INDEX(Enrichment!$A$2:$GZ$2000,MATCH($A455,INDEX(Enrichment!$A$2:$GZ$2000,0,MATCH("row_id",Enrichment!$A$1:$GZ$1,0)),0),MATCH("work_email",Enrichment!$A$1:$GZ$1,0))&amp;"",""))</f>
        <v/>
      </c>
      <c r="BD455" s="0" t="str">
        <f aca="false">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Q455" s="0" t="str">
        <f aca="false">IF($A455="","",IFERROR(INDEX(Enrichment!$A$2:$GZ$2000,MATCH($A455,INDEX(Enrichment!$A$2:$GZ$2000,0,MATCH("row_id",Enrichment!$A$1:$GZ$1,0)),0),MATCH("backup_work_email",Enrichment!$A$1:$GZ$1,0))&amp;"",""))</f>
        <v/>
      </c>
      <c r="BR455" s="0" t="str">
        <f aca="false">IF($A455="","",IF(BQ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EQ455" s="0" t="str">
        <f aca="false">IF($A455="","",IF(AH455="exact",10,IF(AH455="adjacent",5,0)))</f>
        <v/>
      </c>
      <c r="ER455" s="0" t="str">
        <f aca="false">IF($A455="","",IF(R455="Y",15,0))</f>
        <v/>
      </c>
      <c r="FS455" s="0" t="str">
        <f aca="false">IF($A455="","",IF(ISNUMBER(MATCH(U455,{"queued","contacted","replied","call_booked","call_done","yes_in_principle","materials_sent"},0)),"Y","N"))</f>
        <v/>
      </c>
      <c r="FT455" s="0" t="str">
        <f aca="false">IF($A455="","",IF(OR(T455="Y",U455="do_not_contact",AS455&amp;""&lt;&gt;""),"Y","N"))</f>
        <v/>
      </c>
      <c r="FU455" s="0" t="str">
        <f aca="false">IF($A455="","",IF(AP455&amp;""&lt;&gt;"",AP455&amp;"",$A455))</f>
        <v/>
      </c>
      <c r="FV455" s="0" t="str">
        <f aca="false">IF($A455="","",IF(COUNTIFS($FU$2:$FU$1000,FU455,$FS$2:$FS$1000,"Y")+COUNTIFS($FU$2:$FU$1000,FU455,$FT$2:$FT$1000,"Y")&gt;0,"Y","N"))</f>
        <v/>
      </c>
      <c r="FW455" s="0" t="str">
        <f aca="false">IF($A455="","",IF(AND(U455="new",T455="N",FT455="N",AT455="Y",FV455="N"),"Y","N"))</f>
        <v/>
      </c>
      <c r="FX455" s="0" t="str">
        <f aca="false">IF($A455="","",IF(FW455&lt;&gt;"Y","N",IF(COUNTIFS($FU$2:$FU$1000,FU455,$FW$2:$FW$1000,"Y",$J$2:$J$1000,"&gt;"&amp;J455)+COUNTIFS($FU$2:$FU$1000,FU455,$FW$2:$FW$1000,"Y",$J$2:$J$1000,J455,$GD$2:$GD$1000,"&lt;"&amp;GD455)=0,"Y","N")))</f>
        <v/>
      </c>
      <c r="FY455" s="0" t="str">
        <f aca="false">IF($A455="","",IF(AND(FW455="Y",FX455="Y",Y455&amp;""&lt;&gt;""),IF(Y455&lt;=10,"Y","N"),"N"))</f>
        <v/>
      </c>
      <c r="FZ455" s="0" t="str">
        <f aca="false">IF(FY455="Y",Y455,"")</f>
        <v/>
      </c>
      <c r="GA455" s="0" t="str">
        <f aca="false">IF($A455="","",IF(AND(I455="walk-in",CN455="pass",U455="new",FT455="N",FV455="N",AQ455&lt;&gt;"Y"),"Y","N"))</f>
        <v/>
      </c>
      <c r="GB455" s="0" t="str">
        <f aca="false">IF(GA455&lt;&gt;"Y","",IF(COUNTIFS($GA$2:$GA$1000,"Y",$J$2:$J$1000,"&gt;"&amp;J455)+COUNTIFS($GA$2:$GA$1000,"Y",$J$2:$J$1000,J455,$GD$2:$GD$1000,"&lt;"&amp;GD455)+1&lt;=25,COUNTIFS($GA$2:$GA$1000,"Y",$J$2:$J$1000,"&gt;"&amp;J455)+COUNTIFS($GA$2:$GA$1000,"Y",$J$2:$J$1000,J455,$GD$2:$GD$1000,"&lt;"&amp;GD455)+1,""))</f>
        <v/>
      </c>
      <c r="GC455" s="0" t="str">
        <f aca="false">IF(AND(_xlfn.ISFORMULA(C455),_xlfn.ISFORMULA(J455)),"Y","N")</f>
        <v>Y</v>
      </c>
      <c r="GD455" s="0" t="n">
        <f aca="false">ROW()-1</f>
        <v>454</v>
      </c>
    </row>
    <row r="456" customFormat="false" ht="15" hidden="false" customHeight="false" outlineLevel="0" collapsed="false">
      <c r="C456" s="0" t="str">
        <f aca="false">IF($A456="","",IF(AW456="Y",BM456&amp;"",AY456&amp;""))</f>
        <v/>
      </c>
      <c r="D456" s="0" t="str">
        <f aca="false">IF($A456="","",IF(AW456="Y",BN456&amp;"",AZ456&amp;""))</f>
        <v/>
      </c>
      <c r="E456" s="0" t="str">
        <f aca="false">IF($A456="","",IF(AW456="Y",BO456&amp;"",BA456&amp;""))</f>
        <v/>
      </c>
      <c r="F456" s="0" t="str">
        <f aca="false">IF($A456="","",IF(AW456="Y",BP456&amp;"",BB456&amp;""))</f>
        <v/>
      </c>
      <c r="G456" s="0" t="str">
        <f aca="false">IF($A456="","",IF(AW456="Y",BQ456&amp;"",BC456&amp;""))</f>
        <v/>
      </c>
      <c r="H456" s="0" t="str">
        <f aca="false">IF($A456="","",IF(AW456="Y",BR456&amp;"",BD456&amp;""))</f>
        <v/>
      </c>
      <c r="I456" s="0" t="str">
        <f aca="false">IF($A456="","",IF(R456="Y","warm-intro",IF(H456="verified","email",IF(C456&lt;&gt;"","linkedin",CB456&amp;""))))</f>
        <v/>
      </c>
      <c r="J456" s="0" t="str">
        <f aca="false">IF($A456="","",IF(CN456="pass",ROUND(N(EM456)+N(EN456)+N(EO456)+N(EP456)+N(EQ456)+N(ER456),1),0))</f>
        <v/>
      </c>
      <c r="K456" s="0" t="str">
        <f aca="false">IF($A456="","",IF(CN456&lt;&gt;"pass",CA456&amp;"",CA456&amp;"; "&amp;IF(AW456="Y",BZ456&amp;"",BL456&amp;"")&amp;IF(R456="Y","; known to the founder (+15)","")&amp;"."))</f>
        <v/>
      </c>
      <c r="R456" s="5"/>
      <c r="U456" s="5"/>
      <c r="Y456" s="0" t="str">
        <f aca="false">IF(FX456&lt;&gt;"Y","",COUNTIFS($FX$2:$FX$1000,"Y",$J$2:$J$1000,"&gt;"&amp;J456)+COUNTIFS($FX$2:$FX$1000,"Y",$J$2:$J$1000,J456,$GD$2:$GD$1000,"&lt;"&amp;GD456)+1)</f>
        <v/>
      </c>
      <c r="AB456" s="0" t="str">
        <f aca="false">IF($A456="","",IF(AW456="Y",BY456&amp;"",BK456&amp;""))</f>
        <v/>
      </c>
      <c r="AC456" s="0" t="str">
        <f aca="false">IF($A456="","",IF(AW456="Y",BS456&amp;"",BE456&amp;""))</f>
        <v/>
      </c>
      <c r="AD456" s="0" t="str">
        <f aca="false">IF($A456="","",IF(AW456="Y",BT456&amp;"",BF456&amp;""))</f>
        <v/>
      </c>
      <c r="AE456" s="0" t="str">
        <f aca="false">IF($A456="","",IF(AW456="Y",BU456&amp;"",BG456&amp;""))</f>
        <v/>
      </c>
      <c r="AF456" s="0" t="str">
        <f aca="false">IF($A456="","",IF(AW456="Y",BV456&amp;"",BH456&amp;""))</f>
        <v/>
      </c>
      <c r="AG456" s="0" t="str">
        <f aca="false">IF($A456="","",IF(AW456="Y",BW456&amp;"",BI456&amp;""))</f>
        <v/>
      </c>
      <c r="AH456" s="0" t="str">
        <f aca="false">IF($A456="","",IF(AW456="Y",BX456&amp;"",BJ456&amp;""))</f>
        <v/>
      </c>
      <c r="AQ456" s="5"/>
      <c r="AT456" s="0" t="str">
        <f aca="false">IF($A456="","",IF(AND(CN456="pass",AQ456&lt;&gt;"Y",C456&lt;&gt;"",OR(AX456&lt;&gt;"Y",AV456="Y")),"Y","N"))</f>
        <v/>
      </c>
      <c r="AU456" s="0" t="str">
        <f aca="false">IF($A456="","",_xlfn.TEXTJOIN("; ",TRUE(),IF(CN456&lt;&gt;"pass","gated out",""),IF(AQ456="Y","on hold: "&amp;AR456,""),IF(C456="","no contact named on an opened page",""),IF(AND(AX456="Y",AV456&lt;&gt;"Y"),"Tuesday estimate band "&amp;L456&amp;": founder's call","")))</f>
        <v/>
      </c>
      <c r="BC456" s="0" t="str">
        <f aca="false">IF($A456="","",IFERROR(INDEX(Enrichment!$A$2:$GZ$2000,MATCH($A456,INDEX(Enrichment!$A$2:$GZ$2000,0,MATCH("row_id",Enrichment!$A$1:$GZ$1,0)),0),MATCH("work_email",Enrichment!$A$1:$GZ$1,0))&amp;"",""))</f>
        <v/>
      </c>
      <c r="BD456" s="0" t="str">
        <f aca="false">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Q456" s="0" t="str">
        <f aca="false">IF($A456="","",IFERROR(INDEX(Enrichment!$A$2:$GZ$2000,MATCH($A456,INDEX(Enrichment!$A$2:$GZ$2000,0,MATCH("row_id",Enrichment!$A$1:$GZ$1,0)),0),MATCH("backup_work_email",Enrichment!$A$1:$GZ$1,0))&amp;"",""))</f>
        <v/>
      </c>
      <c r="BR456" s="0" t="str">
        <f aca="false">IF($A456="","",IF(BQ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EQ456" s="0" t="str">
        <f aca="false">IF($A456="","",IF(AH456="exact",10,IF(AH456="adjacent",5,0)))</f>
        <v/>
      </c>
      <c r="ER456" s="0" t="str">
        <f aca="false">IF($A456="","",IF(R456="Y",15,0))</f>
        <v/>
      </c>
      <c r="FS456" s="0" t="str">
        <f aca="false">IF($A456="","",IF(ISNUMBER(MATCH(U456,{"queued","contacted","replied","call_booked","call_done","yes_in_principle","materials_sent"},0)),"Y","N"))</f>
        <v/>
      </c>
      <c r="FT456" s="0" t="str">
        <f aca="false">IF($A456="","",IF(OR(T456="Y",U456="do_not_contact",AS456&amp;""&lt;&gt;""),"Y","N"))</f>
        <v/>
      </c>
      <c r="FU456" s="0" t="str">
        <f aca="false">IF($A456="","",IF(AP456&amp;""&lt;&gt;"",AP456&amp;"",$A456))</f>
        <v/>
      </c>
      <c r="FV456" s="0" t="str">
        <f aca="false">IF($A456="","",IF(COUNTIFS($FU$2:$FU$1000,FU456,$FS$2:$FS$1000,"Y")+COUNTIFS($FU$2:$FU$1000,FU456,$FT$2:$FT$1000,"Y")&gt;0,"Y","N"))</f>
        <v/>
      </c>
      <c r="FW456" s="0" t="str">
        <f aca="false">IF($A456="","",IF(AND(U456="new",T456="N",FT456="N",AT456="Y",FV456="N"),"Y","N"))</f>
        <v/>
      </c>
      <c r="FX456" s="0" t="str">
        <f aca="false">IF($A456="","",IF(FW456&lt;&gt;"Y","N",IF(COUNTIFS($FU$2:$FU$1000,FU456,$FW$2:$FW$1000,"Y",$J$2:$J$1000,"&gt;"&amp;J456)+COUNTIFS($FU$2:$FU$1000,FU456,$FW$2:$FW$1000,"Y",$J$2:$J$1000,J456,$GD$2:$GD$1000,"&lt;"&amp;GD456)=0,"Y","N")))</f>
        <v/>
      </c>
      <c r="FY456" s="0" t="str">
        <f aca="false">IF($A456="","",IF(AND(FW456="Y",FX456="Y",Y456&amp;""&lt;&gt;""),IF(Y456&lt;=10,"Y","N"),"N"))</f>
        <v/>
      </c>
      <c r="FZ456" s="0" t="str">
        <f aca="false">IF(FY456="Y",Y456,"")</f>
        <v/>
      </c>
      <c r="GA456" s="0" t="str">
        <f aca="false">IF($A456="","",IF(AND(I456="walk-in",CN456="pass",U456="new",FT456="N",FV456="N",AQ456&lt;&gt;"Y"),"Y","N"))</f>
        <v/>
      </c>
      <c r="GB456" s="0" t="str">
        <f aca="false">IF(GA456&lt;&gt;"Y","",IF(COUNTIFS($GA$2:$GA$1000,"Y",$J$2:$J$1000,"&gt;"&amp;J456)+COUNTIFS($GA$2:$GA$1000,"Y",$J$2:$J$1000,J456,$GD$2:$GD$1000,"&lt;"&amp;GD456)+1&lt;=25,COUNTIFS($GA$2:$GA$1000,"Y",$J$2:$J$1000,"&gt;"&amp;J456)+COUNTIFS($GA$2:$GA$1000,"Y",$J$2:$J$1000,J456,$GD$2:$GD$1000,"&lt;"&amp;GD456)+1,""))</f>
        <v/>
      </c>
      <c r="GC456" s="0" t="str">
        <f aca="false">IF(AND(_xlfn.ISFORMULA(C456),_xlfn.ISFORMULA(J456)),"Y","N")</f>
        <v>Y</v>
      </c>
      <c r="GD456" s="0" t="n">
        <f aca="false">ROW()-1</f>
        <v>455</v>
      </c>
    </row>
    <row r="457" customFormat="false" ht="15" hidden="false" customHeight="false" outlineLevel="0" collapsed="false">
      <c r="C457" s="0" t="str">
        <f aca="false">IF($A457="","",IF(AW457="Y",BM457&amp;"",AY457&amp;""))</f>
        <v/>
      </c>
      <c r="D457" s="0" t="str">
        <f aca="false">IF($A457="","",IF(AW457="Y",BN457&amp;"",AZ457&amp;""))</f>
        <v/>
      </c>
      <c r="E457" s="0" t="str">
        <f aca="false">IF($A457="","",IF(AW457="Y",BO457&amp;"",BA457&amp;""))</f>
        <v/>
      </c>
      <c r="F457" s="0" t="str">
        <f aca="false">IF($A457="","",IF(AW457="Y",BP457&amp;"",BB457&amp;""))</f>
        <v/>
      </c>
      <c r="G457" s="0" t="str">
        <f aca="false">IF($A457="","",IF(AW457="Y",BQ457&amp;"",BC457&amp;""))</f>
        <v/>
      </c>
      <c r="H457" s="0" t="str">
        <f aca="false">IF($A457="","",IF(AW457="Y",BR457&amp;"",BD457&amp;""))</f>
        <v/>
      </c>
      <c r="I457" s="0" t="str">
        <f aca="false">IF($A457="","",IF(R457="Y","warm-intro",IF(H457="verified","email",IF(C457&lt;&gt;"","linkedin",CB457&amp;""))))</f>
        <v/>
      </c>
      <c r="J457" s="0" t="str">
        <f aca="false">IF($A457="","",IF(CN457="pass",ROUND(N(EM457)+N(EN457)+N(EO457)+N(EP457)+N(EQ457)+N(ER457),1),0))</f>
        <v/>
      </c>
      <c r="K457" s="0" t="str">
        <f aca="false">IF($A457="","",IF(CN457&lt;&gt;"pass",CA457&amp;"",CA457&amp;"; "&amp;IF(AW457="Y",BZ457&amp;"",BL457&amp;"")&amp;IF(R457="Y","; known to the founder (+15)","")&amp;"."))</f>
        <v/>
      </c>
      <c r="R457" s="5"/>
      <c r="U457" s="5"/>
      <c r="Y457" s="0" t="str">
        <f aca="false">IF(FX457&lt;&gt;"Y","",COUNTIFS($FX$2:$FX$1000,"Y",$J$2:$J$1000,"&gt;"&amp;J457)+COUNTIFS($FX$2:$FX$1000,"Y",$J$2:$J$1000,J457,$GD$2:$GD$1000,"&lt;"&amp;GD457)+1)</f>
        <v/>
      </c>
      <c r="AB457" s="0" t="str">
        <f aca="false">IF($A457="","",IF(AW457="Y",BY457&amp;"",BK457&amp;""))</f>
        <v/>
      </c>
      <c r="AC457" s="0" t="str">
        <f aca="false">IF($A457="","",IF(AW457="Y",BS457&amp;"",BE457&amp;""))</f>
        <v/>
      </c>
      <c r="AD457" s="0" t="str">
        <f aca="false">IF($A457="","",IF(AW457="Y",BT457&amp;"",BF457&amp;""))</f>
        <v/>
      </c>
      <c r="AE457" s="0" t="str">
        <f aca="false">IF($A457="","",IF(AW457="Y",BU457&amp;"",BG457&amp;""))</f>
        <v/>
      </c>
      <c r="AF457" s="0" t="str">
        <f aca="false">IF($A457="","",IF(AW457="Y",BV457&amp;"",BH457&amp;""))</f>
        <v/>
      </c>
      <c r="AG457" s="0" t="str">
        <f aca="false">IF($A457="","",IF(AW457="Y",BW457&amp;"",BI457&amp;""))</f>
        <v/>
      </c>
      <c r="AH457" s="0" t="str">
        <f aca="false">IF($A457="","",IF(AW457="Y",BX457&amp;"",BJ457&amp;""))</f>
        <v/>
      </c>
      <c r="AQ457" s="5"/>
      <c r="AT457" s="0" t="str">
        <f aca="false">IF($A457="","",IF(AND(CN457="pass",AQ457&lt;&gt;"Y",C457&lt;&gt;"",OR(AX457&lt;&gt;"Y",AV457="Y")),"Y","N"))</f>
        <v/>
      </c>
      <c r="AU457" s="0" t="str">
        <f aca="false">IF($A457="","",_xlfn.TEXTJOIN("; ",TRUE(),IF(CN457&lt;&gt;"pass","gated out",""),IF(AQ457="Y","on hold: "&amp;AR457,""),IF(C457="","no contact named on an opened page",""),IF(AND(AX457="Y",AV457&lt;&gt;"Y"),"Tuesday estimate band "&amp;L457&amp;": founder's call","")))</f>
        <v/>
      </c>
      <c r="BC457" s="0" t="str">
        <f aca="false">IF($A457="","",IFERROR(INDEX(Enrichment!$A$2:$GZ$2000,MATCH($A457,INDEX(Enrichment!$A$2:$GZ$2000,0,MATCH("row_id",Enrichment!$A$1:$GZ$1,0)),0),MATCH("work_email",Enrichment!$A$1:$GZ$1,0))&amp;"",""))</f>
        <v/>
      </c>
      <c r="BD457" s="0" t="str">
        <f aca="false">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Q457" s="0" t="str">
        <f aca="false">IF($A457="","",IFERROR(INDEX(Enrichment!$A$2:$GZ$2000,MATCH($A457,INDEX(Enrichment!$A$2:$GZ$2000,0,MATCH("row_id",Enrichment!$A$1:$GZ$1,0)),0),MATCH("backup_work_email",Enrichment!$A$1:$GZ$1,0))&amp;"",""))</f>
        <v/>
      </c>
      <c r="BR457" s="0" t="str">
        <f aca="false">IF($A457="","",IF(BQ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EQ457" s="0" t="str">
        <f aca="false">IF($A457="","",IF(AH457="exact",10,IF(AH457="adjacent",5,0)))</f>
        <v/>
      </c>
      <c r="ER457" s="0" t="str">
        <f aca="false">IF($A457="","",IF(R457="Y",15,0))</f>
        <v/>
      </c>
      <c r="FS457" s="0" t="str">
        <f aca="false">IF($A457="","",IF(ISNUMBER(MATCH(U457,{"queued","contacted","replied","call_booked","call_done","yes_in_principle","materials_sent"},0)),"Y","N"))</f>
        <v/>
      </c>
      <c r="FT457" s="0" t="str">
        <f aca="false">IF($A457="","",IF(OR(T457="Y",U457="do_not_contact",AS457&amp;""&lt;&gt;""),"Y","N"))</f>
        <v/>
      </c>
      <c r="FU457" s="0" t="str">
        <f aca="false">IF($A457="","",IF(AP457&amp;""&lt;&gt;"",AP457&amp;"",$A457))</f>
        <v/>
      </c>
      <c r="FV457" s="0" t="str">
        <f aca="false">IF($A457="","",IF(COUNTIFS($FU$2:$FU$1000,FU457,$FS$2:$FS$1000,"Y")+COUNTIFS($FU$2:$FU$1000,FU457,$FT$2:$FT$1000,"Y")&gt;0,"Y","N"))</f>
        <v/>
      </c>
      <c r="FW457" s="0" t="str">
        <f aca="false">IF($A457="","",IF(AND(U457="new",T457="N",FT457="N",AT457="Y",FV457="N"),"Y","N"))</f>
        <v/>
      </c>
      <c r="FX457" s="0" t="str">
        <f aca="false">IF($A457="","",IF(FW457&lt;&gt;"Y","N",IF(COUNTIFS($FU$2:$FU$1000,FU457,$FW$2:$FW$1000,"Y",$J$2:$J$1000,"&gt;"&amp;J457)+COUNTIFS($FU$2:$FU$1000,FU457,$FW$2:$FW$1000,"Y",$J$2:$J$1000,J457,$GD$2:$GD$1000,"&lt;"&amp;GD457)=0,"Y","N")))</f>
        <v/>
      </c>
      <c r="FY457" s="0" t="str">
        <f aca="false">IF($A457="","",IF(AND(FW457="Y",FX457="Y",Y457&amp;""&lt;&gt;""),IF(Y457&lt;=10,"Y","N"),"N"))</f>
        <v/>
      </c>
      <c r="FZ457" s="0" t="str">
        <f aca="false">IF(FY457="Y",Y457,"")</f>
        <v/>
      </c>
      <c r="GA457" s="0" t="str">
        <f aca="false">IF($A457="","",IF(AND(I457="walk-in",CN457="pass",U457="new",FT457="N",FV457="N",AQ457&lt;&gt;"Y"),"Y","N"))</f>
        <v/>
      </c>
      <c r="GB457" s="0" t="str">
        <f aca="false">IF(GA457&lt;&gt;"Y","",IF(COUNTIFS($GA$2:$GA$1000,"Y",$J$2:$J$1000,"&gt;"&amp;J457)+COUNTIFS($GA$2:$GA$1000,"Y",$J$2:$J$1000,J457,$GD$2:$GD$1000,"&lt;"&amp;GD457)+1&lt;=25,COUNTIFS($GA$2:$GA$1000,"Y",$J$2:$J$1000,"&gt;"&amp;J457)+COUNTIFS($GA$2:$GA$1000,"Y",$J$2:$J$1000,J457,$GD$2:$GD$1000,"&lt;"&amp;GD457)+1,""))</f>
        <v/>
      </c>
      <c r="GC457" s="0" t="str">
        <f aca="false">IF(AND(_xlfn.ISFORMULA(C457),_xlfn.ISFORMULA(J457)),"Y","N")</f>
        <v>Y</v>
      </c>
      <c r="GD457" s="0" t="n">
        <f aca="false">ROW()-1</f>
        <v>456</v>
      </c>
    </row>
    <row r="458" customFormat="false" ht="15" hidden="false" customHeight="false" outlineLevel="0" collapsed="false">
      <c r="C458" s="0" t="str">
        <f aca="false">IF($A458="","",IF(AW458="Y",BM458&amp;"",AY458&amp;""))</f>
        <v/>
      </c>
      <c r="D458" s="0" t="str">
        <f aca="false">IF($A458="","",IF(AW458="Y",BN458&amp;"",AZ458&amp;""))</f>
        <v/>
      </c>
      <c r="E458" s="0" t="str">
        <f aca="false">IF($A458="","",IF(AW458="Y",BO458&amp;"",BA458&amp;""))</f>
        <v/>
      </c>
      <c r="F458" s="0" t="str">
        <f aca="false">IF($A458="","",IF(AW458="Y",BP458&amp;"",BB458&amp;""))</f>
        <v/>
      </c>
      <c r="G458" s="0" t="str">
        <f aca="false">IF($A458="","",IF(AW458="Y",BQ458&amp;"",BC458&amp;""))</f>
        <v/>
      </c>
      <c r="H458" s="0" t="str">
        <f aca="false">IF($A458="","",IF(AW458="Y",BR458&amp;"",BD458&amp;""))</f>
        <v/>
      </c>
      <c r="I458" s="0" t="str">
        <f aca="false">IF($A458="","",IF(R458="Y","warm-intro",IF(H458="verified","email",IF(C458&lt;&gt;"","linkedin",CB458&amp;""))))</f>
        <v/>
      </c>
      <c r="J458" s="0" t="str">
        <f aca="false">IF($A458="","",IF(CN458="pass",ROUND(N(EM458)+N(EN458)+N(EO458)+N(EP458)+N(EQ458)+N(ER458),1),0))</f>
        <v/>
      </c>
      <c r="K458" s="0" t="str">
        <f aca="false">IF($A458="","",IF(CN458&lt;&gt;"pass",CA458&amp;"",CA458&amp;"; "&amp;IF(AW458="Y",BZ458&amp;"",BL458&amp;"")&amp;IF(R458="Y","; known to the founder (+15)","")&amp;"."))</f>
        <v/>
      </c>
      <c r="R458" s="5"/>
      <c r="U458" s="5"/>
      <c r="Y458" s="0" t="str">
        <f aca="false">IF(FX458&lt;&gt;"Y","",COUNTIFS($FX$2:$FX$1000,"Y",$J$2:$J$1000,"&gt;"&amp;J458)+COUNTIFS($FX$2:$FX$1000,"Y",$J$2:$J$1000,J458,$GD$2:$GD$1000,"&lt;"&amp;GD458)+1)</f>
        <v/>
      </c>
      <c r="AB458" s="0" t="str">
        <f aca="false">IF($A458="","",IF(AW458="Y",BY458&amp;"",BK458&amp;""))</f>
        <v/>
      </c>
      <c r="AC458" s="0" t="str">
        <f aca="false">IF($A458="","",IF(AW458="Y",BS458&amp;"",BE458&amp;""))</f>
        <v/>
      </c>
      <c r="AD458" s="0" t="str">
        <f aca="false">IF($A458="","",IF(AW458="Y",BT458&amp;"",BF458&amp;""))</f>
        <v/>
      </c>
      <c r="AE458" s="0" t="str">
        <f aca="false">IF($A458="","",IF(AW458="Y",BU458&amp;"",BG458&amp;""))</f>
        <v/>
      </c>
      <c r="AF458" s="0" t="str">
        <f aca="false">IF($A458="","",IF(AW458="Y",BV458&amp;"",BH458&amp;""))</f>
        <v/>
      </c>
      <c r="AG458" s="0" t="str">
        <f aca="false">IF($A458="","",IF(AW458="Y",BW458&amp;"",BI458&amp;""))</f>
        <v/>
      </c>
      <c r="AH458" s="0" t="str">
        <f aca="false">IF($A458="","",IF(AW458="Y",BX458&amp;"",BJ458&amp;""))</f>
        <v/>
      </c>
      <c r="AQ458" s="5"/>
      <c r="AT458" s="0" t="str">
        <f aca="false">IF($A458="","",IF(AND(CN458="pass",AQ458&lt;&gt;"Y",C458&lt;&gt;"",OR(AX458&lt;&gt;"Y",AV458="Y")),"Y","N"))</f>
        <v/>
      </c>
      <c r="AU458" s="0" t="str">
        <f aca="false">IF($A458="","",_xlfn.TEXTJOIN("; ",TRUE(),IF(CN458&lt;&gt;"pass","gated out",""),IF(AQ458="Y","on hold: "&amp;AR458,""),IF(C458="","no contact named on an opened page",""),IF(AND(AX458="Y",AV458&lt;&gt;"Y"),"Tuesday estimate band "&amp;L458&amp;": founder's call","")))</f>
        <v/>
      </c>
      <c r="BC458" s="0" t="str">
        <f aca="false">IF($A458="","",IFERROR(INDEX(Enrichment!$A$2:$GZ$2000,MATCH($A458,INDEX(Enrichment!$A$2:$GZ$2000,0,MATCH("row_id",Enrichment!$A$1:$GZ$1,0)),0),MATCH("work_email",Enrichment!$A$1:$GZ$1,0))&amp;"",""))</f>
        <v/>
      </c>
      <c r="BD458" s="0" t="str">
        <f aca="false">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Q458" s="0" t="str">
        <f aca="false">IF($A458="","",IFERROR(INDEX(Enrichment!$A$2:$GZ$2000,MATCH($A458,INDEX(Enrichment!$A$2:$GZ$2000,0,MATCH("row_id",Enrichment!$A$1:$GZ$1,0)),0),MATCH("backup_work_email",Enrichment!$A$1:$GZ$1,0))&amp;"",""))</f>
        <v/>
      </c>
      <c r="BR458" s="0" t="str">
        <f aca="false">IF($A458="","",IF(BQ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EQ458" s="0" t="str">
        <f aca="false">IF($A458="","",IF(AH458="exact",10,IF(AH458="adjacent",5,0)))</f>
        <v/>
      </c>
      <c r="ER458" s="0" t="str">
        <f aca="false">IF($A458="","",IF(R458="Y",15,0))</f>
        <v/>
      </c>
      <c r="FS458" s="0" t="str">
        <f aca="false">IF($A458="","",IF(ISNUMBER(MATCH(U458,{"queued","contacted","replied","call_booked","call_done","yes_in_principle","materials_sent"},0)),"Y","N"))</f>
        <v/>
      </c>
      <c r="FT458" s="0" t="str">
        <f aca="false">IF($A458="","",IF(OR(T458="Y",U458="do_not_contact",AS458&amp;""&lt;&gt;""),"Y","N"))</f>
        <v/>
      </c>
      <c r="FU458" s="0" t="str">
        <f aca="false">IF($A458="","",IF(AP458&amp;""&lt;&gt;"",AP458&amp;"",$A458))</f>
        <v/>
      </c>
      <c r="FV458" s="0" t="str">
        <f aca="false">IF($A458="","",IF(COUNTIFS($FU$2:$FU$1000,FU458,$FS$2:$FS$1000,"Y")+COUNTIFS($FU$2:$FU$1000,FU458,$FT$2:$FT$1000,"Y")&gt;0,"Y","N"))</f>
        <v/>
      </c>
      <c r="FW458" s="0" t="str">
        <f aca="false">IF($A458="","",IF(AND(U458="new",T458="N",FT458="N",AT458="Y",FV458="N"),"Y","N"))</f>
        <v/>
      </c>
      <c r="FX458" s="0" t="str">
        <f aca="false">IF($A458="","",IF(FW458&lt;&gt;"Y","N",IF(COUNTIFS($FU$2:$FU$1000,FU458,$FW$2:$FW$1000,"Y",$J$2:$J$1000,"&gt;"&amp;J458)+COUNTIFS($FU$2:$FU$1000,FU458,$FW$2:$FW$1000,"Y",$J$2:$J$1000,J458,$GD$2:$GD$1000,"&lt;"&amp;GD458)=0,"Y","N")))</f>
        <v/>
      </c>
      <c r="FY458" s="0" t="str">
        <f aca="false">IF($A458="","",IF(AND(FW458="Y",FX458="Y",Y458&amp;""&lt;&gt;""),IF(Y458&lt;=10,"Y","N"),"N"))</f>
        <v/>
      </c>
      <c r="FZ458" s="0" t="str">
        <f aca="false">IF(FY458="Y",Y458,"")</f>
        <v/>
      </c>
      <c r="GA458" s="0" t="str">
        <f aca="false">IF($A458="","",IF(AND(I458="walk-in",CN458="pass",U458="new",FT458="N",FV458="N",AQ458&lt;&gt;"Y"),"Y","N"))</f>
        <v/>
      </c>
      <c r="GB458" s="0" t="str">
        <f aca="false">IF(GA458&lt;&gt;"Y","",IF(COUNTIFS($GA$2:$GA$1000,"Y",$J$2:$J$1000,"&gt;"&amp;J458)+COUNTIFS($GA$2:$GA$1000,"Y",$J$2:$J$1000,J458,$GD$2:$GD$1000,"&lt;"&amp;GD458)+1&lt;=25,COUNTIFS($GA$2:$GA$1000,"Y",$J$2:$J$1000,"&gt;"&amp;J458)+COUNTIFS($GA$2:$GA$1000,"Y",$J$2:$J$1000,J458,$GD$2:$GD$1000,"&lt;"&amp;GD458)+1,""))</f>
        <v/>
      </c>
      <c r="GC458" s="0" t="str">
        <f aca="false">IF(AND(_xlfn.ISFORMULA(C458),_xlfn.ISFORMULA(J458)),"Y","N")</f>
        <v>Y</v>
      </c>
      <c r="GD458" s="0" t="n">
        <f aca="false">ROW()-1</f>
        <v>457</v>
      </c>
    </row>
    <row r="459" customFormat="false" ht="15" hidden="false" customHeight="false" outlineLevel="0" collapsed="false">
      <c r="C459" s="0" t="str">
        <f aca="false">IF($A459="","",IF(AW459="Y",BM459&amp;"",AY459&amp;""))</f>
        <v/>
      </c>
      <c r="D459" s="0" t="str">
        <f aca="false">IF($A459="","",IF(AW459="Y",BN459&amp;"",AZ459&amp;""))</f>
        <v/>
      </c>
      <c r="E459" s="0" t="str">
        <f aca="false">IF($A459="","",IF(AW459="Y",BO459&amp;"",BA459&amp;""))</f>
        <v/>
      </c>
      <c r="F459" s="0" t="str">
        <f aca="false">IF($A459="","",IF(AW459="Y",BP459&amp;"",BB459&amp;""))</f>
        <v/>
      </c>
      <c r="G459" s="0" t="str">
        <f aca="false">IF($A459="","",IF(AW459="Y",BQ459&amp;"",BC459&amp;""))</f>
        <v/>
      </c>
      <c r="H459" s="0" t="str">
        <f aca="false">IF($A459="","",IF(AW459="Y",BR459&amp;"",BD459&amp;""))</f>
        <v/>
      </c>
      <c r="I459" s="0" t="str">
        <f aca="false">IF($A459="","",IF(R459="Y","warm-intro",IF(H459="verified","email",IF(C459&lt;&gt;"","linkedin",CB459&amp;""))))</f>
        <v/>
      </c>
      <c r="J459" s="0" t="str">
        <f aca="false">IF($A459="","",IF(CN459="pass",ROUND(N(EM459)+N(EN459)+N(EO459)+N(EP459)+N(EQ459)+N(ER459),1),0))</f>
        <v/>
      </c>
      <c r="K459" s="0" t="str">
        <f aca="false">IF($A459="","",IF(CN459&lt;&gt;"pass",CA459&amp;"",CA459&amp;"; "&amp;IF(AW459="Y",BZ459&amp;"",BL459&amp;"")&amp;IF(R459="Y","; known to the founder (+15)","")&amp;"."))</f>
        <v/>
      </c>
      <c r="R459" s="5"/>
      <c r="U459" s="5"/>
      <c r="Y459" s="0" t="str">
        <f aca="false">IF(FX459&lt;&gt;"Y","",COUNTIFS($FX$2:$FX$1000,"Y",$J$2:$J$1000,"&gt;"&amp;J459)+COUNTIFS($FX$2:$FX$1000,"Y",$J$2:$J$1000,J459,$GD$2:$GD$1000,"&lt;"&amp;GD459)+1)</f>
        <v/>
      </c>
      <c r="AB459" s="0" t="str">
        <f aca="false">IF($A459="","",IF(AW459="Y",BY459&amp;"",BK459&amp;""))</f>
        <v/>
      </c>
      <c r="AC459" s="0" t="str">
        <f aca="false">IF($A459="","",IF(AW459="Y",BS459&amp;"",BE459&amp;""))</f>
        <v/>
      </c>
      <c r="AD459" s="0" t="str">
        <f aca="false">IF($A459="","",IF(AW459="Y",BT459&amp;"",BF459&amp;""))</f>
        <v/>
      </c>
      <c r="AE459" s="0" t="str">
        <f aca="false">IF($A459="","",IF(AW459="Y",BU459&amp;"",BG459&amp;""))</f>
        <v/>
      </c>
      <c r="AF459" s="0" t="str">
        <f aca="false">IF($A459="","",IF(AW459="Y",BV459&amp;"",BH459&amp;""))</f>
        <v/>
      </c>
      <c r="AG459" s="0" t="str">
        <f aca="false">IF($A459="","",IF(AW459="Y",BW459&amp;"",BI459&amp;""))</f>
        <v/>
      </c>
      <c r="AH459" s="0" t="str">
        <f aca="false">IF($A459="","",IF(AW459="Y",BX459&amp;"",BJ459&amp;""))</f>
        <v/>
      </c>
      <c r="AQ459" s="5"/>
      <c r="AT459" s="0" t="str">
        <f aca="false">IF($A459="","",IF(AND(CN459="pass",AQ459&lt;&gt;"Y",C459&lt;&gt;"",OR(AX459&lt;&gt;"Y",AV459="Y")),"Y","N"))</f>
        <v/>
      </c>
      <c r="AU459" s="0" t="str">
        <f aca="false">IF($A459="","",_xlfn.TEXTJOIN("; ",TRUE(),IF(CN459&lt;&gt;"pass","gated out",""),IF(AQ459="Y","on hold: "&amp;AR459,""),IF(C459="","no contact named on an opened page",""),IF(AND(AX459="Y",AV459&lt;&gt;"Y"),"Tuesday estimate band "&amp;L459&amp;": founder's call","")))</f>
        <v/>
      </c>
      <c r="BC459" s="0" t="str">
        <f aca="false">IF($A459="","",IFERROR(INDEX(Enrichment!$A$2:$GZ$2000,MATCH($A459,INDEX(Enrichment!$A$2:$GZ$2000,0,MATCH("row_id",Enrichment!$A$1:$GZ$1,0)),0),MATCH("work_email",Enrichment!$A$1:$GZ$1,0))&amp;"",""))</f>
        <v/>
      </c>
      <c r="BD459" s="0" t="str">
        <f aca="false">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Q459" s="0" t="str">
        <f aca="false">IF($A459="","",IFERROR(INDEX(Enrichment!$A$2:$GZ$2000,MATCH($A459,INDEX(Enrichment!$A$2:$GZ$2000,0,MATCH("row_id",Enrichment!$A$1:$GZ$1,0)),0),MATCH("backup_work_email",Enrichment!$A$1:$GZ$1,0))&amp;"",""))</f>
        <v/>
      </c>
      <c r="BR459" s="0" t="str">
        <f aca="false">IF($A459="","",IF(BQ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EQ459" s="0" t="str">
        <f aca="false">IF($A459="","",IF(AH459="exact",10,IF(AH459="adjacent",5,0)))</f>
        <v/>
      </c>
      <c r="ER459" s="0" t="str">
        <f aca="false">IF($A459="","",IF(R459="Y",15,0))</f>
        <v/>
      </c>
      <c r="FS459" s="0" t="str">
        <f aca="false">IF($A459="","",IF(ISNUMBER(MATCH(U459,{"queued","contacted","replied","call_booked","call_done","yes_in_principle","materials_sent"},0)),"Y","N"))</f>
        <v/>
      </c>
      <c r="FT459" s="0" t="str">
        <f aca="false">IF($A459="","",IF(OR(T459="Y",U459="do_not_contact",AS459&amp;""&lt;&gt;""),"Y","N"))</f>
        <v/>
      </c>
      <c r="FU459" s="0" t="str">
        <f aca="false">IF($A459="","",IF(AP459&amp;""&lt;&gt;"",AP459&amp;"",$A459))</f>
        <v/>
      </c>
      <c r="FV459" s="0" t="str">
        <f aca="false">IF($A459="","",IF(COUNTIFS($FU$2:$FU$1000,FU459,$FS$2:$FS$1000,"Y")+COUNTIFS($FU$2:$FU$1000,FU459,$FT$2:$FT$1000,"Y")&gt;0,"Y","N"))</f>
        <v/>
      </c>
      <c r="FW459" s="0" t="str">
        <f aca="false">IF($A459="","",IF(AND(U459="new",T459="N",FT459="N",AT459="Y",FV459="N"),"Y","N"))</f>
        <v/>
      </c>
      <c r="FX459" s="0" t="str">
        <f aca="false">IF($A459="","",IF(FW459&lt;&gt;"Y","N",IF(COUNTIFS($FU$2:$FU$1000,FU459,$FW$2:$FW$1000,"Y",$J$2:$J$1000,"&gt;"&amp;J459)+COUNTIFS($FU$2:$FU$1000,FU459,$FW$2:$FW$1000,"Y",$J$2:$J$1000,J459,$GD$2:$GD$1000,"&lt;"&amp;GD459)=0,"Y","N")))</f>
        <v/>
      </c>
      <c r="FY459" s="0" t="str">
        <f aca="false">IF($A459="","",IF(AND(FW459="Y",FX459="Y",Y459&amp;""&lt;&gt;""),IF(Y459&lt;=10,"Y","N"),"N"))</f>
        <v/>
      </c>
      <c r="FZ459" s="0" t="str">
        <f aca="false">IF(FY459="Y",Y459,"")</f>
        <v/>
      </c>
      <c r="GA459" s="0" t="str">
        <f aca="false">IF($A459="","",IF(AND(I459="walk-in",CN459="pass",U459="new",FT459="N",FV459="N",AQ459&lt;&gt;"Y"),"Y","N"))</f>
        <v/>
      </c>
      <c r="GB459" s="0" t="str">
        <f aca="false">IF(GA459&lt;&gt;"Y","",IF(COUNTIFS($GA$2:$GA$1000,"Y",$J$2:$J$1000,"&gt;"&amp;J459)+COUNTIFS($GA$2:$GA$1000,"Y",$J$2:$J$1000,J459,$GD$2:$GD$1000,"&lt;"&amp;GD459)+1&lt;=25,COUNTIFS($GA$2:$GA$1000,"Y",$J$2:$J$1000,"&gt;"&amp;J459)+COUNTIFS($GA$2:$GA$1000,"Y",$J$2:$J$1000,J459,$GD$2:$GD$1000,"&lt;"&amp;GD459)+1,""))</f>
        <v/>
      </c>
      <c r="GC459" s="0" t="str">
        <f aca="false">IF(AND(_xlfn.ISFORMULA(C459),_xlfn.ISFORMULA(J459)),"Y","N")</f>
        <v>Y</v>
      </c>
      <c r="GD459" s="0" t="n">
        <f aca="false">ROW()-1</f>
        <v>458</v>
      </c>
    </row>
    <row r="460" customFormat="false" ht="15" hidden="false" customHeight="false" outlineLevel="0" collapsed="false">
      <c r="C460" s="0" t="str">
        <f aca="false">IF($A460="","",IF(AW460="Y",BM460&amp;"",AY460&amp;""))</f>
        <v/>
      </c>
      <c r="D460" s="0" t="str">
        <f aca="false">IF($A460="","",IF(AW460="Y",BN460&amp;"",AZ460&amp;""))</f>
        <v/>
      </c>
      <c r="E460" s="0" t="str">
        <f aca="false">IF($A460="","",IF(AW460="Y",BO460&amp;"",BA460&amp;""))</f>
        <v/>
      </c>
      <c r="F460" s="0" t="str">
        <f aca="false">IF($A460="","",IF(AW460="Y",BP460&amp;"",BB460&amp;""))</f>
        <v/>
      </c>
      <c r="G460" s="0" t="str">
        <f aca="false">IF($A460="","",IF(AW460="Y",BQ460&amp;"",BC460&amp;""))</f>
        <v/>
      </c>
      <c r="H460" s="0" t="str">
        <f aca="false">IF($A460="","",IF(AW460="Y",BR460&amp;"",BD460&amp;""))</f>
        <v/>
      </c>
      <c r="I460" s="0" t="str">
        <f aca="false">IF($A460="","",IF(R460="Y","warm-intro",IF(H460="verified","email",IF(C460&lt;&gt;"","linkedin",CB460&amp;""))))</f>
        <v/>
      </c>
      <c r="J460" s="0" t="str">
        <f aca="false">IF($A460="","",IF(CN460="pass",ROUND(N(EM460)+N(EN460)+N(EO460)+N(EP460)+N(EQ460)+N(ER460),1),0))</f>
        <v/>
      </c>
      <c r="K460" s="0" t="str">
        <f aca="false">IF($A460="","",IF(CN460&lt;&gt;"pass",CA460&amp;"",CA460&amp;"; "&amp;IF(AW460="Y",BZ460&amp;"",BL460&amp;"")&amp;IF(R460="Y","; known to the founder (+15)","")&amp;"."))</f>
        <v/>
      </c>
      <c r="R460" s="5"/>
      <c r="U460" s="5"/>
      <c r="Y460" s="0" t="str">
        <f aca="false">IF(FX460&lt;&gt;"Y","",COUNTIFS($FX$2:$FX$1000,"Y",$J$2:$J$1000,"&gt;"&amp;J460)+COUNTIFS($FX$2:$FX$1000,"Y",$J$2:$J$1000,J460,$GD$2:$GD$1000,"&lt;"&amp;GD460)+1)</f>
        <v/>
      </c>
      <c r="AB460" s="0" t="str">
        <f aca="false">IF($A460="","",IF(AW460="Y",BY460&amp;"",BK460&amp;""))</f>
        <v/>
      </c>
      <c r="AC460" s="0" t="str">
        <f aca="false">IF($A460="","",IF(AW460="Y",BS460&amp;"",BE460&amp;""))</f>
        <v/>
      </c>
      <c r="AD460" s="0" t="str">
        <f aca="false">IF($A460="","",IF(AW460="Y",BT460&amp;"",BF460&amp;""))</f>
        <v/>
      </c>
      <c r="AE460" s="0" t="str">
        <f aca="false">IF($A460="","",IF(AW460="Y",BU460&amp;"",BG460&amp;""))</f>
        <v/>
      </c>
      <c r="AF460" s="0" t="str">
        <f aca="false">IF($A460="","",IF(AW460="Y",BV460&amp;"",BH460&amp;""))</f>
        <v/>
      </c>
      <c r="AG460" s="0" t="str">
        <f aca="false">IF($A460="","",IF(AW460="Y",BW460&amp;"",BI460&amp;""))</f>
        <v/>
      </c>
      <c r="AH460" s="0" t="str">
        <f aca="false">IF($A460="","",IF(AW460="Y",BX460&amp;"",BJ460&amp;""))</f>
        <v/>
      </c>
      <c r="AQ460" s="5"/>
      <c r="AT460" s="0" t="str">
        <f aca="false">IF($A460="","",IF(AND(CN460="pass",AQ460&lt;&gt;"Y",C460&lt;&gt;"",OR(AX460&lt;&gt;"Y",AV460="Y")),"Y","N"))</f>
        <v/>
      </c>
      <c r="AU460" s="0" t="str">
        <f aca="false">IF($A460="","",_xlfn.TEXTJOIN("; ",TRUE(),IF(CN460&lt;&gt;"pass","gated out",""),IF(AQ460="Y","on hold: "&amp;AR460,""),IF(C460="","no contact named on an opened page",""),IF(AND(AX460="Y",AV460&lt;&gt;"Y"),"Tuesday estimate band "&amp;L460&amp;": founder's call","")))</f>
        <v/>
      </c>
      <c r="BC460" s="0" t="str">
        <f aca="false">IF($A460="","",IFERROR(INDEX(Enrichment!$A$2:$GZ$2000,MATCH($A460,INDEX(Enrichment!$A$2:$GZ$2000,0,MATCH("row_id",Enrichment!$A$1:$GZ$1,0)),0),MATCH("work_email",Enrichment!$A$1:$GZ$1,0))&amp;"",""))</f>
        <v/>
      </c>
      <c r="BD460" s="0" t="str">
        <f aca="false">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Q460" s="0" t="str">
        <f aca="false">IF($A460="","",IFERROR(INDEX(Enrichment!$A$2:$GZ$2000,MATCH($A460,INDEX(Enrichment!$A$2:$GZ$2000,0,MATCH("row_id",Enrichment!$A$1:$GZ$1,0)),0),MATCH("backup_work_email",Enrichment!$A$1:$GZ$1,0))&amp;"",""))</f>
        <v/>
      </c>
      <c r="BR460" s="0" t="str">
        <f aca="false">IF($A460="","",IF(BQ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EQ460" s="0" t="str">
        <f aca="false">IF($A460="","",IF(AH460="exact",10,IF(AH460="adjacent",5,0)))</f>
        <v/>
      </c>
      <c r="ER460" s="0" t="str">
        <f aca="false">IF($A460="","",IF(R460="Y",15,0))</f>
        <v/>
      </c>
      <c r="FS460" s="0" t="str">
        <f aca="false">IF($A460="","",IF(ISNUMBER(MATCH(U460,{"queued","contacted","replied","call_booked","call_done","yes_in_principle","materials_sent"},0)),"Y","N"))</f>
        <v/>
      </c>
      <c r="FT460" s="0" t="str">
        <f aca="false">IF($A460="","",IF(OR(T460="Y",U460="do_not_contact",AS460&amp;""&lt;&gt;""),"Y","N"))</f>
        <v/>
      </c>
      <c r="FU460" s="0" t="str">
        <f aca="false">IF($A460="","",IF(AP460&amp;""&lt;&gt;"",AP460&amp;"",$A460))</f>
        <v/>
      </c>
      <c r="FV460" s="0" t="str">
        <f aca="false">IF($A460="","",IF(COUNTIFS($FU$2:$FU$1000,FU460,$FS$2:$FS$1000,"Y")+COUNTIFS($FU$2:$FU$1000,FU460,$FT$2:$FT$1000,"Y")&gt;0,"Y","N"))</f>
        <v/>
      </c>
      <c r="FW460" s="0" t="str">
        <f aca="false">IF($A460="","",IF(AND(U460="new",T460="N",FT460="N",AT460="Y",FV460="N"),"Y","N"))</f>
        <v/>
      </c>
      <c r="FX460" s="0" t="str">
        <f aca="false">IF($A460="","",IF(FW460&lt;&gt;"Y","N",IF(COUNTIFS($FU$2:$FU$1000,FU460,$FW$2:$FW$1000,"Y",$J$2:$J$1000,"&gt;"&amp;J460)+COUNTIFS($FU$2:$FU$1000,FU460,$FW$2:$FW$1000,"Y",$J$2:$J$1000,J460,$GD$2:$GD$1000,"&lt;"&amp;GD460)=0,"Y","N")))</f>
        <v/>
      </c>
      <c r="FY460" s="0" t="str">
        <f aca="false">IF($A460="","",IF(AND(FW460="Y",FX460="Y",Y460&amp;""&lt;&gt;""),IF(Y460&lt;=10,"Y","N"),"N"))</f>
        <v/>
      </c>
      <c r="FZ460" s="0" t="str">
        <f aca="false">IF(FY460="Y",Y460,"")</f>
        <v/>
      </c>
      <c r="GA460" s="0" t="str">
        <f aca="false">IF($A460="","",IF(AND(I460="walk-in",CN460="pass",U460="new",FT460="N",FV460="N",AQ460&lt;&gt;"Y"),"Y","N"))</f>
        <v/>
      </c>
      <c r="GB460" s="0" t="str">
        <f aca="false">IF(GA460&lt;&gt;"Y","",IF(COUNTIFS($GA$2:$GA$1000,"Y",$J$2:$J$1000,"&gt;"&amp;J460)+COUNTIFS($GA$2:$GA$1000,"Y",$J$2:$J$1000,J460,$GD$2:$GD$1000,"&lt;"&amp;GD460)+1&lt;=25,COUNTIFS($GA$2:$GA$1000,"Y",$J$2:$J$1000,"&gt;"&amp;J460)+COUNTIFS($GA$2:$GA$1000,"Y",$J$2:$J$1000,J460,$GD$2:$GD$1000,"&lt;"&amp;GD460)+1,""))</f>
        <v/>
      </c>
      <c r="GC460" s="0" t="str">
        <f aca="false">IF(AND(_xlfn.ISFORMULA(C460),_xlfn.ISFORMULA(J460)),"Y","N")</f>
        <v>Y</v>
      </c>
      <c r="GD460" s="0" t="n">
        <f aca="false">ROW()-1</f>
        <v>459</v>
      </c>
    </row>
    <row r="461" customFormat="false" ht="15" hidden="false" customHeight="false" outlineLevel="0" collapsed="false">
      <c r="C461" s="0" t="str">
        <f aca="false">IF($A461="","",IF(AW461="Y",BM461&amp;"",AY461&amp;""))</f>
        <v/>
      </c>
      <c r="D461" s="0" t="str">
        <f aca="false">IF($A461="","",IF(AW461="Y",BN461&amp;"",AZ461&amp;""))</f>
        <v/>
      </c>
      <c r="E461" s="0" t="str">
        <f aca="false">IF($A461="","",IF(AW461="Y",BO461&amp;"",BA461&amp;""))</f>
        <v/>
      </c>
      <c r="F461" s="0" t="str">
        <f aca="false">IF($A461="","",IF(AW461="Y",BP461&amp;"",BB461&amp;""))</f>
        <v/>
      </c>
      <c r="G461" s="0" t="str">
        <f aca="false">IF($A461="","",IF(AW461="Y",BQ461&amp;"",BC461&amp;""))</f>
        <v/>
      </c>
      <c r="H461" s="0" t="str">
        <f aca="false">IF($A461="","",IF(AW461="Y",BR461&amp;"",BD461&amp;""))</f>
        <v/>
      </c>
      <c r="I461" s="0" t="str">
        <f aca="false">IF($A461="","",IF(R461="Y","warm-intro",IF(H461="verified","email",IF(C461&lt;&gt;"","linkedin",CB461&amp;""))))</f>
        <v/>
      </c>
      <c r="J461" s="0" t="str">
        <f aca="false">IF($A461="","",IF(CN461="pass",ROUND(N(EM461)+N(EN461)+N(EO461)+N(EP461)+N(EQ461)+N(ER461),1),0))</f>
        <v/>
      </c>
      <c r="K461" s="0" t="str">
        <f aca="false">IF($A461="","",IF(CN461&lt;&gt;"pass",CA461&amp;"",CA461&amp;"; "&amp;IF(AW461="Y",BZ461&amp;"",BL461&amp;"")&amp;IF(R461="Y","; known to the founder (+15)","")&amp;"."))</f>
        <v/>
      </c>
      <c r="R461" s="5"/>
      <c r="U461" s="5"/>
      <c r="Y461" s="0" t="str">
        <f aca="false">IF(FX461&lt;&gt;"Y","",COUNTIFS($FX$2:$FX$1000,"Y",$J$2:$J$1000,"&gt;"&amp;J461)+COUNTIFS($FX$2:$FX$1000,"Y",$J$2:$J$1000,J461,$GD$2:$GD$1000,"&lt;"&amp;GD461)+1)</f>
        <v/>
      </c>
      <c r="AB461" s="0" t="str">
        <f aca="false">IF($A461="","",IF(AW461="Y",BY461&amp;"",BK461&amp;""))</f>
        <v/>
      </c>
      <c r="AC461" s="0" t="str">
        <f aca="false">IF($A461="","",IF(AW461="Y",BS461&amp;"",BE461&amp;""))</f>
        <v/>
      </c>
      <c r="AD461" s="0" t="str">
        <f aca="false">IF($A461="","",IF(AW461="Y",BT461&amp;"",BF461&amp;""))</f>
        <v/>
      </c>
      <c r="AE461" s="0" t="str">
        <f aca="false">IF($A461="","",IF(AW461="Y",BU461&amp;"",BG461&amp;""))</f>
        <v/>
      </c>
      <c r="AF461" s="0" t="str">
        <f aca="false">IF($A461="","",IF(AW461="Y",BV461&amp;"",BH461&amp;""))</f>
        <v/>
      </c>
      <c r="AG461" s="0" t="str">
        <f aca="false">IF($A461="","",IF(AW461="Y",BW461&amp;"",BI461&amp;""))</f>
        <v/>
      </c>
      <c r="AH461" s="0" t="str">
        <f aca="false">IF($A461="","",IF(AW461="Y",BX461&amp;"",BJ461&amp;""))</f>
        <v/>
      </c>
      <c r="AQ461" s="5"/>
      <c r="AT461" s="0" t="str">
        <f aca="false">IF($A461="","",IF(AND(CN461="pass",AQ461&lt;&gt;"Y",C461&lt;&gt;"",OR(AX461&lt;&gt;"Y",AV461="Y")),"Y","N"))</f>
        <v/>
      </c>
      <c r="AU461" s="0" t="str">
        <f aca="false">IF($A461="","",_xlfn.TEXTJOIN("; ",TRUE(),IF(CN461&lt;&gt;"pass","gated out",""),IF(AQ461="Y","on hold: "&amp;AR461,""),IF(C461="","no contact named on an opened page",""),IF(AND(AX461="Y",AV461&lt;&gt;"Y"),"Tuesday estimate band "&amp;L461&amp;": founder's call","")))</f>
        <v/>
      </c>
      <c r="BC461" s="0" t="str">
        <f aca="false">IF($A461="","",IFERROR(INDEX(Enrichment!$A$2:$GZ$2000,MATCH($A461,INDEX(Enrichment!$A$2:$GZ$2000,0,MATCH("row_id",Enrichment!$A$1:$GZ$1,0)),0),MATCH("work_email",Enrichment!$A$1:$GZ$1,0))&amp;"",""))</f>
        <v/>
      </c>
      <c r="BD461" s="0" t="str">
        <f aca="false">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Q461" s="0" t="str">
        <f aca="false">IF($A461="","",IFERROR(INDEX(Enrichment!$A$2:$GZ$2000,MATCH($A461,INDEX(Enrichment!$A$2:$GZ$2000,0,MATCH("row_id",Enrichment!$A$1:$GZ$1,0)),0),MATCH("backup_work_email",Enrichment!$A$1:$GZ$1,0))&amp;"",""))</f>
        <v/>
      </c>
      <c r="BR461" s="0" t="str">
        <f aca="false">IF($A461="","",IF(BQ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EQ461" s="0" t="str">
        <f aca="false">IF($A461="","",IF(AH461="exact",10,IF(AH461="adjacent",5,0)))</f>
        <v/>
      </c>
      <c r="ER461" s="0" t="str">
        <f aca="false">IF($A461="","",IF(R461="Y",15,0))</f>
        <v/>
      </c>
      <c r="FS461" s="0" t="str">
        <f aca="false">IF($A461="","",IF(ISNUMBER(MATCH(U461,{"queued","contacted","replied","call_booked","call_done","yes_in_principle","materials_sent"},0)),"Y","N"))</f>
        <v/>
      </c>
      <c r="FT461" s="0" t="str">
        <f aca="false">IF($A461="","",IF(OR(T461="Y",U461="do_not_contact",AS461&amp;""&lt;&gt;""),"Y","N"))</f>
        <v/>
      </c>
      <c r="FU461" s="0" t="str">
        <f aca="false">IF($A461="","",IF(AP461&amp;""&lt;&gt;"",AP461&amp;"",$A461))</f>
        <v/>
      </c>
      <c r="FV461" s="0" t="str">
        <f aca="false">IF($A461="","",IF(COUNTIFS($FU$2:$FU$1000,FU461,$FS$2:$FS$1000,"Y")+COUNTIFS($FU$2:$FU$1000,FU461,$FT$2:$FT$1000,"Y")&gt;0,"Y","N"))</f>
        <v/>
      </c>
      <c r="FW461" s="0" t="str">
        <f aca="false">IF($A461="","",IF(AND(U461="new",T461="N",FT461="N",AT461="Y",FV461="N"),"Y","N"))</f>
        <v/>
      </c>
      <c r="FX461" s="0" t="str">
        <f aca="false">IF($A461="","",IF(FW461&lt;&gt;"Y","N",IF(COUNTIFS($FU$2:$FU$1000,FU461,$FW$2:$FW$1000,"Y",$J$2:$J$1000,"&gt;"&amp;J461)+COUNTIFS($FU$2:$FU$1000,FU461,$FW$2:$FW$1000,"Y",$J$2:$J$1000,J461,$GD$2:$GD$1000,"&lt;"&amp;GD461)=0,"Y","N")))</f>
        <v/>
      </c>
      <c r="FY461" s="0" t="str">
        <f aca="false">IF($A461="","",IF(AND(FW461="Y",FX461="Y",Y461&amp;""&lt;&gt;""),IF(Y461&lt;=10,"Y","N"),"N"))</f>
        <v/>
      </c>
      <c r="FZ461" s="0" t="str">
        <f aca="false">IF(FY461="Y",Y461,"")</f>
        <v/>
      </c>
      <c r="GA461" s="0" t="str">
        <f aca="false">IF($A461="","",IF(AND(I461="walk-in",CN461="pass",U461="new",FT461="N",FV461="N",AQ461&lt;&gt;"Y"),"Y","N"))</f>
        <v/>
      </c>
      <c r="GB461" s="0" t="str">
        <f aca="false">IF(GA461&lt;&gt;"Y","",IF(COUNTIFS($GA$2:$GA$1000,"Y",$J$2:$J$1000,"&gt;"&amp;J461)+COUNTIFS($GA$2:$GA$1000,"Y",$J$2:$J$1000,J461,$GD$2:$GD$1000,"&lt;"&amp;GD461)+1&lt;=25,COUNTIFS($GA$2:$GA$1000,"Y",$J$2:$J$1000,"&gt;"&amp;J461)+COUNTIFS($GA$2:$GA$1000,"Y",$J$2:$J$1000,J461,$GD$2:$GD$1000,"&lt;"&amp;GD461)+1,""))</f>
        <v/>
      </c>
      <c r="GC461" s="0" t="str">
        <f aca="false">IF(AND(_xlfn.ISFORMULA(C461),_xlfn.ISFORMULA(J461)),"Y","N")</f>
        <v>Y</v>
      </c>
      <c r="GD461" s="0" t="n">
        <f aca="false">ROW()-1</f>
        <v>460</v>
      </c>
    </row>
    <row r="462" customFormat="false" ht="15" hidden="false" customHeight="false" outlineLevel="0" collapsed="false">
      <c r="C462" s="0" t="str">
        <f aca="false">IF($A462="","",IF(AW462="Y",BM462&amp;"",AY462&amp;""))</f>
        <v/>
      </c>
      <c r="D462" s="0" t="str">
        <f aca="false">IF($A462="","",IF(AW462="Y",BN462&amp;"",AZ462&amp;""))</f>
        <v/>
      </c>
      <c r="E462" s="0" t="str">
        <f aca="false">IF($A462="","",IF(AW462="Y",BO462&amp;"",BA462&amp;""))</f>
        <v/>
      </c>
      <c r="F462" s="0" t="str">
        <f aca="false">IF($A462="","",IF(AW462="Y",BP462&amp;"",BB462&amp;""))</f>
        <v/>
      </c>
      <c r="G462" s="0" t="str">
        <f aca="false">IF($A462="","",IF(AW462="Y",BQ462&amp;"",BC462&amp;""))</f>
        <v/>
      </c>
      <c r="H462" s="0" t="str">
        <f aca="false">IF($A462="","",IF(AW462="Y",BR462&amp;"",BD462&amp;""))</f>
        <v/>
      </c>
      <c r="I462" s="0" t="str">
        <f aca="false">IF($A462="","",IF(R462="Y","warm-intro",IF(H462="verified","email",IF(C462&lt;&gt;"","linkedin",CB462&amp;""))))</f>
        <v/>
      </c>
      <c r="J462" s="0" t="str">
        <f aca="false">IF($A462="","",IF(CN462="pass",ROUND(N(EM462)+N(EN462)+N(EO462)+N(EP462)+N(EQ462)+N(ER462),1),0))</f>
        <v/>
      </c>
      <c r="K462" s="0" t="str">
        <f aca="false">IF($A462="","",IF(CN462&lt;&gt;"pass",CA462&amp;"",CA462&amp;"; "&amp;IF(AW462="Y",BZ462&amp;"",BL462&amp;"")&amp;IF(R462="Y","; known to the founder (+15)","")&amp;"."))</f>
        <v/>
      </c>
      <c r="R462" s="5"/>
      <c r="U462" s="5"/>
      <c r="Y462" s="0" t="str">
        <f aca="false">IF(FX462&lt;&gt;"Y","",COUNTIFS($FX$2:$FX$1000,"Y",$J$2:$J$1000,"&gt;"&amp;J462)+COUNTIFS($FX$2:$FX$1000,"Y",$J$2:$J$1000,J462,$GD$2:$GD$1000,"&lt;"&amp;GD462)+1)</f>
        <v/>
      </c>
      <c r="AB462" s="0" t="str">
        <f aca="false">IF($A462="","",IF(AW462="Y",BY462&amp;"",BK462&amp;""))</f>
        <v/>
      </c>
      <c r="AC462" s="0" t="str">
        <f aca="false">IF($A462="","",IF(AW462="Y",BS462&amp;"",BE462&amp;""))</f>
        <v/>
      </c>
      <c r="AD462" s="0" t="str">
        <f aca="false">IF($A462="","",IF(AW462="Y",BT462&amp;"",BF462&amp;""))</f>
        <v/>
      </c>
      <c r="AE462" s="0" t="str">
        <f aca="false">IF($A462="","",IF(AW462="Y",BU462&amp;"",BG462&amp;""))</f>
        <v/>
      </c>
      <c r="AF462" s="0" t="str">
        <f aca="false">IF($A462="","",IF(AW462="Y",BV462&amp;"",BH462&amp;""))</f>
        <v/>
      </c>
      <c r="AG462" s="0" t="str">
        <f aca="false">IF($A462="","",IF(AW462="Y",BW462&amp;"",BI462&amp;""))</f>
        <v/>
      </c>
      <c r="AH462" s="0" t="str">
        <f aca="false">IF($A462="","",IF(AW462="Y",BX462&amp;"",BJ462&amp;""))</f>
        <v/>
      </c>
      <c r="AQ462" s="5"/>
      <c r="AT462" s="0" t="str">
        <f aca="false">IF($A462="","",IF(AND(CN462="pass",AQ462&lt;&gt;"Y",C462&lt;&gt;"",OR(AX462&lt;&gt;"Y",AV462="Y")),"Y","N"))</f>
        <v/>
      </c>
      <c r="AU462" s="0" t="str">
        <f aca="false">IF($A462="","",_xlfn.TEXTJOIN("; ",TRUE(),IF(CN462&lt;&gt;"pass","gated out",""),IF(AQ462="Y","on hold: "&amp;AR462,""),IF(C462="","no contact named on an opened page",""),IF(AND(AX462="Y",AV462&lt;&gt;"Y"),"Tuesday estimate band "&amp;L462&amp;": founder's call","")))</f>
        <v/>
      </c>
      <c r="BC462" s="0" t="str">
        <f aca="false">IF($A462="","",IFERROR(INDEX(Enrichment!$A$2:$GZ$2000,MATCH($A462,INDEX(Enrichment!$A$2:$GZ$2000,0,MATCH("row_id",Enrichment!$A$1:$GZ$1,0)),0),MATCH("work_email",Enrichment!$A$1:$GZ$1,0))&amp;"",""))</f>
        <v/>
      </c>
      <c r="BD462" s="0" t="str">
        <f aca="false">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Q462" s="0" t="str">
        <f aca="false">IF($A462="","",IFERROR(INDEX(Enrichment!$A$2:$GZ$2000,MATCH($A462,INDEX(Enrichment!$A$2:$GZ$2000,0,MATCH("row_id",Enrichment!$A$1:$GZ$1,0)),0),MATCH("backup_work_email",Enrichment!$A$1:$GZ$1,0))&amp;"",""))</f>
        <v/>
      </c>
      <c r="BR462" s="0" t="str">
        <f aca="false">IF($A462="","",IF(BQ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EQ462" s="0" t="str">
        <f aca="false">IF($A462="","",IF(AH462="exact",10,IF(AH462="adjacent",5,0)))</f>
        <v/>
      </c>
      <c r="ER462" s="0" t="str">
        <f aca="false">IF($A462="","",IF(R462="Y",15,0))</f>
        <v/>
      </c>
      <c r="FS462" s="0" t="str">
        <f aca="false">IF($A462="","",IF(ISNUMBER(MATCH(U462,{"queued","contacted","replied","call_booked","call_done","yes_in_principle","materials_sent"},0)),"Y","N"))</f>
        <v/>
      </c>
      <c r="FT462" s="0" t="str">
        <f aca="false">IF($A462="","",IF(OR(T462="Y",U462="do_not_contact",AS462&amp;""&lt;&gt;""),"Y","N"))</f>
        <v/>
      </c>
      <c r="FU462" s="0" t="str">
        <f aca="false">IF($A462="","",IF(AP462&amp;""&lt;&gt;"",AP462&amp;"",$A462))</f>
        <v/>
      </c>
      <c r="FV462" s="0" t="str">
        <f aca="false">IF($A462="","",IF(COUNTIFS($FU$2:$FU$1000,FU462,$FS$2:$FS$1000,"Y")+COUNTIFS($FU$2:$FU$1000,FU462,$FT$2:$FT$1000,"Y")&gt;0,"Y","N"))</f>
        <v/>
      </c>
      <c r="FW462" s="0" t="str">
        <f aca="false">IF($A462="","",IF(AND(U462="new",T462="N",FT462="N",AT462="Y",FV462="N"),"Y","N"))</f>
        <v/>
      </c>
      <c r="FX462" s="0" t="str">
        <f aca="false">IF($A462="","",IF(FW462&lt;&gt;"Y","N",IF(COUNTIFS($FU$2:$FU$1000,FU462,$FW$2:$FW$1000,"Y",$J$2:$J$1000,"&gt;"&amp;J462)+COUNTIFS($FU$2:$FU$1000,FU462,$FW$2:$FW$1000,"Y",$J$2:$J$1000,J462,$GD$2:$GD$1000,"&lt;"&amp;GD462)=0,"Y","N")))</f>
        <v/>
      </c>
      <c r="FY462" s="0" t="str">
        <f aca="false">IF($A462="","",IF(AND(FW462="Y",FX462="Y",Y462&amp;""&lt;&gt;""),IF(Y462&lt;=10,"Y","N"),"N"))</f>
        <v/>
      </c>
      <c r="FZ462" s="0" t="str">
        <f aca="false">IF(FY462="Y",Y462,"")</f>
        <v/>
      </c>
      <c r="GA462" s="0" t="str">
        <f aca="false">IF($A462="","",IF(AND(I462="walk-in",CN462="pass",U462="new",FT462="N",FV462="N",AQ462&lt;&gt;"Y"),"Y","N"))</f>
        <v/>
      </c>
      <c r="GB462" s="0" t="str">
        <f aca="false">IF(GA462&lt;&gt;"Y","",IF(COUNTIFS($GA$2:$GA$1000,"Y",$J$2:$J$1000,"&gt;"&amp;J462)+COUNTIFS($GA$2:$GA$1000,"Y",$J$2:$J$1000,J462,$GD$2:$GD$1000,"&lt;"&amp;GD462)+1&lt;=25,COUNTIFS($GA$2:$GA$1000,"Y",$J$2:$J$1000,"&gt;"&amp;J462)+COUNTIFS($GA$2:$GA$1000,"Y",$J$2:$J$1000,J462,$GD$2:$GD$1000,"&lt;"&amp;GD462)+1,""))</f>
        <v/>
      </c>
      <c r="GC462" s="0" t="str">
        <f aca="false">IF(AND(_xlfn.ISFORMULA(C462),_xlfn.ISFORMULA(J462)),"Y","N")</f>
        <v>Y</v>
      </c>
      <c r="GD462" s="0" t="n">
        <f aca="false">ROW()-1</f>
        <v>461</v>
      </c>
    </row>
    <row r="463" customFormat="false" ht="15" hidden="false" customHeight="false" outlineLevel="0" collapsed="false">
      <c r="C463" s="0" t="str">
        <f aca="false">IF($A463="","",IF(AW463="Y",BM463&amp;"",AY463&amp;""))</f>
        <v/>
      </c>
      <c r="D463" s="0" t="str">
        <f aca="false">IF($A463="","",IF(AW463="Y",BN463&amp;"",AZ463&amp;""))</f>
        <v/>
      </c>
      <c r="E463" s="0" t="str">
        <f aca="false">IF($A463="","",IF(AW463="Y",BO463&amp;"",BA463&amp;""))</f>
        <v/>
      </c>
      <c r="F463" s="0" t="str">
        <f aca="false">IF($A463="","",IF(AW463="Y",BP463&amp;"",BB463&amp;""))</f>
        <v/>
      </c>
      <c r="G463" s="0" t="str">
        <f aca="false">IF($A463="","",IF(AW463="Y",BQ463&amp;"",BC463&amp;""))</f>
        <v/>
      </c>
      <c r="H463" s="0" t="str">
        <f aca="false">IF($A463="","",IF(AW463="Y",BR463&amp;"",BD463&amp;""))</f>
        <v/>
      </c>
      <c r="I463" s="0" t="str">
        <f aca="false">IF($A463="","",IF(R463="Y","warm-intro",IF(H463="verified","email",IF(C463&lt;&gt;"","linkedin",CB463&amp;""))))</f>
        <v/>
      </c>
      <c r="J463" s="0" t="str">
        <f aca="false">IF($A463="","",IF(CN463="pass",ROUND(N(EM463)+N(EN463)+N(EO463)+N(EP463)+N(EQ463)+N(ER463),1),0))</f>
        <v/>
      </c>
      <c r="K463" s="0" t="str">
        <f aca="false">IF($A463="","",IF(CN463&lt;&gt;"pass",CA463&amp;"",CA463&amp;"; "&amp;IF(AW463="Y",BZ463&amp;"",BL463&amp;"")&amp;IF(R463="Y","; known to the founder (+15)","")&amp;"."))</f>
        <v/>
      </c>
      <c r="R463" s="5"/>
      <c r="U463" s="5"/>
      <c r="Y463" s="0" t="str">
        <f aca="false">IF(FX463&lt;&gt;"Y","",COUNTIFS($FX$2:$FX$1000,"Y",$J$2:$J$1000,"&gt;"&amp;J463)+COUNTIFS($FX$2:$FX$1000,"Y",$J$2:$J$1000,J463,$GD$2:$GD$1000,"&lt;"&amp;GD463)+1)</f>
        <v/>
      </c>
      <c r="AB463" s="0" t="str">
        <f aca="false">IF($A463="","",IF(AW463="Y",BY463&amp;"",BK463&amp;""))</f>
        <v/>
      </c>
      <c r="AC463" s="0" t="str">
        <f aca="false">IF($A463="","",IF(AW463="Y",BS463&amp;"",BE463&amp;""))</f>
        <v/>
      </c>
      <c r="AD463" s="0" t="str">
        <f aca="false">IF($A463="","",IF(AW463="Y",BT463&amp;"",BF463&amp;""))</f>
        <v/>
      </c>
      <c r="AE463" s="0" t="str">
        <f aca="false">IF($A463="","",IF(AW463="Y",BU463&amp;"",BG463&amp;""))</f>
        <v/>
      </c>
      <c r="AF463" s="0" t="str">
        <f aca="false">IF($A463="","",IF(AW463="Y",BV463&amp;"",BH463&amp;""))</f>
        <v/>
      </c>
      <c r="AG463" s="0" t="str">
        <f aca="false">IF($A463="","",IF(AW463="Y",BW463&amp;"",BI463&amp;""))</f>
        <v/>
      </c>
      <c r="AH463" s="0" t="str">
        <f aca="false">IF($A463="","",IF(AW463="Y",BX463&amp;"",BJ463&amp;""))</f>
        <v/>
      </c>
      <c r="AQ463" s="5"/>
      <c r="AT463" s="0" t="str">
        <f aca="false">IF($A463="","",IF(AND(CN463="pass",AQ463&lt;&gt;"Y",C463&lt;&gt;"",OR(AX463&lt;&gt;"Y",AV463="Y")),"Y","N"))</f>
        <v/>
      </c>
      <c r="AU463" s="0" t="str">
        <f aca="false">IF($A463="","",_xlfn.TEXTJOIN("; ",TRUE(),IF(CN463&lt;&gt;"pass","gated out",""),IF(AQ463="Y","on hold: "&amp;AR463,""),IF(C463="","no contact named on an opened page",""),IF(AND(AX463="Y",AV463&lt;&gt;"Y"),"Tuesday estimate band "&amp;L463&amp;": founder's call","")))</f>
        <v/>
      </c>
      <c r="BC463" s="0" t="str">
        <f aca="false">IF($A463="","",IFERROR(INDEX(Enrichment!$A$2:$GZ$2000,MATCH($A463,INDEX(Enrichment!$A$2:$GZ$2000,0,MATCH("row_id",Enrichment!$A$1:$GZ$1,0)),0),MATCH("work_email",Enrichment!$A$1:$GZ$1,0))&amp;"",""))</f>
        <v/>
      </c>
      <c r="BD463" s="0" t="str">
        <f aca="false">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Q463" s="0" t="str">
        <f aca="false">IF($A463="","",IFERROR(INDEX(Enrichment!$A$2:$GZ$2000,MATCH($A463,INDEX(Enrichment!$A$2:$GZ$2000,0,MATCH("row_id",Enrichment!$A$1:$GZ$1,0)),0),MATCH("backup_work_email",Enrichment!$A$1:$GZ$1,0))&amp;"",""))</f>
        <v/>
      </c>
      <c r="BR463" s="0" t="str">
        <f aca="false">IF($A463="","",IF(BQ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EQ463" s="0" t="str">
        <f aca="false">IF($A463="","",IF(AH463="exact",10,IF(AH463="adjacent",5,0)))</f>
        <v/>
      </c>
      <c r="ER463" s="0" t="str">
        <f aca="false">IF($A463="","",IF(R463="Y",15,0))</f>
        <v/>
      </c>
      <c r="FS463" s="0" t="str">
        <f aca="false">IF($A463="","",IF(ISNUMBER(MATCH(U463,{"queued","contacted","replied","call_booked","call_done","yes_in_principle","materials_sent"},0)),"Y","N"))</f>
        <v/>
      </c>
      <c r="FT463" s="0" t="str">
        <f aca="false">IF($A463="","",IF(OR(T463="Y",U463="do_not_contact",AS463&amp;""&lt;&gt;""),"Y","N"))</f>
        <v/>
      </c>
      <c r="FU463" s="0" t="str">
        <f aca="false">IF($A463="","",IF(AP463&amp;""&lt;&gt;"",AP463&amp;"",$A463))</f>
        <v/>
      </c>
      <c r="FV463" s="0" t="str">
        <f aca="false">IF($A463="","",IF(COUNTIFS($FU$2:$FU$1000,FU463,$FS$2:$FS$1000,"Y")+COUNTIFS($FU$2:$FU$1000,FU463,$FT$2:$FT$1000,"Y")&gt;0,"Y","N"))</f>
        <v/>
      </c>
      <c r="FW463" s="0" t="str">
        <f aca="false">IF($A463="","",IF(AND(U463="new",T463="N",FT463="N",AT463="Y",FV463="N"),"Y","N"))</f>
        <v/>
      </c>
      <c r="FX463" s="0" t="str">
        <f aca="false">IF($A463="","",IF(FW463&lt;&gt;"Y","N",IF(COUNTIFS($FU$2:$FU$1000,FU463,$FW$2:$FW$1000,"Y",$J$2:$J$1000,"&gt;"&amp;J463)+COUNTIFS($FU$2:$FU$1000,FU463,$FW$2:$FW$1000,"Y",$J$2:$J$1000,J463,$GD$2:$GD$1000,"&lt;"&amp;GD463)=0,"Y","N")))</f>
        <v/>
      </c>
      <c r="FY463" s="0" t="str">
        <f aca="false">IF($A463="","",IF(AND(FW463="Y",FX463="Y",Y463&amp;""&lt;&gt;""),IF(Y463&lt;=10,"Y","N"),"N"))</f>
        <v/>
      </c>
      <c r="FZ463" s="0" t="str">
        <f aca="false">IF(FY463="Y",Y463,"")</f>
        <v/>
      </c>
      <c r="GA463" s="0" t="str">
        <f aca="false">IF($A463="","",IF(AND(I463="walk-in",CN463="pass",U463="new",FT463="N",FV463="N",AQ463&lt;&gt;"Y"),"Y","N"))</f>
        <v/>
      </c>
      <c r="GB463" s="0" t="str">
        <f aca="false">IF(GA463&lt;&gt;"Y","",IF(COUNTIFS($GA$2:$GA$1000,"Y",$J$2:$J$1000,"&gt;"&amp;J463)+COUNTIFS($GA$2:$GA$1000,"Y",$J$2:$J$1000,J463,$GD$2:$GD$1000,"&lt;"&amp;GD463)+1&lt;=25,COUNTIFS($GA$2:$GA$1000,"Y",$J$2:$J$1000,"&gt;"&amp;J463)+COUNTIFS($GA$2:$GA$1000,"Y",$J$2:$J$1000,J463,$GD$2:$GD$1000,"&lt;"&amp;GD463)+1,""))</f>
        <v/>
      </c>
      <c r="GC463" s="0" t="str">
        <f aca="false">IF(AND(_xlfn.ISFORMULA(C463),_xlfn.ISFORMULA(J463)),"Y","N")</f>
        <v>Y</v>
      </c>
      <c r="GD463" s="0" t="n">
        <f aca="false">ROW()-1</f>
        <v>462</v>
      </c>
    </row>
    <row r="464" customFormat="false" ht="15" hidden="false" customHeight="false" outlineLevel="0" collapsed="false">
      <c r="C464" s="0" t="str">
        <f aca="false">IF($A464="","",IF(AW464="Y",BM464&amp;"",AY464&amp;""))</f>
        <v/>
      </c>
      <c r="D464" s="0" t="str">
        <f aca="false">IF($A464="","",IF(AW464="Y",BN464&amp;"",AZ464&amp;""))</f>
        <v/>
      </c>
      <c r="E464" s="0" t="str">
        <f aca="false">IF($A464="","",IF(AW464="Y",BO464&amp;"",BA464&amp;""))</f>
        <v/>
      </c>
      <c r="F464" s="0" t="str">
        <f aca="false">IF($A464="","",IF(AW464="Y",BP464&amp;"",BB464&amp;""))</f>
        <v/>
      </c>
      <c r="G464" s="0" t="str">
        <f aca="false">IF($A464="","",IF(AW464="Y",BQ464&amp;"",BC464&amp;""))</f>
        <v/>
      </c>
      <c r="H464" s="0" t="str">
        <f aca="false">IF($A464="","",IF(AW464="Y",BR464&amp;"",BD464&amp;""))</f>
        <v/>
      </c>
      <c r="I464" s="0" t="str">
        <f aca="false">IF($A464="","",IF(R464="Y","warm-intro",IF(H464="verified","email",IF(C464&lt;&gt;"","linkedin",CB464&amp;""))))</f>
        <v/>
      </c>
      <c r="J464" s="0" t="str">
        <f aca="false">IF($A464="","",IF(CN464="pass",ROUND(N(EM464)+N(EN464)+N(EO464)+N(EP464)+N(EQ464)+N(ER464),1),0))</f>
        <v/>
      </c>
      <c r="K464" s="0" t="str">
        <f aca="false">IF($A464="","",IF(CN464&lt;&gt;"pass",CA464&amp;"",CA464&amp;"; "&amp;IF(AW464="Y",BZ464&amp;"",BL464&amp;"")&amp;IF(R464="Y","; known to the founder (+15)","")&amp;"."))</f>
        <v/>
      </c>
      <c r="R464" s="5"/>
      <c r="U464" s="5"/>
      <c r="Y464" s="0" t="str">
        <f aca="false">IF(FX464&lt;&gt;"Y","",COUNTIFS($FX$2:$FX$1000,"Y",$J$2:$J$1000,"&gt;"&amp;J464)+COUNTIFS($FX$2:$FX$1000,"Y",$J$2:$J$1000,J464,$GD$2:$GD$1000,"&lt;"&amp;GD464)+1)</f>
        <v/>
      </c>
      <c r="AB464" s="0" t="str">
        <f aca="false">IF($A464="","",IF(AW464="Y",BY464&amp;"",BK464&amp;""))</f>
        <v/>
      </c>
      <c r="AC464" s="0" t="str">
        <f aca="false">IF($A464="","",IF(AW464="Y",BS464&amp;"",BE464&amp;""))</f>
        <v/>
      </c>
      <c r="AD464" s="0" t="str">
        <f aca="false">IF($A464="","",IF(AW464="Y",BT464&amp;"",BF464&amp;""))</f>
        <v/>
      </c>
      <c r="AE464" s="0" t="str">
        <f aca="false">IF($A464="","",IF(AW464="Y",BU464&amp;"",BG464&amp;""))</f>
        <v/>
      </c>
      <c r="AF464" s="0" t="str">
        <f aca="false">IF($A464="","",IF(AW464="Y",BV464&amp;"",BH464&amp;""))</f>
        <v/>
      </c>
      <c r="AG464" s="0" t="str">
        <f aca="false">IF($A464="","",IF(AW464="Y",BW464&amp;"",BI464&amp;""))</f>
        <v/>
      </c>
      <c r="AH464" s="0" t="str">
        <f aca="false">IF($A464="","",IF(AW464="Y",BX464&amp;"",BJ464&amp;""))</f>
        <v/>
      </c>
      <c r="AQ464" s="5"/>
      <c r="AT464" s="0" t="str">
        <f aca="false">IF($A464="","",IF(AND(CN464="pass",AQ464&lt;&gt;"Y",C464&lt;&gt;"",OR(AX464&lt;&gt;"Y",AV464="Y")),"Y","N"))</f>
        <v/>
      </c>
      <c r="AU464" s="0" t="str">
        <f aca="false">IF($A464="","",_xlfn.TEXTJOIN("; ",TRUE(),IF(CN464&lt;&gt;"pass","gated out",""),IF(AQ464="Y","on hold: "&amp;AR464,""),IF(C464="","no contact named on an opened page",""),IF(AND(AX464="Y",AV464&lt;&gt;"Y"),"Tuesday estimate band "&amp;L464&amp;": founder's call","")))</f>
        <v/>
      </c>
      <c r="BC464" s="0" t="str">
        <f aca="false">IF($A464="","",IFERROR(INDEX(Enrichment!$A$2:$GZ$2000,MATCH($A464,INDEX(Enrichment!$A$2:$GZ$2000,0,MATCH("row_id",Enrichment!$A$1:$GZ$1,0)),0),MATCH("work_email",Enrichment!$A$1:$GZ$1,0))&amp;"",""))</f>
        <v/>
      </c>
      <c r="BD464" s="0" t="str">
        <f aca="false">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Q464" s="0" t="str">
        <f aca="false">IF($A464="","",IFERROR(INDEX(Enrichment!$A$2:$GZ$2000,MATCH($A464,INDEX(Enrichment!$A$2:$GZ$2000,0,MATCH("row_id",Enrichment!$A$1:$GZ$1,0)),0),MATCH("backup_work_email",Enrichment!$A$1:$GZ$1,0))&amp;"",""))</f>
        <v/>
      </c>
      <c r="BR464" s="0" t="str">
        <f aca="false">IF($A464="","",IF(BQ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EQ464" s="0" t="str">
        <f aca="false">IF($A464="","",IF(AH464="exact",10,IF(AH464="adjacent",5,0)))</f>
        <v/>
      </c>
      <c r="ER464" s="0" t="str">
        <f aca="false">IF($A464="","",IF(R464="Y",15,0))</f>
        <v/>
      </c>
      <c r="FS464" s="0" t="str">
        <f aca="false">IF($A464="","",IF(ISNUMBER(MATCH(U464,{"queued","contacted","replied","call_booked","call_done","yes_in_principle","materials_sent"},0)),"Y","N"))</f>
        <v/>
      </c>
      <c r="FT464" s="0" t="str">
        <f aca="false">IF($A464="","",IF(OR(T464="Y",U464="do_not_contact",AS464&amp;""&lt;&gt;""),"Y","N"))</f>
        <v/>
      </c>
      <c r="FU464" s="0" t="str">
        <f aca="false">IF($A464="","",IF(AP464&amp;""&lt;&gt;"",AP464&amp;"",$A464))</f>
        <v/>
      </c>
      <c r="FV464" s="0" t="str">
        <f aca="false">IF($A464="","",IF(COUNTIFS($FU$2:$FU$1000,FU464,$FS$2:$FS$1000,"Y")+COUNTIFS($FU$2:$FU$1000,FU464,$FT$2:$FT$1000,"Y")&gt;0,"Y","N"))</f>
        <v/>
      </c>
      <c r="FW464" s="0" t="str">
        <f aca="false">IF($A464="","",IF(AND(U464="new",T464="N",FT464="N",AT464="Y",FV464="N"),"Y","N"))</f>
        <v/>
      </c>
      <c r="FX464" s="0" t="str">
        <f aca="false">IF($A464="","",IF(FW464&lt;&gt;"Y","N",IF(COUNTIFS($FU$2:$FU$1000,FU464,$FW$2:$FW$1000,"Y",$J$2:$J$1000,"&gt;"&amp;J464)+COUNTIFS($FU$2:$FU$1000,FU464,$FW$2:$FW$1000,"Y",$J$2:$J$1000,J464,$GD$2:$GD$1000,"&lt;"&amp;GD464)=0,"Y","N")))</f>
        <v/>
      </c>
      <c r="FY464" s="0" t="str">
        <f aca="false">IF($A464="","",IF(AND(FW464="Y",FX464="Y",Y464&amp;""&lt;&gt;""),IF(Y464&lt;=10,"Y","N"),"N"))</f>
        <v/>
      </c>
      <c r="FZ464" s="0" t="str">
        <f aca="false">IF(FY464="Y",Y464,"")</f>
        <v/>
      </c>
      <c r="GA464" s="0" t="str">
        <f aca="false">IF($A464="","",IF(AND(I464="walk-in",CN464="pass",U464="new",FT464="N",FV464="N",AQ464&lt;&gt;"Y"),"Y","N"))</f>
        <v/>
      </c>
      <c r="GB464" s="0" t="str">
        <f aca="false">IF(GA464&lt;&gt;"Y","",IF(COUNTIFS($GA$2:$GA$1000,"Y",$J$2:$J$1000,"&gt;"&amp;J464)+COUNTIFS($GA$2:$GA$1000,"Y",$J$2:$J$1000,J464,$GD$2:$GD$1000,"&lt;"&amp;GD464)+1&lt;=25,COUNTIFS($GA$2:$GA$1000,"Y",$J$2:$J$1000,"&gt;"&amp;J464)+COUNTIFS($GA$2:$GA$1000,"Y",$J$2:$J$1000,J464,$GD$2:$GD$1000,"&lt;"&amp;GD464)+1,""))</f>
        <v/>
      </c>
      <c r="GC464" s="0" t="str">
        <f aca="false">IF(AND(_xlfn.ISFORMULA(C464),_xlfn.ISFORMULA(J464)),"Y","N")</f>
        <v>Y</v>
      </c>
      <c r="GD464" s="0" t="n">
        <f aca="false">ROW()-1</f>
        <v>463</v>
      </c>
    </row>
    <row r="465" customFormat="false" ht="15" hidden="false" customHeight="false" outlineLevel="0" collapsed="false">
      <c r="C465" s="0" t="str">
        <f aca="false">IF($A465="","",IF(AW465="Y",BM465&amp;"",AY465&amp;""))</f>
        <v/>
      </c>
      <c r="D465" s="0" t="str">
        <f aca="false">IF($A465="","",IF(AW465="Y",BN465&amp;"",AZ465&amp;""))</f>
        <v/>
      </c>
      <c r="E465" s="0" t="str">
        <f aca="false">IF($A465="","",IF(AW465="Y",BO465&amp;"",BA465&amp;""))</f>
        <v/>
      </c>
      <c r="F465" s="0" t="str">
        <f aca="false">IF($A465="","",IF(AW465="Y",BP465&amp;"",BB465&amp;""))</f>
        <v/>
      </c>
      <c r="G465" s="0" t="str">
        <f aca="false">IF($A465="","",IF(AW465="Y",BQ465&amp;"",BC465&amp;""))</f>
        <v/>
      </c>
      <c r="H465" s="0" t="str">
        <f aca="false">IF($A465="","",IF(AW465="Y",BR465&amp;"",BD465&amp;""))</f>
        <v/>
      </c>
      <c r="I465" s="0" t="str">
        <f aca="false">IF($A465="","",IF(R465="Y","warm-intro",IF(H465="verified","email",IF(C465&lt;&gt;"","linkedin",CB465&amp;""))))</f>
        <v/>
      </c>
      <c r="J465" s="0" t="str">
        <f aca="false">IF($A465="","",IF(CN465="pass",ROUND(N(EM465)+N(EN465)+N(EO465)+N(EP465)+N(EQ465)+N(ER465),1),0))</f>
        <v/>
      </c>
      <c r="K465" s="0" t="str">
        <f aca="false">IF($A465="","",IF(CN465&lt;&gt;"pass",CA465&amp;"",CA465&amp;"; "&amp;IF(AW465="Y",BZ465&amp;"",BL465&amp;"")&amp;IF(R465="Y","; known to the founder (+15)","")&amp;"."))</f>
        <v/>
      </c>
      <c r="R465" s="5"/>
      <c r="U465" s="5"/>
      <c r="Y465" s="0" t="str">
        <f aca="false">IF(FX465&lt;&gt;"Y","",COUNTIFS($FX$2:$FX$1000,"Y",$J$2:$J$1000,"&gt;"&amp;J465)+COUNTIFS($FX$2:$FX$1000,"Y",$J$2:$J$1000,J465,$GD$2:$GD$1000,"&lt;"&amp;GD465)+1)</f>
        <v/>
      </c>
      <c r="AB465" s="0" t="str">
        <f aca="false">IF($A465="","",IF(AW465="Y",BY465&amp;"",BK465&amp;""))</f>
        <v/>
      </c>
      <c r="AC465" s="0" t="str">
        <f aca="false">IF($A465="","",IF(AW465="Y",BS465&amp;"",BE465&amp;""))</f>
        <v/>
      </c>
      <c r="AD465" s="0" t="str">
        <f aca="false">IF($A465="","",IF(AW465="Y",BT465&amp;"",BF465&amp;""))</f>
        <v/>
      </c>
      <c r="AE465" s="0" t="str">
        <f aca="false">IF($A465="","",IF(AW465="Y",BU465&amp;"",BG465&amp;""))</f>
        <v/>
      </c>
      <c r="AF465" s="0" t="str">
        <f aca="false">IF($A465="","",IF(AW465="Y",BV465&amp;"",BH465&amp;""))</f>
        <v/>
      </c>
      <c r="AG465" s="0" t="str">
        <f aca="false">IF($A465="","",IF(AW465="Y",BW465&amp;"",BI465&amp;""))</f>
        <v/>
      </c>
      <c r="AH465" s="0" t="str">
        <f aca="false">IF($A465="","",IF(AW465="Y",BX465&amp;"",BJ465&amp;""))</f>
        <v/>
      </c>
      <c r="AQ465" s="5"/>
      <c r="AT465" s="0" t="str">
        <f aca="false">IF($A465="","",IF(AND(CN465="pass",AQ465&lt;&gt;"Y",C465&lt;&gt;"",OR(AX465&lt;&gt;"Y",AV465="Y")),"Y","N"))</f>
        <v/>
      </c>
      <c r="AU465" s="0" t="str">
        <f aca="false">IF($A465="","",_xlfn.TEXTJOIN("; ",TRUE(),IF(CN465&lt;&gt;"pass","gated out",""),IF(AQ465="Y","on hold: "&amp;AR465,""),IF(C465="","no contact named on an opened page",""),IF(AND(AX465="Y",AV465&lt;&gt;"Y"),"Tuesday estimate band "&amp;L465&amp;": founder's call","")))</f>
        <v/>
      </c>
      <c r="BC465" s="0" t="str">
        <f aca="false">IF($A465="","",IFERROR(INDEX(Enrichment!$A$2:$GZ$2000,MATCH($A465,INDEX(Enrichment!$A$2:$GZ$2000,0,MATCH("row_id",Enrichment!$A$1:$GZ$1,0)),0),MATCH("work_email",Enrichment!$A$1:$GZ$1,0))&amp;"",""))</f>
        <v/>
      </c>
      <c r="BD465" s="0" t="str">
        <f aca="false">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Q465" s="0" t="str">
        <f aca="false">IF($A465="","",IFERROR(INDEX(Enrichment!$A$2:$GZ$2000,MATCH($A465,INDEX(Enrichment!$A$2:$GZ$2000,0,MATCH("row_id",Enrichment!$A$1:$GZ$1,0)),0),MATCH("backup_work_email",Enrichment!$A$1:$GZ$1,0))&amp;"",""))</f>
        <v/>
      </c>
      <c r="BR465" s="0" t="str">
        <f aca="false">IF($A465="","",IF(BQ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EQ465" s="0" t="str">
        <f aca="false">IF($A465="","",IF(AH465="exact",10,IF(AH465="adjacent",5,0)))</f>
        <v/>
      </c>
      <c r="ER465" s="0" t="str">
        <f aca="false">IF($A465="","",IF(R465="Y",15,0))</f>
        <v/>
      </c>
      <c r="FS465" s="0" t="str">
        <f aca="false">IF($A465="","",IF(ISNUMBER(MATCH(U465,{"queued","contacted","replied","call_booked","call_done","yes_in_principle","materials_sent"},0)),"Y","N"))</f>
        <v/>
      </c>
      <c r="FT465" s="0" t="str">
        <f aca="false">IF($A465="","",IF(OR(T465="Y",U465="do_not_contact",AS465&amp;""&lt;&gt;""),"Y","N"))</f>
        <v/>
      </c>
      <c r="FU465" s="0" t="str">
        <f aca="false">IF($A465="","",IF(AP465&amp;""&lt;&gt;"",AP465&amp;"",$A465))</f>
        <v/>
      </c>
      <c r="FV465" s="0" t="str">
        <f aca="false">IF($A465="","",IF(COUNTIFS($FU$2:$FU$1000,FU465,$FS$2:$FS$1000,"Y")+COUNTIFS($FU$2:$FU$1000,FU465,$FT$2:$FT$1000,"Y")&gt;0,"Y","N"))</f>
        <v/>
      </c>
      <c r="FW465" s="0" t="str">
        <f aca="false">IF($A465="","",IF(AND(U465="new",T465="N",FT465="N",AT465="Y",FV465="N"),"Y","N"))</f>
        <v/>
      </c>
      <c r="FX465" s="0" t="str">
        <f aca="false">IF($A465="","",IF(FW465&lt;&gt;"Y","N",IF(COUNTIFS($FU$2:$FU$1000,FU465,$FW$2:$FW$1000,"Y",$J$2:$J$1000,"&gt;"&amp;J465)+COUNTIFS($FU$2:$FU$1000,FU465,$FW$2:$FW$1000,"Y",$J$2:$J$1000,J465,$GD$2:$GD$1000,"&lt;"&amp;GD465)=0,"Y","N")))</f>
        <v/>
      </c>
      <c r="FY465" s="0" t="str">
        <f aca="false">IF($A465="","",IF(AND(FW465="Y",FX465="Y",Y465&amp;""&lt;&gt;""),IF(Y465&lt;=10,"Y","N"),"N"))</f>
        <v/>
      </c>
      <c r="FZ465" s="0" t="str">
        <f aca="false">IF(FY465="Y",Y465,"")</f>
        <v/>
      </c>
      <c r="GA465" s="0" t="str">
        <f aca="false">IF($A465="","",IF(AND(I465="walk-in",CN465="pass",U465="new",FT465="N",FV465="N",AQ465&lt;&gt;"Y"),"Y","N"))</f>
        <v/>
      </c>
      <c r="GB465" s="0" t="str">
        <f aca="false">IF(GA465&lt;&gt;"Y","",IF(COUNTIFS($GA$2:$GA$1000,"Y",$J$2:$J$1000,"&gt;"&amp;J465)+COUNTIFS($GA$2:$GA$1000,"Y",$J$2:$J$1000,J465,$GD$2:$GD$1000,"&lt;"&amp;GD465)+1&lt;=25,COUNTIFS($GA$2:$GA$1000,"Y",$J$2:$J$1000,"&gt;"&amp;J465)+COUNTIFS($GA$2:$GA$1000,"Y",$J$2:$J$1000,J465,$GD$2:$GD$1000,"&lt;"&amp;GD465)+1,""))</f>
        <v/>
      </c>
      <c r="GC465" s="0" t="str">
        <f aca="false">IF(AND(_xlfn.ISFORMULA(C465),_xlfn.ISFORMULA(J465)),"Y","N")</f>
        <v>Y</v>
      </c>
      <c r="GD465" s="0" t="n">
        <f aca="false">ROW()-1</f>
        <v>464</v>
      </c>
    </row>
    <row r="466" customFormat="false" ht="15" hidden="false" customHeight="false" outlineLevel="0" collapsed="false">
      <c r="C466" s="0" t="str">
        <f aca="false">IF($A466="","",IF(AW466="Y",BM466&amp;"",AY466&amp;""))</f>
        <v/>
      </c>
      <c r="D466" s="0" t="str">
        <f aca="false">IF($A466="","",IF(AW466="Y",BN466&amp;"",AZ466&amp;""))</f>
        <v/>
      </c>
      <c r="E466" s="0" t="str">
        <f aca="false">IF($A466="","",IF(AW466="Y",BO466&amp;"",BA466&amp;""))</f>
        <v/>
      </c>
      <c r="F466" s="0" t="str">
        <f aca="false">IF($A466="","",IF(AW466="Y",BP466&amp;"",BB466&amp;""))</f>
        <v/>
      </c>
      <c r="G466" s="0" t="str">
        <f aca="false">IF($A466="","",IF(AW466="Y",BQ466&amp;"",BC466&amp;""))</f>
        <v/>
      </c>
      <c r="H466" s="0" t="str">
        <f aca="false">IF($A466="","",IF(AW466="Y",BR466&amp;"",BD466&amp;""))</f>
        <v/>
      </c>
      <c r="I466" s="0" t="str">
        <f aca="false">IF($A466="","",IF(R466="Y","warm-intro",IF(H466="verified","email",IF(C466&lt;&gt;"","linkedin",CB466&amp;""))))</f>
        <v/>
      </c>
      <c r="J466" s="0" t="str">
        <f aca="false">IF($A466="","",IF(CN466="pass",ROUND(N(EM466)+N(EN466)+N(EO466)+N(EP466)+N(EQ466)+N(ER466),1),0))</f>
        <v/>
      </c>
      <c r="K466" s="0" t="str">
        <f aca="false">IF($A466="","",IF(CN466&lt;&gt;"pass",CA466&amp;"",CA466&amp;"; "&amp;IF(AW466="Y",BZ466&amp;"",BL466&amp;"")&amp;IF(R466="Y","; known to the founder (+15)","")&amp;"."))</f>
        <v/>
      </c>
      <c r="R466" s="5"/>
      <c r="U466" s="5"/>
      <c r="Y466" s="0" t="str">
        <f aca="false">IF(FX466&lt;&gt;"Y","",COUNTIFS($FX$2:$FX$1000,"Y",$J$2:$J$1000,"&gt;"&amp;J466)+COUNTIFS($FX$2:$FX$1000,"Y",$J$2:$J$1000,J466,$GD$2:$GD$1000,"&lt;"&amp;GD466)+1)</f>
        <v/>
      </c>
      <c r="AB466" s="0" t="str">
        <f aca="false">IF($A466="","",IF(AW466="Y",BY466&amp;"",BK466&amp;""))</f>
        <v/>
      </c>
      <c r="AC466" s="0" t="str">
        <f aca="false">IF($A466="","",IF(AW466="Y",BS466&amp;"",BE466&amp;""))</f>
        <v/>
      </c>
      <c r="AD466" s="0" t="str">
        <f aca="false">IF($A466="","",IF(AW466="Y",BT466&amp;"",BF466&amp;""))</f>
        <v/>
      </c>
      <c r="AE466" s="0" t="str">
        <f aca="false">IF($A466="","",IF(AW466="Y",BU466&amp;"",BG466&amp;""))</f>
        <v/>
      </c>
      <c r="AF466" s="0" t="str">
        <f aca="false">IF($A466="","",IF(AW466="Y",BV466&amp;"",BH466&amp;""))</f>
        <v/>
      </c>
      <c r="AG466" s="0" t="str">
        <f aca="false">IF($A466="","",IF(AW466="Y",BW466&amp;"",BI466&amp;""))</f>
        <v/>
      </c>
      <c r="AH466" s="0" t="str">
        <f aca="false">IF($A466="","",IF(AW466="Y",BX466&amp;"",BJ466&amp;""))</f>
        <v/>
      </c>
      <c r="AQ466" s="5"/>
      <c r="AT466" s="0" t="str">
        <f aca="false">IF($A466="","",IF(AND(CN466="pass",AQ466&lt;&gt;"Y",C466&lt;&gt;"",OR(AX466&lt;&gt;"Y",AV466="Y")),"Y","N"))</f>
        <v/>
      </c>
      <c r="AU466" s="0" t="str">
        <f aca="false">IF($A466="","",_xlfn.TEXTJOIN("; ",TRUE(),IF(CN466&lt;&gt;"pass","gated out",""),IF(AQ466="Y","on hold: "&amp;AR466,""),IF(C466="","no contact named on an opened page",""),IF(AND(AX466="Y",AV466&lt;&gt;"Y"),"Tuesday estimate band "&amp;L466&amp;": founder's call","")))</f>
        <v/>
      </c>
      <c r="BC466" s="0" t="str">
        <f aca="false">IF($A466="","",IFERROR(INDEX(Enrichment!$A$2:$GZ$2000,MATCH($A466,INDEX(Enrichment!$A$2:$GZ$2000,0,MATCH("row_id",Enrichment!$A$1:$GZ$1,0)),0),MATCH("work_email",Enrichment!$A$1:$GZ$1,0))&amp;"",""))</f>
        <v/>
      </c>
      <c r="BD466" s="0" t="str">
        <f aca="false">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Q466" s="0" t="str">
        <f aca="false">IF($A466="","",IFERROR(INDEX(Enrichment!$A$2:$GZ$2000,MATCH($A466,INDEX(Enrichment!$A$2:$GZ$2000,0,MATCH("row_id",Enrichment!$A$1:$GZ$1,0)),0),MATCH("backup_work_email",Enrichment!$A$1:$GZ$1,0))&amp;"",""))</f>
        <v/>
      </c>
      <c r="BR466" s="0" t="str">
        <f aca="false">IF($A466="","",IF(BQ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EQ466" s="0" t="str">
        <f aca="false">IF($A466="","",IF(AH466="exact",10,IF(AH466="adjacent",5,0)))</f>
        <v/>
      </c>
      <c r="ER466" s="0" t="str">
        <f aca="false">IF($A466="","",IF(R466="Y",15,0))</f>
        <v/>
      </c>
      <c r="FS466" s="0" t="str">
        <f aca="false">IF($A466="","",IF(ISNUMBER(MATCH(U466,{"queued","contacted","replied","call_booked","call_done","yes_in_principle","materials_sent"},0)),"Y","N"))</f>
        <v/>
      </c>
      <c r="FT466" s="0" t="str">
        <f aca="false">IF($A466="","",IF(OR(T466="Y",U466="do_not_contact",AS466&amp;""&lt;&gt;""),"Y","N"))</f>
        <v/>
      </c>
      <c r="FU466" s="0" t="str">
        <f aca="false">IF($A466="","",IF(AP466&amp;""&lt;&gt;"",AP466&amp;"",$A466))</f>
        <v/>
      </c>
      <c r="FV466" s="0" t="str">
        <f aca="false">IF($A466="","",IF(COUNTIFS($FU$2:$FU$1000,FU466,$FS$2:$FS$1000,"Y")+COUNTIFS($FU$2:$FU$1000,FU466,$FT$2:$FT$1000,"Y")&gt;0,"Y","N"))</f>
        <v/>
      </c>
      <c r="FW466" s="0" t="str">
        <f aca="false">IF($A466="","",IF(AND(U466="new",T466="N",FT466="N",AT466="Y",FV466="N"),"Y","N"))</f>
        <v/>
      </c>
      <c r="FX466" s="0" t="str">
        <f aca="false">IF($A466="","",IF(FW466&lt;&gt;"Y","N",IF(COUNTIFS($FU$2:$FU$1000,FU466,$FW$2:$FW$1000,"Y",$J$2:$J$1000,"&gt;"&amp;J466)+COUNTIFS($FU$2:$FU$1000,FU466,$FW$2:$FW$1000,"Y",$J$2:$J$1000,J466,$GD$2:$GD$1000,"&lt;"&amp;GD466)=0,"Y","N")))</f>
        <v/>
      </c>
      <c r="FY466" s="0" t="str">
        <f aca="false">IF($A466="","",IF(AND(FW466="Y",FX466="Y",Y466&amp;""&lt;&gt;""),IF(Y466&lt;=10,"Y","N"),"N"))</f>
        <v/>
      </c>
      <c r="FZ466" s="0" t="str">
        <f aca="false">IF(FY466="Y",Y466,"")</f>
        <v/>
      </c>
      <c r="GA466" s="0" t="str">
        <f aca="false">IF($A466="","",IF(AND(I466="walk-in",CN466="pass",U466="new",FT466="N",FV466="N",AQ466&lt;&gt;"Y"),"Y","N"))</f>
        <v/>
      </c>
      <c r="GB466" s="0" t="str">
        <f aca="false">IF(GA466&lt;&gt;"Y","",IF(COUNTIFS($GA$2:$GA$1000,"Y",$J$2:$J$1000,"&gt;"&amp;J466)+COUNTIFS($GA$2:$GA$1000,"Y",$J$2:$J$1000,J466,$GD$2:$GD$1000,"&lt;"&amp;GD466)+1&lt;=25,COUNTIFS($GA$2:$GA$1000,"Y",$J$2:$J$1000,"&gt;"&amp;J466)+COUNTIFS($GA$2:$GA$1000,"Y",$J$2:$J$1000,J466,$GD$2:$GD$1000,"&lt;"&amp;GD466)+1,""))</f>
        <v/>
      </c>
      <c r="GC466" s="0" t="str">
        <f aca="false">IF(AND(_xlfn.ISFORMULA(C466),_xlfn.ISFORMULA(J466)),"Y","N")</f>
        <v>Y</v>
      </c>
      <c r="GD466" s="0" t="n">
        <f aca="false">ROW()-1</f>
        <v>465</v>
      </c>
    </row>
    <row r="467" customFormat="false" ht="15" hidden="false" customHeight="false" outlineLevel="0" collapsed="false">
      <c r="C467" s="0" t="str">
        <f aca="false">IF($A467="","",IF(AW467="Y",BM467&amp;"",AY467&amp;""))</f>
        <v/>
      </c>
      <c r="D467" s="0" t="str">
        <f aca="false">IF($A467="","",IF(AW467="Y",BN467&amp;"",AZ467&amp;""))</f>
        <v/>
      </c>
      <c r="E467" s="0" t="str">
        <f aca="false">IF($A467="","",IF(AW467="Y",BO467&amp;"",BA467&amp;""))</f>
        <v/>
      </c>
      <c r="F467" s="0" t="str">
        <f aca="false">IF($A467="","",IF(AW467="Y",BP467&amp;"",BB467&amp;""))</f>
        <v/>
      </c>
      <c r="G467" s="0" t="str">
        <f aca="false">IF($A467="","",IF(AW467="Y",BQ467&amp;"",BC467&amp;""))</f>
        <v/>
      </c>
      <c r="H467" s="0" t="str">
        <f aca="false">IF($A467="","",IF(AW467="Y",BR467&amp;"",BD467&amp;""))</f>
        <v/>
      </c>
      <c r="I467" s="0" t="str">
        <f aca="false">IF($A467="","",IF(R467="Y","warm-intro",IF(H467="verified","email",IF(C467&lt;&gt;"","linkedin",CB467&amp;""))))</f>
        <v/>
      </c>
      <c r="J467" s="0" t="str">
        <f aca="false">IF($A467="","",IF(CN467="pass",ROUND(N(EM467)+N(EN467)+N(EO467)+N(EP467)+N(EQ467)+N(ER467),1),0))</f>
        <v/>
      </c>
      <c r="K467" s="0" t="str">
        <f aca="false">IF($A467="","",IF(CN467&lt;&gt;"pass",CA467&amp;"",CA467&amp;"; "&amp;IF(AW467="Y",BZ467&amp;"",BL467&amp;"")&amp;IF(R467="Y","; known to the founder (+15)","")&amp;"."))</f>
        <v/>
      </c>
      <c r="R467" s="5"/>
      <c r="U467" s="5"/>
      <c r="Y467" s="0" t="str">
        <f aca="false">IF(FX467&lt;&gt;"Y","",COUNTIFS($FX$2:$FX$1000,"Y",$J$2:$J$1000,"&gt;"&amp;J467)+COUNTIFS($FX$2:$FX$1000,"Y",$J$2:$J$1000,J467,$GD$2:$GD$1000,"&lt;"&amp;GD467)+1)</f>
        <v/>
      </c>
      <c r="AB467" s="0" t="str">
        <f aca="false">IF($A467="","",IF(AW467="Y",BY467&amp;"",BK467&amp;""))</f>
        <v/>
      </c>
      <c r="AC467" s="0" t="str">
        <f aca="false">IF($A467="","",IF(AW467="Y",BS467&amp;"",BE467&amp;""))</f>
        <v/>
      </c>
      <c r="AD467" s="0" t="str">
        <f aca="false">IF($A467="","",IF(AW467="Y",BT467&amp;"",BF467&amp;""))</f>
        <v/>
      </c>
      <c r="AE467" s="0" t="str">
        <f aca="false">IF($A467="","",IF(AW467="Y",BU467&amp;"",BG467&amp;""))</f>
        <v/>
      </c>
      <c r="AF467" s="0" t="str">
        <f aca="false">IF($A467="","",IF(AW467="Y",BV467&amp;"",BH467&amp;""))</f>
        <v/>
      </c>
      <c r="AG467" s="0" t="str">
        <f aca="false">IF($A467="","",IF(AW467="Y",BW467&amp;"",BI467&amp;""))</f>
        <v/>
      </c>
      <c r="AH467" s="0" t="str">
        <f aca="false">IF($A467="","",IF(AW467="Y",BX467&amp;"",BJ467&amp;""))</f>
        <v/>
      </c>
      <c r="AQ467" s="5"/>
      <c r="AT467" s="0" t="str">
        <f aca="false">IF($A467="","",IF(AND(CN467="pass",AQ467&lt;&gt;"Y",C467&lt;&gt;"",OR(AX467&lt;&gt;"Y",AV467="Y")),"Y","N"))</f>
        <v/>
      </c>
      <c r="AU467" s="0" t="str">
        <f aca="false">IF($A467="","",_xlfn.TEXTJOIN("; ",TRUE(),IF(CN467&lt;&gt;"pass","gated out",""),IF(AQ467="Y","on hold: "&amp;AR467,""),IF(C467="","no contact named on an opened page",""),IF(AND(AX467="Y",AV467&lt;&gt;"Y"),"Tuesday estimate band "&amp;L467&amp;": founder's call","")))</f>
        <v/>
      </c>
      <c r="BC467" s="0" t="str">
        <f aca="false">IF($A467="","",IFERROR(INDEX(Enrichment!$A$2:$GZ$2000,MATCH($A467,INDEX(Enrichment!$A$2:$GZ$2000,0,MATCH("row_id",Enrichment!$A$1:$GZ$1,0)),0),MATCH("work_email",Enrichment!$A$1:$GZ$1,0))&amp;"",""))</f>
        <v/>
      </c>
      <c r="BD467" s="0" t="str">
        <f aca="false">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Q467" s="0" t="str">
        <f aca="false">IF($A467="","",IFERROR(INDEX(Enrichment!$A$2:$GZ$2000,MATCH($A467,INDEX(Enrichment!$A$2:$GZ$2000,0,MATCH("row_id",Enrichment!$A$1:$GZ$1,0)),0),MATCH("backup_work_email",Enrichment!$A$1:$GZ$1,0))&amp;"",""))</f>
        <v/>
      </c>
      <c r="BR467" s="0" t="str">
        <f aca="false">IF($A467="","",IF(BQ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EQ467" s="0" t="str">
        <f aca="false">IF($A467="","",IF(AH467="exact",10,IF(AH467="adjacent",5,0)))</f>
        <v/>
      </c>
      <c r="ER467" s="0" t="str">
        <f aca="false">IF($A467="","",IF(R467="Y",15,0))</f>
        <v/>
      </c>
      <c r="FS467" s="0" t="str">
        <f aca="false">IF($A467="","",IF(ISNUMBER(MATCH(U467,{"queued","contacted","replied","call_booked","call_done","yes_in_principle","materials_sent"},0)),"Y","N"))</f>
        <v/>
      </c>
      <c r="FT467" s="0" t="str">
        <f aca="false">IF($A467="","",IF(OR(T467="Y",U467="do_not_contact",AS467&amp;""&lt;&gt;""),"Y","N"))</f>
        <v/>
      </c>
      <c r="FU467" s="0" t="str">
        <f aca="false">IF($A467="","",IF(AP467&amp;""&lt;&gt;"",AP467&amp;"",$A467))</f>
        <v/>
      </c>
      <c r="FV467" s="0" t="str">
        <f aca="false">IF($A467="","",IF(COUNTIFS($FU$2:$FU$1000,FU467,$FS$2:$FS$1000,"Y")+COUNTIFS($FU$2:$FU$1000,FU467,$FT$2:$FT$1000,"Y")&gt;0,"Y","N"))</f>
        <v/>
      </c>
      <c r="FW467" s="0" t="str">
        <f aca="false">IF($A467="","",IF(AND(U467="new",T467="N",FT467="N",AT467="Y",FV467="N"),"Y","N"))</f>
        <v/>
      </c>
      <c r="FX467" s="0" t="str">
        <f aca="false">IF($A467="","",IF(FW467&lt;&gt;"Y","N",IF(COUNTIFS($FU$2:$FU$1000,FU467,$FW$2:$FW$1000,"Y",$J$2:$J$1000,"&gt;"&amp;J467)+COUNTIFS($FU$2:$FU$1000,FU467,$FW$2:$FW$1000,"Y",$J$2:$J$1000,J467,$GD$2:$GD$1000,"&lt;"&amp;GD467)=0,"Y","N")))</f>
        <v/>
      </c>
      <c r="FY467" s="0" t="str">
        <f aca="false">IF($A467="","",IF(AND(FW467="Y",FX467="Y",Y467&amp;""&lt;&gt;""),IF(Y467&lt;=10,"Y","N"),"N"))</f>
        <v/>
      </c>
      <c r="FZ467" s="0" t="str">
        <f aca="false">IF(FY467="Y",Y467,"")</f>
        <v/>
      </c>
      <c r="GA467" s="0" t="str">
        <f aca="false">IF($A467="","",IF(AND(I467="walk-in",CN467="pass",U467="new",FT467="N",FV467="N",AQ467&lt;&gt;"Y"),"Y","N"))</f>
        <v/>
      </c>
      <c r="GB467" s="0" t="str">
        <f aca="false">IF(GA467&lt;&gt;"Y","",IF(COUNTIFS($GA$2:$GA$1000,"Y",$J$2:$J$1000,"&gt;"&amp;J467)+COUNTIFS($GA$2:$GA$1000,"Y",$J$2:$J$1000,J467,$GD$2:$GD$1000,"&lt;"&amp;GD467)+1&lt;=25,COUNTIFS($GA$2:$GA$1000,"Y",$J$2:$J$1000,"&gt;"&amp;J467)+COUNTIFS($GA$2:$GA$1000,"Y",$J$2:$J$1000,J467,$GD$2:$GD$1000,"&lt;"&amp;GD467)+1,""))</f>
        <v/>
      </c>
      <c r="GC467" s="0" t="str">
        <f aca="false">IF(AND(_xlfn.ISFORMULA(C467),_xlfn.ISFORMULA(J467)),"Y","N")</f>
        <v>Y</v>
      </c>
      <c r="GD467" s="0" t="n">
        <f aca="false">ROW()-1</f>
        <v>466</v>
      </c>
    </row>
    <row r="468" customFormat="false" ht="15" hidden="false" customHeight="false" outlineLevel="0" collapsed="false">
      <c r="C468" s="0" t="str">
        <f aca="false">IF($A468="","",IF(AW468="Y",BM468&amp;"",AY468&amp;""))</f>
        <v/>
      </c>
      <c r="D468" s="0" t="str">
        <f aca="false">IF($A468="","",IF(AW468="Y",BN468&amp;"",AZ468&amp;""))</f>
        <v/>
      </c>
      <c r="E468" s="0" t="str">
        <f aca="false">IF($A468="","",IF(AW468="Y",BO468&amp;"",BA468&amp;""))</f>
        <v/>
      </c>
      <c r="F468" s="0" t="str">
        <f aca="false">IF($A468="","",IF(AW468="Y",BP468&amp;"",BB468&amp;""))</f>
        <v/>
      </c>
      <c r="G468" s="0" t="str">
        <f aca="false">IF($A468="","",IF(AW468="Y",BQ468&amp;"",BC468&amp;""))</f>
        <v/>
      </c>
      <c r="H468" s="0" t="str">
        <f aca="false">IF($A468="","",IF(AW468="Y",BR468&amp;"",BD468&amp;""))</f>
        <v/>
      </c>
      <c r="I468" s="0" t="str">
        <f aca="false">IF($A468="","",IF(R468="Y","warm-intro",IF(H468="verified","email",IF(C468&lt;&gt;"","linkedin",CB468&amp;""))))</f>
        <v/>
      </c>
      <c r="J468" s="0" t="str">
        <f aca="false">IF($A468="","",IF(CN468="pass",ROUND(N(EM468)+N(EN468)+N(EO468)+N(EP468)+N(EQ468)+N(ER468),1),0))</f>
        <v/>
      </c>
      <c r="K468" s="0" t="str">
        <f aca="false">IF($A468="","",IF(CN468&lt;&gt;"pass",CA468&amp;"",CA468&amp;"; "&amp;IF(AW468="Y",BZ468&amp;"",BL468&amp;"")&amp;IF(R468="Y","; known to the founder (+15)","")&amp;"."))</f>
        <v/>
      </c>
      <c r="R468" s="5"/>
      <c r="U468" s="5"/>
      <c r="Y468" s="0" t="str">
        <f aca="false">IF(FX468&lt;&gt;"Y","",COUNTIFS($FX$2:$FX$1000,"Y",$J$2:$J$1000,"&gt;"&amp;J468)+COUNTIFS($FX$2:$FX$1000,"Y",$J$2:$J$1000,J468,$GD$2:$GD$1000,"&lt;"&amp;GD468)+1)</f>
        <v/>
      </c>
      <c r="AB468" s="0" t="str">
        <f aca="false">IF($A468="","",IF(AW468="Y",BY468&amp;"",BK468&amp;""))</f>
        <v/>
      </c>
      <c r="AC468" s="0" t="str">
        <f aca="false">IF($A468="","",IF(AW468="Y",BS468&amp;"",BE468&amp;""))</f>
        <v/>
      </c>
      <c r="AD468" s="0" t="str">
        <f aca="false">IF($A468="","",IF(AW468="Y",BT468&amp;"",BF468&amp;""))</f>
        <v/>
      </c>
      <c r="AE468" s="0" t="str">
        <f aca="false">IF($A468="","",IF(AW468="Y",BU468&amp;"",BG468&amp;""))</f>
        <v/>
      </c>
      <c r="AF468" s="0" t="str">
        <f aca="false">IF($A468="","",IF(AW468="Y",BV468&amp;"",BH468&amp;""))</f>
        <v/>
      </c>
      <c r="AG468" s="0" t="str">
        <f aca="false">IF($A468="","",IF(AW468="Y",BW468&amp;"",BI468&amp;""))</f>
        <v/>
      </c>
      <c r="AH468" s="0" t="str">
        <f aca="false">IF($A468="","",IF(AW468="Y",BX468&amp;"",BJ468&amp;""))</f>
        <v/>
      </c>
      <c r="AQ468" s="5"/>
      <c r="AT468" s="0" t="str">
        <f aca="false">IF($A468="","",IF(AND(CN468="pass",AQ468&lt;&gt;"Y",C468&lt;&gt;"",OR(AX468&lt;&gt;"Y",AV468="Y")),"Y","N"))</f>
        <v/>
      </c>
      <c r="AU468" s="0" t="str">
        <f aca="false">IF($A468="","",_xlfn.TEXTJOIN("; ",TRUE(),IF(CN468&lt;&gt;"pass","gated out",""),IF(AQ468="Y","on hold: "&amp;AR468,""),IF(C468="","no contact named on an opened page",""),IF(AND(AX468="Y",AV468&lt;&gt;"Y"),"Tuesday estimate band "&amp;L468&amp;": founder's call","")))</f>
        <v/>
      </c>
      <c r="BC468" s="0" t="str">
        <f aca="false">IF($A468="","",IFERROR(INDEX(Enrichment!$A$2:$GZ$2000,MATCH($A468,INDEX(Enrichment!$A$2:$GZ$2000,0,MATCH("row_id",Enrichment!$A$1:$GZ$1,0)),0),MATCH("work_email",Enrichment!$A$1:$GZ$1,0))&amp;"",""))</f>
        <v/>
      </c>
      <c r="BD468" s="0" t="str">
        <f aca="false">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Q468" s="0" t="str">
        <f aca="false">IF($A468="","",IFERROR(INDEX(Enrichment!$A$2:$GZ$2000,MATCH($A468,INDEX(Enrichment!$A$2:$GZ$2000,0,MATCH("row_id",Enrichment!$A$1:$GZ$1,0)),0),MATCH("backup_work_email",Enrichment!$A$1:$GZ$1,0))&amp;"",""))</f>
        <v/>
      </c>
      <c r="BR468" s="0" t="str">
        <f aca="false">IF($A468="","",IF(BQ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EQ468" s="0" t="str">
        <f aca="false">IF($A468="","",IF(AH468="exact",10,IF(AH468="adjacent",5,0)))</f>
        <v/>
      </c>
      <c r="ER468" s="0" t="str">
        <f aca="false">IF($A468="","",IF(R468="Y",15,0))</f>
        <v/>
      </c>
      <c r="FS468" s="0" t="str">
        <f aca="false">IF($A468="","",IF(ISNUMBER(MATCH(U468,{"queued","contacted","replied","call_booked","call_done","yes_in_principle","materials_sent"},0)),"Y","N"))</f>
        <v/>
      </c>
      <c r="FT468" s="0" t="str">
        <f aca="false">IF($A468="","",IF(OR(T468="Y",U468="do_not_contact",AS468&amp;""&lt;&gt;""),"Y","N"))</f>
        <v/>
      </c>
      <c r="FU468" s="0" t="str">
        <f aca="false">IF($A468="","",IF(AP468&amp;""&lt;&gt;"",AP468&amp;"",$A468))</f>
        <v/>
      </c>
      <c r="FV468" s="0" t="str">
        <f aca="false">IF($A468="","",IF(COUNTIFS($FU$2:$FU$1000,FU468,$FS$2:$FS$1000,"Y")+COUNTIFS($FU$2:$FU$1000,FU468,$FT$2:$FT$1000,"Y")&gt;0,"Y","N"))</f>
        <v/>
      </c>
      <c r="FW468" s="0" t="str">
        <f aca="false">IF($A468="","",IF(AND(U468="new",T468="N",FT468="N",AT468="Y",FV468="N"),"Y","N"))</f>
        <v/>
      </c>
      <c r="FX468" s="0" t="str">
        <f aca="false">IF($A468="","",IF(FW468&lt;&gt;"Y","N",IF(COUNTIFS($FU$2:$FU$1000,FU468,$FW$2:$FW$1000,"Y",$J$2:$J$1000,"&gt;"&amp;J468)+COUNTIFS($FU$2:$FU$1000,FU468,$FW$2:$FW$1000,"Y",$J$2:$J$1000,J468,$GD$2:$GD$1000,"&lt;"&amp;GD468)=0,"Y","N")))</f>
        <v/>
      </c>
      <c r="FY468" s="0" t="str">
        <f aca="false">IF($A468="","",IF(AND(FW468="Y",FX468="Y",Y468&amp;""&lt;&gt;""),IF(Y468&lt;=10,"Y","N"),"N"))</f>
        <v/>
      </c>
      <c r="FZ468" s="0" t="str">
        <f aca="false">IF(FY468="Y",Y468,"")</f>
        <v/>
      </c>
      <c r="GA468" s="0" t="str">
        <f aca="false">IF($A468="","",IF(AND(I468="walk-in",CN468="pass",U468="new",FT468="N",FV468="N",AQ468&lt;&gt;"Y"),"Y","N"))</f>
        <v/>
      </c>
      <c r="GB468" s="0" t="str">
        <f aca="false">IF(GA468&lt;&gt;"Y","",IF(COUNTIFS($GA$2:$GA$1000,"Y",$J$2:$J$1000,"&gt;"&amp;J468)+COUNTIFS($GA$2:$GA$1000,"Y",$J$2:$J$1000,J468,$GD$2:$GD$1000,"&lt;"&amp;GD468)+1&lt;=25,COUNTIFS($GA$2:$GA$1000,"Y",$J$2:$J$1000,"&gt;"&amp;J468)+COUNTIFS($GA$2:$GA$1000,"Y",$J$2:$J$1000,J468,$GD$2:$GD$1000,"&lt;"&amp;GD468)+1,""))</f>
        <v/>
      </c>
      <c r="GC468" s="0" t="str">
        <f aca="false">IF(AND(_xlfn.ISFORMULA(C468),_xlfn.ISFORMULA(J468)),"Y","N")</f>
        <v>Y</v>
      </c>
      <c r="GD468" s="0" t="n">
        <f aca="false">ROW()-1</f>
        <v>467</v>
      </c>
    </row>
    <row r="469" customFormat="false" ht="15" hidden="false" customHeight="false" outlineLevel="0" collapsed="false">
      <c r="C469" s="0" t="str">
        <f aca="false">IF($A469="","",IF(AW469="Y",BM469&amp;"",AY469&amp;""))</f>
        <v/>
      </c>
      <c r="D469" s="0" t="str">
        <f aca="false">IF($A469="","",IF(AW469="Y",BN469&amp;"",AZ469&amp;""))</f>
        <v/>
      </c>
      <c r="E469" s="0" t="str">
        <f aca="false">IF($A469="","",IF(AW469="Y",BO469&amp;"",BA469&amp;""))</f>
        <v/>
      </c>
      <c r="F469" s="0" t="str">
        <f aca="false">IF($A469="","",IF(AW469="Y",BP469&amp;"",BB469&amp;""))</f>
        <v/>
      </c>
      <c r="G469" s="0" t="str">
        <f aca="false">IF($A469="","",IF(AW469="Y",BQ469&amp;"",BC469&amp;""))</f>
        <v/>
      </c>
      <c r="H469" s="0" t="str">
        <f aca="false">IF($A469="","",IF(AW469="Y",BR469&amp;"",BD469&amp;""))</f>
        <v/>
      </c>
      <c r="I469" s="0" t="str">
        <f aca="false">IF($A469="","",IF(R469="Y","warm-intro",IF(H469="verified","email",IF(C469&lt;&gt;"","linkedin",CB469&amp;""))))</f>
        <v/>
      </c>
      <c r="J469" s="0" t="str">
        <f aca="false">IF($A469="","",IF(CN469="pass",ROUND(N(EM469)+N(EN469)+N(EO469)+N(EP469)+N(EQ469)+N(ER469),1),0))</f>
        <v/>
      </c>
      <c r="K469" s="0" t="str">
        <f aca="false">IF($A469="","",IF(CN469&lt;&gt;"pass",CA469&amp;"",CA469&amp;"; "&amp;IF(AW469="Y",BZ469&amp;"",BL469&amp;"")&amp;IF(R469="Y","; known to the founder (+15)","")&amp;"."))</f>
        <v/>
      </c>
      <c r="R469" s="5"/>
      <c r="U469" s="5"/>
      <c r="Y469" s="0" t="str">
        <f aca="false">IF(FX469&lt;&gt;"Y","",COUNTIFS($FX$2:$FX$1000,"Y",$J$2:$J$1000,"&gt;"&amp;J469)+COUNTIFS($FX$2:$FX$1000,"Y",$J$2:$J$1000,J469,$GD$2:$GD$1000,"&lt;"&amp;GD469)+1)</f>
        <v/>
      </c>
      <c r="AB469" s="0" t="str">
        <f aca="false">IF($A469="","",IF(AW469="Y",BY469&amp;"",BK469&amp;""))</f>
        <v/>
      </c>
      <c r="AC469" s="0" t="str">
        <f aca="false">IF($A469="","",IF(AW469="Y",BS469&amp;"",BE469&amp;""))</f>
        <v/>
      </c>
      <c r="AD469" s="0" t="str">
        <f aca="false">IF($A469="","",IF(AW469="Y",BT469&amp;"",BF469&amp;""))</f>
        <v/>
      </c>
      <c r="AE469" s="0" t="str">
        <f aca="false">IF($A469="","",IF(AW469="Y",BU469&amp;"",BG469&amp;""))</f>
        <v/>
      </c>
      <c r="AF469" s="0" t="str">
        <f aca="false">IF($A469="","",IF(AW469="Y",BV469&amp;"",BH469&amp;""))</f>
        <v/>
      </c>
      <c r="AG469" s="0" t="str">
        <f aca="false">IF($A469="","",IF(AW469="Y",BW469&amp;"",BI469&amp;""))</f>
        <v/>
      </c>
      <c r="AH469" s="0" t="str">
        <f aca="false">IF($A469="","",IF(AW469="Y",BX469&amp;"",BJ469&amp;""))</f>
        <v/>
      </c>
      <c r="AQ469" s="5"/>
      <c r="AT469" s="0" t="str">
        <f aca="false">IF($A469="","",IF(AND(CN469="pass",AQ469&lt;&gt;"Y",C469&lt;&gt;"",OR(AX469&lt;&gt;"Y",AV469="Y")),"Y","N"))</f>
        <v/>
      </c>
      <c r="AU469" s="0" t="str">
        <f aca="false">IF($A469="","",_xlfn.TEXTJOIN("; ",TRUE(),IF(CN469&lt;&gt;"pass","gated out",""),IF(AQ469="Y","on hold: "&amp;AR469,""),IF(C469="","no contact named on an opened page",""),IF(AND(AX469="Y",AV469&lt;&gt;"Y"),"Tuesday estimate band "&amp;L469&amp;": founder's call","")))</f>
        <v/>
      </c>
      <c r="BC469" s="0" t="str">
        <f aca="false">IF($A469="","",IFERROR(INDEX(Enrichment!$A$2:$GZ$2000,MATCH($A469,INDEX(Enrichment!$A$2:$GZ$2000,0,MATCH("row_id",Enrichment!$A$1:$GZ$1,0)),0),MATCH("work_email",Enrichment!$A$1:$GZ$1,0))&amp;"",""))</f>
        <v/>
      </c>
      <c r="BD469" s="0" t="str">
        <f aca="false">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Q469" s="0" t="str">
        <f aca="false">IF($A469="","",IFERROR(INDEX(Enrichment!$A$2:$GZ$2000,MATCH($A469,INDEX(Enrichment!$A$2:$GZ$2000,0,MATCH("row_id",Enrichment!$A$1:$GZ$1,0)),0),MATCH("backup_work_email",Enrichment!$A$1:$GZ$1,0))&amp;"",""))</f>
        <v/>
      </c>
      <c r="BR469" s="0" t="str">
        <f aca="false">IF($A469="","",IF(BQ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EQ469" s="0" t="str">
        <f aca="false">IF($A469="","",IF(AH469="exact",10,IF(AH469="adjacent",5,0)))</f>
        <v/>
      </c>
      <c r="ER469" s="0" t="str">
        <f aca="false">IF($A469="","",IF(R469="Y",15,0))</f>
        <v/>
      </c>
      <c r="FS469" s="0" t="str">
        <f aca="false">IF($A469="","",IF(ISNUMBER(MATCH(U469,{"queued","contacted","replied","call_booked","call_done","yes_in_principle","materials_sent"},0)),"Y","N"))</f>
        <v/>
      </c>
      <c r="FT469" s="0" t="str">
        <f aca="false">IF($A469="","",IF(OR(T469="Y",U469="do_not_contact",AS469&amp;""&lt;&gt;""),"Y","N"))</f>
        <v/>
      </c>
      <c r="FU469" s="0" t="str">
        <f aca="false">IF($A469="","",IF(AP469&amp;""&lt;&gt;"",AP469&amp;"",$A469))</f>
        <v/>
      </c>
      <c r="FV469" s="0" t="str">
        <f aca="false">IF($A469="","",IF(COUNTIFS($FU$2:$FU$1000,FU469,$FS$2:$FS$1000,"Y")+COUNTIFS($FU$2:$FU$1000,FU469,$FT$2:$FT$1000,"Y")&gt;0,"Y","N"))</f>
        <v/>
      </c>
      <c r="FW469" s="0" t="str">
        <f aca="false">IF($A469="","",IF(AND(U469="new",T469="N",FT469="N",AT469="Y",FV469="N"),"Y","N"))</f>
        <v/>
      </c>
      <c r="FX469" s="0" t="str">
        <f aca="false">IF($A469="","",IF(FW469&lt;&gt;"Y","N",IF(COUNTIFS($FU$2:$FU$1000,FU469,$FW$2:$FW$1000,"Y",$J$2:$J$1000,"&gt;"&amp;J469)+COUNTIFS($FU$2:$FU$1000,FU469,$FW$2:$FW$1000,"Y",$J$2:$J$1000,J469,$GD$2:$GD$1000,"&lt;"&amp;GD469)=0,"Y","N")))</f>
        <v/>
      </c>
      <c r="FY469" s="0" t="str">
        <f aca="false">IF($A469="","",IF(AND(FW469="Y",FX469="Y",Y469&amp;""&lt;&gt;""),IF(Y469&lt;=10,"Y","N"),"N"))</f>
        <v/>
      </c>
      <c r="FZ469" s="0" t="str">
        <f aca="false">IF(FY469="Y",Y469,"")</f>
        <v/>
      </c>
      <c r="GA469" s="0" t="str">
        <f aca="false">IF($A469="","",IF(AND(I469="walk-in",CN469="pass",U469="new",FT469="N",FV469="N",AQ469&lt;&gt;"Y"),"Y","N"))</f>
        <v/>
      </c>
      <c r="GB469" s="0" t="str">
        <f aca="false">IF(GA469&lt;&gt;"Y","",IF(COUNTIFS($GA$2:$GA$1000,"Y",$J$2:$J$1000,"&gt;"&amp;J469)+COUNTIFS($GA$2:$GA$1000,"Y",$J$2:$J$1000,J469,$GD$2:$GD$1000,"&lt;"&amp;GD469)+1&lt;=25,COUNTIFS($GA$2:$GA$1000,"Y",$J$2:$J$1000,"&gt;"&amp;J469)+COUNTIFS($GA$2:$GA$1000,"Y",$J$2:$J$1000,J469,$GD$2:$GD$1000,"&lt;"&amp;GD469)+1,""))</f>
        <v/>
      </c>
      <c r="GC469" s="0" t="str">
        <f aca="false">IF(AND(_xlfn.ISFORMULA(C469),_xlfn.ISFORMULA(J469)),"Y","N")</f>
        <v>Y</v>
      </c>
      <c r="GD469" s="0" t="n">
        <f aca="false">ROW()-1</f>
        <v>468</v>
      </c>
    </row>
    <row r="470" customFormat="false" ht="15" hidden="false" customHeight="false" outlineLevel="0" collapsed="false">
      <c r="C470" s="0" t="str">
        <f aca="false">IF($A470="","",IF(AW470="Y",BM470&amp;"",AY470&amp;""))</f>
        <v/>
      </c>
      <c r="D470" s="0" t="str">
        <f aca="false">IF($A470="","",IF(AW470="Y",BN470&amp;"",AZ470&amp;""))</f>
        <v/>
      </c>
      <c r="E470" s="0" t="str">
        <f aca="false">IF($A470="","",IF(AW470="Y",BO470&amp;"",BA470&amp;""))</f>
        <v/>
      </c>
      <c r="F470" s="0" t="str">
        <f aca="false">IF($A470="","",IF(AW470="Y",BP470&amp;"",BB470&amp;""))</f>
        <v/>
      </c>
      <c r="G470" s="0" t="str">
        <f aca="false">IF($A470="","",IF(AW470="Y",BQ470&amp;"",BC470&amp;""))</f>
        <v/>
      </c>
      <c r="H470" s="0" t="str">
        <f aca="false">IF($A470="","",IF(AW470="Y",BR470&amp;"",BD470&amp;""))</f>
        <v/>
      </c>
      <c r="I470" s="0" t="str">
        <f aca="false">IF($A470="","",IF(R470="Y","warm-intro",IF(H470="verified","email",IF(C470&lt;&gt;"","linkedin",CB470&amp;""))))</f>
        <v/>
      </c>
      <c r="J470" s="0" t="str">
        <f aca="false">IF($A470="","",IF(CN470="pass",ROUND(N(EM470)+N(EN470)+N(EO470)+N(EP470)+N(EQ470)+N(ER470),1),0))</f>
        <v/>
      </c>
      <c r="K470" s="0" t="str">
        <f aca="false">IF($A470="","",IF(CN470&lt;&gt;"pass",CA470&amp;"",CA470&amp;"; "&amp;IF(AW470="Y",BZ470&amp;"",BL470&amp;"")&amp;IF(R470="Y","; known to the founder (+15)","")&amp;"."))</f>
        <v/>
      </c>
      <c r="R470" s="5"/>
      <c r="U470" s="5"/>
      <c r="Y470" s="0" t="str">
        <f aca="false">IF(FX470&lt;&gt;"Y","",COUNTIFS($FX$2:$FX$1000,"Y",$J$2:$J$1000,"&gt;"&amp;J470)+COUNTIFS($FX$2:$FX$1000,"Y",$J$2:$J$1000,J470,$GD$2:$GD$1000,"&lt;"&amp;GD470)+1)</f>
        <v/>
      </c>
      <c r="AB470" s="0" t="str">
        <f aca="false">IF($A470="","",IF(AW470="Y",BY470&amp;"",BK470&amp;""))</f>
        <v/>
      </c>
      <c r="AC470" s="0" t="str">
        <f aca="false">IF($A470="","",IF(AW470="Y",BS470&amp;"",BE470&amp;""))</f>
        <v/>
      </c>
      <c r="AD470" s="0" t="str">
        <f aca="false">IF($A470="","",IF(AW470="Y",BT470&amp;"",BF470&amp;""))</f>
        <v/>
      </c>
      <c r="AE470" s="0" t="str">
        <f aca="false">IF($A470="","",IF(AW470="Y",BU470&amp;"",BG470&amp;""))</f>
        <v/>
      </c>
      <c r="AF470" s="0" t="str">
        <f aca="false">IF($A470="","",IF(AW470="Y",BV470&amp;"",BH470&amp;""))</f>
        <v/>
      </c>
      <c r="AG470" s="0" t="str">
        <f aca="false">IF($A470="","",IF(AW470="Y",BW470&amp;"",BI470&amp;""))</f>
        <v/>
      </c>
      <c r="AH470" s="0" t="str">
        <f aca="false">IF($A470="","",IF(AW470="Y",BX470&amp;"",BJ470&amp;""))</f>
        <v/>
      </c>
      <c r="AQ470" s="5"/>
      <c r="AT470" s="0" t="str">
        <f aca="false">IF($A470="","",IF(AND(CN470="pass",AQ470&lt;&gt;"Y",C470&lt;&gt;"",OR(AX470&lt;&gt;"Y",AV470="Y")),"Y","N"))</f>
        <v/>
      </c>
      <c r="AU470" s="0" t="str">
        <f aca="false">IF($A470="","",_xlfn.TEXTJOIN("; ",TRUE(),IF(CN470&lt;&gt;"pass","gated out",""),IF(AQ470="Y","on hold: "&amp;AR470,""),IF(C470="","no contact named on an opened page",""),IF(AND(AX470="Y",AV470&lt;&gt;"Y"),"Tuesday estimate band "&amp;L470&amp;": founder's call","")))</f>
        <v/>
      </c>
      <c r="BC470" s="0" t="str">
        <f aca="false">IF($A470="","",IFERROR(INDEX(Enrichment!$A$2:$GZ$2000,MATCH($A470,INDEX(Enrichment!$A$2:$GZ$2000,0,MATCH("row_id",Enrichment!$A$1:$GZ$1,0)),0),MATCH("work_email",Enrichment!$A$1:$GZ$1,0))&amp;"",""))</f>
        <v/>
      </c>
      <c r="BD470" s="0" t="str">
        <f aca="false">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Q470" s="0" t="str">
        <f aca="false">IF($A470="","",IFERROR(INDEX(Enrichment!$A$2:$GZ$2000,MATCH($A470,INDEX(Enrichment!$A$2:$GZ$2000,0,MATCH("row_id",Enrichment!$A$1:$GZ$1,0)),0),MATCH("backup_work_email",Enrichment!$A$1:$GZ$1,0))&amp;"",""))</f>
        <v/>
      </c>
      <c r="BR470" s="0" t="str">
        <f aca="false">IF($A470="","",IF(BQ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EQ470" s="0" t="str">
        <f aca="false">IF($A470="","",IF(AH470="exact",10,IF(AH470="adjacent",5,0)))</f>
        <v/>
      </c>
      <c r="ER470" s="0" t="str">
        <f aca="false">IF($A470="","",IF(R470="Y",15,0))</f>
        <v/>
      </c>
      <c r="FS470" s="0" t="str">
        <f aca="false">IF($A470="","",IF(ISNUMBER(MATCH(U470,{"queued","contacted","replied","call_booked","call_done","yes_in_principle","materials_sent"},0)),"Y","N"))</f>
        <v/>
      </c>
      <c r="FT470" s="0" t="str">
        <f aca="false">IF($A470="","",IF(OR(T470="Y",U470="do_not_contact",AS470&amp;""&lt;&gt;""),"Y","N"))</f>
        <v/>
      </c>
      <c r="FU470" s="0" t="str">
        <f aca="false">IF($A470="","",IF(AP470&amp;""&lt;&gt;"",AP470&amp;"",$A470))</f>
        <v/>
      </c>
      <c r="FV470" s="0" t="str">
        <f aca="false">IF($A470="","",IF(COUNTIFS($FU$2:$FU$1000,FU470,$FS$2:$FS$1000,"Y")+COUNTIFS($FU$2:$FU$1000,FU470,$FT$2:$FT$1000,"Y")&gt;0,"Y","N"))</f>
        <v/>
      </c>
      <c r="FW470" s="0" t="str">
        <f aca="false">IF($A470="","",IF(AND(U470="new",T470="N",FT470="N",AT470="Y",FV470="N"),"Y","N"))</f>
        <v/>
      </c>
      <c r="FX470" s="0" t="str">
        <f aca="false">IF($A470="","",IF(FW470&lt;&gt;"Y","N",IF(COUNTIFS($FU$2:$FU$1000,FU470,$FW$2:$FW$1000,"Y",$J$2:$J$1000,"&gt;"&amp;J470)+COUNTIFS($FU$2:$FU$1000,FU470,$FW$2:$FW$1000,"Y",$J$2:$J$1000,J470,$GD$2:$GD$1000,"&lt;"&amp;GD470)=0,"Y","N")))</f>
        <v/>
      </c>
      <c r="FY470" s="0" t="str">
        <f aca="false">IF($A470="","",IF(AND(FW470="Y",FX470="Y",Y470&amp;""&lt;&gt;""),IF(Y470&lt;=10,"Y","N"),"N"))</f>
        <v/>
      </c>
      <c r="FZ470" s="0" t="str">
        <f aca="false">IF(FY470="Y",Y470,"")</f>
        <v/>
      </c>
      <c r="GA470" s="0" t="str">
        <f aca="false">IF($A470="","",IF(AND(I470="walk-in",CN470="pass",U470="new",FT470="N",FV470="N",AQ470&lt;&gt;"Y"),"Y","N"))</f>
        <v/>
      </c>
      <c r="GB470" s="0" t="str">
        <f aca="false">IF(GA470&lt;&gt;"Y","",IF(COUNTIFS($GA$2:$GA$1000,"Y",$J$2:$J$1000,"&gt;"&amp;J470)+COUNTIFS($GA$2:$GA$1000,"Y",$J$2:$J$1000,J470,$GD$2:$GD$1000,"&lt;"&amp;GD470)+1&lt;=25,COUNTIFS($GA$2:$GA$1000,"Y",$J$2:$J$1000,"&gt;"&amp;J470)+COUNTIFS($GA$2:$GA$1000,"Y",$J$2:$J$1000,J470,$GD$2:$GD$1000,"&lt;"&amp;GD470)+1,""))</f>
        <v/>
      </c>
      <c r="GC470" s="0" t="str">
        <f aca="false">IF(AND(_xlfn.ISFORMULA(C470),_xlfn.ISFORMULA(J470)),"Y","N")</f>
        <v>Y</v>
      </c>
      <c r="GD470" s="0" t="n">
        <f aca="false">ROW()-1</f>
        <v>469</v>
      </c>
    </row>
    <row r="471" customFormat="false" ht="15" hidden="false" customHeight="false" outlineLevel="0" collapsed="false">
      <c r="C471" s="0" t="str">
        <f aca="false">IF($A471="","",IF(AW471="Y",BM471&amp;"",AY471&amp;""))</f>
        <v/>
      </c>
      <c r="D471" s="0" t="str">
        <f aca="false">IF($A471="","",IF(AW471="Y",BN471&amp;"",AZ471&amp;""))</f>
        <v/>
      </c>
      <c r="E471" s="0" t="str">
        <f aca="false">IF($A471="","",IF(AW471="Y",BO471&amp;"",BA471&amp;""))</f>
        <v/>
      </c>
      <c r="F471" s="0" t="str">
        <f aca="false">IF($A471="","",IF(AW471="Y",BP471&amp;"",BB471&amp;""))</f>
        <v/>
      </c>
      <c r="G471" s="0" t="str">
        <f aca="false">IF($A471="","",IF(AW471="Y",BQ471&amp;"",BC471&amp;""))</f>
        <v/>
      </c>
      <c r="H471" s="0" t="str">
        <f aca="false">IF($A471="","",IF(AW471="Y",BR471&amp;"",BD471&amp;""))</f>
        <v/>
      </c>
      <c r="I471" s="0" t="str">
        <f aca="false">IF($A471="","",IF(R471="Y","warm-intro",IF(H471="verified","email",IF(C471&lt;&gt;"","linkedin",CB471&amp;""))))</f>
        <v/>
      </c>
      <c r="J471" s="0" t="str">
        <f aca="false">IF($A471="","",IF(CN471="pass",ROUND(N(EM471)+N(EN471)+N(EO471)+N(EP471)+N(EQ471)+N(ER471),1),0))</f>
        <v/>
      </c>
      <c r="K471" s="0" t="str">
        <f aca="false">IF($A471="","",IF(CN471&lt;&gt;"pass",CA471&amp;"",CA471&amp;"; "&amp;IF(AW471="Y",BZ471&amp;"",BL471&amp;"")&amp;IF(R471="Y","; known to the founder (+15)","")&amp;"."))</f>
        <v/>
      </c>
      <c r="R471" s="5"/>
      <c r="U471" s="5"/>
      <c r="Y471" s="0" t="str">
        <f aca="false">IF(FX471&lt;&gt;"Y","",COUNTIFS($FX$2:$FX$1000,"Y",$J$2:$J$1000,"&gt;"&amp;J471)+COUNTIFS($FX$2:$FX$1000,"Y",$J$2:$J$1000,J471,$GD$2:$GD$1000,"&lt;"&amp;GD471)+1)</f>
        <v/>
      </c>
      <c r="AB471" s="0" t="str">
        <f aca="false">IF($A471="","",IF(AW471="Y",BY471&amp;"",BK471&amp;""))</f>
        <v/>
      </c>
      <c r="AC471" s="0" t="str">
        <f aca="false">IF($A471="","",IF(AW471="Y",BS471&amp;"",BE471&amp;""))</f>
        <v/>
      </c>
      <c r="AD471" s="0" t="str">
        <f aca="false">IF($A471="","",IF(AW471="Y",BT471&amp;"",BF471&amp;""))</f>
        <v/>
      </c>
      <c r="AE471" s="0" t="str">
        <f aca="false">IF($A471="","",IF(AW471="Y",BU471&amp;"",BG471&amp;""))</f>
        <v/>
      </c>
      <c r="AF471" s="0" t="str">
        <f aca="false">IF($A471="","",IF(AW471="Y",BV471&amp;"",BH471&amp;""))</f>
        <v/>
      </c>
      <c r="AG471" s="0" t="str">
        <f aca="false">IF($A471="","",IF(AW471="Y",BW471&amp;"",BI471&amp;""))</f>
        <v/>
      </c>
      <c r="AH471" s="0" t="str">
        <f aca="false">IF($A471="","",IF(AW471="Y",BX471&amp;"",BJ471&amp;""))</f>
        <v/>
      </c>
      <c r="AQ471" s="5"/>
      <c r="AT471" s="0" t="str">
        <f aca="false">IF($A471="","",IF(AND(CN471="pass",AQ471&lt;&gt;"Y",C471&lt;&gt;"",OR(AX471&lt;&gt;"Y",AV471="Y")),"Y","N"))</f>
        <v/>
      </c>
      <c r="AU471" s="0" t="str">
        <f aca="false">IF($A471="","",_xlfn.TEXTJOIN("; ",TRUE(),IF(CN471&lt;&gt;"pass","gated out",""),IF(AQ471="Y","on hold: "&amp;AR471,""),IF(C471="","no contact named on an opened page",""),IF(AND(AX471="Y",AV471&lt;&gt;"Y"),"Tuesday estimate band "&amp;L471&amp;": founder's call","")))</f>
        <v/>
      </c>
      <c r="BC471" s="0" t="str">
        <f aca="false">IF($A471="","",IFERROR(INDEX(Enrichment!$A$2:$GZ$2000,MATCH($A471,INDEX(Enrichment!$A$2:$GZ$2000,0,MATCH("row_id",Enrichment!$A$1:$GZ$1,0)),0),MATCH("work_email",Enrichment!$A$1:$GZ$1,0))&amp;"",""))</f>
        <v/>
      </c>
      <c r="BD471" s="0" t="str">
        <f aca="false">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Q471" s="0" t="str">
        <f aca="false">IF($A471="","",IFERROR(INDEX(Enrichment!$A$2:$GZ$2000,MATCH($A471,INDEX(Enrichment!$A$2:$GZ$2000,0,MATCH("row_id",Enrichment!$A$1:$GZ$1,0)),0),MATCH("backup_work_email",Enrichment!$A$1:$GZ$1,0))&amp;"",""))</f>
        <v/>
      </c>
      <c r="BR471" s="0" t="str">
        <f aca="false">IF($A471="","",IF(BQ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EQ471" s="0" t="str">
        <f aca="false">IF($A471="","",IF(AH471="exact",10,IF(AH471="adjacent",5,0)))</f>
        <v/>
      </c>
      <c r="ER471" s="0" t="str">
        <f aca="false">IF($A471="","",IF(R471="Y",15,0))</f>
        <v/>
      </c>
      <c r="FS471" s="0" t="str">
        <f aca="false">IF($A471="","",IF(ISNUMBER(MATCH(U471,{"queued","contacted","replied","call_booked","call_done","yes_in_principle","materials_sent"},0)),"Y","N"))</f>
        <v/>
      </c>
      <c r="FT471" s="0" t="str">
        <f aca="false">IF($A471="","",IF(OR(T471="Y",U471="do_not_contact",AS471&amp;""&lt;&gt;""),"Y","N"))</f>
        <v/>
      </c>
      <c r="FU471" s="0" t="str">
        <f aca="false">IF($A471="","",IF(AP471&amp;""&lt;&gt;"",AP471&amp;"",$A471))</f>
        <v/>
      </c>
      <c r="FV471" s="0" t="str">
        <f aca="false">IF($A471="","",IF(COUNTIFS($FU$2:$FU$1000,FU471,$FS$2:$FS$1000,"Y")+COUNTIFS($FU$2:$FU$1000,FU471,$FT$2:$FT$1000,"Y")&gt;0,"Y","N"))</f>
        <v/>
      </c>
      <c r="FW471" s="0" t="str">
        <f aca="false">IF($A471="","",IF(AND(U471="new",T471="N",FT471="N",AT471="Y",FV471="N"),"Y","N"))</f>
        <v/>
      </c>
      <c r="FX471" s="0" t="str">
        <f aca="false">IF($A471="","",IF(FW471&lt;&gt;"Y","N",IF(COUNTIFS($FU$2:$FU$1000,FU471,$FW$2:$FW$1000,"Y",$J$2:$J$1000,"&gt;"&amp;J471)+COUNTIFS($FU$2:$FU$1000,FU471,$FW$2:$FW$1000,"Y",$J$2:$J$1000,J471,$GD$2:$GD$1000,"&lt;"&amp;GD471)=0,"Y","N")))</f>
        <v/>
      </c>
      <c r="FY471" s="0" t="str">
        <f aca="false">IF($A471="","",IF(AND(FW471="Y",FX471="Y",Y471&amp;""&lt;&gt;""),IF(Y471&lt;=10,"Y","N"),"N"))</f>
        <v/>
      </c>
      <c r="FZ471" s="0" t="str">
        <f aca="false">IF(FY471="Y",Y471,"")</f>
        <v/>
      </c>
      <c r="GA471" s="0" t="str">
        <f aca="false">IF($A471="","",IF(AND(I471="walk-in",CN471="pass",U471="new",FT471="N",FV471="N",AQ471&lt;&gt;"Y"),"Y","N"))</f>
        <v/>
      </c>
      <c r="GB471" s="0" t="str">
        <f aca="false">IF(GA471&lt;&gt;"Y","",IF(COUNTIFS($GA$2:$GA$1000,"Y",$J$2:$J$1000,"&gt;"&amp;J471)+COUNTIFS($GA$2:$GA$1000,"Y",$J$2:$J$1000,J471,$GD$2:$GD$1000,"&lt;"&amp;GD471)+1&lt;=25,COUNTIFS($GA$2:$GA$1000,"Y",$J$2:$J$1000,"&gt;"&amp;J471)+COUNTIFS($GA$2:$GA$1000,"Y",$J$2:$J$1000,J471,$GD$2:$GD$1000,"&lt;"&amp;GD471)+1,""))</f>
        <v/>
      </c>
      <c r="GC471" s="0" t="str">
        <f aca="false">IF(AND(_xlfn.ISFORMULA(C471),_xlfn.ISFORMULA(J471)),"Y","N")</f>
        <v>Y</v>
      </c>
      <c r="GD471" s="0" t="n">
        <f aca="false">ROW()-1</f>
        <v>470</v>
      </c>
    </row>
    <row r="472" customFormat="false" ht="15" hidden="false" customHeight="false" outlineLevel="0" collapsed="false">
      <c r="C472" s="0" t="str">
        <f aca="false">IF($A472="","",IF(AW472="Y",BM472&amp;"",AY472&amp;""))</f>
        <v/>
      </c>
      <c r="D472" s="0" t="str">
        <f aca="false">IF($A472="","",IF(AW472="Y",BN472&amp;"",AZ472&amp;""))</f>
        <v/>
      </c>
      <c r="E472" s="0" t="str">
        <f aca="false">IF($A472="","",IF(AW472="Y",BO472&amp;"",BA472&amp;""))</f>
        <v/>
      </c>
      <c r="F472" s="0" t="str">
        <f aca="false">IF($A472="","",IF(AW472="Y",BP472&amp;"",BB472&amp;""))</f>
        <v/>
      </c>
      <c r="G472" s="0" t="str">
        <f aca="false">IF($A472="","",IF(AW472="Y",BQ472&amp;"",BC472&amp;""))</f>
        <v/>
      </c>
      <c r="H472" s="0" t="str">
        <f aca="false">IF($A472="","",IF(AW472="Y",BR472&amp;"",BD472&amp;""))</f>
        <v/>
      </c>
      <c r="I472" s="0" t="str">
        <f aca="false">IF($A472="","",IF(R472="Y","warm-intro",IF(H472="verified","email",IF(C472&lt;&gt;"","linkedin",CB472&amp;""))))</f>
        <v/>
      </c>
      <c r="J472" s="0" t="str">
        <f aca="false">IF($A472="","",IF(CN472="pass",ROUND(N(EM472)+N(EN472)+N(EO472)+N(EP472)+N(EQ472)+N(ER472),1),0))</f>
        <v/>
      </c>
      <c r="K472" s="0" t="str">
        <f aca="false">IF($A472="","",IF(CN472&lt;&gt;"pass",CA472&amp;"",CA472&amp;"; "&amp;IF(AW472="Y",BZ472&amp;"",BL472&amp;"")&amp;IF(R472="Y","; known to the founder (+15)","")&amp;"."))</f>
        <v/>
      </c>
      <c r="R472" s="5"/>
      <c r="U472" s="5"/>
      <c r="Y472" s="0" t="str">
        <f aca="false">IF(FX472&lt;&gt;"Y","",COUNTIFS($FX$2:$FX$1000,"Y",$J$2:$J$1000,"&gt;"&amp;J472)+COUNTIFS($FX$2:$FX$1000,"Y",$J$2:$J$1000,J472,$GD$2:$GD$1000,"&lt;"&amp;GD472)+1)</f>
        <v/>
      </c>
      <c r="AB472" s="0" t="str">
        <f aca="false">IF($A472="","",IF(AW472="Y",BY472&amp;"",BK472&amp;""))</f>
        <v/>
      </c>
      <c r="AC472" s="0" t="str">
        <f aca="false">IF($A472="","",IF(AW472="Y",BS472&amp;"",BE472&amp;""))</f>
        <v/>
      </c>
      <c r="AD472" s="0" t="str">
        <f aca="false">IF($A472="","",IF(AW472="Y",BT472&amp;"",BF472&amp;""))</f>
        <v/>
      </c>
      <c r="AE472" s="0" t="str">
        <f aca="false">IF($A472="","",IF(AW472="Y",BU472&amp;"",BG472&amp;""))</f>
        <v/>
      </c>
      <c r="AF472" s="0" t="str">
        <f aca="false">IF($A472="","",IF(AW472="Y",BV472&amp;"",BH472&amp;""))</f>
        <v/>
      </c>
      <c r="AG472" s="0" t="str">
        <f aca="false">IF($A472="","",IF(AW472="Y",BW472&amp;"",BI472&amp;""))</f>
        <v/>
      </c>
      <c r="AH472" s="0" t="str">
        <f aca="false">IF($A472="","",IF(AW472="Y",BX472&amp;"",BJ472&amp;""))</f>
        <v/>
      </c>
      <c r="AQ472" s="5"/>
      <c r="AT472" s="0" t="str">
        <f aca="false">IF($A472="","",IF(AND(CN472="pass",AQ472&lt;&gt;"Y",C472&lt;&gt;"",OR(AX472&lt;&gt;"Y",AV472="Y")),"Y","N"))</f>
        <v/>
      </c>
      <c r="AU472" s="0" t="str">
        <f aca="false">IF($A472="","",_xlfn.TEXTJOIN("; ",TRUE(),IF(CN472&lt;&gt;"pass","gated out",""),IF(AQ472="Y","on hold: "&amp;AR472,""),IF(C472="","no contact named on an opened page",""),IF(AND(AX472="Y",AV472&lt;&gt;"Y"),"Tuesday estimate band "&amp;L472&amp;": founder's call","")))</f>
        <v/>
      </c>
      <c r="BC472" s="0" t="str">
        <f aca="false">IF($A472="","",IFERROR(INDEX(Enrichment!$A$2:$GZ$2000,MATCH($A472,INDEX(Enrichment!$A$2:$GZ$2000,0,MATCH("row_id",Enrichment!$A$1:$GZ$1,0)),0),MATCH("work_email",Enrichment!$A$1:$GZ$1,0))&amp;"",""))</f>
        <v/>
      </c>
      <c r="BD472" s="0" t="str">
        <f aca="false">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Q472" s="0" t="str">
        <f aca="false">IF($A472="","",IFERROR(INDEX(Enrichment!$A$2:$GZ$2000,MATCH($A472,INDEX(Enrichment!$A$2:$GZ$2000,0,MATCH("row_id",Enrichment!$A$1:$GZ$1,0)),0),MATCH("backup_work_email",Enrichment!$A$1:$GZ$1,0))&amp;"",""))</f>
        <v/>
      </c>
      <c r="BR472" s="0" t="str">
        <f aca="false">IF($A472="","",IF(BQ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EQ472" s="0" t="str">
        <f aca="false">IF($A472="","",IF(AH472="exact",10,IF(AH472="adjacent",5,0)))</f>
        <v/>
      </c>
      <c r="ER472" s="0" t="str">
        <f aca="false">IF($A472="","",IF(R472="Y",15,0))</f>
        <v/>
      </c>
      <c r="FS472" s="0" t="str">
        <f aca="false">IF($A472="","",IF(ISNUMBER(MATCH(U472,{"queued","contacted","replied","call_booked","call_done","yes_in_principle","materials_sent"},0)),"Y","N"))</f>
        <v/>
      </c>
      <c r="FT472" s="0" t="str">
        <f aca="false">IF($A472="","",IF(OR(T472="Y",U472="do_not_contact",AS472&amp;""&lt;&gt;""),"Y","N"))</f>
        <v/>
      </c>
      <c r="FU472" s="0" t="str">
        <f aca="false">IF($A472="","",IF(AP472&amp;""&lt;&gt;"",AP472&amp;"",$A472))</f>
        <v/>
      </c>
      <c r="FV472" s="0" t="str">
        <f aca="false">IF($A472="","",IF(COUNTIFS($FU$2:$FU$1000,FU472,$FS$2:$FS$1000,"Y")+COUNTIFS($FU$2:$FU$1000,FU472,$FT$2:$FT$1000,"Y")&gt;0,"Y","N"))</f>
        <v/>
      </c>
      <c r="FW472" s="0" t="str">
        <f aca="false">IF($A472="","",IF(AND(U472="new",T472="N",FT472="N",AT472="Y",FV472="N"),"Y","N"))</f>
        <v/>
      </c>
      <c r="FX472" s="0" t="str">
        <f aca="false">IF($A472="","",IF(FW472&lt;&gt;"Y","N",IF(COUNTIFS($FU$2:$FU$1000,FU472,$FW$2:$FW$1000,"Y",$J$2:$J$1000,"&gt;"&amp;J472)+COUNTIFS($FU$2:$FU$1000,FU472,$FW$2:$FW$1000,"Y",$J$2:$J$1000,J472,$GD$2:$GD$1000,"&lt;"&amp;GD472)=0,"Y","N")))</f>
        <v/>
      </c>
      <c r="FY472" s="0" t="str">
        <f aca="false">IF($A472="","",IF(AND(FW472="Y",FX472="Y",Y472&amp;""&lt;&gt;""),IF(Y472&lt;=10,"Y","N"),"N"))</f>
        <v/>
      </c>
      <c r="FZ472" s="0" t="str">
        <f aca="false">IF(FY472="Y",Y472,"")</f>
        <v/>
      </c>
      <c r="GA472" s="0" t="str">
        <f aca="false">IF($A472="","",IF(AND(I472="walk-in",CN472="pass",U472="new",FT472="N",FV472="N",AQ472&lt;&gt;"Y"),"Y","N"))</f>
        <v/>
      </c>
      <c r="GB472" s="0" t="str">
        <f aca="false">IF(GA472&lt;&gt;"Y","",IF(COUNTIFS($GA$2:$GA$1000,"Y",$J$2:$J$1000,"&gt;"&amp;J472)+COUNTIFS($GA$2:$GA$1000,"Y",$J$2:$J$1000,J472,$GD$2:$GD$1000,"&lt;"&amp;GD472)+1&lt;=25,COUNTIFS($GA$2:$GA$1000,"Y",$J$2:$J$1000,"&gt;"&amp;J472)+COUNTIFS($GA$2:$GA$1000,"Y",$J$2:$J$1000,J472,$GD$2:$GD$1000,"&lt;"&amp;GD472)+1,""))</f>
        <v/>
      </c>
      <c r="GC472" s="0" t="str">
        <f aca="false">IF(AND(_xlfn.ISFORMULA(C472),_xlfn.ISFORMULA(J472)),"Y","N")</f>
        <v>Y</v>
      </c>
      <c r="GD472" s="0" t="n">
        <f aca="false">ROW()-1</f>
        <v>471</v>
      </c>
    </row>
    <row r="473" customFormat="false" ht="15" hidden="false" customHeight="false" outlineLevel="0" collapsed="false">
      <c r="C473" s="0" t="str">
        <f aca="false">IF($A473="","",IF(AW473="Y",BM473&amp;"",AY473&amp;""))</f>
        <v/>
      </c>
      <c r="D473" s="0" t="str">
        <f aca="false">IF($A473="","",IF(AW473="Y",BN473&amp;"",AZ473&amp;""))</f>
        <v/>
      </c>
      <c r="E473" s="0" t="str">
        <f aca="false">IF($A473="","",IF(AW473="Y",BO473&amp;"",BA473&amp;""))</f>
        <v/>
      </c>
      <c r="F473" s="0" t="str">
        <f aca="false">IF($A473="","",IF(AW473="Y",BP473&amp;"",BB473&amp;""))</f>
        <v/>
      </c>
      <c r="G473" s="0" t="str">
        <f aca="false">IF($A473="","",IF(AW473="Y",BQ473&amp;"",BC473&amp;""))</f>
        <v/>
      </c>
      <c r="H473" s="0" t="str">
        <f aca="false">IF($A473="","",IF(AW473="Y",BR473&amp;"",BD473&amp;""))</f>
        <v/>
      </c>
      <c r="I473" s="0" t="str">
        <f aca="false">IF($A473="","",IF(R473="Y","warm-intro",IF(H473="verified","email",IF(C473&lt;&gt;"","linkedin",CB473&amp;""))))</f>
        <v/>
      </c>
      <c r="J473" s="0" t="str">
        <f aca="false">IF($A473="","",IF(CN473="pass",ROUND(N(EM473)+N(EN473)+N(EO473)+N(EP473)+N(EQ473)+N(ER473),1),0))</f>
        <v/>
      </c>
      <c r="K473" s="0" t="str">
        <f aca="false">IF($A473="","",IF(CN473&lt;&gt;"pass",CA473&amp;"",CA473&amp;"; "&amp;IF(AW473="Y",BZ473&amp;"",BL473&amp;"")&amp;IF(R473="Y","; known to the founder (+15)","")&amp;"."))</f>
        <v/>
      </c>
      <c r="R473" s="5"/>
      <c r="U473" s="5"/>
      <c r="Y473" s="0" t="str">
        <f aca="false">IF(FX473&lt;&gt;"Y","",COUNTIFS($FX$2:$FX$1000,"Y",$J$2:$J$1000,"&gt;"&amp;J473)+COUNTIFS($FX$2:$FX$1000,"Y",$J$2:$J$1000,J473,$GD$2:$GD$1000,"&lt;"&amp;GD473)+1)</f>
        <v/>
      </c>
      <c r="AB473" s="0" t="str">
        <f aca="false">IF($A473="","",IF(AW473="Y",BY473&amp;"",BK473&amp;""))</f>
        <v/>
      </c>
      <c r="AC473" s="0" t="str">
        <f aca="false">IF($A473="","",IF(AW473="Y",BS473&amp;"",BE473&amp;""))</f>
        <v/>
      </c>
      <c r="AD473" s="0" t="str">
        <f aca="false">IF($A473="","",IF(AW473="Y",BT473&amp;"",BF473&amp;""))</f>
        <v/>
      </c>
      <c r="AE473" s="0" t="str">
        <f aca="false">IF($A473="","",IF(AW473="Y",BU473&amp;"",BG473&amp;""))</f>
        <v/>
      </c>
      <c r="AF473" s="0" t="str">
        <f aca="false">IF($A473="","",IF(AW473="Y",BV473&amp;"",BH473&amp;""))</f>
        <v/>
      </c>
      <c r="AG473" s="0" t="str">
        <f aca="false">IF($A473="","",IF(AW473="Y",BW473&amp;"",BI473&amp;""))</f>
        <v/>
      </c>
      <c r="AH473" s="0" t="str">
        <f aca="false">IF($A473="","",IF(AW473="Y",BX473&amp;"",BJ473&amp;""))</f>
        <v/>
      </c>
      <c r="AQ473" s="5"/>
      <c r="AT473" s="0" t="str">
        <f aca="false">IF($A473="","",IF(AND(CN473="pass",AQ473&lt;&gt;"Y",C473&lt;&gt;"",OR(AX473&lt;&gt;"Y",AV473="Y")),"Y","N"))</f>
        <v/>
      </c>
      <c r="AU473" s="0" t="str">
        <f aca="false">IF($A473="","",_xlfn.TEXTJOIN("; ",TRUE(),IF(CN473&lt;&gt;"pass","gated out",""),IF(AQ473="Y","on hold: "&amp;AR473,""),IF(C473="","no contact named on an opened page",""),IF(AND(AX473="Y",AV473&lt;&gt;"Y"),"Tuesday estimate band "&amp;L473&amp;": founder's call","")))</f>
        <v/>
      </c>
      <c r="BC473" s="0" t="str">
        <f aca="false">IF($A473="","",IFERROR(INDEX(Enrichment!$A$2:$GZ$2000,MATCH($A473,INDEX(Enrichment!$A$2:$GZ$2000,0,MATCH("row_id",Enrichment!$A$1:$GZ$1,0)),0),MATCH("work_email",Enrichment!$A$1:$GZ$1,0))&amp;"",""))</f>
        <v/>
      </c>
      <c r="BD473" s="0" t="str">
        <f aca="false">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Q473" s="0" t="str">
        <f aca="false">IF($A473="","",IFERROR(INDEX(Enrichment!$A$2:$GZ$2000,MATCH($A473,INDEX(Enrichment!$A$2:$GZ$2000,0,MATCH("row_id",Enrichment!$A$1:$GZ$1,0)),0),MATCH("backup_work_email",Enrichment!$A$1:$GZ$1,0))&amp;"",""))</f>
        <v/>
      </c>
      <c r="BR473" s="0" t="str">
        <f aca="false">IF($A473="","",IF(BQ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EQ473" s="0" t="str">
        <f aca="false">IF($A473="","",IF(AH473="exact",10,IF(AH473="adjacent",5,0)))</f>
        <v/>
      </c>
      <c r="ER473" s="0" t="str">
        <f aca="false">IF($A473="","",IF(R473="Y",15,0))</f>
        <v/>
      </c>
      <c r="FS473" s="0" t="str">
        <f aca="false">IF($A473="","",IF(ISNUMBER(MATCH(U473,{"queued","contacted","replied","call_booked","call_done","yes_in_principle","materials_sent"},0)),"Y","N"))</f>
        <v/>
      </c>
      <c r="FT473" s="0" t="str">
        <f aca="false">IF($A473="","",IF(OR(T473="Y",U473="do_not_contact",AS473&amp;""&lt;&gt;""),"Y","N"))</f>
        <v/>
      </c>
      <c r="FU473" s="0" t="str">
        <f aca="false">IF($A473="","",IF(AP473&amp;""&lt;&gt;"",AP473&amp;"",$A473))</f>
        <v/>
      </c>
      <c r="FV473" s="0" t="str">
        <f aca="false">IF($A473="","",IF(COUNTIFS($FU$2:$FU$1000,FU473,$FS$2:$FS$1000,"Y")+COUNTIFS($FU$2:$FU$1000,FU473,$FT$2:$FT$1000,"Y")&gt;0,"Y","N"))</f>
        <v/>
      </c>
      <c r="FW473" s="0" t="str">
        <f aca="false">IF($A473="","",IF(AND(U473="new",T473="N",FT473="N",AT473="Y",FV473="N"),"Y","N"))</f>
        <v/>
      </c>
      <c r="FX473" s="0" t="str">
        <f aca="false">IF($A473="","",IF(FW473&lt;&gt;"Y","N",IF(COUNTIFS($FU$2:$FU$1000,FU473,$FW$2:$FW$1000,"Y",$J$2:$J$1000,"&gt;"&amp;J473)+COUNTIFS($FU$2:$FU$1000,FU473,$FW$2:$FW$1000,"Y",$J$2:$J$1000,J473,$GD$2:$GD$1000,"&lt;"&amp;GD473)=0,"Y","N")))</f>
        <v/>
      </c>
      <c r="FY473" s="0" t="str">
        <f aca="false">IF($A473="","",IF(AND(FW473="Y",FX473="Y",Y473&amp;""&lt;&gt;""),IF(Y473&lt;=10,"Y","N"),"N"))</f>
        <v/>
      </c>
      <c r="FZ473" s="0" t="str">
        <f aca="false">IF(FY473="Y",Y473,"")</f>
        <v/>
      </c>
      <c r="GA473" s="0" t="str">
        <f aca="false">IF($A473="","",IF(AND(I473="walk-in",CN473="pass",U473="new",FT473="N",FV473="N",AQ473&lt;&gt;"Y"),"Y","N"))</f>
        <v/>
      </c>
      <c r="GB473" s="0" t="str">
        <f aca="false">IF(GA473&lt;&gt;"Y","",IF(COUNTIFS($GA$2:$GA$1000,"Y",$J$2:$J$1000,"&gt;"&amp;J473)+COUNTIFS($GA$2:$GA$1000,"Y",$J$2:$J$1000,J473,$GD$2:$GD$1000,"&lt;"&amp;GD473)+1&lt;=25,COUNTIFS($GA$2:$GA$1000,"Y",$J$2:$J$1000,"&gt;"&amp;J473)+COUNTIFS($GA$2:$GA$1000,"Y",$J$2:$J$1000,J473,$GD$2:$GD$1000,"&lt;"&amp;GD473)+1,""))</f>
        <v/>
      </c>
      <c r="GC473" s="0" t="str">
        <f aca="false">IF(AND(_xlfn.ISFORMULA(C473),_xlfn.ISFORMULA(J473)),"Y","N")</f>
        <v>Y</v>
      </c>
      <c r="GD473" s="0" t="n">
        <f aca="false">ROW()-1</f>
        <v>472</v>
      </c>
    </row>
    <row r="474" customFormat="false" ht="15" hidden="false" customHeight="false" outlineLevel="0" collapsed="false">
      <c r="C474" s="0" t="str">
        <f aca="false">IF($A474="","",IF(AW474="Y",BM474&amp;"",AY474&amp;""))</f>
        <v/>
      </c>
      <c r="D474" s="0" t="str">
        <f aca="false">IF($A474="","",IF(AW474="Y",BN474&amp;"",AZ474&amp;""))</f>
        <v/>
      </c>
      <c r="E474" s="0" t="str">
        <f aca="false">IF($A474="","",IF(AW474="Y",BO474&amp;"",BA474&amp;""))</f>
        <v/>
      </c>
      <c r="F474" s="0" t="str">
        <f aca="false">IF($A474="","",IF(AW474="Y",BP474&amp;"",BB474&amp;""))</f>
        <v/>
      </c>
      <c r="G474" s="0" t="str">
        <f aca="false">IF($A474="","",IF(AW474="Y",BQ474&amp;"",BC474&amp;""))</f>
        <v/>
      </c>
      <c r="H474" s="0" t="str">
        <f aca="false">IF($A474="","",IF(AW474="Y",BR474&amp;"",BD474&amp;""))</f>
        <v/>
      </c>
      <c r="I474" s="0" t="str">
        <f aca="false">IF($A474="","",IF(R474="Y","warm-intro",IF(H474="verified","email",IF(C474&lt;&gt;"","linkedin",CB474&amp;""))))</f>
        <v/>
      </c>
      <c r="J474" s="0" t="str">
        <f aca="false">IF($A474="","",IF(CN474="pass",ROUND(N(EM474)+N(EN474)+N(EO474)+N(EP474)+N(EQ474)+N(ER474),1),0))</f>
        <v/>
      </c>
      <c r="K474" s="0" t="str">
        <f aca="false">IF($A474="","",IF(CN474&lt;&gt;"pass",CA474&amp;"",CA474&amp;"; "&amp;IF(AW474="Y",BZ474&amp;"",BL474&amp;"")&amp;IF(R474="Y","; known to the founder (+15)","")&amp;"."))</f>
        <v/>
      </c>
      <c r="R474" s="5"/>
      <c r="U474" s="5"/>
      <c r="Y474" s="0" t="str">
        <f aca="false">IF(FX474&lt;&gt;"Y","",COUNTIFS($FX$2:$FX$1000,"Y",$J$2:$J$1000,"&gt;"&amp;J474)+COUNTIFS($FX$2:$FX$1000,"Y",$J$2:$J$1000,J474,$GD$2:$GD$1000,"&lt;"&amp;GD474)+1)</f>
        <v/>
      </c>
      <c r="AB474" s="0" t="str">
        <f aca="false">IF($A474="","",IF(AW474="Y",BY474&amp;"",BK474&amp;""))</f>
        <v/>
      </c>
      <c r="AC474" s="0" t="str">
        <f aca="false">IF($A474="","",IF(AW474="Y",BS474&amp;"",BE474&amp;""))</f>
        <v/>
      </c>
      <c r="AD474" s="0" t="str">
        <f aca="false">IF($A474="","",IF(AW474="Y",BT474&amp;"",BF474&amp;""))</f>
        <v/>
      </c>
      <c r="AE474" s="0" t="str">
        <f aca="false">IF($A474="","",IF(AW474="Y",BU474&amp;"",BG474&amp;""))</f>
        <v/>
      </c>
      <c r="AF474" s="0" t="str">
        <f aca="false">IF($A474="","",IF(AW474="Y",BV474&amp;"",BH474&amp;""))</f>
        <v/>
      </c>
      <c r="AG474" s="0" t="str">
        <f aca="false">IF($A474="","",IF(AW474="Y",BW474&amp;"",BI474&amp;""))</f>
        <v/>
      </c>
      <c r="AH474" s="0" t="str">
        <f aca="false">IF($A474="","",IF(AW474="Y",BX474&amp;"",BJ474&amp;""))</f>
        <v/>
      </c>
      <c r="AQ474" s="5"/>
      <c r="AT474" s="0" t="str">
        <f aca="false">IF($A474="","",IF(AND(CN474="pass",AQ474&lt;&gt;"Y",C474&lt;&gt;"",OR(AX474&lt;&gt;"Y",AV474="Y")),"Y","N"))</f>
        <v/>
      </c>
      <c r="AU474" s="0" t="str">
        <f aca="false">IF($A474="","",_xlfn.TEXTJOIN("; ",TRUE(),IF(CN474&lt;&gt;"pass","gated out",""),IF(AQ474="Y","on hold: "&amp;AR474,""),IF(C474="","no contact named on an opened page",""),IF(AND(AX474="Y",AV474&lt;&gt;"Y"),"Tuesday estimate band "&amp;L474&amp;": founder's call","")))</f>
        <v/>
      </c>
      <c r="BC474" s="0" t="str">
        <f aca="false">IF($A474="","",IFERROR(INDEX(Enrichment!$A$2:$GZ$2000,MATCH($A474,INDEX(Enrichment!$A$2:$GZ$2000,0,MATCH("row_id",Enrichment!$A$1:$GZ$1,0)),0),MATCH("work_email",Enrichment!$A$1:$GZ$1,0))&amp;"",""))</f>
        <v/>
      </c>
      <c r="BD474" s="0" t="str">
        <f aca="false">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Q474" s="0" t="str">
        <f aca="false">IF($A474="","",IFERROR(INDEX(Enrichment!$A$2:$GZ$2000,MATCH($A474,INDEX(Enrichment!$A$2:$GZ$2000,0,MATCH("row_id",Enrichment!$A$1:$GZ$1,0)),0),MATCH("backup_work_email",Enrichment!$A$1:$GZ$1,0))&amp;"",""))</f>
        <v/>
      </c>
      <c r="BR474" s="0" t="str">
        <f aca="false">IF($A474="","",IF(BQ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EQ474" s="0" t="str">
        <f aca="false">IF($A474="","",IF(AH474="exact",10,IF(AH474="adjacent",5,0)))</f>
        <v/>
      </c>
      <c r="ER474" s="0" t="str">
        <f aca="false">IF($A474="","",IF(R474="Y",15,0))</f>
        <v/>
      </c>
      <c r="FS474" s="0" t="str">
        <f aca="false">IF($A474="","",IF(ISNUMBER(MATCH(U474,{"queued","contacted","replied","call_booked","call_done","yes_in_principle","materials_sent"},0)),"Y","N"))</f>
        <v/>
      </c>
      <c r="FT474" s="0" t="str">
        <f aca="false">IF($A474="","",IF(OR(T474="Y",U474="do_not_contact",AS474&amp;""&lt;&gt;""),"Y","N"))</f>
        <v/>
      </c>
      <c r="FU474" s="0" t="str">
        <f aca="false">IF($A474="","",IF(AP474&amp;""&lt;&gt;"",AP474&amp;"",$A474))</f>
        <v/>
      </c>
      <c r="FV474" s="0" t="str">
        <f aca="false">IF($A474="","",IF(COUNTIFS($FU$2:$FU$1000,FU474,$FS$2:$FS$1000,"Y")+COUNTIFS($FU$2:$FU$1000,FU474,$FT$2:$FT$1000,"Y")&gt;0,"Y","N"))</f>
        <v/>
      </c>
      <c r="FW474" s="0" t="str">
        <f aca="false">IF($A474="","",IF(AND(U474="new",T474="N",FT474="N",AT474="Y",FV474="N"),"Y","N"))</f>
        <v/>
      </c>
      <c r="FX474" s="0" t="str">
        <f aca="false">IF($A474="","",IF(FW474&lt;&gt;"Y","N",IF(COUNTIFS($FU$2:$FU$1000,FU474,$FW$2:$FW$1000,"Y",$J$2:$J$1000,"&gt;"&amp;J474)+COUNTIFS($FU$2:$FU$1000,FU474,$FW$2:$FW$1000,"Y",$J$2:$J$1000,J474,$GD$2:$GD$1000,"&lt;"&amp;GD474)=0,"Y","N")))</f>
        <v/>
      </c>
      <c r="FY474" s="0" t="str">
        <f aca="false">IF($A474="","",IF(AND(FW474="Y",FX474="Y",Y474&amp;""&lt;&gt;""),IF(Y474&lt;=10,"Y","N"),"N"))</f>
        <v/>
      </c>
      <c r="FZ474" s="0" t="str">
        <f aca="false">IF(FY474="Y",Y474,"")</f>
        <v/>
      </c>
      <c r="GA474" s="0" t="str">
        <f aca="false">IF($A474="","",IF(AND(I474="walk-in",CN474="pass",U474="new",FT474="N",FV474="N",AQ474&lt;&gt;"Y"),"Y","N"))</f>
        <v/>
      </c>
      <c r="GB474" s="0" t="str">
        <f aca="false">IF(GA474&lt;&gt;"Y","",IF(COUNTIFS($GA$2:$GA$1000,"Y",$J$2:$J$1000,"&gt;"&amp;J474)+COUNTIFS($GA$2:$GA$1000,"Y",$J$2:$J$1000,J474,$GD$2:$GD$1000,"&lt;"&amp;GD474)+1&lt;=25,COUNTIFS($GA$2:$GA$1000,"Y",$J$2:$J$1000,"&gt;"&amp;J474)+COUNTIFS($GA$2:$GA$1000,"Y",$J$2:$J$1000,J474,$GD$2:$GD$1000,"&lt;"&amp;GD474)+1,""))</f>
        <v/>
      </c>
      <c r="GC474" s="0" t="str">
        <f aca="false">IF(AND(_xlfn.ISFORMULA(C474),_xlfn.ISFORMULA(J474)),"Y","N")</f>
        <v>Y</v>
      </c>
      <c r="GD474" s="0" t="n">
        <f aca="false">ROW()-1</f>
        <v>473</v>
      </c>
    </row>
    <row r="475" customFormat="false" ht="15" hidden="false" customHeight="false" outlineLevel="0" collapsed="false">
      <c r="C475" s="0" t="str">
        <f aca="false">IF($A475="","",IF(AW475="Y",BM475&amp;"",AY475&amp;""))</f>
        <v/>
      </c>
      <c r="D475" s="0" t="str">
        <f aca="false">IF($A475="","",IF(AW475="Y",BN475&amp;"",AZ475&amp;""))</f>
        <v/>
      </c>
      <c r="E475" s="0" t="str">
        <f aca="false">IF($A475="","",IF(AW475="Y",BO475&amp;"",BA475&amp;""))</f>
        <v/>
      </c>
      <c r="F475" s="0" t="str">
        <f aca="false">IF($A475="","",IF(AW475="Y",BP475&amp;"",BB475&amp;""))</f>
        <v/>
      </c>
      <c r="G475" s="0" t="str">
        <f aca="false">IF($A475="","",IF(AW475="Y",BQ475&amp;"",BC475&amp;""))</f>
        <v/>
      </c>
      <c r="H475" s="0" t="str">
        <f aca="false">IF($A475="","",IF(AW475="Y",BR475&amp;"",BD475&amp;""))</f>
        <v/>
      </c>
      <c r="I475" s="0" t="str">
        <f aca="false">IF($A475="","",IF(R475="Y","warm-intro",IF(H475="verified","email",IF(C475&lt;&gt;"","linkedin",CB475&amp;""))))</f>
        <v/>
      </c>
      <c r="J475" s="0" t="str">
        <f aca="false">IF($A475="","",IF(CN475="pass",ROUND(N(EM475)+N(EN475)+N(EO475)+N(EP475)+N(EQ475)+N(ER475),1),0))</f>
        <v/>
      </c>
      <c r="K475" s="0" t="str">
        <f aca="false">IF($A475="","",IF(CN475&lt;&gt;"pass",CA475&amp;"",CA475&amp;"; "&amp;IF(AW475="Y",BZ475&amp;"",BL475&amp;"")&amp;IF(R475="Y","; known to the founder (+15)","")&amp;"."))</f>
        <v/>
      </c>
      <c r="R475" s="5"/>
      <c r="U475" s="5"/>
      <c r="Y475" s="0" t="str">
        <f aca="false">IF(FX475&lt;&gt;"Y","",COUNTIFS($FX$2:$FX$1000,"Y",$J$2:$J$1000,"&gt;"&amp;J475)+COUNTIFS($FX$2:$FX$1000,"Y",$J$2:$J$1000,J475,$GD$2:$GD$1000,"&lt;"&amp;GD475)+1)</f>
        <v/>
      </c>
      <c r="AB475" s="0" t="str">
        <f aca="false">IF($A475="","",IF(AW475="Y",BY475&amp;"",BK475&amp;""))</f>
        <v/>
      </c>
      <c r="AC475" s="0" t="str">
        <f aca="false">IF($A475="","",IF(AW475="Y",BS475&amp;"",BE475&amp;""))</f>
        <v/>
      </c>
      <c r="AD475" s="0" t="str">
        <f aca="false">IF($A475="","",IF(AW475="Y",BT475&amp;"",BF475&amp;""))</f>
        <v/>
      </c>
      <c r="AE475" s="0" t="str">
        <f aca="false">IF($A475="","",IF(AW475="Y",BU475&amp;"",BG475&amp;""))</f>
        <v/>
      </c>
      <c r="AF475" s="0" t="str">
        <f aca="false">IF($A475="","",IF(AW475="Y",BV475&amp;"",BH475&amp;""))</f>
        <v/>
      </c>
      <c r="AG475" s="0" t="str">
        <f aca="false">IF($A475="","",IF(AW475="Y",BW475&amp;"",BI475&amp;""))</f>
        <v/>
      </c>
      <c r="AH475" s="0" t="str">
        <f aca="false">IF($A475="","",IF(AW475="Y",BX475&amp;"",BJ475&amp;""))</f>
        <v/>
      </c>
      <c r="AQ475" s="5"/>
      <c r="AT475" s="0" t="str">
        <f aca="false">IF($A475="","",IF(AND(CN475="pass",AQ475&lt;&gt;"Y",C475&lt;&gt;"",OR(AX475&lt;&gt;"Y",AV475="Y")),"Y","N"))</f>
        <v/>
      </c>
      <c r="AU475" s="0" t="str">
        <f aca="false">IF($A475="","",_xlfn.TEXTJOIN("; ",TRUE(),IF(CN475&lt;&gt;"pass","gated out",""),IF(AQ475="Y","on hold: "&amp;AR475,""),IF(C475="","no contact named on an opened page",""),IF(AND(AX475="Y",AV475&lt;&gt;"Y"),"Tuesday estimate band "&amp;L475&amp;": founder's call","")))</f>
        <v/>
      </c>
      <c r="BC475" s="0" t="str">
        <f aca="false">IF($A475="","",IFERROR(INDEX(Enrichment!$A$2:$GZ$2000,MATCH($A475,INDEX(Enrichment!$A$2:$GZ$2000,0,MATCH("row_id",Enrichment!$A$1:$GZ$1,0)),0),MATCH("work_email",Enrichment!$A$1:$GZ$1,0))&amp;"",""))</f>
        <v/>
      </c>
      <c r="BD475" s="0" t="str">
        <f aca="false">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Q475" s="0" t="str">
        <f aca="false">IF($A475="","",IFERROR(INDEX(Enrichment!$A$2:$GZ$2000,MATCH($A475,INDEX(Enrichment!$A$2:$GZ$2000,0,MATCH("row_id",Enrichment!$A$1:$GZ$1,0)),0),MATCH("backup_work_email",Enrichment!$A$1:$GZ$1,0))&amp;"",""))</f>
        <v/>
      </c>
      <c r="BR475" s="0" t="str">
        <f aca="false">IF($A475="","",IF(BQ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EQ475" s="0" t="str">
        <f aca="false">IF($A475="","",IF(AH475="exact",10,IF(AH475="adjacent",5,0)))</f>
        <v/>
      </c>
      <c r="ER475" s="0" t="str">
        <f aca="false">IF($A475="","",IF(R475="Y",15,0))</f>
        <v/>
      </c>
      <c r="FS475" s="0" t="str">
        <f aca="false">IF($A475="","",IF(ISNUMBER(MATCH(U475,{"queued","contacted","replied","call_booked","call_done","yes_in_principle","materials_sent"},0)),"Y","N"))</f>
        <v/>
      </c>
      <c r="FT475" s="0" t="str">
        <f aca="false">IF($A475="","",IF(OR(T475="Y",U475="do_not_contact",AS475&amp;""&lt;&gt;""),"Y","N"))</f>
        <v/>
      </c>
      <c r="FU475" s="0" t="str">
        <f aca="false">IF($A475="","",IF(AP475&amp;""&lt;&gt;"",AP475&amp;"",$A475))</f>
        <v/>
      </c>
      <c r="FV475" s="0" t="str">
        <f aca="false">IF($A475="","",IF(COUNTIFS($FU$2:$FU$1000,FU475,$FS$2:$FS$1000,"Y")+COUNTIFS($FU$2:$FU$1000,FU475,$FT$2:$FT$1000,"Y")&gt;0,"Y","N"))</f>
        <v/>
      </c>
      <c r="FW475" s="0" t="str">
        <f aca="false">IF($A475="","",IF(AND(U475="new",T475="N",FT475="N",AT475="Y",FV475="N"),"Y","N"))</f>
        <v/>
      </c>
      <c r="FX475" s="0" t="str">
        <f aca="false">IF($A475="","",IF(FW475&lt;&gt;"Y","N",IF(COUNTIFS($FU$2:$FU$1000,FU475,$FW$2:$FW$1000,"Y",$J$2:$J$1000,"&gt;"&amp;J475)+COUNTIFS($FU$2:$FU$1000,FU475,$FW$2:$FW$1000,"Y",$J$2:$J$1000,J475,$GD$2:$GD$1000,"&lt;"&amp;GD475)=0,"Y","N")))</f>
        <v/>
      </c>
      <c r="FY475" s="0" t="str">
        <f aca="false">IF($A475="","",IF(AND(FW475="Y",FX475="Y",Y475&amp;""&lt;&gt;""),IF(Y475&lt;=10,"Y","N"),"N"))</f>
        <v/>
      </c>
      <c r="FZ475" s="0" t="str">
        <f aca="false">IF(FY475="Y",Y475,"")</f>
        <v/>
      </c>
      <c r="GA475" s="0" t="str">
        <f aca="false">IF($A475="","",IF(AND(I475="walk-in",CN475="pass",U475="new",FT475="N",FV475="N",AQ475&lt;&gt;"Y"),"Y","N"))</f>
        <v/>
      </c>
      <c r="GB475" s="0" t="str">
        <f aca="false">IF(GA475&lt;&gt;"Y","",IF(COUNTIFS($GA$2:$GA$1000,"Y",$J$2:$J$1000,"&gt;"&amp;J475)+COUNTIFS($GA$2:$GA$1000,"Y",$J$2:$J$1000,J475,$GD$2:$GD$1000,"&lt;"&amp;GD475)+1&lt;=25,COUNTIFS($GA$2:$GA$1000,"Y",$J$2:$J$1000,"&gt;"&amp;J475)+COUNTIFS($GA$2:$GA$1000,"Y",$J$2:$J$1000,J475,$GD$2:$GD$1000,"&lt;"&amp;GD475)+1,""))</f>
        <v/>
      </c>
      <c r="GC475" s="0" t="str">
        <f aca="false">IF(AND(_xlfn.ISFORMULA(C475),_xlfn.ISFORMULA(J475)),"Y","N")</f>
        <v>Y</v>
      </c>
      <c r="GD475" s="0" t="n">
        <f aca="false">ROW()-1</f>
        <v>474</v>
      </c>
    </row>
    <row r="476" customFormat="false" ht="15" hidden="false" customHeight="false" outlineLevel="0" collapsed="false">
      <c r="C476" s="0" t="str">
        <f aca="false">IF($A476="","",IF(AW476="Y",BM476&amp;"",AY476&amp;""))</f>
        <v/>
      </c>
      <c r="D476" s="0" t="str">
        <f aca="false">IF($A476="","",IF(AW476="Y",BN476&amp;"",AZ476&amp;""))</f>
        <v/>
      </c>
      <c r="E476" s="0" t="str">
        <f aca="false">IF($A476="","",IF(AW476="Y",BO476&amp;"",BA476&amp;""))</f>
        <v/>
      </c>
      <c r="F476" s="0" t="str">
        <f aca="false">IF($A476="","",IF(AW476="Y",BP476&amp;"",BB476&amp;""))</f>
        <v/>
      </c>
      <c r="G476" s="0" t="str">
        <f aca="false">IF($A476="","",IF(AW476="Y",BQ476&amp;"",BC476&amp;""))</f>
        <v/>
      </c>
      <c r="H476" s="0" t="str">
        <f aca="false">IF($A476="","",IF(AW476="Y",BR476&amp;"",BD476&amp;""))</f>
        <v/>
      </c>
      <c r="I476" s="0" t="str">
        <f aca="false">IF($A476="","",IF(R476="Y","warm-intro",IF(H476="verified","email",IF(C476&lt;&gt;"","linkedin",CB476&amp;""))))</f>
        <v/>
      </c>
      <c r="J476" s="0" t="str">
        <f aca="false">IF($A476="","",IF(CN476="pass",ROUND(N(EM476)+N(EN476)+N(EO476)+N(EP476)+N(EQ476)+N(ER476),1),0))</f>
        <v/>
      </c>
      <c r="K476" s="0" t="str">
        <f aca="false">IF($A476="","",IF(CN476&lt;&gt;"pass",CA476&amp;"",CA476&amp;"; "&amp;IF(AW476="Y",BZ476&amp;"",BL476&amp;"")&amp;IF(R476="Y","; known to the founder (+15)","")&amp;"."))</f>
        <v/>
      </c>
      <c r="R476" s="5"/>
      <c r="U476" s="5"/>
      <c r="Y476" s="0" t="str">
        <f aca="false">IF(FX476&lt;&gt;"Y","",COUNTIFS($FX$2:$FX$1000,"Y",$J$2:$J$1000,"&gt;"&amp;J476)+COUNTIFS($FX$2:$FX$1000,"Y",$J$2:$J$1000,J476,$GD$2:$GD$1000,"&lt;"&amp;GD476)+1)</f>
        <v/>
      </c>
      <c r="AB476" s="0" t="str">
        <f aca="false">IF($A476="","",IF(AW476="Y",BY476&amp;"",BK476&amp;""))</f>
        <v/>
      </c>
      <c r="AC476" s="0" t="str">
        <f aca="false">IF($A476="","",IF(AW476="Y",BS476&amp;"",BE476&amp;""))</f>
        <v/>
      </c>
      <c r="AD476" s="0" t="str">
        <f aca="false">IF($A476="","",IF(AW476="Y",BT476&amp;"",BF476&amp;""))</f>
        <v/>
      </c>
      <c r="AE476" s="0" t="str">
        <f aca="false">IF($A476="","",IF(AW476="Y",BU476&amp;"",BG476&amp;""))</f>
        <v/>
      </c>
      <c r="AF476" s="0" t="str">
        <f aca="false">IF($A476="","",IF(AW476="Y",BV476&amp;"",BH476&amp;""))</f>
        <v/>
      </c>
      <c r="AG476" s="0" t="str">
        <f aca="false">IF($A476="","",IF(AW476="Y",BW476&amp;"",BI476&amp;""))</f>
        <v/>
      </c>
      <c r="AH476" s="0" t="str">
        <f aca="false">IF($A476="","",IF(AW476="Y",BX476&amp;"",BJ476&amp;""))</f>
        <v/>
      </c>
      <c r="AQ476" s="5"/>
      <c r="AT476" s="0" t="str">
        <f aca="false">IF($A476="","",IF(AND(CN476="pass",AQ476&lt;&gt;"Y",C476&lt;&gt;"",OR(AX476&lt;&gt;"Y",AV476="Y")),"Y","N"))</f>
        <v/>
      </c>
      <c r="AU476" s="0" t="str">
        <f aca="false">IF($A476="","",_xlfn.TEXTJOIN("; ",TRUE(),IF(CN476&lt;&gt;"pass","gated out",""),IF(AQ476="Y","on hold: "&amp;AR476,""),IF(C476="","no contact named on an opened page",""),IF(AND(AX476="Y",AV476&lt;&gt;"Y"),"Tuesday estimate band "&amp;L476&amp;": founder's call","")))</f>
        <v/>
      </c>
      <c r="BC476" s="0" t="str">
        <f aca="false">IF($A476="","",IFERROR(INDEX(Enrichment!$A$2:$GZ$2000,MATCH($A476,INDEX(Enrichment!$A$2:$GZ$2000,0,MATCH("row_id",Enrichment!$A$1:$GZ$1,0)),0),MATCH("work_email",Enrichment!$A$1:$GZ$1,0))&amp;"",""))</f>
        <v/>
      </c>
      <c r="BD476" s="0" t="str">
        <f aca="false">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Q476" s="0" t="str">
        <f aca="false">IF($A476="","",IFERROR(INDEX(Enrichment!$A$2:$GZ$2000,MATCH($A476,INDEX(Enrichment!$A$2:$GZ$2000,0,MATCH("row_id",Enrichment!$A$1:$GZ$1,0)),0),MATCH("backup_work_email",Enrichment!$A$1:$GZ$1,0))&amp;"",""))</f>
        <v/>
      </c>
      <c r="BR476" s="0" t="str">
        <f aca="false">IF($A476="","",IF(BQ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EQ476" s="0" t="str">
        <f aca="false">IF($A476="","",IF(AH476="exact",10,IF(AH476="adjacent",5,0)))</f>
        <v/>
      </c>
      <c r="ER476" s="0" t="str">
        <f aca="false">IF($A476="","",IF(R476="Y",15,0))</f>
        <v/>
      </c>
      <c r="FS476" s="0" t="str">
        <f aca="false">IF($A476="","",IF(ISNUMBER(MATCH(U476,{"queued","contacted","replied","call_booked","call_done","yes_in_principle","materials_sent"},0)),"Y","N"))</f>
        <v/>
      </c>
      <c r="FT476" s="0" t="str">
        <f aca="false">IF($A476="","",IF(OR(T476="Y",U476="do_not_contact",AS476&amp;""&lt;&gt;""),"Y","N"))</f>
        <v/>
      </c>
      <c r="FU476" s="0" t="str">
        <f aca="false">IF($A476="","",IF(AP476&amp;""&lt;&gt;"",AP476&amp;"",$A476))</f>
        <v/>
      </c>
      <c r="FV476" s="0" t="str">
        <f aca="false">IF($A476="","",IF(COUNTIFS($FU$2:$FU$1000,FU476,$FS$2:$FS$1000,"Y")+COUNTIFS($FU$2:$FU$1000,FU476,$FT$2:$FT$1000,"Y")&gt;0,"Y","N"))</f>
        <v/>
      </c>
      <c r="FW476" s="0" t="str">
        <f aca="false">IF($A476="","",IF(AND(U476="new",T476="N",FT476="N",AT476="Y",FV476="N"),"Y","N"))</f>
        <v/>
      </c>
      <c r="FX476" s="0" t="str">
        <f aca="false">IF($A476="","",IF(FW476&lt;&gt;"Y","N",IF(COUNTIFS($FU$2:$FU$1000,FU476,$FW$2:$FW$1000,"Y",$J$2:$J$1000,"&gt;"&amp;J476)+COUNTIFS($FU$2:$FU$1000,FU476,$FW$2:$FW$1000,"Y",$J$2:$J$1000,J476,$GD$2:$GD$1000,"&lt;"&amp;GD476)=0,"Y","N")))</f>
        <v/>
      </c>
      <c r="FY476" s="0" t="str">
        <f aca="false">IF($A476="","",IF(AND(FW476="Y",FX476="Y",Y476&amp;""&lt;&gt;""),IF(Y476&lt;=10,"Y","N"),"N"))</f>
        <v/>
      </c>
      <c r="FZ476" s="0" t="str">
        <f aca="false">IF(FY476="Y",Y476,"")</f>
        <v/>
      </c>
      <c r="GA476" s="0" t="str">
        <f aca="false">IF($A476="","",IF(AND(I476="walk-in",CN476="pass",U476="new",FT476="N",FV476="N",AQ476&lt;&gt;"Y"),"Y","N"))</f>
        <v/>
      </c>
      <c r="GB476" s="0" t="str">
        <f aca="false">IF(GA476&lt;&gt;"Y","",IF(COUNTIFS($GA$2:$GA$1000,"Y",$J$2:$J$1000,"&gt;"&amp;J476)+COUNTIFS($GA$2:$GA$1000,"Y",$J$2:$J$1000,J476,$GD$2:$GD$1000,"&lt;"&amp;GD476)+1&lt;=25,COUNTIFS($GA$2:$GA$1000,"Y",$J$2:$J$1000,"&gt;"&amp;J476)+COUNTIFS($GA$2:$GA$1000,"Y",$J$2:$J$1000,J476,$GD$2:$GD$1000,"&lt;"&amp;GD476)+1,""))</f>
        <v/>
      </c>
      <c r="GC476" s="0" t="str">
        <f aca="false">IF(AND(_xlfn.ISFORMULA(C476),_xlfn.ISFORMULA(J476)),"Y","N")</f>
        <v>Y</v>
      </c>
      <c r="GD476" s="0" t="n">
        <f aca="false">ROW()-1</f>
        <v>475</v>
      </c>
    </row>
    <row r="477" customFormat="false" ht="15" hidden="false" customHeight="false" outlineLevel="0" collapsed="false">
      <c r="C477" s="0" t="str">
        <f aca="false">IF($A477="","",IF(AW477="Y",BM477&amp;"",AY477&amp;""))</f>
        <v/>
      </c>
      <c r="D477" s="0" t="str">
        <f aca="false">IF($A477="","",IF(AW477="Y",BN477&amp;"",AZ477&amp;""))</f>
        <v/>
      </c>
      <c r="E477" s="0" t="str">
        <f aca="false">IF($A477="","",IF(AW477="Y",BO477&amp;"",BA477&amp;""))</f>
        <v/>
      </c>
      <c r="F477" s="0" t="str">
        <f aca="false">IF($A477="","",IF(AW477="Y",BP477&amp;"",BB477&amp;""))</f>
        <v/>
      </c>
      <c r="G477" s="0" t="str">
        <f aca="false">IF($A477="","",IF(AW477="Y",BQ477&amp;"",BC477&amp;""))</f>
        <v/>
      </c>
      <c r="H477" s="0" t="str">
        <f aca="false">IF($A477="","",IF(AW477="Y",BR477&amp;"",BD477&amp;""))</f>
        <v/>
      </c>
      <c r="I477" s="0" t="str">
        <f aca="false">IF($A477="","",IF(R477="Y","warm-intro",IF(H477="verified","email",IF(C477&lt;&gt;"","linkedin",CB477&amp;""))))</f>
        <v/>
      </c>
      <c r="J477" s="0" t="str">
        <f aca="false">IF($A477="","",IF(CN477="pass",ROUND(N(EM477)+N(EN477)+N(EO477)+N(EP477)+N(EQ477)+N(ER477),1),0))</f>
        <v/>
      </c>
      <c r="K477" s="0" t="str">
        <f aca="false">IF($A477="","",IF(CN477&lt;&gt;"pass",CA477&amp;"",CA477&amp;"; "&amp;IF(AW477="Y",BZ477&amp;"",BL477&amp;"")&amp;IF(R477="Y","; known to the founder (+15)","")&amp;"."))</f>
        <v/>
      </c>
      <c r="R477" s="5"/>
      <c r="U477" s="5"/>
      <c r="Y477" s="0" t="str">
        <f aca="false">IF(FX477&lt;&gt;"Y","",COUNTIFS($FX$2:$FX$1000,"Y",$J$2:$J$1000,"&gt;"&amp;J477)+COUNTIFS($FX$2:$FX$1000,"Y",$J$2:$J$1000,J477,$GD$2:$GD$1000,"&lt;"&amp;GD477)+1)</f>
        <v/>
      </c>
      <c r="AB477" s="0" t="str">
        <f aca="false">IF($A477="","",IF(AW477="Y",BY477&amp;"",BK477&amp;""))</f>
        <v/>
      </c>
      <c r="AC477" s="0" t="str">
        <f aca="false">IF($A477="","",IF(AW477="Y",BS477&amp;"",BE477&amp;""))</f>
        <v/>
      </c>
      <c r="AD477" s="0" t="str">
        <f aca="false">IF($A477="","",IF(AW477="Y",BT477&amp;"",BF477&amp;""))</f>
        <v/>
      </c>
      <c r="AE477" s="0" t="str">
        <f aca="false">IF($A477="","",IF(AW477="Y",BU477&amp;"",BG477&amp;""))</f>
        <v/>
      </c>
      <c r="AF477" s="0" t="str">
        <f aca="false">IF($A477="","",IF(AW477="Y",BV477&amp;"",BH477&amp;""))</f>
        <v/>
      </c>
      <c r="AG477" s="0" t="str">
        <f aca="false">IF($A477="","",IF(AW477="Y",BW477&amp;"",BI477&amp;""))</f>
        <v/>
      </c>
      <c r="AH477" s="0" t="str">
        <f aca="false">IF($A477="","",IF(AW477="Y",BX477&amp;"",BJ477&amp;""))</f>
        <v/>
      </c>
      <c r="AQ477" s="5"/>
      <c r="AT477" s="0" t="str">
        <f aca="false">IF($A477="","",IF(AND(CN477="pass",AQ477&lt;&gt;"Y",C477&lt;&gt;"",OR(AX477&lt;&gt;"Y",AV477="Y")),"Y","N"))</f>
        <v/>
      </c>
      <c r="AU477" s="0" t="str">
        <f aca="false">IF($A477="","",_xlfn.TEXTJOIN("; ",TRUE(),IF(CN477&lt;&gt;"pass","gated out",""),IF(AQ477="Y","on hold: "&amp;AR477,""),IF(C477="","no contact named on an opened page",""),IF(AND(AX477="Y",AV477&lt;&gt;"Y"),"Tuesday estimate band "&amp;L477&amp;": founder's call","")))</f>
        <v/>
      </c>
      <c r="BC477" s="0" t="str">
        <f aca="false">IF($A477="","",IFERROR(INDEX(Enrichment!$A$2:$GZ$2000,MATCH($A477,INDEX(Enrichment!$A$2:$GZ$2000,0,MATCH("row_id",Enrichment!$A$1:$GZ$1,0)),0),MATCH("work_email",Enrichment!$A$1:$GZ$1,0))&amp;"",""))</f>
        <v/>
      </c>
      <c r="BD477" s="0" t="str">
        <f aca="false">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Q477" s="0" t="str">
        <f aca="false">IF($A477="","",IFERROR(INDEX(Enrichment!$A$2:$GZ$2000,MATCH($A477,INDEX(Enrichment!$A$2:$GZ$2000,0,MATCH("row_id",Enrichment!$A$1:$GZ$1,0)),0),MATCH("backup_work_email",Enrichment!$A$1:$GZ$1,0))&amp;"",""))</f>
        <v/>
      </c>
      <c r="BR477" s="0" t="str">
        <f aca="false">IF($A477="","",IF(BQ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EQ477" s="0" t="str">
        <f aca="false">IF($A477="","",IF(AH477="exact",10,IF(AH477="adjacent",5,0)))</f>
        <v/>
      </c>
      <c r="ER477" s="0" t="str">
        <f aca="false">IF($A477="","",IF(R477="Y",15,0))</f>
        <v/>
      </c>
      <c r="FS477" s="0" t="str">
        <f aca="false">IF($A477="","",IF(ISNUMBER(MATCH(U477,{"queued","contacted","replied","call_booked","call_done","yes_in_principle","materials_sent"},0)),"Y","N"))</f>
        <v/>
      </c>
      <c r="FT477" s="0" t="str">
        <f aca="false">IF($A477="","",IF(OR(T477="Y",U477="do_not_contact",AS477&amp;""&lt;&gt;""),"Y","N"))</f>
        <v/>
      </c>
      <c r="FU477" s="0" t="str">
        <f aca="false">IF($A477="","",IF(AP477&amp;""&lt;&gt;"",AP477&amp;"",$A477))</f>
        <v/>
      </c>
      <c r="FV477" s="0" t="str">
        <f aca="false">IF($A477="","",IF(COUNTIFS($FU$2:$FU$1000,FU477,$FS$2:$FS$1000,"Y")+COUNTIFS($FU$2:$FU$1000,FU477,$FT$2:$FT$1000,"Y")&gt;0,"Y","N"))</f>
        <v/>
      </c>
      <c r="FW477" s="0" t="str">
        <f aca="false">IF($A477="","",IF(AND(U477="new",T477="N",FT477="N",AT477="Y",FV477="N"),"Y","N"))</f>
        <v/>
      </c>
      <c r="FX477" s="0" t="str">
        <f aca="false">IF($A477="","",IF(FW477&lt;&gt;"Y","N",IF(COUNTIFS($FU$2:$FU$1000,FU477,$FW$2:$FW$1000,"Y",$J$2:$J$1000,"&gt;"&amp;J477)+COUNTIFS($FU$2:$FU$1000,FU477,$FW$2:$FW$1000,"Y",$J$2:$J$1000,J477,$GD$2:$GD$1000,"&lt;"&amp;GD477)=0,"Y","N")))</f>
        <v/>
      </c>
      <c r="FY477" s="0" t="str">
        <f aca="false">IF($A477="","",IF(AND(FW477="Y",FX477="Y",Y477&amp;""&lt;&gt;""),IF(Y477&lt;=10,"Y","N"),"N"))</f>
        <v/>
      </c>
      <c r="FZ477" s="0" t="str">
        <f aca="false">IF(FY477="Y",Y477,"")</f>
        <v/>
      </c>
      <c r="GA477" s="0" t="str">
        <f aca="false">IF($A477="","",IF(AND(I477="walk-in",CN477="pass",U477="new",FT477="N",FV477="N",AQ477&lt;&gt;"Y"),"Y","N"))</f>
        <v/>
      </c>
      <c r="GB477" s="0" t="str">
        <f aca="false">IF(GA477&lt;&gt;"Y","",IF(COUNTIFS($GA$2:$GA$1000,"Y",$J$2:$J$1000,"&gt;"&amp;J477)+COUNTIFS($GA$2:$GA$1000,"Y",$J$2:$J$1000,J477,$GD$2:$GD$1000,"&lt;"&amp;GD477)+1&lt;=25,COUNTIFS($GA$2:$GA$1000,"Y",$J$2:$J$1000,"&gt;"&amp;J477)+COUNTIFS($GA$2:$GA$1000,"Y",$J$2:$J$1000,J477,$GD$2:$GD$1000,"&lt;"&amp;GD477)+1,""))</f>
        <v/>
      </c>
      <c r="GC477" s="0" t="str">
        <f aca="false">IF(AND(_xlfn.ISFORMULA(C477),_xlfn.ISFORMULA(J477)),"Y","N")</f>
        <v>Y</v>
      </c>
      <c r="GD477" s="0" t="n">
        <f aca="false">ROW()-1</f>
        <v>476</v>
      </c>
    </row>
    <row r="478" customFormat="false" ht="15" hidden="false" customHeight="false" outlineLevel="0" collapsed="false">
      <c r="C478" s="0" t="str">
        <f aca="false">IF($A478="","",IF(AW478="Y",BM478&amp;"",AY478&amp;""))</f>
        <v/>
      </c>
      <c r="D478" s="0" t="str">
        <f aca="false">IF($A478="","",IF(AW478="Y",BN478&amp;"",AZ478&amp;""))</f>
        <v/>
      </c>
      <c r="E478" s="0" t="str">
        <f aca="false">IF($A478="","",IF(AW478="Y",BO478&amp;"",BA478&amp;""))</f>
        <v/>
      </c>
      <c r="F478" s="0" t="str">
        <f aca="false">IF($A478="","",IF(AW478="Y",BP478&amp;"",BB478&amp;""))</f>
        <v/>
      </c>
      <c r="G478" s="0" t="str">
        <f aca="false">IF($A478="","",IF(AW478="Y",BQ478&amp;"",BC478&amp;""))</f>
        <v/>
      </c>
      <c r="H478" s="0" t="str">
        <f aca="false">IF($A478="","",IF(AW478="Y",BR478&amp;"",BD478&amp;""))</f>
        <v/>
      </c>
      <c r="I478" s="0" t="str">
        <f aca="false">IF($A478="","",IF(R478="Y","warm-intro",IF(H478="verified","email",IF(C478&lt;&gt;"","linkedin",CB478&amp;""))))</f>
        <v/>
      </c>
      <c r="J478" s="0" t="str">
        <f aca="false">IF($A478="","",IF(CN478="pass",ROUND(N(EM478)+N(EN478)+N(EO478)+N(EP478)+N(EQ478)+N(ER478),1),0))</f>
        <v/>
      </c>
      <c r="K478" s="0" t="str">
        <f aca="false">IF($A478="","",IF(CN478&lt;&gt;"pass",CA478&amp;"",CA478&amp;"; "&amp;IF(AW478="Y",BZ478&amp;"",BL478&amp;"")&amp;IF(R478="Y","; known to the founder (+15)","")&amp;"."))</f>
        <v/>
      </c>
      <c r="R478" s="5"/>
      <c r="U478" s="5"/>
      <c r="Y478" s="0" t="str">
        <f aca="false">IF(FX478&lt;&gt;"Y","",COUNTIFS($FX$2:$FX$1000,"Y",$J$2:$J$1000,"&gt;"&amp;J478)+COUNTIFS($FX$2:$FX$1000,"Y",$J$2:$J$1000,J478,$GD$2:$GD$1000,"&lt;"&amp;GD478)+1)</f>
        <v/>
      </c>
      <c r="AB478" s="0" t="str">
        <f aca="false">IF($A478="","",IF(AW478="Y",BY478&amp;"",BK478&amp;""))</f>
        <v/>
      </c>
      <c r="AC478" s="0" t="str">
        <f aca="false">IF($A478="","",IF(AW478="Y",BS478&amp;"",BE478&amp;""))</f>
        <v/>
      </c>
      <c r="AD478" s="0" t="str">
        <f aca="false">IF($A478="","",IF(AW478="Y",BT478&amp;"",BF478&amp;""))</f>
        <v/>
      </c>
      <c r="AE478" s="0" t="str">
        <f aca="false">IF($A478="","",IF(AW478="Y",BU478&amp;"",BG478&amp;""))</f>
        <v/>
      </c>
      <c r="AF478" s="0" t="str">
        <f aca="false">IF($A478="","",IF(AW478="Y",BV478&amp;"",BH478&amp;""))</f>
        <v/>
      </c>
      <c r="AG478" s="0" t="str">
        <f aca="false">IF($A478="","",IF(AW478="Y",BW478&amp;"",BI478&amp;""))</f>
        <v/>
      </c>
      <c r="AH478" s="0" t="str">
        <f aca="false">IF($A478="","",IF(AW478="Y",BX478&amp;"",BJ478&amp;""))</f>
        <v/>
      </c>
      <c r="AQ478" s="5"/>
      <c r="AT478" s="0" t="str">
        <f aca="false">IF($A478="","",IF(AND(CN478="pass",AQ478&lt;&gt;"Y",C478&lt;&gt;"",OR(AX478&lt;&gt;"Y",AV478="Y")),"Y","N"))</f>
        <v/>
      </c>
      <c r="AU478" s="0" t="str">
        <f aca="false">IF($A478="","",_xlfn.TEXTJOIN("; ",TRUE(),IF(CN478&lt;&gt;"pass","gated out",""),IF(AQ478="Y","on hold: "&amp;AR478,""),IF(C478="","no contact named on an opened page",""),IF(AND(AX478="Y",AV478&lt;&gt;"Y"),"Tuesday estimate band "&amp;L478&amp;": founder's call","")))</f>
        <v/>
      </c>
      <c r="BC478" s="0" t="str">
        <f aca="false">IF($A478="","",IFERROR(INDEX(Enrichment!$A$2:$GZ$2000,MATCH($A478,INDEX(Enrichment!$A$2:$GZ$2000,0,MATCH("row_id",Enrichment!$A$1:$GZ$1,0)),0),MATCH("work_email",Enrichment!$A$1:$GZ$1,0))&amp;"",""))</f>
        <v/>
      </c>
      <c r="BD478" s="0" t="str">
        <f aca="false">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Q478" s="0" t="str">
        <f aca="false">IF($A478="","",IFERROR(INDEX(Enrichment!$A$2:$GZ$2000,MATCH($A478,INDEX(Enrichment!$A$2:$GZ$2000,0,MATCH("row_id",Enrichment!$A$1:$GZ$1,0)),0),MATCH("backup_work_email",Enrichment!$A$1:$GZ$1,0))&amp;"",""))</f>
        <v/>
      </c>
      <c r="BR478" s="0" t="str">
        <f aca="false">IF($A478="","",IF(BQ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EQ478" s="0" t="str">
        <f aca="false">IF($A478="","",IF(AH478="exact",10,IF(AH478="adjacent",5,0)))</f>
        <v/>
      </c>
      <c r="ER478" s="0" t="str">
        <f aca="false">IF($A478="","",IF(R478="Y",15,0))</f>
        <v/>
      </c>
      <c r="FS478" s="0" t="str">
        <f aca="false">IF($A478="","",IF(ISNUMBER(MATCH(U478,{"queued","contacted","replied","call_booked","call_done","yes_in_principle","materials_sent"},0)),"Y","N"))</f>
        <v/>
      </c>
      <c r="FT478" s="0" t="str">
        <f aca="false">IF($A478="","",IF(OR(T478="Y",U478="do_not_contact",AS478&amp;""&lt;&gt;""),"Y","N"))</f>
        <v/>
      </c>
      <c r="FU478" s="0" t="str">
        <f aca="false">IF($A478="","",IF(AP478&amp;""&lt;&gt;"",AP478&amp;"",$A478))</f>
        <v/>
      </c>
      <c r="FV478" s="0" t="str">
        <f aca="false">IF($A478="","",IF(COUNTIFS($FU$2:$FU$1000,FU478,$FS$2:$FS$1000,"Y")+COUNTIFS($FU$2:$FU$1000,FU478,$FT$2:$FT$1000,"Y")&gt;0,"Y","N"))</f>
        <v/>
      </c>
      <c r="FW478" s="0" t="str">
        <f aca="false">IF($A478="","",IF(AND(U478="new",T478="N",FT478="N",AT478="Y",FV478="N"),"Y","N"))</f>
        <v/>
      </c>
      <c r="FX478" s="0" t="str">
        <f aca="false">IF($A478="","",IF(FW478&lt;&gt;"Y","N",IF(COUNTIFS($FU$2:$FU$1000,FU478,$FW$2:$FW$1000,"Y",$J$2:$J$1000,"&gt;"&amp;J478)+COUNTIFS($FU$2:$FU$1000,FU478,$FW$2:$FW$1000,"Y",$J$2:$J$1000,J478,$GD$2:$GD$1000,"&lt;"&amp;GD478)=0,"Y","N")))</f>
        <v/>
      </c>
      <c r="FY478" s="0" t="str">
        <f aca="false">IF($A478="","",IF(AND(FW478="Y",FX478="Y",Y478&amp;""&lt;&gt;""),IF(Y478&lt;=10,"Y","N"),"N"))</f>
        <v/>
      </c>
      <c r="FZ478" s="0" t="str">
        <f aca="false">IF(FY478="Y",Y478,"")</f>
        <v/>
      </c>
      <c r="GA478" s="0" t="str">
        <f aca="false">IF($A478="","",IF(AND(I478="walk-in",CN478="pass",U478="new",FT478="N",FV478="N",AQ478&lt;&gt;"Y"),"Y","N"))</f>
        <v/>
      </c>
      <c r="GB478" s="0" t="str">
        <f aca="false">IF(GA478&lt;&gt;"Y","",IF(COUNTIFS($GA$2:$GA$1000,"Y",$J$2:$J$1000,"&gt;"&amp;J478)+COUNTIFS($GA$2:$GA$1000,"Y",$J$2:$J$1000,J478,$GD$2:$GD$1000,"&lt;"&amp;GD478)+1&lt;=25,COUNTIFS($GA$2:$GA$1000,"Y",$J$2:$J$1000,"&gt;"&amp;J478)+COUNTIFS($GA$2:$GA$1000,"Y",$J$2:$J$1000,J478,$GD$2:$GD$1000,"&lt;"&amp;GD478)+1,""))</f>
        <v/>
      </c>
      <c r="GC478" s="0" t="str">
        <f aca="false">IF(AND(_xlfn.ISFORMULA(C478),_xlfn.ISFORMULA(J478)),"Y","N")</f>
        <v>Y</v>
      </c>
      <c r="GD478" s="0" t="n">
        <f aca="false">ROW()-1</f>
        <v>477</v>
      </c>
    </row>
    <row r="479" customFormat="false" ht="15" hidden="false" customHeight="false" outlineLevel="0" collapsed="false">
      <c r="C479" s="0" t="str">
        <f aca="false">IF($A479="","",IF(AW479="Y",BM479&amp;"",AY479&amp;""))</f>
        <v/>
      </c>
      <c r="D479" s="0" t="str">
        <f aca="false">IF($A479="","",IF(AW479="Y",BN479&amp;"",AZ479&amp;""))</f>
        <v/>
      </c>
      <c r="E479" s="0" t="str">
        <f aca="false">IF($A479="","",IF(AW479="Y",BO479&amp;"",BA479&amp;""))</f>
        <v/>
      </c>
      <c r="F479" s="0" t="str">
        <f aca="false">IF($A479="","",IF(AW479="Y",BP479&amp;"",BB479&amp;""))</f>
        <v/>
      </c>
      <c r="G479" s="0" t="str">
        <f aca="false">IF($A479="","",IF(AW479="Y",BQ479&amp;"",BC479&amp;""))</f>
        <v/>
      </c>
      <c r="H479" s="0" t="str">
        <f aca="false">IF($A479="","",IF(AW479="Y",BR479&amp;"",BD479&amp;""))</f>
        <v/>
      </c>
      <c r="I479" s="0" t="str">
        <f aca="false">IF($A479="","",IF(R479="Y","warm-intro",IF(H479="verified","email",IF(C479&lt;&gt;"","linkedin",CB479&amp;""))))</f>
        <v/>
      </c>
      <c r="J479" s="0" t="str">
        <f aca="false">IF($A479="","",IF(CN479="pass",ROUND(N(EM479)+N(EN479)+N(EO479)+N(EP479)+N(EQ479)+N(ER479),1),0))</f>
        <v/>
      </c>
      <c r="K479" s="0" t="str">
        <f aca="false">IF($A479="","",IF(CN479&lt;&gt;"pass",CA479&amp;"",CA479&amp;"; "&amp;IF(AW479="Y",BZ479&amp;"",BL479&amp;"")&amp;IF(R479="Y","; known to the founder (+15)","")&amp;"."))</f>
        <v/>
      </c>
      <c r="R479" s="5"/>
      <c r="U479" s="5"/>
      <c r="Y479" s="0" t="str">
        <f aca="false">IF(FX479&lt;&gt;"Y","",COUNTIFS($FX$2:$FX$1000,"Y",$J$2:$J$1000,"&gt;"&amp;J479)+COUNTIFS($FX$2:$FX$1000,"Y",$J$2:$J$1000,J479,$GD$2:$GD$1000,"&lt;"&amp;GD479)+1)</f>
        <v/>
      </c>
      <c r="AB479" s="0" t="str">
        <f aca="false">IF($A479="","",IF(AW479="Y",BY479&amp;"",BK479&amp;""))</f>
        <v/>
      </c>
      <c r="AC479" s="0" t="str">
        <f aca="false">IF($A479="","",IF(AW479="Y",BS479&amp;"",BE479&amp;""))</f>
        <v/>
      </c>
      <c r="AD479" s="0" t="str">
        <f aca="false">IF($A479="","",IF(AW479="Y",BT479&amp;"",BF479&amp;""))</f>
        <v/>
      </c>
      <c r="AE479" s="0" t="str">
        <f aca="false">IF($A479="","",IF(AW479="Y",BU479&amp;"",BG479&amp;""))</f>
        <v/>
      </c>
      <c r="AF479" s="0" t="str">
        <f aca="false">IF($A479="","",IF(AW479="Y",BV479&amp;"",BH479&amp;""))</f>
        <v/>
      </c>
      <c r="AG479" s="0" t="str">
        <f aca="false">IF($A479="","",IF(AW479="Y",BW479&amp;"",BI479&amp;""))</f>
        <v/>
      </c>
      <c r="AH479" s="0" t="str">
        <f aca="false">IF($A479="","",IF(AW479="Y",BX479&amp;"",BJ479&amp;""))</f>
        <v/>
      </c>
      <c r="AQ479" s="5"/>
      <c r="AT479" s="0" t="str">
        <f aca="false">IF($A479="","",IF(AND(CN479="pass",AQ479&lt;&gt;"Y",C479&lt;&gt;"",OR(AX479&lt;&gt;"Y",AV479="Y")),"Y","N"))</f>
        <v/>
      </c>
      <c r="AU479" s="0" t="str">
        <f aca="false">IF($A479="","",_xlfn.TEXTJOIN("; ",TRUE(),IF(CN479&lt;&gt;"pass","gated out",""),IF(AQ479="Y","on hold: "&amp;AR479,""),IF(C479="","no contact named on an opened page",""),IF(AND(AX479="Y",AV479&lt;&gt;"Y"),"Tuesday estimate band "&amp;L479&amp;": founder's call","")))</f>
        <v/>
      </c>
      <c r="BC479" s="0" t="str">
        <f aca="false">IF($A479="","",IFERROR(INDEX(Enrichment!$A$2:$GZ$2000,MATCH($A479,INDEX(Enrichment!$A$2:$GZ$2000,0,MATCH("row_id",Enrichment!$A$1:$GZ$1,0)),0),MATCH("work_email",Enrichment!$A$1:$GZ$1,0))&amp;"",""))</f>
        <v/>
      </c>
      <c r="BD479" s="0" t="str">
        <f aca="false">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Q479" s="0" t="str">
        <f aca="false">IF($A479="","",IFERROR(INDEX(Enrichment!$A$2:$GZ$2000,MATCH($A479,INDEX(Enrichment!$A$2:$GZ$2000,0,MATCH("row_id",Enrichment!$A$1:$GZ$1,0)),0),MATCH("backup_work_email",Enrichment!$A$1:$GZ$1,0))&amp;"",""))</f>
        <v/>
      </c>
      <c r="BR479" s="0" t="str">
        <f aca="false">IF($A479="","",IF(BQ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EQ479" s="0" t="str">
        <f aca="false">IF($A479="","",IF(AH479="exact",10,IF(AH479="adjacent",5,0)))</f>
        <v/>
      </c>
      <c r="ER479" s="0" t="str">
        <f aca="false">IF($A479="","",IF(R479="Y",15,0))</f>
        <v/>
      </c>
      <c r="FS479" s="0" t="str">
        <f aca="false">IF($A479="","",IF(ISNUMBER(MATCH(U479,{"queued","contacted","replied","call_booked","call_done","yes_in_principle","materials_sent"},0)),"Y","N"))</f>
        <v/>
      </c>
      <c r="FT479" s="0" t="str">
        <f aca="false">IF($A479="","",IF(OR(T479="Y",U479="do_not_contact",AS479&amp;""&lt;&gt;""),"Y","N"))</f>
        <v/>
      </c>
      <c r="FU479" s="0" t="str">
        <f aca="false">IF($A479="","",IF(AP479&amp;""&lt;&gt;"",AP479&amp;"",$A479))</f>
        <v/>
      </c>
      <c r="FV479" s="0" t="str">
        <f aca="false">IF($A479="","",IF(COUNTIFS($FU$2:$FU$1000,FU479,$FS$2:$FS$1000,"Y")+COUNTIFS($FU$2:$FU$1000,FU479,$FT$2:$FT$1000,"Y")&gt;0,"Y","N"))</f>
        <v/>
      </c>
      <c r="FW479" s="0" t="str">
        <f aca="false">IF($A479="","",IF(AND(U479="new",T479="N",FT479="N",AT479="Y",FV479="N"),"Y","N"))</f>
        <v/>
      </c>
      <c r="FX479" s="0" t="str">
        <f aca="false">IF($A479="","",IF(FW479&lt;&gt;"Y","N",IF(COUNTIFS($FU$2:$FU$1000,FU479,$FW$2:$FW$1000,"Y",$J$2:$J$1000,"&gt;"&amp;J479)+COUNTIFS($FU$2:$FU$1000,FU479,$FW$2:$FW$1000,"Y",$J$2:$J$1000,J479,$GD$2:$GD$1000,"&lt;"&amp;GD479)=0,"Y","N")))</f>
        <v/>
      </c>
      <c r="FY479" s="0" t="str">
        <f aca="false">IF($A479="","",IF(AND(FW479="Y",FX479="Y",Y479&amp;""&lt;&gt;""),IF(Y479&lt;=10,"Y","N"),"N"))</f>
        <v/>
      </c>
      <c r="FZ479" s="0" t="str">
        <f aca="false">IF(FY479="Y",Y479,"")</f>
        <v/>
      </c>
      <c r="GA479" s="0" t="str">
        <f aca="false">IF($A479="","",IF(AND(I479="walk-in",CN479="pass",U479="new",FT479="N",FV479="N",AQ479&lt;&gt;"Y"),"Y","N"))</f>
        <v/>
      </c>
      <c r="GB479" s="0" t="str">
        <f aca="false">IF(GA479&lt;&gt;"Y","",IF(COUNTIFS($GA$2:$GA$1000,"Y",$J$2:$J$1000,"&gt;"&amp;J479)+COUNTIFS($GA$2:$GA$1000,"Y",$J$2:$J$1000,J479,$GD$2:$GD$1000,"&lt;"&amp;GD479)+1&lt;=25,COUNTIFS($GA$2:$GA$1000,"Y",$J$2:$J$1000,"&gt;"&amp;J479)+COUNTIFS($GA$2:$GA$1000,"Y",$J$2:$J$1000,J479,$GD$2:$GD$1000,"&lt;"&amp;GD479)+1,""))</f>
        <v/>
      </c>
      <c r="GC479" s="0" t="str">
        <f aca="false">IF(AND(_xlfn.ISFORMULA(C479),_xlfn.ISFORMULA(J479)),"Y","N")</f>
        <v>Y</v>
      </c>
      <c r="GD479" s="0" t="n">
        <f aca="false">ROW()-1</f>
        <v>478</v>
      </c>
    </row>
    <row r="480" customFormat="false" ht="15" hidden="false" customHeight="false" outlineLevel="0" collapsed="false">
      <c r="C480" s="0" t="str">
        <f aca="false">IF($A480="","",IF(AW480="Y",BM480&amp;"",AY480&amp;""))</f>
        <v/>
      </c>
      <c r="D480" s="0" t="str">
        <f aca="false">IF($A480="","",IF(AW480="Y",BN480&amp;"",AZ480&amp;""))</f>
        <v/>
      </c>
      <c r="E480" s="0" t="str">
        <f aca="false">IF($A480="","",IF(AW480="Y",BO480&amp;"",BA480&amp;""))</f>
        <v/>
      </c>
      <c r="F480" s="0" t="str">
        <f aca="false">IF($A480="","",IF(AW480="Y",BP480&amp;"",BB480&amp;""))</f>
        <v/>
      </c>
      <c r="G480" s="0" t="str">
        <f aca="false">IF($A480="","",IF(AW480="Y",BQ480&amp;"",BC480&amp;""))</f>
        <v/>
      </c>
      <c r="H480" s="0" t="str">
        <f aca="false">IF($A480="","",IF(AW480="Y",BR480&amp;"",BD480&amp;""))</f>
        <v/>
      </c>
      <c r="I480" s="0" t="str">
        <f aca="false">IF($A480="","",IF(R480="Y","warm-intro",IF(H480="verified","email",IF(C480&lt;&gt;"","linkedin",CB480&amp;""))))</f>
        <v/>
      </c>
      <c r="J480" s="0" t="str">
        <f aca="false">IF($A480="","",IF(CN480="pass",ROUND(N(EM480)+N(EN480)+N(EO480)+N(EP480)+N(EQ480)+N(ER480),1),0))</f>
        <v/>
      </c>
      <c r="K480" s="0" t="str">
        <f aca="false">IF($A480="","",IF(CN480&lt;&gt;"pass",CA480&amp;"",CA480&amp;"; "&amp;IF(AW480="Y",BZ480&amp;"",BL480&amp;"")&amp;IF(R480="Y","; known to the founder (+15)","")&amp;"."))</f>
        <v/>
      </c>
      <c r="R480" s="5"/>
      <c r="U480" s="5"/>
      <c r="Y480" s="0" t="str">
        <f aca="false">IF(FX480&lt;&gt;"Y","",COUNTIFS($FX$2:$FX$1000,"Y",$J$2:$J$1000,"&gt;"&amp;J480)+COUNTIFS($FX$2:$FX$1000,"Y",$J$2:$J$1000,J480,$GD$2:$GD$1000,"&lt;"&amp;GD480)+1)</f>
        <v/>
      </c>
      <c r="AB480" s="0" t="str">
        <f aca="false">IF($A480="","",IF(AW480="Y",BY480&amp;"",BK480&amp;""))</f>
        <v/>
      </c>
      <c r="AC480" s="0" t="str">
        <f aca="false">IF($A480="","",IF(AW480="Y",BS480&amp;"",BE480&amp;""))</f>
        <v/>
      </c>
      <c r="AD480" s="0" t="str">
        <f aca="false">IF($A480="","",IF(AW480="Y",BT480&amp;"",BF480&amp;""))</f>
        <v/>
      </c>
      <c r="AE480" s="0" t="str">
        <f aca="false">IF($A480="","",IF(AW480="Y",BU480&amp;"",BG480&amp;""))</f>
        <v/>
      </c>
      <c r="AF480" s="0" t="str">
        <f aca="false">IF($A480="","",IF(AW480="Y",BV480&amp;"",BH480&amp;""))</f>
        <v/>
      </c>
      <c r="AG480" s="0" t="str">
        <f aca="false">IF($A480="","",IF(AW480="Y",BW480&amp;"",BI480&amp;""))</f>
        <v/>
      </c>
      <c r="AH480" s="0" t="str">
        <f aca="false">IF($A480="","",IF(AW480="Y",BX480&amp;"",BJ480&amp;""))</f>
        <v/>
      </c>
      <c r="AQ480" s="5"/>
      <c r="AT480" s="0" t="str">
        <f aca="false">IF($A480="","",IF(AND(CN480="pass",AQ480&lt;&gt;"Y",C480&lt;&gt;"",OR(AX480&lt;&gt;"Y",AV480="Y")),"Y","N"))</f>
        <v/>
      </c>
      <c r="AU480" s="0" t="str">
        <f aca="false">IF($A480="","",_xlfn.TEXTJOIN("; ",TRUE(),IF(CN480&lt;&gt;"pass","gated out",""),IF(AQ480="Y","on hold: "&amp;AR480,""),IF(C480="","no contact named on an opened page",""),IF(AND(AX480="Y",AV480&lt;&gt;"Y"),"Tuesday estimate band "&amp;L480&amp;": founder's call","")))</f>
        <v/>
      </c>
      <c r="BC480" s="0" t="str">
        <f aca="false">IF($A480="","",IFERROR(INDEX(Enrichment!$A$2:$GZ$2000,MATCH($A480,INDEX(Enrichment!$A$2:$GZ$2000,0,MATCH("row_id",Enrichment!$A$1:$GZ$1,0)),0),MATCH("work_email",Enrichment!$A$1:$GZ$1,0))&amp;"",""))</f>
        <v/>
      </c>
      <c r="BD480" s="0" t="str">
        <f aca="false">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Q480" s="0" t="str">
        <f aca="false">IF($A480="","",IFERROR(INDEX(Enrichment!$A$2:$GZ$2000,MATCH($A480,INDEX(Enrichment!$A$2:$GZ$2000,0,MATCH("row_id",Enrichment!$A$1:$GZ$1,0)),0),MATCH("backup_work_email",Enrichment!$A$1:$GZ$1,0))&amp;"",""))</f>
        <v/>
      </c>
      <c r="BR480" s="0" t="str">
        <f aca="false">IF($A480="","",IF(BQ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EQ480" s="0" t="str">
        <f aca="false">IF($A480="","",IF(AH480="exact",10,IF(AH480="adjacent",5,0)))</f>
        <v/>
      </c>
      <c r="ER480" s="0" t="str">
        <f aca="false">IF($A480="","",IF(R480="Y",15,0))</f>
        <v/>
      </c>
      <c r="FS480" s="0" t="str">
        <f aca="false">IF($A480="","",IF(ISNUMBER(MATCH(U480,{"queued","contacted","replied","call_booked","call_done","yes_in_principle","materials_sent"},0)),"Y","N"))</f>
        <v/>
      </c>
      <c r="FT480" s="0" t="str">
        <f aca="false">IF($A480="","",IF(OR(T480="Y",U480="do_not_contact",AS480&amp;""&lt;&gt;""),"Y","N"))</f>
        <v/>
      </c>
      <c r="FU480" s="0" t="str">
        <f aca="false">IF($A480="","",IF(AP480&amp;""&lt;&gt;"",AP480&amp;"",$A480))</f>
        <v/>
      </c>
      <c r="FV480" s="0" t="str">
        <f aca="false">IF($A480="","",IF(COUNTIFS($FU$2:$FU$1000,FU480,$FS$2:$FS$1000,"Y")+COUNTIFS($FU$2:$FU$1000,FU480,$FT$2:$FT$1000,"Y")&gt;0,"Y","N"))</f>
        <v/>
      </c>
      <c r="FW480" s="0" t="str">
        <f aca="false">IF($A480="","",IF(AND(U480="new",T480="N",FT480="N",AT480="Y",FV480="N"),"Y","N"))</f>
        <v/>
      </c>
      <c r="FX480" s="0" t="str">
        <f aca="false">IF($A480="","",IF(FW480&lt;&gt;"Y","N",IF(COUNTIFS($FU$2:$FU$1000,FU480,$FW$2:$FW$1000,"Y",$J$2:$J$1000,"&gt;"&amp;J480)+COUNTIFS($FU$2:$FU$1000,FU480,$FW$2:$FW$1000,"Y",$J$2:$J$1000,J480,$GD$2:$GD$1000,"&lt;"&amp;GD480)=0,"Y","N")))</f>
        <v/>
      </c>
      <c r="FY480" s="0" t="str">
        <f aca="false">IF($A480="","",IF(AND(FW480="Y",FX480="Y",Y480&amp;""&lt;&gt;""),IF(Y480&lt;=10,"Y","N"),"N"))</f>
        <v/>
      </c>
      <c r="FZ480" s="0" t="str">
        <f aca="false">IF(FY480="Y",Y480,"")</f>
        <v/>
      </c>
      <c r="GA480" s="0" t="str">
        <f aca="false">IF($A480="","",IF(AND(I480="walk-in",CN480="pass",U480="new",FT480="N",FV480="N",AQ480&lt;&gt;"Y"),"Y","N"))</f>
        <v/>
      </c>
      <c r="GB480" s="0" t="str">
        <f aca="false">IF(GA480&lt;&gt;"Y","",IF(COUNTIFS($GA$2:$GA$1000,"Y",$J$2:$J$1000,"&gt;"&amp;J480)+COUNTIFS($GA$2:$GA$1000,"Y",$J$2:$J$1000,J480,$GD$2:$GD$1000,"&lt;"&amp;GD480)+1&lt;=25,COUNTIFS($GA$2:$GA$1000,"Y",$J$2:$J$1000,"&gt;"&amp;J480)+COUNTIFS($GA$2:$GA$1000,"Y",$J$2:$J$1000,J480,$GD$2:$GD$1000,"&lt;"&amp;GD480)+1,""))</f>
        <v/>
      </c>
      <c r="GC480" s="0" t="str">
        <f aca="false">IF(AND(_xlfn.ISFORMULA(C480),_xlfn.ISFORMULA(J480)),"Y","N")</f>
        <v>Y</v>
      </c>
      <c r="GD480" s="0" t="n">
        <f aca="false">ROW()-1</f>
        <v>479</v>
      </c>
    </row>
    <row r="481" customFormat="false" ht="15" hidden="false" customHeight="false" outlineLevel="0" collapsed="false">
      <c r="C481" s="0" t="str">
        <f aca="false">IF($A481="","",IF(AW481="Y",BM481&amp;"",AY481&amp;""))</f>
        <v/>
      </c>
      <c r="D481" s="0" t="str">
        <f aca="false">IF($A481="","",IF(AW481="Y",BN481&amp;"",AZ481&amp;""))</f>
        <v/>
      </c>
      <c r="E481" s="0" t="str">
        <f aca="false">IF($A481="","",IF(AW481="Y",BO481&amp;"",BA481&amp;""))</f>
        <v/>
      </c>
      <c r="F481" s="0" t="str">
        <f aca="false">IF($A481="","",IF(AW481="Y",BP481&amp;"",BB481&amp;""))</f>
        <v/>
      </c>
      <c r="G481" s="0" t="str">
        <f aca="false">IF($A481="","",IF(AW481="Y",BQ481&amp;"",BC481&amp;""))</f>
        <v/>
      </c>
      <c r="H481" s="0" t="str">
        <f aca="false">IF($A481="","",IF(AW481="Y",BR481&amp;"",BD481&amp;""))</f>
        <v/>
      </c>
      <c r="I481" s="0" t="str">
        <f aca="false">IF($A481="","",IF(R481="Y","warm-intro",IF(H481="verified","email",IF(C481&lt;&gt;"","linkedin",CB481&amp;""))))</f>
        <v/>
      </c>
      <c r="J481" s="0" t="str">
        <f aca="false">IF($A481="","",IF(CN481="pass",ROUND(N(EM481)+N(EN481)+N(EO481)+N(EP481)+N(EQ481)+N(ER481),1),0))</f>
        <v/>
      </c>
      <c r="K481" s="0" t="str">
        <f aca="false">IF($A481="","",IF(CN481&lt;&gt;"pass",CA481&amp;"",CA481&amp;"; "&amp;IF(AW481="Y",BZ481&amp;"",BL481&amp;"")&amp;IF(R481="Y","; known to the founder (+15)","")&amp;"."))</f>
        <v/>
      </c>
      <c r="R481" s="5"/>
      <c r="U481" s="5"/>
      <c r="Y481" s="0" t="str">
        <f aca="false">IF(FX481&lt;&gt;"Y","",COUNTIFS($FX$2:$FX$1000,"Y",$J$2:$J$1000,"&gt;"&amp;J481)+COUNTIFS($FX$2:$FX$1000,"Y",$J$2:$J$1000,J481,$GD$2:$GD$1000,"&lt;"&amp;GD481)+1)</f>
        <v/>
      </c>
      <c r="AB481" s="0" t="str">
        <f aca="false">IF($A481="","",IF(AW481="Y",BY481&amp;"",BK481&amp;""))</f>
        <v/>
      </c>
      <c r="AC481" s="0" t="str">
        <f aca="false">IF($A481="","",IF(AW481="Y",BS481&amp;"",BE481&amp;""))</f>
        <v/>
      </c>
      <c r="AD481" s="0" t="str">
        <f aca="false">IF($A481="","",IF(AW481="Y",BT481&amp;"",BF481&amp;""))</f>
        <v/>
      </c>
      <c r="AE481" s="0" t="str">
        <f aca="false">IF($A481="","",IF(AW481="Y",BU481&amp;"",BG481&amp;""))</f>
        <v/>
      </c>
      <c r="AF481" s="0" t="str">
        <f aca="false">IF($A481="","",IF(AW481="Y",BV481&amp;"",BH481&amp;""))</f>
        <v/>
      </c>
      <c r="AG481" s="0" t="str">
        <f aca="false">IF($A481="","",IF(AW481="Y",BW481&amp;"",BI481&amp;""))</f>
        <v/>
      </c>
      <c r="AH481" s="0" t="str">
        <f aca="false">IF($A481="","",IF(AW481="Y",BX481&amp;"",BJ481&amp;""))</f>
        <v/>
      </c>
      <c r="AQ481" s="5"/>
      <c r="AT481" s="0" t="str">
        <f aca="false">IF($A481="","",IF(AND(CN481="pass",AQ481&lt;&gt;"Y",C481&lt;&gt;"",OR(AX481&lt;&gt;"Y",AV481="Y")),"Y","N"))</f>
        <v/>
      </c>
      <c r="AU481" s="0" t="str">
        <f aca="false">IF($A481="","",_xlfn.TEXTJOIN("; ",TRUE(),IF(CN481&lt;&gt;"pass","gated out",""),IF(AQ481="Y","on hold: "&amp;AR481,""),IF(C481="","no contact named on an opened page",""),IF(AND(AX481="Y",AV481&lt;&gt;"Y"),"Tuesday estimate band "&amp;L481&amp;": founder's call","")))</f>
        <v/>
      </c>
      <c r="BC481" s="0" t="str">
        <f aca="false">IF($A481="","",IFERROR(INDEX(Enrichment!$A$2:$GZ$2000,MATCH($A481,INDEX(Enrichment!$A$2:$GZ$2000,0,MATCH("row_id",Enrichment!$A$1:$GZ$1,0)),0),MATCH("work_email",Enrichment!$A$1:$GZ$1,0))&amp;"",""))</f>
        <v/>
      </c>
      <c r="BD481" s="0" t="str">
        <f aca="false">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Q481" s="0" t="str">
        <f aca="false">IF($A481="","",IFERROR(INDEX(Enrichment!$A$2:$GZ$2000,MATCH($A481,INDEX(Enrichment!$A$2:$GZ$2000,0,MATCH("row_id",Enrichment!$A$1:$GZ$1,0)),0),MATCH("backup_work_email",Enrichment!$A$1:$GZ$1,0))&amp;"",""))</f>
        <v/>
      </c>
      <c r="BR481" s="0" t="str">
        <f aca="false">IF($A481="","",IF(BQ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EQ481" s="0" t="str">
        <f aca="false">IF($A481="","",IF(AH481="exact",10,IF(AH481="adjacent",5,0)))</f>
        <v/>
      </c>
      <c r="ER481" s="0" t="str">
        <f aca="false">IF($A481="","",IF(R481="Y",15,0))</f>
        <v/>
      </c>
      <c r="FS481" s="0" t="str">
        <f aca="false">IF($A481="","",IF(ISNUMBER(MATCH(U481,{"queued","contacted","replied","call_booked","call_done","yes_in_principle","materials_sent"},0)),"Y","N"))</f>
        <v/>
      </c>
      <c r="FT481" s="0" t="str">
        <f aca="false">IF($A481="","",IF(OR(T481="Y",U481="do_not_contact",AS481&amp;""&lt;&gt;""),"Y","N"))</f>
        <v/>
      </c>
      <c r="FU481" s="0" t="str">
        <f aca="false">IF($A481="","",IF(AP481&amp;""&lt;&gt;"",AP481&amp;"",$A481))</f>
        <v/>
      </c>
      <c r="FV481" s="0" t="str">
        <f aca="false">IF($A481="","",IF(COUNTIFS($FU$2:$FU$1000,FU481,$FS$2:$FS$1000,"Y")+COUNTIFS($FU$2:$FU$1000,FU481,$FT$2:$FT$1000,"Y")&gt;0,"Y","N"))</f>
        <v/>
      </c>
      <c r="FW481" s="0" t="str">
        <f aca="false">IF($A481="","",IF(AND(U481="new",T481="N",FT481="N",AT481="Y",FV481="N"),"Y","N"))</f>
        <v/>
      </c>
      <c r="FX481" s="0" t="str">
        <f aca="false">IF($A481="","",IF(FW481&lt;&gt;"Y","N",IF(COUNTIFS($FU$2:$FU$1000,FU481,$FW$2:$FW$1000,"Y",$J$2:$J$1000,"&gt;"&amp;J481)+COUNTIFS($FU$2:$FU$1000,FU481,$FW$2:$FW$1000,"Y",$J$2:$J$1000,J481,$GD$2:$GD$1000,"&lt;"&amp;GD481)=0,"Y","N")))</f>
        <v/>
      </c>
      <c r="FY481" s="0" t="str">
        <f aca="false">IF($A481="","",IF(AND(FW481="Y",FX481="Y",Y481&amp;""&lt;&gt;""),IF(Y481&lt;=10,"Y","N"),"N"))</f>
        <v/>
      </c>
      <c r="FZ481" s="0" t="str">
        <f aca="false">IF(FY481="Y",Y481,"")</f>
        <v/>
      </c>
      <c r="GA481" s="0" t="str">
        <f aca="false">IF($A481="","",IF(AND(I481="walk-in",CN481="pass",U481="new",FT481="N",FV481="N",AQ481&lt;&gt;"Y"),"Y","N"))</f>
        <v/>
      </c>
      <c r="GB481" s="0" t="str">
        <f aca="false">IF(GA481&lt;&gt;"Y","",IF(COUNTIFS($GA$2:$GA$1000,"Y",$J$2:$J$1000,"&gt;"&amp;J481)+COUNTIFS($GA$2:$GA$1000,"Y",$J$2:$J$1000,J481,$GD$2:$GD$1000,"&lt;"&amp;GD481)+1&lt;=25,COUNTIFS($GA$2:$GA$1000,"Y",$J$2:$J$1000,"&gt;"&amp;J481)+COUNTIFS($GA$2:$GA$1000,"Y",$J$2:$J$1000,J481,$GD$2:$GD$1000,"&lt;"&amp;GD481)+1,""))</f>
        <v/>
      </c>
      <c r="GC481" s="0" t="str">
        <f aca="false">IF(AND(_xlfn.ISFORMULA(C481),_xlfn.ISFORMULA(J481)),"Y","N")</f>
        <v>Y</v>
      </c>
      <c r="GD481" s="0" t="n">
        <f aca="false">ROW()-1</f>
        <v>480</v>
      </c>
    </row>
    <row r="482" customFormat="false" ht="15" hidden="false" customHeight="false" outlineLevel="0" collapsed="false">
      <c r="C482" s="0" t="str">
        <f aca="false">IF($A482="","",IF(AW482="Y",BM482&amp;"",AY482&amp;""))</f>
        <v/>
      </c>
      <c r="D482" s="0" t="str">
        <f aca="false">IF($A482="","",IF(AW482="Y",BN482&amp;"",AZ482&amp;""))</f>
        <v/>
      </c>
      <c r="E482" s="0" t="str">
        <f aca="false">IF($A482="","",IF(AW482="Y",BO482&amp;"",BA482&amp;""))</f>
        <v/>
      </c>
      <c r="F482" s="0" t="str">
        <f aca="false">IF($A482="","",IF(AW482="Y",BP482&amp;"",BB482&amp;""))</f>
        <v/>
      </c>
      <c r="G482" s="0" t="str">
        <f aca="false">IF($A482="","",IF(AW482="Y",BQ482&amp;"",BC482&amp;""))</f>
        <v/>
      </c>
      <c r="H482" s="0" t="str">
        <f aca="false">IF($A482="","",IF(AW482="Y",BR482&amp;"",BD482&amp;""))</f>
        <v/>
      </c>
      <c r="I482" s="0" t="str">
        <f aca="false">IF($A482="","",IF(R482="Y","warm-intro",IF(H482="verified","email",IF(C482&lt;&gt;"","linkedin",CB482&amp;""))))</f>
        <v/>
      </c>
      <c r="J482" s="0" t="str">
        <f aca="false">IF($A482="","",IF(CN482="pass",ROUND(N(EM482)+N(EN482)+N(EO482)+N(EP482)+N(EQ482)+N(ER482),1),0))</f>
        <v/>
      </c>
      <c r="K482" s="0" t="str">
        <f aca="false">IF($A482="","",IF(CN482&lt;&gt;"pass",CA482&amp;"",CA482&amp;"; "&amp;IF(AW482="Y",BZ482&amp;"",BL482&amp;"")&amp;IF(R482="Y","; known to the founder (+15)","")&amp;"."))</f>
        <v/>
      </c>
      <c r="R482" s="5"/>
      <c r="U482" s="5"/>
      <c r="Y482" s="0" t="str">
        <f aca="false">IF(FX482&lt;&gt;"Y","",COUNTIFS($FX$2:$FX$1000,"Y",$J$2:$J$1000,"&gt;"&amp;J482)+COUNTIFS($FX$2:$FX$1000,"Y",$J$2:$J$1000,J482,$GD$2:$GD$1000,"&lt;"&amp;GD482)+1)</f>
        <v/>
      </c>
      <c r="AB482" s="0" t="str">
        <f aca="false">IF($A482="","",IF(AW482="Y",BY482&amp;"",BK482&amp;""))</f>
        <v/>
      </c>
      <c r="AC482" s="0" t="str">
        <f aca="false">IF($A482="","",IF(AW482="Y",BS482&amp;"",BE482&amp;""))</f>
        <v/>
      </c>
      <c r="AD482" s="0" t="str">
        <f aca="false">IF($A482="","",IF(AW482="Y",BT482&amp;"",BF482&amp;""))</f>
        <v/>
      </c>
      <c r="AE482" s="0" t="str">
        <f aca="false">IF($A482="","",IF(AW482="Y",BU482&amp;"",BG482&amp;""))</f>
        <v/>
      </c>
      <c r="AF482" s="0" t="str">
        <f aca="false">IF($A482="","",IF(AW482="Y",BV482&amp;"",BH482&amp;""))</f>
        <v/>
      </c>
      <c r="AG482" s="0" t="str">
        <f aca="false">IF($A482="","",IF(AW482="Y",BW482&amp;"",BI482&amp;""))</f>
        <v/>
      </c>
      <c r="AH482" s="0" t="str">
        <f aca="false">IF($A482="","",IF(AW482="Y",BX482&amp;"",BJ482&amp;""))</f>
        <v/>
      </c>
      <c r="AQ482" s="5"/>
      <c r="AT482" s="0" t="str">
        <f aca="false">IF($A482="","",IF(AND(CN482="pass",AQ482&lt;&gt;"Y",C482&lt;&gt;"",OR(AX482&lt;&gt;"Y",AV482="Y")),"Y","N"))</f>
        <v/>
      </c>
      <c r="AU482" s="0" t="str">
        <f aca="false">IF($A482="","",_xlfn.TEXTJOIN("; ",TRUE(),IF(CN482&lt;&gt;"pass","gated out",""),IF(AQ482="Y","on hold: "&amp;AR482,""),IF(C482="","no contact named on an opened page",""),IF(AND(AX482="Y",AV482&lt;&gt;"Y"),"Tuesday estimate band "&amp;L482&amp;": founder's call","")))</f>
        <v/>
      </c>
      <c r="BC482" s="0" t="str">
        <f aca="false">IF($A482="","",IFERROR(INDEX(Enrichment!$A$2:$GZ$2000,MATCH($A482,INDEX(Enrichment!$A$2:$GZ$2000,0,MATCH("row_id",Enrichment!$A$1:$GZ$1,0)),0),MATCH("work_email",Enrichment!$A$1:$GZ$1,0))&amp;"",""))</f>
        <v/>
      </c>
      <c r="BD482" s="0" t="str">
        <f aca="false">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Q482" s="0" t="str">
        <f aca="false">IF($A482="","",IFERROR(INDEX(Enrichment!$A$2:$GZ$2000,MATCH($A482,INDEX(Enrichment!$A$2:$GZ$2000,0,MATCH("row_id",Enrichment!$A$1:$GZ$1,0)),0),MATCH("backup_work_email",Enrichment!$A$1:$GZ$1,0))&amp;"",""))</f>
        <v/>
      </c>
      <c r="BR482" s="0" t="str">
        <f aca="false">IF($A482="","",IF(BQ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EQ482" s="0" t="str">
        <f aca="false">IF($A482="","",IF(AH482="exact",10,IF(AH482="adjacent",5,0)))</f>
        <v/>
      </c>
      <c r="ER482" s="0" t="str">
        <f aca="false">IF($A482="","",IF(R482="Y",15,0))</f>
        <v/>
      </c>
      <c r="FS482" s="0" t="str">
        <f aca="false">IF($A482="","",IF(ISNUMBER(MATCH(U482,{"queued","contacted","replied","call_booked","call_done","yes_in_principle","materials_sent"},0)),"Y","N"))</f>
        <v/>
      </c>
      <c r="FT482" s="0" t="str">
        <f aca="false">IF($A482="","",IF(OR(T482="Y",U482="do_not_contact",AS482&amp;""&lt;&gt;""),"Y","N"))</f>
        <v/>
      </c>
      <c r="FU482" s="0" t="str">
        <f aca="false">IF($A482="","",IF(AP482&amp;""&lt;&gt;"",AP482&amp;"",$A482))</f>
        <v/>
      </c>
      <c r="FV482" s="0" t="str">
        <f aca="false">IF($A482="","",IF(COUNTIFS($FU$2:$FU$1000,FU482,$FS$2:$FS$1000,"Y")+COUNTIFS($FU$2:$FU$1000,FU482,$FT$2:$FT$1000,"Y")&gt;0,"Y","N"))</f>
        <v/>
      </c>
      <c r="FW482" s="0" t="str">
        <f aca="false">IF($A482="","",IF(AND(U482="new",T482="N",FT482="N",AT482="Y",FV482="N"),"Y","N"))</f>
        <v/>
      </c>
      <c r="FX482" s="0" t="str">
        <f aca="false">IF($A482="","",IF(FW482&lt;&gt;"Y","N",IF(COUNTIFS($FU$2:$FU$1000,FU482,$FW$2:$FW$1000,"Y",$J$2:$J$1000,"&gt;"&amp;J482)+COUNTIFS($FU$2:$FU$1000,FU482,$FW$2:$FW$1000,"Y",$J$2:$J$1000,J482,$GD$2:$GD$1000,"&lt;"&amp;GD482)=0,"Y","N")))</f>
        <v/>
      </c>
      <c r="FY482" s="0" t="str">
        <f aca="false">IF($A482="","",IF(AND(FW482="Y",FX482="Y",Y482&amp;""&lt;&gt;""),IF(Y482&lt;=10,"Y","N"),"N"))</f>
        <v/>
      </c>
      <c r="FZ482" s="0" t="str">
        <f aca="false">IF(FY482="Y",Y482,"")</f>
        <v/>
      </c>
      <c r="GA482" s="0" t="str">
        <f aca="false">IF($A482="","",IF(AND(I482="walk-in",CN482="pass",U482="new",FT482="N",FV482="N",AQ482&lt;&gt;"Y"),"Y","N"))</f>
        <v/>
      </c>
      <c r="GB482" s="0" t="str">
        <f aca="false">IF(GA482&lt;&gt;"Y","",IF(COUNTIFS($GA$2:$GA$1000,"Y",$J$2:$J$1000,"&gt;"&amp;J482)+COUNTIFS($GA$2:$GA$1000,"Y",$J$2:$J$1000,J482,$GD$2:$GD$1000,"&lt;"&amp;GD482)+1&lt;=25,COUNTIFS($GA$2:$GA$1000,"Y",$J$2:$J$1000,"&gt;"&amp;J482)+COUNTIFS($GA$2:$GA$1000,"Y",$J$2:$J$1000,J482,$GD$2:$GD$1000,"&lt;"&amp;GD482)+1,""))</f>
        <v/>
      </c>
      <c r="GC482" s="0" t="str">
        <f aca="false">IF(AND(_xlfn.ISFORMULA(C482),_xlfn.ISFORMULA(J482)),"Y","N")</f>
        <v>Y</v>
      </c>
      <c r="GD482" s="0" t="n">
        <f aca="false">ROW()-1</f>
        <v>481</v>
      </c>
    </row>
    <row r="483" customFormat="false" ht="15" hidden="false" customHeight="false" outlineLevel="0" collapsed="false">
      <c r="C483" s="0" t="str">
        <f aca="false">IF($A483="","",IF(AW483="Y",BM483&amp;"",AY483&amp;""))</f>
        <v/>
      </c>
      <c r="D483" s="0" t="str">
        <f aca="false">IF($A483="","",IF(AW483="Y",BN483&amp;"",AZ483&amp;""))</f>
        <v/>
      </c>
      <c r="E483" s="0" t="str">
        <f aca="false">IF($A483="","",IF(AW483="Y",BO483&amp;"",BA483&amp;""))</f>
        <v/>
      </c>
      <c r="F483" s="0" t="str">
        <f aca="false">IF($A483="","",IF(AW483="Y",BP483&amp;"",BB483&amp;""))</f>
        <v/>
      </c>
      <c r="G483" s="0" t="str">
        <f aca="false">IF($A483="","",IF(AW483="Y",BQ483&amp;"",BC483&amp;""))</f>
        <v/>
      </c>
      <c r="H483" s="0" t="str">
        <f aca="false">IF($A483="","",IF(AW483="Y",BR483&amp;"",BD483&amp;""))</f>
        <v/>
      </c>
      <c r="I483" s="0" t="str">
        <f aca="false">IF($A483="","",IF(R483="Y","warm-intro",IF(H483="verified","email",IF(C483&lt;&gt;"","linkedin",CB483&amp;""))))</f>
        <v/>
      </c>
      <c r="J483" s="0" t="str">
        <f aca="false">IF($A483="","",IF(CN483="pass",ROUND(N(EM483)+N(EN483)+N(EO483)+N(EP483)+N(EQ483)+N(ER483),1),0))</f>
        <v/>
      </c>
      <c r="K483" s="0" t="str">
        <f aca="false">IF($A483="","",IF(CN483&lt;&gt;"pass",CA483&amp;"",CA483&amp;"; "&amp;IF(AW483="Y",BZ483&amp;"",BL483&amp;"")&amp;IF(R483="Y","; known to the founder (+15)","")&amp;"."))</f>
        <v/>
      </c>
      <c r="R483" s="5"/>
      <c r="U483" s="5"/>
      <c r="Y483" s="0" t="str">
        <f aca="false">IF(FX483&lt;&gt;"Y","",COUNTIFS($FX$2:$FX$1000,"Y",$J$2:$J$1000,"&gt;"&amp;J483)+COUNTIFS($FX$2:$FX$1000,"Y",$J$2:$J$1000,J483,$GD$2:$GD$1000,"&lt;"&amp;GD483)+1)</f>
        <v/>
      </c>
      <c r="AB483" s="0" t="str">
        <f aca="false">IF($A483="","",IF(AW483="Y",BY483&amp;"",BK483&amp;""))</f>
        <v/>
      </c>
      <c r="AC483" s="0" t="str">
        <f aca="false">IF($A483="","",IF(AW483="Y",BS483&amp;"",BE483&amp;""))</f>
        <v/>
      </c>
      <c r="AD483" s="0" t="str">
        <f aca="false">IF($A483="","",IF(AW483="Y",BT483&amp;"",BF483&amp;""))</f>
        <v/>
      </c>
      <c r="AE483" s="0" t="str">
        <f aca="false">IF($A483="","",IF(AW483="Y",BU483&amp;"",BG483&amp;""))</f>
        <v/>
      </c>
      <c r="AF483" s="0" t="str">
        <f aca="false">IF($A483="","",IF(AW483="Y",BV483&amp;"",BH483&amp;""))</f>
        <v/>
      </c>
      <c r="AG483" s="0" t="str">
        <f aca="false">IF($A483="","",IF(AW483="Y",BW483&amp;"",BI483&amp;""))</f>
        <v/>
      </c>
      <c r="AH483" s="0" t="str">
        <f aca="false">IF($A483="","",IF(AW483="Y",BX483&amp;"",BJ483&amp;""))</f>
        <v/>
      </c>
      <c r="AQ483" s="5"/>
      <c r="AT483" s="0" t="str">
        <f aca="false">IF($A483="","",IF(AND(CN483="pass",AQ483&lt;&gt;"Y",C483&lt;&gt;"",OR(AX483&lt;&gt;"Y",AV483="Y")),"Y","N"))</f>
        <v/>
      </c>
      <c r="AU483" s="0" t="str">
        <f aca="false">IF($A483="","",_xlfn.TEXTJOIN("; ",TRUE(),IF(CN483&lt;&gt;"pass","gated out",""),IF(AQ483="Y","on hold: "&amp;AR483,""),IF(C483="","no contact named on an opened page",""),IF(AND(AX483="Y",AV483&lt;&gt;"Y"),"Tuesday estimate band "&amp;L483&amp;": founder's call","")))</f>
        <v/>
      </c>
      <c r="BC483" s="0" t="str">
        <f aca="false">IF($A483="","",IFERROR(INDEX(Enrichment!$A$2:$GZ$2000,MATCH($A483,INDEX(Enrichment!$A$2:$GZ$2000,0,MATCH("row_id",Enrichment!$A$1:$GZ$1,0)),0),MATCH("work_email",Enrichment!$A$1:$GZ$1,0))&amp;"",""))</f>
        <v/>
      </c>
      <c r="BD483" s="0" t="str">
        <f aca="false">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Q483" s="0" t="str">
        <f aca="false">IF($A483="","",IFERROR(INDEX(Enrichment!$A$2:$GZ$2000,MATCH($A483,INDEX(Enrichment!$A$2:$GZ$2000,0,MATCH("row_id",Enrichment!$A$1:$GZ$1,0)),0),MATCH("backup_work_email",Enrichment!$A$1:$GZ$1,0))&amp;"",""))</f>
        <v/>
      </c>
      <c r="BR483" s="0" t="str">
        <f aca="false">IF($A483="","",IF(BQ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EQ483" s="0" t="str">
        <f aca="false">IF($A483="","",IF(AH483="exact",10,IF(AH483="adjacent",5,0)))</f>
        <v/>
      </c>
      <c r="ER483" s="0" t="str">
        <f aca="false">IF($A483="","",IF(R483="Y",15,0))</f>
        <v/>
      </c>
      <c r="FS483" s="0" t="str">
        <f aca="false">IF($A483="","",IF(ISNUMBER(MATCH(U483,{"queued","contacted","replied","call_booked","call_done","yes_in_principle","materials_sent"},0)),"Y","N"))</f>
        <v/>
      </c>
      <c r="FT483" s="0" t="str">
        <f aca="false">IF($A483="","",IF(OR(T483="Y",U483="do_not_contact",AS483&amp;""&lt;&gt;""),"Y","N"))</f>
        <v/>
      </c>
      <c r="FU483" s="0" t="str">
        <f aca="false">IF($A483="","",IF(AP483&amp;""&lt;&gt;"",AP483&amp;"",$A483))</f>
        <v/>
      </c>
      <c r="FV483" s="0" t="str">
        <f aca="false">IF($A483="","",IF(COUNTIFS($FU$2:$FU$1000,FU483,$FS$2:$FS$1000,"Y")+COUNTIFS($FU$2:$FU$1000,FU483,$FT$2:$FT$1000,"Y")&gt;0,"Y","N"))</f>
        <v/>
      </c>
      <c r="FW483" s="0" t="str">
        <f aca="false">IF($A483="","",IF(AND(U483="new",T483="N",FT483="N",AT483="Y",FV483="N"),"Y","N"))</f>
        <v/>
      </c>
      <c r="FX483" s="0" t="str">
        <f aca="false">IF($A483="","",IF(FW483&lt;&gt;"Y","N",IF(COUNTIFS($FU$2:$FU$1000,FU483,$FW$2:$FW$1000,"Y",$J$2:$J$1000,"&gt;"&amp;J483)+COUNTIFS($FU$2:$FU$1000,FU483,$FW$2:$FW$1000,"Y",$J$2:$J$1000,J483,$GD$2:$GD$1000,"&lt;"&amp;GD483)=0,"Y","N")))</f>
        <v/>
      </c>
      <c r="FY483" s="0" t="str">
        <f aca="false">IF($A483="","",IF(AND(FW483="Y",FX483="Y",Y483&amp;""&lt;&gt;""),IF(Y483&lt;=10,"Y","N"),"N"))</f>
        <v/>
      </c>
      <c r="FZ483" s="0" t="str">
        <f aca="false">IF(FY483="Y",Y483,"")</f>
        <v/>
      </c>
      <c r="GA483" s="0" t="str">
        <f aca="false">IF($A483="","",IF(AND(I483="walk-in",CN483="pass",U483="new",FT483="N",FV483="N",AQ483&lt;&gt;"Y"),"Y","N"))</f>
        <v/>
      </c>
      <c r="GB483" s="0" t="str">
        <f aca="false">IF(GA483&lt;&gt;"Y","",IF(COUNTIFS($GA$2:$GA$1000,"Y",$J$2:$J$1000,"&gt;"&amp;J483)+COUNTIFS($GA$2:$GA$1000,"Y",$J$2:$J$1000,J483,$GD$2:$GD$1000,"&lt;"&amp;GD483)+1&lt;=25,COUNTIFS($GA$2:$GA$1000,"Y",$J$2:$J$1000,"&gt;"&amp;J483)+COUNTIFS($GA$2:$GA$1000,"Y",$J$2:$J$1000,J483,$GD$2:$GD$1000,"&lt;"&amp;GD483)+1,""))</f>
        <v/>
      </c>
      <c r="GC483" s="0" t="str">
        <f aca="false">IF(AND(_xlfn.ISFORMULA(C483),_xlfn.ISFORMULA(J483)),"Y","N")</f>
        <v>Y</v>
      </c>
      <c r="GD483" s="0" t="n">
        <f aca="false">ROW()-1</f>
        <v>482</v>
      </c>
    </row>
    <row r="484" customFormat="false" ht="15" hidden="false" customHeight="false" outlineLevel="0" collapsed="false">
      <c r="C484" s="0" t="str">
        <f aca="false">IF($A484="","",IF(AW484="Y",BM484&amp;"",AY484&amp;""))</f>
        <v/>
      </c>
      <c r="D484" s="0" t="str">
        <f aca="false">IF($A484="","",IF(AW484="Y",BN484&amp;"",AZ484&amp;""))</f>
        <v/>
      </c>
      <c r="E484" s="0" t="str">
        <f aca="false">IF($A484="","",IF(AW484="Y",BO484&amp;"",BA484&amp;""))</f>
        <v/>
      </c>
      <c r="F484" s="0" t="str">
        <f aca="false">IF($A484="","",IF(AW484="Y",BP484&amp;"",BB484&amp;""))</f>
        <v/>
      </c>
      <c r="G484" s="0" t="str">
        <f aca="false">IF($A484="","",IF(AW484="Y",BQ484&amp;"",BC484&amp;""))</f>
        <v/>
      </c>
      <c r="H484" s="0" t="str">
        <f aca="false">IF($A484="","",IF(AW484="Y",BR484&amp;"",BD484&amp;""))</f>
        <v/>
      </c>
      <c r="I484" s="0" t="str">
        <f aca="false">IF($A484="","",IF(R484="Y","warm-intro",IF(H484="verified","email",IF(C484&lt;&gt;"","linkedin",CB484&amp;""))))</f>
        <v/>
      </c>
      <c r="J484" s="0" t="str">
        <f aca="false">IF($A484="","",IF(CN484="pass",ROUND(N(EM484)+N(EN484)+N(EO484)+N(EP484)+N(EQ484)+N(ER484),1),0))</f>
        <v/>
      </c>
      <c r="K484" s="0" t="str">
        <f aca="false">IF($A484="","",IF(CN484&lt;&gt;"pass",CA484&amp;"",CA484&amp;"; "&amp;IF(AW484="Y",BZ484&amp;"",BL484&amp;"")&amp;IF(R484="Y","; known to the founder (+15)","")&amp;"."))</f>
        <v/>
      </c>
      <c r="R484" s="5"/>
      <c r="U484" s="5"/>
      <c r="Y484" s="0" t="str">
        <f aca="false">IF(FX484&lt;&gt;"Y","",COUNTIFS($FX$2:$FX$1000,"Y",$J$2:$J$1000,"&gt;"&amp;J484)+COUNTIFS($FX$2:$FX$1000,"Y",$J$2:$J$1000,J484,$GD$2:$GD$1000,"&lt;"&amp;GD484)+1)</f>
        <v/>
      </c>
      <c r="AB484" s="0" t="str">
        <f aca="false">IF($A484="","",IF(AW484="Y",BY484&amp;"",BK484&amp;""))</f>
        <v/>
      </c>
      <c r="AC484" s="0" t="str">
        <f aca="false">IF($A484="","",IF(AW484="Y",BS484&amp;"",BE484&amp;""))</f>
        <v/>
      </c>
      <c r="AD484" s="0" t="str">
        <f aca="false">IF($A484="","",IF(AW484="Y",BT484&amp;"",BF484&amp;""))</f>
        <v/>
      </c>
      <c r="AE484" s="0" t="str">
        <f aca="false">IF($A484="","",IF(AW484="Y",BU484&amp;"",BG484&amp;""))</f>
        <v/>
      </c>
      <c r="AF484" s="0" t="str">
        <f aca="false">IF($A484="","",IF(AW484="Y",BV484&amp;"",BH484&amp;""))</f>
        <v/>
      </c>
      <c r="AG484" s="0" t="str">
        <f aca="false">IF($A484="","",IF(AW484="Y",BW484&amp;"",BI484&amp;""))</f>
        <v/>
      </c>
      <c r="AH484" s="0" t="str">
        <f aca="false">IF($A484="","",IF(AW484="Y",BX484&amp;"",BJ484&amp;""))</f>
        <v/>
      </c>
      <c r="AQ484" s="5"/>
      <c r="AT484" s="0" t="str">
        <f aca="false">IF($A484="","",IF(AND(CN484="pass",AQ484&lt;&gt;"Y",C484&lt;&gt;"",OR(AX484&lt;&gt;"Y",AV484="Y")),"Y","N"))</f>
        <v/>
      </c>
      <c r="AU484" s="0" t="str">
        <f aca="false">IF($A484="","",_xlfn.TEXTJOIN("; ",TRUE(),IF(CN484&lt;&gt;"pass","gated out",""),IF(AQ484="Y","on hold: "&amp;AR484,""),IF(C484="","no contact named on an opened page",""),IF(AND(AX484="Y",AV484&lt;&gt;"Y"),"Tuesday estimate band "&amp;L484&amp;": founder's call","")))</f>
        <v/>
      </c>
      <c r="BC484" s="0" t="str">
        <f aca="false">IF($A484="","",IFERROR(INDEX(Enrichment!$A$2:$GZ$2000,MATCH($A484,INDEX(Enrichment!$A$2:$GZ$2000,0,MATCH("row_id",Enrichment!$A$1:$GZ$1,0)),0),MATCH("work_email",Enrichment!$A$1:$GZ$1,0))&amp;"",""))</f>
        <v/>
      </c>
      <c r="BD484" s="0" t="str">
        <f aca="false">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Q484" s="0" t="str">
        <f aca="false">IF($A484="","",IFERROR(INDEX(Enrichment!$A$2:$GZ$2000,MATCH($A484,INDEX(Enrichment!$A$2:$GZ$2000,0,MATCH("row_id",Enrichment!$A$1:$GZ$1,0)),0),MATCH("backup_work_email",Enrichment!$A$1:$GZ$1,0))&amp;"",""))</f>
        <v/>
      </c>
      <c r="BR484" s="0" t="str">
        <f aca="false">IF($A484="","",IF(BQ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EQ484" s="0" t="str">
        <f aca="false">IF($A484="","",IF(AH484="exact",10,IF(AH484="adjacent",5,0)))</f>
        <v/>
      </c>
      <c r="ER484" s="0" t="str">
        <f aca="false">IF($A484="","",IF(R484="Y",15,0))</f>
        <v/>
      </c>
      <c r="FS484" s="0" t="str">
        <f aca="false">IF($A484="","",IF(ISNUMBER(MATCH(U484,{"queued","contacted","replied","call_booked","call_done","yes_in_principle","materials_sent"},0)),"Y","N"))</f>
        <v/>
      </c>
      <c r="FT484" s="0" t="str">
        <f aca="false">IF($A484="","",IF(OR(T484="Y",U484="do_not_contact",AS484&amp;""&lt;&gt;""),"Y","N"))</f>
        <v/>
      </c>
      <c r="FU484" s="0" t="str">
        <f aca="false">IF($A484="","",IF(AP484&amp;""&lt;&gt;"",AP484&amp;"",$A484))</f>
        <v/>
      </c>
      <c r="FV484" s="0" t="str">
        <f aca="false">IF($A484="","",IF(COUNTIFS($FU$2:$FU$1000,FU484,$FS$2:$FS$1000,"Y")+COUNTIFS($FU$2:$FU$1000,FU484,$FT$2:$FT$1000,"Y")&gt;0,"Y","N"))</f>
        <v/>
      </c>
      <c r="FW484" s="0" t="str">
        <f aca="false">IF($A484="","",IF(AND(U484="new",T484="N",FT484="N",AT484="Y",FV484="N"),"Y","N"))</f>
        <v/>
      </c>
      <c r="FX484" s="0" t="str">
        <f aca="false">IF($A484="","",IF(FW484&lt;&gt;"Y","N",IF(COUNTIFS($FU$2:$FU$1000,FU484,$FW$2:$FW$1000,"Y",$J$2:$J$1000,"&gt;"&amp;J484)+COUNTIFS($FU$2:$FU$1000,FU484,$FW$2:$FW$1000,"Y",$J$2:$J$1000,J484,$GD$2:$GD$1000,"&lt;"&amp;GD484)=0,"Y","N")))</f>
        <v/>
      </c>
      <c r="FY484" s="0" t="str">
        <f aca="false">IF($A484="","",IF(AND(FW484="Y",FX484="Y",Y484&amp;""&lt;&gt;""),IF(Y484&lt;=10,"Y","N"),"N"))</f>
        <v/>
      </c>
      <c r="FZ484" s="0" t="str">
        <f aca="false">IF(FY484="Y",Y484,"")</f>
        <v/>
      </c>
      <c r="GA484" s="0" t="str">
        <f aca="false">IF($A484="","",IF(AND(I484="walk-in",CN484="pass",U484="new",FT484="N",FV484="N",AQ484&lt;&gt;"Y"),"Y","N"))</f>
        <v/>
      </c>
      <c r="GB484" s="0" t="str">
        <f aca="false">IF(GA484&lt;&gt;"Y","",IF(COUNTIFS($GA$2:$GA$1000,"Y",$J$2:$J$1000,"&gt;"&amp;J484)+COUNTIFS($GA$2:$GA$1000,"Y",$J$2:$J$1000,J484,$GD$2:$GD$1000,"&lt;"&amp;GD484)+1&lt;=25,COUNTIFS($GA$2:$GA$1000,"Y",$J$2:$J$1000,"&gt;"&amp;J484)+COUNTIFS($GA$2:$GA$1000,"Y",$J$2:$J$1000,J484,$GD$2:$GD$1000,"&lt;"&amp;GD484)+1,""))</f>
        <v/>
      </c>
      <c r="GC484" s="0" t="str">
        <f aca="false">IF(AND(_xlfn.ISFORMULA(C484),_xlfn.ISFORMULA(J484)),"Y","N")</f>
        <v>Y</v>
      </c>
      <c r="GD484" s="0" t="n">
        <f aca="false">ROW()-1</f>
        <v>483</v>
      </c>
    </row>
    <row r="485" customFormat="false" ht="15" hidden="false" customHeight="false" outlineLevel="0" collapsed="false">
      <c r="C485" s="0" t="str">
        <f aca="false">IF($A485="","",IF(AW485="Y",BM485&amp;"",AY485&amp;""))</f>
        <v/>
      </c>
      <c r="D485" s="0" t="str">
        <f aca="false">IF($A485="","",IF(AW485="Y",BN485&amp;"",AZ485&amp;""))</f>
        <v/>
      </c>
      <c r="E485" s="0" t="str">
        <f aca="false">IF($A485="","",IF(AW485="Y",BO485&amp;"",BA485&amp;""))</f>
        <v/>
      </c>
      <c r="F485" s="0" t="str">
        <f aca="false">IF($A485="","",IF(AW485="Y",BP485&amp;"",BB485&amp;""))</f>
        <v/>
      </c>
      <c r="G485" s="0" t="str">
        <f aca="false">IF($A485="","",IF(AW485="Y",BQ485&amp;"",BC485&amp;""))</f>
        <v/>
      </c>
      <c r="H485" s="0" t="str">
        <f aca="false">IF($A485="","",IF(AW485="Y",BR485&amp;"",BD485&amp;""))</f>
        <v/>
      </c>
      <c r="I485" s="0" t="str">
        <f aca="false">IF($A485="","",IF(R485="Y","warm-intro",IF(H485="verified","email",IF(C485&lt;&gt;"","linkedin",CB485&amp;""))))</f>
        <v/>
      </c>
      <c r="J485" s="0" t="str">
        <f aca="false">IF($A485="","",IF(CN485="pass",ROUND(N(EM485)+N(EN485)+N(EO485)+N(EP485)+N(EQ485)+N(ER485),1),0))</f>
        <v/>
      </c>
      <c r="K485" s="0" t="str">
        <f aca="false">IF($A485="","",IF(CN485&lt;&gt;"pass",CA485&amp;"",CA485&amp;"; "&amp;IF(AW485="Y",BZ485&amp;"",BL485&amp;"")&amp;IF(R485="Y","; known to the founder (+15)","")&amp;"."))</f>
        <v/>
      </c>
      <c r="R485" s="5"/>
      <c r="U485" s="5"/>
      <c r="Y485" s="0" t="str">
        <f aca="false">IF(FX485&lt;&gt;"Y","",COUNTIFS($FX$2:$FX$1000,"Y",$J$2:$J$1000,"&gt;"&amp;J485)+COUNTIFS($FX$2:$FX$1000,"Y",$J$2:$J$1000,J485,$GD$2:$GD$1000,"&lt;"&amp;GD485)+1)</f>
        <v/>
      </c>
      <c r="AB485" s="0" t="str">
        <f aca="false">IF($A485="","",IF(AW485="Y",BY485&amp;"",BK485&amp;""))</f>
        <v/>
      </c>
      <c r="AC485" s="0" t="str">
        <f aca="false">IF($A485="","",IF(AW485="Y",BS485&amp;"",BE485&amp;""))</f>
        <v/>
      </c>
      <c r="AD485" s="0" t="str">
        <f aca="false">IF($A485="","",IF(AW485="Y",BT485&amp;"",BF485&amp;""))</f>
        <v/>
      </c>
      <c r="AE485" s="0" t="str">
        <f aca="false">IF($A485="","",IF(AW485="Y",BU485&amp;"",BG485&amp;""))</f>
        <v/>
      </c>
      <c r="AF485" s="0" t="str">
        <f aca="false">IF($A485="","",IF(AW485="Y",BV485&amp;"",BH485&amp;""))</f>
        <v/>
      </c>
      <c r="AG485" s="0" t="str">
        <f aca="false">IF($A485="","",IF(AW485="Y",BW485&amp;"",BI485&amp;""))</f>
        <v/>
      </c>
      <c r="AH485" s="0" t="str">
        <f aca="false">IF($A485="","",IF(AW485="Y",BX485&amp;"",BJ485&amp;""))</f>
        <v/>
      </c>
      <c r="AQ485" s="5"/>
      <c r="AT485" s="0" t="str">
        <f aca="false">IF($A485="","",IF(AND(CN485="pass",AQ485&lt;&gt;"Y",C485&lt;&gt;"",OR(AX485&lt;&gt;"Y",AV485="Y")),"Y","N"))</f>
        <v/>
      </c>
      <c r="AU485" s="0" t="str">
        <f aca="false">IF($A485="","",_xlfn.TEXTJOIN("; ",TRUE(),IF(CN485&lt;&gt;"pass","gated out",""),IF(AQ485="Y","on hold: "&amp;AR485,""),IF(C485="","no contact named on an opened page",""),IF(AND(AX485="Y",AV485&lt;&gt;"Y"),"Tuesday estimate band "&amp;L485&amp;": founder's call","")))</f>
        <v/>
      </c>
      <c r="BC485" s="0" t="str">
        <f aca="false">IF($A485="","",IFERROR(INDEX(Enrichment!$A$2:$GZ$2000,MATCH($A485,INDEX(Enrichment!$A$2:$GZ$2000,0,MATCH("row_id",Enrichment!$A$1:$GZ$1,0)),0),MATCH("work_email",Enrichment!$A$1:$GZ$1,0))&amp;"",""))</f>
        <v/>
      </c>
      <c r="BD485" s="0" t="str">
        <f aca="false">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Q485" s="0" t="str">
        <f aca="false">IF($A485="","",IFERROR(INDEX(Enrichment!$A$2:$GZ$2000,MATCH($A485,INDEX(Enrichment!$A$2:$GZ$2000,0,MATCH("row_id",Enrichment!$A$1:$GZ$1,0)),0),MATCH("backup_work_email",Enrichment!$A$1:$GZ$1,0))&amp;"",""))</f>
        <v/>
      </c>
      <c r="BR485" s="0" t="str">
        <f aca="false">IF($A485="","",IF(BQ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EQ485" s="0" t="str">
        <f aca="false">IF($A485="","",IF(AH485="exact",10,IF(AH485="adjacent",5,0)))</f>
        <v/>
      </c>
      <c r="ER485" s="0" t="str">
        <f aca="false">IF($A485="","",IF(R485="Y",15,0))</f>
        <v/>
      </c>
      <c r="FS485" s="0" t="str">
        <f aca="false">IF($A485="","",IF(ISNUMBER(MATCH(U485,{"queued","contacted","replied","call_booked","call_done","yes_in_principle","materials_sent"},0)),"Y","N"))</f>
        <v/>
      </c>
      <c r="FT485" s="0" t="str">
        <f aca="false">IF($A485="","",IF(OR(T485="Y",U485="do_not_contact",AS485&amp;""&lt;&gt;""),"Y","N"))</f>
        <v/>
      </c>
      <c r="FU485" s="0" t="str">
        <f aca="false">IF($A485="","",IF(AP485&amp;""&lt;&gt;"",AP485&amp;"",$A485))</f>
        <v/>
      </c>
      <c r="FV485" s="0" t="str">
        <f aca="false">IF($A485="","",IF(COUNTIFS($FU$2:$FU$1000,FU485,$FS$2:$FS$1000,"Y")+COUNTIFS($FU$2:$FU$1000,FU485,$FT$2:$FT$1000,"Y")&gt;0,"Y","N"))</f>
        <v/>
      </c>
      <c r="FW485" s="0" t="str">
        <f aca="false">IF($A485="","",IF(AND(U485="new",T485="N",FT485="N",AT485="Y",FV485="N"),"Y","N"))</f>
        <v/>
      </c>
      <c r="FX485" s="0" t="str">
        <f aca="false">IF($A485="","",IF(FW485&lt;&gt;"Y","N",IF(COUNTIFS($FU$2:$FU$1000,FU485,$FW$2:$FW$1000,"Y",$J$2:$J$1000,"&gt;"&amp;J485)+COUNTIFS($FU$2:$FU$1000,FU485,$FW$2:$FW$1000,"Y",$J$2:$J$1000,J485,$GD$2:$GD$1000,"&lt;"&amp;GD485)=0,"Y","N")))</f>
        <v/>
      </c>
      <c r="FY485" s="0" t="str">
        <f aca="false">IF($A485="","",IF(AND(FW485="Y",FX485="Y",Y485&amp;""&lt;&gt;""),IF(Y485&lt;=10,"Y","N"),"N"))</f>
        <v/>
      </c>
      <c r="FZ485" s="0" t="str">
        <f aca="false">IF(FY485="Y",Y485,"")</f>
        <v/>
      </c>
      <c r="GA485" s="0" t="str">
        <f aca="false">IF($A485="","",IF(AND(I485="walk-in",CN485="pass",U485="new",FT485="N",FV485="N",AQ485&lt;&gt;"Y"),"Y","N"))</f>
        <v/>
      </c>
      <c r="GB485" s="0" t="str">
        <f aca="false">IF(GA485&lt;&gt;"Y","",IF(COUNTIFS($GA$2:$GA$1000,"Y",$J$2:$J$1000,"&gt;"&amp;J485)+COUNTIFS($GA$2:$GA$1000,"Y",$J$2:$J$1000,J485,$GD$2:$GD$1000,"&lt;"&amp;GD485)+1&lt;=25,COUNTIFS($GA$2:$GA$1000,"Y",$J$2:$J$1000,"&gt;"&amp;J485)+COUNTIFS($GA$2:$GA$1000,"Y",$J$2:$J$1000,J485,$GD$2:$GD$1000,"&lt;"&amp;GD485)+1,""))</f>
        <v/>
      </c>
      <c r="GC485" s="0" t="str">
        <f aca="false">IF(AND(_xlfn.ISFORMULA(C485),_xlfn.ISFORMULA(J485)),"Y","N")</f>
        <v>Y</v>
      </c>
      <c r="GD485" s="0" t="n">
        <f aca="false">ROW()-1</f>
        <v>484</v>
      </c>
    </row>
    <row r="486" customFormat="false" ht="15" hidden="false" customHeight="false" outlineLevel="0" collapsed="false">
      <c r="C486" s="0" t="str">
        <f aca="false">IF($A486="","",IF(AW486="Y",BM486&amp;"",AY486&amp;""))</f>
        <v/>
      </c>
      <c r="D486" s="0" t="str">
        <f aca="false">IF($A486="","",IF(AW486="Y",BN486&amp;"",AZ486&amp;""))</f>
        <v/>
      </c>
      <c r="E486" s="0" t="str">
        <f aca="false">IF($A486="","",IF(AW486="Y",BO486&amp;"",BA486&amp;""))</f>
        <v/>
      </c>
      <c r="F486" s="0" t="str">
        <f aca="false">IF($A486="","",IF(AW486="Y",BP486&amp;"",BB486&amp;""))</f>
        <v/>
      </c>
      <c r="G486" s="0" t="str">
        <f aca="false">IF($A486="","",IF(AW486="Y",BQ486&amp;"",BC486&amp;""))</f>
        <v/>
      </c>
      <c r="H486" s="0" t="str">
        <f aca="false">IF($A486="","",IF(AW486="Y",BR486&amp;"",BD486&amp;""))</f>
        <v/>
      </c>
      <c r="I486" s="0" t="str">
        <f aca="false">IF($A486="","",IF(R486="Y","warm-intro",IF(H486="verified","email",IF(C486&lt;&gt;"","linkedin",CB486&amp;""))))</f>
        <v/>
      </c>
      <c r="J486" s="0" t="str">
        <f aca="false">IF($A486="","",IF(CN486="pass",ROUND(N(EM486)+N(EN486)+N(EO486)+N(EP486)+N(EQ486)+N(ER486),1),0))</f>
        <v/>
      </c>
      <c r="K486" s="0" t="str">
        <f aca="false">IF($A486="","",IF(CN486&lt;&gt;"pass",CA486&amp;"",CA486&amp;"; "&amp;IF(AW486="Y",BZ486&amp;"",BL486&amp;"")&amp;IF(R486="Y","; known to the founder (+15)","")&amp;"."))</f>
        <v/>
      </c>
      <c r="R486" s="5"/>
      <c r="U486" s="5"/>
      <c r="Y486" s="0" t="str">
        <f aca="false">IF(FX486&lt;&gt;"Y","",COUNTIFS($FX$2:$FX$1000,"Y",$J$2:$J$1000,"&gt;"&amp;J486)+COUNTIFS($FX$2:$FX$1000,"Y",$J$2:$J$1000,J486,$GD$2:$GD$1000,"&lt;"&amp;GD486)+1)</f>
        <v/>
      </c>
      <c r="AB486" s="0" t="str">
        <f aca="false">IF($A486="","",IF(AW486="Y",BY486&amp;"",BK486&amp;""))</f>
        <v/>
      </c>
      <c r="AC486" s="0" t="str">
        <f aca="false">IF($A486="","",IF(AW486="Y",BS486&amp;"",BE486&amp;""))</f>
        <v/>
      </c>
      <c r="AD486" s="0" t="str">
        <f aca="false">IF($A486="","",IF(AW486="Y",BT486&amp;"",BF486&amp;""))</f>
        <v/>
      </c>
      <c r="AE486" s="0" t="str">
        <f aca="false">IF($A486="","",IF(AW486="Y",BU486&amp;"",BG486&amp;""))</f>
        <v/>
      </c>
      <c r="AF486" s="0" t="str">
        <f aca="false">IF($A486="","",IF(AW486="Y",BV486&amp;"",BH486&amp;""))</f>
        <v/>
      </c>
      <c r="AG486" s="0" t="str">
        <f aca="false">IF($A486="","",IF(AW486="Y",BW486&amp;"",BI486&amp;""))</f>
        <v/>
      </c>
      <c r="AH486" s="0" t="str">
        <f aca="false">IF($A486="","",IF(AW486="Y",BX486&amp;"",BJ486&amp;""))</f>
        <v/>
      </c>
      <c r="AQ486" s="5"/>
      <c r="AT486" s="0" t="str">
        <f aca="false">IF($A486="","",IF(AND(CN486="pass",AQ486&lt;&gt;"Y",C486&lt;&gt;"",OR(AX486&lt;&gt;"Y",AV486="Y")),"Y","N"))</f>
        <v/>
      </c>
      <c r="AU486" s="0" t="str">
        <f aca="false">IF($A486="","",_xlfn.TEXTJOIN("; ",TRUE(),IF(CN486&lt;&gt;"pass","gated out",""),IF(AQ486="Y","on hold: "&amp;AR486,""),IF(C486="","no contact named on an opened page",""),IF(AND(AX486="Y",AV486&lt;&gt;"Y"),"Tuesday estimate band "&amp;L486&amp;": founder's call","")))</f>
        <v/>
      </c>
      <c r="BC486" s="0" t="str">
        <f aca="false">IF($A486="","",IFERROR(INDEX(Enrichment!$A$2:$GZ$2000,MATCH($A486,INDEX(Enrichment!$A$2:$GZ$2000,0,MATCH("row_id",Enrichment!$A$1:$GZ$1,0)),0),MATCH("work_email",Enrichment!$A$1:$GZ$1,0))&amp;"",""))</f>
        <v/>
      </c>
      <c r="BD486" s="0" t="str">
        <f aca="false">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Q486" s="0" t="str">
        <f aca="false">IF($A486="","",IFERROR(INDEX(Enrichment!$A$2:$GZ$2000,MATCH($A486,INDEX(Enrichment!$A$2:$GZ$2000,0,MATCH("row_id",Enrichment!$A$1:$GZ$1,0)),0),MATCH("backup_work_email",Enrichment!$A$1:$GZ$1,0))&amp;"",""))</f>
        <v/>
      </c>
      <c r="BR486" s="0" t="str">
        <f aca="false">IF($A486="","",IF(BQ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EQ486" s="0" t="str">
        <f aca="false">IF($A486="","",IF(AH486="exact",10,IF(AH486="adjacent",5,0)))</f>
        <v/>
      </c>
      <c r="ER486" s="0" t="str">
        <f aca="false">IF($A486="","",IF(R486="Y",15,0))</f>
        <v/>
      </c>
      <c r="FS486" s="0" t="str">
        <f aca="false">IF($A486="","",IF(ISNUMBER(MATCH(U486,{"queued","contacted","replied","call_booked","call_done","yes_in_principle","materials_sent"},0)),"Y","N"))</f>
        <v/>
      </c>
      <c r="FT486" s="0" t="str">
        <f aca="false">IF($A486="","",IF(OR(T486="Y",U486="do_not_contact",AS486&amp;""&lt;&gt;""),"Y","N"))</f>
        <v/>
      </c>
      <c r="FU486" s="0" t="str">
        <f aca="false">IF($A486="","",IF(AP486&amp;""&lt;&gt;"",AP486&amp;"",$A486))</f>
        <v/>
      </c>
      <c r="FV486" s="0" t="str">
        <f aca="false">IF($A486="","",IF(COUNTIFS($FU$2:$FU$1000,FU486,$FS$2:$FS$1000,"Y")+COUNTIFS($FU$2:$FU$1000,FU486,$FT$2:$FT$1000,"Y")&gt;0,"Y","N"))</f>
        <v/>
      </c>
      <c r="FW486" s="0" t="str">
        <f aca="false">IF($A486="","",IF(AND(U486="new",T486="N",FT486="N",AT486="Y",FV486="N"),"Y","N"))</f>
        <v/>
      </c>
      <c r="FX486" s="0" t="str">
        <f aca="false">IF($A486="","",IF(FW486&lt;&gt;"Y","N",IF(COUNTIFS($FU$2:$FU$1000,FU486,$FW$2:$FW$1000,"Y",$J$2:$J$1000,"&gt;"&amp;J486)+COUNTIFS($FU$2:$FU$1000,FU486,$FW$2:$FW$1000,"Y",$J$2:$J$1000,J486,$GD$2:$GD$1000,"&lt;"&amp;GD486)=0,"Y","N")))</f>
        <v/>
      </c>
      <c r="FY486" s="0" t="str">
        <f aca="false">IF($A486="","",IF(AND(FW486="Y",FX486="Y",Y486&amp;""&lt;&gt;""),IF(Y486&lt;=10,"Y","N"),"N"))</f>
        <v/>
      </c>
      <c r="FZ486" s="0" t="str">
        <f aca="false">IF(FY486="Y",Y486,"")</f>
        <v/>
      </c>
      <c r="GA486" s="0" t="str">
        <f aca="false">IF($A486="","",IF(AND(I486="walk-in",CN486="pass",U486="new",FT486="N",FV486="N",AQ486&lt;&gt;"Y"),"Y","N"))</f>
        <v/>
      </c>
      <c r="GB486" s="0" t="str">
        <f aca="false">IF(GA486&lt;&gt;"Y","",IF(COUNTIFS($GA$2:$GA$1000,"Y",$J$2:$J$1000,"&gt;"&amp;J486)+COUNTIFS($GA$2:$GA$1000,"Y",$J$2:$J$1000,J486,$GD$2:$GD$1000,"&lt;"&amp;GD486)+1&lt;=25,COUNTIFS($GA$2:$GA$1000,"Y",$J$2:$J$1000,"&gt;"&amp;J486)+COUNTIFS($GA$2:$GA$1000,"Y",$J$2:$J$1000,J486,$GD$2:$GD$1000,"&lt;"&amp;GD486)+1,""))</f>
        <v/>
      </c>
      <c r="GC486" s="0" t="str">
        <f aca="false">IF(AND(_xlfn.ISFORMULA(C486),_xlfn.ISFORMULA(J486)),"Y","N")</f>
        <v>Y</v>
      </c>
      <c r="GD486" s="0" t="n">
        <f aca="false">ROW()-1</f>
        <v>485</v>
      </c>
    </row>
    <row r="487" customFormat="false" ht="15" hidden="false" customHeight="false" outlineLevel="0" collapsed="false">
      <c r="C487" s="0" t="str">
        <f aca="false">IF($A487="","",IF(AW487="Y",BM487&amp;"",AY487&amp;""))</f>
        <v/>
      </c>
      <c r="D487" s="0" t="str">
        <f aca="false">IF($A487="","",IF(AW487="Y",BN487&amp;"",AZ487&amp;""))</f>
        <v/>
      </c>
      <c r="E487" s="0" t="str">
        <f aca="false">IF($A487="","",IF(AW487="Y",BO487&amp;"",BA487&amp;""))</f>
        <v/>
      </c>
      <c r="F487" s="0" t="str">
        <f aca="false">IF($A487="","",IF(AW487="Y",BP487&amp;"",BB487&amp;""))</f>
        <v/>
      </c>
      <c r="G487" s="0" t="str">
        <f aca="false">IF($A487="","",IF(AW487="Y",BQ487&amp;"",BC487&amp;""))</f>
        <v/>
      </c>
      <c r="H487" s="0" t="str">
        <f aca="false">IF($A487="","",IF(AW487="Y",BR487&amp;"",BD487&amp;""))</f>
        <v/>
      </c>
      <c r="I487" s="0" t="str">
        <f aca="false">IF($A487="","",IF(R487="Y","warm-intro",IF(H487="verified","email",IF(C487&lt;&gt;"","linkedin",CB487&amp;""))))</f>
        <v/>
      </c>
      <c r="J487" s="0" t="str">
        <f aca="false">IF($A487="","",IF(CN487="pass",ROUND(N(EM487)+N(EN487)+N(EO487)+N(EP487)+N(EQ487)+N(ER487),1),0))</f>
        <v/>
      </c>
      <c r="K487" s="0" t="str">
        <f aca="false">IF($A487="","",IF(CN487&lt;&gt;"pass",CA487&amp;"",CA487&amp;"; "&amp;IF(AW487="Y",BZ487&amp;"",BL487&amp;"")&amp;IF(R487="Y","; known to the founder (+15)","")&amp;"."))</f>
        <v/>
      </c>
      <c r="R487" s="5"/>
      <c r="U487" s="5"/>
      <c r="Y487" s="0" t="str">
        <f aca="false">IF(FX487&lt;&gt;"Y","",COUNTIFS($FX$2:$FX$1000,"Y",$J$2:$J$1000,"&gt;"&amp;J487)+COUNTIFS($FX$2:$FX$1000,"Y",$J$2:$J$1000,J487,$GD$2:$GD$1000,"&lt;"&amp;GD487)+1)</f>
        <v/>
      </c>
      <c r="AB487" s="0" t="str">
        <f aca="false">IF($A487="","",IF(AW487="Y",BY487&amp;"",BK487&amp;""))</f>
        <v/>
      </c>
      <c r="AC487" s="0" t="str">
        <f aca="false">IF($A487="","",IF(AW487="Y",BS487&amp;"",BE487&amp;""))</f>
        <v/>
      </c>
      <c r="AD487" s="0" t="str">
        <f aca="false">IF($A487="","",IF(AW487="Y",BT487&amp;"",BF487&amp;""))</f>
        <v/>
      </c>
      <c r="AE487" s="0" t="str">
        <f aca="false">IF($A487="","",IF(AW487="Y",BU487&amp;"",BG487&amp;""))</f>
        <v/>
      </c>
      <c r="AF487" s="0" t="str">
        <f aca="false">IF($A487="","",IF(AW487="Y",BV487&amp;"",BH487&amp;""))</f>
        <v/>
      </c>
      <c r="AG487" s="0" t="str">
        <f aca="false">IF($A487="","",IF(AW487="Y",BW487&amp;"",BI487&amp;""))</f>
        <v/>
      </c>
      <c r="AH487" s="0" t="str">
        <f aca="false">IF($A487="","",IF(AW487="Y",BX487&amp;"",BJ487&amp;""))</f>
        <v/>
      </c>
      <c r="AQ487" s="5"/>
      <c r="AT487" s="0" t="str">
        <f aca="false">IF($A487="","",IF(AND(CN487="pass",AQ487&lt;&gt;"Y",C487&lt;&gt;"",OR(AX487&lt;&gt;"Y",AV487="Y")),"Y","N"))</f>
        <v/>
      </c>
      <c r="AU487" s="0" t="str">
        <f aca="false">IF($A487="","",_xlfn.TEXTJOIN("; ",TRUE(),IF(CN487&lt;&gt;"pass","gated out",""),IF(AQ487="Y","on hold: "&amp;AR487,""),IF(C487="","no contact named on an opened page",""),IF(AND(AX487="Y",AV487&lt;&gt;"Y"),"Tuesday estimate band "&amp;L487&amp;": founder's call","")))</f>
        <v/>
      </c>
      <c r="BC487" s="0" t="str">
        <f aca="false">IF($A487="","",IFERROR(INDEX(Enrichment!$A$2:$GZ$2000,MATCH($A487,INDEX(Enrichment!$A$2:$GZ$2000,0,MATCH("row_id",Enrichment!$A$1:$GZ$1,0)),0),MATCH("work_email",Enrichment!$A$1:$GZ$1,0))&amp;"",""))</f>
        <v/>
      </c>
      <c r="BD487" s="0" t="str">
        <f aca="false">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Q487" s="0" t="str">
        <f aca="false">IF($A487="","",IFERROR(INDEX(Enrichment!$A$2:$GZ$2000,MATCH($A487,INDEX(Enrichment!$A$2:$GZ$2000,0,MATCH("row_id",Enrichment!$A$1:$GZ$1,0)),0),MATCH("backup_work_email",Enrichment!$A$1:$GZ$1,0))&amp;"",""))</f>
        <v/>
      </c>
      <c r="BR487" s="0" t="str">
        <f aca="false">IF($A487="","",IF(BQ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EQ487" s="0" t="str">
        <f aca="false">IF($A487="","",IF(AH487="exact",10,IF(AH487="adjacent",5,0)))</f>
        <v/>
      </c>
      <c r="ER487" s="0" t="str">
        <f aca="false">IF($A487="","",IF(R487="Y",15,0))</f>
        <v/>
      </c>
      <c r="FS487" s="0" t="str">
        <f aca="false">IF($A487="","",IF(ISNUMBER(MATCH(U487,{"queued","contacted","replied","call_booked","call_done","yes_in_principle","materials_sent"},0)),"Y","N"))</f>
        <v/>
      </c>
      <c r="FT487" s="0" t="str">
        <f aca="false">IF($A487="","",IF(OR(T487="Y",U487="do_not_contact",AS487&amp;""&lt;&gt;""),"Y","N"))</f>
        <v/>
      </c>
      <c r="FU487" s="0" t="str">
        <f aca="false">IF($A487="","",IF(AP487&amp;""&lt;&gt;"",AP487&amp;"",$A487))</f>
        <v/>
      </c>
      <c r="FV487" s="0" t="str">
        <f aca="false">IF($A487="","",IF(COUNTIFS($FU$2:$FU$1000,FU487,$FS$2:$FS$1000,"Y")+COUNTIFS($FU$2:$FU$1000,FU487,$FT$2:$FT$1000,"Y")&gt;0,"Y","N"))</f>
        <v/>
      </c>
      <c r="FW487" s="0" t="str">
        <f aca="false">IF($A487="","",IF(AND(U487="new",T487="N",FT487="N",AT487="Y",FV487="N"),"Y","N"))</f>
        <v/>
      </c>
      <c r="FX487" s="0" t="str">
        <f aca="false">IF($A487="","",IF(FW487&lt;&gt;"Y","N",IF(COUNTIFS($FU$2:$FU$1000,FU487,$FW$2:$FW$1000,"Y",$J$2:$J$1000,"&gt;"&amp;J487)+COUNTIFS($FU$2:$FU$1000,FU487,$FW$2:$FW$1000,"Y",$J$2:$J$1000,J487,$GD$2:$GD$1000,"&lt;"&amp;GD487)=0,"Y","N")))</f>
        <v/>
      </c>
      <c r="FY487" s="0" t="str">
        <f aca="false">IF($A487="","",IF(AND(FW487="Y",FX487="Y",Y487&amp;""&lt;&gt;""),IF(Y487&lt;=10,"Y","N"),"N"))</f>
        <v/>
      </c>
      <c r="FZ487" s="0" t="str">
        <f aca="false">IF(FY487="Y",Y487,"")</f>
        <v/>
      </c>
      <c r="GA487" s="0" t="str">
        <f aca="false">IF($A487="","",IF(AND(I487="walk-in",CN487="pass",U487="new",FT487="N",FV487="N",AQ487&lt;&gt;"Y"),"Y","N"))</f>
        <v/>
      </c>
      <c r="GB487" s="0" t="str">
        <f aca="false">IF(GA487&lt;&gt;"Y","",IF(COUNTIFS($GA$2:$GA$1000,"Y",$J$2:$J$1000,"&gt;"&amp;J487)+COUNTIFS($GA$2:$GA$1000,"Y",$J$2:$J$1000,J487,$GD$2:$GD$1000,"&lt;"&amp;GD487)+1&lt;=25,COUNTIFS($GA$2:$GA$1000,"Y",$J$2:$J$1000,"&gt;"&amp;J487)+COUNTIFS($GA$2:$GA$1000,"Y",$J$2:$J$1000,J487,$GD$2:$GD$1000,"&lt;"&amp;GD487)+1,""))</f>
        <v/>
      </c>
      <c r="GC487" s="0" t="str">
        <f aca="false">IF(AND(_xlfn.ISFORMULA(C487),_xlfn.ISFORMULA(J487)),"Y","N")</f>
        <v>Y</v>
      </c>
      <c r="GD487" s="0" t="n">
        <f aca="false">ROW()-1</f>
        <v>486</v>
      </c>
    </row>
    <row r="488" customFormat="false" ht="15" hidden="false" customHeight="false" outlineLevel="0" collapsed="false">
      <c r="C488" s="0" t="str">
        <f aca="false">IF($A488="","",IF(AW488="Y",BM488&amp;"",AY488&amp;""))</f>
        <v/>
      </c>
      <c r="D488" s="0" t="str">
        <f aca="false">IF($A488="","",IF(AW488="Y",BN488&amp;"",AZ488&amp;""))</f>
        <v/>
      </c>
      <c r="E488" s="0" t="str">
        <f aca="false">IF($A488="","",IF(AW488="Y",BO488&amp;"",BA488&amp;""))</f>
        <v/>
      </c>
      <c r="F488" s="0" t="str">
        <f aca="false">IF($A488="","",IF(AW488="Y",BP488&amp;"",BB488&amp;""))</f>
        <v/>
      </c>
      <c r="G488" s="0" t="str">
        <f aca="false">IF($A488="","",IF(AW488="Y",BQ488&amp;"",BC488&amp;""))</f>
        <v/>
      </c>
      <c r="H488" s="0" t="str">
        <f aca="false">IF($A488="","",IF(AW488="Y",BR488&amp;"",BD488&amp;""))</f>
        <v/>
      </c>
      <c r="I488" s="0" t="str">
        <f aca="false">IF($A488="","",IF(R488="Y","warm-intro",IF(H488="verified","email",IF(C488&lt;&gt;"","linkedin",CB488&amp;""))))</f>
        <v/>
      </c>
      <c r="J488" s="0" t="str">
        <f aca="false">IF($A488="","",IF(CN488="pass",ROUND(N(EM488)+N(EN488)+N(EO488)+N(EP488)+N(EQ488)+N(ER488),1),0))</f>
        <v/>
      </c>
      <c r="K488" s="0" t="str">
        <f aca="false">IF($A488="","",IF(CN488&lt;&gt;"pass",CA488&amp;"",CA488&amp;"; "&amp;IF(AW488="Y",BZ488&amp;"",BL488&amp;"")&amp;IF(R488="Y","; known to the founder (+15)","")&amp;"."))</f>
        <v/>
      </c>
      <c r="R488" s="5"/>
      <c r="U488" s="5"/>
      <c r="Y488" s="0" t="str">
        <f aca="false">IF(FX488&lt;&gt;"Y","",COUNTIFS($FX$2:$FX$1000,"Y",$J$2:$J$1000,"&gt;"&amp;J488)+COUNTIFS($FX$2:$FX$1000,"Y",$J$2:$J$1000,J488,$GD$2:$GD$1000,"&lt;"&amp;GD488)+1)</f>
        <v/>
      </c>
      <c r="AB488" s="0" t="str">
        <f aca="false">IF($A488="","",IF(AW488="Y",BY488&amp;"",BK488&amp;""))</f>
        <v/>
      </c>
      <c r="AC488" s="0" t="str">
        <f aca="false">IF($A488="","",IF(AW488="Y",BS488&amp;"",BE488&amp;""))</f>
        <v/>
      </c>
      <c r="AD488" s="0" t="str">
        <f aca="false">IF($A488="","",IF(AW488="Y",BT488&amp;"",BF488&amp;""))</f>
        <v/>
      </c>
      <c r="AE488" s="0" t="str">
        <f aca="false">IF($A488="","",IF(AW488="Y",BU488&amp;"",BG488&amp;""))</f>
        <v/>
      </c>
      <c r="AF488" s="0" t="str">
        <f aca="false">IF($A488="","",IF(AW488="Y",BV488&amp;"",BH488&amp;""))</f>
        <v/>
      </c>
      <c r="AG488" s="0" t="str">
        <f aca="false">IF($A488="","",IF(AW488="Y",BW488&amp;"",BI488&amp;""))</f>
        <v/>
      </c>
      <c r="AH488" s="0" t="str">
        <f aca="false">IF($A488="","",IF(AW488="Y",BX488&amp;"",BJ488&amp;""))</f>
        <v/>
      </c>
      <c r="AQ488" s="5"/>
      <c r="AT488" s="0" t="str">
        <f aca="false">IF($A488="","",IF(AND(CN488="pass",AQ488&lt;&gt;"Y",C488&lt;&gt;"",OR(AX488&lt;&gt;"Y",AV488="Y")),"Y","N"))</f>
        <v/>
      </c>
      <c r="AU488" s="0" t="str">
        <f aca="false">IF($A488="","",_xlfn.TEXTJOIN("; ",TRUE(),IF(CN488&lt;&gt;"pass","gated out",""),IF(AQ488="Y","on hold: "&amp;AR488,""),IF(C488="","no contact named on an opened page",""),IF(AND(AX488="Y",AV488&lt;&gt;"Y"),"Tuesday estimate band "&amp;L488&amp;": founder's call","")))</f>
        <v/>
      </c>
      <c r="BC488" s="0" t="str">
        <f aca="false">IF($A488="","",IFERROR(INDEX(Enrichment!$A$2:$GZ$2000,MATCH($A488,INDEX(Enrichment!$A$2:$GZ$2000,0,MATCH("row_id",Enrichment!$A$1:$GZ$1,0)),0),MATCH("work_email",Enrichment!$A$1:$GZ$1,0))&amp;"",""))</f>
        <v/>
      </c>
      <c r="BD488" s="0" t="str">
        <f aca="false">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Q488" s="0" t="str">
        <f aca="false">IF($A488="","",IFERROR(INDEX(Enrichment!$A$2:$GZ$2000,MATCH($A488,INDEX(Enrichment!$A$2:$GZ$2000,0,MATCH("row_id",Enrichment!$A$1:$GZ$1,0)),0),MATCH("backup_work_email",Enrichment!$A$1:$GZ$1,0))&amp;"",""))</f>
        <v/>
      </c>
      <c r="BR488" s="0" t="str">
        <f aca="false">IF($A488="","",IF(BQ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EQ488" s="0" t="str">
        <f aca="false">IF($A488="","",IF(AH488="exact",10,IF(AH488="adjacent",5,0)))</f>
        <v/>
      </c>
      <c r="ER488" s="0" t="str">
        <f aca="false">IF($A488="","",IF(R488="Y",15,0))</f>
        <v/>
      </c>
      <c r="FS488" s="0" t="str">
        <f aca="false">IF($A488="","",IF(ISNUMBER(MATCH(U488,{"queued","contacted","replied","call_booked","call_done","yes_in_principle","materials_sent"},0)),"Y","N"))</f>
        <v/>
      </c>
      <c r="FT488" s="0" t="str">
        <f aca="false">IF($A488="","",IF(OR(T488="Y",U488="do_not_contact",AS488&amp;""&lt;&gt;""),"Y","N"))</f>
        <v/>
      </c>
      <c r="FU488" s="0" t="str">
        <f aca="false">IF($A488="","",IF(AP488&amp;""&lt;&gt;"",AP488&amp;"",$A488))</f>
        <v/>
      </c>
      <c r="FV488" s="0" t="str">
        <f aca="false">IF($A488="","",IF(COUNTIFS($FU$2:$FU$1000,FU488,$FS$2:$FS$1000,"Y")+COUNTIFS($FU$2:$FU$1000,FU488,$FT$2:$FT$1000,"Y")&gt;0,"Y","N"))</f>
        <v/>
      </c>
      <c r="FW488" s="0" t="str">
        <f aca="false">IF($A488="","",IF(AND(U488="new",T488="N",FT488="N",AT488="Y",FV488="N"),"Y","N"))</f>
        <v/>
      </c>
      <c r="FX488" s="0" t="str">
        <f aca="false">IF($A488="","",IF(FW488&lt;&gt;"Y","N",IF(COUNTIFS($FU$2:$FU$1000,FU488,$FW$2:$FW$1000,"Y",$J$2:$J$1000,"&gt;"&amp;J488)+COUNTIFS($FU$2:$FU$1000,FU488,$FW$2:$FW$1000,"Y",$J$2:$J$1000,J488,$GD$2:$GD$1000,"&lt;"&amp;GD488)=0,"Y","N")))</f>
        <v/>
      </c>
      <c r="FY488" s="0" t="str">
        <f aca="false">IF($A488="","",IF(AND(FW488="Y",FX488="Y",Y488&amp;""&lt;&gt;""),IF(Y488&lt;=10,"Y","N"),"N"))</f>
        <v/>
      </c>
      <c r="FZ488" s="0" t="str">
        <f aca="false">IF(FY488="Y",Y488,"")</f>
        <v/>
      </c>
      <c r="GA488" s="0" t="str">
        <f aca="false">IF($A488="","",IF(AND(I488="walk-in",CN488="pass",U488="new",FT488="N",FV488="N",AQ488&lt;&gt;"Y"),"Y","N"))</f>
        <v/>
      </c>
      <c r="GB488" s="0" t="str">
        <f aca="false">IF(GA488&lt;&gt;"Y","",IF(COUNTIFS($GA$2:$GA$1000,"Y",$J$2:$J$1000,"&gt;"&amp;J488)+COUNTIFS($GA$2:$GA$1000,"Y",$J$2:$J$1000,J488,$GD$2:$GD$1000,"&lt;"&amp;GD488)+1&lt;=25,COUNTIFS($GA$2:$GA$1000,"Y",$J$2:$J$1000,"&gt;"&amp;J488)+COUNTIFS($GA$2:$GA$1000,"Y",$J$2:$J$1000,J488,$GD$2:$GD$1000,"&lt;"&amp;GD488)+1,""))</f>
        <v/>
      </c>
      <c r="GC488" s="0" t="str">
        <f aca="false">IF(AND(_xlfn.ISFORMULA(C488),_xlfn.ISFORMULA(J488)),"Y","N")</f>
        <v>Y</v>
      </c>
      <c r="GD488" s="0" t="n">
        <f aca="false">ROW()-1</f>
        <v>487</v>
      </c>
    </row>
    <row r="489" customFormat="false" ht="15" hidden="false" customHeight="false" outlineLevel="0" collapsed="false">
      <c r="C489" s="0" t="str">
        <f aca="false">IF($A489="","",IF(AW489="Y",BM489&amp;"",AY489&amp;""))</f>
        <v/>
      </c>
      <c r="D489" s="0" t="str">
        <f aca="false">IF($A489="","",IF(AW489="Y",BN489&amp;"",AZ489&amp;""))</f>
        <v/>
      </c>
      <c r="E489" s="0" t="str">
        <f aca="false">IF($A489="","",IF(AW489="Y",BO489&amp;"",BA489&amp;""))</f>
        <v/>
      </c>
      <c r="F489" s="0" t="str">
        <f aca="false">IF($A489="","",IF(AW489="Y",BP489&amp;"",BB489&amp;""))</f>
        <v/>
      </c>
      <c r="G489" s="0" t="str">
        <f aca="false">IF($A489="","",IF(AW489="Y",BQ489&amp;"",BC489&amp;""))</f>
        <v/>
      </c>
      <c r="H489" s="0" t="str">
        <f aca="false">IF($A489="","",IF(AW489="Y",BR489&amp;"",BD489&amp;""))</f>
        <v/>
      </c>
      <c r="I489" s="0" t="str">
        <f aca="false">IF($A489="","",IF(R489="Y","warm-intro",IF(H489="verified","email",IF(C489&lt;&gt;"","linkedin",CB489&amp;""))))</f>
        <v/>
      </c>
      <c r="J489" s="0" t="str">
        <f aca="false">IF($A489="","",IF(CN489="pass",ROUND(N(EM489)+N(EN489)+N(EO489)+N(EP489)+N(EQ489)+N(ER489),1),0))</f>
        <v/>
      </c>
      <c r="K489" s="0" t="str">
        <f aca="false">IF($A489="","",IF(CN489&lt;&gt;"pass",CA489&amp;"",CA489&amp;"; "&amp;IF(AW489="Y",BZ489&amp;"",BL489&amp;"")&amp;IF(R489="Y","; known to the founder (+15)","")&amp;"."))</f>
        <v/>
      </c>
      <c r="R489" s="5"/>
      <c r="U489" s="5"/>
      <c r="Y489" s="0" t="str">
        <f aca="false">IF(FX489&lt;&gt;"Y","",COUNTIFS($FX$2:$FX$1000,"Y",$J$2:$J$1000,"&gt;"&amp;J489)+COUNTIFS($FX$2:$FX$1000,"Y",$J$2:$J$1000,J489,$GD$2:$GD$1000,"&lt;"&amp;GD489)+1)</f>
        <v/>
      </c>
      <c r="AB489" s="0" t="str">
        <f aca="false">IF($A489="","",IF(AW489="Y",BY489&amp;"",BK489&amp;""))</f>
        <v/>
      </c>
      <c r="AC489" s="0" t="str">
        <f aca="false">IF($A489="","",IF(AW489="Y",BS489&amp;"",BE489&amp;""))</f>
        <v/>
      </c>
      <c r="AD489" s="0" t="str">
        <f aca="false">IF($A489="","",IF(AW489="Y",BT489&amp;"",BF489&amp;""))</f>
        <v/>
      </c>
      <c r="AE489" s="0" t="str">
        <f aca="false">IF($A489="","",IF(AW489="Y",BU489&amp;"",BG489&amp;""))</f>
        <v/>
      </c>
      <c r="AF489" s="0" t="str">
        <f aca="false">IF($A489="","",IF(AW489="Y",BV489&amp;"",BH489&amp;""))</f>
        <v/>
      </c>
      <c r="AG489" s="0" t="str">
        <f aca="false">IF($A489="","",IF(AW489="Y",BW489&amp;"",BI489&amp;""))</f>
        <v/>
      </c>
      <c r="AH489" s="0" t="str">
        <f aca="false">IF($A489="","",IF(AW489="Y",BX489&amp;"",BJ489&amp;""))</f>
        <v/>
      </c>
      <c r="AQ489" s="5"/>
      <c r="AT489" s="0" t="str">
        <f aca="false">IF($A489="","",IF(AND(CN489="pass",AQ489&lt;&gt;"Y",C489&lt;&gt;"",OR(AX489&lt;&gt;"Y",AV489="Y")),"Y","N"))</f>
        <v/>
      </c>
      <c r="AU489" s="0" t="str">
        <f aca="false">IF($A489="","",_xlfn.TEXTJOIN("; ",TRUE(),IF(CN489&lt;&gt;"pass","gated out",""),IF(AQ489="Y","on hold: "&amp;AR489,""),IF(C489="","no contact named on an opened page",""),IF(AND(AX489="Y",AV489&lt;&gt;"Y"),"Tuesday estimate band "&amp;L489&amp;": founder's call","")))</f>
        <v/>
      </c>
      <c r="BC489" s="0" t="str">
        <f aca="false">IF($A489="","",IFERROR(INDEX(Enrichment!$A$2:$GZ$2000,MATCH($A489,INDEX(Enrichment!$A$2:$GZ$2000,0,MATCH("row_id",Enrichment!$A$1:$GZ$1,0)),0),MATCH("work_email",Enrichment!$A$1:$GZ$1,0))&amp;"",""))</f>
        <v/>
      </c>
      <c r="BD489" s="0" t="str">
        <f aca="false">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Q489" s="0" t="str">
        <f aca="false">IF($A489="","",IFERROR(INDEX(Enrichment!$A$2:$GZ$2000,MATCH($A489,INDEX(Enrichment!$A$2:$GZ$2000,0,MATCH("row_id",Enrichment!$A$1:$GZ$1,0)),0),MATCH("backup_work_email",Enrichment!$A$1:$GZ$1,0))&amp;"",""))</f>
        <v/>
      </c>
      <c r="BR489" s="0" t="str">
        <f aca="false">IF($A489="","",IF(BQ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EQ489" s="0" t="str">
        <f aca="false">IF($A489="","",IF(AH489="exact",10,IF(AH489="adjacent",5,0)))</f>
        <v/>
      </c>
      <c r="ER489" s="0" t="str">
        <f aca="false">IF($A489="","",IF(R489="Y",15,0))</f>
        <v/>
      </c>
      <c r="FS489" s="0" t="str">
        <f aca="false">IF($A489="","",IF(ISNUMBER(MATCH(U489,{"queued","contacted","replied","call_booked","call_done","yes_in_principle","materials_sent"},0)),"Y","N"))</f>
        <v/>
      </c>
      <c r="FT489" s="0" t="str">
        <f aca="false">IF($A489="","",IF(OR(T489="Y",U489="do_not_contact",AS489&amp;""&lt;&gt;""),"Y","N"))</f>
        <v/>
      </c>
      <c r="FU489" s="0" t="str">
        <f aca="false">IF($A489="","",IF(AP489&amp;""&lt;&gt;"",AP489&amp;"",$A489))</f>
        <v/>
      </c>
      <c r="FV489" s="0" t="str">
        <f aca="false">IF($A489="","",IF(COUNTIFS($FU$2:$FU$1000,FU489,$FS$2:$FS$1000,"Y")+COUNTIFS($FU$2:$FU$1000,FU489,$FT$2:$FT$1000,"Y")&gt;0,"Y","N"))</f>
        <v/>
      </c>
      <c r="FW489" s="0" t="str">
        <f aca="false">IF($A489="","",IF(AND(U489="new",T489="N",FT489="N",AT489="Y",FV489="N"),"Y","N"))</f>
        <v/>
      </c>
      <c r="FX489" s="0" t="str">
        <f aca="false">IF($A489="","",IF(FW489&lt;&gt;"Y","N",IF(COUNTIFS($FU$2:$FU$1000,FU489,$FW$2:$FW$1000,"Y",$J$2:$J$1000,"&gt;"&amp;J489)+COUNTIFS($FU$2:$FU$1000,FU489,$FW$2:$FW$1000,"Y",$J$2:$J$1000,J489,$GD$2:$GD$1000,"&lt;"&amp;GD489)=0,"Y","N")))</f>
        <v/>
      </c>
      <c r="FY489" s="0" t="str">
        <f aca="false">IF($A489="","",IF(AND(FW489="Y",FX489="Y",Y489&amp;""&lt;&gt;""),IF(Y489&lt;=10,"Y","N"),"N"))</f>
        <v/>
      </c>
      <c r="FZ489" s="0" t="str">
        <f aca="false">IF(FY489="Y",Y489,"")</f>
        <v/>
      </c>
      <c r="GA489" s="0" t="str">
        <f aca="false">IF($A489="","",IF(AND(I489="walk-in",CN489="pass",U489="new",FT489="N",FV489="N",AQ489&lt;&gt;"Y"),"Y","N"))</f>
        <v/>
      </c>
      <c r="GB489" s="0" t="str">
        <f aca="false">IF(GA489&lt;&gt;"Y","",IF(COUNTIFS($GA$2:$GA$1000,"Y",$J$2:$J$1000,"&gt;"&amp;J489)+COUNTIFS($GA$2:$GA$1000,"Y",$J$2:$J$1000,J489,$GD$2:$GD$1000,"&lt;"&amp;GD489)+1&lt;=25,COUNTIFS($GA$2:$GA$1000,"Y",$J$2:$J$1000,"&gt;"&amp;J489)+COUNTIFS($GA$2:$GA$1000,"Y",$J$2:$J$1000,J489,$GD$2:$GD$1000,"&lt;"&amp;GD489)+1,""))</f>
        <v/>
      </c>
      <c r="GC489" s="0" t="str">
        <f aca="false">IF(AND(_xlfn.ISFORMULA(C489),_xlfn.ISFORMULA(J489)),"Y","N")</f>
        <v>Y</v>
      </c>
      <c r="GD489" s="0" t="n">
        <f aca="false">ROW()-1</f>
        <v>488</v>
      </c>
    </row>
    <row r="490" customFormat="false" ht="15" hidden="false" customHeight="false" outlineLevel="0" collapsed="false">
      <c r="C490" s="0" t="str">
        <f aca="false">IF($A490="","",IF(AW490="Y",BM490&amp;"",AY490&amp;""))</f>
        <v/>
      </c>
      <c r="D490" s="0" t="str">
        <f aca="false">IF($A490="","",IF(AW490="Y",BN490&amp;"",AZ490&amp;""))</f>
        <v/>
      </c>
      <c r="E490" s="0" t="str">
        <f aca="false">IF($A490="","",IF(AW490="Y",BO490&amp;"",BA490&amp;""))</f>
        <v/>
      </c>
      <c r="F490" s="0" t="str">
        <f aca="false">IF($A490="","",IF(AW490="Y",BP490&amp;"",BB490&amp;""))</f>
        <v/>
      </c>
      <c r="G490" s="0" t="str">
        <f aca="false">IF($A490="","",IF(AW490="Y",BQ490&amp;"",BC490&amp;""))</f>
        <v/>
      </c>
      <c r="H490" s="0" t="str">
        <f aca="false">IF($A490="","",IF(AW490="Y",BR490&amp;"",BD490&amp;""))</f>
        <v/>
      </c>
      <c r="I490" s="0" t="str">
        <f aca="false">IF($A490="","",IF(R490="Y","warm-intro",IF(H490="verified","email",IF(C490&lt;&gt;"","linkedin",CB490&amp;""))))</f>
        <v/>
      </c>
      <c r="J490" s="0" t="str">
        <f aca="false">IF($A490="","",IF(CN490="pass",ROUND(N(EM490)+N(EN490)+N(EO490)+N(EP490)+N(EQ490)+N(ER490),1),0))</f>
        <v/>
      </c>
      <c r="K490" s="0" t="str">
        <f aca="false">IF($A490="","",IF(CN490&lt;&gt;"pass",CA490&amp;"",CA490&amp;"; "&amp;IF(AW490="Y",BZ490&amp;"",BL490&amp;"")&amp;IF(R490="Y","; known to the founder (+15)","")&amp;"."))</f>
        <v/>
      </c>
      <c r="R490" s="5"/>
      <c r="U490" s="5"/>
      <c r="Y490" s="0" t="str">
        <f aca="false">IF(FX490&lt;&gt;"Y","",COUNTIFS($FX$2:$FX$1000,"Y",$J$2:$J$1000,"&gt;"&amp;J490)+COUNTIFS($FX$2:$FX$1000,"Y",$J$2:$J$1000,J490,$GD$2:$GD$1000,"&lt;"&amp;GD490)+1)</f>
        <v/>
      </c>
      <c r="AB490" s="0" t="str">
        <f aca="false">IF($A490="","",IF(AW490="Y",BY490&amp;"",BK490&amp;""))</f>
        <v/>
      </c>
      <c r="AC490" s="0" t="str">
        <f aca="false">IF($A490="","",IF(AW490="Y",BS490&amp;"",BE490&amp;""))</f>
        <v/>
      </c>
      <c r="AD490" s="0" t="str">
        <f aca="false">IF($A490="","",IF(AW490="Y",BT490&amp;"",BF490&amp;""))</f>
        <v/>
      </c>
      <c r="AE490" s="0" t="str">
        <f aca="false">IF($A490="","",IF(AW490="Y",BU490&amp;"",BG490&amp;""))</f>
        <v/>
      </c>
      <c r="AF490" s="0" t="str">
        <f aca="false">IF($A490="","",IF(AW490="Y",BV490&amp;"",BH490&amp;""))</f>
        <v/>
      </c>
      <c r="AG490" s="0" t="str">
        <f aca="false">IF($A490="","",IF(AW490="Y",BW490&amp;"",BI490&amp;""))</f>
        <v/>
      </c>
      <c r="AH490" s="0" t="str">
        <f aca="false">IF($A490="","",IF(AW490="Y",BX490&amp;"",BJ490&amp;""))</f>
        <v/>
      </c>
      <c r="AQ490" s="5"/>
      <c r="AT490" s="0" t="str">
        <f aca="false">IF($A490="","",IF(AND(CN490="pass",AQ490&lt;&gt;"Y",C490&lt;&gt;"",OR(AX490&lt;&gt;"Y",AV490="Y")),"Y","N"))</f>
        <v/>
      </c>
      <c r="AU490" s="0" t="str">
        <f aca="false">IF($A490="","",_xlfn.TEXTJOIN("; ",TRUE(),IF(CN490&lt;&gt;"pass","gated out",""),IF(AQ490="Y","on hold: "&amp;AR490,""),IF(C490="","no contact named on an opened page",""),IF(AND(AX490="Y",AV490&lt;&gt;"Y"),"Tuesday estimate band "&amp;L490&amp;": founder's call","")))</f>
        <v/>
      </c>
      <c r="BC490" s="0" t="str">
        <f aca="false">IF($A490="","",IFERROR(INDEX(Enrichment!$A$2:$GZ$2000,MATCH($A490,INDEX(Enrichment!$A$2:$GZ$2000,0,MATCH("row_id",Enrichment!$A$1:$GZ$1,0)),0),MATCH("work_email",Enrichment!$A$1:$GZ$1,0))&amp;"",""))</f>
        <v/>
      </c>
      <c r="BD490" s="0" t="str">
        <f aca="false">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Q490" s="0" t="str">
        <f aca="false">IF($A490="","",IFERROR(INDEX(Enrichment!$A$2:$GZ$2000,MATCH($A490,INDEX(Enrichment!$A$2:$GZ$2000,0,MATCH("row_id",Enrichment!$A$1:$GZ$1,0)),0),MATCH("backup_work_email",Enrichment!$A$1:$GZ$1,0))&amp;"",""))</f>
        <v/>
      </c>
      <c r="BR490" s="0" t="str">
        <f aca="false">IF($A490="","",IF(BQ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EQ490" s="0" t="str">
        <f aca="false">IF($A490="","",IF(AH490="exact",10,IF(AH490="adjacent",5,0)))</f>
        <v/>
      </c>
      <c r="ER490" s="0" t="str">
        <f aca="false">IF($A490="","",IF(R490="Y",15,0))</f>
        <v/>
      </c>
      <c r="FS490" s="0" t="str">
        <f aca="false">IF($A490="","",IF(ISNUMBER(MATCH(U490,{"queued","contacted","replied","call_booked","call_done","yes_in_principle","materials_sent"},0)),"Y","N"))</f>
        <v/>
      </c>
      <c r="FT490" s="0" t="str">
        <f aca="false">IF($A490="","",IF(OR(T490="Y",U490="do_not_contact",AS490&amp;""&lt;&gt;""),"Y","N"))</f>
        <v/>
      </c>
      <c r="FU490" s="0" t="str">
        <f aca="false">IF($A490="","",IF(AP490&amp;""&lt;&gt;"",AP490&amp;"",$A490))</f>
        <v/>
      </c>
      <c r="FV490" s="0" t="str">
        <f aca="false">IF($A490="","",IF(COUNTIFS($FU$2:$FU$1000,FU490,$FS$2:$FS$1000,"Y")+COUNTIFS($FU$2:$FU$1000,FU490,$FT$2:$FT$1000,"Y")&gt;0,"Y","N"))</f>
        <v/>
      </c>
      <c r="FW490" s="0" t="str">
        <f aca="false">IF($A490="","",IF(AND(U490="new",T490="N",FT490="N",AT490="Y",FV490="N"),"Y","N"))</f>
        <v/>
      </c>
      <c r="FX490" s="0" t="str">
        <f aca="false">IF($A490="","",IF(FW490&lt;&gt;"Y","N",IF(COUNTIFS($FU$2:$FU$1000,FU490,$FW$2:$FW$1000,"Y",$J$2:$J$1000,"&gt;"&amp;J490)+COUNTIFS($FU$2:$FU$1000,FU490,$FW$2:$FW$1000,"Y",$J$2:$J$1000,J490,$GD$2:$GD$1000,"&lt;"&amp;GD490)=0,"Y","N")))</f>
        <v/>
      </c>
      <c r="FY490" s="0" t="str">
        <f aca="false">IF($A490="","",IF(AND(FW490="Y",FX490="Y",Y490&amp;""&lt;&gt;""),IF(Y490&lt;=10,"Y","N"),"N"))</f>
        <v/>
      </c>
      <c r="FZ490" s="0" t="str">
        <f aca="false">IF(FY490="Y",Y490,"")</f>
        <v/>
      </c>
      <c r="GA490" s="0" t="str">
        <f aca="false">IF($A490="","",IF(AND(I490="walk-in",CN490="pass",U490="new",FT490="N",FV490="N",AQ490&lt;&gt;"Y"),"Y","N"))</f>
        <v/>
      </c>
      <c r="GB490" s="0" t="str">
        <f aca="false">IF(GA490&lt;&gt;"Y","",IF(COUNTIFS($GA$2:$GA$1000,"Y",$J$2:$J$1000,"&gt;"&amp;J490)+COUNTIFS($GA$2:$GA$1000,"Y",$J$2:$J$1000,J490,$GD$2:$GD$1000,"&lt;"&amp;GD490)+1&lt;=25,COUNTIFS($GA$2:$GA$1000,"Y",$J$2:$J$1000,"&gt;"&amp;J490)+COUNTIFS($GA$2:$GA$1000,"Y",$J$2:$J$1000,J490,$GD$2:$GD$1000,"&lt;"&amp;GD490)+1,""))</f>
        <v/>
      </c>
      <c r="GC490" s="0" t="str">
        <f aca="false">IF(AND(_xlfn.ISFORMULA(C490),_xlfn.ISFORMULA(J490)),"Y","N")</f>
        <v>Y</v>
      </c>
      <c r="GD490" s="0" t="n">
        <f aca="false">ROW()-1</f>
        <v>489</v>
      </c>
    </row>
    <row r="491" customFormat="false" ht="15" hidden="false" customHeight="false" outlineLevel="0" collapsed="false">
      <c r="C491" s="0" t="str">
        <f aca="false">IF($A491="","",IF(AW491="Y",BM491&amp;"",AY491&amp;""))</f>
        <v/>
      </c>
      <c r="D491" s="0" t="str">
        <f aca="false">IF($A491="","",IF(AW491="Y",BN491&amp;"",AZ491&amp;""))</f>
        <v/>
      </c>
      <c r="E491" s="0" t="str">
        <f aca="false">IF($A491="","",IF(AW491="Y",BO491&amp;"",BA491&amp;""))</f>
        <v/>
      </c>
      <c r="F491" s="0" t="str">
        <f aca="false">IF($A491="","",IF(AW491="Y",BP491&amp;"",BB491&amp;""))</f>
        <v/>
      </c>
      <c r="G491" s="0" t="str">
        <f aca="false">IF($A491="","",IF(AW491="Y",BQ491&amp;"",BC491&amp;""))</f>
        <v/>
      </c>
      <c r="H491" s="0" t="str">
        <f aca="false">IF($A491="","",IF(AW491="Y",BR491&amp;"",BD491&amp;""))</f>
        <v/>
      </c>
      <c r="I491" s="0" t="str">
        <f aca="false">IF($A491="","",IF(R491="Y","warm-intro",IF(H491="verified","email",IF(C491&lt;&gt;"","linkedin",CB491&amp;""))))</f>
        <v/>
      </c>
      <c r="J491" s="0" t="str">
        <f aca="false">IF($A491="","",IF(CN491="pass",ROUND(N(EM491)+N(EN491)+N(EO491)+N(EP491)+N(EQ491)+N(ER491),1),0))</f>
        <v/>
      </c>
      <c r="K491" s="0" t="str">
        <f aca="false">IF($A491="","",IF(CN491&lt;&gt;"pass",CA491&amp;"",CA491&amp;"; "&amp;IF(AW491="Y",BZ491&amp;"",BL491&amp;"")&amp;IF(R491="Y","; known to the founder (+15)","")&amp;"."))</f>
        <v/>
      </c>
      <c r="R491" s="5"/>
      <c r="U491" s="5"/>
      <c r="Y491" s="0" t="str">
        <f aca="false">IF(FX491&lt;&gt;"Y","",COUNTIFS($FX$2:$FX$1000,"Y",$J$2:$J$1000,"&gt;"&amp;J491)+COUNTIFS($FX$2:$FX$1000,"Y",$J$2:$J$1000,J491,$GD$2:$GD$1000,"&lt;"&amp;GD491)+1)</f>
        <v/>
      </c>
      <c r="AB491" s="0" t="str">
        <f aca="false">IF($A491="","",IF(AW491="Y",BY491&amp;"",BK491&amp;""))</f>
        <v/>
      </c>
      <c r="AC491" s="0" t="str">
        <f aca="false">IF($A491="","",IF(AW491="Y",BS491&amp;"",BE491&amp;""))</f>
        <v/>
      </c>
      <c r="AD491" s="0" t="str">
        <f aca="false">IF($A491="","",IF(AW491="Y",BT491&amp;"",BF491&amp;""))</f>
        <v/>
      </c>
      <c r="AE491" s="0" t="str">
        <f aca="false">IF($A491="","",IF(AW491="Y",BU491&amp;"",BG491&amp;""))</f>
        <v/>
      </c>
      <c r="AF491" s="0" t="str">
        <f aca="false">IF($A491="","",IF(AW491="Y",BV491&amp;"",BH491&amp;""))</f>
        <v/>
      </c>
      <c r="AG491" s="0" t="str">
        <f aca="false">IF($A491="","",IF(AW491="Y",BW491&amp;"",BI491&amp;""))</f>
        <v/>
      </c>
      <c r="AH491" s="0" t="str">
        <f aca="false">IF($A491="","",IF(AW491="Y",BX491&amp;"",BJ491&amp;""))</f>
        <v/>
      </c>
      <c r="AQ491" s="5"/>
      <c r="AT491" s="0" t="str">
        <f aca="false">IF($A491="","",IF(AND(CN491="pass",AQ491&lt;&gt;"Y",C491&lt;&gt;"",OR(AX491&lt;&gt;"Y",AV491="Y")),"Y","N"))</f>
        <v/>
      </c>
      <c r="AU491" s="0" t="str">
        <f aca="false">IF($A491="","",_xlfn.TEXTJOIN("; ",TRUE(),IF(CN491&lt;&gt;"pass","gated out",""),IF(AQ491="Y","on hold: "&amp;AR491,""),IF(C491="","no contact named on an opened page",""),IF(AND(AX491="Y",AV491&lt;&gt;"Y"),"Tuesday estimate band "&amp;L491&amp;": founder's call","")))</f>
        <v/>
      </c>
      <c r="BC491" s="0" t="str">
        <f aca="false">IF($A491="","",IFERROR(INDEX(Enrichment!$A$2:$GZ$2000,MATCH($A491,INDEX(Enrichment!$A$2:$GZ$2000,0,MATCH("row_id",Enrichment!$A$1:$GZ$1,0)),0),MATCH("work_email",Enrichment!$A$1:$GZ$1,0))&amp;"",""))</f>
        <v/>
      </c>
      <c r="BD491" s="0" t="str">
        <f aca="false">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Q491" s="0" t="str">
        <f aca="false">IF($A491="","",IFERROR(INDEX(Enrichment!$A$2:$GZ$2000,MATCH($A491,INDEX(Enrichment!$A$2:$GZ$2000,0,MATCH("row_id",Enrichment!$A$1:$GZ$1,0)),0),MATCH("backup_work_email",Enrichment!$A$1:$GZ$1,0))&amp;"",""))</f>
        <v/>
      </c>
      <c r="BR491" s="0" t="str">
        <f aca="false">IF($A491="","",IF(BQ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EQ491" s="0" t="str">
        <f aca="false">IF($A491="","",IF(AH491="exact",10,IF(AH491="adjacent",5,0)))</f>
        <v/>
      </c>
      <c r="ER491" s="0" t="str">
        <f aca="false">IF($A491="","",IF(R491="Y",15,0))</f>
        <v/>
      </c>
      <c r="FS491" s="0" t="str">
        <f aca="false">IF($A491="","",IF(ISNUMBER(MATCH(U491,{"queued","contacted","replied","call_booked","call_done","yes_in_principle","materials_sent"},0)),"Y","N"))</f>
        <v/>
      </c>
      <c r="FT491" s="0" t="str">
        <f aca="false">IF($A491="","",IF(OR(T491="Y",U491="do_not_contact",AS491&amp;""&lt;&gt;""),"Y","N"))</f>
        <v/>
      </c>
      <c r="FU491" s="0" t="str">
        <f aca="false">IF($A491="","",IF(AP491&amp;""&lt;&gt;"",AP491&amp;"",$A491))</f>
        <v/>
      </c>
      <c r="FV491" s="0" t="str">
        <f aca="false">IF($A491="","",IF(COUNTIFS($FU$2:$FU$1000,FU491,$FS$2:$FS$1000,"Y")+COUNTIFS($FU$2:$FU$1000,FU491,$FT$2:$FT$1000,"Y")&gt;0,"Y","N"))</f>
        <v/>
      </c>
      <c r="FW491" s="0" t="str">
        <f aca="false">IF($A491="","",IF(AND(U491="new",T491="N",FT491="N",AT491="Y",FV491="N"),"Y","N"))</f>
        <v/>
      </c>
      <c r="FX491" s="0" t="str">
        <f aca="false">IF($A491="","",IF(FW491&lt;&gt;"Y","N",IF(COUNTIFS($FU$2:$FU$1000,FU491,$FW$2:$FW$1000,"Y",$J$2:$J$1000,"&gt;"&amp;J491)+COUNTIFS($FU$2:$FU$1000,FU491,$FW$2:$FW$1000,"Y",$J$2:$J$1000,J491,$GD$2:$GD$1000,"&lt;"&amp;GD491)=0,"Y","N")))</f>
        <v/>
      </c>
      <c r="FY491" s="0" t="str">
        <f aca="false">IF($A491="","",IF(AND(FW491="Y",FX491="Y",Y491&amp;""&lt;&gt;""),IF(Y491&lt;=10,"Y","N"),"N"))</f>
        <v/>
      </c>
      <c r="FZ491" s="0" t="str">
        <f aca="false">IF(FY491="Y",Y491,"")</f>
        <v/>
      </c>
      <c r="GA491" s="0" t="str">
        <f aca="false">IF($A491="","",IF(AND(I491="walk-in",CN491="pass",U491="new",FT491="N",FV491="N",AQ491&lt;&gt;"Y"),"Y","N"))</f>
        <v/>
      </c>
      <c r="GB491" s="0" t="str">
        <f aca="false">IF(GA491&lt;&gt;"Y","",IF(COUNTIFS($GA$2:$GA$1000,"Y",$J$2:$J$1000,"&gt;"&amp;J491)+COUNTIFS($GA$2:$GA$1000,"Y",$J$2:$J$1000,J491,$GD$2:$GD$1000,"&lt;"&amp;GD491)+1&lt;=25,COUNTIFS($GA$2:$GA$1000,"Y",$J$2:$J$1000,"&gt;"&amp;J491)+COUNTIFS($GA$2:$GA$1000,"Y",$J$2:$J$1000,J491,$GD$2:$GD$1000,"&lt;"&amp;GD491)+1,""))</f>
        <v/>
      </c>
      <c r="GC491" s="0" t="str">
        <f aca="false">IF(AND(_xlfn.ISFORMULA(C491),_xlfn.ISFORMULA(J491)),"Y","N")</f>
        <v>Y</v>
      </c>
      <c r="GD491" s="0" t="n">
        <f aca="false">ROW()-1</f>
        <v>490</v>
      </c>
    </row>
    <row r="492" customFormat="false" ht="15" hidden="false" customHeight="false" outlineLevel="0" collapsed="false">
      <c r="C492" s="0" t="str">
        <f aca="false">IF($A492="","",IF(AW492="Y",BM492&amp;"",AY492&amp;""))</f>
        <v/>
      </c>
      <c r="D492" s="0" t="str">
        <f aca="false">IF($A492="","",IF(AW492="Y",BN492&amp;"",AZ492&amp;""))</f>
        <v/>
      </c>
      <c r="E492" s="0" t="str">
        <f aca="false">IF($A492="","",IF(AW492="Y",BO492&amp;"",BA492&amp;""))</f>
        <v/>
      </c>
      <c r="F492" s="0" t="str">
        <f aca="false">IF($A492="","",IF(AW492="Y",BP492&amp;"",BB492&amp;""))</f>
        <v/>
      </c>
      <c r="G492" s="0" t="str">
        <f aca="false">IF($A492="","",IF(AW492="Y",BQ492&amp;"",BC492&amp;""))</f>
        <v/>
      </c>
      <c r="H492" s="0" t="str">
        <f aca="false">IF($A492="","",IF(AW492="Y",BR492&amp;"",BD492&amp;""))</f>
        <v/>
      </c>
      <c r="I492" s="0" t="str">
        <f aca="false">IF($A492="","",IF(R492="Y","warm-intro",IF(H492="verified","email",IF(C492&lt;&gt;"","linkedin",CB492&amp;""))))</f>
        <v/>
      </c>
      <c r="J492" s="0" t="str">
        <f aca="false">IF($A492="","",IF(CN492="pass",ROUND(N(EM492)+N(EN492)+N(EO492)+N(EP492)+N(EQ492)+N(ER492),1),0))</f>
        <v/>
      </c>
      <c r="K492" s="0" t="str">
        <f aca="false">IF($A492="","",IF(CN492&lt;&gt;"pass",CA492&amp;"",CA492&amp;"; "&amp;IF(AW492="Y",BZ492&amp;"",BL492&amp;"")&amp;IF(R492="Y","; known to the founder (+15)","")&amp;"."))</f>
        <v/>
      </c>
      <c r="R492" s="5"/>
      <c r="U492" s="5"/>
      <c r="Y492" s="0" t="str">
        <f aca="false">IF(FX492&lt;&gt;"Y","",COUNTIFS($FX$2:$FX$1000,"Y",$J$2:$J$1000,"&gt;"&amp;J492)+COUNTIFS($FX$2:$FX$1000,"Y",$J$2:$J$1000,J492,$GD$2:$GD$1000,"&lt;"&amp;GD492)+1)</f>
        <v/>
      </c>
      <c r="AB492" s="0" t="str">
        <f aca="false">IF($A492="","",IF(AW492="Y",BY492&amp;"",BK492&amp;""))</f>
        <v/>
      </c>
      <c r="AC492" s="0" t="str">
        <f aca="false">IF($A492="","",IF(AW492="Y",BS492&amp;"",BE492&amp;""))</f>
        <v/>
      </c>
      <c r="AD492" s="0" t="str">
        <f aca="false">IF($A492="","",IF(AW492="Y",BT492&amp;"",BF492&amp;""))</f>
        <v/>
      </c>
      <c r="AE492" s="0" t="str">
        <f aca="false">IF($A492="","",IF(AW492="Y",BU492&amp;"",BG492&amp;""))</f>
        <v/>
      </c>
      <c r="AF492" s="0" t="str">
        <f aca="false">IF($A492="","",IF(AW492="Y",BV492&amp;"",BH492&amp;""))</f>
        <v/>
      </c>
      <c r="AG492" s="0" t="str">
        <f aca="false">IF($A492="","",IF(AW492="Y",BW492&amp;"",BI492&amp;""))</f>
        <v/>
      </c>
      <c r="AH492" s="0" t="str">
        <f aca="false">IF($A492="","",IF(AW492="Y",BX492&amp;"",BJ492&amp;""))</f>
        <v/>
      </c>
      <c r="AQ492" s="5"/>
      <c r="AT492" s="0" t="str">
        <f aca="false">IF($A492="","",IF(AND(CN492="pass",AQ492&lt;&gt;"Y",C492&lt;&gt;"",OR(AX492&lt;&gt;"Y",AV492="Y")),"Y","N"))</f>
        <v/>
      </c>
      <c r="AU492" s="0" t="str">
        <f aca="false">IF($A492="","",_xlfn.TEXTJOIN("; ",TRUE(),IF(CN492&lt;&gt;"pass","gated out",""),IF(AQ492="Y","on hold: "&amp;AR492,""),IF(C492="","no contact named on an opened page",""),IF(AND(AX492="Y",AV492&lt;&gt;"Y"),"Tuesday estimate band "&amp;L492&amp;": founder's call","")))</f>
        <v/>
      </c>
      <c r="BC492" s="0" t="str">
        <f aca="false">IF($A492="","",IFERROR(INDEX(Enrichment!$A$2:$GZ$2000,MATCH($A492,INDEX(Enrichment!$A$2:$GZ$2000,0,MATCH("row_id",Enrichment!$A$1:$GZ$1,0)),0),MATCH("work_email",Enrichment!$A$1:$GZ$1,0))&amp;"",""))</f>
        <v/>
      </c>
      <c r="BD492" s="0" t="str">
        <f aca="false">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Q492" s="0" t="str">
        <f aca="false">IF($A492="","",IFERROR(INDEX(Enrichment!$A$2:$GZ$2000,MATCH($A492,INDEX(Enrichment!$A$2:$GZ$2000,0,MATCH("row_id",Enrichment!$A$1:$GZ$1,0)),0),MATCH("backup_work_email",Enrichment!$A$1:$GZ$1,0))&amp;"",""))</f>
        <v/>
      </c>
      <c r="BR492" s="0" t="str">
        <f aca="false">IF($A492="","",IF(BQ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EQ492" s="0" t="str">
        <f aca="false">IF($A492="","",IF(AH492="exact",10,IF(AH492="adjacent",5,0)))</f>
        <v/>
      </c>
      <c r="ER492" s="0" t="str">
        <f aca="false">IF($A492="","",IF(R492="Y",15,0))</f>
        <v/>
      </c>
      <c r="FS492" s="0" t="str">
        <f aca="false">IF($A492="","",IF(ISNUMBER(MATCH(U492,{"queued","contacted","replied","call_booked","call_done","yes_in_principle","materials_sent"},0)),"Y","N"))</f>
        <v/>
      </c>
      <c r="FT492" s="0" t="str">
        <f aca="false">IF($A492="","",IF(OR(T492="Y",U492="do_not_contact",AS492&amp;""&lt;&gt;""),"Y","N"))</f>
        <v/>
      </c>
      <c r="FU492" s="0" t="str">
        <f aca="false">IF($A492="","",IF(AP492&amp;""&lt;&gt;"",AP492&amp;"",$A492))</f>
        <v/>
      </c>
      <c r="FV492" s="0" t="str">
        <f aca="false">IF($A492="","",IF(COUNTIFS($FU$2:$FU$1000,FU492,$FS$2:$FS$1000,"Y")+COUNTIFS($FU$2:$FU$1000,FU492,$FT$2:$FT$1000,"Y")&gt;0,"Y","N"))</f>
        <v/>
      </c>
      <c r="FW492" s="0" t="str">
        <f aca="false">IF($A492="","",IF(AND(U492="new",T492="N",FT492="N",AT492="Y",FV492="N"),"Y","N"))</f>
        <v/>
      </c>
      <c r="FX492" s="0" t="str">
        <f aca="false">IF($A492="","",IF(FW492&lt;&gt;"Y","N",IF(COUNTIFS($FU$2:$FU$1000,FU492,$FW$2:$FW$1000,"Y",$J$2:$J$1000,"&gt;"&amp;J492)+COUNTIFS($FU$2:$FU$1000,FU492,$FW$2:$FW$1000,"Y",$J$2:$J$1000,J492,$GD$2:$GD$1000,"&lt;"&amp;GD492)=0,"Y","N")))</f>
        <v/>
      </c>
      <c r="FY492" s="0" t="str">
        <f aca="false">IF($A492="","",IF(AND(FW492="Y",FX492="Y",Y492&amp;""&lt;&gt;""),IF(Y492&lt;=10,"Y","N"),"N"))</f>
        <v/>
      </c>
      <c r="FZ492" s="0" t="str">
        <f aca="false">IF(FY492="Y",Y492,"")</f>
        <v/>
      </c>
      <c r="GA492" s="0" t="str">
        <f aca="false">IF($A492="","",IF(AND(I492="walk-in",CN492="pass",U492="new",FT492="N",FV492="N",AQ492&lt;&gt;"Y"),"Y","N"))</f>
        <v/>
      </c>
      <c r="GB492" s="0" t="str">
        <f aca="false">IF(GA492&lt;&gt;"Y","",IF(COUNTIFS($GA$2:$GA$1000,"Y",$J$2:$J$1000,"&gt;"&amp;J492)+COUNTIFS($GA$2:$GA$1000,"Y",$J$2:$J$1000,J492,$GD$2:$GD$1000,"&lt;"&amp;GD492)+1&lt;=25,COUNTIFS($GA$2:$GA$1000,"Y",$J$2:$J$1000,"&gt;"&amp;J492)+COUNTIFS($GA$2:$GA$1000,"Y",$J$2:$J$1000,J492,$GD$2:$GD$1000,"&lt;"&amp;GD492)+1,""))</f>
        <v/>
      </c>
      <c r="GC492" s="0" t="str">
        <f aca="false">IF(AND(_xlfn.ISFORMULA(C492),_xlfn.ISFORMULA(J492)),"Y","N")</f>
        <v>Y</v>
      </c>
      <c r="GD492" s="0" t="n">
        <f aca="false">ROW()-1</f>
        <v>491</v>
      </c>
    </row>
    <row r="493" customFormat="false" ht="15" hidden="false" customHeight="false" outlineLevel="0" collapsed="false">
      <c r="C493" s="0" t="str">
        <f aca="false">IF($A493="","",IF(AW493="Y",BM493&amp;"",AY493&amp;""))</f>
        <v/>
      </c>
      <c r="D493" s="0" t="str">
        <f aca="false">IF($A493="","",IF(AW493="Y",BN493&amp;"",AZ493&amp;""))</f>
        <v/>
      </c>
      <c r="E493" s="0" t="str">
        <f aca="false">IF($A493="","",IF(AW493="Y",BO493&amp;"",BA493&amp;""))</f>
        <v/>
      </c>
      <c r="F493" s="0" t="str">
        <f aca="false">IF($A493="","",IF(AW493="Y",BP493&amp;"",BB493&amp;""))</f>
        <v/>
      </c>
      <c r="G493" s="0" t="str">
        <f aca="false">IF($A493="","",IF(AW493="Y",BQ493&amp;"",BC493&amp;""))</f>
        <v/>
      </c>
      <c r="H493" s="0" t="str">
        <f aca="false">IF($A493="","",IF(AW493="Y",BR493&amp;"",BD493&amp;""))</f>
        <v/>
      </c>
      <c r="I493" s="0" t="str">
        <f aca="false">IF($A493="","",IF(R493="Y","warm-intro",IF(H493="verified","email",IF(C493&lt;&gt;"","linkedin",CB493&amp;""))))</f>
        <v/>
      </c>
      <c r="J493" s="0" t="str">
        <f aca="false">IF($A493="","",IF(CN493="pass",ROUND(N(EM493)+N(EN493)+N(EO493)+N(EP493)+N(EQ493)+N(ER493),1),0))</f>
        <v/>
      </c>
      <c r="K493" s="0" t="str">
        <f aca="false">IF($A493="","",IF(CN493&lt;&gt;"pass",CA493&amp;"",CA493&amp;"; "&amp;IF(AW493="Y",BZ493&amp;"",BL493&amp;"")&amp;IF(R493="Y","; known to the founder (+15)","")&amp;"."))</f>
        <v/>
      </c>
      <c r="R493" s="5"/>
      <c r="U493" s="5"/>
      <c r="Y493" s="0" t="str">
        <f aca="false">IF(FX493&lt;&gt;"Y","",COUNTIFS($FX$2:$FX$1000,"Y",$J$2:$J$1000,"&gt;"&amp;J493)+COUNTIFS($FX$2:$FX$1000,"Y",$J$2:$J$1000,J493,$GD$2:$GD$1000,"&lt;"&amp;GD493)+1)</f>
        <v/>
      </c>
      <c r="AB493" s="0" t="str">
        <f aca="false">IF($A493="","",IF(AW493="Y",BY493&amp;"",BK493&amp;""))</f>
        <v/>
      </c>
      <c r="AC493" s="0" t="str">
        <f aca="false">IF($A493="","",IF(AW493="Y",BS493&amp;"",BE493&amp;""))</f>
        <v/>
      </c>
      <c r="AD493" s="0" t="str">
        <f aca="false">IF($A493="","",IF(AW493="Y",BT493&amp;"",BF493&amp;""))</f>
        <v/>
      </c>
      <c r="AE493" s="0" t="str">
        <f aca="false">IF($A493="","",IF(AW493="Y",BU493&amp;"",BG493&amp;""))</f>
        <v/>
      </c>
      <c r="AF493" s="0" t="str">
        <f aca="false">IF($A493="","",IF(AW493="Y",BV493&amp;"",BH493&amp;""))</f>
        <v/>
      </c>
      <c r="AG493" s="0" t="str">
        <f aca="false">IF($A493="","",IF(AW493="Y",BW493&amp;"",BI493&amp;""))</f>
        <v/>
      </c>
      <c r="AH493" s="0" t="str">
        <f aca="false">IF($A493="","",IF(AW493="Y",BX493&amp;"",BJ493&amp;""))</f>
        <v/>
      </c>
      <c r="AQ493" s="5"/>
      <c r="AT493" s="0" t="str">
        <f aca="false">IF($A493="","",IF(AND(CN493="pass",AQ493&lt;&gt;"Y",C493&lt;&gt;"",OR(AX493&lt;&gt;"Y",AV493="Y")),"Y","N"))</f>
        <v/>
      </c>
      <c r="AU493" s="0" t="str">
        <f aca="false">IF($A493="","",_xlfn.TEXTJOIN("; ",TRUE(),IF(CN493&lt;&gt;"pass","gated out",""),IF(AQ493="Y","on hold: "&amp;AR493,""),IF(C493="","no contact named on an opened page",""),IF(AND(AX493="Y",AV493&lt;&gt;"Y"),"Tuesday estimate band "&amp;L493&amp;": founder's call","")))</f>
        <v/>
      </c>
      <c r="BC493" s="0" t="str">
        <f aca="false">IF($A493="","",IFERROR(INDEX(Enrichment!$A$2:$GZ$2000,MATCH($A493,INDEX(Enrichment!$A$2:$GZ$2000,0,MATCH("row_id",Enrichment!$A$1:$GZ$1,0)),0),MATCH("work_email",Enrichment!$A$1:$GZ$1,0))&amp;"",""))</f>
        <v/>
      </c>
      <c r="BD493" s="0" t="str">
        <f aca="false">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Q493" s="0" t="str">
        <f aca="false">IF($A493="","",IFERROR(INDEX(Enrichment!$A$2:$GZ$2000,MATCH($A493,INDEX(Enrichment!$A$2:$GZ$2000,0,MATCH("row_id",Enrichment!$A$1:$GZ$1,0)),0),MATCH("backup_work_email",Enrichment!$A$1:$GZ$1,0))&amp;"",""))</f>
        <v/>
      </c>
      <c r="BR493" s="0" t="str">
        <f aca="false">IF($A493="","",IF(BQ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EQ493" s="0" t="str">
        <f aca="false">IF($A493="","",IF(AH493="exact",10,IF(AH493="adjacent",5,0)))</f>
        <v/>
      </c>
      <c r="ER493" s="0" t="str">
        <f aca="false">IF($A493="","",IF(R493="Y",15,0))</f>
        <v/>
      </c>
      <c r="FS493" s="0" t="str">
        <f aca="false">IF($A493="","",IF(ISNUMBER(MATCH(U493,{"queued","contacted","replied","call_booked","call_done","yes_in_principle","materials_sent"},0)),"Y","N"))</f>
        <v/>
      </c>
      <c r="FT493" s="0" t="str">
        <f aca="false">IF($A493="","",IF(OR(T493="Y",U493="do_not_contact",AS493&amp;""&lt;&gt;""),"Y","N"))</f>
        <v/>
      </c>
      <c r="FU493" s="0" t="str">
        <f aca="false">IF($A493="","",IF(AP493&amp;""&lt;&gt;"",AP493&amp;"",$A493))</f>
        <v/>
      </c>
      <c r="FV493" s="0" t="str">
        <f aca="false">IF($A493="","",IF(COUNTIFS($FU$2:$FU$1000,FU493,$FS$2:$FS$1000,"Y")+COUNTIFS($FU$2:$FU$1000,FU493,$FT$2:$FT$1000,"Y")&gt;0,"Y","N"))</f>
        <v/>
      </c>
      <c r="FW493" s="0" t="str">
        <f aca="false">IF($A493="","",IF(AND(U493="new",T493="N",FT493="N",AT493="Y",FV493="N"),"Y","N"))</f>
        <v/>
      </c>
      <c r="FX493" s="0" t="str">
        <f aca="false">IF($A493="","",IF(FW493&lt;&gt;"Y","N",IF(COUNTIFS($FU$2:$FU$1000,FU493,$FW$2:$FW$1000,"Y",$J$2:$J$1000,"&gt;"&amp;J493)+COUNTIFS($FU$2:$FU$1000,FU493,$FW$2:$FW$1000,"Y",$J$2:$J$1000,J493,$GD$2:$GD$1000,"&lt;"&amp;GD493)=0,"Y","N")))</f>
        <v/>
      </c>
      <c r="FY493" s="0" t="str">
        <f aca="false">IF($A493="","",IF(AND(FW493="Y",FX493="Y",Y493&amp;""&lt;&gt;""),IF(Y493&lt;=10,"Y","N"),"N"))</f>
        <v/>
      </c>
      <c r="FZ493" s="0" t="str">
        <f aca="false">IF(FY493="Y",Y493,"")</f>
        <v/>
      </c>
      <c r="GA493" s="0" t="str">
        <f aca="false">IF($A493="","",IF(AND(I493="walk-in",CN493="pass",U493="new",FT493="N",FV493="N",AQ493&lt;&gt;"Y"),"Y","N"))</f>
        <v/>
      </c>
      <c r="GB493" s="0" t="str">
        <f aca="false">IF(GA493&lt;&gt;"Y","",IF(COUNTIFS($GA$2:$GA$1000,"Y",$J$2:$J$1000,"&gt;"&amp;J493)+COUNTIFS($GA$2:$GA$1000,"Y",$J$2:$J$1000,J493,$GD$2:$GD$1000,"&lt;"&amp;GD493)+1&lt;=25,COUNTIFS($GA$2:$GA$1000,"Y",$J$2:$J$1000,"&gt;"&amp;J493)+COUNTIFS($GA$2:$GA$1000,"Y",$J$2:$J$1000,J493,$GD$2:$GD$1000,"&lt;"&amp;GD493)+1,""))</f>
        <v/>
      </c>
      <c r="GC493" s="0" t="str">
        <f aca="false">IF(AND(_xlfn.ISFORMULA(C493),_xlfn.ISFORMULA(J493)),"Y","N")</f>
        <v>Y</v>
      </c>
      <c r="GD493" s="0" t="n">
        <f aca="false">ROW()-1</f>
        <v>492</v>
      </c>
    </row>
    <row r="494" customFormat="false" ht="15" hidden="false" customHeight="false" outlineLevel="0" collapsed="false">
      <c r="C494" s="0" t="str">
        <f aca="false">IF($A494="","",IF(AW494="Y",BM494&amp;"",AY494&amp;""))</f>
        <v/>
      </c>
      <c r="D494" s="0" t="str">
        <f aca="false">IF($A494="","",IF(AW494="Y",BN494&amp;"",AZ494&amp;""))</f>
        <v/>
      </c>
      <c r="E494" s="0" t="str">
        <f aca="false">IF($A494="","",IF(AW494="Y",BO494&amp;"",BA494&amp;""))</f>
        <v/>
      </c>
      <c r="F494" s="0" t="str">
        <f aca="false">IF($A494="","",IF(AW494="Y",BP494&amp;"",BB494&amp;""))</f>
        <v/>
      </c>
      <c r="G494" s="0" t="str">
        <f aca="false">IF($A494="","",IF(AW494="Y",BQ494&amp;"",BC494&amp;""))</f>
        <v/>
      </c>
      <c r="H494" s="0" t="str">
        <f aca="false">IF($A494="","",IF(AW494="Y",BR494&amp;"",BD494&amp;""))</f>
        <v/>
      </c>
      <c r="I494" s="0" t="str">
        <f aca="false">IF($A494="","",IF(R494="Y","warm-intro",IF(H494="verified","email",IF(C494&lt;&gt;"","linkedin",CB494&amp;""))))</f>
        <v/>
      </c>
      <c r="J494" s="0" t="str">
        <f aca="false">IF($A494="","",IF(CN494="pass",ROUND(N(EM494)+N(EN494)+N(EO494)+N(EP494)+N(EQ494)+N(ER494),1),0))</f>
        <v/>
      </c>
      <c r="K494" s="0" t="str">
        <f aca="false">IF($A494="","",IF(CN494&lt;&gt;"pass",CA494&amp;"",CA494&amp;"; "&amp;IF(AW494="Y",BZ494&amp;"",BL494&amp;"")&amp;IF(R494="Y","; known to the founder (+15)","")&amp;"."))</f>
        <v/>
      </c>
      <c r="R494" s="5"/>
      <c r="U494" s="5"/>
      <c r="Y494" s="0" t="str">
        <f aca="false">IF(FX494&lt;&gt;"Y","",COUNTIFS($FX$2:$FX$1000,"Y",$J$2:$J$1000,"&gt;"&amp;J494)+COUNTIFS($FX$2:$FX$1000,"Y",$J$2:$J$1000,J494,$GD$2:$GD$1000,"&lt;"&amp;GD494)+1)</f>
        <v/>
      </c>
      <c r="AB494" s="0" t="str">
        <f aca="false">IF($A494="","",IF(AW494="Y",BY494&amp;"",BK494&amp;""))</f>
        <v/>
      </c>
      <c r="AC494" s="0" t="str">
        <f aca="false">IF($A494="","",IF(AW494="Y",BS494&amp;"",BE494&amp;""))</f>
        <v/>
      </c>
      <c r="AD494" s="0" t="str">
        <f aca="false">IF($A494="","",IF(AW494="Y",BT494&amp;"",BF494&amp;""))</f>
        <v/>
      </c>
      <c r="AE494" s="0" t="str">
        <f aca="false">IF($A494="","",IF(AW494="Y",BU494&amp;"",BG494&amp;""))</f>
        <v/>
      </c>
      <c r="AF494" s="0" t="str">
        <f aca="false">IF($A494="","",IF(AW494="Y",BV494&amp;"",BH494&amp;""))</f>
        <v/>
      </c>
      <c r="AG494" s="0" t="str">
        <f aca="false">IF($A494="","",IF(AW494="Y",BW494&amp;"",BI494&amp;""))</f>
        <v/>
      </c>
      <c r="AH494" s="0" t="str">
        <f aca="false">IF($A494="","",IF(AW494="Y",BX494&amp;"",BJ494&amp;""))</f>
        <v/>
      </c>
      <c r="AQ494" s="5"/>
      <c r="AT494" s="0" t="str">
        <f aca="false">IF($A494="","",IF(AND(CN494="pass",AQ494&lt;&gt;"Y",C494&lt;&gt;"",OR(AX494&lt;&gt;"Y",AV494="Y")),"Y","N"))</f>
        <v/>
      </c>
      <c r="AU494" s="0" t="str">
        <f aca="false">IF($A494="","",_xlfn.TEXTJOIN("; ",TRUE(),IF(CN494&lt;&gt;"pass","gated out",""),IF(AQ494="Y","on hold: "&amp;AR494,""),IF(C494="","no contact named on an opened page",""),IF(AND(AX494="Y",AV494&lt;&gt;"Y"),"Tuesday estimate band "&amp;L494&amp;": founder's call","")))</f>
        <v/>
      </c>
      <c r="BC494" s="0" t="str">
        <f aca="false">IF($A494="","",IFERROR(INDEX(Enrichment!$A$2:$GZ$2000,MATCH($A494,INDEX(Enrichment!$A$2:$GZ$2000,0,MATCH("row_id",Enrichment!$A$1:$GZ$1,0)),0),MATCH("work_email",Enrichment!$A$1:$GZ$1,0))&amp;"",""))</f>
        <v/>
      </c>
      <c r="BD494" s="0" t="str">
        <f aca="false">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Q494" s="0" t="str">
        <f aca="false">IF($A494="","",IFERROR(INDEX(Enrichment!$A$2:$GZ$2000,MATCH($A494,INDEX(Enrichment!$A$2:$GZ$2000,0,MATCH("row_id",Enrichment!$A$1:$GZ$1,0)),0),MATCH("backup_work_email",Enrichment!$A$1:$GZ$1,0))&amp;"",""))</f>
        <v/>
      </c>
      <c r="BR494" s="0" t="str">
        <f aca="false">IF($A494="","",IF(BQ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EQ494" s="0" t="str">
        <f aca="false">IF($A494="","",IF(AH494="exact",10,IF(AH494="adjacent",5,0)))</f>
        <v/>
      </c>
      <c r="ER494" s="0" t="str">
        <f aca="false">IF($A494="","",IF(R494="Y",15,0))</f>
        <v/>
      </c>
      <c r="FS494" s="0" t="str">
        <f aca="false">IF($A494="","",IF(ISNUMBER(MATCH(U494,{"queued","contacted","replied","call_booked","call_done","yes_in_principle","materials_sent"},0)),"Y","N"))</f>
        <v/>
      </c>
      <c r="FT494" s="0" t="str">
        <f aca="false">IF($A494="","",IF(OR(T494="Y",U494="do_not_contact",AS494&amp;""&lt;&gt;""),"Y","N"))</f>
        <v/>
      </c>
      <c r="FU494" s="0" t="str">
        <f aca="false">IF($A494="","",IF(AP494&amp;""&lt;&gt;"",AP494&amp;"",$A494))</f>
        <v/>
      </c>
      <c r="FV494" s="0" t="str">
        <f aca="false">IF($A494="","",IF(COUNTIFS($FU$2:$FU$1000,FU494,$FS$2:$FS$1000,"Y")+COUNTIFS($FU$2:$FU$1000,FU494,$FT$2:$FT$1000,"Y")&gt;0,"Y","N"))</f>
        <v/>
      </c>
      <c r="FW494" s="0" t="str">
        <f aca="false">IF($A494="","",IF(AND(U494="new",T494="N",FT494="N",AT494="Y",FV494="N"),"Y","N"))</f>
        <v/>
      </c>
      <c r="FX494" s="0" t="str">
        <f aca="false">IF($A494="","",IF(FW494&lt;&gt;"Y","N",IF(COUNTIFS($FU$2:$FU$1000,FU494,$FW$2:$FW$1000,"Y",$J$2:$J$1000,"&gt;"&amp;J494)+COUNTIFS($FU$2:$FU$1000,FU494,$FW$2:$FW$1000,"Y",$J$2:$J$1000,J494,$GD$2:$GD$1000,"&lt;"&amp;GD494)=0,"Y","N")))</f>
        <v/>
      </c>
      <c r="FY494" s="0" t="str">
        <f aca="false">IF($A494="","",IF(AND(FW494="Y",FX494="Y",Y494&amp;""&lt;&gt;""),IF(Y494&lt;=10,"Y","N"),"N"))</f>
        <v/>
      </c>
      <c r="FZ494" s="0" t="str">
        <f aca="false">IF(FY494="Y",Y494,"")</f>
        <v/>
      </c>
      <c r="GA494" s="0" t="str">
        <f aca="false">IF($A494="","",IF(AND(I494="walk-in",CN494="pass",U494="new",FT494="N",FV494="N",AQ494&lt;&gt;"Y"),"Y","N"))</f>
        <v/>
      </c>
      <c r="GB494" s="0" t="str">
        <f aca="false">IF(GA494&lt;&gt;"Y","",IF(COUNTIFS($GA$2:$GA$1000,"Y",$J$2:$J$1000,"&gt;"&amp;J494)+COUNTIFS($GA$2:$GA$1000,"Y",$J$2:$J$1000,J494,$GD$2:$GD$1000,"&lt;"&amp;GD494)+1&lt;=25,COUNTIFS($GA$2:$GA$1000,"Y",$J$2:$J$1000,"&gt;"&amp;J494)+COUNTIFS($GA$2:$GA$1000,"Y",$J$2:$J$1000,J494,$GD$2:$GD$1000,"&lt;"&amp;GD494)+1,""))</f>
        <v/>
      </c>
      <c r="GC494" s="0" t="str">
        <f aca="false">IF(AND(_xlfn.ISFORMULA(C494),_xlfn.ISFORMULA(J494)),"Y","N")</f>
        <v>Y</v>
      </c>
      <c r="GD494" s="0" t="n">
        <f aca="false">ROW()-1</f>
        <v>493</v>
      </c>
    </row>
    <row r="495" customFormat="false" ht="15" hidden="false" customHeight="false" outlineLevel="0" collapsed="false">
      <c r="C495" s="0" t="str">
        <f aca="false">IF($A495="","",IF(AW495="Y",BM495&amp;"",AY495&amp;""))</f>
        <v/>
      </c>
      <c r="D495" s="0" t="str">
        <f aca="false">IF($A495="","",IF(AW495="Y",BN495&amp;"",AZ495&amp;""))</f>
        <v/>
      </c>
      <c r="E495" s="0" t="str">
        <f aca="false">IF($A495="","",IF(AW495="Y",BO495&amp;"",BA495&amp;""))</f>
        <v/>
      </c>
      <c r="F495" s="0" t="str">
        <f aca="false">IF($A495="","",IF(AW495="Y",BP495&amp;"",BB495&amp;""))</f>
        <v/>
      </c>
      <c r="G495" s="0" t="str">
        <f aca="false">IF($A495="","",IF(AW495="Y",BQ495&amp;"",BC495&amp;""))</f>
        <v/>
      </c>
      <c r="H495" s="0" t="str">
        <f aca="false">IF($A495="","",IF(AW495="Y",BR495&amp;"",BD495&amp;""))</f>
        <v/>
      </c>
      <c r="I495" s="0" t="str">
        <f aca="false">IF($A495="","",IF(R495="Y","warm-intro",IF(H495="verified","email",IF(C495&lt;&gt;"","linkedin",CB495&amp;""))))</f>
        <v/>
      </c>
      <c r="J495" s="0" t="str">
        <f aca="false">IF($A495="","",IF(CN495="pass",ROUND(N(EM495)+N(EN495)+N(EO495)+N(EP495)+N(EQ495)+N(ER495),1),0))</f>
        <v/>
      </c>
      <c r="K495" s="0" t="str">
        <f aca="false">IF($A495="","",IF(CN495&lt;&gt;"pass",CA495&amp;"",CA495&amp;"; "&amp;IF(AW495="Y",BZ495&amp;"",BL495&amp;"")&amp;IF(R495="Y","; known to the founder (+15)","")&amp;"."))</f>
        <v/>
      </c>
      <c r="R495" s="5"/>
      <c r="U495" s="5"/>
      <c r="Y495" s="0" t="str">
        <f aca="false">IF(FX495&lt;&gt;"Y","",COUNTIFS($FX$2:$FX$1000,"Y",$J$2:$J$1000,"&gt;"&amp;J495)+COUNTIFS($FX$2:$FX$1000,"Y",$J$2:$J$1000,J495,$GD$2:$GD$1000,"&lt;"&amp;GD495)+1)</f>
        <v/>
      </c>
      <c r="AB495" s="0" t="str">
        <f aca="false">IF($A495="","",IF(AW495="Y",BY495&amp;"",BK495&amp;""))</f>
        <v/>
      </c>
      <c r="AC495" s="0" t="str">
        <f aca="false">IF($A495="","",IF(AW495="Y",BS495&amp;"",BE495&amp;""))</f>
        <v/>
      </c>
      <c r="AD495" s="0" t="str">
        <f aca="false">IF($A495="","",IF(AW495="Y",BT495&amp;"",BF495&amp;""))</f>
        <v/>
      </c>
      <c r="AE495" s="0" t="str">
        <f aca="false">IF($A495="","",IF(AW495="Y",BU495&amp;"",BG495&amp;""))</f>
        <v/>
      </c>
      <c r="AF495" s="0" t="str">
        <f aca="false">IF($A495="","",IF(AW495="Y",BV495&amp;"",BH495&amp;""))</f>
        <v/>
      </c>
      <c r="AG495" s="0" t="str">
        <f aca="false">IF($A495="","",IF(AW495="Y",BW495&amp;"",BI495&amp;""))</f>
        <v/>
      </c>
      <c r="AH495" s="0" t="str">
        <f aca="false">IF($A495="","",IF(AW495="Y",BX495&amp;"",BJ495&amp;""))</f>
        <v/>
      </c>
      <c r="AQ495" s="5"/>
      <c r="AT495" s="0" t="str">
        <f aca="false">IF($A495="","",IF(AND(CN495="pass",AQ495&lt;&gt;"Y",C495&lt;&gt;"",OR(AX495&lt;&gt;"Y",AV495="Y")),"Y","N"))</f>
        <v/>
      </c>
      <c r="AU495" s="0" t="str">
        <f aca="false">IF($A495="","",_xlfn.TEXTJOIN("; ",TRUE(),IF(CN495&lt;&gt;"pass","gated out",""),IF(AQ495="Y","on hold: "&amp;AR495,""),IF(C495="","no contact named on an opened page",""),IF(AND(AX495="Y",AV495&lt;&gt;"Y"),"Tuesday estimate band "&amp;L495&amp;": founder's call","")))</f>
        <v/>
      </c>
      <c r="BC495" s="0" t="str">
        <f aca="false">IF($A495="","",IFERROR(INDEX(Enrichment!$A$2:$GZ$2000,MATCH($A495,INDEX(Enrichment!$A$2:$GZ$2000,0,MATCH("row_id",Enrichment!$A$1:$GZ$1,0)),0),MATCH("work_email",Enrichment!$A$1:$GZ$1,0))&amp;"",""))</f>
        <v/>
      </c>
      <c r="BD495" s="0" t="str">
        <f aca="false">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Q495" s="0" t="str">
        <f aca="false">IF($A495="","",IFERROR(INDEX(Enrichment!$A$2:$GZ$2000,MATCH($A495,INDEX(Enrichment!$A$2:$GZ$2000,0,MATCH("row_id",Enrichment!$A$1:$GZ$1,0)),0),MATCH("backup_work_email",Enrichment!$A$1:$GZ$1,0))&amp;"",""))</f>
        <v/>
      </c>
      <c r="BR495" s="0" t="str">
        <f aca="false">IF($A495="","",IF(BQ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EQ495" s="0" t="str">
        <f aca="false">IF($A495="","",IF(AH495="exact",10,IF(AH495="adjacent",5,0)))</f>
        <v/>
      </c>
      <c r="ER495" s="0" t="str">
        <f aca="false">IF($A495="","",IF(R495="Y",15,0))</f>
        <v/>
      </c>
      <c r="FS495" s="0" t="str">
        <f aca="false">IF($A495="","",IF(ISNUMBER(MATCH(U495,{"queued","contacted","replied","call_booked","call_done","yes_in_principle","materials_sent"},0)),"Y","N"))</f>
        <v/>
      </c>
      <c r="FT495" s="0" t="str">
        <f aca="false">IF($A495="","",IF(OR(T495="Y",U495="do_not_contact",AS495&amp;""&lt;&gt;""),"Y","N"))</f>
        <v/>
      </c>
      <c r="FU495" s="0" t="str">
        <f aca="false">IF($A495="","",IF(AP495&amp;""&lt;&gt;"",AP495&amp;"",$A495))</f>
        <v/>
      </c>
      <c r="FV495" s="0" t="str">
        <f aca="false">IF($A495="","",IF(COUNTIFS($FU$2:$FU$1000,FU495,$FS$2:$FS$1000,"Y")+COUNTIFS($FU$2:$FU$1000,FU495,$FT$2:$FT$1000,"Y")&gt;0,"Y","N"))</f>
        <v/>
      </c>
      <c r="FW495" s="0" t="str">
        <f aca="false">IF($A495="","",IF(AND(U495="new",T495="N",FT495="N",AT495="Y",FV495="N"),"Y","N"))</f>
        <v/>
      </c>
      <c r="FX495" s="0" t="str">
        <f aca="false">IF($A495="","",IF(FW495&lt;&gt;"Y","N",IF(COUNTIFS($FU$2:$FU$1000,FU495,$FW$2:$FW$1000,"Y",$J$2:$J$1000,"&gt;"&amp;J495)+COUNTIFS($FU$2:$FU$1000,FU495,$FW$2:$FW$1000,"Y",$J$2:$J$1000,J495,$GD$2:$GD$1000,"&lt;"&amp;GD495)=0,"Y","N")))</f>
        <v/>
      </c>
      <c r="FY495" s="0" t="str">
        <f aca="false">IF($A495="","",IF(AND(FW495="Y",FX495="Y",Y495&amp;""&lt;&gt;""),IF(Y495&lt;=10,"Y","N"),"N"))</f>
        <v/>
      </c>
      <c r="FZ495" s="0" t="str">
        <f aca="false">IF(FY495="Y",Y495,"")</f>
        <v/>
      </c>
      <c r="GA495" s="0" t="str">
        <f aca="false">IF($A495="","",IF(AND(I495="walk-in",CN495="pass",U495="new",FT495="N",FV495="N",AQ495&lt;&gt;"Y"),"Y","N"))</f>
        <v/>
      </c>
      <c r="GB495" s="0" t="str">
        <f aca="false">IF(GA495&lt;&gt;"Y","",IF(COUNTIFS($GA$2:$GA$1000,"Y",$J$2:$J$1000,"&gt;"&amp;J495)+COUNTIFS($GA$2:$GA$1000,"Y",$J$2:$J$1000,J495,$GD$2:$GD$1000,"&lt;"&amp;GD495)+1&lt;=25,COUNTIFS($GA$2:$GA$1000,"Y",$J$2:$J$1000,"&gt;"&amp;J495)+COUNTIFS($GA$2:$GA$1000,"Y",$J$2:$J$1000,J495,$GD$2:$GD$1000,"&lt;"&amp;GD495)+1,""))</f>
        <v/>
      </c>
      <c r="GC495" s="0" t="str">
        <f aca="false">IF(AND(_xlfn.ISFORMULA(C495),_xlfn.ISFORMULA(J495)),"Y","N")</f>
        <v>Y</v>
      </c>
      <c r="GD495" s="0" t="n">
        <f aca="false">ROW()-1</f>
        <v>494</v>
      </c>
    </row>
    <row r="496" customFormat="false" ht="15" hidden="false" customHeight="false" outlineLevel="0" collapsed="false">
      <c r="C496" s="0" t="str">
        <f aca="false">IF($A496="","",IF(AW496="Y",BM496&amp;"",AY496&amp;""))</f>
        <v/>
      </c>
      <c r="D496" s="0" t="str">
        <f aca="false">IF($A496="","",IF(AW496="Y",BN496&amp;"",AZ496&amp;""))</f>
        <v/>
      </c>
      <c r="E496" s="0" t="str">
        <f aca="false">IF($A496="","",IF(AW496="Y",BO496&amp;"",BA496&amp;""))</f>
        <v/>
      </c>
      <c r="F496" s="0" t="str">
        <f aca="false">IF($A496="","",IF(AW496="Y",BP496&amp;"",BB496&amp;""))</f>
        <v/>
      </c>
      <c r="G496" s="0" t="str">
        <f aca="false">IF($A496="","",IF(AW496="Y",BQ496&amp;"",BC496&amp;""))</f>
        <v/>
      </c>
      <c r="H496" s="0" t="str">
        <f aca="false">IF($A496="","",IF(AW496="Y",BR496&amp;"",BD496&amp;""))</f>
        <v/>
      </c>
      <c r="I496" s="0" t="str">
        <f aca="false">IF($A496="","",IF(R496="Y","warm-intro",IF(H496="verified","email",IF(C496&lt;&gt;"","linkedin",CB496&amp;""))))</f>
        <v/>
      </c>
      <c r="J496" s="0" t="str">
        <f aca="false">IF($A496="","",IF(CN496="pass",ROUND(N(EM496)+N(EN496)+N(EO496)+N(EP496)+N(EQ496)+N(ER496),1),0))</f>
        <v/>
      </c>
      <c r="K496" s="0" t="str">
        <f aca="false">IF($A496="","",IF(CN496&lt;&gt;"pass",CA496&amp;"",CA496&amp;"; "&amp;IF(AW496="Y",BZ496&amp;"",BL496&amp;"")&amp;IF(R496="Y","; known to the founder (+15)","")&amp;"."))</f>
        <v/>
      </c>
      <c r="R496" s="5"/>
      <c r="U496" s="5"/>
      <c r="Y496" s="0" t="str">
        <f aca="false">IF(FX496&lt;&gt;"Y","",COUNTIFS($FX$2:$FX$1000,"Y",$J$2:$J$1000,"&gt;"&amp;J496)+COUNTIFS($FX$2:$FX$1000,"Y",$J$2:$J$1000,J496,$GD$2:$GD$1000,"&lt;"&amp;GD496)+1)</f>
        <v/>
      </c>
      <c r="AB496" s="0" t="str">
        <f aca="false">IF($A496="","",IF(AW496="Y",BY496&amp;"",BK496&amp;""))</f>
        <v/>
      </c>
      <c r="AC496" s="0" t="str">
        <f aca="false">IF($A496="","",IF(AW496="Y",BS496&amp;"",BE496&amp;""))</f>
        <v/>
      </c>
      <c r="AD496" s="0" t="str">
        <f aca="false">IF($A496="","",IF(AW496="Y",BT496&amp;"",BF496&amp;""))</f>
        <v/>
      </c>
      <c r="AE496" s="0" t="str">
        <f aca="false">IF($A496="","",IF(AW496="Y",BU496&amp;"",BG496&amp;""))</f>
        <v/>
      </c>
      <c r="AF496" s="0" t="str">
        <f aca="false">IF($A496="","",IF(AW496="Y",BV496&amp;"",BH496&amp;""))</f>
        <v/>
      </c>
      <c r="AG496" s="0" t="str">
        <f aca="false">IF($A496="","",IF(AW496="Y",BW496&amp;"",BI496&amp;""))</f>
        <v/>
      </c>
      <c r="AH496" s="0" t="str">
        <f aca="false">IF($A496="","",IF(AW496="Y",BX496&amp;"",BJ496&amp;""))</f>
        <v/>
      </c>
      <c r="AQ496" s="5"/>
      <c r="AT496" s="0" t="str">
        <f aca="false">IF($A496="","",IF(AND(CN496="pass",AQ496&lt;&gt;"Y",C496&lt;&gt;"",OR(AX496&lt;&gt;"Y",AV496="Y")),"Y","N"))</f>
        <v/>
      </c>
      <c r="AU496" s="0" t="str">
        <f aca="false">IF($A496="","",_xlfn.TEXTJOIN("; ",TRUE(),IF(CN496&lt;&gt;"pass","gated out",""),IF(AQ496="Y","on hold: "&amp;AR496,""),IF(C496="","no contact named on an opened page",""),IF(AND(AX496="Y",AV496&lt;&gt;"Y"),"Tuesday estimate band "&amp;L496&amp;": founder's call","")))</f>
        <v/>
      </c>
      <c r="BC496" s="0" t="str">
        <f aca="false">IF($A496="","",IFERROR(INDEX(Enrichment!$A$2:$GZ$2000,MATCH($A496,INDEX(Enrichment!$A$2:$GZ$2000,0,MATCH("row_id",Enrichment!$A$1:$GZ$1,0)),0),MATCH("work_email",Enrichment!$A$1:$GZ$1,0))&amp;"",""))</f>
        <v/>
      </c>
      <c r="BD496" s="0" t="str">
        <f aca="false">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Q496" s="0" t="str">
        <f aca="false">IF($A496="","",IFERROR(INDEX(Enrichment!$A$2:$GZ$2000,MATCH($A496,INDEX(Enrichment!$A$2:$GZ$2000,0,MATCH("row_id",Enrichment!$A$1:$GZ$1,0)),0),MATCH("backup_work_email",Enrichment!$A$1:$GZ$1,0))&amp;"",""))</f>
        <v/>
      </c>
      <c r="BR496" s="0" t="str">
        <f aca="false">IF($A496="","",IF(BQ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EQ496" s="0" t="str">
        <f aca="false">IF($A496="","",IF(AH496="exact",10,IF(AH496="adjacent",5,0)))</f>
        <v/>
      </c>
      <c r="ER496" s="0" t="str">
        <f aca="false">IF($A496="","",IF(R496="Y",15,0))</f>
        <v/>
      </c>
      <c r="FS496" s="0" t="str">
        <f aca="false">IF($A496="","",IF(ISNUMBER(MATCH(U496,{"queued","contacted","replied","call_booked","call_done","yes_in_principle","materials_sent"},0)),"Y","N"))</f>
        <v/>
      </c>
      <c r="FT496" s="0" t="str">
        <f aca="false">IF($A496="","",IF(OR(T496="Y",U496="do_not_contact",AS496&amp;""&lt;&gt;""),"Y","N"))</f>
        <v/>
      </c>
      <c r="FU496" s="0" t="str">
        <f aca="false">IF($A496="","",IF(AP496&amp;""&lt;&gt;"",AP496&amp;"",$A496))</f>
        <v/>
      </c>
      <c r="FV496" s="0" t="str">
        <f aca="false">IF($A496="","",IF(COUNTIFS($FU$2:$FU$1000,FU496,$FS$2:$FS$1000,"Y")+COUNTIFS($FU$2:$FU$1000,FU496,$FT$2:$FT$1000,"Y")&gt;0,"Y","N"))</f>
        <v/>
      </c>
      <c r="FW496" s="0" t="str">
        <f aca="false">IF($A496="","",IF(AND(U496="new",T496="N",FT496="N",AT496="Y",FV496="N"),"Y","N"))</f>
        <v/>
      </c>
      <c r="FX496" s="0" t="str">
        <f aca="false">IF($A496="","",IF(FW496&lt;&gt;"Y","N",IF(COUNTIFS($FU$2:$FU$1000,FU496,$FW$2:$FW$1000,"Y",$J$2:$J$1000,"&gt;"&amp;J496)+COUNTIFS($FU$2:$FU$1000,FU496,$FW$2:$FW$1000,"Y",$J$2:$J$1000,J496,$GD$2:$GD$1000,"&lt;"&amp;GD496)=0,"Y","N")))</f>
        <v/>
      </c>
      <c r="FY496" s="0" t="str">
        <f aca="false">IF($A496="","",IF(AND(FW496="Y",FX496="Y",Y496&amp;""&lt;&gt;""),IF(Y496&lt;=10,"Y","N"),"N"))</f>
        <v/>
      </c>
      <c r="FZ496" s="0" t="str">
        <f aca="false">IF(FY496="Y",Y496,"")</f>
        <v/>
      </c>
      <c r="GA496" s="0" t="str">
        <f aca="false">IF($A496="","",IF(AND(I496="walk-in",CN496="pass",U496="new",FT496="N",FV496="N",AQ496&lt;&gt;"Y"),"Y","N"))</f>
        <v/>
      </c>
      <c r="GB496" s="0" t="str">
        <f aca="false">IF(GA496&lt;&gt;"Y","",IF(COUNTIFS($GA$2:$GA$1000,"Y",$J$2:$J$1000,"&gt;"&amp;J496)+COUNTIFS($GA$2:$GA$1000,"Y",$J$2:$J$1000,J496,$GD$2:$GD$1000,"&lt;"&amp;GD496)+1&lt;=25,COUNTIFS($GA$2:$GA$1000,"Y",$J$2:$J$1000,"&gt;"&amp;J496)+COUNTIFS($GA$2:$GA$1000,"Y",$J$2:$J$1000,J496,$GD$2:$GD$1000,"&lt;"&amp;GD496)+1,""))</f>
        <v/>
      </c>
      <c r="GC496" s="0" t="str">
        <f aca="false">IF(AND(_xlfn.ISFORMULA(C496),_xlfn.ISFORMULA(J496)),"Y","N")</f>
        <v>Y</v>
      </c>
      <c r="GD496" s="0" t="n">
        <f aca="false">ROW()-1</f>
        <v>495</v>
      </c>
    </row>
    <row r="497" customFormat="false" ht="15" hidden="false" customHeight="false" outlineLevel="0" collapsed="false">
      <c r="C497" s="0" t="str">
        <f aca="false">IF($A497="","",IF(AW497="Y",BM497&amp;"",AY497&amp;""))</f>
        <v/>
      </c>
      <c r="D497" s="0" t="str">
        <f aca="false">IF($A497="","",IF(AW497="Y",BN497&amp;"",AZ497&amp;""))</f>
        <v/>
      </c>
      <c r="E497" s="0" t="str">
        <f aca="false">IF($A497="","",IF(AW497="Y",BO497&amp;"",BA497&amp;""))</f>
        <v/>
      </c>
      <c r="F497" s="0" t="str">
        <f aca="false">IF($A497="","",IF(AW497="Y",BP497&amp;"",BB497&amp;""))</f>
        <v/>
      </c>
      <c r="G497" s="0" t="str">
        <f aca="false">IF($A497="","",IF(AW497="Y",BQ497&amp;"",BC497&amp;""))</f>
        <v/>
      </c>
      <c r="H497" s="0" t="str">
        <f aca="false">IF($A497="","",IF(AW497="Y",BR497&amp;"",BD497&amp;""))</f>
        <v/>
      </c>
      <c r="I497" s="0" t="str">
        <f aca="false">IF($A497="","",IF(R497="Y","warm-intro",IF(H497="verified","email",IF(C497&lt;&gt;"","linkedin",CB497&amp;""))))</f>
        <v/>
      </c>
      <c r="J497" s="0" t="str">
        <f aca="false">IF($A497="","",IF(CN497="pass",ROUND(N(EM497)+N(EN497)+N(EO497)+N(EP497)+N(EQ497)+N(ER497),1),0))</f>
        <v/>
      </c>
      <c r="K497" s="0" t="str">
        <f aca="false">IF($A497="","",IF(CN497&lt;&gt;"pass",CA497&amp;"",CA497&amp;"; "&amp;IF(AW497="Y",BZ497&amp;"",BL497&amp;"")&amp;IF(R497="Y","; known to the founder (+15)","")&amp;"."))</f>
        <v/>
      </c>
      <c r="R497" s="5"/>
      <c r="U497" s="5"/>
      <c r="Y497" s="0" t="str">
        <f aca="false">IF(FX497&lt;&gt;"Y","",COUNTIFS($FX$2:$FX$1000,"Y",$J$2:$J$1000,"&gt;"&amp;J497)+COUNTIFS($FX$2:$FX$1000,"Y",$J$2:$J$1000,J497,$GD$2:$GD$1000,"&lt;"&amp;GD497)+1)</f>
        <v/>
      </c>
      <c r="AB497" s="0" t="str">
        <f aca="false">IF($A497="","",IF(AW497="Y",BY497&amp;"",BK497&amp;""))</f>
        <v/>
      </c>
      <c r="AC497" s="0" t="str">
        <f aca="false">IF($A497="","",IF(AW497="Y",BS497&amp;"",BE497&amp;""))</f>
        <v/>
      </c>
      <c r="AD497" s="0" t="str">
        <f aca="false">IF($A497="","",IF(AW497="Y",BT497&amp;"",BF497&amp;""))</f>
        <v/>
      </c>
      <c r="AE497" s="0" t="str">
        <f aca="false">IF($A497="","",IF(AW497="Y",BU497&amp;"",BG497&amp;""))</f>
        <v/>
      </c>
      <c r="AF497" s="0" t="str">
        <f aca="false">IF($A497="","",IF(AW497="Y",BV497&amp;"",BH497&amp;""))</f>
        <v/>
      </c>
      <c r="AG497" s="0" t="str">
        <f aca="false">IF($A497="","",IF(AW497="Y",BW497&amp;"",BI497&amp;""))</f>
        <v/>
      </c>
      <c r="AH497" s="0" t="str">
        <f aca="false">IF($A497="","",IF(AW497="Y",BX497&amp;"",BJ497&amp;""))</f>
        <v/>
      </c>
      <c r="AQ497" s="5"/>
      <c r="AT497" s="0" t="str">
        <f aca="false">IF($A497="","",IF(AND(CN497="pass",AQ497&lt;&gt;"Y",C497&lt;&gt;"",OR(AX497&lt;&gt;"Y",AV497="Y")),"Y","N"))</f>
        <v/>
      </c>
      <c r="AU497" s="0" t="str">
        <f aca="false">IF($A497="","",_xlfn.TEXTJOIN("; ",TRUE(),IF(CN497&lt;&gt;"pass","gated out",""),IF(AQ497="Y","on hold: "&amp;AR497,""),IF(C497="","no contact named on an opened page",""),IF(AND(AX497="Y",AV497&lt;&gt;"Y"),"Tuesday estimate band "&amp;L497&amp;": founder's call","")))</f>
        <v/>
      </c>
      <c r="BC497" s="0" t="str">
        <f aca="false">IF($A497="","",IFERROR(INDEX(Enrichment!$A$2:$GZ$2000,MATCH($A497,INDEX(Enrichment!$A$2:$GZ$2000,0,MATCH("row_id",Enrichment!$A$1:$GZ$1,0)),0),MATCH("work_email",Enrichment!$A$1:$GZ$1,0))&amp;"",""))</f>
        <v/>
      </c>
      <c r="BD497" s="0" t="str">
        <f aca="false">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Q497" s="0" t="str">
        <f aca="false">IF($A497="","",IFERROR(INDEX(Enrichment!$A$2:$GZ$2000,MATCH($A497,INDEX(Enrichment!$A$2:$GZ$2000,0,MATCH("row_id",Enrichment!$A$1:$GZ$1,0)),0),MATCH("backup_work_email",Enrichment!$A$1:$GZ$1,0))&amp;"",""))</f>
        <v/>
      </c>
      <c r="BR497" s="0" t="str">
        <f aca="false">IF($A497="","",IF(BQ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EQ497" s="0" t="str">
        <f aca="false">IF($A497="","",IF(AH497="exact",10,IF(AH497="adjacent",5,0)))</f>
        <v/>
      </c>
      <c r="ER497" s="0" t="str">
        <f aca="false">IF($A497="","",IF(R497="Y",15,0))</f>
        <v/>
      </c>
      <c r="FS497" s="0" t="str">
        <f aca="false">IF($A497="","",IF(ISNUMBER(MATCH(U497,{"queued","contacted","replied","call_booked","call_done","yes_in_principle","materials_sent"},0)),"Y","N"))</f>
        <v/>
      </c>
      <c r="FT497" s="0" t="str">
        <f aca="false">IF($A497="","",IF(OR(T497="Y",U497="do_not_contact",AS497&amp;""&lt;&gt;""),"Y","N"))</f>
        <v/>
      </c>
      <c r="FU497" s="0" t="str">
        <f aca="false">IF($A497="","",IF(AP497&amp;""&lt;&gt;"",AP497&amp;"",$A497))</f>
        <v/>
      </c>
      <c r="FV497" s="0" t="str">
        <f aca="false">IF($A497="","",IF(COUNTIFS($FU$2:$FU$1000,FU497,$FS$2:$FS$1000,"Y")+COUNTIFS($FU$2:$FU$1000,FU497,$FT$2:$FT$1000,"Y")&gt;0,"Y","N"))</f>
        <v/>
      </c>
      <c r="FW497" s="0" t="str">
        <f aca="false">IF($A497="","",IF(AND(U497="new",T497="N",FT497="N",AT497="Y",FV497="N"),"Y","N"))</f>
        <v/>
      </c>
      <c r="FX497" s="0" t="str">
        <f aca="false">IF($A497="","",IF(FW497&lt;&gt;"Y","N",IF(COUNTIFS($FU$2:$FU$1000,FU497,$FW$2:$FW$1000,"Y",$J$2:$J$1000,"&gt;"&amp;J497)+COUNTIFS($FU$2:$FU$1000,FU497,$FW$2:$FW$1000,"Y",$J$2:$J$1000,J497,$GD$2:$GD$1000,"&lt;"&amp;GD497)=0,"Y","N")))</f>
        <v/>
      </c>
      <c r="FY497" s="0" t="str">
        <f aca="false">IF($A497="","",IF(AND(FW497="Y",FX497="Y",Y497&amp;""&lt;&gt;""),IF(Y497&lt;=10,"Y","N"),"N"))</f>
        <v/>
      </c>
      <c r="FZ497" s="0" t="str">
        <f aca="false">IF(FY497="Y",Y497,"")</f>
        <v/>
      </c>
      <c r="GA497" s="0" t="str">
        <f aca="false">IF($A497="","",IF(AND(I497="walk-in",CN497="pass",U497="new",FT497="N",FV497="N",AQ497&lt;&gt;"Y"),"Y","N"))</f>
        <v/>
      </c>
      <c r="GB497" s="0" t="str">
        <f aca="false">IF(GA497&lt;&gt;"Y","",IF(COUNTIFS($GA$2:$GA$1000,"Y",$J$2:$J$1000,"&gt;"&amp;J497)+COUNTIFS($GA$2:$GA$1000,"Y",$J$2:$J$1000,J497,$GD$2:$GD$1000,"&lt;"&amp;GD497)+1&lt;=25,COUNTIFS($GA$2:$GA$1000,"Y",$J$2:$J$1000,"&gt;"&amp;J497)+COUNTIFS($GA$2:$GA$1000,"Y",$J$2:$J$1000,J497,$GD$2:$GD$1000,"&lt;"&amp;GD497)+1,""))</f>
        <v/>
      </c>
      <c r="GC497" s="0" t="str">
        <f aca="false">IF(AND(_xlfn.ISFORMULA(C497),_xlfn.ISFORMULA(J497)),"Y","N")</f>
        <v>Y</v>
      </c>
      <c r="GD497" s="0" t="n">
        <f aca="false">ROW()-1</f>
        <v>496</v>
      </c>
    </row>
    <row r="498" customFormat="false" ht="15" hidden="false" customHeight="false" outlineLevel="0" collapsed="false">
      <c r="C498" s="0" t="str">
        <f aca="false">IF($A498="","",IF(AW498="Y",BM498&amp;"",AY498&amp;""))</f>
        <v/>
      </c>
      <c r="D498" s="0" t="str">
        <f aca="false">IF($A498="","",IF(AW498="Y",BN498&amp;"",AZ498&amp;""))</f>
        <v/>
      </c>
      <c r="E498" s="0" t="str">
        <f aca="false">IF($A498="","",IF(AW498="Y",BO498&amp;"",BA498&amp;""))</f>
        <v/>
      </c>
      <c r="F498" s="0" t="str">
        <f aca="false">IF($A498="","",IF(AW498="Y",BP498&amp;"",BB498&amp;""))</f>
        <v/>
      </c>
      <c r="G498" s="0" t="str">
        <f aca="false">IF($A498="","",IF(AW498="Y",BQ498&amp;"",BC498&amp;""))</f>
        <v/>
      </c>
      <c r="H498" s="0" t="str">
        <f aca="false">IF($A498="","",IF(AW498="Y",BR498&amp;"",BD498&amp;""))</f>
        <v/>
      </c>
      <c r="I498" s="0" t="str">
        <f aca="false">IF($A498="","",IF(R498="Y","warm-intro",IF(H498="verified","email",IF(C498&lt;&gt;"","linkedin",CB498&amp;""))))</f>
        <v/>
      </c>
      <c r="J498" s="0" t="str">
        <f aca="false">IF($A498="","",IF(CN498="pass",ROUND(N(EM498)+N(EN498)+N(EO498)+N(EP498)+N(EQ498)+N(ER498),1),0))</f>
        <v/>
      </c>
      <c r="K498" s="0" t="str">
        <f aca="false">IF($A498="","",IF(CN498&lt;&gt;"pass",CA498&amp;"",CA498&amp;"; "&amp;IF(AW498="Y",BZ498&amp;"",BL498&amp;"")&amp;IF(R498="Y","; known to the founder (+15)","")&amp;"."))</f>
        <v/>
      </c>
      <c r="R498" s="5"/>
      <c r="U498" s="5"/>
      <c r="Y498" s="0" t="str">
        <f aca="false">IF(FX498&lt;&gt;"Y","",COUNTIFS($FX$2:$FX$1000,"Y",$J$2:$J$1000,"&gt;"&amp;J498)+COUNTIFS($FX$2:$FX$1000,"Y",$J$2:$J$1000,J498,$GD$2:$GD$1000,"&lt;"&amp;GD498)+1)</f>
        <v/>
      </c>
      <c r="AB498" s="0" t="str">
        <f aca="false">IF($A498="","",IF(AW498="Y",BY498&amp;"",BK498&amp;""))</f>
        <v/>
      </c>
      <c r="AC498" s="0" t="str">
        <f aca="false">IF($A498="","",IF(AW498="Y",BS498&amp;"",BE498&amp;""))</f>
        <v/>
      </c>
      <c r="AD498" s="0" t="str">
        <f aca="false">IF($A498="","",IF(AW498="Y",BT498&amp;"",BF498&amp;""))</f>
        <v/>
      </c>
      <c r="AE498" s="0" t="str">
        <f aca="false">IF($A498="","",IF(AW498="Y",BU498&amp;"",BG498&amp;""))</f>
        <v/>
      </c>
      <c r="AF498" s="0" t="str">
        <f aca="false">IF($A498="","",IF(AW498="Y",BV498&amp;"",BH498&amp;""))</f>
        <v/>
      </c>
      <c r="AG498" s="0" t="str">
        <f aca="false">IF($A498="","",IF(AW498="Y",BW498&amp;"",BI498&amp;""))</f>
        <v/>
      </c>
      <c r="AH498" s="0" t="str">
        <f aca="false">IF($A498="","",IF(AW498="Y",BX498&amp;"",BJ498&amp;""))</f>
        <v/>
      </c>
      <c r="AQ498" s="5"/>
      <c r="AT498" s="0" t="str">
        <f aca="false">IF($A498="","",IF(AND(CN498="pass",AQ498&lt;&gt;"Y",C498&lt;&gt;"",OR(AX498&lt;&gt;"Y",AV498="Y")),"Y","N"))</f>
        <v/>
      </c>
      <c r="AU498" s="0" t="str">
        <f aca="false">IF($A498="","",_xlfn.TEXTJOIN("; ",TRUE(),IF(CN498&lt;&gt;"pass","gated out",""),IF(AQ498="Y","on hold: "&amp;AR498,""),IF(C498="","no contact named on an opened page",""),IF(AND(AX498="Y",AV498&lt;&gt;"Y"),"Tuesday estimate band "&amp;L498&amp;": founder's call","")))</f>
        <v/>
      </c>
      <c r="BC498" s="0" t="str">
        <f aca="false">IF($A498="","",IFERROR(INDEX(Enrichment!$A$2:$GZ$2000,MATCH($A498,INDEX(Enrichment!$A$2:$GZ$2000,0,MATCH("row_id",Enrichment!$A$1:$GZ$1,0)),0),MATCH("work_email",Enrichment!$A$1:$GZ$1,0))&amp;"",""))</f>
        <v/>
      </c>
      <c r="BD498" s="0" t="str">
        <f aca="false">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Q498" s="0" t="str">
        <f aca="false">IF($A498="","",IFERROR(INDEX(Enrichment!$A$2:$GZ$2000,MATCH($A498,INDEX(Enrichment!$A$2:$GZ$2000,0,MATCH("row_id",Enrichment!$A$1:$GZ$1,0)),0),MATCH("backup_work_email",Enrichment!$A$1:$GZ$1,0))&amp;"",""))</f>
        <v/>
      </c>
      <c r="BR498" s="0" t="str">
        <f aca="false">IF($A498="","",IF(BQ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EQ498" s="0" t="str">
        <f aca="false">IF($A498="","",IF(AH498="exact",10,IF(AH498="adjacent",5,0)))</f>
        <v/>
      </c>
      <c r="ER498" s="0" t="str">
        <f aca="false">IF($A498="","",IF(R498="Y",15,0))</f>
        <v/>
      </c>
      <c r="FS498" s="0" t="str">
        <f aca="false">IF($A498="","",IF(ISNUMBER(MATCH(U498,{"queued","contacted","replied","call_booked","call_done","yes_in_principle","materials_sent"},0)),"Y","N"))</f>
        <v/>
      </c>
      <c r="FT498" s="0" t="str">
        <f aca="false">IF($A498="","",IF(OR(T498="Y",U498="do_not_contact",AS498&amp;""&lt;&gt;""),"Y","N"))</f>
        <v/>
      </c>
      <c r="FU498" s="0" t="str">
        <f aca="false">IF($A498="","",IF(AP498&amp;""&lt;&gt;"",AP498&amp;"",$A498))</f>
        <v/>
      </c>
      <c r="FV498" s="0" t="str">
        <f aca="false">IF($A498="","",IF(COUNTIFS($FU$2:$FU$1000,FU498,$FS$2:$FS$1000,"Y")+COUNTIFS($FU$2:$FU$1000,FU498,$FT$2:$FT$1000,"Y")&gt;0,"Y","N"))</f>
        <v/>
      </c>
      <c r="FW498" s="0" t="str">
        <f aca="false">IF($A498="","",IF(AND(U498="new",T498="N",FT498="N",AT498="Y",FV498="N"),"Y","N"))</f>
        <v/>
      </c>
      <c r="FX498" s="0" t="str">
        <f aca="false">IF($A498="","",IF(FW498&lt;&gt;"Y","N",IF(COUNTIFS($FU$2:$FU$1000,FU498,$FW$2:$FW$1000,"Y",$J$2:$J$1000,"&gt;"&amp;J498)+COUNTIFS($FU$2:$FU$1000,FU498,$FW$2:$FW$1000,"Y",$J$2:$J$1000,J498,$GD$2:$GD$1000,"&lt;"&amp;GD498)=0,"Y","N")))</f>
        <v/>
      </c>
      <c r="FY498" s="0" t="str">
        <f aca="false">IF($A498="","",IF(AND(FW498="Y",FX498="Y",Y498&amp;""&lt;&gt;""),IF(Y498&lt;=10,"Y","N"),"N"))</f>
        <v/>
      </c>
      <c r="FZ498" s="0" t="str">
        <f aca="false">IF(FY498="Y",Y498,"")</f>
        <v/>
      </c>
      <c r="GA498" s="0" t="str">
        <f aca="false">IF($A498="","",IF(AND(I498="walk-in",CN498="pass",U498="new",FT498="N",FV498="N",AQ498&lt;&gt;"Y"),"Y","N"))</f>
        <v/>
      </c>
      <c r="GB498" s="0" t="str">
        <f aca="false">IF(GA498&lt;&gt;"Y","",IF(COUNTIFS($GA$2:$GA$1000,"Y",$J$2:$J$1000,"&gt;"&amp;J498)+COUNTIFS($GA$2:$GA$1000,"Y",$J$2:$J$1000,J498,$GD$2:$GD$1000,"&lt;"&amp;GD498)+1&lt;=25,COUNTIFS($GA$2:$GA$1000,"Y",$J$2:$J$1000,"&gt;"&amp;J498)+COUNTIFS($GA$2:$GA$1000,"Y",$J$2:$J$1000,J498,$GD$2:$GD$1000,"&lt;"&amp;GD498)+1,""))</f>
        <v/>
      </c>
      <c r="GC498" s="0" t="str">
        <f aca="false">IF(AND(_xlfn.ISFORMULA(C498),_xlfn.ISFORMULA(J498)),"Y","N")</f>
        <v>Y</v>
      </c>
      <c r="GD498" s="0" t="n">
        <f aca="false">ROW()-1</f>
        <v>497</v>
      </c>
    </row>
    <row r="499" customFormat="false" ht="15" hidden="false" customHeight="false" outlineLevel="0" collapsed="false">
      <c r="C499" s="0" t="str">
        <f aca="false">IF($A499="","",IF(AW499="Y",BM499&amp;"",AY499&amp;""))</f>
        <v/>
      </c>
      <c r="D499" s="0" t="str">
        <f aca="false">IF($A499="","",IF(AW499="Y",BN499&amp;"",AZ499&amp;""))</f>
        <v/>
      </c>
      <c r="E499" s="0" t="str">
        <f aca="false">IF($A499="","",IF(AW499="Y",BO499&amp;"",BA499&amp;""))</f>
        <v/>
      </c>
      <c r="F499" s="0" t="str">
        <f aca="false">IF($A499="","",IF(AW499="Y",BP499&amp;"",BB499&amp;""))</f>
        <v/>
      </c>
      <c r="G499" s="0" t="str">
        <f aca="false">IF($A499="","",IF(AW499="Y",BQ499&amp;"",BC499&amp;""))</f>
        <v/>
      </c>
      <c r="H499" s="0" t="str">
        <f aca="false">IF($A499="","",IF(AW499="Y",BR499&amp;"",BD499&amp;""))</f>
        <v/>
      </c>
      <c r="I499" s="0" t="str">
        <f aca="false">IF($A499="","",IF(R499="Y","warm-intro",IF(H499="verified","email",IF(C499&lt;&gt;"","linkedin",CB499&amp;""))))</f>
        <v/>
      </c>
      <c r="J499" s="0" t="str">
        <f aca="false">IF($A499="","",IF(CN499="pass",ROUND(N(EM499)+N(EN499)+N(EO499)+N(EP499)+N(EQ499)+N(ER499),1),0))</f>
        <v/>
      </c>
      <c r="K499" s="0" t="str">
        <f aca="false">IF($A499="","",IF(CN499&lt;&gt;"pass",CA499&amp;"",CA499&amp;"; "&amp;IF(AW499="Y",BZ499&amp;"",BL499&amp;"")&amp;IF(R499="Y","; known to the founder (+15)","")&amp;"."))</f>
        <v/>
      </c>
      <c r="R499" s="5"/>
      <c r="U499" s="5"/>
      <c r="Y499" s="0" t="str">
        <f aca="false">IF(FX499&lt;&gt;"Y","",COUNTIFS($FX$2:$FX$1000,"Y",$J$2:$J$1000,"&gt;"&amp;J499)+COUNTIFS($FX$2:$FX$1000,"Y",$J$2:$J$1000,J499,$GD$2:$GD$1000,"&lt;"&amp;GD499)+1)</f>
        <v/>
      </c>
      <c r="AB499" s="0" t="str">
        <f aca="false">IF($A499="","",IF(AW499="Y",BY499&amp;"",BK499&amp;""))</f>
        <v/>
      </c>
      <c r="AC499" s="0" t="str">
        <f aca="false">IF($A499="","",IF(AW499="Y",BS499&amp;"",BE499&amp;""))</f>
        <v/>
      </c>
      <c r="AD499" s="0" t="str">
        <f aca="false">IF($A499="","",IF(AW499="Y",BT499&amp;"",BF499&amp;""))</f>
        <v/>
      </c>
      <c r="AE499" s="0" t="str">
        <f aca="false">IF($A499="","",IF(AW499="Y",BU499&amp;"",BG499&amp;""))</f>
        <v/>
      </c>
      <c r="AF499" s="0" t="str">
        <f aca="false">IF($A499="","",IF(AW499="Y",BV499&amp;"",BH499&amp;""))</f>
        <v/>
      </c>
      <c r="AG499" s="0" t="str">
        <f aca="false">IF($A499="","",IF(AW499="Y",BW499&amp;"",BI499&amp;""))</f>
        <v/>
      </c>
      <c r="AH499" s="0" t="str">
        <f aca="false">IF($A499="","",IF(AW499="Y",BX499&amp;"",BJ499&amp;""))</f>
        <v/>
      </c>
      <c r="AQ499" s="5"/>
      <c r="AT499" s="0" t="str">
        <f aca="false">IF($A499="","",IF(AND(CN499="pass",AQ499&lt;&gt;"Y",C499&lt;&gt;"",OR(AX499&lt;&gt;"Y",AV499="Y")),"Y","N"))</f>
        <v/>
      </c>
      <c r="AU499" s="0" t="str">
        <f aca="false">IF($A499="","",_xlfn.TEXTJOIN("; ",TRUE(),IF(CN499&lt;&gt;"pass","gated out",""),IF(AQ499="Y","on hold: "&amp;AR499,""),IF(C499="","no contact named on an opened page",""),IF(AND(AX499="Y",AV499&lt;&gt;"Y"),"Tuesday estimate band "&amp;L499&amp;": founder's call","")))</f>
        <v/>
      </c>
      <c r="BC499" s="0" t="str">
        <f aca="false">IF($A499="","",IFERROR(INDEX(Enrichment!$A$2:$GZ$2000,MATCH($A499,INDEX(Enrichment!$A$2:$GZ$2000,0,MATCH("row_id",Enrichment!$A$1:$GZ$1,0)),0),MATCH("work_email",Enrichment!$A$1:$GZ$1,0))&amp;"",""))</f>
        <v/>
      </c>
      <c r="BD499" s="0" t="str">
        <f aca="false">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Q499" s="0" t="str">
        <f aca="false">IF($A499="","",IFERROR(INDEX(Enrichment!$A$2:$GZ$2000,MATCH($A499,INDEX(Enrichment!$A$2:$GZ$2000,0,MATCH("row_id",Enrichment!$A$1:$GZ$1,0)),0),MATCH("backup_work_email",Enrichment!$A$1:$GZ$1,0))&amp;"",""))</f>
        <v/>
      </c>
      <c r="BR499" s="0" t="str">
        <f aca="false">IF($A499="","",IF(BQ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EQ499" s="0" t="str">
        <f aca="false">IF($A499="","",IF(AH499="exact",10,IF(AH499="adjacent",5,0)))</f>
        <v/>
      </c>
      <c r="ER499" s="0" t="str">
        <f aca="false">IF($A499="","",IF(R499="Y",15,0))</f>
        <v/>
      </c>
      <c r="FS499" s="0" t="str">
        <f aca="false">IF($A499="","",IF(ISNUMBER(MATCH(U499,{"queued","contacted","replied","call_booked","call_done","yes_in_principle","materials_sent"},0)),"Y","N"))</f>
        <v/>
      </c>
      <c r="FT499" s="0" t="str">
        <f aca="false">IF($A499="","",IF(OR(T499="Y",U499="do_not_contact",AS499&amp;""&lt;&gt;""),"Y","N"))</f>
        <v/>
      </c>
      <c r="FU499" s="0" t="str">
        <f aca="false">IF($A499="","",IF(AP499&amp;""&lt;&gt;"",AP499&amp;"",$A499))</f>
        <v/>
      </c>
      <c r="FV499" s="0" t="str">
        <f aca="false">IF($A499="","",IF(COUNTIFS($FU$2:$FU$1000,FU499,$FS$2:$FS$1000,"Y")+COUNTIFS($FU$2:$FU$1000,FU499,$FT$2:$FT$1000,"Y")&gt;0,"Y","N"))</f>
        <v/>
      </c>
      <c r="FW499" s="0" t="str">
        <f aca="false">IF($A499="","",IF(AND(U499="new",T499="N",FT499="N",AT499="Y",FV499="N"),"Y","N"))</f>
        <v/>
      </c>
      <c r="FX499" s="0" t="str">
        <f aca="false">IF($A499="","",IF(FW499&lt;&gt;"Y","N",IF(COUNTIFS($FU$2:$FU$1000,FU499,$FW$2:$FW$1000,"Y",$J$2:$J$1000,"&gt;"&amp;J499)+COUNTIFS($FU$2:$FU$1000,FU499,$FW$2:$FW$1000,"Y",$J$2:$J$1000,J499,$GD$2:$GD$1000,"&lt;"&amp;GD499)=0,"Y","N")))</f>
        <v/>
      </c>
      <c r="FY499" s="0" t="str">
        <f aca="false">IF($A499="","",IF(AND(FW499="Y",FX499="Y",Y499&amp;""&lt;&gt;""),IF(Y499&lt;=10,"Y","N"),"N"))</f>
        <v/>
      </c>
      <c r="FZ499" s="0" t="str">
        <f aca="false">IF(FY499="Y",Y499,"")</f>
        <v/>
      </c>
      <c r="GA499" s="0" t="str">
        <f aca="false">IF($A499="","",IF(AND(I499="walk-in",CN499="pass",U499="new",FT499="N",FV499="N",AQ499&lt;&gt;"Y"),"Y","N"))</f>
        <v/>
      </c>
      <c r="GB499" s="0" t="str">
        <f aca="false">IF(GA499&lt;&gt;"Y","",IF(COUNTIFS($GA$2:$GA$1000,"Y",$J$2:$J$1000,"&gt;"&amp;J499)+COUNTIFS($GA$2:$GA$1000,"Y",$J$2:$J$1000,J499,$GD$2:$GD$1000,"&lt;"&amp;GD499)+1&lt;=25,COUNTIFS($GA$2:$GA$1000,"Y",$J$2:$J$1000,"&gt;"&amp;J499)+COUNTIFS($GA$2:$GA$1000,"Y",$J$2:$J$1000,J499,$GD$2:$GD$1000,"&lt;"&amp;GD499)+1,""))</f>
        <v/>
      </c>
      <c r="GC499" s="0" t="str">
        <f aca="false">IF(AND(_xlfn.ISFORMULA(C499),_xlfn.ISFORMULA(J499)),"Y","N")</f>
        <v>Y</v>
      </c>
      <c r="GD499" s="0" t="n">
        <f aca="false">ROW()-1</f>
        <v>498</v>
      </c>
    </row>
    <row r="500" customFormat="false" ht="15" hidden="false" customHeight="false" outlineLevel="0" collapsed="false">
      <c r="C500" s="0" t="str">
        <f aca="false">IF($A500="","",IF(AW500="Y",BM500&amp;"",AY500&amp;""))</f>
        <v/>
      </c>
      <c r="D500" s="0" t="str">
        <f aca="false">IF($A500="","",IF(AW500="Y",BN500&amp;"",AZ500&amp;""))</f>
        <v/>
      </c>
      <c r="E500" s="0" t="str">
        <f aca="false">IF($A500="","",IF(AW500="Y",BO500&amp;"",BA500&amp;""))</f>
        <v/>
      </c>
      <c r="F500" s="0" t="str">
        <f aca="false">IF($A500="","",IF(AW500="Y",BP500&amp;"",BB500&amp;""))</f>
        <v/>
      </c>
      <c r="G500" s="0" t="str">
        <f aca="false">IF($A500="","",IF(AW500="Y",BQ500&amp;"",BC500&amp;""))</f>
        <v/>
      </c>
      <c r="H500" s="0" t="str">
        <f aca="false">IF($A500="","",IF(AW500="Y",BR500&amp;"",BD500&amp;""))</f>
        <v/>
      </c>
      <c r="I500" s="0" t="str">
        <f aca="false">IF($A500="","",IF(R500="Y","warm-intro",IF(H500="verified","email",IF(C500&lt;&gt;"","linkedin",CB500&amp;""))))</f>
        <v/>
      </c>
      <c r="J500" s="0" t="str">
        <f aca="false">IF($A500="","",IF(CN500="pass",ROUND(N(EM500)+N(EN500)+N(EO500)+N(EP500)+N(EQ500)+N(ER500),1),0))</f>
        <v/>
      </c>
      <c r="K500" s="0" t="str">
        <f aca="false">IF($A500="","",IF(CN500&lt;&gt;"pass",CA500&amp;"",CA500&amp;"; "&amp;IF(AW500="Y",BZ500&amp;"",BL500&amp;"")&amp;IF(R500="Y","; known to the founder (+15)","")&amp;"."))</f>
        <v/>
      </c>
      <c r="R500" s="5"/>
      <c r="U500" s="5"/>
      <c r="Y500" s="0" t="str">
        <f aca="false">IF(FX500&lt;&gt;"Y","",COUNTIFS($FX$2:$FX$1000,"Y",$J$2:$J$1000,"&gt;"&amp;J500)+COUNTIFS($FX$2:$FX$1000,"Y",$J$2:$J$1000,J500,$GD$2:$GD$1000,"&lt;"&amp;GD500)+1)</f>
        <v/>
      </c>
      <c r="AB500" s="0" t="str">
        <f aca="false">IF($A500="","",IF(AW500="Y",BY500&amp;"",BK500&amp;""))</f>
        <v/>
      </c>
      <c r="AC500" s="0" t="str">
        <f aca="false">IF($A500="","",IF(AW500="Y",BS500&amp;"",BE500&amp;""))</f>
        <v/>
      </c>
      <c r="AD500" s="0" t="str">
        <f aca="false">IF($A500="","",IF(AW500="Y",BT500&amp;"",BF500&amp;""))</f>
        <v/>
      </c>
      <c r="AE500" s="0" t="str">
        <f aca="false">IF($A500="","",IF(AW500="Y",BU500&amp;"",BG500&amp;""))</f>
        <v/>
      </c>
      <c r="AF500" s="0" t="str">
        <f aca="false">IF($A500="","",IF(AW500="Y",BV500&amp;"",BH500&amp;""))</f>
        <v/>
      </c>
      <c r="AG500" s="0" t="str">
        <f aca="false">IF($A500="","",IF(AW500="Y",BW500&amp;"",BI500&amp;""))</f>
        <v/>
      </c>
      <c r="AH500" s="0" t="str">
        <f aca="false">IF($A500="","",IF(AW500="Y",BX500&amp;"",BJ500&amp;""))</f>
        <v/>
      </c>
      <c r="AQ500" s="5"/>
      <c r="AT500" s="0" t="str">
        <f aca="false">IF($A500="","",IF(AND(CN500="pass",AQ500&lt;&gt;"Y",C500&lt;&gt;"",OR(AX500&lt;&gt;"Y",AV500="Y")),"Y","N"))</f>
        <v/>
      </c>
      <c r="AU500" s="0" t="str">
        <f aca="false">IF($A500="","",_xlfn.TEXTJOIN("; ",TRUE(),IF(CN500&lt;&gt;"pass","gated out",""),IF(AQ500="Y","on hold: "&amp;AR500,""),IF(C500="","no contact named on an opened page",""),IF(AND(AX500="Y",AV500&lt;&gt;"Y"),"Tuesday estimate band "&amp;L500&amp;": founder's call","")))</f>
        <v/>
      </c>
      <c r="BC500" s="0" t="str">
        <f aca="false">IF($A500="","",IFERROR(INDEX(Enrichment!$A$2:$GZ$2000,MATCH($A500,INDEX(Enrichment!$A$2:$GZ$2000,0,MATCH("row_id",Enrichment!$A$1:$GZ$1,0)),0),MATCH("work_email",Enrichment!$A$1:$GZ$1,0))&amp;"",""))</f>
        <v/>
      </c>
      <c r="BD500" s="0" t="str">
        <f aca="false">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Q500" s="0" t="str">
        <f aca="false">IF($A500="","",IFERROR(INDEX(Enrichment!$A$2:$GZ$2000,MATCH($A500,INDEX(Enrichment!$A$2:$GZ$2000,0,MATCH("row_id",Enrichment!$A$1:$GZ$1,0)),0),MATCH("backup_work_email",Enrichment!$A$1:$GZ$1,0))&amp;"",""))</f>
        <v/>
      </c>
      <c r="BR500" s="0" t="str">
        <f aca="false">IF($A500="","",IF(BQ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EQ500" s="0" t="str">
        <f aca="false">IF($A500="","",IF(AH500="exact",10,IF(AH500="adjacent",5,0)))</f>
        <v/>
      </c>
      <c r="ER500" s="0" t="str">
        <f aca="false">IF($A500="","",IF(R500="Y",15,0))</f>
        <v/>
      </c>
      <c r="FS500" s="0" t="str">
        <f aca="false">IF($A500="","",IF(ISNUMBER(MATCH(U500,{"queued","contacted","replied","call_booked","call_done","yes_in_principle","materials_sent"},0)),"Y","N"))</f>
        <v/>
      </c>
      <c r="FT500" s="0" t="str">
        <f aca="false">IF($A500="","",IF(OR(T500="Y",U500="do_not_contact",AS500&amp;""&lt;&gt;""),"Y","N"))</f>
        <v/>
      </c>
      <c r="FU500" s="0" t="str">
        <f aca="false">IF($A500="","",IF(AP500&amp;""&lt;&gt;"",AP500&amp;"",$A500))</f>
        <v/>
      </c>
      <c r="FV500" s="0" t="str">
        <f aca="false">IF($A500="","",IF(COUNTIFS($FU$2:$FU$1000,FU500,$FS$2:$FS$1000,"Y")+COUNTIFS($FU$2:$FU$1000,FU500,$FT$2:$FT$1000,"Y")&gt;0,"Y","N"))</f>
        <v/>
      </c>
      <c r="FW500" s="0" t="str">
        <f aca="false">IF($A500="","",IF(AND(U500="new",T500="N",FT500="N",AT500="Y",FV500="N"),"Y","N"))</f>
        <v/>
      </c>
      <c r="FX500" s="0" t="str">
        <f aca="false">IF($A500="","",IF(FW500&lt;&gt;"Y","N",IF(COUNTIFS($FU$2:$FU$1000,FU500,$FW$2:$FW$1000,"Y",$J$2:$J$1000,"&gt;"&amp;J500)+COUNTIFS($FU$2:$FU$1000,FU500,$FW$2:$FW$1000,"Y",$J$2:$J$1000,J500,$GD$2:$GD$1000,"&lt;"&amp;GD500)=0,"Y","N")))</f>
        <v/>
      </c>
      <c r="FY500" s="0" t="str">
        <f aca="false">IF($A500="","",IF(AND(FW500="Y",FX500="Y",Y500&amp;""&lt;&gt;""),IF(Y500&lt;=10,"Y","N"),"N"))</f>
        <v/>
      </c>
      <c r="FZ500" s="0" t="str">
        <f aca="false">IF(FY500="Y",Y500,"")</f>
        <v/>
      </c>
      <c r="GA500" s="0" t="str">
        <f aca="false">IF($A500="","",IF(AND(I500="walk-in",CN500="pass",U500="new",FT500="N",FV500="N",AQ500&lt;&gt;"Y"),"Y","N"))</f>
        <v/>
      </c>
      <c r="GB500" s="0" t="str">
        <f aca="false">IF(GA500&lt;&gt;"Y","",IF(COUNTIFS($GA$2:$GA$1000,"Y",$J$2:$J$1000,"&gt;"&amp;J500)+COUNTIFS($GA$2:$GA$1000,"Y",$J$2:$J$1000,J500,$GD$2:$GD$1000,"&lt;"&amp;GD500)+1&lt;=25,COUNTIFS($GA$2:$GA$1000,"Y",$J$2:$J$1000,"&gt;"&amp;J500)+COUNTIFS($GA$2:$GA$1000,"Y",$J$2:$J$1000,J500,$GD$2:$GD$1000,"&lt;"&amp;GD500)+1,""))</f>
        <v/>
      </c>
      <c r="GC500" s="0" t="str">
        <f aca="false">IF(AND(_xlfn.ISFORMULA(C500),_xlfn.ISFORMULA(J500)),"Y","N")</f>
        <v>Y</v>
      </c>
      <c r="GD500" s="0" t="n">
        <f aca="false">ROW()-1</f>
        <v>499</v>
      </c>
    </row>
    <row r="501" customFormat="false" ht="15" hidden="false" customHeight="false" outlineLevel="0" collapsed="false">
      <c r="C501" s="0" t="str">
        <f aca="false">IF($A501="","",IF(AW501="Y",BM501&amp;"",AY501&amp;""))</f>
        <v/>
      </c>
      <c r="D501" s="0" t="str">
        <f aca="false">IF($A501="","",IF(AW501="Y",BN501&amp;"",AZ501&amp;""))</f>
        <v/>
      </c>
      <c r="E501" s="0" t="str">
        <f aca="false">IF($A501="","",IF(AW501="Y",BO501&amp;"",BA501&amp;""))</f>
        <v/>
      </c>
      <c r="F501" s="0" t="str">
        <f aca="false">IF($A501="","",IF(AW501="Y",BP501&amp;"",BB501&amp;""))</f>
        <v/>
      </c>
      <c r="G501" s="0" t="str">
        <f aca="false">IF($A501="","",IF(AW501="Y",BQ501&amp;"",BC501&amp;""))</f>
        <v/>
      </c>
      <c r="H501" s="0" t="str">
        <f aca="false">IF($A501="","",IF(AW501="Y",BR501&amp;"",BD501&amp;""))</f>
        <v/>
      </c>
      <c r="I501" s="0" t="str">
        <f aca="false">IF($A501="","",IF(R501="Y","warm-intro",IF(H501="verified","email",IF(C501&lt;&gt;"","linkedin",CB501&amp;""))))</f>
        <v/>
      </c>
      <c r="J501" s="0" t="str">
        <f aca="false">IF($A501="","",IF(CN501="pass",ROUND(N(EM501)+N(EN501)+N(EO501)+N(EP501)+N(EQ501)+N(ER501),1),0))</f>
        <v/>
      </c>
      <c r="K501" s="0" t="str">
        <f aca="false">IF($A501="","",IF(CN501&lt;&gt;"pass",CA501&amp;"",CA501&amp;"; "&amp;IF(AW501="Y",BZ501&amp;"",BL501&amp;"")&amp;IF(R501="Y","; known to the founder (+15)","")&amp;"."))</f>
        <v/>
      </c>
      <c r="R501" s="5"/>
      <c r="U501" s="5"/>
      <c r="Y501" s="0" t="str">
        <f aca="false">IF(FX501&lt;&gt;"Y","",COUNTIFS($FX$2:$FX$1000,"Y",$J$2:$J$1000,"&gt;"&amp;J501)+COUNTIFS($FX$2:$FX$1000,"Y",$J$2:$J$1000,J501,$GD$2:$GD$1000,"&lt;"&amp;GD501)+1)</f>
        <v/>
      </c>
      <c r="AB501" s="0" t="str">
        <f aca="false">IF($A501="","",IF(AW501="Y",BY501&amp;"",BK501&amp;""))</f>
        <v/>
      </c>
      <c r="AC501" s="0" t="str">
        <f aca="false">IF($A501="","",IF(AW501="Y",BS501&amp;"",BE501&amp;""))</f>
        <v/>
      </c>
      <c r="AD501" s="0" t="str">
        <f aca="false">IF($A501="","",IF(AW501="Y",BT501&amp;"",BF501&amp;""))</f>
        <v/>
      </c>
      <c r="AE501" s="0" t="str">
        <f aca="false">IF($A501="","",IF(AW501="Y",BU501&amp;"",BG501&amp;""))</f>
        <v/>
      </c>
      <c r="AF501" s="0" t="str">
        <f aca="false">IF($A501="","",IF(AW501="Y",BV501&amp;"",BH501&amp;""))</f>
        <v/>
      </c>
      <c r="AG501" s="0" t="str">
        <f aca="false">IF($A501="","",IF(AW501="Y",BW501&amp;"",BI501&amp;""))</f>
        <v/>
      </c>
      <c r="AH501" s="0" t="str">
        <f aca="false">IF($A501="","",IF(AW501="Y",BX501&amp;"",BJ501&amp;""))</f>
        <v/>
      </c>
      <c r="AQ501" s="5"/>
      <c r="AT501" s="0" t="str">
        <f aca="false">IF($A501="","",IF(AND(CN501="pass",AQ501&lt;&gt;"Y",C501&lt;&gt;"",OR(AX501&lt;&gt;"Y",AV501="Y")),"Y","N"))</f>
        <v/>
      </c>
      <c r="AU501" s="0" t="str">
        <f aca="false">IF($A501="","",_xlfn.TEXTJOIN("; ",TRUE(),IF(CN501&lt;&gt;"pass","gated out",""),IF(AQ501="Y","on hold: "&amp;AR501,""),IF(C501="","no contact named on an opened page",""),IF(AND(AX501="Y",AV501&lt;&gt;"Y"),"Tuesday estimate band "&amp;L501&amp;": founder's call","")))</f>
        <v/>
      </c>
      <c r="BC501" s="0" t="str">
        <f aca="false">IF($A501="","",IFERROR(INDEX(Enrichment!$A$2:$GZ$2000,MATCH($A501,INDEX(Enrichment!$A$2:$GZ$2000,0,MATCH("row_id",Enrichment!$A$1:$GZ$1,0)),0),MATCH("work_email",Enrichment!$A$1:$GZ$1,0))&amp;"",""))</f>
        <v/>
      </c>
      <c r="BD501" s="0" t="str">
        <f aca="false">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Q501" s="0" t="str">
        <f aca="false">IF($A501="","",IFERROR(INDEX(Enrichment!$A$2:$GZ$2000,MATCH($A501,INDEX(Enrichment!$A$2:$GZ$2000,0,MATCH("row_id",Enrichment!$A$1:$GZ$1,0)),0),MATCH("backup_work_email",Enrichment!$A$1:$GZ$1,0))&amp;"",""))</f>
        <v/>
      </c>
      <c r="BR501" s="0" t="str">
        <f aca="false">IF($A501="","",IF(BQ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EQ501" s="0" t="str">
        <f aca="false">IF($A501="","",IF(AH501="exact",10,IF(AH501="adjacent",5,0)))</f>
        <v/>
      </c>
      <c r="ER501" s="0" t="str">
        <f aca="false">IF($A501="","",IF(R501="Y",15,0))</f>
        <v/>
      </c>
      <c r="FS501" s="0" t="str">
        <f aca="false">IF($A501="","",IF(ISNUMBER(MATCH(U501,{"queued","contacted","replied","call_booked","call_done","yes_in_principle","materials_sent"},0)),"Y","N"))</f>
        <v/>
      </c>
      <c r="FT501" s="0" t="str">
        <f aca="false">IF($A501="","",IF(OR(T501="Y",U501="do_not_contact",AS501&amp;""&lt;&gt;""),"Y","N"))</f>
        <v/>
      </c>
      <c r="FU501" s="0" t="str">
        <f aca="false">IF($A501="","",IF(AP501&amp;""&lt;&gt;"",AP501&amp;"",$A501))</f>
        <v/>
      </c>
      <c r="FV501" s="0" t="str">
        <f aca="false">IF($A501="","",IF(COUNTIFS($FU$2:$FU$1000,FU501,$FS$2:$FS$1000,"Y")+COUNTIFS($FU$2:$FU$1000,FU501,$FT$2:$FT$1000,"Y")&gt;0,"Y","N"))</f>
        <v/>
      </c>
      <c r="FW501" s="0" t="str">
        <f aca="false">IF($A501="","",IF(AND(U501="new",T501="N",FT501="N",AT501="Y",FV501="N"),"Y","N"))</f>
        <v/>
      </c>
      <c r="FX501" s="0" t="str">
        <f aca="false">IF($A501="","",IF(FW501&lt;&gt;"Y","N",IF(COUNTIFS($FU$2:$FU$1000,FU501,$FW$2:$FW$1000,"Y",$J$2:$J$1000,"&gt;"&amp;J501)+COUNTIFS($FU$2:$FU$1000,FU501,$FW$2:$FW$1000,"Y",$J$2:$J$1000,J501,$GD$2:$GD$1000,"&lt;"&amp;GD501)=0,"Y","N")))</f>
        <v/>
      </c>
      <c r="FY501" s="0" t="str">
        <f aca="false">IF($A501="","",IF(AND(FW501="Y",FX501="Y",Y501&amp;""&lt;&gt;""),IF(Y501&lt;=10,"Y","N"),"N"))</f>
        <v/>
      </c>
      <c r="FZ501" s="0" t="str">
        <f aca="false">IF(FY501="Y",Y501,"")</f>
        <v/>
      </c>
      <c r="GA501" s="0" t="str">
        <f aca="false">IF($A501="","",IF(AND(I501="walk-in",CN501="pass",U501="new",FT501="N",FV501="N",AQ501&lt;&gt;"Y"),"Y","N"))</f>
        <v/>
      </c>
      <c r="GB501" s="0" t="str">
        <f aca="false">IF(GA501&lt;&gt;"Y","",IF(COUNTIFS($GA$2:$GA$1000,"Y",$J$2:$J$1000,"&gt;"&amp;J501)+COUNTIFS($GA$2:$GA$1000,"Y",$J$2:$J$1000,J501,$GD$2:$GD$1000,"&lt;"&amp;GD501)+1&lt;=25,COUNTIFS($GA$2:$GA$1000,"Y",$J$2:$J$1000,"&gt;"&amp;J501)+COUNTIFS($GA$2:$GA$1000,"Y",$J$2:$J$1000,J501,$GD$2:$GD$1000,"&lt;"&amp;GD501)+1,""))</f>
        <v/>
      </c>
      <c r="GC501" s="0" t="str">
        <f aca="false">IF(AND(_xlfn.ISFORMULA(C501),_xlfn.ISFORMULA(J501)),"Y","N")</f>
        <v>Y</v>
      </c>
      <c r="GD501" s="0" t="n">
        <f aca="false">ROW()-1</f>
        <v>500</v>
      </c>
    </row>
    <row r="502" customFormat="false" ht="15" hidden="false" customHeight="false" outlineLevel="0" collapsed="false">
      <c r="C502" s="0" t="str">
        <f aca="false">IF($A502="","",IF(AW502="Y",BM502&amp;"",AY502&amp;""))</f>
        <v/>
      </c>
      <c r="D502" s="0" t="str">
        <f aca="false">IF($A502="","",IF(AW502="Y",BN502&amp;"",AZ502&amp;""))</f>
        <v/>
      </c>
      <c r="E502" s="0" t="str">
        <f aca="false">IF($A502="","",IF(AW502="Y",BO502&amp;"",BA502&amp;""))</f>
        <v/>
      </c>
      <c r="F502" s="0" t="str">
        <f aca="false">IF($A502="","",IF(AW502="Y",BP502&amp;"",BB502&amp;""))</f>
        <v/>
      </c>
      <c r="G502" s="0" t="str">
        <f aca="false">IF($A502="","",IF(AW502="Y",BQ502&amp;"",BC502&amp;""))</f>
        <v/>
      </c>
      <c r="H502" s="0" t="str">
        <f aca="false">IF($A502="","",IF(AW502="Y",BR502&amp;"",BD502&amp;""))</f>
        <v/>
      </c>
      <c r="I502" s="0" t="str">
        <f aca="false">IF($A502="","",IF(R502="Y","warm-intro",IF(H502="verified","email",IF(C502&lt;&gt;"","linkedin",CB502&amp;""))))</f>
        <v/>
      </c>
      <c r="J502" s="0" t="str">
        <f aca="false">IF($A502="","",IF(CN502="pass",ROUND(N(EM502)+N(EN502)+N(EO502)+N(EP502)+N(EQ502)+N(ER502),1),0))</f>
        <v/>
      </c>
      <c r="K502" s="0" t="str">
        <f aca="false">IF($A502="","",IF(CN502&lt;&gt;"pass",CA502&amp;"",CA502&amp;"; "&amp;IF(AW502="Y",BZ502&amp;"",BL502&amp;"")&amp;IF(R502="Y","; known to the founder (+15)","")&amp;"."))</f>
        <v/>
      </c>
      <c r="R502" s="5"/>
      <c r="U502" s="5"/>
      <c r="Y502" s="0" t="str">
        <f aca="false">IF(FX502&lt;&gt;"Y","",COUNTIFS($FX$2:$FX$1000,"Y",$J$2:$J$1000,"&gt;"&amp;J502)+COUNTIFS($FX$2:$FX$1000,"Y",$J$2:$J$1000,J502,$GD$2:$GD$1000,"&lt;"&amp;GD502)+1)</f>
        <v/>
      </c>
      <c r="AB502" s="0" t="str">
        <f aca="false">IF($A502="","",IF(AW502="Y",BY502&amp;"",BK502&amp;""))</f>
        <v/>
      </c>
      <c r="AC502" s="0" t="str">
        <f aca="false">IF($A502="","",IF(AW502="Y",BS502&amp;"",BE502&amp;""))</f>
        <v/>
      </c>
      <c r="AD502" s="0" t="str">
        <f aca="false">IF($A502="","",IF(AW502="Y",BT502&amp;"",BF502&amp;""))</f>
        <v/>
      </c>
      <c r="AE502" s="0" t="str">
        <f aca="false">IF($A502="","",IF(AW502="Y",BU502&amp;"",BG502&amp;""))</f>
        <v/>
      </c>
      <c r="AF502" s="0" t="str">
        <f aca="false">IF($A502="","",IF(AW502="Y",BV502&amp;"",BH502&amp;""))</f>
        <v/>
      </c>
      <c r="AG502" s="0" t="str">
        <f aca="false">IF($A502="","",IF(AW502="Y",BW502&amp;"",BI502&amp;""))</f>
        <v/>
      </c>
      <c r="AH502" s="0" t="str">
        <f aca="false">IF($A502="","",IF(AW502="Y",BX502&amp;"",BJ502&amp;""))</f>
        <v/>
      </c>
      <c r="AQ502" s="5"/>
      <c r="AT502" s="0" t="str">
        <f aca="false">IF($A502="","",IF(AND(CN502="pass",AQ502&lt;&gt;"Y",C502&lt;&gt;"",OR(AX502&lt;&gt;"Y",AV502="Y")),"Y","N"))</f>
        <v/>
      </c>
      <c r="AU502" s="0" t="str">
        <f aca="false">IF($A502="","",_xlfn.TEXTJOIN("; ",TRUE(),IF(CN502&lt;&gt;"pass","gated out",""),IF(AQ502="Y","on hold: "&amp;AR502,""),IF(C502="","no contact named on an opened page",""),IF(AND(AX502="Y",AV502&lt;&gt;"Y"),"Tuesday estimate band "&amp;L502&amp;": founder's call","")))</f>
        <v/>
      </c>
      <c r="BC502" s="0" t="str">
        <f aca="false">IF($A502="","",IFERROR(INDEX(Enrichment!$A$2:$GZ$2000,MATCH($A502,INDEX(Enrichment!$A$2:$GZ$2000,0,MATCH("row_id",Enrichment!$A$1:$GZ$1,0)),0),MATCH("work_email",Enrichment!$A$1:$GZ$1,0))&amp;"",""))</f>
        <v/>
      </c>
      <c r="BD502" s="0" t="str">
        <f aca="false">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Q502" s="0" t="str">
        <f aca="false">IF($A502="","",IFERROR(INDEX(Enrichment!$A$2:$GZ$2000,MATCH($A502,INDEX(Enrichment!$A$2:$GZ$2000,0,MATCH("row_id",Enrichment!$A$1:$GZ$1,0)),0),MATCH("backup_work_email",Enrichment!$A$1:$GZ$1,0))&amp;"",""))</f>
        <v/>
      </c>
      <c r="BR502" s="0" t="str">
        <f aca="false">IF($A502="","",IF(BQ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EQ502" s="0" t="str">
        <f aca="false">IF($A502="","",IF(AH502="exact",10,IF(AH502="adjacent",5,0)))</f>
        <v/>
      </c>
      <c r="ER502" s="0" t="str">
        <f aca="false">IF($A502="","",IF(R502="Y",15,0))</f>
        <v/>
      </c>
      <c r="FS502" s="0" t="str">
        <f aca="false">IF($A502="","",IF(ISNUMBER(MATCH(U502,{"queued","contacted","replied","call_booked","call_done","yes_in_principle","materials_sent"},0)),"Y","N"))</f>
        <v/>
      </c>
      <c r="FT502" s="0" t="str">
        <f aca="false">IF($A502="","",IF(OR(T502="Y",U502="do_not_contact",AS502&amp;""&lt;&gt;""),"Y","N"))</f>
        <v/>
      </c>
      <c r="FU502" s="0" t="str">
        <f aca="false">IF($A502="","",IF(AP502&amp;""&lt;&gt;"",AP502&amp;"",$A502))</f>
        <v/>
      </c>
      <c r="FV502" s="0" t="str">
        <f aca="false">IF($A502="","",IF(COUNTIFS($FU$2:$FU$1000,FU502,$FS$2:$FS$1000,"Y")+COUNTIFS($FU$2:$FU$1000,FU502,$FT$2:$FT$1000,"Y")&gt;0,"Y","N"))</f>
        <v/>
      </c>
      <c r="FW502" s="0" t="str">
        <f aca="false">IF($A502="","",IF(AND(U502="new",T502="N",FT502="N",AT502="Y",FV502="N"),"Y","N"))</f>
        <v/>
      </c>
      <c r="FX502" s="0" t="str">
        <f aca="false">IF($A502="","",IF(FW502&lt;&gt;"Y","N",IF(COUNTIFS($FU$2:$FU$1000,FU502,$FW$2:$FW$1000,"Y",$J$2:$J$1000,"&gt;"&amp;J502)+COUNTIFS($FU$2:$FU$1000,FU502,$FW$2:$FW$1000,"Y",$J$2:$J$1000,J502,$GD$2:$GD$1000,"&lt;"&amp;GD502)=0,"Y","N")))</f>
        <v/>
      </c>
      <c r="FY502" s="0" t="str">
        <f aca="false">IF($A502="","",IF(AND(FW502="Y",FX502="Y",Y502&amp;""&lt;&gt;""),IF(Y502&lt;=10,"Y","N"),"N"))</f>
        <v/>
      </c>
      <c r="FZ502" s="0" t="str">
        <f aca="false">IF(FY502="Y",Y502,"")</f>
        <v/>
      </c>
      <c r="GA502" s="0" t="str">
        <f aca="false">IF($A502="","",IF(AND(I502="walk-in",CN502="pass",U502="new",FT502="N",FV502="N",AQ502&lt;&gt;"Y"),"Y","N"))</f>
        <v/>
      </c>
      <c r="GB502" s="0" t="str">
        <f aca="false">IF(GA502&lt;&gt;"Y","",IF(COUNTIFS($GA$2:$GA$1000,"Y",$J$2:$J$1000,"&gt;"&amp;J502)+COUNTIFS($GA$2:$GA$1000,"Y",$J$2:$J$1000,J502,$GD$2:$GD$1000,"&lt;"&amp;GD502)+1&lt;=25,COUNTIFS($GA$2:$GA$1000,"Y",$J$2:$J$1000,"&gt;"&amp;J502)+COUNTIFS($GA$2:$GA$1000,"Y",$J$2:$J$1000,J502,$GD$2:$GD$1000,"&lt;"&amp;GD502)+1,""))</f>
        <v/>
      </c>
      <c r="GC502" s="0" t="str">
        <f aca="false">IF(AND(_xlfn.ISFORMULA(C502),_xlfn.ISFORMULA(J502)),"Y","N")</f>
        <v>Y</v>
      </c>
      <c r="GD502" s="0" t="n">
        <f aca="false">ROW()-1</f>
        <v>501</v>
      </c>
    </row>
    <row r="503" customFormat="false" ht="15" hidden="false" customHeight="false" outlineLevel="0" collapsed="false">
      <c r="C503" s="0" t="str">
        <f aca="false">IF($A503="","",IF(AW503="Y",BM503&amp;"",AY503&amp;""))</f>
        <v/>
      </c>
      <c r="D503" s="0" t="str">
        <f aca="false">IF($A503="","",IF(AW503="Y",BN503&amp;"",AZ503&amp;""))</f>
        <v/>
      </c>
      <c r="E503" s="0" t="str">
        <f aca="false">IF($A503="","",IF(AW503="Y",BO503&amp;"",BA503&amp;""))</f>
        <v/>
      </c>
      <c r="F503" s="0" t="str">
        <f aca="false">IF($A503="","",IF(AW503="Y",BP503&amp;"",BB503&amp;""))</f>
        <v/>
      </c>
      <c r="G503" s="0" t="str">
        <f aca="false">IF($A503="","",IF(AW503="Y",BQ503&amp;"",BC503&amp;""))</f>
        <v/>
      </c>
      <c r="H503" s="0" t="str">
        <f aca="false">IF($A503="","",IF(AW503="Y",BR503&amp;"",BD503&amp;""))</f>
        <v/>
      </c>
      <c r="I503" s="0" t="str">
        <f aca="false">IF($A503="","",IF(R503="Y","warm-intro",IF(H503="verified","email",IF(C503&lt;&gt;"","linkedin",CB503&amp;""))))</f>
        <v/>
      </c>
      <c r="J503" s="0" t="str">
        <f aca="false">IF($A503="","",IF(CN503="pass",ROUND(N(EM503)+N(EN503)+N(EO503)+N(EP503)+N(EQ503)+N(ER503),1),0))</f>
        <v/>
      </c>
      <c r="K503" s="0" t="str">
        <f aca="false">IF($A503="","",IF(CN503&lt;&gt;"pass",CA503&amp;"",CA503&amp;"; "&amp;IF(AW503="Y",BZ503&amp;"",BL503&amp;"")&amp;IF(R503="Y","; known to the founder (+15)","")&amp;"."))</f>
        <v/>
      </c>
      <c r="R503" s="5"/>
      <c r="U503" s="5"/>
      <c r="Y503" s="0" t="str">
        <f aca="false">IF(FX503&lt;&gt;"Y","",COUNTIFS($FX$2:$FX$1000,"Y",$J$2:$J$1000,"&gt;"&amp;J503)+COUNTIFS($FX$2:$FX$1000,"Y",$J$2:$J$1000,J503,$GD$2:$GD$1000,"&lt;"&amp;GD503)+1)</f>
        <v/>
      </c>
      <c r="AB503" s="0" t="str">
        <f aca="false">IF($A503="","",IF(AW503="Y",BY503&amp;"",BK503&amp;""))</f>
        <v/>
      </c>
      <c r="AC503" s="0" t="str">
        <f aca="false">IF($A503="","",IF(AW503="Y",BS503&amp;"",BE503&amp;""))</f>
        <v/>
      </c>
      <c r="AD503" s="0" t="str">
        <f aca="false">IF($A503="","",IF(AW503="Y",BT503&amp;"",BF503&amp;""))</f>
        <v/>
      </c>
      <c r="AE503" s="0" t="str">
        <f aca="false">IF($A503="","",IF(AW503="Y",BU503&amp;"",BG503&amp;""))</f>
        <v/>
      </c>
      <c r="AF503" s="0" t="str">
        <f aca="false">IF($A503="","",IF(AW503="Y",BV503&amp;"",BH503&amp;""))</f>
        <v/>
      </c>
      <c r="AG503" s="0" t="str">
        <f aca="false">IF($A503="","",IF(AW503="Y",BW503&amp;"",BI503&amp;""))</f>
        <v/>
      </c>
      <c r="AH503" s="0" t="str">
        <f aca="false">IF($A503="","",IF(AW503="Y",BX503&amp;"",BJ503&amp;""))</f>
        <v/>
      </c>
      <c r="AQ503" s="5"/>
      <c r="AT503" s="0" t="str">
        <f aca="false">IF($A503="","",IF(AND(CN503="pass",AQ503&lt;&gt;"Y",C503&lt;&gt;"",OR(AX503&lt;&gt;"Y",AV503="Y")),"Y","N"))</f>
        <v/>
      </c>
      <c r="AU503" s="0" t="str">
        <f aca="false">IF($A503="","",_xlfn.TEXTJOIN("; ",TRUE(),IF(CN503&lt;&gt;"pass","gated out",""),IF(AQ503="Y","on hold: "&amp;AR503,""),IF(C503="","no contact named on an opened page",""),IF(AND(AX503="Y",AV503&lt;&gt;"Y"),"Tuesday estimate band "&amp;L503&amp;": founder's call","")))</f>
        <v/>
      </c>
      <c r="BC503" s="0" t="str">
        <f aca="false">IF($A503="","",IFERROR(INDEX(Enrichment!$A$2:$GZ$2000,MATCH($A503,INDEX(Enrichment!$A$2:$GZ$2000,0,MATCH("row_id",Enrichment!$A$1:$GZ$1,0)),0),MATCH("work_email",Enrichment!$A$1:$GZ$1,0))&amp;"",""))</f>
        <v/>
      </c>
      <c r="BD503" s="0" t="str">
        <f aca="false">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Q503" s="0" t="str">
        <f aca="false">IF($A503="","",IFERROR(INDEX(Enrichment!$A$2:$GZ$2000,MATCH($A503,INDEX(Enrichment!$A$2:$GZ$2000,0,MATCH("row_id",Enrichment!$A$1:$GZ$1,0)),0),MATCH("backup_work_email",Enrichment!$A$1:$GZ$1,0))&amp;"",""))</f>
        <v/>
      </c>
      <c r="BR503" s="0" t="str">
        <f aca="false">IF($A503="","",IF(BQ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EQ503" s="0" t="str">
        <f aca="false">IF($A503="","",IF(AH503="exact",10,IF(AH503="adjacent",5,0)))</f>
        <v/>
      </c>
      <c r="ER503" s="0" t="str">
        <f aca="false">IF($A503="","",IF(R503="Y",15,0))</f>
        <v/>
      </c>
      <c r="FS503" s="0" t="str">
        <f aca="false">IF($A503="","",IF(ISNUMBER(MATCH(U503,{"queued","contacted","replied","call_booked","call_done","yes_in_principle","materials_sent"},0)),"Y","N"))</f>
        <v/>
      </c>
      <c r="FT503" s="0" t="str">
        <f aca="false">IF($A503="","",IF(OR(T503="Y",U503="do_not_contact",AS503&amp;""&lt;&gt;""),"Y","N"))</f>
        <v/>
      </c>
      <c r="FU503" s="0" t="str">
        <f aca="false">IF($A503="","",IF(AP503&amp;""&lt;&gt;"",AP503&amp;"",$A503))</f>
        <v/>
      </c>
      <c r="FV503" s="0" t="str">
        <f aca="false">IF($A503="","",IF(COUNTIFS($FU$2:$FU$1000,FU503,$FS$2:$FS$1000,"Y")+COUNTIFS($FU$2:$FU$1000,FU503,$FT$2:$FT$1000,"Y")&gt;0,"Y","N"))</f>
        <v/>
      </c>
      <c r="FW503" s="0" t="str">
        <f aca="false">IF($A503="","",IF(AND(U503="new",T503="N",FT503="N",AT503="Y",FV503="N"),"Y","N"))</f>
        <v/>
      </c>
      <c r="FX503" s="0" t="str">
        <f aca="false">IF($A503="","",IF(FW503&lt;&gt;"Y","N",IF(COUNTIFS($FU$2:$FU$1000,FU503,$FW$2:$FW$1000,"Y",$J$2:$J$1000,"&gt;"&amp;J503)+COUNTIFS($FU$2:$FU$1000,FU503,$FW$2:$FW$1000,"Y",$J$2:$J$1000,J503,$GD$2:$GD$1000,"&lt;"&amp;GD503)=0,"Y","N")))</f>
        <v/>
      </c>
      <c r="FY503" s="0" t="str">
        <f aca="false">IF($A503="","",IF(AND(FW503="Y",FX503="Y",Y503&amp;""&lt;&gt;""),IF(Y503&lt;=10,"Y","N"),"N"))</f>
        <v/>
      </c>
      <c r="FZ503" s="0" t="str">
        <f aca="false">IF(FY503="Y",Y503,"")</f>
        <v/>
      </c>
      <c r="GA503" s="0" t="str">
        <f aca="false">IF($A503="","",IF(AND(I503="walk-in",CN503="pass",U503="new",FT503="N",FV503="N",AQ503&lt;&gt;"Y"),"Y","N"))</f>
        <v/>
      </c>
      <c r="GB503" s="0" t="str">
        <f aca="false">IF(GA503&lt;&gt;"Y","",IF(COUNTIFS($GA$2:$GA$1000,"Y",$J$2:$J$1000,"&gt;"&amp;J503)+COUNTIFS($GA$2:$GA$1000,"Y",$J$2:$J$1000,J503,$GD$2:$GD$1000,"&lt;"&amp;GD503)+1&lt;=25,COUNTIFS($GA$2:$GA$1000,"Y",$J$2:$J$1000,"&gt;"&amp;J503)+COUNTIFS($GA$2:$GA$1000,"Y",$J$2:$J$1000,J503,$GD$2:$GD$1000,"&lt;"&amp;GD503)+1,""))</f>
        <v/>
      </c>
      <c r="GC503" s="0" t="str">
        <f aca="false">IF(AND(_xlfn.ISFORMULA(C503),_xlfn.ISFORMULA(J503)),"Y","N")</f>
        <v>Y</v>
      </c>
      <c r="GD503" s="0" t="n">
        <f aca="false">ROW()-1</f>
        <v>502</v>
      </c>
    </row>
    <row r="504" customFormat="false" ht="15" hidden="false" customHeight="false" outlineLevel="0" collapsed="false">
      <c r="C504" s="0" t="str">
        <f aca="false">IF($A504="","",IF(AW504="Y",BM504&amp;"",AY504&amp;""))</f>
        <v/>
      </c>
      <c r="D504" s="0" t="str">
        <f aca="false">IF($A504="","",IF(AW504="Y",BN504&amp;"",AZ504&amp;""))</f>
        <v/>
      </c>
      <c r="E504" s="0" t="str">
        <f aca="false">IF($A504="","",IF(AW504="Y",BO504&amp;"",BA504&amp;""))</f>
        <v/>
      </c>
      <c r="F504" s="0" t="str">
        <f aca="false">IF($A504="","",IF(AW504="Y",BP504&amp;"",BB504&amp;""))</f>
        <v/>
      </c>
      <c r="G504" s="0" t="str">
        <f aca="false">IF($A504="","",IF(AW504="Y",BQ504&amp;"",BC504&amp;""))</f>
        <v/>
      </c>
      <c r="H504" s="0" t="str">
        <f aca="false">IF($A504="","",IF(AW504="Y",BR504&amp;"",BD504&amp;""))</f>
        <v/>
      </c>
      <c r="I504" s="0" t="str">
        <f aca="false">IF($A504="","",IF(R504="Y","warm-intro",IF(H504="verified","email",IF(C504&lt;&gt;"","linkedin",CB504&amp;""))))</f>
        <v/>
      </c>
      <c r="J504" s="0" t="str">
        <f aca="false">IF($A504="","",IF(CN504="pass",ROUND(N(EM504)+N(EN504)+N(EO504)+N(EP504)+N(EQ504)+N(ER504),1),0))</f>
        <v/>
      </c>
      <c r="K504" s="0" t="str">
        <f aca="false">IF($A504="","",IF(CN504&lt;&gt;"pass",CA504&amp;"",CA504&amp;"; "&amp;IF(AW504="Y",BZ504&amp;"",BL504&amp;"")&amp;IF(R504="Y","; known to the founder (+15)","")&amp;"."))</f>
        <v/>
      </c>
      <c r="R504" s="5"/>
      <c r="U504" s="5"/>
      <c r="Y504" s="0" t="str">
        <f aca="false">IF(FX504&lt;&gt;"Y","",COUNTIFS($FX$2:$FX$1000,"Y",$J$2:$J$1000,"&gt;"&amp;J504)+COUNTIFS($FX$2:$FX$1000,"Y",$J$2:$J$1000,J504,$GD$2:$GD$1000,"&lt;"&amp;GD504)+1)</f>
        <v/>
      </c>
      <c r="AB504" s="0" t="str">
        <f aca="false">IF($A504="","",IF(AW504="Y",BY504&amp;"",BK504&amp;""))</f>
        <v/>
      </c>
      <c r="AC504" s="0" t="str">
        <f aca="false">IF($A504="","",IF(AW504="Y",BS504&amp;"",BE504&amp;""))</f>
        <v/>
      </c>
      <c r="AD504" s="0" t="str">
        <f aca="false">IF($A504="","",IF(AW504="Y",BT504&amp;"",BF504&amp;""))</f>
        <v/>
      </c>
      <c r="AE504" s="0" t="str">
        <f aca="false">IF($A504="","",IF(AW504="Y",BU504&amp;"",BG504&amp;""))</f>
        <v/>
      </c>
      <c r="AF504" s="0" t="str">
        <f aca="false">IF($A504="","",IF(AW504="Y",BV504&amp;"",BH504&amp;""))</f>
        <v/>
      </c>
      <c r="AG504" s="0" t="str">
        <f aca="false">IF($A504="","",IF(AW504="Y",BW504&amp;"",BI504&amp;""))</f>
        <v/>
      </c>
      <c r="AH504" s="0" t="str">
        <f aca="false">IF($A504="","",IF(AW504="Y",BX504&amp;"",BJ504&amp;""))</f>
        <v/>
      </c>
      <c r="AQ504" s="5"/>
      <c r="AT504" s="0" t="str">
        <f aca="false">IF($A504="","",IF(AND(CN504="pass",AQ504&lt;&gt;"Y",C504&lt;&gt;"",OR(AX504&lt;&gt;"Y",AV504="Y")),"Y","N"))</f>
        <v/>
      </c>
      <c r="AU504" s="0" t="str">
        <f aca="false">IF($A504="","",_xlfn.TEXTJOIN("; ",TRUE(),IF(CN504&lt;&gt;"pass","gated out",""),IF(AQ504="Y","on hold: "&amp;AR504,""),IF(C504="","no contact named on an opened page",""),IF(AND(AX504="Y",AV504&lt;&gt;"Y"),"Tuesday estimate band "&amp;L504&amp;": founder's call","")))</f>
        <v/>
      </c>
      <c r="BC504" s="0" t="str">
        <f aca="false">IF($A504="","",IFERROR(INDEX(Enrichment!$A$2:$GZ$2000,MATCH($A504,INDEX(Enrichment!$A$2:$GZ$2000,0,MATCH("row_id",Enrichment!$A$1:$GZ$1,0)),0),MATCH("work_email",Enrichment!$A$1:$GZ$1,0))&amp;"",""))</f>
        <v/>
      </c>
      <c r="BD504" s="0" t="str">
        <f aca="false">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Q504" s="0" t="str">
        <f aca="false">IF($A504="","",IFERROR(INDEX(Enrichment!$A$2:$GZ$2000,MATCH($A504,INDEX(Enrichment!$A$2:$GZ$2000,0,MATCH("row_id",Enrichment!$A$1:$GZ$1,0)),0),MATCH("backup_work_email",Enrichment!$A$1:$GZ$1,0))&amp;"",""))</f>
        <v/>
      </c>
      <c r="BR504" s="0" t="str">
        <f aca="false">IF($A504="","",IF(BQ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EQ504" s="0" t="str">
        <f aca="false">IF($A504="","",IF(AH504="exact",10,IF(AH504="adjacent",5,0)))</f>
        <v/>
      </c>
      <c r="ER504" s="0" t="str">
        <f aca="false">IF($A504="","",IF(R504="Y",15,0))</f>
        <v/>
      </c>
      <c r="FS504" s="0" t="str">
        <f aca="false">IF($A504="","",IF(ISNUMBER(MATCH(U504,{"queued","contacted","replied","call_booked","call_done","yes_in_principle","materials_sent"},0)),"Y","N"))</f>
        <v/>
      </c>
      <c r="FT504" s="0" t="str">
        <f aca="false">IF($A504="","",IF(OR(T504="Y",U504="do_not_contact",AS504&amp;""&lt;&gt;""),"Y","N"))</f>
        <v/>
      </c>
      <c r="FU504" s="0" t="str">
        <f aca="false">IF($A504="","",IF(AP504&amp;""&lt;&gt;"",AP504&amp;"",$A504))</f>
        <v/>
      </c>
      <c r="FV504" s="0" t="str">
        <f aca="false">IF($A504="","",IF(COUNTIFS($FU$2:$FU$1000,FU504,$FS$2:$FS$1000,"Y")+COUNTIFS($FU$2:$FU$1000,FU504,$FT$2:$FT$1000,"Y")&gt;0,"Y","N"))</f>
        <v/>
      </c>
      <c r="FW504" s="0" t="str">
        <f aca="false">IF($A504="","",IF(AND(U504="new",T504="N",FT504="N",AT504="Y",FV504="N"),"Y","N"))</f>
        <v/>
      </c>
      <c r="FX504" s="0" t="str">
        <f aca="false">IF($A504="","",IF(FW504&lt;&gt;"Y","N",IF(COUNTIFS($FU$2:$FU$1000,FU504,$FW$2:$FW$1000,"Y",$J$2:$J$1000,"&gt;"&amp;J504)+COUNTIFS($FU$2:$FU$1000,FU504,$FW$2:$FW$1000,"Y",$J$2:$J$1000,J504,$GD$2:$GD$1000,"&lt;"&amp;GD504)=0,"Y","N")))</f>
        <v/>
      </c>
      <c r="FY504" s="0" t="str">
        <f aca="false">IF($A504="","",IF(AND(FW504="Y",FX504="Y",Y504&amp;""&lt;&gt;""),IF(Y504&lt;=10,"Y","N"),"N"))</f>
        <v/>
      </c>
      <c r="FZ504" s="0" t="str">
        <f aca="false">IF(FY504="Y",Y504,"")</f>
        <v/>
      </c>
      <c r="GA504" s="0" t="str">
        <f aca="false">IF($A504="","",IF(AND(I504="walk-in",CN504="pass",U504="new",FT504="N",FV504="N",AQ504&lt;&gt;"Y"),"Y","N"))</f>
        <v/>
      </c>
      <c r="GB504" s="0" t="str">
        <f aca="false">IF(GA504&lt;&gt;"Y","",IF(COUNTIFS($GA$2:$GA$1000,"Y",$J$2:$J$1000,"&gt;"&amp;J504)+COUNTIFS($GA$2:$GA$1000,"Y",$J$2:$J$1000,J504,$GD$2:$GD$1000,"&lt;"&amp;GD504)+1&lt;=25,COUNTIFS($GA$2:$GA$1000,"Y",$J$2:$J$1000,"&gt;"&amp;J504)+COUNTIFS($GA$2:$GA$1000,"Y",$J$2:$J$1000,J504,$GD$2:$GD$1000,"&lt;"&amp;GD504)+1,""))</f>
        <v/>
      </c>
      <c r="GC504" s="0" t="str">
        <f aca="false">IF(AND(_xlfn.ISFORMULA(C504),_xlfn.ISFORMULA(J504)),"Y","N")</f>
        <v>Y</v>
      </c>
      <c r="GD504" s="0" t="n">
        <f aca="false">ROW()-1</f>
        <v>503</v>
      </c>
    </row>
    <row r="505" customFormat="false" ht="15" hidden="false" customHeight="false" outlineLevel="0" collapsed="false">
      <c r="C505" s="0" t="str">
        <f aca="false">IF($A505="","",IF(AW505="Y",BM505&amp;"",AY505&amp;""))</f>
        <v/>
      </c>
      <c r="D505" s="0" t="str">
        <f aca="false">IF($A505="","",IF(AW505="Y",BN505&amp;"",AZ505&amp;""))</f>
        <v/>
      </c>
      <c r="E505" s="0" t="str">
        <f aca="false">IF($A505="","",IF(AW505="Y",BO505&amp;"",BA505&amp;""))</f>
        <v/>
      </c>
      <c r="F505" s="0" t="str">
        <f aca="false">IF($A505="","",IF(AW505="Y",BP505&amp;"",BB505&amp;""))</f>
        <v/>
      </c>
      <c r="G505" s="0" t="str">
        <f aca="false">IF($A505="","",IF(AW505="Y",BQ505&amp;"",BC505&amp;""))</f>
        <v/>
      </c>
      <c r="H505" s="0" t="str">
        <f aca="false">IF($A505="","",IF(AW505="Y",BR505&amp;"",BD505&amp;""))</f>
        <v/>
      </c>
      <c r="I505" s="0" t="str">
        <f aca="false">IF($A505="","",IF(R505="Y","warm-intro",IF(H505="verified","email",IF(C505&lt;&gt;"","linkedin",CB505&amp;""))))</f>
        <v/>
      </c>
      <c r="J505" s="0" t="str">
        <f aca="false">IF($A505="","",IF(CN505="pass",ROUND(N(EM505)+N(EN505)+N(EO505)+N(EP505)+N(EQ505)+N(ER505),1),0))</f>
        <v/>
      </c>
      <c r="K505" s="0" t="str">
        <f aca="false">IF($A505="","",IF(CN505&lt;&gt;"pass",CA505&amp;"",CA505&amp;"; "&amp;IF(AW505="Y",BZ505&amp;"",BL505&amp;"")&amp;IF(R505="Y","; known to the founder (+15)","")&amp;"."))</f>
        <v/>
      </c>
      <c r="R505" s="5"/>
      <c r="U505" s="5"/>
      <c r="Y505" s="0" t="str">
        <f aca="false">IF(FX505&lt;&gt;"Y","",COUNTIFS($FX$2:$FX$1000,"Y",$J$2:$J$1000,"&gt;"&amp;J505)+COUNTIFS($FX$2:$FX$1000,"Y",$J$2:$J$1000,J505,$GD$2:$GD$1000,"&lt;"&amp;GD505)+1)</f>
        <v/>
      </c>
      <c r="AB505" s="0" t="str">
        <f aca="false">IF($A505="","",IF(AW505="Y",BY505&amp;"",BK505&amp;""))</f>
        <v/>
      </c>
      <c r="AC505" s="0" t="str">
        <f aca="false">IF($A505="","",IF(AW505="Y",BS505&amp;"",BE505&amp;""))</f>
        <v/>
      </c>
      <c r="AD505" s="0" t="str">
        <f aca="false">IF($A505="","",IF(AW505="Y",BT505&amp;"",BF505&amp;""))</f>
        <v/>
      </c>
      <c r="AE505" s="0" t="str">
        <f aca="false">IF($A505="","",IF(AW505="Y",BU505&amp;"",BG505&amp;""))</f>
        <v/>
      </c>
      <c r="AF505" s="0" t="str">
        <f aca="false">IF($A505="","",IF(AW505="Y",BV505&amp;"",BH505&amp;""))</f>
        <v/>
      </c>
      <c r="AG505" s="0" t="str">
        <f aca="false">IF($A505="","",IF(AW505="Y",BW505&amp;"",BI505&amp;""))</f>
        <v/>
      </c>
      <c r="AH505" s="0" t="str">
        <f aca="false">IF($A505="","",IF(AW505="Y",BX505&amp;"",BJ505&amp;""))</f>
        <v/>
      </c>
      <c r="AQ505" s="5"/>
      <c r="AT505" s="0" t="str">
        <f aca="false">IF($A505="","",IF(AND(CN505="pass",AQ505&lt;&gt;"Y",C505&lt;&gt;"",OR(AX505&lt;&gt;"Y",AV505="Y")),"Y","N"))</f>
        <v/>
      </c>
      <c r="AU505" s="0" t="str">
        <f aca="false">IF($A505="","",_xlfn.TEXTJOIN("; ",TRUE(),IF(CN505&lt;&gt;"pass","gated out",""),IF(AQ505="Y","on hold: "&amp;AR505,""),IF(C505="","no contact named on an opened page",""),IF(AND(AX505="Y",AV505&lt;&gt;"Y"),"Tuesday estimate band "&amp;L505&amp;": founder's call","")))</f>
        <v/>
      </c>
      <c r="BC505" s="0" t="str">
        <f aca="false">IF($A505="","",IFERROR(INDEX(Enrichment!$A$2:$GZ$2000,MATCH($A505,INDEX(Enrichment!$A$2:$GZ$2000,0,MATCH("row_id",Enrichment!$A$1:$GZ$1,0)),0),MATCH("work_email",Enrichment!$A$1:$GZ$1,0))&amp;"",""))</f>
        <v/>
      </c>
      <c r="BD505" s="0" t="str">
        <f aca="false">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Q505" s="0" t="str">
        <f aca="false">IF($A505="","",IFERROR(INDEX(Enrichment!$A$2:$GZ$2000,MATCH($A505,INDEX(Enrichment!$A$2:$GZ$2000,0,MATCH("row_id",Enrichment!$A$1:$GZ$1,0)),0),MATCH("backup_work_email",Enrichment!$A$1:$GZ$1,0))&amp;"",""))</f>
        <v/>
      </c>
      <c r="BR505" s="0" t="str">
        <f aca="false">IF($A505="","",IF(BQ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EQ505" s="0" t="str">
        <f aca="false">IF($A505="","",IF(AH505="exact",10,IF(AH505="adjacent",5,0)))</f>
        <v/>
      </c>
      <c r="ER505" s="0" t="str">
        <f aca="false">IF($A505="","",IF(R505="Y",15,0))</f>
        <v/>
      </c>
      <c r="FS505" s="0" t="str">
        <f aca="false">IF($A505="","",IF(ISNUMBER(MATCH(U505,{"queued","contacted","replied","call_booked","call_done","yes_in_principle","materials_sent"},0)),"Y","N"))</f>
        <v/>
      </c>
      <c r="FT505" s="0" t="str">
        <f aca="false">IF($A505="","",IF(OR(T505="Y",U505="do_not_contact",AS505&amp;""&lt;&gt;""),"Y","N"))</f>
        <v/>
      </c>
      <c r="FU505" s="0" t="str">
        <f aca="false">IF($A505="","",IF(AP505&amp;""&lt;&gt;"",AP505&amp;"",$A505))</f>
        <v/>
      </c>
      <c r="FV505" s="0" t="str">
        <f aca="false">IF($A505="","",IF(COUNTIFS($FU$2:$FU$1000,FU505,$FS$2:$FS$1000,"Y")+COUNTIFS($FU$2:$FU$1000,FU505,$FT$2:$FT$1000,"Y")&gt;0,"Y","N"))</f>
        <v/>
      </c>
      <c r="FW505" s="0" t="str">
        <f aca="false">IF($A505="","",IF(AND(U505="new",T505="N",FT505="N",AT505="Y",FV505="N"),"Y","N"))</f>
        <v/>
      </c>
      <c r="FX505" s="0" t="str">
        <f aca="false">IF($A505="","",IF(FW505&lt;&gt;"Y","N",IF(COUNTIFS($FU$2:$FU$1000,FU505,$FW$2:$FW$1000,"Y",$J$2:$J$1000,"&gt;"&amp;J505)+COUNTIFS($FU$2:$FU$1000,FU505,$FW$2:$FW$1000,"Y",$J$2:$J$1000,J505,$GD$2:$GD$1000,"&lt;"&amp;GD505)=0,"Y","N")))</f>
        <v/>
      </c>
      <c r="FY505" s="0" t="str">
        <f aca="false">IF($A505="","",IF(AND(FW505="Y",FX505="Y",Y505&amp;""&lt;&gt;""),IF(Y505&lt;=10,"Y","N"),"N"))</f>
        <v/>
      </c>
      <c r="FZ505" s="0" t="str">
        <f aca="false">IF(FY505="Y",Y505,"")</f>
        <v/>
      </c>
      <c r="GA505" s="0" t="str">
        <f aca="false">IF($A505="","",IF(AND(I505="walk-in",CN505="pass",U505="new",FT505="N",FV505="N",AQ505&lt;&gt;"Y"),"Y","N"))</f>
        <v/>
      </c>
      <c r="GB505" s="0" t="str">
        <f aca="false">IF(GA505&lt;&gt;"Y","",IF(COUNTIFS($GA$2:$GA$1000,"Y",$J$2:$J$1000,"&gt;"&amp;J505)+COUNTIFS($GA$2:$GA$1000,"Y",$J$2:$J$1000,J505,$GD$2:$GD$1000,"&lt;"&amp;GD505)+1&lt;=25,COUNTIFS($GA$2:$GA$1000,"Y",$J$2:$J$1000,"&gt;"&amp;J505)+COUNTIFS($GA$2:$GA$1000,"Y",$J$2:$J$1000,J505,$GD$2:$GD$1000,"&lt;"&amp;GD505)+1,""))</f>
        <v/>
      </c>
      <c r="GC505" s="0" t="str">
        <f aca="false">IF(AND(_xlfn.ISFORMULA(C505),_xlfn.ISFORMULA(J505)),"Y","N")</f>
        <v>Y</v>
      </c>
      <c r="GD505" s="0" t="n">
        <f aca="false">ROW()-1</f>
        <v>504</v>
      </c>
    </row>
    <row r="506" customFormat="false" ht="15" hidden="false" customHeight="false" outlineLevel="0" collapsed="false">
      <c r="C506" s="0" t="str">
        <f aca="false">IF($A506="","",IF(AW506="Y",BM506&amp;"",AY506&amp;""))</f>
        <v/>
      </c>
      <c r="D506" s="0" t="str">
        <f aca="false">IF($A506="","",IF(AW506="Y",BN506&amp;"",AZ506&amp;""))</f>
        <v/>
      </c>
      <c r="E506" s="0" t="str">
        <f aca="false">IF($A506="","",IF(AW506="Y",BO506&amp;"",BA506&amp;""))</f>
        <v/>
      </c>
      <c r="F506" s="0" t="str">
        <f aca="false">IF($A506="","",IF(AW506="Y",BP506&amp;"",BB506&amp;""))</f>
        <v/>
      </c>
      <c r="G506" s="0" t="str">
        <f aca="false">IF($A506="","",IF(AW506="Y",BQ506&amp;"",BC506&amp;""))</f>
        <v/>
      </c>
      <c r="H506" s="0" t="str">
        <f aca="false">IF($A506="","",IF(AW506="Y",BR506&amp;"",BD506&amp;""))</f>
        <v/>
      </c>
      <c r="I506" s="0" t="str">
        <f aca="false">IF($A506="","",IF(R506="Y","warm-intro",IF(H506="verified","email",IF(C506&lt;&gt;"","linkedin",CB506&amp;""))))</f>
        <v/>
      </c>
      <c r="J506" s="0" t="str">
        <f aca="false">IF($A506="","",IF(CN506="pass",ROUND(N(EM506)+N(EN506)+N(EO506)+N(EP506)+N(EQ506)+N(ER506),1),0))</f>
        <v/>
      </c>
      <c r="K506" s="0" t="str">
        <f aca="false">IF($A506="","",IF(CN506&lt;&gt;"pass",CA506&amp;"",CA506&amp;"; "&amp;IF(AW506="Y",BZ506&amp;"",BL506&amp;"")&amp;IF(R506="Y","; known to the founder (+15)","")&amp;"."))</f>
        <v/>
      </c>
      <c r="R506" s="5"/>
      <c r="U506" s="5"/>
      <c r="Y506" s="0" t="str">
        <f aca="false">IF(FX506&lt;&gt;"Y","",COUNTIFS($FX$2:$FX$1000,"Y",$J$2:$J$1000,"&gt;"&amp;J506)+COUNTIFS($FX$2:$FX$1000,"Y",$J$2:$J$1000,J506,$GD$2:$GD$1000,"&lt;"&amp;GD506)+1)</f>
        <v/>
      </c>
      <c r="AB506" s="0" t="str">
        <f aca="false">IF($A506="","",IF(AW506="Y",BY506&amp;"",BK506&amp;""))</f>
        <v/>
      </c>
      <c r="AC506" s="0" t="str">
        <f aca="false">IF($A506="","",IF(AW506="Y",BS506&amp;"",BE506&amp;""))</f>
        <v/>
      </c>
      <c r="AD506" s="0" t="str">
        <f aca="false">IF($A506="","",IF(AW506="Y",BT506&amp;"",BF506&amp;""))</f>
        <v/>
      </c>
      <c r="AE506" s="0" t="str">
        <f aca="false">IF($A506="","",IF(AW506="Y",BU506&amp;"",BG506&amp;""))</f>
        <v/>
      </c>
      <c r="AF506" s="0" t="str">
        <f aca="false">IF($A506="","",IF(AW506="Y",BV506&amp;"",BH506&amp;""))</f>
        <v/>
      </c>
      <c r="AG506" s="0" t="str">
        <f aca="false">IF($A506="","",IF(AW506="Y",BW506&amp;"",BI506&amp;""))</f>
        <v/>
      </c>
      <c r="AH506" s="0" t="str">
        <f aca="false">IF($A506="","",IF(AW506="Y",BX506&amp;"",BJ506&amp;""))</f>
        <v/>
      </c>
      <c r="AQ506" s="5"/>
      <c r="AT506" s="0" t="str">
        <f aca="false">IF($A506="","",IF(AND(CN506="pass",AQ506&lt;&gt;"Y",C506&lt;&gt;"",OR(AX506&lt;&gt;"Y",AV506="Y")),"Y","N"))</f>
        <v/>
      </c>
      <c r="AU506" s="0" t="str">
        <f aca="false">IF($A506="","",_xlfn.TEXTJOIN("; ",TRUE(),IF(CN506&lt;&gt;"pass","gated out",""),IF(AQ506="Y","on hold: "&amp;AR506,""),IF(C506="","no contact named on an opened page",""),IF(AND(AX506="Y",AV506&lt;&gt;"Y"),"Tuesday estimate band "&amp;L506&amp;": founder's call","")))</f>
        <v/>
      </c>
      <c r="BC506" s="0" t="str">
        <f aca="false">IF($A506="","",IFERROR(INDEX(Enrichment!$A$2:$GZ$2000,MATCH($A506,INDEX(Enrichment!$A$2:$GZ$2000,0,MATCH("row_id",Enrichment!$A$1:$GZ$1,0)),0),MATCH("work_email",Enrichment!$A$1:$GZ$1,0))&amp;"",""))</f>
        <v/>
      </c>
      <c r="BD506" s="0" t="str">
        <f aca="false">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Q506" s="0" t="str">
        <f aca="false">IF($A506="","",IFERROR(INDEX(Enrichment!$A$2:$GZ$2000,MATCH($A506,INDEX(Enrichment!$A$2:$GZ$2000,0,MATCH("row_id",Enrichment!$A$1:$GZ$1,0)),0),MATCH("backup_work_email",Enrichment!$A$1:$GZ$1,0))&amp;"",""))</f>
        <v/>
      </c>
      <c r="BR506" s="0" t="str">
        <f aca="false">IF($A506="","",IF(BQ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EQ506" s="0" t="str">
        <f aca="false">IF($A506="","",IF(AH506="exact",10,IF(AH506="adjacent",5,0)))</f>
        <v/>
      </c>
      <c r="ER506" s="0" t="str">
        <f aca="false">IF($A506="","",IF(R506="Y",15,0))</f>
        <v/>
      </c>
      <c r="FS506" s="0" t="str">
        <f aca="false">IF($A506="","",IF(ISNUMBER(MATCH(U506,{"queued","contacted","replied","call_booked","call_done","yes_in_principle","materials_sent"},0)),"Y","N"))</f>
        <v/>
      </c>
      <c r="FT506" s="0" t="str">
        <f aca="false">IF($A506="","",IF(OR(T506="Y",U506="do_not_contact",AS506&amp;""&lt;&gt;""),"Y","N"))</f>
        <v/>
      </c>
      <c r="FU506" s="0" t="str">
        <f aca="false">IF($A506="","",IF(AP506&amp;""&lt;&gt;"",AP506&amp;"",$A506))</f>
        <v/>
      </c>
      <c r="FV506" s="0" t="str">
        <f aca="false">IF($A506="","",IF(COUNTIFS($FU$2:$FU$1000,FU506,$FS$2:$FS$1000,"Y")+COUNTIFS($FU$2:$FU$1000,FU506,$FT$2:$FT$1000,"Y")&gt;0,"Y","N"))</f>
        <v/>
      </c>
      <c r="FW506" s="0" t="str">
        <f aca="false">IF($A506="","",IF(AND(U506="new",T506="N",FT506="N",AT506="Y",FV506="N"),"Y","N"))</f>
        <v/>
      </c>
      <c r="FX506" s="0" t="str">
        <f aca="false">IF($A506="","",IF(FW506&lt;&gt;"Y","N",IF(COUNTIFS($FU$2:$FU$1000,FU506,$FW$2:$FW$1000,"Y",$J$2:$J$1000,"&gt;"&amp;J506)+COUNTIFS($FU$2:$FU$1000,FU506,$FW$2:$FW$1000,"Y",$J$2:$J$1000,J506,$GD$2:$GD$1000,"&lt;"&amp;GD506)=0,"Y","N")))</f>
        <v/>
      </c>
      <c r="FY506" s="0" t="str">
        <f aca="false">IF($A506="","",IF(AND(FW506="Y",FX506="Y",Y506&amp;""&lt;&gt;""),IF(Y506&lt;=10,"Y","N"),"N"))</f>
        <v/>
      </c>
      <c r="FZ506" s="0" t="str">
        <f aca="false">IF(FY506="Y",Y506,"")</f>
        <v/>
      </c>
      <c r="GA506" s="0" t="str">
        <f aca="false">IF($A506="","",IF(AND(I506="walk-in",CN506="pass",U506="new",FT506="N",FV506="N",AQ506&lt;&gt;"Y"),"Y","N"))</f>
        <v/>
      </c>
      <c r="GB506" s="0" t="str">
        <f aca="false">IF(GA506&lt;&gt;"Y","",IF(COUNTIFS($GA$2:$GA$1000,"Y",$J$2:$J$1000,"&gt;"&amp;J506)+COUNTIFS($GA$2:$GA$1000,"Y",$J$2:$J$1000,J506,$GD$2:$GD$1000,"&lt;"&amp;GD506)+1&lt;=25,COUNTIFS($GA$2:$GA$1000,"Y",$J$2:$J$1000,"&gt;"&amp;J506)+COUNTIFS($GA$2:$GA$1000,"Y",$J$2:$J$1000,J506,$GD$2:$GD$1000,"&lt;"&amp;GD506)+1,""))</f>
        <v/>
      </c>
      <c r="GC506" s="0" t="str">
        <f aca="false">IF(AND(_xlfn.ISFORMULA(C506),_xlfn.ISFORMULA(J506)),"Y","N")</f>
        <v>Y</v>
      </c>
      <c r="GD506" s="0" t="n">
        <f aca="false">ROW()-1</f>
        <v>505</v>
      </c>
    </row>
    <row r="507" customFormat="false" ht="15" hidden="false" customHeight="false" outlineLevel="0" collapsed="false">
      <c r="C507" s="0" t="str">
        <f aca="false">IF($A507="","",IF(AW507="Y",BM507&amp;"",AY507&amp;""))</f>
        <v/>
      </c>
      <c r="D507" s="0" t="str">
        <f aca="false">IF($A507="","",IF(AW507="Y",BN507&amp;"",AZ507&amp;""))</f>
        <v/>
      </c>
      <c r="E507" s="0" t="str">
        <f aca="false">IF($A507="","",IF(AW507="Y",BO507&amp;"",BA507&amp;""))</f>
        <v/>
      </c>
      <c r="F507" s="0" t="str">
        <f aca="false">IF($A507="","",IF(AW507="Y",BP507&amp;"",BB507&amp;""))</f>
        <v/>
      </c>
      <c r="G507" s="0" t="str">
        <f aca="false">IF($A507="","",IF(AW507="Y",BQ507&amp;"",BC507&amp;""))</f>
        <v/>
      </c>
      <c r="H507" s="0" t="str">
        <f aca="false">IF($A507="","",IF(AW507="Y",BR507&amp;"",BD507&amp;""))</f>
        <v/>
      </c>
      <c r="I507" s="0" t="str">
        <f aca="false">IF($A507="","",IF(R507="Y","warm-intro",IF(H507="verified","email",IF(C507&lt;&gt;"","linkedin",CB507&amp;""))))</f>
        <v/>
      </c>
      <c r="J507" s="0" t="str">
        <f aca="false">IF($A507="","",IF(CN507="pass",ROUND(N(EM507)+N(EN507)+N(EO507)+N(EP507)+N(EQ507)+N(ER507),1),0))</f>
        <v/>
      </c>
      <c r="K507" s="0" t="str">
        <f aca="false">IF($A507="","",IF(CN507&lt;&gt;"pass",CA507&amp;"",CA507&amp;"; "&amp;IF(AW507="Y",BZ507&amp;"",BL507&amp;"")&amp;IF(R507="Y","; known to the founder (+15)","")&amp;"."))</f>
        <v/>
      </c>
      <c r="R507" s="5"/>
      <c r="U507" s="5"/>
      <c r="Y507" s="0" t="str">
        <f aca="false">IF(FX507&lt;&gt;"Y","",COUNTIFS($FX$2:$FX$1000,"Y",$J$2:$J$1000,"&gt;"&amp;J507)+COUNTIFS($FX$2:$FX$1000,"Y",$J$2:$J$1000,J507,$GD$2:$GD$1000,"&lt;"&amp;GD507)+1)</f>
        <v/>
      </c>
      <c r="AB507" s="0" t="str">
        <f aca="false">IF($A507="","",IF(AW507="Y",BY507&amp;"",BK507&amp;""))</f>
        <v/>
      </c>
      <c r="AC507" s="0" t="str">
        <f aca="false">IF($A507="","",IF(AW507="Y",BS507&amp;"",BE507&amp;""))</f>
        <v/>
      </c>
      <c r="AD507" s="0" t="str">
        <f aca="false">IF($A507="","",IF(AW507="Y",BT507&amp;"",BF507&amp;""))</f>
        <v/>
      </c>
      <c r="AE507" s="0" t="str">
        <f aca="false">IF($A507="","",IF(AW507="Y",BU507&amp;"",BG507&amp;""))</f>
        <v/>
      </c>
      <c r="AF507" s="0" t="str">
        <f aca="false">IF($A507="","",IF(AW507="Y",BV507&amp;"",BH507&amp;""))</f>
        <v/>
      </c>
      <c r="AG507" s="0" t="str">
        <f aca="false">IF($A507="","",IF(AW507="Y",BW507&amp;"",BI507&amp;""))</f>
        <v/>
      </c>
      <c r="AH507" s="0" t="str">
        <f aca="false">IF($A507="","",IF(AW507="Y",BX507&amp;"",BJ507&amp;""))</f>
        <v/>
      </c>
      <c r="AQ507" s="5"/>
      <c r="AT507" s="0" t="str">
        <f aca="false">IF($A507="","",IF(AND(CN507="pass",AQ507&lt;&gt;"Y",C507&lt;&gt;"",OR(AX507&lt;&gt;"Y",AV507="Y")),"Y","N"))</f>
        <v/>
      </c>
      <c r="AU507" s="0" t="str">
        <f aca="false">IF($A507="","",_xlfn.TEXTJOIN("; ",TRUE(),IF(CN507&lt;&gt;"pass","gated out",""),IF(AQ507="Y","on hold: "&amp;AR507,""),IF(C507="","no contact named on an opened page",""),IF(AND(AX507="Y",AV507&lt;&gt;"Y"),"Tuesday estimate band "&amp;L507&amp;": founder's call","")))</f>
        <v/>
      </c>
      <c r="BC507" s="0" t="str">
        <f aca="false">IF($A507="","",IFERROR(INDEX(Enrichment!$A$2:$GZ$2000,MATCH($A507,INDEX(Enrichment!$A$2:$GZ$2000,0,MATCH("row_id",Enrichment!$A$1:$GZ$1,0)),0),MATCH("work_email",Enrichment!$A$1:$GZ$1,0))&amp;"",""))</f>
        <v/>
      </c>
      <c r="BD507" s="0" t="str">
        <f aca="false">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Q507" s="0" t="str">
        <f aca="false">IF($A507="","",IFERROR(INDEX(Enrichment!$A$2:$GZ$2000,MATCH($A507,INDEX(Enrichment!$A$2:$GZ$2000,0,MATCH("row_id",Enrichment!$A$1:$GZ$1,0)),0),MATCH("backup_work_email",Enrichment!$A$1:$GZ$1,0))&amp;"",""))</f>
        <v/>
      </c>
      <c r="BR507" s="0" t="str">
        <f aca="false">IF($A507="","",IF(BQ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EQ507" s="0" t="str">
        <f aca="false">IF($A507="","",IF(AH507="exact",10,IF(AH507="adjacent",5,0)))</f>
        <v/>
      </c>
      <c r="ER507" s="0" t="str">
        <f aca="false">IF($A507="","",IF(R507="Y",15,0))</f>
        <v/>
      </c>
      <c r="FS507" s="0" t="str">
        <f aca="false">IF($A507="","",IF(ISNUMBER(MATCH(U507,{"queued","contacted","replied","call_booked","call_done","yes_in_principle","materials_sent"},0)),"Y","N"))</f>
        <v/>
      </c>
      <c r="FT507" s="0" t="str">
        <f aca="false">IF($A507="","",IF(OR(T507="Y",U507="do_not_contact",AS507&amp;""&lt;&gt;""),"Y","N"))</f>
        <v/>
      </c>
      <c r="FU507" s="0" t="str">
        <f aca="false">IF($A507="","",IF(AP507&amp;""&lt;&gt;"",AP507&amp;"",$A507))</f>
        <v/>
      </c>
      <c r="FV507" s="0" t="str">
        <f aca="false">IF($A507="","",IF(COUNTIFS($FU$2:$FU$1000,FU507,$FS$2:$FS$1000,"Y")+COUNTIFS($FU$2:$FU$1000,FU507,$FT$2:$FT$1000,"Y")&gt;0,"Y","N"))</f>
        <v/>
      </c>
      <c r="FW507" s="0" t="str">
        <f aca="false">IF($A507="","",IF(AND(U507="new",T507="N",FT507="N",AT507="Y",FV507="N"),"Y","N"))</f>
        <v/>
      </c>
      <c r="FX507" s="0" t="str">
        <f aca="false">IF($A507="","",IF(FW507&lt;&gt;"Y","N",IF(COUNTIFS($FU$2:$FU$1000,FU507,$FW$2:$FW$1000,"Y",$J$2:$J$1000,"&gt;"&amp;J507)+COUNTIFS($FU$2:$FU$1000,FU507,$FW$2:$FW$1000,"Y",$J$2:$J$1000,J507,$GD$2:$GD$1000,"&lt;"&amp;GD507)=0,"Y","N")))</f>
        <v/>
      </c>
      <c r="FY507" s="0" t="str">
        <f aca="false">IF($A507="","",IF(AND(FW507="Y",FX507="Y",Y507&amp;""&lt;&gt;""),IF(Y507&lt;=10,"Y","N"),"N"))</f>
        <v/>
      </c>
      <c r="FZ507" s="0" t="str">
        <f aca="false">IF(FY507="Y",Y507,"")</f>
        <v/>
      </c>
      <c r="GA507" s="0" t="str">
        <f aca="false">IF($A507="","",IF(AND(I507="walk-in",CN507="pass",U507="new",FT507="N",FV507="N",AQ507&lt;&gt;"Y"),"Y","N"))</f>
        <v/>
      </c>
      <c r="GB507" s="0" t="str">
        <f aca="false">IF(GA507&lt;&gt;"Y","",IF(COUNTIFS($GA$2:$GA$1000,"Y",$J$2:$J$1000,"&gt;"&amp;J507)+COUNTIFS($GA$2:$GA$1000,"Y",$J$2:$J$1000,J507,$GD$2:$GD$1000,"&lt;"&amp;GD507)+1&lt;=25,COUNTIFS($GA$2:$GA$1000,"Y",$J$2:$J$1000,"&gt;"&amp;J507)+COUNTIFS($GA$2:$GA$1000,"Y",$J$2:$J$1000,J507,$GD$2:$GD$1000,"&lt;"&amp;GD507)+1,""))</f>
        <v/>
      </c>
      <c r="GC507" s="0" t="str">
        <f aca="false">IF(AND(_xlfn.ISFORMULA(C507),_xlfn.ISFORMULA(J507)),"Y","N")</f>
        <v>Y</v>
      </c>
      <c r="GD507" s="0" t="n">
        <f aca="false">ROW()-1</f>
        <v>506</v>
      </c>
    </row>
    <row r="508" customFormat="false" ht="15" hidden="false" customHeight="false" outlineLevel="0" collapsed="false">
      <c r="C508" s="0" t="str">
        <f aca="false">IF($A508="","",IF(AW508="Y",BM508&amp;"",AY508&amp;""))</f>
        <v/>
      </c>
      <c r="D508" s="0" t="str">
        <f aca="false">IF($A508="","",IF(AW508="Y",BN508&amp;"",AZ508&amp;""))</f>
        <v/>
      </c>
      <c r="E508" s="0" t="str">
        <f aca="false">IF($A508="","",IF(AW508="Y",BO508&amp;"",BA508&amp;""))</f>
        <v/>
      </c>
      <c r="F508" s="0" t="str">
        <f aca="false">IF($A508="","",IF(AW508="Y",BP508&amp;"",BB508&amp;""))</f>
        <v/>
      </c>
      <c r="G508" s="0" t="str">
        <f aca="false">IF($A508="","",IF(AW508="Y",BQ508&amp;"",BC508&amp;""))</f>
        <v/>
      </c>
      <c r="H508" s="0" t="str">
        <f aca="false">IF($A508="","",IF(AW508="Y",BR508&amp;"",BD508&amp;""))</f>
        <v/>
      </c>
      <c r="I508" s="0" t="str">
        <f aca="false">IF($A508="","",IF(R508="Y","warm-intro",IF(H508="verified","email",IF(C508&lt;&gt;"","linkedin",CB508&amp;""))))</f>
        <v/>
      </c>
      <c r="J508" s="0" t="str">
        <f aca="false">IF($A508="","",IF(CN508="pass",ROUND(N(EM508)+N(EN508)+N(EO508)+N(EP508)+N(EQ508)+N(ER508),1),0))</f>
        <v/>
      </c>
      <c r="K508" s="0" t="str">
        <f aca="false">IF($A508="","",IF(CN508&lt;&gt;"pass",CA508&amp;"",CA508&amp;"; "&amp;IF(AW508="Y",BZ508&amp;"",BL508&amp;"")&amp;IF(R508="Y","; known to the founder (+15)","")&amp;"."))</f>
        <v/>
      </c>
      <c r="R508" s="5"/>
      <c r="U508" s="5"/>
      <c r="Y508" s="0" t="str">
        <f aca="false">IF(FX508&lt;&gt;"Y","",COUNTIFS($FX$2:$FX$1000,"Y",$J$2:$J$1000,"&gt;"&amp;J508)+COUNTIFS($FX$2:$FX$1000,"Y",$J$2:$J$1000,J508,$GD$2:$GD$1000,"&lt;"&amp;GD508)+1)</f>
        <v/>
      </c>
      <c r="AB508" s="0" t="str">
        <f aca="false">IF($A508="","",IF(AW508="Y",BY508&amp;"",BK508&amp;""))</f>
        <v/>
      </c>
      <c r="AC508" s="0" t="str">
        <f aca="false">IF($A508="","",IF(AW508="Y",BS508&amp;"",BE508&amp;""))</f>
        <v/>
      </c>
      <c r="AD508" s="0" t="str">
        <f aca="false">IF($A508="","",IF(AW508="Y",BT508&amp;"",BF508&amp;""))</f>
        <v/>
      </c>
      <c r="AE508" s="0" t="str">
        <f aca="false">IF($A508="","",IF(AW508="Y",BU508&amp;"",BG508&amp;""))</f>
        <v/>
      </c>
      <c r="AF508" s="0" t="str">
        <f aca="false">IF($A508="","",IF(AW508="Y",BV508&amp;"",BH508&amp;""))</f>
        <v/>
      </c>
      <c r="AG508" s="0" t="str">
        <f aca="false">IF($A508="","",IF(AW508="Y",BW508&amp;"",BI508&amp;""))</f>
        <v/>
      </c>
      <c r="AH508" s="0" t="str">
        <f aca="false">IF($A508="","",IF(AW508="Y",BX508&amp;"",BJ508&amp;""))</f>
        <v/>
      </c>
      <c r="AQ508" s="5"/>
      <c r="AT508" s="0" t="str">
        <f aca="false">IF($A508="","",IF(AND(CN508="pass",AQ508&lt;&gt;"Y",C508&lt;&gt;"",OR(AX508&lt;&gt;"Y",AV508="Y")),"Y","N"))</f>
        <v/>
      </c>
      <c r="AU508" s="0" t="str">
        <f aca="false">IF($A508="","",_xlfn.TEXTJOIN("; ",TRUE(),IF(CN508&lt;&gt;"pass","gated out",""),IF(AQ508="Y","on hold: "&amp;AR508,""),IF(C508="","no contact named on an opened page",""),IF(AND(AX508="Y",AV508&lt;&gt;"Y"),"Tuesday estimate band "&amp;L508&amp;": founder's call","")))</f>
        <v/>
      </c>
      <c r="BC508" s="0" t="str">
        <f aca="false">IF($A508="","",IFERROR(INDEX(Enrichment!$A$2:$GZ$2000,MATCH($A508,INDEX(Enrichment!$A$2:$GZ$2000,0,MATCH("row_id",Enrichment!$A$1:$GZ$1,0)),0),MATCH("work_email",Enrichment!$A$1:$GZ$1,0))&amp;"",""))</f>
        <v/>
      </c>
      <c r="BD508" s="0" t="str">
        <f aca="false">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Q508" s="0" t="str">
        <f aca="false">IF($A508="","",IFERROR(INDEX(Enrichment!$A$2:$GZ$2000,MATCH($A508,INDEX(Enrichment!$A$2:$GZ$2000,0,MATCH("row_id",Enrichment!$A$1:$GZ$1,0)),0),MATCH("backup_work_email",Enrichment!$A$1:$GZ$1,0))&amp;"",""))</f>
        <v/>
      </c>
      <c r="BR508" s="0" t="str">
        <f aca="false">IF($A508="","",IF(BQ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EQ508" s="0" t="str">
        <f aca="false">IF($A508="","",IF(AH508="exact",10,IF(AH508="adjacent",5,0)))</f>
        <v/>
      </c>
      <c r="ER508" s="0" t="str">
        <f aca="false">IF($A508="","",IF(R508="Y",15,0))</f>
        <v/>
      </c>
      <c r="FS508" s="0" t="str">
        <f aca="false">IF($A508="","",IF(ISNUMBER(MATCH(U508,{"queued","contacted","replied","call_booked","call_done","yes_in_principle","materials_sent"},0)),"Y","N"))</f>
        <v/>
      </c>
      <c r="FT508" s="0" t="str">
        <f aca="false">IF($A508="","",IF(OR(T508="Y",U508="do_not_contact",AS508&amp;""&lt;&gt;""),"Y","N"))</f>
        <v/>
      </c>
      <c r="FU508" s="0" t="str">
        <f aca="false">IF($A508="","",IF(AP508&amp;""&lt;&gt;"",AP508&amp;"",$A508))</f>
        <v/>
      </c>
      <c r="FV508" s="0" t="str">
        <f aca="false">IF($A508="","",IF(COUNTIFS($FU$2:$FU$1000,FU508,$FS$2:$FS$1000,"Y")+COUNTIFS($FU$2:$FU$1000,FU508,$FT$2:$FT$1000,"Y")&gt;0,"Y","N"))</f>
        <v/>
      </c>
      <c r="FW508" s="0" t="str">
        <f aca="false">IF($A508="","",IF(AND(U508="new",T508="N",FT508="N",AT508="Y",FV508="N"),"Y","N"))</f>
        <v/>
      </c>
      <c r="FX508" s="0" t="str">
        <f aca="false">IF($A508="","",IF(FW508&lt;&gt;"Y","N",IF(COUNTIFS($FU$2:$FU$1000,FU508,$FW$2:$FW$1000,"Y",$J$2:$J$1000,"&gt;"&amp;J508)+COUNTIFS($FU$2:$FU$1000,FU508,$FW$2:$FW$1000,"Y",$J$2:$J$1000,J508,$GD$2:$GD$1000,"&lt;"&amp;GD508)=0,"Y","N")))</f>
        <v/>
      </c>
      <c r="FY508" s="0" t="str">
        <f aca="false">IF($A508="","",IF(AND(FW508="Y",FX508="Y",Y508&amp;""&lt;&gt;""),IF(Y508&lt;=10,"Y","N"),"N"))</f>
        <v/>
      </c>
      <c r="FZ508" s="0" t="str">
        <f aca="false">IF(FY508="Y",Y508,"")</f>
        <v/>
      </c>
      <c r="GA508" s="0" t="str">
        <f aca="false">IF($A508="","",IF(AND(I508="walk-in",CN508="pass",U508="new",FT508="N",FV508="N",AQ508&lt;&gt;"Y"),"Y","N"))</f>
        <v/>
      </c>
      <c r="GB508" s="0" t="str">
        <f aca="false">IF(GA508&lt;&gt;"Y","",IF(COUNTIFS($GA$2:$GA$1000,"Y",$J$2:$J$1000,"&gt;"&amp;J508)+COUNTIFS($GA$2:$GA$1000,"Y",$J$2:$J$1000,J508,$GD$2:$GD$1000,"&lt;"&amp;GD508)+1&lt;=25,COUNTIFS($GA$2:$GA$1000,"Y",$J$2:$J$1000,"&gt;"&amp;J508)+COUNTIFS($GA$2:$GA$1000,"Y",$J$2:$J$1000,J508,$GD$2:$GD$1000,"&lt;"&amp;GD508)+1,""))</f>
        <v/>
      </c>
      <c r="GC508" s="0" t="str">
        <f aca="false">IF(AND(_xlfn.ISFORMULA(C508),_xlfn.ISFORMULA(J508)),"Y","N")</f>
        <v>Y</v>
      </c>
      <c r="GD508" s="0" t="n">
        <f aca="false">ROW()-1</f>
        <v>507</v>
      </c>
    </row>
    <row r="509" customFormat="false" ht="15" hidden="false" customHeight="false" outlineLevel="0" collapsed="false">
      <c r="C509" s="0" t="str">
        <f aca="false">IF($A509="","",IF(AW509="Y",BM509&amp;"",AY509&amp;""))</f>
        <v/>
      </c>
      <c r="D509" s="0" t="str">
        <f aca="false">IF($A509="","",IF(AW509="Y",BN509&amp;"",AZ509&amp;""))</f>
        <v/>
      </c>
      <c r="E509" s="0" t="str">
        <f aca="false">IF($A509="","",IF(AW509="Y",BO509&amp;"",BA509&amp;""))</f>
        <v/>
      </c>
      <c r="F509" s="0" t="str">
        <f aca="false">IF($A509="","",IF(AW509="Y",BP509&amp;"",BB509&amp;""))</f>
        <v/>
      </c>
      <c r="G509" s="0" t="str">
        <f aca="false">IF($A509="","",IF(AW509="Y",BQ509&amp;"",BC509&amp;""))</f>
        <v/>
      </c>
      <c r="H509" s="0" t="str">
        <f aca="false">IF($A509="","",IF(AW509="Y",BR509&amp;"",BD509&amp;""))</f>
        <v/>
      </c>
      <c r="I509" s="0" t="str">
        <f aca="false">IF($A509="","",IF(R509="Y","warm-intro",IF(H509="verified","email",IF(C509&lt;&gt;"","linkedin",CB509&amp;""))))</f>
        <v/>
      </c>
      <c r="J509" s="0" t="str">
        <f aca="false">IF($A509="","",IF(CN509="pass",ROUND(N(EM509)+N(EN509)+N(EO509)+N(EP509)+N(EQ509)+N(ER509),1),0))</f>
        <v/>
      </c>
      <c r="K509" s="0" t="str">
        <f aca="false">IF($A509="","",IF(CN509&lt;&gt;"pass",CA509&amp;"",CA509&amp;"; "&amp;IF(AW509="Y",BZ509&amp;"",BL509&amp;"")&amp;IF(R509="Y","; known to the founder (+15)","")&amp;"."))</f>
        <v/>
      </c>
      <c r="R509" s="5"/>
      <c r="U509" s="5"/>
      <c r="Y509" s="0" t="str">
        <f aca="false">IF(FX509&lt;&gt;"Y","",COUNTIFS($FX$2:$FX$1000,"Y",$J$2:$J$1000,"&gt;"&amp;J509)+COUNTIFS($FX$2:$FX$1000,"Y",$J$2:$J$1000,J509,$GD$2:$GD$1000,"&lt;"&amp;GD509)+1)</f>
        <v/>
      </c>
      <c r="AB509" s="0" t="str">
        <f aca="false">IF($A509="","",IF(AW509="Y",BY509&amp;"",BK509&amp;""))</f>
        <v/>
      </c>
      <c r="AC509" s="0" t="str">
        <f aca="false">IF($A509="","",IF(AW509="Y",BS509&amp;"",BE509&amp;""))</f>
        <v/>
      </c>
      <c r="AD509" s="0" t="str">
        <f aca="false">IF($A509="","",IF(AW509="Y",BT509&amp;"",BF509&amp;""))</f>
        <v/>
      </c>
      <c r="AE509" s="0" t="str">
        <f aca="false">IF($A509="","",IF(AW509="Y",BU509&amp;"",BG509&amp;""))</f>
        <v/>
      </c>
      <c r="AF509" s="0" t="str">
        <f aca="false">IF($A509="","",IF(AW509="Y",BV509&amp;"",BH509&amp;""))</f>
        <v/>
      </c>
      <c r="AG509" s="0" t="str">
        <f aca="false">IF($A509="","",IF(AW509="Y",BW509&amp;"",BI509&amp;""))</f>
        <v/>
      </c>
      <c r="AH509" s="0" t="str">
        <f aca="false">IF($A509="","",IF(AW509="Y",BX509&amp;"",BJ509&amp;""))</f>
        <v/>
      </c>
      <c r="AQ509" s="5"/>
      <c r="AT509" s="0" t="str">
        <f aca="false">IF($A509="","",IF(AND(CN509="pass",AQ509&lt;&gt;"Y",C509&lt;&gt;"",OR(AX509&lt;&gt;"Y",AV509="Y")),"Y","N"))</f>
        <v/>
      </c>
      <c r="AU509" s="0" t="str">
        <f aca="false">IF($A509="","",_xlfn.TEXTJOIN("; ",TRUE(),IF(CN509&lt;&gt;"pass","gated out",""),IF(AQ509="Y","on hold: "&amp;AR509,""),IF(C509="","no contact named on an opened page",""),IF(AND(AX509="Y",AV509&lt;&gt;"Y"),"Tuesday estimate band "&amp;L509&amp;": founder's call","")))</f>
        <v/>
      </c>
      <c r="BC509" s="0" t="str">
        <f aca="false">IF($A509="","",IFERROR(INDEX(Enrichment!$A$2:$GZ$2000,MATCH($A509,INDEX(Enrichment!$A$2:$GZ$2000,0,MATCH("row_id",Enrichment!$A$1:$GZ$1,0)),0),MATCH("work_email",Enrichment!$A$1:$GZ$1,0))&amp;"",""))</f>
        <v/>
      </c>
      <c r="BD509" s="0" t="str">
        <f aca="false">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Q509" s="0" t="str">
        <f aca="false">IF($A509="","",IFERROR(INDEX(Enrichment!$A$2:$GZ$2000,MATCH($A509,INDEX(Enrichment!$A$2:$GZ$2000,0,MATCH("row_id",Enrichment!$A$1:$GZ$1,0)),0),MATCH("backup_work_email",Enrichment!$A$1:$GZ$1,0))&amp;"",""))</f>
        <v/>
      </c>
      <c r="BR509" s="0" t="str">
        <f aca="false">IF($A509="","",IF(BQ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EQ509" s="0" t="str">
        <f aca="false">IF($A509="","",IF(AH509="exact",10,IF(AH509="adjacent",5,0)))</f>
        <v/>
      </c>
      <c r="ER509" s="0" t="str">
        <f aca="false">IF($A509="","",IF(R509="Y",15,0))</f>
        <v/>
      </c>
      <c r="FS509" s="0" t="str">
        <f aca="false">IF($A509="","",IF(ISNUMBER(MATCH(U509,{"queued","contacted","replied","call_booked","call_done","yes_in_principle","materials_sent"},0)),"Y","N"))</f>
        <v/>
      </c>
      <c r="FT509" s="0" t="str">
        <f aca="false">IF($A509="","",IF(OR(T509="Y",U509="do_not_contact",AS509&amp;""&lt;&gt;""),"Y","N"))</f>
        <v/>
      </c>
      <c r="FU509" s="0" t="str">
        <f aca="false">IF($A509="","",IF(AP509&amp;""&lt;&gt;"",AP509&amp;"",$A509))</f>
        <v/>
      </c>
      <c r="FV509" s="0" t="str">
        <f aca="false">IF($A509="","",IF(COUNTIFS($FU$2:$FU$1000,FU509,$FS$2:$FS$1000,"Y")+COUNTIFS($FU$2:$FU$1000,FU509,$FT$2:$FT$1000,"Y")&gt;0,"Y","N"))</f>
        <v/>
      </c>
      <c r="FW509" s="0" t="str">
        <f aca="false">IF($A509="","",IF(AND(U509="new",T509="N",FT509="N",AT509="Y",FV509="N"),"Y","N"))</f>
        <v/>
      </c>
      <c r="FX509" s="0" t="str">
        <f aca="false">IF($A509="","",IF(FW509&lt;&gt;"Y","N",IF(COUNTIFS($FU$2:$FU$1000,FU509,$FW$2:$FW$1000,"Y",$J$2:$J$1000,"&gt;"&amp;J509)+COUNTIFS($FU$2:$FU$1000,FU509,$FW$2:$FW$1000,"Y",$J$2:$J$1000,J509,$GD$2:$GD$1000,"&lt;"&amp;GD509)=0,"Y","N")))</f>
        <v/>
      </c>
      <c r="FY509" s="0" t="str">
        <f aca="false">IF($A509="","",IF(AND(FW509="Y",FX509="Y",Y509&amp;""&lt;&gt;""),IF(Y509&lt;=10,"Y","N"),"N"))</f>
        <v/>
      </c>
      <c r="FZ509" s="0" t="str">
        <f aca="false">IF(FY509="Y",Y509,"")</f>
        <v/>
      </c>
      <c r="GA509" s="0" t="str">
        <f aca="false">IF($A509="","",IF(AND(I509="walk-in",CN509="pass",U509="new",FT509="N",FV509="N",AQ509&lt;&gt;"Y"),"Y","N"))</f>
        <v/>
      </c>
      <c r="GB509" s="0" t="str">
        <f aca="false">IF(GA509&lt;&gt;"Y","",IF(COUNTIFS($GA$2:$GA$1000,"Y",$J$2:$J$1000,"&gt;"&amp;J509)+COUNTIFS($GA$2:$GA$1000,"Y",$J$2:$J$1000,J509,$GD$2:$GD$1000,"&lt;"&amp;GD509)+1&lt;=25,COUNTIFS($GA$2:$GA$1000,"Y",$J$2:$J$1000,"&gt;"&amp;J509)+COUNTIFS($GA$2:$GA$1000,"Y",$J$2:$J$1000,J509,$GD$2:$GD$1000,"&lt;"&amp;GD509)+1,""))</f>
        <v/>
      </c>
      <c r="GC509" s="0" t="str">
        <f aca="false">IF(AND(_xlfn.ISFORMULA(C509),_xlfn.ISFORMULA(J509)),"Y","N")</f>
        <v>Y</v>
      </c>
      <c r="GD509" s="0" t="n">
        <f aca="false">ROW()-1</f>
        <v>508</v>
      </c>
    </row>
    <row r="510" customFormat="false" ht="15" hidden="false" customHeight="false" outlineLevel="0" collapsed="false">
      <c r="C510" s="0" t="str">
        <f aca="false">IF($A510="","",IF(AW510="Y",BM510&amp;"",AY510&amp;""))</f>
        <v/>
      </c>
      <c r="D510" s="0" t="str">
        <f aca="false">IF($A510="","",IF(AW510="Y",BN510&amp;"",AZ510&amp;""))</f>
        <v/>
      </c>
      <c r="E510" s="0" t="str">
        <f aca="false">IF($A510="","",IF(AW510="Y",BO510&amp;"",BA510&amp;""))</f>
        <v/>
      </c>
      <c r="F510" s="0" t="str">
        <f aca="false">IF($A510="","",IF(AW510="Y",BP510&amp;"",BB510&amp;""))</f>
        <v/>
      </c>
      <c r="G510" s="0" t="str">
        <f aca="false">IF($A510="","",IF(AW510="Y",BQ510&amp;"",BC510&amp;""))</f>
        <v/>
      </c>
      <c r="H510" s="0" t="str">
        <f aca="false">IF($A510="","",IF(AW510="Y",BR510&amp;"",BD510&amp;""))</f>
        <v/>
      </c>
      <c r="I510" s="0" t="str">
        <f aca="false">IF($A510="","",IF(R510="Y","warm-intro",IF(H510="verified","email",IF(C510&lt;&gt;"","linkedin",CB510&amp;""))))</f>
        <v/>
      </c>
      <c r="J510" s="0" t="str">
        <f aca="false">IF($A510="","",IF(CN510="pass",ROUND(N(EM510)+N(EN510)+N(EO510)+N(EP510)+N(EQ510)+N(ER510),1),0))</f>
        <v/>
      </c>
      <c r="K510" s="0" t="str">
        <f aca="false">IF($A510="","",IF(CN510&lt;&gt;"pass",CA510&amp;"",CA510&amp;"; "&amp;IF(AW510="Y",BZ510&amp;"",BL510&amp;"")&amp;IF(R510="Y","; known to the founder (+15)","")&amp;"."))</f>
        <v/>
      </c>
      <c r="R510" s="5"/>
      <c r="U510" s="5"/>
      <c r="Y510" s="0" t="str">
        <f aca="false">IF(FX510&lt;&gt;"Y","",COUNTIFS($FX$2:$FX$1000,"Y",$J$2:$J$1000,"&gt;"&amp;J510)+COUNTIFS($FX$2:$FX$1000,"Y",$J$2:$J$1000,J510,$GD$2:$GD$1000,"&lt;"&amp;GD510)+1)</f>
        <v/>
      </c>
      <c r="AB510" s="0" t="str">
        <f aca="false">IF($A510="","",IF(AW510="Y",BY510&amp;"",BK510&amp;""))</f>
        <v/>
      </c>
      <c r="AC510" s="0" t="str">
        <f aca="false">IF($A510="","",IF(AW510="Y",BS510&amp;"",BE510&amp;""))</f>
        <v/>
      </c>
      <c r="AD510" s="0" t="str">
        <f aca="false">IF($A510="","",IF(AW510="Y",BT510&amp;"",BF510&amp;""))</f>
        <v/>
      </c>
      <c r="AE510" s="0" t="str">
        <f aca="false">IF($A510="","",IF(AW510="Y",BU510&amp;"",BG510&amp;""))</f>
        <v/>
      </c>
      <c r="AF510" s="0" t="str">
        <f aca="false">IF($A510="","",IF(AW510="Y",BV510&amp;"",BH510&amp;""))</f>
        <v/>
      </c>
      <c r="AG510" s="0" t="str">
        <f aca="false">IF($A510="","",IF(AW510="Y",BW510&amp;"",BI510&amp;""))</f>
        <v/>
      </c>
      <c r="AH510" s="0" t="str">
        <f aca="false">IF($A510="","",IF(AW510="Y",BX510&amp;"",BJ510&amp;""))</f>
        <v/>
      </c>
      <c r="AQ510" s="5"/>
      <c r="AT510" s="0" t="str">
        <f aca="false">IF($A510="","",IF(AND(CN510="pass",AQ510&lt;&gt;"Y",C510&lt;&gt;"",OR(AX510&lt;&gt;"Y",AV510="Y")),"Y","N"))</f>
        <v/>
      </c>
      <c r="AU510" s="0" t="str">
        <f aca="false">IF($A510="","",_xlfn.TEXTJOIN("; ",TRUE(),IF(CN510&lt;&gt;"pass","gated out",""),IF(AQ510="Y","on hold: "&amp;AR510,""),IF(C510="","no contact named on an opened page",""),IF(AND(AX510="Y",AV510&lt;&gt;"Y"),"Tuesday estimate band "&amp;L510&amp;": founder's call","")))</f>
        <v/>
      </c>
      <c r="BC510" s="0" t="str">
        <f aca="false">IF($A510="","",IFERROR(INDEX(Enrichment!$A$2:$GZ$2000,MATCH($A510,INDEX(Enrichment!$A$2:$GZ$2000,0,MATCH("row_id",Enrichment!$A$1:$GZ$1,0)),0),MATCH("work_email",Enrichment!$A$1:$GZ$1,0))&amp;"",""))</f>
        <v/>
      </c>
      <c r="BD510" s="0" t="str">
        <f aca="false">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Q510" s="0" t="str">
        <f aca="false">IF($A510="","",IFERROR(INDEX(Enrichment!$A$2:$GZ$2000,MATCH($A510,INDEX(Enrichment!$A$2:$GZ$2000,0,MATCH("row_id",Enrichment!$A$1:$GZ$1,0)),0),MATCH("backup_work_email",Enrichment!$A$1:$GZ$1,0))&amp;"",""))</f>
        <v/>
      </c>
      <c r="BR510" s="0" t="str">
        <f aca="false">IF($A510="","",IF(BQ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EQ510" s="0" t="str">
        <f aca="false">IF($A510="","",IF(AH510="exact",10,IF(AH510="adjacent",5,0)))</f>
        <v/>
      </c>
      <c r="ER510" s="0" t="str">
        <f aca="false">IF($A510="","",IF(R510="Y",15,0))</f>
        <v/>
      </c>
      <c r="FS510" s="0" t="str">
        <f aca="false">IF($A510="","",IF(ISNUMBER(MATCH(U510,{"queued","contacted","replied","call_booked","call_done","yes_in_principle","materials_sent"},0)),"Y","N"))</f>
        <v/>
      </c>
      <c r="FT510" s="0" t="str">
        <f aca="false">IF($A510="","",IF(OR(T510="Y",U510="do_not_contact",AS510&amp;""&lt;&gt;""),"Y","N"))</f>
        <v/>
      </c>
      <c r="FU510" s="0" t="str">
        <f aca="false">IF($A510="","",IF(AP510&amp;""&lt;&gt;"",AP510&amp;"",$A510))</f>
        <v/>
      </c>
      <c r="FV510" s="0" t="str">
        <f aca="false">IF($A510="","",IF(COUNTIFS($FU$2:$FU$1000,FU510,$FS$2:$FS$1000,"Y")+COUNTIFS($FU$2:$FU$1000,FU510,$FT$2:$FT$1000,"Y")&gt;0,"Y","N"))</f>
        <v/>
      </c>
      <c r="FW510" s="0" t="str">
        <f aca="false">IF($A510="","",IF(AND(U510="new",T510="N",FT510="N",AT510="Y",FV510="N"),"Y","N"))</f>
        <v/>
      </c>
      <c r="FX510" s="0" t="str">
        <f aca="false">IF($A510="","",IF(FW510&lt;&gt;"Y","N",IF(COUNTIFS($FU$2:$FU$1000,FU510,$FW$2:$FW$1000,"Y",$J$2:$J$1000,"&gt;"&amp;J510)+COUNTIFS($FU$2:$FU$1000,FU510,$FW$2:$FW$1000,"Y",$J$2:$J$1000,J510,$GD$2:$GD$1000,"&lt;"&amp;GD510)=0,"Y","N")))</f>
        <v/>
      </c>
      <c r="FY510" s="0" t="str">
        <f aca="false">IF($A510="","",IF(AND(FW510="Y",FX510="Y",Y510&amp;""&lt;&gt;""),IF(Y510&lt;=10,"Y","N"),"N"))</f>
        <v/>
      </c>
      <c r="FZ510" s="0" t="str">
        <f aca="false">IF(FY510="Y",Y510,"")</f>
        <v/>
      </c>
      <c r="GA510" s="0" t="str">
        <f aca="false">IF($A510="","",IF(AND(I510="walk-in",CN510="pass",U510="new",FT510="N",FV510="N",AQ510&lt;&gt;"Y"),"Y","N"))</f>
        <v/>
      </c>
      <c r="GB510" s="0" t="str">
        <f aca="false">IF(GA510&lt;&gt;"Y","",IF(COUNTIFS($GA$2:$GA$1000,"Y",$J$2:$J$1000,"&gt;"&amp;J510)+COUNTIFS($GA$2:$GA$1000,"Y",$J$2:$J$1000,J510,$GD$2:$GD$1000,"&lt;"&amp;GD510)+1&lt;=25,COUNTIFS($GA$2:$GA$1000,"Y",$J$2:$J$1000,"&gt;"&amp;J510)+COUNTIFS($GA$2:$GA$1000,"Y",$J$2:$J$1000,J510,$GD$2:$GD$1000,"&lt;"&amp;GD510)+1,""))</f>
        <v/>
      </c>
      <c r="GC510" s="0" t="str">
        <f aca="false">IF(AND(_xlfn.ISFORMULA(C510),_xlfn.ISFORMULA(J510)),"Y","N")</f>
        <v>Y</v>
      </c>
      <c r="GD510" s="0" t="n">
        <f aca="false">ROW()-1</f>
        <v>509</v>
      </c>
    </row>
    <row r="511" customFormat="false" ht="15" hidden="false" customHeight="false" outlineLevel="0" collapsed="false">
      <c r="C511" s="0" t="str">
        <f aca="false">IF($A511="","",IF(AW511="Y",BM511&amp;"",AY511&amp;""))</f>
        <v/>
      </c>
      <c r="D511" s="0" t="str">
        <f aca="false">IF($A511="","",IF(AW511="Y",BN511&amp;"",AZ511&amp;""))</f>
        <v/>
      </c>
      <c r="E511" s="0" t="str">
        <f aca="false">IF($A511="","",IF(AW511="Y",BO511&amp;"",BA511&amp;""))</f>
        <v/>
      </c>
      <c r="F511" s="0" t="str">
        <f aca="false">IF($A511="","",IF(AW511="Y",BP511&amp;"",BB511&amp;""))</f>
        <v/>
      </c>
      <c r="G511" s="0" t="str">
        <f aca="false">IF($A511="","",IF(AW511="Y",BQ511&amp;"",BC511&amp;""))</f>
        <v/>
      </c>
      <c r="H511" s="0" t="str">
        <f aca="false">IF($A511="","",IF(AW511="Y",BR511&amp;"",BD511&amp;""))</f>
        <v/>
      </c>
      <c r="I511" s="0" t="str">
        <f aca="false">IF($A511="","",IF(R511="Y","warm-intro",IF(H511="verified","email",IF(C511&lt;&gt;"","linkedin",CB511&amp;""))))</f>
        <v/>
      </c>
      <c r="J511" s="0" t="str">
        <f aca="false">IF($A511="","",IF(CN511="pass",ROUND(N(EM511)+N(EN511)+N(EO511)+N(EP511)+N(EQ511)+N(ER511),1),0))</f>
        <v/>
      </c>
      <c r="K511" s="0" t="str">
        <f aca="false">IF($A511="","",IF(CN511&lt;&gt;"pass",CA511&amp;"",CA511&amp;"; "&amp;IF(AW511="Y",BZ511&amp;"",BL511&amp;"")&amp;IF(R511="Y","; known to the founder (+15)","")&amp;"."))</f>
        <v/>
      </c>
      <c r="R511" s="5"/>
      <c r="U511" s="5"/>
      <c r="Y511" s="0" t="str">
        <f aca="false">IF(FX511&lt;&gt;"Y","",COUNTIFS($FX$2:$FX$1000,"Y",$J$2:$J$1000,"&gt;"&amp;J511)+COUNTIFS($FX$2:$FX$1000,"Y",$J$2:$J$1000,J511,$GD$2:$GD$1000,"&lt;"&amp;GD511)+1)</f>
        <v/>
      </c>
      <c r="AB511" s="0" t="str">
        <f aca="false">IF($A511="","",IF(AW511="Y",BY511&amp;"",BK511&amp;""))</f>
        <v/>
      </c>
      <c r="AC511" s="0" t="str">
        <f aca="false">IF($A511="","",IF(AW511="Y",BS511&amp;"",BE511&amp;""))</f>
        <v/>
      </c>
      <c r="AD511" s="0" t="str">
        <f aca="false">IF($A511="","",IF(AW511="Y",BT511&amp;"",BF511&amp;""))</f>
        <v/>
      </c>
      <c r="AE511" s="0" t="str">
        <f aca="false">IF($A511="","",IF(AW511="Y",BU511&amp;"",BG511&amp;""))</f>
        <v/>
      </c>
      <c r="AF511" s="0" t="str">
        <f aca="false">IF($A511="","",IF(AW511="Y",BV511&amp;"",BH511&amp;""))</f>
        <v/>
      </c>
      <c r="AG511" s="0" t="str">
        <f aca="false">IF($A511="","",IF(AW511="Y",BW511&amp;"",BI511&amp;""))</f>
        <v/>
      </c>
      <c r="AH511" s="0" t="str">
        <f aca="false">IF($A511="","",IF(AW511="Y",BX511&amp;"",BJ511&amp;""))</f>
        <v/>
      </c>
      <c r="AQ511" s="5"/>
      <c r="AT511" s="0" t="str">
        <f aca="false">IF($A511="","",IF(AND(CN511="pass",AQ511&lt;&gt;"Y",C511&lt;&gt;"",OR(AX511&lt;&gt;"Y",AV511="Y")),"Y","N"))</f>
        <v/>
      </c>
      <c r="AU511" s="0" t="str">
        <f aca="false">IF($A511="","",_xlfn.TEXTJOIN("; ",TRUE(),IF(CN511&lt;&gt;"pass","gated out",""),IF(AQ511="Y","on hold: "&amp;AR511,""),IF(C511="","no contact named on an opened page",""),IF(AND(AX511="Y",AV511&lt;&gt;"Y"),"Tuesday estimate band "&amp;L511&amp;": founder's call","")))</f>
        <v/>
      </c>
      <c r="BC511" s="0" t="str">
        <f aca="false">IF($A511="","",IFERROR(INDEX(Enrichment!$A$2:$GZ$2000,MATCH($A511,INDEX(Enrichment!$A$2:$GZ$2000,0,MATCH("row_id",Enrichment!$A$1:$GZ$1,0)),0),MATCH("work_email",Enrichment!$A$1:$GZ$1,0))&amp;"",""))</f>
        <v/>
      </c>
      <c r="BD511" s="0" t="str">
        <f aca="false">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Q511" s="0" t="str">
        <f aca="false">IF($A511="","",IFERROR(INDEX(Enrichment!$A$2:$GZ$2000,MATCH($A511,INDEX(Enrichment!$A$2:$GZ$2000,0,MATCH("row_id",Enrichment!$A$1:$GZ$1,0)),0),MATCH("backup_work_email",Enrichment!$A$1:$GZ$1,0))&amp;"",""))</f>
        <v/>
      </c>
      <c r="BR511" s="0" t="str">
        <f aca="false">IF($A511="","",IF(BQ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EQ511" s="0" t="str">
        <f aca="false">IF($A511="","",IF(AH511="exact",10,IF(AH511="adjacent",5,0)))</f>
        <v/>
      </c>
      <c r="ER511" s="0" t="str">
        <f aca="false">IF($A511="","",IF(R511="Y",15,0))</f>
        <v/>
      </c>
      <c r="FS511" s="0" t="str">
        <f aca="false">IF($A511="","",IF(ISNUMBER(MATCH(U511,{"queued","contacted","replied","call_booked","call_done","yes_in_principle","materials_sent"},0)),"Y","N"))</f>
        <v/>
      </c>
      <c r="FT511" s="0" t="str">
        <f aca="false">IF($A511="","",IF(OR(T511="Y",U511="do_not_contact",AS511&amp;""&lt;&gt;""),"Y","N"))</f>
        <v/>
      </c>
      <c r="FU511" s="0" t="str">
        <f aca="false">IF($A511="","",IF(AP511&amp;""&lt;&gt;"",AP511&amp;"",$A511))</f>
        <v/>
      </c>
      <c r="FV511" s="0" t="str">
        <f aca="false">IF($A511="","",IF(COUNTIFS($FU$2:$FU$1000,FU511,$FS$2:$FS$1000,"Y")+COUNTIFS($FU$2:$FU$1000,FU511,$FT$2:$FT$1000,"Y")&gt;0,"Y","N"))</f>
        <v/>
      </c>
      <c r="FW511" s="0" t="str">
        <f aca="false">IF($A511="","",IF(AND(U511="new",T511="N",FT511="N",AT511="Y",FV511="N"),"Y","N"))</f>
        <v/>
      </c>
      <c r="FX511" s="0" t="str">
        <f aca="false">IF($A511="","",IF(FW511&lt;&gt;"Y","N",IF(COUNTIFS($FU$2:$FU$1000,FU511,$FW$2:$FW$1000,"Y",$J$2:$J$1000,"&gt;"&amp;J511)+COUNTIFS($FU$2:$FU$1000,FU511,$FW$2:$FW$1000,"Y",$J$2:$J$1000,J511,$GD$2:$GD$1000,"&lt;"&amp;GD511)=0,"Y","N")))</f>
        <v/>
      </c>
      <c r="FY511" s="0" t="str">
        <f aca="false">IF($A511="","",IF(AND(FW511="Y",FX511="Y",Y511&amp;""&lt;&gt;""),IF(Y511&lt;=10,"Y","N"),"N"))</f>
        <v/>
      </c>
      <c r="FZ511" s="0" t="str">
        <f aca="false">IF(FY511="Y",Y511,"")</f>
        <v/>
      </c>
      <c r="GA511" s="0" t="str">
        <f aca="false">IF($A511="","",IF(AND(I511="walk-in",CN511="pass",U511="new",FT511="N",FV511="N",AQ511&lt;&gt;"Y"),"Y","N"))</f>
        <v/>
      </c>
      <c r="GB511" s="0" t="str">
        <f aca="false">IF(GA511&lt;&gt;"Y","",IF(COUNTIFS($GA$2:$GA$1000,"Y",$J$2:$J$1000,"&gt;"&amp;J511)+COUNTIFS($GA$2:$GA$1000,"Y",$J$2:$J$1000,J511,$GD$2:$GD$1000,"&lt;"&amp;GD511)+1&lt;=25,COUNTIFS($GA$2:$GA$1000,"Y",$J$2:$J$1000,"&gt;"&amp;J511)+COUNTIFS($GA$2:$GA$1000,"Y",$J$2:$J$1000,J511,$GD$2:$GD$1000,"&lt;"&amp;GD511)+1,""))</f>
        <v/>
      </c>
      <c r="GC511" s="0" t="str">
        <f aca="false">IF(AND(_xlfn.ISFORMULA(C511),_xlfn.ISFORMULA(J511)),"Y","N")</f>
        <v>Y</v>
      </c>
      <c r="GD511" s="0" t="n">
        <f aca="false">ROW()-1</f>
        <v>510</v>
      </c>
    </row>
    <row r="512" customFormat="false" ht="15" hidden="false" customHeight="false" outlineLevel="0" collapsed="false">
      <c r="C512" s="0" t="str">
        <f aca="false">IF($A512="","",IF(AW512="Y",BM512&amp;"",AY512&amp;""))</f>
        <v/>
      </c>
      <c r="D512" s="0" t="str">
        <f aca="false">IF($A512="","",IF(AW512="Y",BN512&amp;"",AZ512&amp;""))</f>
        <v/>
      </c>
      <c r="E512" s="0" t="str">
        <f aca="false">IF($A512="","",IF(AW512="Y",BO512&amp;"",BA512&amp;""))</f>
        <v/>
      </c>
      <c r="F512" s="0" t="str">
        <f aca="false">IF($A512="","",IF(AW512="Y",BP512&amp;"",BB512&amp;""))</f>
        <v/>
      </c>
      <c r="G512" s="0" t="str">
        <f aca="false">IF($A512="","",IF(AW512="Y",BQ512&amp;"",BC512&amp;""))</f>
        <v/>
      </c>
      <c r="H512" s="0" t="str">
        <f aca="false">IF($A512="","",IF(AW512="Y",BR512&amp;"",BD512&amp;""))</f>
        <v/>
      </c>
      <c r="I512" s="0" t="str">
        <f aca="false">IF($A512="","",IF(R512="Y","warm-intro",IF(H512="verified","email",IF(C512&lt;&gt;"","linkedin",CB512&amp;""))))</f>
        <v/>
      </c>
      <c r="J512" s="0" t="str">
        <f aca="false">IF($A512="","",IF(CN512="pass",ROUND(N(EM512)+N(EN512)+N(EO512)+N(EP512)+N(EQ512)+N(ER512),1),0))</f>
        <v/>
      </c>
      <c r="K512" s="0" t="str">
        <f aca="false">IF($A512="","",IF(CN512&lt;&gt;"pass",CA512&amp;"",CA512&amp;"; "&amp;IF(AW512="Y",BZ512&amp;"",BL512&amp;"")&amp;IF(R512="Y","; known to the founder (+15)","")&amp;"."))</f>
        <v/>
      </c>
      <c r="R512" s="5"/>
      <c r="U512" s="5"/>
      <c r="Y512" s="0" t="str">
        <f aca="false">IF(FX512&lt;&gt;"Y","",COUNTIFS($FX$2:$FX$1000,"Y",$J$2:$J$1000,"&gt;"&amp;J512)+COUNTIFS($FX$2:$FX$1000,"Y",$J$2:$J$1000,J512,$GD$2:$GD$1000,"&lt;"&amp;GD512)+1)</f>
        <v/>
      </c>
      <c r="AB512" s="0" t="str">
        <f aca="false">IF($A512="","",IF(AW512="Y",BY512&amp;"",BK512&amp;""))</f>
        <v/>
      </c>
      <c r="AC512" s="0" t="str">
        <f aca="false">IF($A512="","",IF(AW512="Y",BS512&amp;"",BE512&amp;""))</f>
        <v/>
      </c>
      <c r="AD512" s="0" t="str">
        <f aca="false">IF($A512="","",IF(AW512="Y",BT512&amp;"",BF512&amp;""))</f>
        <v/>
      </c>
      <c r="AE512" s="0" t="str">
        <f aca="false">IF($A512="","",IF(AW512="Y",BU512&amp;"",BG512&amp;""))</f>
        <v/>
      </c>
      <c r="AF512" s="0" t="str">
        <f aca="false">IF($A512="","",IF(AW512="Y",BV512&amp;"",BH512&amp;""))</f>
        <v/>
      </c>
      <c r="AG512" s="0" t="str">
        <f aca="false">IF($A512="","",IF(AW512="Y",BW512&amp;"",BI512&amp;""))</f>
        <v/>
      </c>
      <c r="AH512" s="0" t="str">
        <f aca="false">IF($A512="","",IF(AW512="Y",BX512&amp;"",BJ512&amp;""))</f>
        <v/>
      </c>
      <c r="AQ512" s="5"/>
      <c r="AT512" s="0" t="str">
        <f aca="false">IF($A512="","",IF(AND(CN512="pass",AQ512&lt;&gt;"Y",C512&lt;&gt;"",OR(AX512&lt;&gt;"Y",AV512="Y")),"Y","N"))</f>
        <v/>
      </c>
      <c r="AU512" s="0" t="str">
        <f aca="false">IF($A512="","",_xlfn.TEXTJOIN("; ",TRUE(),IF(CN512&lt;&gt;"pass","gated out",""),IF(AQ512="Y","on hold: "&amp;AR512,""),IF(C512="","no contact named on an opened page",""),IF(AND(AX512="Y",AV512&lt;&gt;"Y"),"Tuesday estimate band "&amp;L512&amp;": founder's call","")))</f>
        <v/>
      </c>
      <c r="BC512" s="0" t="str">
        <f aca="false">IF($A512="","",IFERROR(INDEX(Enrichment!$A$2:$GZ$2000,MATCH($A512,INDEX(Enrichment!$A$2:$GZ$2000,0,MATCH("row_id",Enrichment!$A$1:$GZ$1,0)),0),MATCH("work_email",Enrichment!$A$1:$GZ$1,0))&amp;"",""))</f>
        <v/>
      </c>
      <c r="BD512" s="0" t="str">
        <f aca="false">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Q512" s="0" t="str">
        <f aca="false">IF($A512="","",IFERROR(INDEX(Enrichment!$A$2:$GZ$2000,MATCH($A512,INDEX(Enrichment!$A$2:$GZ$2000,0,MATCH("row_id",Enrichment!$A$1:$GZ$1,0)),0),MATCH("backup_work_email",Enrichment!$A$1:$GZ$1,0))&amp;"",""))</f>
        <v/>
      </c>
      <c r="BR512" s="0" t="str">
        <f aca="false">IF($A512="","",IF(BQ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EQ512" s="0" t="str">
        <f aca="false">IF($A512="","",IF(AH512="exact",10,IF(AH512="adjacent",5,0)))</f>
        <v/>
      </c>
      <c r="ER512" s="0" t="str">
        <f aca="false">IF($A512="","",IF(R512="Y",15,0))</f>
        <v/>
      </c>
      <c r="FS512" s="0" t="str">
        <f aca="false">IF($A512="","",IF(ISNUMBER(MATCH(U512,{"queued","contacted","replied","call_booked","call_done","yes_in_principle","materials_sent"},0)),"Y","N"))</f>
        <v/>
      </c>
      <c r="FT512" s="0" t="str">
        <f aca="false">IF($A512="","",IF(OR(T512="Y",U512="do_not_contact",AS512&amp;""&lt;&gt;""),"Y","N"))</f>
        <v/>
      </c>
      <c r="FU512" s="0" t="str">
        <f aca="false">IF($A512="","",IF(AP512&amp;""&lt;&gt;"",AP512&amp;"",$A512))</f>
        <v/>
      </c>
      <c r="FV512" s="0" t="str">
        <f aca="false">IF($A512="","",IF(COUNTIFS($FU$2:$FU$1000,FU512,$FS$2:$FS$1000,"Y")+COUNTIFS($FU$2:$FU$1000,FU512,$FT$2:$FT$1000,"Y")&gt;0,"Y","N"))</f>
        <v/>
      </c>
      <c r="FW512" s="0" t="str">
        <f aca="false">IF($A512="","",IF(AND(U512="new",T512="N",FT512="N",AT512="Y",FV512="N"),"Y","N"))</f>
        <v/>
      </c>
      <c r="FX512" s="0" t="str">
        <f aca="false">IF($A512="","",IF(FW512&lt;&gt;"Y","N",IF(COUNTIFS($FU$2:$FU$1000,FU512,$FW$2:$FW$1000,"Y",$J$2:$J$1000,"&gt;"&amp;J512)+COUNTIFS($FU$2:$FU$1000,FU512,$FW$2:$FW$1000,"Y",$J$2:$J$1000,J512,$GD$2:$GD$1000,"&lt;"&amp;GD512)=0,"Y","N")))</f>
        <v/>
      </c>
      <c r="FY512" s="0" t="str">
        <f aca="false">IF($A512="","",IF(AND(FW512="Y",FX512="Y",Y512&amp;""&lt;&gt;""),IF(Y512&lt;=10,"Y","N"),"N"))</f>
        <v/>
      </c>
      <c r="FZ512" s="0" t="str">
        <f aca="false">IF(FY512="Y",Y512,"")</f>
        <v/>
      </c>
      <c r="GA512" s="0" t="str">
        <f aca="false">IF($A512="","",IF(AND(I512="walk-in",CN512="pass",U512="new",FT512="N",FV512="N",AQ512&lt;&gt;"Y"),"Y","N"))</f>
        <v/>
      </c>
      <c r="GB512" s="0" t="str">
        <f aca="false">IF(GA512&lt;&gt;"Y","",IF(COUNTIFS($GA$2:$GA$1000,"Y",$J$2:$J$1000,"&gt;"&amp;J512)+COUNTIFS($GA$2:$GA$1000,"Y",$J$2:$J$1000,J512,$GD$2:$GD$1000,"&lt;"&amp;GD512)+1&lt;=25,COUNTIFS($GA$2:$GA$1000,"Y",$J$2:$J$1000,"&gt;"&amp;J512)+COUNTIFS($GA$2:$GA$1000,"Y",$J$2:$J$1000,J512,$GD$2:$GD$1000,"&lt;"&amp;GD512)+1,""))</f>
        <v/>
      </c>
      <c r="GC512" s="0" t="str">
        <f aca="false">IF(AND(_xlfn.ISFORMULA(C512),_xlfn.ISFORMULA(J512)),"Y","N")</f>
        <v>Y</v>
      </c>
      <c r="GD512" s="0" t="n">
        <f aca="false">ROW()-1</f>
        <v>511</v>
      </c>
    </row>
    <row r="513" customFormat="false" ht="15" hidden="false" customHeight="false" outlineLevel="0" collapsed="false">
      <c r="C513" s="0" t="str">
        <f aca="false">IF($A513="","",IF(AW513="Y",BM513&amp;"",AY513&amp;""))</f>
        <v/>
      </c>
      <c r="D513" s="0" t="str">
        <f aca="false">IF($A513="","",IF(AW513="Y",BN513&amp;"",AZ513&amp;""))</f>
        <v/>
      </c>
      <c r="E513" s="0" t="str">
        <f aca="false">IF($A513="","",IF(AW513="Y",BO513&amp;"",BA513&amp;""))</f>
        <v/>
      </c>
      <c r="F513" s="0" t="str">
        <f aca="false">IF($A513="","",IF(AW513="Y",BP513&amp;"",BB513&amp;""))</f>
        <v/>
      </c>
      <c r="G513" s="0" t="str">
        <f aca="false">IF($A513="","",IF(AW513="Y",BQ513&amp;"",BC513&amp;""))</f>
        <v/>
      </c>
      <c r="H513" s="0" t="str">
        <f aca="false">IF($A513="","",IF(AW513="Y",BR513&amp;"",BD513&amp;""))</f>
        <v/>
      </c>
      <c r="I513" s="0" t="str">
        <f aca="false">IF($A513="","",IF(R513="Y","warm-intro",IF(H513="verified","email",IF(C513&lt;&gt;"","linkedin",CB513&amp;""))))</f>
        <v/>
      </c>
      <c r="J513" s="0" t="str">
        <f aca="false">IF($A513="","",IF(CN513="pass",ROUND(N(EM513)+N(EN513)+N(EO513)+N(EP513)+N(EQ513)+N(ER513),1),0))</f>
        <v/>
      </c>
      <c r="K513" s="0" t="str">
        <f aca="false">IF($A513="","",IF(CN513&lt;&gt;"pass",CA513&amp;"",CA513&amp;"; "&amp;IF(AW513="Y",BZ513&amp;"",BL513&amp;"")&amp;IF(R513="Y","; known to the founder (+15)","")&amp;"."))</f>
        <v/>
      </c>
      <c r="R513" s="5"/>
      <c r="U513" s="5"/>
      <c r="Y513" s="0" t="str">
        <f aca="false">IF(FX513&lt;&gt;"Y","",COUNTIFS($FX$2:$FX$1000,"Y",$J$2:$J$1000,"&gt;"&amp;J513)+COUNTIFS($FX$2:$FX$1000,"Y",$J$2:$J$1000,J513,$GD$2:$GD$1000,"&lt;"&amp;GD513)+1)</f>
        <v/>
      </c>
      <c r="AB513" s="0" t="str">
        <f aca="false">IF($A513="","",IF(AW513="Y",BY513&amp;"",BK513&amp;""))</f>
        <v/>
      </c>
      <c r="AC513" s="0" t="str">
        <f aca="false">IF($A513="","",IF(AW513="Y",BS513&amp;"",BE513&amp;""))</f>
        <v/>
      </c>
      <c r="AD513" s="0" t="str">
        <f aca="false">IF($A513="","",IF(AW513="Y",BT513&amp;"",BF513&amp;""))</f>
        <v/>
      </c>
      <c r="AE513" s="0" t="str">
        <f aca="false">IF($A513="","",IF(AW513="Y",BU513&amp;"",BG513&amp;""))</f>
        <v/>
      </c>
      <c r="AF513" s="0" t="str">
        <f aca="false">IF($A513="","",IF(AW513="Y",BV513&amp;"",BH513&amp;""))</f>
        <v/>
      </c>
      <c r="AG513" s="0" t="str">
        <f aca="false">IF($A513="","",IF(AW513="Y",BW513&amp;"",BI513&amp;""))</f>
        <v/>
      </c>
      <c r="AH513" s="0" t="str">
        <f aca="false">IF($A513="","",IF(AW513="Y",BX513&amp;"",BJ513&amp;""))</f>
        <v/>
      </c>
      <c r="AQ513" s="5"/>
      <c r="AT513" s="0" t="str">
        <f aca="false">IF($A513="","",IF(AND(CN513="pass",AQ513&lt;&gt;"Y",C513&lt;&gt;"",OR(AX513&lt;&gt;"Y",AV513="Y")),"Y","N"))</f>
        <v/>
      </c>
      <c r="AU513" s="0" t="str">
        <f aca="false">IF($A513="","",_xlfn.TEXTJOIN("; ",TRUE(),IF(CN513&lt;&gt;"pass","gated out",""),IF(AQ513="Y","on hold: "&amp;AR513,""),IF(C513="","no contact named on an opened page",""),IF(AND(AX513="Y",AV513&lt;&gt;"Y"),"Tuesday estimate band "&amp;L513&amp;": founder's call","")))</f>
        <v/>
      </c>
      <c r="BC513" s="0" t="str">
        <f aca="false">IF($A513="","",IFERROR(INDEX(Enrichment!$A$2:$GZ$2000,MATCH($A513,INDEX(Enrichment!$A$2:$GZ$2000,0,MATCH("row_id",Enrichment!$A$1:$GZ$1,0)),0),MATCH("work_email",Enrichment!$A$1:$GZ$1,0))&amp;"",""))</f>
        <v/>
      </c>
      <c r="BD513" s="0" t="str">
        <f aca="false">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Q513" s="0" t="str">
        <f aca="false">IF($A513="","",IFERROR(INDEX(Enrichment!$A$2:$GZ$2000,MATCH($A513,INDEX(Enrichment!$A$2:$GZ$2000,0,MATCH("row_id",Enrichment!$A$1:$GZ$1,0)),0),MATCH("backup_work_email",Enrichment!$A$1:$GZ$1,0))&amp;"",""))</f>
        <v/>
      </c>
      <c r="BR513" s="0" t="str">
        <f aca="false">IF($A513="","",IF(BQ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EQ513" s="0" t="str">
        <f aca="false">IF($A513="","",IF(AH513="exact",10,IF(AH513="adjacent",5,0)))</f>
        <v/>
      </c>
      <c r="ER513" s="0" t="str">
        <f aca="false">IF($A513="","",IF(R513="Y",15,0))</f>
        <v/>
      </c>
      <c r="FS513" s="0" t="str">
        <f aca="false">IF($A513="","",IF(ISNUMBER(MATCH(U513,{"queued","contacted","replied","call_booked","call_done","yes_in_principle","materials_sent"},0)),"Y","N"))</f>
        <v/>
      </c>
      <c r="FT513" s="0" t="str">
        <f aca="false">IF($A513="","",IF(OR(T513="Y",U513="do_not_contact",AS513&amp;""&lt;&gt;""),"Y","N"))</f>
        <v/>
      </c>
      <c r="FU513" s="0" t="str">
        <f aca="false">IF($A513="","",IF(AP513&amp;""&lt;&gt;"",AP513&amp;"",$A513))</f>
        <v/>
      </c>
      <c r="FV513" s="0" t="str">
        <f aca="false">IF($A513="","",IF(COUNTIFS($FU$2:$FU$1000,FU513,$FS$2:$FS$1000,"Y")+COUNTIFS($FU$2:$FU$1000,FU513,$FT$2:$FT$1000,"Y")&gt;0,"Y","N"))</f>
        <v/>
      </c>
      <c r="FW513" s="0" t="str">
        <f aca="false">IF($A513="","",IF(AND(U513="new",T513="N",FT513="N",AT513="Y",FV513="N"),"Y","N"))</f>
        <v/>
      </c>
      <c r="FX513" s="0" t="str">
        <f aca="false">IF($A513="","",IF(FW513&lt;&gt;"Y","N",IF(COUNTIFS($FU$2:$FU$1000,FU513,$FW$2:$FW$1000,"Y",$J$2:$J$1000,"&gt;"&amp;J513)+COUNTIFS($FU$2:$FU$1000,FU513,$FW$2:$FW$1000,"Y",$J$2:$J$1000,J513,$GD$2:$GD$1000,"&lt;"&amp;GD513)=0,"Y","N")))</f>
        <v/>
      </c>
      <c r="FY513" s="0" t="str">
        <f aca="false">IF($A513="","",IF(AND(FW513="Y",FX513="Y",Y513&amp;""&lt;&gt;""),IF(Y513&lt;=10,"Y","N"),"N"))</f>
        <v/>
      </c>
      <c r="FZ513" s="0" t="str">
        <f aca="false">IF(FY513="Y",Y513,"")</f>
        <v/>
      </c>
      <c r="GA513" s="0" t="str">
        <f aca="false">IF($A513="","",IF(AND(I513="walk-in",CN513="pass",U513="new",FT513="N",FV513="N",AQ513&lt;&gt;"Y"),"Y","N"))</f>
        <v/>
      </c>
      <c r="GB513" s="0" t="str">
        <f aca="false">IF(GA513&lt;&gt;"Y","",IF(COUNTIFS($GA$2:$GA$1000,"Y",$J$2:$J$1000,"&gt;"&amp;J513)+COUNTIFS($GA$2:$GA$1000,"Y",$J$2:$J$1000,J513,$GD$2:$GD$1000,"&lt;"&amp;GD513)+1&lt;=25,COUNTIFS($GA$2:$GA$1000,"Y",$J$2:$J$1000,"&gt;"&amp;J513)+COUNTIFS($GA$2:$GA$1000,"Y",$J$2:$J$1000,J513,$GD$2:$GD$1000,"&lt;"&amp;GD513)+1,""))</f>
        <v/>
      </c>
      <c r="GC513" s="0" t="str">
        <f aca="false">IF(AND(_xlfn.ISFORMULA(C513),_xlfn.ISFORMULA(J513)),"Y","N")</f>
        <v>Y</v>
      </c>
      <c r="GD513" s="0" t="n">
        <f aca="false">ROW()-1</f>
        <v>512</v>
      </c>
    </row>
    <row r="514" customFormat="false" ht="15" hidden="false" customHeight="false" outlineLevel="0" collapsed="false">
      <c r="C514" s="0" t="str">
        <f aca="false">IF($A514="","",IF(AW514="Y",BM514&amp;"",AY514&amp;""))</f>
        <v/>
      </c>
      <c r="D514" s="0" t="str">
        <f aca="false">IF($A514="","",IF(AW514="Y",BN514&amp;"",AZ514&amp;""))</f>
        <v/>
      </c>
      <c r="E514" s="0" t="str">
        <f aca="false">IF($A514="","",IF(AW514="Y",BO514&amp;"",BA514&amp;""))</f>
        <v/>
      </c>
      <c r="F514" s="0" t="str">
        <f aca="false">IF($A514="","",IF(AW514="Y",BP514&amp;"",BB514&amp;""))</f>
        <v/>
      </c>
      <c r="G514" s="0" t="str">
        <f aca="false">IF($A514="","",IF(AW514="Y",BQ514&amp;"",BC514&amp;""))</f>
        <v/>
      </c>
      <c r="H514" s="0" t="str">
        <f aca="false">IF($A514="","",IF(AW514="Y",BR514&amp;"",BD514&amp;""))</f>
        <v/>
      </c>
      <c r="I514" s="0" t="str">
        <f aca="false">IF($A514="","",IF(R514="Y","warm-intro",IF(H514="verified","email",IF(C514&lt;&gt;"","linkedin",CB514&amp;""))))</f>
        <v/>
      </c>
      <c r="J514" s="0" t="str">
        <f aca="false">IF($A514="","",IF(CN514="pass",ROUND(N(EM514)+N(EN514)+N(EO514)+N(EP514)+N(EQ514)+N(ER514),1),0))</f>
        <v/>
      </c>
      <c r="K514" s="0" t="str">
        <f aca="false">IF($A514="","",IF(CN514&lt;&gt;"pass",CA514&amp;"",CA514&amp;"; "&amp;IF(AW514="Y",BZ514&amp;"",BL514&amp;"")&amp;IF(R514="Y","; known to the founder (+15)","")&amp;"."))</f>
        <v/>
      </c>
      <c r="R514" s="5"/>
      <c r="U514" s="5"/>
      <c r="Y514" s="0" t="str">
        <f aca="false">IF(FX514&lt;&gt;"Y","",COUNTIFS($FX$2:$FX$1000,"Y",$J$2:$J$1000,"&gt;"&amp;J514)+COUNTIFS($FX$2:$FX$1000,"Y",$J$2:$J$1000,J514,$GD$2:$GD$1000,"&lt;"&amp;GD514)+1)</f>
        <v/>
      </c>
      <c r="AB514" s="0" t="str">
        <f aca="false">IF($A514="","",IF(AW514="Y",BY514&amp;"",BK514&amp;""))</f>
        <v/>
      </c>
      <c r="AC514" s="0" t="str">
        <f aca="false">IF($A514="","",IF(AW514="Y",BS514&amp;"",BE514&amp;""))</f>
        <v/>
      </c>
      <c r="AD514" s="0" t="str">
        <f aca="false">IF($A514="","",IF(AW514="Y",BT514&amp;"",BF514&amp;""))</f>
        <v/>
      </c>
      <c r="AE514" s="0" t="str">
        <f aca="false">IF($A514="","",IF(AW514="Y",BU514&amp;"",BG514&amp;""))</f>
        <v/>
      </c>
      <c r="AF514" s="0" t="str">
        <f aca="false">IF($A514="","",IF(AW514="Y",BV514&amp;"",BH514&amp;""))</f>
        <v/>
      </c>
      <c r="AG514" s="0" t="str">
        <f aca="false">IF($A514="","",IF(AW514="Y",BW514&amp;"",BI514&amp;""))</f>
        <v/>
      </c>
      <c r="AH514" s="0" t="str">
        <f aca="false">IF($A514="","",IF(AW514="Y",BX514&amp;"",BJ514&amp;""))</f>
        <v/>
      </c>
      <c r="AQ514" s="5"/>
      <c r="AT514" s="0" t="str">
        <f aca="false">IF($A514="","",IF(AND(CN514="pass",AQ514&lt;&gt;"Y",C514&lt;&gt;"",OR(AX514&lt;&gt;"Y",AV514="Y")),"Y","N"))</f>
        <v/>
      </c>
      <c r="AU514" s="0" t="str">
        <f aca="false">IF($A514="","",_xlfn.TEXTJOIN("; ",TRUE(),IF(CN514&lt;&gt;"pass","gated out",""),IF(AQ514="Y","on hold: "&amp;AR514,""),IF(C514="","no contact named on an opened page",""),IF(AND(AX514="Y",AV514&lt;&gt;"Y"),"Tuesday estimate band "&amp;L514&amp;": founder's call","")))</f>
        <v/>
      </c>
      <c r="BC514" s="0" t="str">
        <f aca="false">IF($A514="","",IFERROR(INDEX(Enrichment!$A$2:$GZ$2000,MATCH($A514,INDEX(Enrichment!$A$2:$GZ$2000,0,MATCH("row_id",Enrichment!$A$1:$GZ$1,0)),0),MATCH("work_email",Enrichment!$A$1:$GZ$1,0))&amp;"",""))</f>
        <v/>
      </c>
      <c r="BD514" s="0" t="str">
        <f aca="false">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Q514" s="0" t="str">
        <f aca="false">IF($A514="","",IFERROR(INDEX(Enrichment!$A$2:$GZ$2000,MATCH($A514,INDEX(Enrichment!$A$2:$GZ$2000,0,MATCH("row_id",Enrichment!$A$1:$GZ$1,0)),0),MATCH("backup_work_email",Enrichment!$A$1:$GZ$1,0))&amp;"",""))</f>
        <v/>
      </c>
      <c r="BR514" s="0" t="str">
        <f aca="false">IF($A514="","",IF(BQ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EQ514" s="0" t="str">
        <f aca="false">IF($A514="","",IF(AH514="exact",10,IF(AH514="adjacent",5,0)))</f>
        <v/>
      </c>
      <c r="ER514" s="0" t="str">
        <f aca="false">IF($A514="","",IF(R514="Y",15,0))</f>
        <v/>
      </c>
      <c r="FS514" s="0" t="str">
        <f aca="false">IF($A514="","",IF(ISNUMBER(MATCH(U514,{"queued","contacted","replied","call_booked","call_done","yes_in_principle","materials_sent"},0)),"Y","N"))</f>
        <v/>
      </c>
      <c r="FT514" s="0" t="str">
        <f aca="false">IF($A514="","",IF(OR(T514="Y",U514="do_not_contact",AS514&amp;""&lt;&gt;""),"Y","N"))</f>
        <v/>
      </c>
      <c r="FU514" s="0" t="str">
        <f aca="false">IF($A514="","",IF(AP514&amp;""&lt;&gt;"",AP514&amp;"",$A514))</f>
        <v/>
      </c>
      <c r="FV514" s="0" t="str">
        <f aca="false">IF($A514="","",IF(COUNTIFS($FU$2:$FU$1000,FU514,$FS$2:$FS$1000,"Y")+COUNTIFS($FU$2:$FU$1000,FU514,$FT$2:$FT$1000,"Y")&gt;0,"Y","N"))</f>
        <v/>
      </c>
      <c r="FW514" s="0" t="str">
        <f aca="false">IF($A514="","",IF(AND(U514="new",T514="N",FT514="N",AT514="Y",FV514="N"),"Y","N"))</f>
        <v/>
      </c>
      <c r="FX514" s="0" t="str">
        <f aca="false">IF($A514="","",IF(FW514&lt;&gt;"Y","N",IF(COUNTIFS($FU$2:$FU$1000,FU514,$FW$2:$FW$1000,"Y",$J$2:$J$1000,"&gt;"&amp;J514)+COUNTIFS($FU$2:$FU$1000,FU514,$FW$2:$FW$1000,"Y",$J$2:$J$1000,J514,$GD$2:$GD$1000,"&lt;"&amp;GD514)=0,"Y","N")))</f>
        <v/>
      </c>
      <c r="FY514" s="0" t="str">
        <f aca="false">IF($A514="","",IF(AND(FW514="Y",FX514="Y",Y514&amp;""&lt;&gt;""),IF(Y514&lt;=10,"Y","N"),"N"))</f>
        <v/>
      </c>
      <c r="FZ514" s="0" t="str">
        <f aca="false">IF(FY514="Y",Y514,"")</f>
        <v/>
      </c>
      <c r="GA514" s="0" t="str">
        <f aca="false">IF($A514="","",IF(AND(I514="walk-in",CN514="pass",U514="new",FT514="N",FV514="N",AQ514&lt;&gt;"Y"),"Y","N"))</f>
        <v/>
      </c>
      <c r="GB514" s="0" t="str">
        <f aca="false">IF(GA514&lt;&gt;"Y","",IF(COUNTIFS($GA$2:$GA$1000,"Y",$J$2:$J$1000,"&gt;"&amp;J514)+COUNTIFS($GA$2:$GA$1000,"Y",$J$2:$J$1000,J514,$GD$2:$GD$1000,"&lt;"&amp;GD514)+1&lt;=25,COUNTIFS($GA$2:$GA$1000,"Y",$J$2:$J$1000,"&gt;"&amp;J514)+COUNTIFS($GA$2:$GA$1000,"Y",$J$2:$J$1000,J514,$GD$2:$GD$1000,"&lt;"&amp;GD514)+1,""))</f>
        <v/>
      </c>
      <c r="GC514" s="0" t="str">
        <f aca="false">IF(AND(_xlfn.ISFORMULA(C514),_xlfn.ISFORMULA(J514)),"Y","N")</f>
        <v>Y</v>
      </c>
      <c r="GD514" s="0" t="n">
        <f aca="false">ROW()-1</f>
        <v>513</v>
      </c>
    </row>
    <row r="515" customFormat="false" ht="15" hidden="false" customHeight="false" outlineLevel="0" collapsed="false">
      <c r="C515" s="0" t="str">
        <f aca="false">IF($A515="","",IF(AW515="Y",BM515&amp;"",AY515&amp;""))</f>
        <v/>
      </c>
      <c r="D515" s="0" t="str">
        <f aca="false">IF($A515="","",IF(AW515="Y",BN515&amp;"",AZ515&amp;""))</f>
        <v/>
      </c>
      <c r="E515" s="0" t="str">
        <f aca="false">IF($A515="","",IF(AW515="Y",BO515&amp;"",BA515&amp;""))</f>
        <v/>
      </c>
      <c r="F515" s="0" t="str">
        <f aca="false">IF($A515="","",IF(AW515="Y",BP515&amp;"",BB515&amp;""))</f>
        <v/>
      </c>
      <c r="G515" s="0" t="str">
        <f aca="false">IF($A515="","",IF(AW515="Y",BQ515&amp;"",BC515&amp;""))</f>
        <v/>
      </c>
      <c r="H515" s="0" t="str">
        <f aca="false">IF($A515="","",IF(AW515="Y",BR515&amp;"",BD515&amp;""))</f>
        <v/>
      </c>
      <c r="I515" s="0" t="str">
        <f aca="false">IF($A515="","",IF(R515="Y","warm-intro",IF(H515="verified","email",IF(C515&lt;&gt;"","linkedin",CB515&amp;""))))</f>
        <v/>
      </c>
      <c r="J515" s="0" t="str">
        <f aca="false">IF($A515="","",IF(CN515="pass",ROUND(N(EM515)+N(EN515)+N(EO515)+N(EP515)+N(EQ515)+N(ER515),1),0))</f>
        <v/>
      </c>
      <c r="K515" s="0" t="str">
        <f aca="false">IF($A515="","",IF(CN515&lt;&gt;"pass",CA515&amp;"",CA515&amp;"; "&amp;IF(AW515="Y",BZ515&amp;"",BL515&amp;"")&amp;IF(R515="Y","; known to the founder (+15)","")&amp;"."))</f>
        <v/>
      </c>
      <c r="R515" s="5"/>
      <c r="U515" s="5"/>
      <c r="Y515" s="0" t="str">
        <f aca="false">IF(FX515&lt;&gt;"Y","",COUNTIFS($FX$2:$FX$1000,"Y",$J$2:$J$1000,"&gt;"&amp;J515)+COUNTIFS($FX$2:$FX$1000,"Y",$J$2:$J$1000,J515,$GD$2:$GD$1000,"&lt;"&amp;GD515)+1)</f>
        <v/>
      </c>
      <c r="AB515" s="0" t="str">
        <f aca="false">IF($A515="","",IF(AW515="Y",BY515&amp;"",BK515&amp;""))</f>
        <v/>
      </c>
      <c r="AC515" s="0" t="str">
        <f aca="false">IF($A515="","",IF(AW515="Y",BS515&amp;"",BE515&amp;""))</f>
        <v/>
      </c>
      <c r="AD515" s="0" t="str">
        <f aca="false">IF($A515="","",IF(AW515="Y",BT515&amp;"",BF515&amp;""))</f>
        <v/>
      </c>
      <c r="AE515" s="0" t="str">
        <f aca="false">IF($A515="","",IF(AW515="Y",BU515&amp;"",BG515&amp;""))</f>
        <v/>
      </c>
      <c r="AF515" s="0" t="str">
        <f aca="false">IF($A515="","",IF(AW515="Y",BV515&amp;"",BH515&amp;""))</f>
        <v/>
      </c>
      <c r="AG515" s="0" t="str">
        <f aca="false">IF($A515="","",IF(AW515="Y",BW515&amp;"",BI515&amp;""))</f>
        <v/>
      </c>
      <c r="AH515" s="0" t="str">
        <f aca="false">IF($A515="","",IF(AW515="Y",BX515&amp;"",BJ515&amp;""))</f>
        <v/>
      </c>
      <c r="AQ515" s="5"/>
      <c r="AT515" s="0" t="str">
        <f aca="false">IF($A515="","",IF(AND(CN515="pass",AQ515&lt;&gt;"Y",C515&lt;&gt;"",OR(AX515&lt;&gt;"Y",AV515="Y")),"Y","N"))</f>
        <v/>
      </c>
      <c r="AU515" s="0" t="str">
        <f aca="false">IF($A515="","",_xlfn.TEXTJOIN("; ",TRUE(),IF(CN515&lt;&gt;"pass","gated out",""),IF(AQ515="Y","on hold: "&amp;AR515,""),IF(C515="","no contact named on an opened page",""),IF(AND(AX515="Y",AV515&lt;&gt;"Y"),"Tuesday estimate band "&amp;L515&amp;": founder's call","")))</f>
        <v/>
      </c>
      <c r="BC515" s="0" t="str">
        <f aca="false">IF($A515="","",IFERROR(INDEX(Enrichment!$A$2:$GZ$2000,MATCH($A515,INDEX(Enrichment!$A$2:$GZ$2000,0,MATCH("row_id",Enrichment!$A$1:$GZ$1,0)),0),MATCH("work_email",Enrichment!$A$1:$GZ$1,0))&amp;"",""))</f>
        <v/>
      </c>
      <c r="BD515" s="0" t="str">
        <f aca="false">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Q515" s="0" t="str">
        <f aca="false">IF($A515="","",IFERROR(INDEX(Enrichment!$A$2:$GZ$2000,MATCH($A515,INDEX(Enrichment!$A$2:$GZ$2000,0,MATCH("row_id",Enrichment!$A$1:$GZ$1,0)),0),MATCH("backup_work_email",Enrichment!$A$1:$GZ$1,0))&amp;"",""))</f>
        <v/>
      </c>
      <c r="BR515" s="0" t="str">
        <f aca="false">IF($A515="","",IF(BQ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EQ515" s="0" t="str">
        <f aca="false">IF($A515="","",IF(AH515="exact",10,IF(AH515="adjacent",5,0)))</f>
        <v/>
      </c>
      <c r="ER515" s="0" t="str">
        <f aca="false">IF($A515="","",IF(R515="Y",15,0))</f>
        <v/>
      </c>
      <c r="FS515" s="0" t="str">
        <f aca="false">IF($A515="","",IF(ISNUMBER(MATCH(U515,{"queued","contacted","replied","call_booked","call_done","yes_in_principle","materials_sent"},0)),"Y","N"))</f>
        <v/>
      </c>
      <c r="FT515" s="0" t="str">
        <f aca="false">IF($A515="","",IF(OR(T515="Y",U515="do_not_contact",AS515&amp;""&lt;&gt;""),"Y","N"))</f>
        <v/>
      </c>
      <c r="FU515" s="0" t="str">
        <f aca="false">IF($A515="","",IF(AP515&amp;""&lt;&gt;"",AP515&amp;"",$A515))</f>
        <v/>
      </c>
      <c r="FV515" s="0" t="str">
        <f aca="false">IF($A515="","",IF(COUNTIFS($FU$2:$FU$1000,FU515,$FS$2:$FS$1000,"Y")+COUNTIFS($FU$2:$FU$1000,FU515,$FT$2:$FT$1000,"Y")&gt;0,"Y","N"))</f>
        <v/>
      </c>
      <c r="FW515" s="0" t="str">
        <f aca="false">IF($A515="","",IF(AND(U515="new",T515="N",FT515="N",AT515="Y",FV515="N"),"Y","N"))</f>
        <v/>
      </c>
      <c r="FX515" s="0" t="str">
        <f aca="false">IF($A515="","",IF(FW515&lt;&gt;"Y","N",IF(COUNTIFS($FU$2:$FU$1000,FU515,$FW$2:$FW$1000,"Y",$J$2:$J$1000,"&gt;"&amp;J515)+COUNTIFS($FU$2:$FU$1000,FU515,$FW$2:$FW$1000,"Y",$J$2:$J$1000,J515,$GD$2:$GD$1000,"&lt;"&amp;GD515)=0,"Y","N")))</f>
        <v/>
      </c>
      <c r="FY515" s="0" t="str">
        <f aca="false">IF($A515="","",IF(AND(FW515="Y",FX515="Y",Y515&amp;""&lt;&gt;""),IF(Y515&lt;=10,"Y","N"),"N"))</f>
        <v/>
      </c>
      <c r="FZ515" s="0" t="str">
        <f aca="false">IF(FY515="Y",Y515,"")</f>
        <v/>
      </c>
      <c r="GA515" s="0" t="str">
        <f aca="false">IF($A515="","",IF(AND(I515="walk-in",CN515="pass",U515="new",FT515="N",FV515="N",AQ515&lt;&gt;"Y"),"Y","N"))</f>
        <v/>
      </c>
      <c r="GB515" s="0" t="str">
        <f aca="false">IF(GA515&lt;&gt;"Y","",IF(COUNTIFS($GA$2:$GA$1000,"Y",$J$2:$J$1000,"&gt;"&amp;J515)+COUNTIFS($GA$2:$GA$1000,"Y",$J$2:$J$1000,J515,$GD$2:$GD$1000,"&lt;"&amp;GD515)+1&lt;=25,COUNTIFS($GA$2:$GA$1000,"Y",$J$2:$J$1000,"&gt;"&amp;J515)+COUNTIFS($GA$2:$GA$1000,"Y",$J$2:$J$1000,J515,$GD$2:$GD$1000,"&lt;"&amp;GD515)+1,""))</f>
        <v/>
      </c>
      <c r="GC515" s="0" t="str">
        <f aca="false">IF(AND(_xlfn.ISFORMULA(C515),_xlfn.ISFORMULA(J515)),"Y","N")</f>
        <v>Y</v>
      </c>
      <c r="GD515" s="0" t="n">
        <f aca="false">ROW()-1</f>
        <v>514</v>
      </c>
    </row>
    <row r="516" customFormat="false" ht="15" hidden="false" customHeight="false" outlineLevel="0" collapsed="false">
      <c r="C516" s="0" t="str">
        <f aca="false">IF($A516="","",IF(AW516="Y",BM516&amp;"",AY516&amp;""))</f>
        <v/>
      </c>
      <c r="D516" s="0" t="str">
        <f aca="false">IF($A516="","",IF(AW516="Y",BN516&amp;"",AZ516&amp;""))</f>
        <v/>
      </c>
      <c r="E516" s="0" t="str">
        <f aca="false">IF($A516="","",IF(AW516="Y",BO516&amp;"",BA516&amp;""))</f>
        <v/>
      </c>
      <c r="F516" s="0" t="str">
        <f aca="false">IF($A516="","",IF(AW516="Y",BP516&amp;"",BB516&amp;""))</f>
        <v/>
      </c>
      <c r="G516" s="0" t="str">
        <f aca="false">IF($A516="","",IF(AW516="Y",BQ516&amp;"",BC516&amp;""))</f>
        <v/>
      </c>
      <c r="H516" s="0" t="str">
        <f aca="false">IF($A516="","",IF(AW516="Y",BR516&amp;"",BD516&amp;""))</f>
        <v/>
      </c>
      <c r="I516" s="0" t="str">
        <f aca="false">IF($A516="","",IF(R516="Y","warm-intro",IF(H516="verified","email",IF(C516&lt;&gt;"","linkedin",CB516&amp;""))))</f>
        <v/>
      </c>
      <c r="J516" s="0" t="str">
        <f aca="false">IF($A516="","",IF(CN516="pass",ROUND(N(EM516)+N(EN516)+N(EO516)+N(EP516)+N(EQ516)+N(ER516),1),0))</f>
        <v/>
      </c>
      <c r="K516" s="0" t="str">
        <f aca="false">IF($A516="","",IF(CN516&lt;&gt;"pass",CA516&amp;"",CA516&amp;"; "&amp;IF(AW516="Y",BZ516&amp;"",BL516&amp;"")&amp;IF(R516="Y","; known to the founder (+15)","")&amp;"."))</f>
        <v/>
      </c>
      <c r="R516" s="5"/>
      <c r="U516" s="5"/>
      <c r="Y516" s="0" t="str">
        <f aca="false">IF(FX516&lt;&gt;"Y","",COUNTIFS($FX$2:$FX$1000,"Y",$J$2:$J$1000,"&gt;"&amp;J516)+COUNTIFS($FX$2:$FX$1000,"Y",$J$2:$J$1000,J516,$GD$2:$GD$1000,"&lt;"&amp;GD516)+1)</f>
        <v/>
      </c>
      <c r="AB516" s="0" t="str">
        <f aca="false">IF($A516="","",IF(AW516="Y",BY516&amp;"",BK516&amp;""))</f>
        <v/>
      </c>
      <c r="AC516" s="0" t="str">
        <f aca="false">IF($A516="","",IF(AW516="Y",BS516&amp;"",BE516&amp;""))</f>
        <v/>
      </c>
      <c r="AD516" s="0" t="str">
        <f aca="false">IF($A516="","",IF(AW516="Y",BT516&amp;"",BF516&amp;""))</f>
        <v/>
      </c>
      <c r="AE516" s="0" t="str">
        <f aca="false">IF($A516="","",IF(AW516="Y",BU516&amp;"",BG516&amp;""))</f>
        <v/>
      </c>
      <c r="AF516" s="0" t="str">
        <f aca="false">IF($A516="","",IF(AW516="Y",BV516&amp;"",BH516&amp;""))</f>
        <v/>
      </c>
      <c r="AG516" s="0" t="str">
        <f aca="false">IF($A516="","",IF(AW516="Y",BW516&amp;"",BI516&amp;""))</f>
        <v/>
      </c>
      <c r="AH516" s="0" t="str">
        <f aca="false">IF($A516="","",IF(AW516="Y",BX516&amp;"",BJ516&amp;""))</f>
        <v/>
      </c>
      <c r="AQ516" s="5"/>
      <c r="AT516" s="0" t="str">
        <f aca="false">IF($A516="","",IF(AND(CN516="pass",AQ516&lt;&gt;"Y",C516&lt;&gt;"",OR(AX516&lt;&gt;"Y",AV516="Y")),"Y","N"))</f>
        <v/>
      </c>
      <c r="AU516" s="0" t="str">
        <f aca="false">IF($A516="","",_xlfn.TEXTJOIN("; ",TRUE(),IF(CN516&lt;&gt;"pass","gated out",""),IF(AQ516="Y","on hold: "&amp;AR516,""),IF(C516="","no contact named on an opened page",""),IF(AND(AX516="Y",AV516&lt;&gt;"Y"),"Tuesday estimate band "&amp;L516&amp;": founder's call","")))</f>
        <v/>
      </c>
      <c r="BC516" s="0" t="str">
        <f aca="false">IF($A516="","",IFERROR(INDEX(Enrichment!$A$2:$GZ$2000,MATCH($A516,INDEX(Enrichment!$A$2:$GZ$2000,0,MATCH("row_id",Enrichment!$A$1:$GZ$1,0)),0),MATCH("work_email",Enrichment!$A$1:$GZ$1,0))&amp;"",""))</f>
        <v/>
      </c>
      <c r="BD516" s="0" t="str">
        <f aca="false">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Q516" s="0" t="str">
        <f aca="false">IF($A516="","",IFERROR(INDEX(Enrichment!$A$2:$GZ$2000,MATCH($A516,INDEX(Enrichment!$A$2:$GZ$2000,0,MATCH("row_id",Enrichment!$A$1:$GZ$1,0)),0),MATCH("backup_work_email",Enrichment!$A$1:$GZ$1,0))&amp;"",""))</f>
        <v/>
      </c>
      <c r="BR516" s="0" t="str">
        <f aca="false">IF($A516="","",IF(BQ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EQ516" s="0" t="str">
        <f aca="false">IF($A516="","",IF(AH516="exact",10,IF(AH516="adjacent",5,0)))</f>
        <v/>
      </c>
      <c r="ER516" s="0" t="str">
        <f aca="false">IF($A516="","",IF(R516="Y",15,0))</f>
        <v/>
      </c>
      <c r="FS516" s="0" t="str">
        <f aca="false">IF($A516="","",IF(ISNUMBER(MATCH(U516,{"queued","contacted","replied","call_booked","call_done","yes_in_principle","materials_sent"},0)),"Y","N"))</f>
        <v/>
      </c>
      <c r="FT516" s="0" t="str">
        <f aca="false">IF($A516="","",IF(OR(T516="Y",U516="do_not_contact",AS516&amp;""&lt;&gt;""),"Y","N"))</f>
        <v/>
      </c>
      <c r="FU516" s="0" t="str">
        <f aca="false">IF($A516="","",IF(AP516&amp;""&lt;&gt;"",AP516&amp;"",$A516))</f>
        <v/>
      </c>
      <c r="FV516" s="0" t="str">
        <f aca="false">IF($A516="","",IF(COUNTIFS($FU$2:$FU$1000,FU516,$FS$2:$FS$1000,"Y")+COUNTIFS($FU$2:$FU$1000,FU516,$FT$2:$FT$1000,"Y")&gt;0,"Y","N"))</f>
        <v/>
      </c>
      <c r="FW516" s="0" t="str">
        <f aca="false">IF($A516="","",IF(AND(U516="new",T516="N",FT516="N",AT516="Y",FV516="N"),"Y","N"))</f>
        <v/>
      </c>
      <c r="FX516" s="0" t="str">
        <f aca="false">IF($A516="","",IF(FW516&lt;&gt;"Y","N",IF(COUNTIFS($FU$2:$FU$1000,FU516,$FW$2:$FW$1000,"Y",$J$2:$J$1000,"&gt;"&amp;J516)+COUNTIFS($FU$2:$FU$1000,FU516,$FW$2:$FW$1000,"Y",$J$2:$J$1000,J516,$GD$2:$GD$1000,"&lt;"&amp;GD516)=0,"Y","N")))</f>
        <v/>
      </c>
      <c r="FY516" s="0" t="str">
        <f aca="false">IF($A516="","",IF(AND(FW516="Y",FX516="Y",Y516&amp;""&lt;&gt;""),IF(Y516&lt;=10,"Y","N"),"N"))</f>
        <v/>
      </c>
      <c r="FZ516" s="0" t="str">
        <f aca="false">IF(FY516="Y",Y516,"")</f>
        <v/>
      </c>
      <c r="GA516" s="0" t="str">
        <f aca="false">IF($A516="","",IF(AND(I516="walk-in",CN516="pass",U516="new",FT516="N",FV516="N",AQ516&lt;&gt;"Y"),"Y","N"))</f>
        <v/>
      </c>
      <c r="GB516" s="0" t="str">
        <f aca="false">IF(GA516&lt;&gt;"Y","",IF(COUNTIFS($GA$2:$GA$1000,"Y",$J$2:$J$1000,"&gt;"&amp;J516)+COUNTIFS($GA$2:$GA$1000,"Y",$J$2:$J$1000,J516,$GD$2:$GD$1000,"&lt;"&amp;GD516)+1&lt;=25,COUNTIFS($GA$2:$GA$1000,"Y",$J$2:$J$1000,"&gt;"&amp;J516)+COUNTIFS($GA$2:$GA$1000,"Y",$J$2:$J$1000,J516,$GD$2:$GD$1000,"&lt;"&amp;GD516)+1,""))</f>
        <v/>
      </c>
      <c r="GC516" s="0" t="str">
        <f aca="false">IF(AND(_xlfn.ISFORMULA(C516),_xlfn.ISFORMULA(J516)),"Y","N")</f>
        <v>Y</v>
      </c>
      <c r="GD516" s="0" t="n">
        <f aca="false">ROW()-1</f>
        <v>515</v>
      </c>
    </row>
    <row r="517" customFormat="false" ht="15" hidden="false" customHeight="false" outlineLevel="0" collapsed="false">
      <c r="C517" s="0" t="str">
        <f aca="false">IF($A517="","",IF(AW517="Y",BM517&amp;"",AY517&amp;""))</f>
        <v/>
      </c>
      <c r="D517" s="0" t="str">
        <f aca="false">IF($A517="","",IF(AW517="Y",BN517&amp;"",AZ517&amp;""))</f>
        <v/>
      </c>
      <c r="E517" s="0" t="str">
        <f aca="false">IF($A517="","",IF(AW517="Y",BO517&amp;"",BA517&amp;""))</f>
        <v/>
      </c>
      <c r="F517" s="0" t="str">
        <f aca="false">IF($A517="","",IF(AW517="Y",BP517&amp;"",BB517&amp;""))</f>
        <v/>
      </c>
      <c r="G517" s="0" t="str">
        <f aca="false">IF($A517="","",IF(AW517="Y",BQ517&amp;"",BC517&amp;""))</f>
        <v/>
      </c>
      <c r="H517" s="0" t="str">
        <f aca="false">IF($A517="","",IF(AW517="Y",BR517&amp;"",BD517&amp;""))</f>
        <v/>
      </c>
      <c r="I517" s="0" t="str">
        <f aca="false">IF($A517="","",IF(R517="Y","warm-intro",IF(H517="verified","email",IF(C517&lt;&gt;"","linkedin",CB517&amp;""))))</f>
        <v/>
      </c>
      <c r="J517" s="0" t="str">
        <f aca="false">IF($A517="","",IF(CN517="pass",ROUND(N(EM517)+N(EN517)+N(EO517)+N(EP517)+N(EQ517)+N(ER517),1),0))</f>
        <v/>
      </c>
      <c r="K517" s="0" t="str">
        <f aca="false">IF($A517="","",IF(CN517&lt;&gt;"pass",CA517&amp;"",CA517&amp;"; "&amp;IF(AW517="Y",BZ517&amp;"",BL517&amp;"")&amp;IF(R517="Y","; known to the founder (+15)","")&amp;"."))</f>
        <v/>
      </c>
      <c r="R517" s="5"/>
      <c r="U517" s="5"/>
      <c r="Y517" s="0" t="str">
        <f aca="false">IF(FX517&lt;&gt;"Y","",COUNTIFS($FX$2:$FX$1000,"Y",$J$2:$J$1000,"&gt;"&amp;J517)+COUNTIFS($FX$2:$FX$1000,"Y",$J$2:$J$1000,J517,$GD$2:$GD$1000,"&lt;"&amp;GD517)+1)</f>
        <v/>
      </c>
      <c r="AB517" s="0" t="str">
        <f aca="false">IF($A517="","",IF(AW517="Y",BY517&amp;"",BK517&amp;""))</f>
        <v/>
      </c>
      <c r="AC517" s="0" t="str">
        <f aca="false">IF($A517="","",IF(AW517="Y",BS517&amp;"",BE517&amp;""))</f>
        <v/>
      </c>
      <c r="AD517" s="0" t="str">
        <f aca="false">IF($A517="","",IF(AW517="Y",BT517&amp;"",BF517&amp;""))</f>
        <v/>
      </c>
      <c r="AE517" s="0" t="str">
        <f aca="false">IF($A517="","",IF(AW517="Y",BU517&amp;"",BG517&amp;""))</f>
        <v/>
      </c>
      <c r="AF517" s="0" t="str">
        <f aca="false">IF($A517="","",IF(AW517="Y",BV517&amp;"",BH517&amp;""))</f>
        <v/>
      </c>
      <c r="AG517" s="0" t="str">
        <f aca="false">IF($A517="","",IF(AW517="Y",BW517&amp;"",BI517&amp;""))</f>
        <v/>
      </c>
      <c r="AH517" s="0" t="str">
        <f aca="false">IF($A517="","",IF(AW517="Y",BX517&amp;"",BJ517&amp;""))</f>
        <v/>
      </c>
      <c r="AQ517" s="5"/>
      <c r="AT517" s="0" t="str">
        <f aca="false">IF($A517="","",IF(AND(CN517="pass",AQ517&lt;&gt;"Y",C517&lt;&gt;"",OR(AX517&lt;&gt;"Y",AV517="Y")),"Y","N"))</f>
        <v/>
      </c>
      <c r="AU517" s="0" t="str">
        <f aca="false">IF($A517="","",_xlfn.TEXTJOIN("; ",TRUE(),IF(CN517&lt;&gt;"pass","gated out",""),IF(AQ517="Y","on hold: "&amp;AR517,""),IF(C517="","no contact named on an opened page",""),IF(AND(AX517="Y",AV517&lt;&gt;"Y"),"Tuesday estimate band "&amp;L517&amp;": founder's call","")))</f>
        <v/>
      </c>
      <c r="BC517" s="0" t="str">
        <f aca="false">IF($A517="","",IFERROR(INDEX(Enrichment!$A$2:$GZ$2000,MATCH($A517,INDEX(Enrichment!$A$2:$GZ$2000,0,MATCH("row_id",Enrichment!$A$1:$GZ$1,0)),0),MATCH("work_email",Enrichment!$A$1:$GZ$1,0))&amp;"",""))</f>
        <v/>
      </c>
      <c r="BD517" s="0" t="str">
        <f aca="false">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Q517" s="0" t="str">
        <f aca="false">IF($A517="","",IFERROR(INDEX(Enrichment!$A$2:$GZ$2000,MATCH($A517,INDEX(Enrichment!$A$2:$GZ$2000,0,MATCH("row_id",Enrichment!$A$1:$GZ$1,0)),0),MATCH("backup_work_email",Enrichment!$A$1:$GZ$1,0))&amp;"",""))</f>
        <v/>
      </c>
      <c r="BR517" s="0" t="str">
        <f aca="false">IF($A517="","",IF(BQ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EQ517" s="0" t="str">
        <f aca="false">IF($A517="","",IF(AH517="exact",10,IF(AH517="adjacent",5,0)))</f>
        <v/>
      </c>
      <c r="ER517" s="0" t="str">
        <f aca="false">IF($A517="","",IF(R517="Y",15,0))</f>
        <v/>
      </c>
      <c r="FS517" s="0" t="str">
        <f aca="false">IF($A517="","",IF(ISNUMBER(MATCH(U517,{"queued","contacted","replied","call_booked","call_done","yes_in_principle","materials_sent"},0)),"Y","N"))</f>
        <v/>
      </c>
      <c r="FT517" s="0" t="str">
        <f aca="false">IF($A517="","",IF(OR(T517="Y",U517="do_not_contact",AS517&amp;""&lt;&gt;""),"Y","N"))</f>
        <v/>
      </c>
      <c r="FU517" s="0" t="str">
        <f aca="false">IF($A517="","",IF(AP517&amp;""&lt;&gt;"",AP517&amp;"",$A517))</f>
        <v/>
      </c>
      <c r="FV517" s="0" t="str">
        <f aca="false">IF($A517="","",IF(COUNTIFS($FU$2:$FU$1000,FU517,$FS$2:$FS$1000,"Y")+COUNTIFS($FU$2:$FU$1000,FU517,$FT$2:$FT$1000,"Y")&gt;0,"Y","N"))</f>
        <v/>
      </c>
      <c r="FW517" s="0" t="str">
        <f aca="false">IF($A517="","",IF(AND(U517="new",T517="N",FT517="N",AT517="Y",FV517="N"),"Y","N"))</f>
        <v/>
      </c>
      <c r="FX517" s="0" t="str">
        <f aca="false">IF($A517="","",IF(FW517&lt;&gt;"Y","N",IF(COUNTIFS($FU$2:$FU$1000,FU517,$FW$2:$FW$1000,"Y",$J$2:$J$1000,"&gt;"&amp;J517)+COUNTIFS($FU$2:$FU$1000,FU517,$FW$2:$FW$1000,"Y",$J$2:$J$1000,J517,$GD$2:$GD$1000,"&lt;"&amp;GD517)=0,"Y","N")))</f>
        <v/>
      </c>
      <c r="FY517" s="0" t="str">
        <f aca="false">IF($A517="","",IF(AND(FW517="Y",FX517="Y",Y517&amp;""&lt;&gt;""),IF(Y517&lt;=10,"Y","N"),"N"))</f>
        <v/>
      </c>
      <c r="FZ517" s="0" t="str">
        <f aca="false">IF(FY517="Y",Y517,"")</f>
        <v/>
      </c>
      <c r="GA517" s="0" t="str">
        <f aca="false">IF($A517="","",IF(AND(I517="walk-in",CN517="pass",U517="new",FT517="N",FV517="N",AQ517&lt;&gt;"Y"),"Y","N"))</f>
        <v/>
      </c>
      <c r="GB517" s="0" t="str">
        <f aca="false">IF(GA517&lt;&gt;"Y","",IF(COUNTIFS($GA$2:$GA$1000,"Y",$J$2:$J$1000,"&gt;"&amp;J517)+COUNTIFS($GA$2:$GA$1000,"Y",$J$2:$J$1000,J517,$GD$2:$GD$1000,"&lt;"&amp;GD517)+1&lt;=25,COUNTIFS($GA$2:$GA$1000,"Y",$J$2:$J$1000,"&gt;"&amp;J517)+COUNTIFS($GA$2:$GA$1000,"Y",$J$2:$J$1000,J517,$GD$2:$GD$1000,"&lt;"&amp;GD517)+1,""))</f>
        <v/>
      </c>
      <c r="GC517" s="0" t="str">
        <f aca="false">IF(AND(_xlfn.ISFORMULA(C517),_xlfn.ISFORMULA(J517)),"Y","N")</f>
        <v>Y</v>
      </c>
      <c r="GD517" s="0" t="n">
        <f aca="false">ROW()-1</f>
        <v>516</v>
      </c>
    </row>
    <row r="518" customFormat="false" ht="15" hidden="false" customHeight="false" outlineLevel="0" collapsed="false">
      <c r="C518" s="0" t="str">
        <f aca="false">IF($A518="","",IF(AW518="Y",BM518&amp;"",AY518&amp;""))</f>
        <v/>
      </c>
      <c r="D518" s="0" t="str">
        <f aca="false">IF($A518="","",IF(AW518="Y",BN518&amp;"",AZ518&amp;""))</f>
        <v/>
      </c>
      <c r="E518" s="0" t="str">
        <f aca="false">IF($A518="","",IF(AW518="Y",BO518&amp;"",BA518&amp;""))</f>
        <v/>
      </c>
      <c r="F518" s="0" t="str">
        <f aca="false">IF($A518="","",IF(AW518="Y",BP518&amp;"",BB518&amp;""))</f>
        <v/>
      </c>
      <c r="G518" s="0" t="str">
        <f aca="false">IF($A518="","",IF(AW518="Y",BQ518&amp;"",BC518&amp;""))</f>
        <v/>
      </c>
      <c r="H518" s="0" t="str">
        <f aca="false">IF($A518="","",IF(AW518="Y",BR518&amp;"",BD518&amp;""))</f>
        <v/>
      </c>
      <c r="I518" s="0" t="str">
        <f aca="false">IF($A518="","",IF(R518="Y","warm-intro",IF(H518="verified","email",IF(C518&lt;&gt;"","linkedin",CB518&amp;""))))</f>
        <v/>
      </c>
      <c r="J518" s="0" t="str">
        <f aca="false">IF($A518="","",IF(CN518="pass",ROUND(N(EM518)+N(EN518)+N(EO518)+N(EP518)+N(EQ518)+N(ER518),1),0))</f>
        <v/>
      </c>
      <c r="K518" s="0" t="str">
        <f aca="false">IF($A518="","",IF(CN518&lt;&gt;"pass",CA518&amp;"",CA518&amp;"; "&amp;IF(AW518="Y",BZ518&amp;"",BL518&amp;"")&amp;IF(R518="Y","; known to the founder (+15)","")&amp;"."))</f>
        <v/>
      </c>
      <c r="R518" s="5"/>
      <c r="U518" s="5"/>
      <c r="Y518" s="0" t="str">
        <f aca="false">IF(FX518&lt;&gt;"Y","",COUNTIFS($FX$2:$FX$1000,"Y",$J$2:$J$1000,"&gt;"&amp;J518)+COUNTIFS($FX$2:$FX$1000,"Y",$J$2:$J$1000,J518,$GD$2:$GD$1000,"&lt;"&amp;GD518)+1)</f>
        <v/>
      </c>
      <c r="AB518" s="0" t="str">
        <f aca="false">IF($A518="","",IF(AW518="Y",BY518&amp;"",BK518&amp;""))</f>
        <v/>
      </c>
      <c r="AC518" s="0" t="str">
        <f aca="false">IF($A518="","",IF(AW518="Y",BS518&amp;"",BE518&amp;""))</f>
        <v/>
      </c>
      <c r="AD518" s="0" t="str">
        <f aca="false">IF($A518="","",IF(AW518="Y",BT518&amp;"",BF518&amp;""))</f>
        <v/>
      </c>
      <c r="AE518" s="0" t="str">
        <f aca="false">IF($A518="","",IF(AW518="Y",BU518&amp;"",BG518&amp;""))</f>
        <v/>
      </c>
      <c r="AF518" s="0" t="str">
        <f aca="false">IF($A518="","",IF(AW518="Y",BV518&amp;"",BH518&amp;""))</f>
        <v/>
      </c>
      <c r="AG518" s="0" t="str">
        <f aca="false">IF($A518="","",IF(AW518="Y",BW518&amp;"",BI518&amp;""))</f>
        <v/>
      </c>
      <c r="AH518" s="0" t="str">
        <f aca="false">IF($A518="","",IF(AW518="Y",BX518&amp;"",BJ518&amp;""))</f>
        <v/>
      </c>
      <c r="AQ518" s="5"/>
      <c r="AT518" s="0" t="str">
        <f aca="false">IF($A518="","",IF(AND(CN518="pass",AQ518&lt;&gt;"Y",C518&lt;&gt;"",OR(AX518&lt;&gt;"Y",AV518="Y")),"Y","N"))</f>
        <v/>
      </c>
      <c r="AU518" s="0" t="str">
        <f aca="false">IF($A518="","",_xlfn.TEXTJOIN("; ",TRUE(),IF(CN518&lt;&gt;"pass","gated out",""),IF(AQ518="Y","on hold: "&amp;AR518,""),IF(C518="","no contact named on an opened page",""),IF(AND(AX518="Y",AV518&lt;&gt;"Y"),"Tuesday estimate band "&amp;L518&amp;": founder's call","")))</f>
        <v/>
      </c>
      <c r="BC518" s="0" t="str">
        <f aca="false">IF($A518="","",IFERROR(INDEX(Enrichment!$A$2:$GZ$2000,MATCH($A518,INDEX(Enrichment!$A$2:$GZ$2000,0,MATCH("row_id",Enrichment!$A$1:$GZ$1,0)),0),MATCH("work_email",Enrichment!$A$1:$GZ$1,0))&amp;"",""))</f>
        <v/>
      </c>
      <c r="BD518" s="0" t="str">
        <f aca="false">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Q518" s="0" t="str">
        <f aca="false">IF($A518="","",IFERROR(INDEX(Enrichment!$A$2:$GZ$2000,MATCH($A518,INDEX(Enrichment!$A$2:$GZ$2000,0,MATCH("row_id",Enrichment!$A$1:$GZ$1,0)),0),MATCH("backup_work_email",Enrichment!$A$1:$GZ$1,0))&amp;"",""))</f>
        <v/>
      </c>
      <c r="BR518" s="0" t="str">
        <f aca="false">IF($A518="","",IF(BQ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EQ518" s="0" t="str">
        <f aca="false">IF($A518="","",IF(AH518="exact",10,IF(AH518="adjacent",5,0)))</f>
        <v/>
      </c>
      <c r="ER518" s="0" t="str">
        <f aca="false">IF($A518="","",IF(R518="Y",15,0))</f>
        <v/>
      </c>
      <c r="FS518" s="0" t="str">
        <f aca="false">IF($A518="","",IF(ISNUMBER(MATCH(U518,{"queued","contacted","replied","call_booked","call_done","yes_in_principle","materials_sent"},0)),"Y","N"))</f>
        <v/>
      </c>
      <c r="FT518" s="0" t="str">
        <f aca="false">IF($A518="","",IF(OR(T518="Y",U518="do_not_contact",AS518&amp;""&lt;&gt;""),"Y","N"))</f>
        <v/>
      </c>
      <c r="FU518" s="0" t="str">
        <f aca="false">IF($A518="","",IF(AP518&amp;""&lt;&gt;"",AP518&amp;"",$A518))</f>
        <v/>
      </c>
      <c r="FV518" s="0" t="str">
        <f aca="false">IF($A518="","",IF(COUNTIFS($FU$2:$FU$1000,FU518,$FS$2:$FS$1000,"Y")+COUNTIFS($FU$2:$FU$1000,FU518,$FT$2:$FT$1000,"Y")&gt;0,"Y","N"))</f>
        <v/>
      </c>
      <c r="FW518" s="0" t="str">
        <f aca="false">IF($A518="","",IF(AND(U518="new",T518="N",FT518="N",AT518="Y",FV518="N"),"Y","N"))</f>
        <v/>
      </c>
      <c r="FX518" s="0" t="str">
        <f aca="false">IF($A518="","",IF(FW518&lt;&gt;"Y","N",IF(COUNTIFS($FU$2:$FU$1000,FU518,$FW$2:$FW$1000,"Y",$J$2:$J$1000,"&gt;"&amp;J518)+COUNTIFS($FU$2:$FU$1000,FU518,$FW$2:$FW$1000,"Y",$J$2:$J$1000,J518,$GD$2:$GD$1000,"&lt;"&amp;GD518)=0,"Y","N")))</f>
        <v/>
      </c>
      <c r="FY518" s="0" t="str">
        <f aca="false">IF($A518="","",IF(AND(FW518="Y",FX518="Y",Y518&amp;""&lt;&gt;""),IF(Y518&lt;=10,"Y","N"),"N"))</f>
        <v/>
      </c>
      <c r="FZ518" s="0" t="str">
        <f aca="false">IF(FY518="Y",Y518,"")</f>
        <v/>
      </c>
      <c r="GA518" s="0" t="str">
        <f aca="false">IF($A518="","",IF(AND(I518="walk-in",CN518="pass",U518="new",FT518="N",FV518="N",AQ518&lt;&gt;"Y"),"Y","N"))</f>
        <v/>
      </c>
      <c r="GB518" s="0" t="str">
        <f aca="false">IF(GA518&lt;&gt;"Y","",IF(COUNTIFS($GA$2:$GA$1000,"Y",$J$2:$J$1000,"&gt;"&amp;J518)+COUNTIFS($GA$2:$GA$1000,"Y",$J$2:$J$1000,J518,$GD$2:$GD$1000,"&lt;"&amp;GD518)+1&lt;=25,COUNTIFS($GA$2:$GA$1000,"Y",$J$2:$J$1000,"&gt;"&amp;J518)+COUNTIFS($GA$2:$GA$1000,"Y",$J$2:$J$1000,J518,$GD$2:$GD$1000,"&lt;"&amp;GD518)+1,""))</f>
        <v/>
      </c>
      <c r="GC518" s="0" t="str">
        <f aca="false">IF(AND(_xlfn.ISFORMULA(C518),_xlfn.ISFORMULA(J518)),"Y","N")</f>
        <v>Y</v>
      </c>
      <c r="GD518" s="0" t="n">
        <f aca="false">ROW()-1</f>
        <v>517</v>
      </c>
    </row>
    <row r="519" customFormat="false" ht="15" hidden="false" customHeight="false" outlineLevel="0" collapsed="false">
      <c r="C519" s="0" t="str">
        <f aca="false">IF($A519="","",IF(AW519="Y",BM519&amp;"",AY519&amp;""))</f>
        <v/>
      </c>
      <c r="D519" s="0" t="str">
        <f aca="false">IF($A519="","",IF(AW519="Y",BN519&amp;"",AZ519&amp;""))</f>
        <v/>
      </c>
      <c r="E519" s="0" t="str">
        <f aca="false">IF($A519="","",IF(AW519="Y",BO519&amp;"",BA519&amp;""))</f>
        <v/>
      </c>
      <c r="F519" s="0" t="str">
        <f aca="false">IF($A519="","",IF(AW519="Y",BP519&amp;"",BB519&amp;""))</f>
        <v/>
      </c>
      <c r="G519" s="0" t="str">
        <f aca="false">IF($A519="","",IF(AW519="Y",BQ519&amp;"",BC519&amp;""))</f>
        <v/>
      </c>
      <c r="H519" s="0" t="str">
        <f aca="false">IF($A519="","",IF(AW519="Y",BR519&amp;"",BD519&amp;""))</f>
        <v/>
      </c>
      <c r="I519" s="0" t="str">
        <f aca="false">IF($A519="","",IF(R519="Y","warm-intro",IF(H519="verified","email",IF(C519&lt;&gt;"","linkedin",CB519&amp;""))))</f>
        <v/>
      </c>
      <c r="J519" s="0" t="str">
        <f aca="false">IF($A519="","",IF(CN519="pass",ROUND(N(EM519)+N(EN519)+N(EO519)+N(EP519)+N(EQ519)+N(ER519),1),0))</f>
        <v/>
      </c>
      <c r="K519" s="0" t="str">
        <f aca="false">IF($A519="","",IF(CN519&lt;&gt;"pass",CA519&amp;"",CA519&amp;"; "&amp;IF(AW519="Y",BZ519&amp;"",BL519&amp;"")&amp;IF(R519="Y","; known to the founder (+15)","")&amp;"."))</f>
        <v/>
      </c>
      <c r="R519" s="5"/>
      <c r="U519" s="5"/>
      <c r="Y519" s="0" t="str">
        <f aca="false">IF(FX519&lt;&gt;"Y","",COUNTIFS($FX$2:$FX$1000,"Y",$J$2:$J$1000,"&gt;"&amp;J519)+COUNTIFS($FX$2:$FX$1000,"Y",$J$2:$J$1000,J519,$GD$2:$GD$1000,"&lt;"&amp;GD519)+1)</f>
        <v/>
      </c>
      <c r="AB519" s="0" t="str">
        <f aca="false">IF($A519="","",IF(AW519="Y",BY519&amp;"",BK519&amp;""))</f>
        <v/>
      </c>
      <c r="AC519" s="0" t="str">
        <f aca="false">IF($A519="","",IF(AW519="Y",BS519&amp;"",BE519&amp;""))</f>
        <v/>
      </c>
      <c r="AD519" s="0" t="str">
        <f aca="false">IF($A519="","",IF(AW519="Y",BT519&amp;"",BF519&amp;""))</f>
        <v/>
      </c>
      <c r="AE519" s="0" t="str">
        <f aca="false">IF($A519="","",IF(AW519="Y",BU519&amp;"",BG519&amp;""))</f>
        <v/>
      </c>
      <c r="AF519" s="0" t="str">
        <f aca="false">IF($A519="","",IF(AW519="Y",BV519&amp;"",BH519&amp;""))</f>
        <v/>
      </c>
      <c r="AG519" s="0" t="str">
        <f aca="false">IF($A519="","",IF(AW519="Y",BW519&amp;"",BI519&amp;""))</f>
        <v/>
      </c>
      <c r="AH519" s="0" t="str">
        <f aca="false">IF($A519="","",IF(AW519="Y",BX519&amp;"",BJ519&amp;""))</f>
        <v/>
      </c>
      <c r="AQ519" s="5"/>
      <c r="AT519" s="0" t="str">
        <f aca="false">IF($A519="","",IF(AND(CN519="pass",AQ519&lt;&gt;"Y",C519&lt;&gt;"",OR(AX519&lt;&gt;"Y",AV519="Y")),"Y","N"))</f>
        <v/>
      </c>
      <c r="AU519" s="0" t="str">
        <f aca="false">IF($A519="","",_xlfn.TEXTJOIN("; ",TRUE(),IF(CN519&lt;&gt;"pass","gated out",""),IF(AQ519="Y","on hold: "&amp;AR519,""),IF(C519="","no contact named on an opened page",""),IF(AND(AX519="Y",AV519&lt;&gt;"Y"),"Tuesday estimate band "&amp;L519&amp;": founder's call","")))</f>
        <v/>
      </c>
      <c r="BC519" s="0" t="str">
        <f aca="false">IF($A519="","",IFERROR(INDEX(Enrichment!$A$2:$GZ$2000,MATCH($A519,INDEX(Enrichment!$A$2:$GZ$2000,0,MATCH("row_id",Enrichment!$A$1:$GZ$1,0)),0),MATCH("work_email",Enrichment!$A$1:$GZ$1,0))&amp;"",""))</f>
        <v/>
      </c>
      <c r="BD519" s="0" t="str">
        <f aca="false">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Q519" s="0" t="str">
        <f aca="false">IF($A519="","",IFERROR(INDEX(Enrichment!$A$2:$GZ$2000,MATCH($A519,INDEX(Enrichment!$A$2:$GZ$2000,0,MATCH("row_id",Enrichment!$A$1:$GZ$1,0)),0),MATCH("backup_work_email",Enrichment!$A$1:$GZ$1,0))&amp;"",""))</f>
        <v/>
      </c>
      <c r="BR519" s="0" t="str">
        <f aca="false">IF($A519="","",IF(BQ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EQ519" s="0" t="str">
        <f aca="false">IF($A519="","",IF(AH519="exact",10,IF(AH519="adjacent",5,0)))</f>
        <v/>
      </c>
      <c r="ER519" s="0" t="str">
        <f aca="false">IF($A519="","",IF(R519="Y",15,0))</f>
        <v/>
      </c>
      <c r="FS519" s="0" t="str">
        <f aca="false">IF($A519="","",IF(ISNUMBER(MATCH(U519,{"queued","contacted","replied","call_booked","call_done","yes_in_principle","materials_sent"},0)),"Y","N"))</f>
        <v/>
      </c>
      <c r="FT519" s="0" t="str">
        <f aca="false">IF($A519="","",IF(OR(T519="Y",U519="do_not_contact",AS519&amp;""&lt;&gt;""),"Y","N"))</f>
        <v/>
      </c>
      <c r="FU519" s="0" t="str">
        <f aca="false">IF($A519="","",IF(AP519&amp;""&lt;&gt;"",AP519&amp;"",$A519))</f>
        <v/>
      </c>
      <c r="FV519" s="0" t="str">
        <f aca="false">IF($A519="","",IF(COUNTIFS($FU$2:$FU$1000,FU519,$FS$2:$FS$1000,"Y")+COUNTIFS($FU$2:$FU$1000,FU519,$FT$2:$FT$1000,"Y")&gt;0,"Y","N"))</f>
        <v/>
      </c>
      <c r="FW519" s="0" t="str">
        <f aca="false">IF($A519="","",IF(AND(U519="new",T519="N",FT519="N",AT519="Y",FV519="N"),"Y","N"))</f>
        <v/>
      </c>
      <c r="FX519" s="0" t="str">
        <f aca="false">IF($A519="","",IF(FW519&lt;&gt;"Y","N",IF(COUNTIFS($FU$2:$FU$1000,FU519,$FW$2:$FW$1000,"Y",$J$2:$J$1000,"&gt;"&amp;J519)+COUNTIFS($FU$2:$FU$1000,FU519,$FW$2:$FW$1000,"Y",$J$2:$J$1000,J519,$GD$2:$GD$1000,"&lt;"&amp;GD519)=0,"Y","N")))</f>
        <v/>
      </c>
      <c r="FY519" s="0" t="str">
        <f aca="false">IF($A519="","",IF(AND(FW519="Y",FX519="Y",Y519&amp;""&lt;&gt;""),IF(Y519&lt;=10,"Y","N"),"N"))</f>
        <v/>
      </c>
      <c r="FZ519" s="0" t="str">
        <f aca="false">IF(FY519="Y",Y519,"")</f>
        <v/>
      </c>
      <c r="GA519" s="0" t="str">
        <f aca="false">IF($A519="","",IF(AND(I519="walk-in",CN519="pass",U519="new",FT519="N",FV519="N",AQ519&lt;&gt;"Y"),"Y","N"))</f>
        <v/>
      </c>
      <c r="GB519" s="0" t="str">
        <f aca="false">IF(GA519&lt;&gt;"Y","",IF(COUNTIFS($GA$2:$GA$1000,"Y",$J$2:$J$1000,"&gt;"&amp;J519)+COUNTIFS($GA$2:$GA$1000,"Y",$J$2:$J$1000,J519,$GD$2:$GD$1000,"&lt;"&amp;GD519)+1&lt;=25,COUNTIFS($GA$2:$GA$1000,"Y",$J$2:$J$1000,"&gt;"&amp;J519)+COUNTIFS($GA$2:$GA$1000,"Y",$J$2:$J$1000,J519,$GD$2:$GD$1000,"&lt;"&amp;GD519)+1,""))</f>
        <v/>
      </c>
      <c r="GC519" s="0" t="str">
        <f aca="false">IF(AND(_xlfn.ISFORMULA(C519),_xlfn.ISFORMULA(J519)),"Y","N")</f>
        <v>Y</v>
      </c>
      <c r="GD519" s="0" t="n">
        <f aca="false">ROW()-1</f>
        <v>518</v>
      </c>
    </row>
    <row r="520" customFormat="false" ht="15" hidden="false" customHeight="false" outlineLevel="0" collapsed="false">
      <c r="C520" s="0" t="str">
        <f aca="false">IF($A520="","",IF(AW520="Y",BM520&amp;"",AY520&amp;""))</f>
        <v/>
      </c>
      <c r="D520" s="0" t="str">
        <f aca="false">IF($A520="","",IF(AW520="Y",BN520&amp;"",AZ520&amp;""))</f>
        <v/>
      </c>
      <c r="E520" s="0" t="str">
        <f aca="false">IF($A520="","",IF(AW520="Y",BO520&amp;"",BA520&amp;""))</f>
        <v/>
      </c>
      <c r="F520" s="0" t="str">
        <f aca="false">IF($A520="","",IF(AW520="Y",BP520&amp;"",BB520&amp;""))</f>
        <v/>
      </c>
      <c r="G520" s="0" t="str">
        <f aca="false">IF($A520="","",IF(AW520="Y",BQ520&amp;"",BC520&amp;""))</f>
        <v/>
      </c>
      <c r="H520" s="0" t="str">
        <f aca="false">IF($A520="","",IF(AW520="Y",BR520&amp;"",BD520&amp;""))</f>
        <v/>
      </c>
      <c r="I520" s="0" t="str">
        <f aca="false">IF($A520="","",IF(R520="Y","warm-intro",IF(H520="verified","email",IF(C520&lt;&gt;"","linkedin",CB520&amp;""))))</f>
        <v/>
      </c>
      <c r="J520" s="0" t="str">
        <f aca="false">IF($A520="","",IF(CN520="pass",ROUND(N(EM520)+N(EN520)+N(EO520)+N(EP520)+N(EQ520)+N(ER520),1),0))</f>
        <v/>
      </c>
      <c r="K520" s="0" t="str">
        <f aca="false">IF($A520="","",IF(CN520&lt;&gt;"pass",CA520&amp;"",CA520&amp;"; "&amp;IF(AW520="Y",BZ520&amp;"",BL520&amp;"")&amp;IF(R520="Y","; known to the founder (+15)","")&amp;"."))</f>
        <v/>
      </c>
      <c r="R520" s="5"/>
      <c r="U520" s="5"/>
      <c r="Y520" s="0" t="str">
        <f aca="false">IF(FX520&lt;&gt;"Y","",COUNTIFS($FX$2:$FX$1000,"Y",$J$2:$J$1000,"&gt;"&amp;J520)+COUNTIFS($FX$2:$FX$1000,"Y",$J$2:$J$1000,J520,$GD$2:$GD$1000,"&lt;"&amp;GD520)+1)</f>
        <v/>
      </c>
      <c r="AB520" s="0" t="str">
        <f aca="false">IF($A520="","",IF(AW520="Y",BY520&amp;"",BK520&amp;""))</f>
        <v/>
      </c>
      <c r="AC520" s="0" t="str">
        <f aca="false">IF($A520="","",IF(AW520="Y",BS520&amp;"",BE520&amp;""))</f>
        <v/>
      </c>
      <c r="AD520" s="0" t="str">
        <f aca="false">IF($A520="","",IF(AW520="Y",BT520&amp;"",BF520&amp;""))</f>
        <v/>
      </c>
      <c r="AE520" s="0" t="str">
        <f aca="false">IF($A520="","",IF(AW520="Y",BU520&amp;"",BG520&amp;""))</f>
        <v/>
      </c>
      <c r="AF520" s="0" t="str">
        <f aca="false">IF($A520="","",IF(AW520="Y",BV520&amp;"",BH520&amp;""))</f>
        <v/>
      </c>
      <c r="AG520" s="0" t="str">
        <f aca="false">IF($A520="","",IF(AW520="Y",BW520&amp;"",BI520&amp;""))</f>
        <v/>
      </c>
      <c r="AH520" s="0" t="str">
        <f aca="false">IF($A520="","",IF(AW520="Y",BX520&amp;"",BJ520&amp;""))</f>
        <v/>
      </c>
      <c r="AQ520" s="5"/>
      <c r="AT520" s="0" t="str">
        <f aca="false">IF($A520="","",IF(AND(CN520="pass",AQ520&lt;&gt;"Y",C520&lt;&gt;"",OR(AX520&lt;&gt;"Y",AV520="Y")),"Y","N"))</f>
        <v/>
      </c>
      <c r="AU520" s="0" t="str">
        <f aca="false">IF($A520="","",_xlfn.TEXTJOIN("; ",TRUE(),IF(CN520&lt;&gt;"pass","gated out",""),IF(AQ520="Y","on hold: "&amp;AR520,""),IF(C520="","no contact named on an opened page",""),IF(AND(AX520="Y",AV520&lt;&gt;"Y"),"Tuesday estimate band "&amp;L520&amp;": founder's call","")))</f>
        <v/>
      </c>
      <c r="BC520" s="0" t="str">
        <f aca="false">IF($A520="","",IFERROR(INDEX(Enrichment!$A$2:$GZ$2000,MATCH($A520,INDEX(Enrichment!$A$2:$GZ$2000,0,MATCH("row_id",Enrichment!$A$1:$GZ$1,0)),0),MATCH("work_email",Enrichment!$A$1:$GZ$1,0))&amp;"",""))</f>
        <v/>
      </c>
      <c r="BD520" s="0" t="str">
        <f aca="false">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Q520" s="0" t="str">
        <f aca="false">IF($A520="","",IFERROR(INDEX(Enrichment!$A$2:$GZ$2000,MATCH($A520,INDEX(Enrichment!$A$2:$GZ$2000,0,MATCH("row_id",Enrichment!$A$1:$GZ$1,0)),0),MATCH("backup_work_email",Enrichment!$A$1:$GZ$1,0))&amp;"",""))</f>
        <v/>
      </c>
      <c r="BR520" s="0" t="str">
        <f aca="false">IF($A520="","",IF(BQ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EQ520" s="0" t="str">
        <f aca="false">IF($A520="","",IF(AH520="exact",10,IF(AH520="adjacent",5,0)))</f>
        <v/>
      </c>
      <c r="ER520" s="0" t="str">
        <f aca="false">IF($A520="","",IF(R520="Y",15,0))</f>
        <v/>
      </c>
      <c r="FS520" s="0" t="str">
        <f aca="false">IF($A520="","",IF(ISNUMBER(MATCH(U520,{"queued","contacted","replied","call_booked","call_done","yes_in_principle","materials_sent"},0)),"Y","N"))</f>
        <v/>
      </c>
      <c r="FT520" s="0" t="str">
        <f aca="false">IF($A520="","",IF(OR(T520="Y",U520="do_not_contact",AS520&amp;""&lt;&gt;""),"Y","N"))</f>
        <v/>
      </c>
      <c r="FU520" s="0" t="str">
        <f aca="false">IF($A520="","",IF(AP520&amp;""&lt;&gt;"",AP520&amp;"",$A520))</f>
        <v/>
      </c>
      <c r="FV520" s="0" t="str">
        <f aca="false">IF($A520="","",IF(COUNTIFS($FU$2:$FU$1000,FU520,$FS$2:$FS$1000,"Y")+COUNTIFS($FU$2:$FU$1000,FU520,$FT$2:$FT$1000,"Y")&gt;0,"Y","N"))</f>
        <v/>
      </c>
      <c r="FW520" s="0" t="str">
        <f aca="false">IF($A520="","",IF(AND(U520="new",T520="N",FT520="N",AT520="Y",FV520="N"),"Y","N"))</f>
        <v/>
      </c>
      <c r="FX520" s="0" t="str">
        <f aca="false">IF($A520="","",IF(FW520&lt;&gt;"Y","N",IF(COUNTIFS($FU$2:$FU$1000,FU520,$FW$2:$FW$1000,"Y",$J$2:$J$1000,"&gt;"&amp;J520)+COUNTIFS($FU$2:$FU$1000,FU520,$FW$2:$FW$1000,"Y",$J$2:$J$1000,J520,$GD$2:$GD$1000,"&lt;"&amp;GD520)=0,"Y","N")))</f>
        <v/>
      </c>
      <c r="FY520" s="0" t="str">
        <f aca="false">IF($A520="","",IF(AND(FW520="Y",FX520="Y",Y520&amp;""&lt;&gt;""),IF(Y520&lt;=10,"Y","N"),"N"))</f>
        <v/>
      </c>
      <c r="FZ520" s="0" t="str">
        <f aca="false">IF(FY520="Y",Y520,"")</f>
        <v/>
      </c>
      <c r="GA520" s="0" t="str">
        <f aca="false">IF($A520="","",IF(AND(I520="walk-in",CN520="pass",U520="new",FT520="N",FV520="N",AQ520&lt;&gt;"Y"),"Y","N"))</f>
        <v/>
      </c>
      <c r="GB520" s="0" t="str">
        <f aca="false">IF(GA520&lt;&gt;"Y","",IF(COUNTIFS($GA$2:$GA$1000,"Y",$J$2:$J$1000,"&gt;"&amp;J520)+COUNTIFS($GA$2:$GA$1000,"Y",$J$2:$J$1000,J520,$GD$2:$GD$1000,"&lt;"&amp;GD520)+1&lt;=25,COUNTIFS($GA$2:$GA$1000,"Y",$J$2:$J$1000,"&gt;"&amp;J520)+COUNTIFS($GA$2:$GA$1000,"Y",$J$2:$J$1000,J520,$GD$2:$GD$1000,"&lt;"&amp;GD520)+1,""))</f>
        <v/>
      </c>
      <c r="GC520" s="0" t="str">
        <f aca="false">IF(AND(_xlfn.ISFORMULA(C520),_xlfn.ISFORMULA(J520)),"Y","N")</f>
        <v>Y</v>
      </c>
      <c r="GD520" s="0" t="n">
        <f aca="false">ROW()-1</f>
        <v>519</v>
      </c>
    </row>
    <row r="521" customFormat="false" ht="15" hidden="false" customHeight="false" outlineLevel="0" collapsed="false">
      <c r="C521" s="0" t="str">
        <f aca="false">IF($A521="","",IF(AW521="Y",BM521&amp;"",AY521&amp;""))</f>
        <v/>
      </c>
      <c r="D521" s="0" t="str">
        <f aca="false">IF($A521="","",IF(AW521="Y",BN521&amp;"",AZ521&amp;""))</f>
        <v/>
      </c>
      <c r="E521" s="0" t="str">
        <f aca="false">IF($A521="","",IF(AW521="Y",BO521&amp;"",BA521&amp;""))</f>
        <v/>
      </c>
      <c r="F521" s="0" t="str">
        <f aca="false">IF($A521="","",IF(AW521="Y",BP521&amp;"",BB521&amp;""))</f>
        <v/>
      </c>
      <c r="G521" s="0" t="str">
        <f aca="false">IF($A521="","",IF(AW521="Y",BQ521&amp;"",BC521&amp;""))</f>
        <v/>
      </c>
      <c r="H521" s="0" t="str">
        <f aca="false">IF($A521="","",IF(AW521="Y",BR521&amp;"",BD521&amp;""))</f>
        <v/>
      </c>
      <c r="I521" s="0" t="str">
        <f aca="false">IF($A521="","",IF(R521="Y","warm-intro",IF(H521="verified","email",IF(C521&lt;&gt;"","linkedin",CB521&amp;""))))</f>
        <v/>
      </c>
      <c r="J521" s="0" t="str">
        <f aca="false">IF($A521="","",IF(CN521="pass",ROUND(N(EM521)+N(EN521)+N(EO521)+N(EP521)+N(EQ521)+N(ER521),1),0))</f>
        <v/>
      </c>
      <c r="K521" s="0" t="str">
        <f aca="false">IF($A521="","",IF(CN521&lt;&gt;"pass",CA521&amp;"",CA521&amp;"; "&amp;IF(AW521="Y",BZ521&amp;"",BL521&amp;"")&amp;IF(R521="Y","; known to the founder (+15)","")&amp;"."))</f>
        <v/>
      </c>
      <c r="R521" s="5"/>
      <c r="U521" s="5"/>
      <c r="Y521" s="0" t="str">
        <f aca="false">IF(FX521&lt;&gt;"Y","",COUNTIFS($FX$2:$FX$1000,"Y",$J$2:$J$1000,"&gt;"&amp;J521)+COUNTIFS($FX$2:$FX$1000,"Y",$J$2:$J$1000,J521,$GD$2:$GD$1000,"&lt;"&amp;GD521)+1)</f>
        <v/>
      </c>
      <c r="AB521" s="0" t="str">
        <f aca="false">IF($A521="","",IF(AW521="Y",BY521&amp;"",BK521&amp;""))</f>
        <v/>
      </c>
      <c r="AC521" s="0" t="str">
        <f aca="false">IF($A521="","",IF(AW521="Y",BS521&amp;"",BE521&amp;""))</f>
        <v/>
      </c>
      <c r="AD521" s="0" t="str">
        <f aca="false">IF($A521="","",IF(AW521="Y",BT521&amp;"",BF521&amp;""))</f>
        <v/>
      </c>
      <c r="AE521" s="0" t="str">
        <f aca="false">IF($A521="","",IF(AW521="Y",BU521&amp;"",BG521&amp;""))</f>
        <v/>
      </c>
      <c r="AF521" s="0" t="str">
        <f aca="false">IF($A521="","",IF(AW521="Y",BV521&amp;"",BH521&amp;""))</f>
        <v/>
      </c>
      <c r="AG521" s="0" t="str">
        <f aca="false">IF($A521="","",IF(AW521="Y",BW521&amp;"",BI521&amp;""))</f>
        <v/>
      </c>
      <c r="AH521" s="0" t="str">
        <f aca="false">IF($A521="","",IF(AW521="Y",BX521&amp;"",BJ521&amp;""))</f>
        <v/>
      </c>
      <c r="AQ521" s="5"/>
      <c r="AT521" s="0" t="str">
        <f aca="false">IF($A521="","",IF(AND(CN521="pass",AQ521&lt;&gt;"Y",C521&lt;&gt;"",OR(AX521&lt;&gt;"Y",AV521="Y")),"Y","N"))</f>
        <v/>
      </c>
      <c r="AU521" s="0" t="str">
        <f aca="false">IF($A521="","",_xlfn.TEXTJOIN("; ",TRUE(),IF(CN521&lt;&gt;"pass","gated out",""),IF(AQ521="Y","on hold: "&amp;AR521,""),IF(C521="","no contact named on an opened page",""),IF(AND(AX521="Y",AV521&lt;&gt;"Y"),"Tuesday estimate band "&amp;L521&amp;": founder's call","")))</f>
        <v/>
      </c>
      <c r="BC521" s="0" t="str">
        <f aca="false">IF($A521="","",IFERROR(INDEX(Enrichment!$A$2:$GZ$2000,MATCH($A521,INDEX(Enrichment!$A$2:$GZ$2000,0,MATCH("row_id",Enrichment!$A$1:$GZ$1,0)),0),MATCH("work_email",Enrichment!$A$1:$GZ$1,0))&amp;"",""))</f>
        <v/>
      </c>
      <c r="BD521" s="0" t="str">
        <f aca="false">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Q521" s="0" t="str">
        <f aca="false">IF($A521="","",IFERROR(INDEX(Enrichment!$A$2:$GZ$2000,MATCH($A521,INDEX(Enrichment!$A$2:$GZ$2000,0,MATCH("row_id",Enrichment!$A$1:$GZ$1,0)),0),MATCH("backup_work_email",Enrichment!$A$1:$GZ$1,0))&amp;"",""))</f>
        <v/>
      </c>
      <c r="BR521" s="0" t="str">
        <f aca="false">IF($A521="","",IF(BQ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EQ521" s="0" t="str">
        <f aca="false">IF($A521="","",IF(AH521="exact",10,IF(AH521="adjacent",5,0)))</f>
        <v/>
      </c>
      <c r="ER521" s="0" t="str">
        <f aca="false">IF($A521="","",IF(R521="Y",15,0))</f>
        <v/>
      </c>
      <c r="FS521" s="0" t="str">
        <f aca="false">IF($A521="","",IF(ISNUMBER(MATCH(U521,{"queued","contacted","replied","call_booked","call_done","yes_in_principle","materials_sent"},0)),"Y","N"))</f>
        <v/>
      </c>
      <c r="FT521" s="0" t="str">
        <f aca="false">IF($A521="","",IF(OR(T521="Y",U521="do_not_contact",AS521&amp;""&lt;&gt;""),"Y","N"))</f>
        <v/>
      </c>
      <c r="FU521" s="0" t="str">
        <f aca="false">IF($A521="","",IF(AP521&amp;""&lt;&gt;"",AP521&amp;"",$A521))</f>
        <v/>
      </c>
      <c r="FV521" s="0" t="str">
        <f aca="false">IF($A521="","",IF(COUNTIFS($FU$2:$FU$1000,FU521,$FS$2:$FS$1000,"Y")+COUNTIFS($FU$2:$FU$1000,FU521,$FT$2:$FT$1000,"Y")&gt;0,"Y","N"))</f>
        <v/>
      </c>
      <c r="FW521" s="0" t="str">
        <f aca="false">IF($A521="","",IF(AND(U521="new",T521="N",FT521="N",AT521="Y",FV521="N"),"Y","N"))</f>
        <v/>
      </c>
      <c r="FX521" s="0" t="str">
        <f aca="false">IF($A521="","",IF(FW521&lt;&gt;"Y","N",IF(COUNTIFS($FU$2:$FU$1000,FU521,$FW$2:$FW$1000,"Y",$J$2:$J$1000,"&gt;"&amp;J521)+COUNTIFS($FU$2:$FU$1000,FU521,$FW$2:$FW$1000,"Y",$J$2:$J$1000,J521,$GD$2:$GD$1000,"&lt;"&amp;GD521)=0,"Y","N")))</f>
        <v/>
      </c>
      <c r="FY521" s="0" t="str">
        <f aca="false">IF($A521="","",IF(AND(FW521="Y",FX521="Y",Y521&amp;""&lt;&gt;""),IF(Y521&lt;=10,"Y","N"),"N"))</f>
        <v/>
      </c>
      <c r="FZ521" s="0" t="str">
        <f aca="false">IF(FY521="Y",Y521,"")</f>
        <v/>
      </c>
      <c r="GA521" s="0" t="str">
        <f aca="false">IF($A521="","",IF(AND(I521="walk-in",CN521="pass",U521="new",FT521="N",FV521="N",AQ521&lt;&gt;"Y"),"Y","N"))</f>
        <v/>
      </c>
      <c r="GB521" s="0" t="str">
        <f aca="false">IF(GA521&lt;&gt;"Y","",IF(COUNTIFS($GA$2:$GA$1000,"Y",$J$2:$J$1000,"&gt;"&amp;J521)+COUNTIFS($GA$2:$GA$1000,"Y",$J$2:$J$1000,J521,$GD$2:$GD$1000,"&lt;"&amp;GD521)+1&lt;=25,COUNTIFS($GA$2:$GA$1000,"Y",$J$2:$J$1000,"&gt;"&amp;J521)+COUNTIFS($GA$2:$GA$1000,"Y",$J$2:$J$1000,J521,$GD$2:$GD$1000,"&lt;"&amp;GD521)+1,""))</f>
        <v/>
      </c>
      <c r="GC521" s="0" t="str">
        <f aca="false">IF(AND(_xlfn.ISFORMULA(C521),_xlfn.ISFORMULA(J521)),"Y","N")</f>
        <v>Y</v>
      </c>
      <c r="GD521" s="0" t="n">
        <f aca="false">ROW()-1</f>
        <v>520</v>
      </c>
    </row>
    <row r="522" customFormat="false" ht="15" hidden="false" customHeight="false" outlineLevel="0" collapsed="false">
      <c r="C522" s="0" t="str">
        <f aca="false">IF($A522="","",IF(AW522="Y",BM522&amp;"",AY522&amp;""))</f>
        <v/>
      </c>
      <c r="D522" s="0" t="str">
        <f aca="false">IF($A522="","",IF(AW522="Y",BN522&amp;"",AZ522&amp;""))</f>
        <v/>
      </c>
      <c r="E522" s="0" t="str">
        <f aca="false">IF($A522="","",IF(AW522="Y",BO522&amp;"",BA522&amp;""))</f>
        <v/>
      </c>
      <c r="F522" s="0" t="str">
        <f aca="false">IF($A522="","",IF(AW522="Y",BP522&amp;"",BB522&amp;""))</f>
        <v/>
      </c>
      <c r="G522" s="0" t="str">
        <f aca="false">IF($A522="","",IF(AW522="Y",BQ522&amp;"",BC522&amp;""))</f>
        <v/>
      </c>
      <c r="H522" s="0" t="str">
        <f aca="false">IF($A522="","",IF(AW522="Y",BR522&amp;"",BD522&amp;""))</f>
        <v/>
      </c>
      <c r="I522" s="0" t="str">
        <f aca="false">IF($A522="","",IF(R522="Y","warm-intro",IF(H522="verified","email",IF(C522&lt;&gt;"","linkedin",CB522&amp;""))))</f>
        <v/>
      </c>
      <c r="J522" s="0" t="str">
        <f aca="false">IF($A522="","",IF(CN522="pass",ROUND(N(EM522)+N(EN522)+N(EO522)+N(EP522)+N(EQ522)+N(ER522),1),0))</f>
        <v/>
      </c>
      <c r="K522" s="0" t="str">
        <f aca="false">IF($A522="","",IF(CN522&lt;&gt;"pass",CA522&amp;"",CA522&amp;"; "&amp;IF(AW522="Y",BZ522&amp;"",BL522&amp;"")&amp;IF(R522="Y","; known to the founder (+15)","")&amp;"."))</f>
        <v/>
      </c>
      <c r="R522" s="5"/>
      <c r="U522" s="5"/>
      <c r="Y522" s="0" t="str">
        <f aca="false">IF(FX522&lt;&gt;"Y","",COUNTIFS($FX$2:$FX$1000,"Y",$J$2:$J$1000,"&gt;"&amp;J522)+COUNTIFS($FX$2:$FX$1000,"Y",$J$2:$J$1000,J522,$GD$2:$GD$1000,"&lt;"&amp;GD522)+1)</f>
        <v/>
      </c>
      <c r="AB522" s="0" t="str">
        <f aca="false">IF($A522="","",IF(AW522="Y",BY522&amp;"",BK522&amp;""))</f>
        <v/>
      </c>
      <c r="AC522" s="0" t="str">
        <f aca="false">IF($A522="","",IF(AW522="Y",BS522&amp;"",BE522&amp;""))</f>
        <v/>
      </c>
      <c r="AD522" s="0" t="str">
        <f aca="false">IF($A522="","",IF(AW522="Y",BT522&amp;"",BF522&amp;""))</f>
        <v/>
      </c>
      <c r="AE522" s="0" t="str">
        <f aca="false">IF($A522="","",IF(AW522="Y",BU522&amp;"",BG522&amp;""))</f>
        <v/>
      </c>
      <c r="AF522" s="0" t="str">
        <f aca="false">IF($A522="","",IF(AW522="Y",BV522&amp;"",BH522&amp;""))</f>
        <v/>
      </c>
      <c r="AG522" s="0" t="str">
        <f aca="false">IF($A522="","",IF(AW522="Y",BW522&amp;"",BI522&amp;""))</f>
        <v/>
      </c>
      <c r="AH522" s="0" t="str">
        <f aca="false">IF($A522="","",IF(AW522="Y",BX522&amp;"",BJ522&amp;""))</f>
        <v/>
      </c>
      <c r="AQ522" s="5"/>
      <c r="AT522" s="0" t="str">
        <f aca="false">IF($A522="","",IF(AND(CN522="pass",AQ522&lt;&gt;"Y",C522&lt;&gt;"",OR(AX522&lt;&gt;"Y",AV522="Y")),"Y","N"))</f>
        <v/>
      </c>
      <c r="AU522" s="0" t="str">
        <f aca="false">IF($A522="","",_xlfn.TEXTJOIN("; ",TRUE(),IF(CN522&lt;&gt;"pass","gated out",""),IF(AQ522="Y","on hold: "&amp;AR522,""),IF(C522="","no contact named on an opened page",""),IF(AND(AX522="Y",AV522&lt;&gt;"Y"),"Tuesday estimate band "&amp;L522&amp;": founder's call","")))</f>
        <v/>
      </c>
      <c r="BC522" s="0" t="str">
        <f aca="false">IF($A522="","",IFERROR(INDEX(Enrichment!$A$2:$GZ$2000,MATCH($A522,INDEX(Enrichment!$A$2:$GZ$2000,0,MATCH("row_id",Enrichment!$A$1:$GZ$1,0)),0),MATCH("work_email",Enrichment!$A$1:$GZ$1,0))&amp;"",""))</f>
        <v/>
      </c>
      <c r="BD522" s="0" t="str">
        <f aca="false">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Q522" s="0" t="str">
        <f aca="false">IF($A522="","",IFERROR(INDEX(Enrichment!$A$2:$GZ$2000,MATCH($A522,INDEX(Enrichment!$A$2:$GZ$2000,0,MATCH("row_id",Enrichment!$A$1:$GZ$1,0)),0),MATCH("backup_work_email",Enrichment!$A$1:$GZ$1,0))&amp;"",""))</f>
        <v/>
      </c>
      <c r="BR522" s="0" t="str">
        <f aca="false">IF($A522="","",IF(BQ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EQ522" s="0" t="str">
        <f aca="false">IF($A522="","",IF(AH522="exact",10,IF(AH522="adjacent",5,0)))</f>
        <v/>
      </c>
      <c r="ER522" s="0" t="str">
        <f aca="false">IF($A522="","",IF(R522="Y",15,0))</f>
        <v/>
      </c>
      <c r="FS522" s="0" t="str">
        <f aca="false">IF($A522="","",IF(ISNUMBER(MATCH(U522,{"queued","contacted","replied","call_booked","call_done","yes_in_principle","materials_sent"},0)),"Y","N"))</f>
        <v/>
      </c>
      <c r="FT522" s="0" t="str">
        <f aca="false">IF($A522="","",IF(OR(T522="Y",U522="do_not_contact",AS522&amp;""&lt;&gt;""),"Y","N"))</f>
        <v/>
      </c>
      <c r="FU522" s="0" t="str">
        <f aca="false">IF($A522="","",IF(AP522&amp;""&lt;&gt;"",AP522&amp;"",$A522))</f>
        <v/>
      </c>
      <c r="FV522" s="0" t="str">
        <f aca="false">IF($A522="","",IF(COUNTIFS($FU$2:$FU$1000,FU522,$FS$2:$FS$1000,"Y")+COUNTIFS($FU$2:$FU$1000,FU522,$FT$2:$FT$1000,"Y")&gt;0,"Y","N"))</f>
        <v/>
      </c>
      <c r="FW522" s="0" t="str">
        <f aca="false">IF($A522="","",IF(AND(U522="new",T522="N",FT522="N",AT522="Y",FV522="N"),"Y","N"))</f>
        <v/>
      </c>
      <c r="FX522" s="0" t="str">
        <f aca="false">IF($A522="","",IF(FW522&lt;&gt;"Y","N",IF(COUNTIFS($FU$2:$FU$1000,FU522,$FW$2:$FW$1000,"Y",$J$2:$J$1000,"&gt;"&amp;J522)+COUNTIFS($FU$2:$FU$1000,FU522,$FW$2:$FW$1000,"Y",$J$2:$J$1000,J522,$GD$2:$GD$1000,"&lt;"&amp;GD522)=0,"Y","N")))</f>
        <v/>
      </c>
      <c r="FY522" s="0" t="str">
        <f aca="false">IF($A522="","",IF(AND(FW522="Y",FX522="Y",Y522&amp;""&lt;&gt;""),IF(Y522&lt;=10,"Y","N"),"N"))</f>
        <v/>
      </c>
      <c r="FZ522" s="0" t="str">
        <f aca="false">IF(FY522="Y",Y522,"")</f>
        <v/>
      </c>
      <c r="GA522" s="0" t="str">
        <f aca="false">IF($A522="","",IF(AND(I522="walk-in",CN522="pass",U522="new",FT522="N",FV522="N",AQ522&lt;&gt;"Y"),"Y","N"))</f>
        <v/>
      </c>
      <c r="GB522" s="0" t="str">
        <f aca="false">IF(GA522&lt;&gt;"Y","",IF(COUNTIFS($GA$2:$GA$1000,"Y",$J$2:$J$1000,"&gt;"&amp;J522)+COUNTIFS($GA$2:$GA$1000,"Y",$J$2:$J$1000,J522,$GD$2:$GD$1000,"&lt;"&amp;GD522)+1&lt;=25,COUNTIFS($GA$2:$GA$1000,"Y",$J$2:$J$1000,"&gt;"&amp;J522)+COUNTIFS($GA$2:$GA$1000,"Y",$J$2:$J$1000,J522,$GD$2:$GD$1000,"&lt;"&amp;GD522)+1,""))</f>
        <v/>
      </c>
      <c r="GC522" s="0" t="str">
        <f aca="false">IF(AND(_xlfn.ISFORMULA(C522),_xlfn.ISFORMULA(J522)),"Y","N")</f>
        <v>Y</v>
      </c>
      <c r="GD522" s="0" t="n">
        <f aca="false">ROW()-1</f>
        <v>521</v>
      </c>
    </row>
    <row r="523" customFormat="false" ht="15" hidden="false" customHeight="false" outlineLevel="0" collapsed="false">
      <c r="C523" s="0" t="str">
        <f aca="false">IF($A523="","",IF(AW523="Y",BM523&amp;"",AY523&amp;""))</f>
        <v/>
      </c>
      <c r="D523" s="0" t="str">
        <f aca="false">IF($A523="","",IF(AW523="Y",BN523&amp;"",AZ523&amp;""))</f>
        <v/>
      </c>
      <c r="E523" s="0" t="str">
        <f aca="false">IF($A523="","",IF(AW523="Y",BO523&amp;"",BA523&amp;""))</f>
        <v/>
      </c>
      <c r="F523" s="0" t="str">
        <f aca="false">IF($A523="","",IF(AW523="Y",BP523&amp;"",BB523&amp;""))</f>
        <v/>
      </c>
      <c r="G523" s="0" t="str">
        <f aca="false">IF($A523="","",IF(AW523="Y",BQ523&amp;"",BC523&amp;""))</f>
        <v/>
      </c>
      <c r="H523" s="0" t="str">
        <f aca="false">IF($A523="","",IF(AW523="Y",BR523&amp;"",BD523&amp;""))</f>
        <v/>
      </c>
      <c r="I523" s="0" t="str">
        <f aca="false">IF($A523="","",IF(R523="Y","warm-intro",IF(H523="verified","email",IF(C523&lt;&gt;"","linkedin",CB523&amp;""))))</f>
        <v/>
      </c>
      <c r="J523" s="0" t="str">
        <f aca="false">IF($A523="","",IF(CN523="pass",ROUND(N(EM523)+N(EN523)+N(EO523)+N(EP523)+N(EQ523)+N(ER523),1),0))</f>
        <v/>
      </c>
      <c r="K523" s="0" t="str">
        <f aca="false">IF($A523="","",IF(CN523&lt;&gt;"pass",CA523&amp;"",CA523&amp;"; "&amp;IF(AW523="Y",BZ523&amp;"",BL523&amp;"")&amp;IF(R523="Y","; known to the founder (+15)","")&amp;"."))</f>
        <v/>
      </c>
      <c r="R523" s="5"/>
      <c r="U523" s="5"/>
      <c r="Y523" s="0" t="str">
        <f aca="false">IF(FX523&lt;&gt;"Y","",COUNTIFS($FX$2:$FX$1000,"Y",$J$2:$J$1000,"&gt;"&amp;J523)+COUNTIFS($FX$2:$FX$1000,"Y",$J$2:$J$1000,J523,$GD$2:$GD$1000,"&lt;"&amp;GD523)+1)</f>
        <v/>
      </c>
      <c r="AB523" s="0" t="str">
        <f aca="false">IF($A523="","",IF(AW523="Y",BY523&amp;"",BK523&amp;""))</f>
        <v/>
      </c>
      <c r="AC523" s="0" t="str">
        <f aca="false">IF($A523="","",IF(AW523="Y",BS523&amp;"",BE523&amp;""))</f>
        <v/>
      </c>
      <c r="AD523" s="0" t="str">
        <f aca="false">IF($A523="","",IF(AW523="Y",BT523&amp;"",BF523&amp;""))</f>
        <v/>
      </c>
      <c r="AE523" s="0" t="str">
        <f aca="false">IF($A523="","",IF(AW523="Y",BU523&amp;"",BG523&amp;""))</f>
        <v/>
      </c>
      <c r="AF523" s="0" t="str">
        <f aca="false">IF($A523="","",IF(AW523="Y",BV523&amp;"",BH523&amp;""))</f>
        <v/>
      </c>
      <c r="AG523" s="0" t="str">
        <f aca="false">IF($A523="","",IF(AW523="Y",BW523&amp;"",BI523&amp;""))</f>
        <v/>
      </c>
      <c r="AH523" s="0" t="str">
        <f aca="false">IF($A523="","",IF(AW523="Y",BX523&amp;"",BJ523&amp;""))</f>
        <v/>
      </c>
      <c r="AQ523" s="5"/>
      <c r="AT523" s="0" t="str">
        <f aca="false">IF($A523="","",IF(AND(CN523="pass",AQ523&lt;&gt;"Y",C523&lt;&gt;"",OR(AX523&lt;&gt;"Y",AV523="Y")),"Y","N"))</f>
        <v/>
      </c>
      <c r="AU523" s="0" t="str">
        <f aca="false">IF($A523="","",_xlfn.TEXTJOIN("; ",TRUE(),IF(CN523&lt;&gt;"pass","gated out",""),IF(AQ523="Y","on hold: "&amp;AR523,""),IF(C523="","no contact named on an opened page",""),IF(AND(AX523="Y",AV523&lt;&gt;"Y"),"Tuesday estimate band "&amp;L523&amp;": founder's call","")))</f>
        <v/>
      </c>
      <c r="BC523" s="0" t="str">
        <f aca="false">IF($A523="","",IFERROR(INDEX(Enrichment!$A$2:$GZ$2000,MATCH($A523,INDEX(Enrichment!$A$2:$GZ$2000,0,MATCH("row_id",Enrichment!$A$1:$GZ$1,0)),0),MATCH("work_email",Enrichment!$A$1:$GZ$1,0))&amp;"",""))</f>
        <v/>
      </c>
      <c r="BD523" s="0" t="str">
        <f aca="false">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Q523" s="0" t="str">
        <f aca="false">IF($A523="","",IFERROR(INDEX(Enrichment!$A$2:$GZ$2000,MATCH($A523,INDEX(Enrichment!$A$2:$GZ$2000,0,MATCH("row_id",Enrichment!$A$1:$GZ$1,0)),0),MATCH("backup_work_email",Enrichment!$A$1:$GZ$1,0))&amp;"",""))</f>
        <v/>
      </c>
      <c r="BR523" s="0" t="str">
        <f aca="false">IF($A523="","",IF(BQ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EQ523" s="0" t="str">
        <f aca="false">IF($A523="","",IF(AH523="exact",10,IF(AH523="adjacent",5,0)))</f>
        <v/>
      </c>
      <c r="ER523" s="0" t="str">
        <f aca="false">IF($A523="","",IF(R523="Y",15,0))</f>
        <v/>
      </c>
      <c r="FS523" s="0" t="str">
        <f aca="false">IF($A523="","",IF(ISNUMBER(MATCH(U523,{"queued","contacted","replied","call_booked","call_done","yes_in_principle","materials_sent"},0)),"Y","N"))</f>
        <v/>
      </c>
      <c r="FT523" s="0" t="str">
        <f aca="false">IF($A523="","",IF(OR(T523="Y",U523="do_not_contact",AS523&amp;""&lt;&gt;""),"Y","N"))</f>
        <v/>
      </c>
      <c r="FU523" s="0" t="str">
        <f aca="false">IF($A523="","",IF(AP523&amp;""&lt;&gt;"",AP523&amp;"",$A523))</f>
        <v/>
      </c>
      <c r="FV523" s="0" t="str">
        <f aca="false">IF($A523="","",IF(COUNTIFS($FU$2:$FU$1000,FU523,$FS$2:$FS$1000,"Y")+COUNTIFS($FU$2:$FU$1000,FU523,$FT$2:$FT$1000,"Y")&gt;0,"Y","N"))</f>
        <v/>
      </c>
      <c r="FW523" s="0" t="str">
        <f aca="false">IF($A523="","",IF(AND(U523="new",T523="N",FT523="N",AT523="Y",FV523="N"),"Y","N"))</f>
        <v/>
      </c>
      <c r="FX523" s="0" t="str">
        <f aca="false">IF($A523="","",IF(FW523&lt;&gt;"Y","N",IF(COUNTIFS($FU$2:$FU$1000,FU523,$FW$2:$FW$1000,"Y",$J$2:$J$1000,"&gt;"&amp;J523)+COUNTIFS($FU$2:$FU$1000,FU523,$FW$2:$FW$1000,"Y",$J$2:$J$1000,J523,$GD$2:$GD$1000,"&lt;"&amp;GD523)=0,"Y","N")))</f>
        <v/>
      </c>
      <c r="FY523" s="0" t="str">
        <f aca="false">IF($A523="","",IF(AND(FW523="Y",FX523="Y",Y523&amp;""&lt;&gt;""),IF(Y523&lt;=10,"Y","N"),"N"))</f>
        <v/>
      </c>
      <c r="FZ523" s="0" t="str">
        <f aca="false">IF(FY523="Y",Y523,"")</f>
        <v/>
      </c>
      <c r="GA523" s="0" t="str">
        <f aca="false">IF($A523="","",IF(AND(I523="walk-in",CN523="pass",U523="new",FT523="N",FV523="N",AQ523&lt;&gt;"Y"),"Y","N"))</f>
        <v/>
      </c>
      <c r="GB523" s="0" t="str">
        <f aca="false">IF(GA523&lt;&gt;"Y","",IF(COUNTIFS($GA$2:$GA$1000,"Y",$J$2:$J$1000,"&gt;"&amp;J523)+COUNTIFS($GA$2:$GA$1000,"Y",$J$2:$J$1000,J523,$GD$2:$GD$1000,"&lt;"&amp;GD523)+1&lt;=25,COUNTIFS($GA$2:$GA$1000,"Y",$J$2:$J$1000,"&gt;"&amp;J523)+COUNTIFS($GA$2:$GA$1000,"Y",$J$2:$J$1000,J523,$GD$2:$GD$1000,"&lt;"&amp;GD523)+1,""))</f>
        <v/>
      </c>
      <c r="GC523" s="0" t="str">
        <f aca="false">IF(AND(_xlfn.ISFORMULA(C523),_xlfn.ISFORMULA(J523)),"Y","N")</f>
        <v>Y</v>
      </c>
      <c r="GD523" s="0" t="n">
        <f aca="false">ROW()-1</f>
        <v>522</v>
      </c>
    </row>
    <row r="524" customFormat="false" ht="15" hidden="false" customHeight="false" outlineLevel="0" collapsed="false">
      <c r="C524" s="0" t="str">
        <f aca="false">IF($A524="","",IF(AW524="Y",BM524&amp;"",AY524&amp;""))</f>
        <v/>
      </c>
      <c r="D524" s="0" t="str">
        <f aca="false">IF($A524="","",IF(AW524="Y",BN524&amp;"",AZ524&amp;""))</f>
        <v/>
      </c>
      <c r="E524" s="0" t="str">
        <f aca="false">IF($A524="","",IF(AW524="Y",BO524&amp;"",BA524&amp;""))</f>
        <v/>
      </c>
      <c r="F524" s="0" t="str">
        <f aca="false">IF($A524="","",IF(AW524="Y",BP524&amp;"",BB524&amp;""))</f>
        <v/>
      </c>
      <c r="G524" s="0" t="str">
        <f aca="false">IF($A524="","",IF(AW524="Y",BQ524&amp;"",BC524&amp;""))</f>
        <v/>
      </c>
      <c r="H524" s="0" t="str">
        <f aca="false">IF($A524="","",IF(AW524="Y",BR524&amp;"",BD524&amp;""))</f>
        <v/>
      </c>
      <c r="I524" s="0" t="str">
        <f aca="false">IF($A524="","",IF(R524="Y","warm-intro",IF(H524="verified","email",IF(C524&lt;&gt;"","linkedin",CB524&amp;""))))</f>
        <v/>
      </c>
      <c r="J524" s="0" t="str">
        <f aca="false">IF($A524="","",IF(CN524="pass",ROUND(N(EM524)+N(EN524)+N(EO524)+N(EP524)+N(EQ524)+N(ER524),1),0))</f>
        <v/>
      </c>
      <c r="K524" s="0" t="str">
        <f aca="false">IF($A524="","",IF(CN524&lt;&gt;"pass",CA524&amp;"",CA524&amp;"; "&amp;IF(AW524="Y",BZ524&amp;"",BL524&amp;"")&amp;IF(R524="Y","; known to the founder (+15)","")&amp;"."))</f>
        <v/>
      </c>
      <c r="R524" s="5"/>
      <c r="U524" s="5"/>
      <c r="Y524" s="0" t="str">
        <f aca="false">IF(FX524&lt;&gt;"Y","",COUNTIFS($FX$2:$FX$1000,"Y",$J$2:$J$1000,"&gt;"&amp;J524)+COUNTIFS($FX$2:$FX$1000,"Y",$J$2:$J$1000,J524,$GD$2:$GD$1000,"&lt;"&amp;GD524)+1)</f>
        <v/>
      </c>
      <c r="AB524" s="0" t="str">
        <f aca="false">IF($A524="","",IF(AW524="Y",BY524&amp;"",BK524&amp;""))</f>
        <v/>
      </c>
      <c r="AC524" s="0" t="str">
        <f aca="false">IF($A524="","",IF(AW524="Y",BS524&amp;"",BE524&amp;""))</f>
        <v/>
      </c>
      <c r="AD524" s="0" t="str">
        <f aca="false">IF($A524="","",IF(AW524="Y",BT524&amp;"",BF524&amp;""))</f>
        <v/>
      </c>
      <c r="AE524" s="0" t="str">
        <f aca="false">IF($A524="","",IF(AW524="Y",BU524&amp;"",BG524&amp;""))</f>
        <v/>
      </c>
      <c r="AF524" s="0" t="str">
        <f aca="false">IF($A524="","",IF(AW524="Y",BV524&amp;"",BH524&amp;""))</f>
        <v/>
      </c>
      <c r="AG524" s="0" t="str">
        <f aca="false">IF($A524="","",IF(AW524="Y",BW524&amp;"",BI524&amp;""))</f>
        <v/>
      </c>
      <c r="AH524" s="0" t="str">
        <f aca="false">IF($A524="","",IF(AW524="Y",BX524&amp;"",BJ524&amp;""))</f>
        <v/>
      </c>
      <c r="AQ524" s="5"/>
      <c r="AT524" s="0" t="str">
        <f aca="false">IF($A524="","",IF(AND(CN524="pass",AQ524&lt;&gt;"Y",C524&lt;&gt;"",OR(AX524&lt;&gt;"Y",AV524="Y")),"Y","N"))</f>
        <v/>
      </c>
      <c r="AU524" s="0" t="str">
        <f aca="false">IF($A524="","",_xlfn.TEXTJOIN("; ",TRUE(),IF(CN524&lt;&gt;"pass","gated out",""),IF(AQ524="Y","on hold: "&amp;AR524,""),IF(C524="","no contact named on an opened page",""),IF(AND(AX524="Y",AV524&lt;&gt;"Y"),"Tuesday estimate band "&amp;L524&amp;": founder's call","")))</f>
        <v/>
      </c>
      <c r="BC524" s="0" t="str">
        <f aca="false">IF($A524="","",IFERROR(INDEX(Enrichment!$A$2:$GZ$2000,MATCH($A524,INDEX(Enrichment!$A$2:$GZ$2000,0,MATCH("row_id",Enrichment!$A$1:$GZ$1,0)),0),MATCH("work_email",Enrichment!$A$1:$GZ$1,0))&amp;"",""))</f>
        <v/>
      </c>
      <c r="BD524" s="0" t="str">
        <f aca="false">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Q524" s="0" t="str">
        <f aca="false">IF($A524="","",IFERROR(INDEX(Enrichment!$A$2:$GZ$2000,MATCH($A524,INDEX(Enrichment!$A$2:$GZ$2000,0,MATCH("row_id",Enrichment!$A$1:$GZ$1,0)),0),MATCH("backup_work_email",Enrichment!$A$1:$GZ$1,0))&amp;"",""))</f>
        <v/>
      </c>
      <c r="BR524" s="0" t="str">
        <f aca="false">IF($A524="","",IF(BQ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EQ524" s="0" t="str">
        <f aca="false">IF($A524="","",IF(AH524="exact",10,IF(AH524="adjacent",5,0)))</f>
        <v/>
      </c>
      <c r="ER524" s="0" t="str">
        <f aca="false">IF($A524="","",IF(R524="Y",15,0))</f>
        <v/>
      </c>
      <c r="FS524" s="0" t="str">
        <f aca="false">IF($A524="","",IF(ISNUMBER(MATCH(U524,{"queued","contacted","replied","call_booked","call_done","yes_in_principle","materials_sent"},0)),"Y","N"))</f>
        <v/>
      </c>
      <c r="FT524" s="0" t="str">
        <f aca="false">IF($A524="","",IF(OR(T524="Y",U524="do_not_contact",AS524&amp;""&lt;&gt;""),"Y","N"))</f>
        <v/>
      </c>
      <c r="FU524" s="0" t="str">
        <f aca="false">IF($A524="","",IF(AP524&amp;""&lt;&gt;"",AP524&amp;"",$A524))</f>
        <v/>
      </c>
      <c r="FV524" s="0" t="str">
        <f aca="false">IF($A524="","",IF(COUNTIFS($FU$2:$FU$1000,FU524,$FS$2:$FS$1000,"Y")+COUNTIFS($FU$2:$FU$1000,FU524,$FT$2:$FT$1000,"Y")&gt;0,"Y","N"))</f>
        <v/>
      </c>
      <c r="FW524" s="0" t="str">
        <f aca="false">IF($A524="","",IF(AND(U524="new",T524="N",FT524="N",AT524="Y",FV524="N"),"Y","N"))</f>
        <v/>
      </c>
      <c r="FX524" s="0" t="str">
        <f aca="false">IF($A524="","",IF(FW524&lt;&gt;"Y","N",IF(COUNTIFS($FU$2:$FU$1000,FU524,$FW$2:$FW$1000,"Y",$J$2:$J$1000,"&gt;"&amp;J524)+COUNTIFS($FU$2:$FU$1000,FU524,$FW$2:$FW$1000,"Y",$J$2:$J$1000,J524,$GD$2:$GD$1000,"&lt;"&amp;GD524)=0,"Y","N")))</f>
        <v/>
      </c>
      <c r="FY524" s="0" t="str">
        <f aca="false">IF($A524="","",IF(AND(FW524="Y",FX524="Y",Y524&amp;""&lt;&gt;""),IF(Y524&lt;=10,"Y","N"),"N"))</f>
        <v/>
      </c>
      <c r="FZ524" s="0" t="str">
        <f aca="false">IF(FY524="Y",Y524,"")</f>
        <v/>
      </c>
      <c r="GA524" s="0" t="str">
        <f aca="false">IF($A524="","",IF(AND(I524="walk-in",CN524="pass",U524="new",FT524="N",FV524="N",AQ524&lt;&gt;"Y"),"Y","N"))</f>
        <v/>
      </c>
      <c r="GB524" s="0" t="str">
        <f aca="false">IF(GA524&lt;&gt;"Y","",IF(COUNTIFS($GA$2:$GA$1000,"Y",$J$2:$J$1000,"&gt;"&amp;J524)+COUNTIFS($GA$2:$GA$1000,"Y",$J$2:$J$1000,J524,$GD$2:$GD$1000,"&lt;"&amp;GD524)+1&lt;=25,COUNTIFS($GA$2:$GA$1000,"Y",$J$2:$J$1000,"&gt;"&amp;J524)+COUNTIFS($GA$2:$GA$1000,"Y",$J$2:$J$1000,J524,$GD$2:$GD$1000,"&lt;"&amp;GD524)+1,""))</f>
        <v/>
      </c>
      <c r="GC524" s="0" t="str">
        <f aca="false">IF(AND(_xlfn.ISFORMULA(C524),_xlfn.ISFORMULA(J524)),"Y","N")</f>
        <v>Y</v>
      </c>
      <c r="GD524" s="0" t="n">
        <f aca="false">ROW()-1</f>
        <v>523</v>
      </c>
    </row>
    <row r="525" customFormat="false" ht="15" hidden="false" customHeight="false" outlineLevel="0" collapsed="false">
      <c r="C525" s="0" t="str">
        <f aca="false">IF($A525="","",IF(AW525="Y",BM525&amp;"",AY525&amp;""))</f>
        <v/>
      </c>
      <c r="D525" s="0" t="str">
        <f aca="false">IF($A525="","",IF(AW525="Y",BN525&amp;"",AZ525&amp;""))</f>
        <v/>
      </c>
      <c r="E525" s="0" t="str">
        <f aca="false">IF($A525="","",IF(AW525="Y",BO525&amp;"",BA525&amp;""))</f>
        <v/>
      </c>
      <c r="F525" s="0" t="str">
        <f aca="false">IF($A525="","",IF(AW525="Y",BP525&amp;"",BB525&amp;""))</f>
        <v/>
      </c>
      <c r="G525" s="0" t="str">
        <f aca="false">IF($A525="","",IF(AW525="Y",BQ525&amp;"",BC525&amp;""))</f>
        <v/>
      </c>
      <c r="H525" s="0" t="str">
        <f aca="false">IF($A525="","",IF(AW525="Y",BR525&amp;"",BD525&amp;""))</f>
        <v/>
      </c>
      <c r="I525" s="0" t="str">
        <f aca="false">IF($A525="","",IF(R525="Y","warm-intro",IF(H525="verified","email",IF(C525&lt;&gt;"","linkedin",CB525&amp;""))))</f>
        <v/>
      </c>
      <c r="J525" s="0" t="str">
        <f aca="false">IF($A525="","",IF(CN525="pass",ROUND(N(EM525)+N(EN525)+N(EO525)+N(EP525)+N(EQ525)+N(ER525),1),0))</f>
        <v/>
      </c>
      <c r="K525" s="0" t="str">
        <f aca="false">IF($A525="","",IF(CN525&lt;&gt;"pass",CA525&amp;"",CA525&amp;"; "&amp;IF(AW525="Y",BZ525&amp;"",BL525&amp;"")&amp;IF(R525="Y","; known to the founder (+15)","")&amp;"."))</f>
        <v/>
      </c>
      <c r="R525" s="5"/>
      <c r="U525" s="5"/>
      <c r="Y525" s="0" t="str">
        <f aca="false">IF(FX525&lt;&gt;"Y","",COUNTIFS($FX$2:$FX$1000,"Y",$J$2:$J$1000,"&gt;"&amp;J525)+COUNTIFS($FX$2:$FX$1000,"Y",$J$2:$J$1000,J525,$GD$2:$GD$1000,"&lt;"&amp;GD525)+1)</f>
        <v/>
      </c>
      <c r="AB525" s="0" t="str">
        <f aca="false">IF($A525="","",IF(AW525="Y",BY525&amp;"",BK525&amp;""))</f>
        <v/>
      </c>
      <c r="AC525" s="0" t="str">
        <f aca="false">IF($A525="","",IF(AW525="Y",BS525&amp;"",BE525&amp;""))</f>
        <v/>
      </c>
      <c r="AD525" s="0" t="str">
        <f aca="false">IF($A525="","",IF(AW525="Y",BT525&amp;"",BF525&amp;""))</f>
        <v/>
      </c>
      <c r="AE525" s="0" t="str">
        <f aca="false">IF($A525="","",IF(AW525="Y",BU525&amp;"",BG525&amp;""))</f>
        <v/>
      </c>
      <c r="AF525" s="0" t="str">
        <f aca="false">IF($A525="","",IF(AW525="Y",BV525&amp;"",BH525&amp;""))</f>
        <v/>
      </c>
      <c r="AG525" s="0" t="str">
        <f aca="false">IF($A525="","",IF(AW525="Y",BW525&amp;"",BI525&amp;""))</f>
        <v/>
      </c>
      <c r="AH525" s="0" t="str">
        <f aca="false">IF($A525="","",IF(AW525="Y",BX525&amp;"",BJ525&amp;""))</f>
        <v/>
      </c>
      <c r="AQ525" s="5"/>
      <c r="AT525" s="0" t="str">
        <f aca="false">IF($A525="","",IF(AND(CN525="pass",AQ525&lt;&gt;"Y",C525&lt;&gt;"",OR(AX525&lt;&gt;"Y",AV525="Y")),"Y","N"))</f>
        <v/>
      </c>
      <c r="AU525" s="0" t="str">
        <f aca="false">IF($A525="","",_xlfn.TEXTJOIN("; ",TRUE(),IF(CN525&lt;&gt;"pass","gated out",""),IF(AQ525="Y","on hold: "&amp;AR525,""),IF(C525="","no contact named on an opened page",""),IF(AND(AX525="Y",AV525&lt;&gt;"Y"),"Tuesday estimate band "&amp;L525&amp;": founder's call","")))</f>
        <v/>
      </c>
      <c r="BC525" s="0" t="str">
        <f aca="false">IF($A525="","",IFERROR(INDEX(Enrichment!$A$2:$GZ$2000,MATCH($A525,INDEX(Enrichment!$A$2:$GZ$2000,0,MATCH("row_id",Enrichment!$A$1:$GZ$1,0)),0),MATCH("work_email",Enrichment!$A$1:$GZ$1,0))&amp;"",""))</f>
        <v/>
      </c>
      <c r="BD525" s="0" t="str">
        <f aca="false">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Q525" s="0" t="str">
        <f aca="false">IF($A525="","",IFERROR(INDEX(Enrichment!$A$2:$GZ$2000,MATCH($A525,INDEX(Enrichment!$A$2:$GZ$2000,0,MATCH("row_id",Enrichment!$A$1:$GZ$1,0)),0),MATCH("backup_work_email",Enrichment!$A$1:$GZ$1,0))&amp;"",""))</f>
        <v/>
      </c>
      <c r="BR525" s="0" t="str">
        <f aca="false">IF($A525="","",IF(BQ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EQ525" s="0" t="str">
        <f aca="false">IF($A525="","",IF(AH525="exact",10,IF(AH525="adjacent",5,0)))</f>
        <v/>
      </c>
      <c r="ER525" s="0" t="str">
        <f aca="false">IF($A525="","",IF(R525="Y",15,0))</f>
        <v/>
      </c>
      <c r="FS525" s="0" t="str">
        <f aca="false">IF($A525="","",IF(ISNUMBER(MATCH(U525,{"queued","contacted","replied","call_booked","call_done","yes_in_principle","materials_sent"},0)),"Y","N"))</f>
        <v/>
      </c>
      <c r="FT525" s="0" t="str">
        <f aca="false">IF($A525="","",IF(OR(T525="Y",U525="do_not_contact",AS525&amp;""&lt;&gt;""),"Y","N"))</f>
        <v/>
      </c>
      <c r="FU525" s="0" t="str">
        <f aca="false">IF($A525="","",IF(AP525&amp;""&lt;&gt;"",AP525&amp;"",$A525))</f>
        <v/>
      </c>
      <c r="FV525" s="0" t="str">
        <f aca="false">IF($A525="","",IF(COUNTIFS($FU$2:$FU$1000,FU525,$FS$2:$FS$1000,"Y")+COUNTIFS($FU$2:$FU$1000,FU525,$FT$2:$FT$1000,"Y")&gt;0,"Y","N"))</f>
        <v/>
      </c>
      <c r="FW525" s="0" t="str">
        <f aca="false">IF($A525="","",IF(AND(U525="new",T525="N",FT525="N",AT525="Y",FV525="N"),"Y","N"))</f>
        <v/>
      </c>
      <c r="FX525" s="0" t="str">
        <f aca="false">IF($A525="","",IF(FW525&lt;&gt;"Y","N",IF(COUNTIFS($FU$2:$FU$1000,FU525,$FW$2:$FW$1000,"Y",$J$2:$J$1000,"&gt;"&amp;J525)+COUNTIFS($FU$2:$FU$1000,FU525,$FW$2:$FW$1000,"Y",$J$2:$J$1000,J525,$GD$2:$GD$1000,"&lt;"&amp;GD525)=0,"Y","N")))</f>
        <v/>
      </c>
      <c r="FY525" s="0" t="str">
        <f aca="false">IF($A525="","",IF(AND(FW525="Y",FX525="Y",Y525&amp;""&lt;&gt;""),IF(Y525&lt;=10,"Y","N"),"N"))</f>
        <v/>
      </c>
      <c r="FZ525" s="0" t="str">
        <f aca="false">IF(FY525="Y",Y525,"")</f>
        <v/>
      </c>
      <c r="GA525" s="0" t="str">
        <f aca="false">IF($A525="","",IF(AND(I525="walk-in",CN525="pass",U525="new",FT525="N",FV525="N",AQ525&lt;&gt;"Y"),"Y","N"))</f>
        <v/>
      </c>
      <c r="GB525" s="0" t="str">
        <f aca="false">IF(GA525&lt;&gt;"Y","",IF(COUNTIFS($GA$2:$GA$1000,"Y",$J$2:$J$1000,"&gt;"&amp;J525)+COUNTIFS($GA$2:$GA$1000,"Y",$J$2:$J$1000,J525,$GD$2:$GD$1000,"&lt;"&amp;GD525)+1&lt;=25,COUNTIFS($GA$2:$GA$1000,"Y",$J$2:$J$1000,"&gt;"&amp;J525)+COUNTIFS($GA$2:$GA$1000,"Y",$J$2:$J$1000,J525,$GD$2:$GD$1000,"&lt;"&amp;GD525)+1,""))</f>
        <v/>
      </c>
      <c r="GC525" s="0" t="str">
        <f aca="false">IF(AND(_xlfn.ISFORMULA(C525),_xlfn.ISFORMULA(J525)),"Y","N")</f>
        <v>Y</v>
      </c>
      <c r="GD525" s="0" t="n">
        <f aca="false">ROW()-1</f>
        <v>524</v>
      </c>
    </row>
    <row r="526" customFormat="false" ht="15" hidden="false" customHeight="false" outlineLevel="0" collapsed="false">
      <c r="C526" s="0" t="str">
        <f aca="false">IF($A526="","",IF(AW526="Y",BM526&amp;"",AY526&amp;""))</f>
        <v/>
      </c>
      <c r="D526" s="0" t="str">
        <f aca="false">IF($A526="","",IF(AW526="Y",BN526&amp;"",AZ526&amp;""))</f>
        <v/>
      </c>
      <c r="E526" s="0" t="str">
        <f aca="false">IF($A526="","",IF(AW526="Y",BO526&amp;"",BA526&amp;""))</f>
        <v/>
      </c>
      <c r="F526" s="0" t="str">
        <f aca="false">IF($A526="","",IF(AW526="Y",BP526&amp;"",BB526&amp;""))</f>
        <v/>
      </c>
      <c r="G526" s="0" t="str">
        <f aca="false">IF($A526="","",IF(AW526="Y",BQ526&amp;"",BC526&amp;""))</f>
        <v/>
      </c>
      <c r="H526" s="0" t="str">
        <f aca="false">IF($A526="","",IF(AW526="Y",BR526&amp;"",BD526&amp;""))</f>
        <v/>
      </c>
      <c r="I526" s="0" t="str">
        <f aca="false">IF($A526="","",IF(R526="Y","warm-intro",IF(H526="verified","email",IF(C526&lt;&gt;"","linkedin",CB526&amp;""))))</f>
        <v/>
      </c>
      <c r="J526" s="0" t="str">
        <f aca="false">IF($A526="","",IF(CN526="pass",ROUND(N(EM526)+N(EN526)+N(EO526)+N(EP526)+N(EQ526)+N(ER526),1),0))</f>
        <v/>
      </c>
      <c r="K526" s="0" t="str">
        <f aca="false">IF($A526="","",IF(CN526&lt;&gt;"pass",CA526&amp;"",CA526&amp;"; "&amp;IF(AW526="Y",BZ526&amp;"",BL526&amp;"")&amp;IF(R526="Y","; known to the founder (+15)","")&amp;"."))</f>
        <v/>
      </c>
      <c r="R526" s="5"/>
      <c r="U526" s="5"/>
      <c r="Y526" s="0" t="str">
        <f aca="false">IF(FX526&lt;&gt;"Y","",COUNTIFS($FX$2:$FX$1000,"Y",$J$2:$J$1000,"&gt;"&amp;J526)+COUNTIFS($FX$2:$FX$1000,"Y",$J$2:$J$1000,J526,$GD$2:$GD$1000,"&lt;"&amp;GD526)+1)</f>
        <v/>
      </c>
      <c r="AB526" s="0" t="str">
        <f aca="false">IF($A526="","",IF(AW526="Y",BY526&amp;"",BK526&amp;""))</f>
        <v/>
      </c>
      <c r="AC526" s="0" t="str">
        <f aca="false">IF($A526="","",IF(AW526="Y",BS526&amp;"",BE526&amp;""))</f>
        <v/>
      </c>
      <c r="AD526" s="0" t="str">
        <f aca="false">IF($A526="","",IF(AW526="Y",BT526&amp;"",BF526&amp;""))</f>
        <v/>
      </c>
      <c r="AE526" s="0" t="str">
        <f aca="false">IF($A526="","",IF(AW526="Y",BU526&amp;"",BG526&amp;""))</f>
        <v/>
      </c>
      <c r="AF526" s="0" t="str">
        <f aca="false">IF($A526="","",IF(AW526="Y",BV526&amp;"",BH526&amp;""))</f>
        <v/>
      </c>
      <c r="AG526" s="0" t="str">
        <f aca="false">IF($A526="","",IF(AW526="Y",BW526&amp;"",BI526&amp;""))</f>
        <v/>
      </c>
      <c r="AH526" s="0" t="str">
        <f aca="false">IF($A526="","",IF(AW526="Y",BX526&amp;"",BJ526&amp;""))</f>
        <v/>
      </c>
      <c r="AQ526" s="5"/>
      <c r="AT526" s="0" t="str">
        <f aca="false">IF($A526="","",IF(AND(CN526="pass",AQ526&lt;&gt;"Y",C526&lt;&gt;"",OR(AX526&lt;&gt;"Y",AV526="Y")),"Y","N"))</f>
        <v/>
      </c>
      <c r="AU526" s="0" t="str">
        <f aca="false">IF($A526="","",_xlfn.TEXTJOIN("; ",TRUE(),IF(CN526&lt;&gt;"pass","gated out",""),IF(AQ526="Y","on hold: "&amp;AR526,""),IF(C526="","no contact named on an opened page",""),IF(AND(AX526="Y",AV526&lt;&gt;"Y"),"Tuesday estimate band "&amp;L526&amp;": founder's call","")))</f>
        <v/>
      </c>
      <c r="BC526" s="0" t="str">
        <f aca="false">IF($A526="","",IFERROR(INDEX(Enrichment!$A$2:$GZ$2000,MATCH($A526,INDEX(Enrichment!$A$2:$GZ$2000,0,MATCH("row_id",Enrichment!$A$1:$GZ$1,0)),0),MATCH("work_email",Enrichment!$A$1:$GZ$1,0))&amp;"",""))</f>
        <v/>
      </c>
      <c r="BD526" s="0" t="str">
        <f aca="false">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Q526" s="0" t="str">
        <f aca="false">IF($A526="","",IFERROR(INDEX(Enrichment!$A$2:$GZ$2000,MATCH($A526,INDEX(Enrichment!$A$2:$GZ$2000,0,MATCH("row_id",Enrichment!$A$1:$GZ$1,0)),0),MATCH("backup_work_email",Enrichment!$A$1:$GZ$1,0))&amp;"",""))</f>
        <v/>
      </c>
      <c r="BR526" s="0" t="str">
        <f aca="false">IF($A526="","",IF(BQ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EQ526" s="0" t="str">
        <f aca="false">IF($A526="","",IF(AH526="exact",10,IF(AH526="adjacent",5,0)))</f>
        <v/>
      </c>
      <c r="ER526" s="0" t="str">
        <f aca="false">IF($A526="","",IF(R526="Y",15,0))</f>
        <v/>
      </c>
      <c r="FS526" s="0" t="str">
        <f aca="false">IF($A526="","",IF(ISNUMBER(MATCH(U526,{"queued","contacted","replied","call_booked","call_done","yes_in_principle","materials_sent"},0)),"Y","N"))</f>
        <v/>
      </c>
      <c r="FT526" s="0" t="str">
        <f aca="false">IF($A526="","",IF(OR(T526="Y",U526="do_not_contact",AS526&amp;""&lt;&gt;""),"Y","N"))</f>
        <v/>
      </c>
      <c r="FU526" s="0" t="str">
        <f aca="false">IF($A526="","",IF(AP526&amp;""&lt;&gt;"",AP526&amp;"",$A526))</f>
        <v/>
      </c>
      <c r="FV526" s="0" t="str">
        <f aca="false">IF($A526="","",IF(COUNTIFS($FU$2:$FU$1000,FU526,$FS$2:$FS$1000,"Y")+COUNTIFS($FU$2:$FU$1000,FU526,$FT$2:$FT$1000,"Y")&gt;0,"Y","N"))</f>
        <v/>
      </c>
      <c r="FW526" s="0" t="str">
        <f aca="false">IF($A526="","",IF(AND(U526="new",T526="N",FT526="N",AT526="Y",FV526="N"),"Y","N"))</f>
        <v/>
      </c>
      <c r="FX526" s="0" t="str">
        <f aca="false">IF($A526="","",IF(FW526&lt;&gt;"Y","N",IF(COUNTIFS($FU$2:$FU$1000,FU526,$FW$2:$FW$1000,"Y",$J$2:$J$1000,"&gt;"&amp;J526)+COUNTIFS($FU$2:$FU$1000,FU526,$FW$2:$FW$1000,"Y",$J$2:$J$1000,J526,$GD$2:$GD$1000,"&lt;"&amp;GD526)=0,"Y","N")))</f>
        <v/>
      </c>
      <c r="FY526" s="0" t="str">
        <f aca="false">IF($A526="","",IF(AND(FW526="Y",FX526="Y",Y526&amp;""&lt;&gt;""),IF(Y526&lt;=10,"Y","N"),"N"))</f>
        <v/>
      </c>
      <c r="FZ526" s="0" t="str">
        <f aca="false">IF(FY526="Y",Y526,"")</f>
        <v/>
      </c>
      <c r="GA526" s="0" t="str">
        <f aca="false">IF($A526="","",IF(AND(I526="walk-in",CN526="pass",U526="new",FT526="N",FV526="N",AQ526&lt;&gt;"Y"),"Y","N"))</f>
        <v/>
      </c>
      <c r="GB526" s="0" t="str">
        <f aca="false">IF(GA526&lt;&gt;"Y","",IF(COUNTIFS($GA$2:$GA$1000,"Y",$J$2:$J$1000,"&gt;"&amp;J526)+COUNTIFS($GA$2:$GA$1000,"Y",$J$2:$J$1000,J526,$GD$2:$GD$1000,"&lt;"&amp;GD526)+1&lt;=25,COUNTIFS($GA$2:$GA$1000,"Y",$J$2:$J$1000,"&gt;"&amp;J526)+COUNTIFS($GA$2:$GA$1000,"Y",$J$2:$J$1000,J526,$GD$2:$GD$1000,"&lt;"&amp;GD526)+1,""))</f>
        <v/>
      </c>
      <c r="GC526" s="0" t="str">
        <f aca="false">IF(AND(_xlfn.ISFORMULA(C526),_xlfn.ISFORMULA(J526)),"Y","N")</f>
        <v>Y</v>
      </c>
      <c r="GD526" s="0" t="n">
        <f aca="false">ROW()-1</f>
        <v>525</v>
      </c>
    </row>
    <row r="527" customFormat="false" ht="15" hidden="false" customHeight="false" outlineLevel="0" collapsed="false">
      <c r="C527" s="0" t="str">
        <f aca="false">IF($A527="","",IF(AW527="Y",BM527&amp;"",AY527&amp;""))</f>
        <v/>
      </c>
      <c r="D527" s="0" t="str">
        <f aca="false">IF($A527="","",IF(AW527="Y",BN527&amp;"",AZ527&amp;""))</f>
        <v/>
      </c>
      <c r="E527" s="0" t="str">
        <f aca="false">IF($A527="","",IF(AW527="Y",BO527&amp;"",BA527&amp;""))</f>
        <v/>
      </c>
      <c r="F527" s="0" t="str">
        <f aca="false">IF($A527="","",IF(AW527="Y",BP527&amp;"",BB527&amp;""))</f>
        <v/>
      </c>
      <c r="G527" s="0" t="str">
        <f aca="false">IF($A527="","",IF(AW527="Y",BQ527&amp;"",BC527&amp;""))</f>
        <v/>
      </c>
      <c r="H527" s="0" t="str">
        <f aca="false">IF($A527="","",IF(AW527="Y",BR527&amp;"",BD527&amp;""))</f>
        <v/>
      </c>
      <c r="I527" s="0" t="str">
        <f aca="false">IF($A527="","",IF(R527="Y","warm-intro",IF(H527="verified","email",IF(C527&lt;&gt;"","linkedin",CB527&amp;""))))</f>
        <v/>
      </c>
      <c r="J527" s="0" t="str">
        <f aca="false">IF($A527="","",IF(CN527="pass",ROUND(N(EM527)+N(EN527)+N(EO527)+N(EP527)+N(EQ527)+N(ER527),1),0))</f>
        <v/>
      </c>
      <c r="K527" s="0" t="str">
        <f aca="false">IF($A527="","",IF(CN527&lt;&gt;"pass",CA527&amp;"",CA527&amp;"; "&amp;IF(AW527="Y",BZ527&amp;"",BL527&amp;"")&amp;IF(R527="Y","; known to the founder (+15)","")&amp;"."))</f>
        <v/>
      </c>
      <c r="R527" s="5"/>
      <c r="U527" s="5"/>
      <c r="Y527" s="0" t="str">
        <f aca="false">IF(FX527&lt;&gt;"Y","",COUNTIFS($FX$2:$FX$1000,"Y",$J$2:$J$1000,"&gt;"&amp;J527)+COUNTIFS($FX$2:$FX$1000,"Y",$J$2:$J$1000,J527,$GD$2:$GD$1000,"&lt;"&amp;GD527)+1)</f>
        <v/>
      </c>
      <c r="AB527" s="0" t="str">
        <f aca="false">IF($A527="","",IF(AW527="Y",BY527&amp;"",BK527&amp;""))</f>
        <v/>
      </c>
      <c r="AC527" s="0" t="str">
        <f aca="false">IF($A527="","",IF(AW527="Y",BS527&amp;"",BE527&amp;""))</f>
        <v/>
      </c>
      <c r="AD527" s="0" t="str">
        <f aca="false">IF($A527="","",IF(AW527="Y",BT527&amp;"",BF527&amp;""))</f>
        <v/>
      </c>
      <c r="AE527" s="0" t="str">
        <f aca="false">IF($A527="","",IF(AW527="Y",BU527&amp;"",BG527&amp;""))</f>
        <v/>
      </c>
      <c r="AF527" s="0" t="str">
        <f aca="false">IF($A527="","",IF(AW527="Y",BV527&amp;"",BH527&amp;""))</f>
        <v/>
      </c>
      <c r="AG527" s="0" t="str">
        <f aca="false">IF($A527="","",IF(AW527="Y",BW527&amp;"",BI527&amp;""))</f>
        <v/>
      </c>
      <c r="AH527" s="0" t="str">
        <f aca="false">IF($A527="","",IF(AW527="Y",BX527&amp;"",BJ527&amp;""))</f>
        <v/>
      </c>
      <c r="AQ527" s="5"/>
      <c r="AT527" s="0" t="str">
        <f aca="false">IF($A527="","",IF(AND(CN527="pass",AQ527&lt;&gt;"Y",C527&lt;&gt;"",OR(AX527&lt;&gt;"Y",AV527="Y")),"Y","N"))</f>
        <v/>
      </c>
      <c r="AU527" s="0" t="str">
        <f aca="false">IF($A527="","",_xlfn.TEXTJOIN("; ",TRUE(),IF(CN527&lt;&gt;"pass","gated out",""),IF(AQ527="Y","on hold: "&amp;AR527,""),IF(C527="","no contact named on an opened page",""),IF(AND(AX527="Y",AV527&lt;&gt;"Y"),"Tuesday estimate band "&amp;L527&amp;": founder's call","")))</f>
        <v/>
      </c>
      <c r="BC527" s="0" t="str">
        <f aca="false">IF($A527="","",IFERROR(INDEX(Enrichment!$A$2:$GZ$2000,MATCH($A527,INDEX(Enrichment!$A$2:$GZ$2000,0,MATCH("row_id",Enrichment!$A$1:$GZ$1,0)),0),MATCH("work_email",Enrichment!$A$1:$GZ$1,0))&amp;"",""))</f>
        <v/>
      </c>
      <c r="BD527" s="0" t="str">
        <f aca="false">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Q527" s="0" t="str">
        <f aca="false">IF($A527="","",IFERROR(INDEX(Enrichment!$A$2:$GZ$2000,MATCH($A527,INDEX(Enrichment!$A$2:$GZ$2000,0,MATCH("row_id",Enrichment!$A$1:$GZ$1,0)),0),MATCH("backup_work_email",Enrichment!$A$1:$GZ$1,0))&amp;"",""))</f>
        <v/>
      </c>
      <c r="BR527" s="0" t="str">
        <f aca="false">IF($A527="","",IF(BQ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EQ527" s="0" t="str">
        <f aca="false">IF($A527="","",IF(AH527="exact",10,IF(AH527="adjacent",5,0)))</f>
        <v/>
      </c>
      <c r="ER527" s="0" t="str">
        <f aca="false">IF($A527="","",IF(R527="Y",15,0))</f>
        <v/>
      </c>
      <c r="FS527" s="0" t="str">
        <f aca="false">IF($A527="","",IF(ISNUMBER(MATCH(U527,{"queued","contacted","replied","call_booked","call_done","yes_in_principle","materials_sent"},0)),"Y","N"))</f>
        <v/>
      </c>
      <c r="FT527" s="0" t="str">
        <f aca="false">IF($A527="","",IF(OR(T527="Y",U527="do_not_contact",AS527&amp;""&lt;&gt;""),"Y","N"))</f>
        <v/>
      </c>
      <c r="FU527" s="0" t="str">
        <f aca="false">IF($A527="","",IF(AP527&amp;""&lt;&gt;"",AP527&amp;"",$A527))</f>
        <v/>
      </c>
      <c r="FV527" s="0" t="str">
        <f aca="false">IF($A527="","",IF(COUNTIFS($FU$2:$FU$1000,FU527,$FS$2:$FS$1000,"Y")+COUNTIFS($FU$2:$FU$1000,FU527,$FT$2:$FT$1000,"Y")&gt;0,"Y","N"))</f>
        <v/>
      </c>
      <c r="FW527" s="0" t="str">
        <f aca="false">IF($A527="","",IF(AND(U527="new",T527="N",FT527="N",AT527="Y",FV527="N"),"Y","N"))</f>
        <v/>
      </c>
      <c r="FX527" s="0" t="str">
        <f aca="false">IF($A527="","",IF(FW527&lt;&gt;"Y","N",IF(COUNTIFS($FU$2:$FU$1000,FU527,$FW$2:$FW$1000,"Y",$J$2:$J$1000,"&gt;"&amp;J527)+COUNTIFS($FU$2:$FU$1000,FU527,$FW$2:$FW$1000,"Y",$J$2:$J$1000,J527,$GD$2:$GD$1000,"&lt;"&amp;GD527)=0,"Y","N")))</f>
        <v/>
      </c>
      <c r="FY527" s="0" t="str">
        <f aca="false">IF($A527="","",IF(AND(FW527="Y",FX527="Y",Y527&amp;""&lt;&gt;""),IF(Y527&lt;=10,"Y","N"),"N"))</f>
        <v/>
      </c>
      <c r="FZ527" s="0" t="str">
        <f aca="false">IF(FY527="Y",Y527,"")</f>
        <v/>
      </c>
      <c r="GA527" s="0" t="str">
        <f aca="false">IF($A527="","",IF(AND(I527="walk-in",CN527="pass",U527="new",FT527="N",FV527="N",AQ527&lt;&gt;"Y"),"Y","N"))</f>
        <v/>
      </c>
      <c r="GB527" s="0" t="str">
        <f aca="false">IF(GA527&lt;&gt;"Y","",IF(COUNTIFS($GA$2:$GA$1000,"Y",$J$2:$J$1000,"&gt;"&amp;J527)+COUNTIFS($GA$2:$GA$1000,"Y",$J$2:$J$1000,J527,$GD$2:$GD$1000,"&lt;"&amp;GD527)+1&lt;=25,COUNTIFS($GA$2:$GA$1000,"Y",$J$2:$J$1000,"&gt;"&amp;J527)+COUNTIFS($GA$2:$GA$1000,"Y",$J$2:$J$1000,J527,$GD$2:$GD$1000,"&lt;"&amp;GD527)+1,""))</f>
        <v/>
      </c>
      <c r="GC527" s="0" t="str">
        <f aca="false">IF(AND(_xlfn.ISFORMULA(C527),_xlfn.ISFORMULA(J527)),"Y","N")</f>
        <v>Y</v>
      </c>
      <c r="GD527" s="0" t="n">
        <f aca="false">ROW()-1</f>
        <v>526</v>
      </c>
    </row>
    <row r="528" customFormat="false" ht="15" hidden="false" customHeight="false" outlineLevel="0" collapsed="false">
      <c r="C528" s="0" t="str">
        <f aca="false">IF($A528="","",IF(AW528="Y",BM528&amp;"",AY528&amp;""))</f>
        <v/>
      </c>
      <c r="D528" s="0" t="str">
        <f aca="false">IF($A528="","",IF(AW528="Y",BN528&amp;"",AZ528&amp;""))</f>
        <v/>
      </c>
      <c r="E528" s="0" t="str">
        <f aca="false">IF($A528="","",IF(AW528="Y",BO528&amp;"",BA528&amp;""))</f>
        <v/>
      </c>
      <c r="F528" s="0" t="str">
        <f aca="false">IF($A528="","",IF(AW528="Y",BP528&amp;"",BB528&amp;""))</f>
        <v/>
      </c>
      <c r="G528" s="0" t="str">
        <f aca="false">IF($A528="","",IF(AW528="Y",BQ528&amp;"",BC528&amp;""))</f>
        <v/>
      </c>
      <c r="H528" s="0" t="str">
        <f aca="false">IF($A528="","",IF(AW528="Y",BR528&amp;"",BD528&amp;""))</f>
        <v/>
      </c>
      <c r="I528" s="0" t="str">
        <f aca="false">IF($A528="","",IF(R528="Y","warm-intro",IF(H528="verified","email",IF(C528&lt;&gt;"","linkedin",CB528&amp;""))))</f>
        <v/>
      </c>
      <c r="J528" s="0" t="str">
        <f aca="false">IF($A528="","",IF(CN528="pass",ROUND(N(EM528)+N(EN528)+N(EO528)+N(EP528)+N(EQ528)+N(ER528),1),0))</f>
        <v/>
      </c>
      <c r="K528" s="0" t="str">
        <f aca="false">IF($A528="","",IF(CN528&lt;&gt;"pass",CA528&amp;"",CA528&amp;"; "&amp;IF(AW528="Y",BZ528&amp;"",BL528&amp;"")&amp;IF(R528="Y","; known to the founder (+15)","")&amp;"."))</f>
        <v/>
      </c>
      <c r="R528" s="5"/>
      <c r="U528" s="5"/>
      <c r="Y528" s="0" t="str">
        <f aca="false">IF(FX528&lt;&gt;"Y","",COUNTIFS($FX$2:$FX$1000,"Y",$J$2:$J$1000,"&gt;"&amp;J528)+COUNTIFS($FX$2:$FX$1000,"Y",$J$2:$J$1000,J528,$GD$2:$GD$1000,"&lt;"&amp;GD528)+1)</f>
        <v/>
      </c>
      <c r="AB528" s="0" t="str">
        <f aca="false">IF($A528="","",IF(AW528="Y",BY528&amp;"",BK528&amp;""))</f>
        <v/>
      </c>
      <c r="AC528" s="0" t="str">
        <f aca="false">IF($A528="","",IF(AW528="Y",BS528&amp;"",BE528&amp;""))</f>
        <v/>
      </c>
      <c r="AD528" s="0" t="str">
        <f aca="false">IF($A528="","",IF(AW528="Y",BT528&amp;"",BF528&amp;""))</f>
        <v/>
      </c>
      <c r="AE528" s="0" t="str">
        <f aca="false">IF($A528="","",IF(AW528="Y",BU528&amp;"",BG528&amp;""))</f>
        <v/>
      </c>
      <c r="AF528" s="0" t="str">
        <f aca="false">IF($A528="","",IF(AW528="Y",BV528&amp;"",BH528&amp;""))</f>
        <v/>
      </c>
      <c r="AG528" s="0" t="str">
        <f aca="false">IF($A528="","",IF(AW528="Y",BW528&amp;"",BI528&amp;""))</f>
        <v/>
      </c>
      <c r="AH528" s="0" t="str">
        <f aca="false">IF($A528="","",IF(AW528="Y",BX528&amp;"",BJ528&amp;""))</f>
        <v/>
      </c>
      <c r="AQ528" s="5"/>
      <c r="AT528" s="0" t="str">
        <f aca="false">IF($A528="","",IF(AND(CN528="pass",AQ528&lt;&gt;"Y",C528&lt;&gt;"",OR(AX528&lt;&gt;"Y",AV528="Y")),"Y","N"))</f>
        <v/>
      </c>
      <c r="AU528" s="0" t="str">
        <f aca="false">IF($A528="","",_xlfn.TEXTJOIN("; ",TRUE(),IF(CN528&lt;&gt;"pass","gated out",""),IF(AQ528="Y","on hold: "&amp;AR528,""),IF(C528="","no contact named on an opened page",""),IF(AND(AX528="Y",AV528&lt;&gt;"Y"),"Tuesday estimate band "&amp;L528&amp;": founder's call","")))</f>
        <v/>
      </c>
      <c r="BC528" s="0" t="str">
        <f aca="false">IF($A528="","",IFERROR(INDEX(Enrichment!$A$2:$GZ$2000,MATCH($A528,INDEX(Enrichment!$A$2:$GZ$2000,0,MATCH("row_id",Enrichment!$A$1:$GZ$1,0)),0),MATCH("work_email",Enrichment!$A$1:$GZ$1,0))&amp;"",""))</f>
        <v/>
      </c>
      <c r="BD528" s="0" t="str">
        <f aca="false">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Q528" s="0" t="str">
        <f aca="false">IF($A528="","",IFERROR(INDEX(Enrichment!$A$2:$GZ$2000,MATCH($A528,INDEX(Enrichment!$A$2:$GZ$2000,0,MATCH("row_id",Enrichment!$A$1:$GZ$1,0)),0),MATCH("backup_work_email",Enrichment!$A$1:$GZ$1,0))&amp;"",""))</f>
        <v/>
      </c>
      <c r="BR528" s="0" t="str">
        <f aca="false">IF($A528="","",IF(BQ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EQ528" s="0" t="str">
        <f aca="false">IF($A528="","",IF(AH528="exact",10,IF(AH528="adjacent",5,0)))</f>
        <v/>
      </c>
      <c r="ER528" s="0" t="str">
        <f aca="false">IF($A528="","",IF(R528="Y",15,0))</f>
        <v/>
      </c>
      <c r="FS528" s="0" t="str">
        <f aca="false">IF($A528="","",IF(ISNUMBER(MATCH(U528,{"queued","contacted","replied","call_booked","call_done","yes_in_principle","materials_sent"},0)),"Y","N"))</f>
        <v/>
      </c>
      <c r="FT528" s="0" t="str">
        <f aca="false">IF($A528="","",IF(OR(T528="Y",U528="do_not_contact",AS528&amp;""&lt;&gt;""),"Y","N"))</f>
        <v/>
      </c>
      <c r="FU528" s="0" t="str">
        <f aca="false">IF($A528="","",IF(AP528&amp;""&lt;&gt;"",AP528&amp;"",$A528))</f>
        <v/>
      </c>
      <c r="FV528" s="0" t="str">
        <f aca="false">IF($A528="","",IF(COUNTIFS($FU$2:$FU$1000,FU528,$FS$2:$FS$1000,"Y")+COUNTIFS($FU$2:$FU$1000,FU528,$FT$2:$FT$1000,"Y")&gt;0,"Y","N"))</f>
        <v/>
      </c>
      <c r="FW528" s="0" t="str">
        <f aca="false">IF($A528="","",IF(AND(U528="new",T528="N",FT528="N",AT528="Y",FV528="N"),"Y","N"))</f>
        <v/>
      </c>
      <c r="FX528" s="0" t="str">
        <f aca="false">IF($A528="","",IF(FW528&lt;&gt;"Y","N",IF(COUNTIFS($FU$2:$FU$1000,FU528,$FW$2:$FW$1000,"Y",$J$2:$J$1000,"&gt;"&amp;J528)+COUNTIFS($FU$2:$FU$1000,FU528,$FW$2:$FW$1000,"Y",$J$2:$J$1000,J528,$GD$2:$GD$1000,"&lt;"&amp;GD528)=0,"Y","N")))</f>
        <v/>
      </c>
      <c r="FY528" s="0" t="str">
        <f aca="false">IF($A528="","",IF(AND(FW528="Y",FX528="Y",Y528&amp;""&lt;&gt;""),IF(Y528&lt;=10,"Y","N"),"N"))</f>
        <v/>
      </c>
      <c r="FZ528" s="0" t="str">
        <f aca="false">IF(FY528="Y",Y528,"")</f>
        <v/>
      </c>
      <c r="GA528" s="0" t="str">
        <f aca="false">IF($A528="","",IF(AND(I528="walk-in",CN528="pass",U528="new",FT528="N",FV528="N",AQ528&lt;&gt;"Y"),"Y","N"))</f>
        <v/>
      </c>
      <c r="GB528" s="0" t="str">
        <f aca="false">IF(GA528&lt;&gt;"Y","",IF(COUNTIFS($GA$2:$GA$1000,"Y",$J$2:$J$1000,"&gt;"&amp;J528)+COUNTIFS($GA$2:$GA$1000,"Y",$J$2:$J$1000,J528,$GD$2:$GD$1000,"&lt;"&amp;GD528)+1&lt;=25,COUNTIFS($GA$2:$GA$1000,"Y",$J$2:$J$1000,"&gt;"&amp;J528)+COUNTIFS($GA$2:$GA$1000,"Y",$J$2:$J$1000,J528,$GD$2:$GD$1000,"&lt;"&amp;GD528)+1,""))</f>
        <v/>
      </c>
      <c r="GC528" s="0" t="str">
        <f aca="false">IF(AND(_xlfn.ISFORMULA(C528),_xlfn.ISFORMULA(J528)),"Y","N")</f>
        <v>Y</v>
      </c>
      <c r="GD528" s="0" t="n">
        <f aca="false">ROW()-1</f>
        <v>527</v>
      </c>
    </row>
    <row r="529" customFormat="false" ht="15" hidden="false" customHeight="false" outlineLevel="0" collapsed="false">
      <c r="C529" s="0" t="str">
        <f aca="false">IF($A529="","",IF(AW529="Y",BM529&amp;"",AY529&amp;""))</f>
        <v/>
      </c>
      <c r="D529" s="0" t="str">
        <f aca="false">IF($A529="","",IF(AW529="Y",BN529&amp;"",AZ529&amp;""))</f>
        <v/>
      </c>
      <c r="E529" s="0" t="str">
        <f aca="false">IF($A529="","",IF(AW529="Y",BO529&amp;"",BA529&amp;""))</f>
        <v/>
      </c>
      <c r="F529" s="0" t="str">
        <f aca="false">IF($A529="","",IF(AW529="Y",BP529&amp;"",BB529&amp;""))</f>
        <v/>
      </c>
      <c r="G529" s="0" t="str">
        <f aca="false">IF($A529="","",IF(AW529="Y",BQ529&amp;"",BC529&amp;""))</f>
        <v/>
      </c>
      <c r="H529" s="0" t="str">
        <f aca="false">IF($A529="","",IF(AW529="Y",BR529&amp;"",BD529&amp;""))</f>
        <v/>
      </c>
      <c r="I529" s="0" t="str">
        <f aca="false">IF($A529="","",IF(R529="Y","warm-intro",IF(H529="verified","email",IF(C529&lt;&gt;"","linkedin",CB529&amp;""))))</f>
        <v/>
      </c>
      <c r="J529" s="0" t="str">
        <f aca="false">IF($A529="","",IF(CN529="pass",ROUND(N(EM529)+N(EN529)+N(EO529)+N(EP529)+N(EQ529)+N(ER529),1),0))</f>
        <v/>
      </c>
      <c r="K529" s="0" t="str">
        <f aca="false">IF($A529="","",IF(CN529&lt;&gt;"pass",CA529&amp;"",CA529&amp;"; "&amp;IF(AW529="Y",BZ529&amp;"",BL529&amp;"")&amp;IF(R529="Y","; known to the founder (+15)","")&amp;"."))</f>
        <v/>
      </c>
      <c r="R529" s="5"/>
      <c r="U529" s="5"/>
      <c r="Y529" s="0" t="str">
        <f aca="false">IF(FX529&lt;&gt;"Y","",COUNTIFS($FX$2:$FX$1000,"Y",$J$2:$J$1000,"&gt;"&amp;J529)+COUNTIFS($FX$2:$FX$1000,"Y",$J$2:$J$1000,J529,$GD$2:$GD$1000,"&lt;"&amp;GD529)+1)</f>
        <v/>
      </c>
      <c r="AB529" s="0" t="str">
        <f aca="false">IF($A529="","",IF(AW529="Y",BY529&amp;"",BK529&amp;""))</f>
        <v/>
      </c>
      <c r="AC529" s="0" t="str">
        <f aca="false">IF($A529="","",IF(AW529="Y",BS529&amp;"",BE529&amp;""))</f>
        <v/>
      </c>
      <c r="AD529" s="0" t="str">
        <f aca="false">IF($A529="","",IF(AW529="Y",BT529&amp;"",BF529&amp;""))</f>
        <v/>
      </c>
      <c r="AE529" s="0" t="str">
        <f aca="false">IF($A529="","",IF(AW529="Y",BU529&amp;"",BG529&amp;""))</f>
        <v/>
      </c>
      <c r="AF529" s="0" t="str">
        <f aca="false">IF($A529="","",IF(AW529="Y",BV529&amp;"",BH529&amp;""))</f>
        <v/>
      </c>
      <c r="AG529" s="0" t="str">
        <f aca="false">IF($A529="","",IF(AW529="Y",BW529&amp;"",BI529&amp;""))</f>
        <v/>
      </c>
      <c r="AH529" s="0" t="str">
        <f aca="false">IF($A529="","",IF(AW529="Y",BX529&amp;"",BJ529&amp;""))</f>
        <v/>
      </c>
      <c r="AQ529" s="5"/>
      <c r="AT529" s="0" t="str">
        <f aca="false">IF($A529="","",IF(AND(CN529="pass",AQ529&lt;&gt;"Y",C529&lt;&gt;"",OR(AX529&lt;&gt;"Y",AV529="Y")),"Y","N"))</f>
        <v/>
      </c>
      <c r="AU529" s="0" t="str">
        <f aca="false">IF($A529="","",_xlfn.TEXTJOIN("; ",TRUE(),IF(CN529&lt;&gt;"pass","gated out",""),IF(AQ529="Y","on hold: "&amp;AR529,""),IF(C529="","no contact named on an opened page",""),IF(AND(AX529="Y",AV529&lt;&gt;"Y"),"Tuesday estimate band "&amp;L529&amp;": founder's call","")))</f>
        <v/>
      </c>
      <c r="BC529" s="0" t="str">
        <f aca="false">IF($A529="","",IFERROR(INDEX(Enrichment!$A$2:$GZ$2000,MATCH($A529,INDEX(Enrichment!$A$2:$GZ$2000,0,MATCH("row_id",Enrichment!$A$1:$GZ$1,0)),0),MATCH("work_email",Enrichment!$A$1:$GZ$1,0))&amp;"",""))</f>
        <v/>
      </c>
      <c r="BD529" s="0" t="str">
        <f aca="false">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Q529" s="0" t="str">
        <f aca="false">IF($A529="","",IFERROR(INDEX(Enrichment!$A$2:$GZ$2000,MATCH($A529,INDEX(Enrichment!$A$2:$GZ$2000,0,MATCH("row_id",Enrichment!$A$1:$GZ$1,0)),0),MATCH("backup_work_email",Enrichment!$A$1:$GZ$1,0))&amp;"",""))</f>
        <v/>
      </c>
      <c r="BR529" s="0" t="str">
        <f aca="false">IF($A529="","",IF(BQ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EQ529" s="0" t="str">
        <f aca="false">IF($A529="","",IF(AH529="exact",10,IF(AH529="adjacent",5,0)))</f>
        <v/>
      </c>
      <c r="ER529" s="0" t="str">
        <f aca="false">IF($A529="","",IF(R529="Y",15,0))</f>
        <v/>
      </c>
      <c r="FS529" s="0" t="str">
        <f aca="false">IF($A529="","",IF(ISNUMBER(MATCH(U529,{"queued","contacted","replied","call_booked","call_done","yes_in_principle","materials_sent"},0)),"Y","N"))</f>
        <v/>
      </c>
      <c r="FT529" s="0" t="str">
        <f aca="false">IF($A529="","",IF(OR(T529="Y",U529="do_not_contact",AS529&amp;""&lt;&gt;""),"Y","N"))</f>
        <v/>
      </c>
      <c r="FU529" s="0" t="str">
        <f aca="false">IF($A529="","",IF(AP529&amp;""&lt;&gt;"",AP529&amp;"",$A529))</f>
        <v/>
      </c>
      <c r="FV529" s="0" t="str">
        <f aca="false">IF($A529="","",IF(COUNTIFS($FU$2:$FU$1000,FU529,$FS$2:$FS$1000,"Y")+COUNTIFS($FU$2:$FU$1000,FU529,$FT$2:$FT$1000,"Y")&gt;0,"Y","N"))</f>
        <v/>
      </c>
      <c r="FW529" s="0" t="str">
        <f aca="false">IF($A529="","",IF(AND(U529="new",T529="N",FT529="N",AT529="Y",FV529="N"),"Y","N"))</f>
        <v/>
      </c>
      <c r="FX529" s="0" t="str">
        <f aca="false">IF($A529="","",IF(FW529&lt;&gt;"Y","N",IF(COUNTIFS($FU$2:$FU$1000,FU529,$FW$2:$FW$1000,"Y",$J$2:$J$1000,"&gt;"&amp;J529)+COUNTIFS($FU$2:$FU$1000,FU529,$FW$2:$FW$1000,"Y",$J$2:$J$1000,J529,$GD$2:$GD$1000,"&lt;"&amp;GD529)=0,"Y","N")))</f>
        <v/>
      </c>
      <c r="FY529" s="0" t="str">
        <f aca="false">IF($A529="","",IF(AND(FW529="Y",FX529="Y",Y529&amp;""&lt;&gt;""),IF(Y529&lt;=10,"Y","N"),"N"))</f>
        <v/>
      </c>
      <c r="FZ529" s="0" t="str">
        <f aca="false">IF(FY529="Y",Y529,"")</f>
        <v/>
      </c>
      <c r="GA529" s="0" t="str">
        <f aca="false">IF($A529="","",IF(AND(I529="walk-in",CN529="pass",U529="new",FT529="N",FV529="N",AQ529&lt;&gt;"Y"),"Y","N"))</f>
        <v/>
      </c>
      <c r="GB529" s="0" t="str">
        <f aca="false">IF(GA529&lt;&gt;"Y","",IF(COUNTIFS($GA$2:$GA$1000,"Y",$J$2:$J$1000,"&gt;"&amp;J529)+COUNTIFS($GA$2:$GA$1000,"Y",$J$2:$J$1000,J529,$GD$2:$GD$1000,"&lt;"&amp;GD529)+1&lt;=25,COUNTIFS($GA$2:$GA$1000,"Y",$J$2:$J$1000,"&gt;"&amp;J529)+COUNTIFS($GA$2:$GA$1000,"Y",$J$2:$J$1000,J529,$GD$2:$GD$1000,"&lt;"&amp;GD529)+1,""))</f>
        <v/>
      </c>
      <c r="GC529" s="0" t="str">
        <f aca="false">IF(AND(_xlfn.ISFORMULA(C529),_xlfn.ISFORMULA(J529)),"Y","N")</f>
        <v>Y</v>
      </c>
      <c r="GD529" s="0" t="n">
        <f aca="false">ROW()-1</f>
        <v>528</v>
      </c>
    </row>
    <row r="530" customFormat="false" ht="15" hidden="false" customHeight="false" outlineLevel="0" collapsed="false">
      <c r="C530" s="0" t="str">
        <f aca="false">IF($A530="","",IF(AW530="Y",BM530&amp;"",AY530&amp;""))</f>
        <v/>
      </c>
      <c r="D530" s="0" t="str">
        <f aca="false">IF($A530="","",IF(AW530="Y",BN530&amp;"",AZ530&amp;""))</f>
        <v/>
      </c>
      <c r="E530" s="0" t="str">
        <f aca="false">IF($A530="","",IF(AW530="Y",BO530&amp;"",BA530&amp;""))</f>
        <v/>
      </c>
      <c r="F530" s="0" t="str">
        <f aca="false">IF($A530="","",IF(AW530="Y",BP530&amp;"",BB530&amp;""))</f>
        <v/>
      </c>
      <c r="G530" s="0" t="str">
        <f aca="false">IF($A530="","",IF(AW530="Y",BQ530&amp;"",BC530&amp;""))</f>
        <v/>
      </c>
      <c r="H530" s="0" t="str">
        <f aca="false">IF($A530="","",IF(AW530="Y",BR530&amp;"",BD530&amp;""))</f>
        <v/>
      </c>
      <c r="I530" s="0" t="str">
        <f aca="false">IF($A530="","",IF(R530="Y","warm-intro",IF(H530="verified","email",IF(C530&lt;&gt;"","linkedin",CB530&amp;""))))</f>
        <v/>
      </c>
      <c r="J530" s="0" t="str">
        <f aca="false">IF($A530="","",IF(CN530="pass",ROUND(N(EM530)+N(EN530)+N(EO530)+N(EP530)+N(EQ530)+N(ER530),1),0))</f>
        <v/>
      </c>
      <c r="K530" s="0" t="str">
        <f aca="false">IF($A530="","",IF(CN530&lt;&gt;"pass",CA530&amp;"",CA530&amp;"; "&amp;IF(AW530="Y",BZ530&amp;"",BL530&amp;"")&amp;IF(R530="Y","; known to the founder (+15)","")&amp;"."))</f>
        <v/>
      </c>
      <c r="R530" s="5"/>
      <c r="U530" s="5"/>
      <c r="Y530" s="0" t="str">
        <f aca="false">IF(FX530&lt;&gt;"Y","",COUNTIFS($FX$2:$FX$1000,"Y",$J$2:$J$1000,"&gt;"&amp;J530)+COUNTIFS($FX$2:$FX$1000,"Y",$J$2:$J$1000,J530,$GD$2:$GD$1000,"&lt;"&amp;GD530)+1)</f>
        <v/>
      </c>
      <c r="AB530" s="0" t="str">
        <f aca="false">IF($A530="","",IF(AW530="Y",BY530&amp;"",BK530&amp;""))</f>
        <v/>
      </c>
      <c r="AC530" s="0" t="str">
        <f aca="false">IF($A530="","",IF(AW530="Y",BS530&amp;"",BE530&amp;""))</f>
        <v/>
      </c>
      <c r="AD530" s="0" t="str">
        <f aca="false">IF($A530="","",IF(AW530="Y",BT530&amp;"",BF530&amp;""))</f>
        <v/>
      </c>
      <c r="AE530" s="0" t="str">
        <f aca="false">IF($A530="","",IF(AW530="Y",BU530&amp;"",BG530&amp;""))</f>
        <v/>
      </c>
      <c r="AF530" s="0" t="str">
        <f aca="false">IF($A530="","",IF(AW530="Y",BV530&amp;"",BH530&amp;""))</f>
        <v/>
      </c>
      <c r="AG530" s="0" t="str">
        <f aca="false">IF($A530="","",IF(AW530="Y",BW530&amp;"",BI530&amp;""))</f>
        <v/>
      </c>
      <c r="AH530" s="0" t="str">
        <f aca="false">IF($A530="","",IF(AW530="Y",BX530&amp;"",BJ530&amp;""))</f>
        <v/>
      </c>
      <c r="AQ530" s="5"/>
      <c r="AT530" s="0" t="str">
        <f aca="false">IF($A530="","",IF(AND(CN530="pass",AQ530&lt;&gt;"Y",C530&lt;&gt;"",OR(AX530&lt;&gt;"Y",AV530="Y")),"Y","N"))</f>
        <v/>
      </c>
      <c r="AU530" s="0" t="str">
        <f aca="false">IF($A530="","",_xlfn.TEXTJOIN("; ",TRUE(),IF(CN530&lt;&gt;"pass","gated out",""),IF(AQ530="Y","on hold: "&amp;AR530,""),IF(C530="","no contact named on an opened page",""),IF(AND(AX530="Y",AV530&lt;&gt;"Y"),"Tuesday estimate band "&amp;L530&amp;": founder's call","")))</f>
        <v/>
      </c>
      <c r="BC530" s="0" t="str">
        <f aca="false">IF($A530="","",IFERROR(INDEX(Enrichment!$A$2:$GZ$2000,MATCH($A530,INDEX(Enrichment!$A$2:$GZ$2000,0,MATCH("row_id",Enrichment!$A$1:$GZ$1,0)),0),MATCH("work_email",Enrichment!$A$1:$GZ$1,0))&amp;"",""))</f>
        <v/>
      </c>
      <c r="BD530" s="0" t="str">
        <f aca="false">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Q530" s="0" t="str">
        <f aca="false">IF($A530="","",IFERROR(INDEX(Enrichment!$A$2:$GZ$2000,MATCH($A530,INDEX(Enrichment!$A$2:$GZ$2000,0,MATCH("row_id",Enrichment!$A$1:$GZ$1,0)),0),MATCH("backup_work_email",Enrichment!$A$1:$GZ$1,0))&amp;"",""))</f>
        <v/>
      </c>
      <c r="BR530" s="0" t="str">
        <f aca="false">IF($A530="","",IF(BQ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EQ530" s="0" t="str">
        <f aca="false">IF($A530="","",IF(AH530="exact",10,IF(AH530="adjacent",5,0)))</f>
        <v/>
      </c>
      <c r="ER530" s="0" t="str">
        <f aca="false">IF($A530="","",IF(R530="Y",15,0))</f>
        <v/>
      </c>
      <c r="FS530" s="0" t="str">
        <f aca="false">IF($A530="","",IF(ISNUMBER(MATCH(U530,{"queued","contacted","replied","call_booked","call_done","yes_in_principle","materials_sent"},0)),"Y","N"))</f>
        <v/>
      </c>
      <c r="FT530" s="0" t="str">
        <f aca="false">IF($A530="","",IF(OR(T530="Y",U530="do_not_contact",AS530&amp;""&lt;&gt;""),"Y","N"))</f>
        <v/>
      </c>
      <c r="FU530" s="0" t="str">
        <f aca="false">IF($A530="","",IF(AP530&amp;""&lt;&gt;"",AP530&amp;"",$A530))</f>
        <v/>
      </c>
      <c r="FV530" s="0" t="str">
        <f aca="false">IF($A530="","",IF(COUNTIFS($FU$2:$FU$1000,FU530,$FS$2:$FS$1000,"Y")+COUNTIFS($FU$2:$FU$1000,FU530,$FT$2:$FT$1000,"Y")&gt;0,"Y","N"))</f>
        <v/>
      </c>
      <c r="FW530" s="0" t="str">
        <f aca="false">IF($A530="","",IF(AND(U530="new",T530="N",FT530="N",AT530="Y",FV530="N"),"Y","N"))</f>
        <v/>
      </c>
      <c r="FX530" s="0" t="str">
        <f aca="false">IF($A530="","",IF(FW530&lt;&gt;"Y","N",IF(COUNTIFS($FU$2:$FU$1000,FU530,$FW$2:$FW$1000,"Y",$J$2:$J$1000,"&gt;"&amp;J530)+COUNTIFS($FU$2:$FU$1000,FU530,$FW$2:$FW$1000,"Y",$J$2:$J$1000,J530,$GD$2:$GD$1000,"&lt;"&amp;GD530)=0,"Y","N")))</f>
        <v/>
      </c>
      <c r="FY530" s="0" t="str">
        <f aca="false">IF($A530="","",IF(AND(FW530="Y",FX530="Y",Y530&amp;""&lt;&gt;""),IF(Y530&lt;=10,"Y","N"),"N"))</f>
        <v/>
      </c>
      <c r="FZ530" s="0" t="str">
        <f aca="false">IF(FY530="Y",Y530,"")</f>
        <v/>
      </c>
      <c r="GA530" s="0" t="str">
        <f aca="false">IF($A530="","",IF(AND(I530="walk-in",CN530="pass",U530="new",FT530="N",FV530="N",AQ530&lt;&gt;"Y"),"Y","N"))</f>
        <v/>
      </c>
      <c r="GB530" s="0" t="str">
        <f aca="false">IF(GA530&lt;&gt;"Y","",IF(COUNTIFS($GA$2:$GA$1000,"Y",$J$2:$J$1000,"&gt;"&amp;J530)+COUNTIFS($GA$2:$GA$1000,"Y",$J$2:$J$1000,J530,$GD$2:$GD$1000,"&lt;"&amp;GD530)+1&lt;=25,COUNTIFS($GA$2:$GA$1000,"Y",$J$2:$J$1000,"&gt;"&amp;J530)+COUNTIFS($GA$2:$GA$1000,"Y",$J$2:$J$1000,J530,$GD$2:$GD$1000,"&lt;"&amp;GD530)+1,""))</f>
        <v/>
      </c>
      <c r="GC530" s="0" t="str">
        <f aca="false">IF(AND(_xlfn.ISFORMULA(C530),_xlfn.ISFORMULA(J530)),"Y","N")</f>
        <v>Y</v>
      </c>
      <c r="GD530" s="0" t="n">
        <f aca="false">ROW()-1</f>
        <v>529</v>
      </c>
    </row>
    <row r="531" customFormat="false" ht="15" hidden="false" customHeight="false" outlineLevel="0" collapsed="false">
      <c r="C531" s="0" t="str">
        <f aca="false">IF($A531="","",IF(AW531="Y",BM531&amp;"",AY531&amp;""))</f>
        <v/>
      </c>
      <c r="D531" s="0" t="str">
        <f aca="false">IF($A531="","",IF(AW531="Y",BN531&amp;"",AZ531&amp;""))</f>
        <v/>
      </c>
      <c r="E531" s="0" t="str">
        <f aca="false">IF($A531="","",IF(AW531="Y",BO531&amp;"",BA531&amp;""))</f>
        <v/>
      </c>
      <c r="F531" s="0" t="str">
        <f aca="false">IF($A531="","",IF(AW531="Y",BP531&amp;"",BB531&amp;""))</f>
        <v/>
      </c>
      <c r="G531" s="0" t="str">
        <f aca="false">IF($A531="","",IF(AW531="Y",BQ531&amp;"",BC531&amp;""))</f>
        <v/>
      </c>
      <c r="H531" s="0" t="str">
        <f aca="false">IF($A531="","",IF(AW531="Y",BR531&amp;"",BD531&amp;""))</f>
        <v/>
      </c>
      <c r="I531" s="0" t="str">
        <f aca="false">IF($A531="","",IF(R531="Y","warm-intro",IF(H531="verified","email",IF(C531&lt;&gt;"","linkedin",CB531&amp;""))))</f>
        <v/>
      </c>
      <c r="J531" s="0" t="str">
        <f aca="false">IF($A531="","",IF(CN531="pass",ROUND(N(EM531)+N(EN531)+N(EO531)+N(EP531)+N(EQ531)+N(ER531),1),0))</f>
        <v/>
      </c>
      <c r="K531" s="0" t="str">
        <f aca="false">IF($A531="","",IF(CN531&lt;&gt;"pass",CA531&amp;"",CA531&amp;"; "&amp;IF(AW531="Y",BZ531&amp;"",BL531&amp;"")&amp;IF(R531="Y","; known to the founder (+15)","")&amp;"."))</f>
        <v/>
      </c>
      <c r="R531" s="5"/>
      <c r="U531" s="5"/>
      <c r="Y531" s="0" t="str">
        <f aca="false">IF(FX531&lt;&gt;"Y","",COUNTIFS($FX$2:$FX$1000,"Y",$J$2:$J$1000,"&gt;"&amp;J531)+COUNTIFS($FX$2:$FX$1000,"Y",$J$2:$J$1000,J531,$GD$2:$GD$1000,"&lt;"&amp;GD531)+1)</f>
        <v/>
      </c>
      <c r="AB531" s="0" t="str">
        <f aca="false">IF($A531="","",IF(AW531="Y",BY531&amp;"",BK531&amp;""))</f>
        <v/>
      </c>
      <c r="AC531" s="0" t="str">
        <f aca="false">IF($A531="","",IF(AW531="Y",BS531&amp;"",BE531&amp;""))</f>
        <v/>
      </c>
      <c r="AD531" s="0" t="str">
        <f aca="false">IF($A531="","",IF(AW531="Y",BT531&amp;"",BF531&amp;""))</f>
        <v/>
      </c>
      <c r="AE531" s="0" t="str">
        <f aca="false">IF($A531="","",IF(AW531="Y",BU531&amp;"",BG531&amp;""))</f>
        <v/>
      </c>
      <c r="AF531" s="0" t="str">
        <f aca="false">IF($A531="","",IF(AW531="Y",BV531&amp;"",BH531&amp;""))</f>
        <v/>
      </c>
      <c r="AG531" s="0" t="str">
        <f aca="false">IF($A531="","",IF(AW531="Y",BW531&amp;"",BI531&amp;""))</f>
        <v/>
      </c>
      <c r="AH531" s="0" t="str">
        <f aca="false">IF($A531="","",IF(AW531="Y",BX531&amp;"",BJ531&amp;""))</f>
        <v/>
      </c>
      <c r="AQ531" s="5"/>
      <c r="AT531" s="0" t="str">
        <f aca="false">IF($A531="","",IF(AND(CN531="pass",AQ531&lt;&gt;"Y",C531&lt;&gt;"",OR(AX531&lt;&gt;"Y",AV531="Y")),"Y","N"))</f>
        <v/>
      </c>
      <c r="AU531" s="0" t="str">
        <f aca="false">IF($A531="","",_xlfn.TEXTJOIN("; ",TRUE(),IF(CN531&lt;&gt;"pass","gated out",""),IF(AQ531="Y","on hold: "&amp;AR531,""),IF(C531="","no contact named on an opened page",""),IF(AND(AX531="Y",AV531&lt;&gt;"Y"),"Tuesday estimate band "&amp;L531&amp;": founder's call","")))</f>
        <v/>
      </c>
      <c r="BC531" s="0" t="str">
        <f aca="false">IF($A531="","",IFERROR(INDEX(Enrichment!$A$2:$GZ$2000,MATCH($A531,INDEX(Enrichment!$A$2:$GZ$2000,0,MATCH("row_id",Enrichment!$A$1:$GZ$1,0)),0),MATCH("work_email",Enrichment!$A$1:$GZ$1,0))&amp;"",""))</f>
        <v/>
      </c>
      <c r="BD531" s="0" t="str">
        <f aca="false">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Q531" s="0" t="str">
        <f aca="false">IF($A531="","",IFERROR(INDEX(Enrichment!$A$2:$GZ$2000,MATCH($A531,INDEX(Enrichment!$A$2:$GZ$2000,0,MATCH("row_id",Enrichment!$A$1:$GZ$1,0)),0),MATCH("backup_work_email",Enrichment!$A$1:$GZ$1,0))&amp;"",""))</f>
        <v/>
      </c>
      <c r="BR531" s="0" t="str">
        <f aca="false">IF($A531="","",IF(BQ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EQ531" s="0" t="str">
        <f aca="false">IF($A531="","",IF(AH531="exact",10,IF(AH531="adjacent",5,0)))</f>
        <v/>
      </c>
      <c r="ER531" s="0" t="str">
        <f aca="false">IF($A531="","",IF(R531="Y",15,0))</f>
        <v/>
      </c>
      <c r="FS531" s="0" t="str">
        <f aca="false">IF($A531="","",IF(ISNUMBER(MATCH(U531,{"queued","contacted","replied","call_booked","call_done","yes_in_principle","materials_sent"},0)),"Y","N"))</f>
        <v/>
      </c>
      <c r="FT531" s="0" t="str">
        <f aca="false">IF($A531="","",IF(OR(T531="Y",U531="do_not_contact",AS531&amp;""&lt;&gt;""),"Y","N"))</f>
        <v/>
      </c>
      <c r="FU531" s="0" t="str">
        <f aca="false">IF($A531="","",IF(AP531&amp;""&lt;&gt;"",AP531&amp;"",$A531))</f>
        <v/>
      </c>
      <c r="FV531" s="0" t="str">
        <f aca="false">IF($A531="","",IF(COUNTIFS($FU$2:$FU$1000,FU531,$FS$2:$FS$1000,"Y")+COUNTIFS($FU$2:$FU$1000,FU531,$FT$2:$FT$1000,"Y")&gt;0,"Y","N"))</f>
        <v/>
      </c>
      <c r="FW531" s="0" t="str">
        <f aca="false">IF($A531="","",IF(AND(U531="new",T531="N",FT531="N",AT531="Y",FV531="N"),"Y","N"))</f>
        <v/>
      </c>
      <c r="FX531" s="0" t="str">
        <f aca="false">IF($A531="","",IF(FW531&lt;&gt;"Y","N",IF(COUNTIFS($FU$2:$FU$1000,FU531,$FW$2:$FW$1000,"Y",$J$2:$J$1000,"&gt;"&amp;J531)+COUNTIFS($FU$2:$FU$1000,FU531,$FW$2:$FW$1000,"Y",$J$2:$J$1000,J531,$GD$2:$GD$1000,"&lt;"&amp;GD531)=0,"Y","N")))</f>
        <v/>
      </c>
      <c r="FY531" s="0" t="str">
        <f aca="false">IF($A531="","",IF(AND(FW531="Y",FX531="Y",Y531&amp;""&lt;&gt;""),IF(Y531&lt;=10,"Y","N"),"N"))</f>
        <v/>
      </c>
      <c r="FZ531" s="0" t="str">
        <f aca="false">IF(FY531="Y",Y531,"")</f>
        <v/>
      </c>
      <c r="GA531" s="0" t="str">
        <f aca="false">IF($A531="","",IF(AND(I531="walk-in",CN531="pass",U531="new",FT531="N",FV531="N",AQ531&lt;&gt;"Y"),"Y","N"))</f>
        <v/>
      </c>
      <c r="GB531" s="0" t="str">
        <f aca="false">IF(GA531&lt;&gt;"Y","",IF(COUNTIFS($GA$2:$GA$1000,"Y",$J$2:$J$1000,"&gt;"&amp;J531)+COUNTIFS($GA$2:$GA$1000,"Y",$J$2:$J$1000,J531,$GD$2:$GD$1000,"&lt;"&amp;GD531)+1&lt;=25,COUNTIFS($GA$2:$GA$1000,"Y",$J$2:$J$1000,"&gt;"&amp;J531)+COUNTIFS($GA$2:$GA$1000,"Y",$J$2:$J$1000,J531,$GD$2:$GD$1000,"&lt;"&amp;GD531)+1,""))</f>
        <v/>
      </c>
      <c r="GC531" s="0" t="str">
        <f aca="false">IF(AND(_xlfn.ISFORMULA(C531),_xlfn.ISFORMULA(J531)),"Y","N")</f>
        <v>Y</v>
      </c>
      <c r="GD531" s="0" t="n">
        <f aca="false">ROW()-1</f>
        <v>530</v>
      </c>
    </row>
    <row r="532" customFormat="false" ht="15" hidden="false" customHeight="false" outlineLevel="0" collapsed="false">
      <c r="C532" s="0" t="str">
        <f aca="false">IF($A532="","",IF(AW532="Y",BM532&amp;"",AY532&amp;""))</f>
        <v/>
      </c>
      <c r="D532" s="0" t="str">
        <f aca="false">IF($A532="","",IF(AW532="Y",BN532&amp;"",AZ532&amp;""))</f>
        <v/>
      </c>
      <c r="E532" s="0" t="str">
        <f aca="false">IF($A532="","",IF(AW532="Y",BO532&amp;"",BA532&amp;""))</f>
        <v/>
      </c>
      <c r="F532" s="0" t="str">
        <f aca="false">IF($A532="","",IF(AW532="Y",BP532&amp;"",BB532&amp;""))</f>
        <v/>
      </c>
      <c r="G532" s="0" t="str">
        <f aca="false">IF($A532="","",IF(AW532="Y",BQ532&amp;"",BC532&amp;""))</f>
        <v/>
      </c>
      <c r="H532" s="0" t="str">
        <f aca="false">IF($A532="","",IF(AW532="Y",BR532&amp;"",BD532&amp;""))</f>
        <v/>
      </c>
      <c r="I532" s="0" t="str">
        <f aca="false">IF($A532="","",IF(R532="Y","warm-intro",IF(H532="verified","email",IF(C532&lt;&gt;"","linkedin",CB532&amp;""))))</f>
        <v/>
      </c>
      <c r="J532" s="0" t="str">
        <f aca="false">IF($A532="","",IF(CN532="pass",ROUND(N(EM532)+N(EN532)+N(EO532)+N(EP532)+N(EQ532)+N(ER532),1),0))</f>
        <v/>
      </c>
      <c r="K532" s="0" t="str">
        <f aca="false">IF($A532="","",IF(CN532&lt;&gt;"pass",CA532&amp;"",CA532&amp;"; "&amp;IF(AW532="Y",BZ532&amp;"",BL532&amp;"")&amp;IF(R532="Y","; known to the founder (+15)","")&amp;"."))</f>
        <v/>
      </c>
      <c r="R532" s="5"/>
      <c r="U532" s="5"/>
      <c r="Y532" s="0" t="str">
        <f aca="false">IF(FX532&lt;&gt;"Y","",COUNTIFS($FX$2:$FX$1000,"Y",$J$2:$J$1000,"&gt;"&amp;J532)+COUNTIFS($FX$2:$FX$1000,"Y",$J$2:$J$1000,J532,$GD$2:$GD$1000,"&lt;"&amp;GD532)+1)</f>
        <v/>
      </c>
      <c r="AB532" s="0" t="str">
        <f aca="false">IF($A532="","",IF(AW532="Y",BY532&amp;"",BK532&amp;""))</f>
        <v/>
      </c>
      <c r="AC532" s="0" t="str">
        <f aca="false">IF($A532="","",IF(AW532="Y",BS532&amp;"",BE532&amp;""))</f>
        <v/>
      </c>
      <c r="AD532" s="0" t="str">
        <f aca="false">IF($A532="","",IF(AW532="Y",BT532&amp;"",BF532&amp;""))</f>
        <v/>
      </c>
      <c r="AE532" s="0" t="str">
        <f aca="false">IF($A532="","",IF(AW532="Y",BU532&amp;"",BG532&amp;""))</f>
        <v/>
      </c>
      <c r="AF532" s="0" t="str">
        <f aca="false">IF($A532="","",IF(AW532="Y",BV532&amp;"",BH532&amp;""))</f>
        <v/>
      </c>
      <c r="AG532" s="0" t="str">
        <f aca="false">IF($A532="","",IF(AW532="Y",BW532&amp;"",BI532&amp;""))</f>
        <v/>
      </c>
      <c r="AH532" s="0" t="str">
        <f aca="false">IF($A532="","",IF(AW532="Y",BX532&amp;"",BJ532&amp;""))</f>
        <v/>
      </c>
      <c r="AQ532" s="5"/>
      <c r="AT532" s="0" t="str">
        <f aca="false">IF($A532="","",IF(AND(CN532="pass",AQ532&lt;&gt;"Y",C532&lt;&gt;"",OR(AX532&lt;&gt;"Y",AV532="Y")),"Y","N"))</f>
        <v/>
      </c>
      <c r="AU532" s="0" t="str">
        <f aca="false">IF($A532="","",_xlfn.TEXTJOIN("; ",TRUE(),IF(CN532&lt;&gt;"pass","gated out",""),IF(AQ532="Y","on hold: "&amp;AR532,""),IF(C532="","no contact named on an opened page",""),IF(AND(AX532="Y",AV532&lt;&gt;"Y"),"Tuesday estimate band "&amp;L532&amp;": founder's call","")))</f>
        <v/>
      </c>
      <c r="BC532" s="0" t="str">
        <f aca="false">IF($A532="","",IFERROR(INDEX(Enrichment!$A$2:$GZ$2000,MATCH($A532,INDEX(Enrichment!$A$2:$GZ$2000,0,MATCH("row_id",Enrichment!$A$1:$GZ$1,0)),0),MATCH("work_email",Enrichment!$A$1:$GZ$1,0))&amp;"",""))</f>
        <v/>
      </c>
      <c r="BD532" s="0" t="str">
        <f aca="false">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Q532" s="0" t="str">
        <f aca="false">IF($A532="","",IFERROR(INDEX(Enrichment!$A$2:$GZ$2000,MATCH($A532,INDEX(Enrichment!$A$2:$GZ$2000,0,MATCH("row_id",Enrichment!$A$1:$GZ$1,0)),0),MATCH("backup_work_email",Enrichment!$A$1:$GZ$1,0))&amp;"",""))</f>
        <v/>
      </c>
      <c r="BR532" s="0" t="str">
        <f aca="false">IF($A532="","",IF(BQ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EQ532" s="0" t="str">
        <f aca="false">IF($A532="","",IF(AH532="exact",10,IF(AH532="adjacent",5,0)))</f>
        <v/>
      </c>
      <c r="ER532" s="0" t="str">
        <f aca="false">IF($A532="","",IF(R532="Y",15,0))</f>
        <v/>
      </c>
      <c r="FS532" s="0" t="str">
        <f aca="false">IF($A532="","",IF(ISNUMBER(MATCH(U532,{"queued","contacted","replied","call_booked","call_done","yes_in_principle","materials_sent"},0)),"Y","N"))</f>
        <v/>
      </c>
      <c r="FT532" s="0" t="str">
        <f aca="false">IF($A532="","",IF(OR(T532="Y",U532="do_not_contact",AS532&amp;""&lt;&gt;""),"Y","N"))</f>
        <v/>
      </c>
      <c r="FU532" s="0" t="str">
        <f aca="false">IF($A532="","",IF(AP532&amp;""&lt;&gt;"",AP532&amp;"",$A532))</f>
        <v/>
      </c>
      <c r="FV532" s="0" t="str">
        <f aca="false">IF($A532="","",IF(COUNTIFS($FU$2:$FU$1000,FU532,$FS$2:$FS$1000,"Y")+COUNTIFS($FU$2:$FU$1000,FU532,$FT$2:$FT$1000,"Y")&gt;0,"Y","N"))</f>
        <v/>
      </c>
      <c r="FW532" s="0" t="str">
        <f aca="false">IF($A532="","",IF(AND(U532="new",T532="N",FT532="N",AT532="Y",FV532="N"),"Y","N"))</f>
        <v/>
      </c>
      <c r="FX532" s="0" t="str">
        <f aca="false">IF($A532="","",IF(FW532&lt;&gt;"Y","N",IF(COUNTIFS($FU$2:$FU$1000,FU532,$FW$2:$FW$1000,"Y",$J$2:$J$1000,"&gt;"&amp;J532)+COUNTIFS($FU$2:$FU$1000,FU532,$FW$2:$FW$1000,"Y",$J$2:$J$1000,J532,$GD$2:$GD$1000,"&lt;"&amp;GD532)=0,"Y","N")))</f>
        <v/>
      </c>
      <c r="FY532" s="0" t="str">
        <f aca="false">IF($A532="","",IF(AND(FW532="Y",FX532="Y",Y532&amp;""&lt;&gt;""),IF(Y532&lt;=10,"Y","N"),"N"))</f>
        <v/>
      </c>
      <c r="FZ532" s="0" t="str">
        <f aca="false">IF(FY532="Y",Y532,"")</f>
        <v/>
      </c>
      <c r="GA532" s="0" t="str">
        <f aca="false">IF($A532="","",IF(AND(I532="walk-in",CN532="pass",U532="new",FT532="N",FV532="N",AQ532&lt;&gt;"Y"),"Y","N"))</f>
        <v/>
      </c>
      <c r="GB532" s="0" t="str">
        <f aca="false">IF(GA532&lt;&gt;"Y","",IF(COUNTIFS($GA$2:$GA$1000,"Y",$J$2:$J$1000,"&gt;"&amp;J532)+COUNTIFS($GA$2:$GA$1000,"Y",$J$2:$J$1000,J532,$GD$2:$GD$1000,"&lt;"&amp;GD532)+1&lt;=25,COUNTIFS($GA$2:$GA$1000,"Y",$J$2:$J$1000,"&gt;"&amp;J532)+COUNTIFS($GA$2:$GA$1000,"Y",$J$2:$J$1000,J532,$GD$2:$GD$1000,"&lt;"&amp;GD532)+1,""))</f>
        <v/>
      </c>
      <c r="GC532" s="0" t="str">
        <f aca="false">IF(AND(_xlfn.ISFORMULA(C532),_xlfn.ISFORMULA(J532)),"Y","N")</f>
        <v>Y</v>
      </c>
      <c r="GD532" s="0" t="n">
        <f aca="false">ROW()-1</f>
        <v>531</v>
      </c>
    </row>
    <row r="533" customFormat="false" ht="15" hidden="false" customHeight="false" outlineLevel="0" collapsed="false">
      <c r="C533" s="0" t="str">
        <f aca="false">IF($A533="","",IF(AW533="Y",BM533&amp;"",AY533&amp;""))</f>
        <v/>
      </c>
      <c r="D533" s="0" t="str">
        <f aca="false">IF($A533="","",IF(AW533="Y",BN533&amp;"",AZ533&amp;""))</f>
        <v/>
      </c>
      <c r="E533" s="0" t="str">
        <f aca="false">IF($A533="","",IF(AW533="Y",BO533&amp;"",BA533&amp;""))</f>
        <v/>
      </c>
      <c r="F533" s="0" t="str">
        <f aca="false">IF($A533="","",IF(AW533="Y",BP533&amp;"",BB533&amp;""))</f>
        <v/>
      </c>
      <c r="G533" s="0" t="str">
        <f aca="false">IF($A533="","",IF(AW533="Y",BQ533&amp;"",BC533&amp;""))</f>
        <v/>
      </c>
      <c r="H533" s="0" t="str">
        <f aca="false">IF($A533="","",IF(AW533="Y",BR533&amp;"",BD533&amp;""))</f>
        <v/>
      </c>
      <c r="I533" s="0" t="str">
        <f aca="false">IF($A533="","",IF(R533="Y","warm-intro",IF(H533="verified","email",IF(C533&lt;&gt;"","linkedin",CB533&amp;""))))</f>
        <v/>
      </c>
      <c r="J533" s="0" t="str">
        <f aca="false">IF($A533="","",IF(CN533="pass",ROUND(N(EM533)+N(EN533)+N(EO533)+N(EP533)+N(EQ533)+N(ER533),1),0))</f>
        <v/>
      </c>
      <c r="K533" s="0" t="str">
        <f aca="false">IF($A533="","",IF(CN533&lt;&gt;"pass",CA533&amp;"",CA533&amp;"; "&amp;IF(AW533="Y",BZ533&amp;"",BL533&amp;"")&amp;IF(R533="Y","; known to the founder (+15)","")&amp;"."))</f>
        <v/>
      </c>
      <c r="R533" s="5"/>
      <c r="U533" s="5"/>
      <c r="Y533" s="0" t="str">
        <f aca="false">IF(FX533&lt;&gt;"Y","",COUNTIFS($FX$2:$FX$1000,"Y",$J$2:$J$1000,"&gt;"&amp;J533)+COUNTIFS($FX$2:$FX$1000,"Y",$J$2:$J$1000,J533,$GD$2:$GD$1000,"&lt;"&amp;GD533)+1)</f>
        <v/>
      </c>
      <c r="AB533" s="0" t="str">
        <f aca="false">IF($A533="","",IF(AW533="Y",BY533&amp;"",BK533&amp;""))</f>
        <v/>
      </c>
      <c r="AC533" s="0" t="str">
        <f aca="false">IF($A533="","",IF(AW533="Y",BS533&amp;"",BE533&amp;""))</f>
        <v/>
      </c>
      <c r="AD533" s="0" t="str">
        <f aca="false">IF($A533="","",IF(AW533="Y",BT533&amp;"",BF533&amp;""))</f>
        <v/>
      </c>
      <c r="AE533" s="0" t="str">
        <f aca="false">IF($A533="","",IF(AW533="Y",BU533&amp;"",BG533&amp;""))</f>
        <v/>
      </c>
      <c r="AF533" s="0" t="str">
        <f aca="false">IF($A533="","",IF(AW533="Y",BV533&amp;"",BH533&amp;""))</f>
        <v/>
      </c>
      <c r="AG533" s="0" t="str">
        <f aca="false">IF($A533="","",IF(AW533="Y",BW533&amp;"",BI533&amp;""))</f>
        <v/>
      </c>
      <c r="AH533" s="0" t="str">
        <f aca="false">IF($A533="","",IF(AW533="Y",BX533&amp;"",BJ533&amp;""))</f>
        <v/>
      </c>
      <c r="AQ533" s="5"/>
      <c r="AT533" s="0" t="str">
        <f aca="false">IF($A533="","",IF(AND(CN533="pass",AQ533&lt;&gt;"Y",C533&lt;&gt;"",OR(AX533&lt;&gt;"Y",AV533="Y")),"Y","N"))</f>
        <v/>
      </c>
      <c r="AU533" s="0" t="str">
        <f aca="false">IF($A533="","",_xlfn.TEXTJOIN("; ",TRUE(),IF(CN533&lt;&gt;"pass","gated out",""),IF(AQ533="Y","on hold: "&amp;AR533,""),IF(C533="","no contact named on an opened page",""),IF(AND(AX533="Y",AV533&lt;&gt;"Y"),"Tuesday estimate band "&amp;L533&amp;": founder's call","")))</f>
        <v/>
      </c>
      <c r="BC533" s="0" t="str">
        <f aca="false">IF($A533="","",IFERROR(INDEX(Enrichment!$A$2:$GZ$2000,MATCH($A533,INDEX(Enrichment!$A$2:$GZ$2000,0,MATCH("row_id",Enrichment!$A$1:$GZ$1,0)),0),MATCH("work_email",Enrichment!$A$1:$GZ$1,0))&amp;"",""))</f>
        <v/>
      </c>
      <c r="BD533" s="0" t="str">
        <f aca="false">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Q533" s="0" t="str">
        <f aca="false">IF($A533="","",IFERROR(INDEX(Enrichment!$A$2:$GZ$2000,MATCH($A533,INDEX(Enrichment!$A$2:$GZ$2000,0,MATCH("row_id",Enrichment!$A$1:$GZ$1,0)),0),MATCH("backup_work_email",Enrichment!$A$1:$GZ$1,0))&amp;"",""))</f>
        <v/>
      </c>
      <c r="BR533" s="0" t="str">
        <f aca="false">IF($A533="","",IF(BQ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EQ533" s="0" t="str">
        <f aca="false">IF($A533="","",IF(AH533="exact",10,IF(AH533="adjacent",5,0)))</f>
        <v/>
      </c>
      <c r="ER533" s="0" t="str">
        <f aca="false">IF($A533="","",IF(R533="Y",15,0))</f>
        <v/>
      </c>
      <c r="FS533" s="0" t="str">
        <f aca="false">IF($A533="","",IF(ISNUMBER(MATCH(U533,{"queued","contacted","replied","call_booked","call_done","yes_in_principle","materials_sent"},0)),"Y","N"))</f>
        <v/>
      </c>
      <c r="FT533" s="0" t="str">
        <f aca="false">IF($A533="","",IF(OR(T533="Y",U533="do_not_contact",AS533&amp;""&lt;&gt;""),"Y","N"))</f>
        <v/>
      </c>
      <c r="FU533" s="0" t="str">
        <f aca="false">IF($A533="","",IF(AP533&amp;""&lt;&gt;"",AP533&amp;"",$A533))</f>
        <v/>
      </c>
      <c r="FV533" s="0" t="str">
        <f aca="false">IF($A533="","",IF(COUNTIFS($FU$2:$FU$1000,FU533,$FS$2:$FS$1000,"Y")+COUNTIFS($FU$2:$FU$1000,FU533,$FT$2:$FT$1000,"Y")&gt;0,"Y","N"))</f>
        <v/>
      </c>
      <c r="FW533" s="0" t="str">
        <f aca="false">IF($A533="","",IF(AND(U533="new",T533="N",FT533="N",AT533="Y",FV533="N"),"Y","N"))</f>
        <v/>
      </c>
      <c r="FX533" s="0" t="str">
        <f aca="false">IF($A533="","",IF(FW533&lt;&gt;"Y","N",IF(COUNTIFS($FU$2:$FU$1000,FU533,$FW$2:$FW$1000,"Y",$J$2:$J$1000,"&gt;"&amp;J533)+COUNTIFS($FU$2:$FU$1000,FU533,$FW$2:$FW$1000,"Y",$J$2:$J$1000,J533,$GD$2:$GD$1000,"&lt;"&amp;GD533)=0,"Y","N")))</f>
        <v/>
      </c>
      <c r="FY533" s="0" t="str">
        <f aca="false">IF($A533="","",IF(AND(FW533="Y",FX533="Y",Y533&amp;""&lt;&gt;""),IF(Y533&lt;=10,"Y","N"),"N"))</f>
        <v/>
      </c>
      <c r="FZ533" s="0" t="str">
        <f aca="false">IF(FY533="Y",Y533,"")</f>
        <v/>
      </c>
      <c r="GA533" s="0" t="str">
        <f aca="false">IF($A533="","",IF(AND(I533="walk-in",CN533="pass",U533="new",FT533="N",FV533="N",AQ533&lt;&gt;"Y"),"Y","N"))</f>
        <v/>
      </c>
      <c r="GB533" s="0" t="str">
        <f aca="false">IF(GA533&lt;&gt;"Y","",IF(COUNTIFS($GA$2:$GA$1000,"Y",$J$2:$J$1000,"&gt;"&amp;J533)+COUNTIFS($GA$2:$GA$1000,"Y",$J$2:$J$1000,J533,$GD$2:$GD$1000,"&lt;"&amp;GD533)+1&lt;=25,COUNTIFS($GA$2:$GA$1000,"Y",$J$2:$J$1000,"&gt;"&amp;J533)+COUNTIFS($GA$2:$GA$1000,"Y",$J$2:$J$1000,J533,$GD$2:$GD$1000,"&lt;"&amp;GD533)+1,""))</f>
        <v/>
      </c>
      <c r="GC533" s="0" t="str">
        <f aca="false">IF(AND(_xlfn.ISFORMULA(C533),_xlfn.ISFORMULA(J533)),"Y","N")</f>
        <v>Y</v>
      </c>
      <c r="GD533" s="0" t="n">
        <f aca="false">ROW()-1</f>
        <v>532</v>
      </c>
    </row>
    <row r="534" customFormat="false" ht="15" hidden="false" customHeight="false" outlineLevel="0" collapsed="false">
      <c r="C534" s="0" t="str">
        <f aca="false">IF($A534="","",IF(AW534="Y",BM534&amp;"",AY534&amp;""))</f>
        <v/>
      </c>
      <c r="D534" s="0" t="str">
        <f aca="false">IF($A534="","",IF(AW534="Y",BN534&amp;"",AZ534&amp;""))</f>
        <v/>
      </c>
      <c r="E534" s="0" t="str">
        <f aca="false">IF($A534="","",IF(AW534="Y",BO534&amp;"",BA534&amp;""))</f>
        <v/>
      </c>
      <c r="F534" s="0" t="str">
        <f aca="false">IF($A534="","",IF(AW534="Y",BP534&amp;"",BB534&amp;""))</f>
        <v/>
      </c>
      <c r="G534" s="0" t="str">
        <f aca="false">IF($A534="","",IF(AW534="Y",BQ534&amp;"",BC534&amp;""))</f>
        <v/>
      </c>
      <c r="H534" s="0" t="str">
        <f aca="false">IF($A534="","",IF(AW534="Y",BR534&amp;"",BD534&amp;""))</f>
        <v/>
      </c>
      <c r="I534" s="0" t="str">
        <f aca="false">IF($A534="","",IF(R534="Y","warm-intro",IF(H534="verified","email",IF(C534&lt;&gt;"","linkedin",CB534&amp;""))))</f>
        <v/>
      </c>
      <c r="J534" s="0" t="str">
        <f aca="false">IF($A534="","",IF(CN534="pass",ROUND(N(EM534)+N(EN534)+N(EO534)+N(EP534)+N(EQ534)+N(ER534),1),0))</f>
        <v/>
      </c>
      <c r="K534" s="0" t="str">
        <f aca="false">IF($A534="","",IF(CN534&lt;&gt;"pass",CA534&amp;"",CA534&amp;"; "&amp;IF(AW534="Y",BZ534&amp;"",BL534&amp;"")&amp;IF(R534="Y","; known to the founder (+15)","")&amp;"."))</f>
        <v/>
      </c>
      <c r="R534" s="5"/>
      <c r="U534" s="5"/>
      <c r="Y534" s="0" t="str">
        <f aca="false">IF(FX534&lt;&gt;"Y","",COUNTIFS($FX$2:$FX$1000,"Y",$J$2:$J$1000,"&gt;"&amp;J534)+COUNTIFS($FX$2:$FX$1000,"Y",$J$2:$J$1000,J534,$GD$2:$GD$1000,"&lt;"&amp;GD534)+1)</f>
        <v/>
      </c>
      <c r="AB534" s="0" t="str">
        <f aca="false">IF($A534="","",IF(AW534="Y",BY534&amp;"",BK534&amp;""))</f>
        <v/>
      </c>
      <c r="AC534" s="0" t="str">
        <f aca="false">IF($A534="","",IF(AW534="Y",BS534&amp;"",BE534&amp;""))</f>
        <v/>
      </c>
      <c r="AD534" s="0" t="str">
        <f aca="false">IF($A534="","",IF(AW534="Y",BT534&amp;"",BF534&amp;""))</f>
        <v/>
      </c>
      <c r="AE534" s="0" t="str">
        <f aca="false">IF($A534="","",IF(AW534="Y",BU534&amp;"",BG534&amp;""))</f>
        <v/>
      </c>
      <c r="AF534" s="0" t="str">
        <f aca="false">IF($A534="","",IF(AW534="Y",BV534&amp;"",BH534&amp;""))</f>
        <v/>
      </c>
      <c r="AG534" s="0" t="str">
        <f aca="false">IF($A534="","",IF(AW534="Y",BW534&amp;"",BI534&amp;""))</f>
        <v/>
      </c>
      <c r="AH534" s="0" t="str">
        <f aca="false">IF($A534="","",IF(AW534="Y",BX534&amp;"",BJ534&amp;""))</f>
        <v/>
      </c>
      <c r="AQ534" s="5"/>
      <c r="AT534" s="0" t="str">
        <f aca="false">IF($A534="","",IF(AND(CN534="pass",AQ534&lt;&gt;"Y",C534&lt;&gt;"",OR(AX534&lt;&gt;"Y",AV534="Y")),"Y","N"))</f>
        <v/>
      </c>
      <c r="AU534" s="0" t="str">
        <f aca="false">IF($A534="","",_xlfn.TEXTJOIN("; ",TRUE(),IF(CN534&lt;&gt;"pass","gated out",""),IF(AQ534="Y","on hold: "&amp;AR534,""),IF(C534="","no contact named on an opened page",""),IF(AND(AX534="Y",AV534&lt;&gt;"Y"),"Tuesday estimate band "&amp;L534&amp;": founder's call","")))</f>
        <v/>
      </c>
      <c r="BC534" s="0" t="str">
        <f aca="false">IF($A534="","",IFERROR(INDEX(Enrichment!$A$2:$GZ$2000,MATCH($A534,INDEX(Enrichment!$A$2:$GZ$2000,0,MATCH("row_id",Enrichment!$A$1:$GZ$1,0)),0),MATCH("work_email",Enrichment!$A$1:$GZ$1,0))&amp;"",""))</f>
        <v/>
      </c>
      <c r="BD534" s="0" t="str">
        <f aca="false">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Q534" s="0" t="str">
        <f aca="false">IF($A534="","",IFERROR(INDEX(Enrichment!$A$2:$GZ$2000,MATCH($A534,INDEX(Enrichment!$A$2:$GZ$2000,0,MATCH("row_id",Enrichment!$A$1:$GZ$1,0)),0),MATCH("backup_work_email",Enrichment!$A$1:$GZ$1,0))&amp;"",""))</f>
        <v/>
      </c>
      <c r="BR534" s="0" t="str">
        <f aca="false">IF($A534="","",IF(BQ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EQ534" s="0" t="str">
        <f aca="false">IF($A534="","",IF(AH534="exact",10,IF(AH534="adjacent",5,0)))</f>
        <v/>
      </c>
      <c r="ER534" s="0" t="str">
        <f aca="false">IF($A534="","",IF(R534="Y",15,0))</f>
        <v/>
      </c>
      <c r="FS534" s="0" t="str">
        <f aca="false">IF($A534="","",IF(ISNUMBER(MATCH(U534,{"queued","contacted","replied","call_booked","call_done","yes_in_principle","materials_sent"},0)),"Y","N"))</f>
        <v/>
      </c>
      <c r="FT534" s="0" t="str">
        <f aca="false">IF($A534="","",IF(OR(T534="Y",U534="do_not_contact",AS534&amp;""&lt;&gt;""),"Y","N"))</f>
        <v/>
      </c>
      <c r="FU534" s="0" t="str">
        <f aca="false">IF($A534="","",IF(AP534&amp;""&lt;&gt;"",AP534&amp;"",$A534))</f>
        <v/>
      </c>
      <c r="FV534" s="0" t="str">
        <f aca="false">IF($A534="","",IF(COUNTIFS($FU$2:$FU$1000,FU534,$FS$2:$FS$1000,"Y")+COUNTIFS($FU$2:$FU$1000,FU534,$FT$2:$FT$1000,"Y")&gt;0,"Y","N"))</f>
        <v/>
      </c>
      <c r="FW534" s="0" t="str">
        <f aca="false">IF($A534="","",IF(AND(U534="new",T534="N",FT534="N",AT534="Y",FV534="N"),"Y","N"))</f>
        <v/>
      </c>
      <c r="FX534" s="0" t="str">
        <f aca="false">IF($A534="","",IF(FW534&lt;&gt;"Y","N",IF(COUNTIFS($FU$2:$FU$1000,FU534,$FW$2:$FW$1000,"Y",$J$2:$J$1000,"&gt;"&amp;J534)+COUNTIFS($FU$2:$FU$1000,FU534,$FW$2:$FW$1000,"Y",$J$2:$J$1000,J534,$GD$2:$GD$1000,"&lt;"&amp;GD534)=0,"Y","N")))</f>
        <v/>
      </c>
      <c r="FY534" s="0" t="str">
        <f aca="false">IF($A534="","",IF(AND(FW534="Y",FX534="Y",Y534&amp;""&lt;&gt;""),IF(Y534&lt;=10,"Y","N"),"N"))</f>
        <v/>
      </c>
      <c r="FZ534" s="0" t="str">
        <f aca="false">IF(FY534="Y",Y534,"")</f>
        <v/>
      </c>
      <c r="GA534" s="0" t="str">
        <f aca="false">IF($A534="","",IF(AND(I534="walk-in",CN534="pass",U534="new",FT534="N",FV534="N",AQ534&lt;&gt;"Y"),"Y","N"))</f>
        <v/>
      </c>
      <c r="GB534" s="0" t="str">
        <f aca="false">IF(GA534&lt;&gt;"Y","",IF(COUNTIFS($GA$2:$GA$1000,"Y",$J$2:$J$1000,"&gt;"&amp;J534)+COUNTIFS($GA$2:$GA$1000,"Y",$J$2:$J$1000,J534,$GD$2:$GD$1000,"&lt;"&amp;GD534)+1&lt;=25,COUNTIFS($GA$2:$GA$1000,"Y",$J$2:$J$1000,"&gt;"&amp;J534)+COUNTIFS($GA$2:$GA$1000,"Y",$J$2:$J$1000,J534,$GD$2:$GD$1000,"&lt;"&amp;GD534)+1,""))</f>
        <v/>
      </c>
      <c r="GC534" s="0" t="str">
        <f aca="false">IF(AND(_xlfn.ISFORMULA(C534),_xlfn.ISFORMULA(J534)),"Y","N")</f>
        <v>Y</v>
      </c>
      <c r="GD534" s="0" t="n">
        <f aca="false">ROW()-1</f>
        <v>533</v>
      </c>
    </row>
    <row r="535" customFormat="false" ht="15" hidden="false" customHeight="false" outlineLevel="0" collapsed="false">
      <c r="C535" s="0" t="str">
        <f aca="false">IF($A535="","",IF(AW535="Y",BM535&amp;"",AY535&amp;""))</f>
        <v/>
      </c>
      <c r="D535" s="0" t="str">
        <f aca="false">IF($A535="","",IF(AW535="Y",BN535&amp;"",AZ535&amp;""))</f>
        <v/>
      </c>
      <c r="E535" s="0" t="str">
        <f aca="false">IF($A535="","",IF(AW535="Y",BO535&amp;"",BA535&amp;""))</f>
        <v/>
      </c>
      <c r="F535" s="0" t="str">
        <f aca="false">IF($A535="","",IF(AW535="Y",BP535&amp;"",BB535&amp;""))</f>
        <v/>
      </c>
      <c r="G535" s="0" t="str">
        <f aca="false">IF($A535="","",IF(AW535="Y",BQ535&amp;"",BC535&amp;""))</f>
        <v/>
      </c>
      <c r="H535" s="0" t="str">
        <f aca="false">IF($A535="","",IF(AW535="Y",BR535&amp;"",BD535&amp;""))</f>
        <v/>
      </c>
      <c r="I535" s="0" t="str">
        <f aca="false">IF($A535="","",IF(R535="Y","warm-intro",IF(H535="verified","email",IF(C535&lt;&gt;"","linkedin",CB535&amp;""))))</f>
        <v/>
      </c>
      <c r="J535" s="0" t="str">
        <f aca="false">IF($A535="","",IF(CN535="pass",ROUND(N(EM535)+N(EN535)+N(EO535)+N(EP535)+N(EQ535)+N(ER535),1),0))</f>
        <v/>
      </c>
      <c r="K535" s="0" t="str">
        <f aca="false">IF($A535="","",IF(CN535&lt;&gt;"pass",CA535&amp;"",CA535&amp;"; "&amp;IF(AW535="Y",BZ535&amp;"",BL535&amp;"")&amp;IF(R535="Y","; known to the founder (+15)","")&amp;"."))</f>
        <v/>
      </c>
      <c r="R535" s="5"/>
      <c r="U535" s="5"/>
      <c r="Y535" s="0" t="str">
        <f aca="false">IF(FX535&lt;&gt;"Y","",COUNTIFS($FX$2:$FX$1000,"Y",$J$2:$J$1000,"&gt;"&amp;J535)+COUNTIFS($FX$2:$FX$1000,"Y",$J$2:$J$1000,J535,$GD$2:$GD$1000,"&lt;"&amp;GD535)+1)</f>
        <v/>
      </c>
      <c r="AB535" s="0" t="str">
        <f aca="false">IF($A535="","",IF(AW535="Y",BY535&amp;"",BK535&amp;""))</f>
        <v/>
      </c>
      <c r="AC535" s="0" t="str">
        <f aca="false">IF($A535="","",IF(AW535="Y",BS535&amp;"",BE535&amp;""))</f>
        <v/>
      </c>
      <c r="AD535" s="0" t="str">
        <f aca="false">IF($A535="","",IF(AW535="Y",BT535&amp;"",BF535&amp;""))</f>
        <v/>
      </c>
      <c r="AE535" s="0" t="str">
        <f aca="false">IF($A535="","",IF(AW535="Y",BU535&amp;"",BG535&amp;""))</f>
        <v/>
      </c>
      <c r="AF535" s="0" t="str">
        <f aca="false">IF($A535="","",IF(AW535="Y",BV535&amp;"",BH535&amp;""))</f>
        <v/>
      </c>
      <c r="AG535" s="0" t="str">
        <f aca="false">IF($A535="","",IF(AW535="Y",BW535&amp;"",BI535&amp;""))</f>
        <v/>
      </c>
      <c r="AH535" s="0" t="str">
        <f aca="false">IF($A535="","",IF(AW535="Y",BX535&amp;"",BJ535&amp;""))</f>
        <v/>
      </c>
      <c r="AQ535" s="5"/>
      <c r="AT535" s="0" t="str">
        <f aca="false">IF($A535="","",IF(AND(CN535="pass",AQ535&lt;&gt;"Y",C535&lt;&gt;"",OR(AX535&lt;&gt;"Y",AV535="Y")),"Y","N"))</f>
        <v/>
      </c>
      <c r="AU535" s="0" t="str">
        <f aca="false">IF($A535="","",_xlfn.TEXTJOIN("; ",TRUE(),IF(CN535&lt;&gt;"pass","gated out",""),IF(AQ535="Y","on hold: "&amp;AR535,""),IF(C535="","no contact named on an opened page",""),IF(AND(AX535="Y",AV535&lt;&gt;"Y"),"Tuesday estimate band "&amp;L535&amp;": founder's call","")))</f>
        <v/>
      </c>
      <c r="BC535" s="0" t="str">
        <f aca="false">IF($A535="","",IFERROR(INDEX(Enrichment!$A$2:$GZ$2000,MATCH($A535,INDEX(Enrichment!$A$2:$GZ$2000,0,MATCH("row_id",Enrichment!$A$1:$GZ$1,0)),0),MATCH("work_email",Enrichment!$A$1:$GZ$1,0))&amp;"",""))</f>
        <v/>
      </c>
      <c r="BD535" s="0" t="str">
        <f aca="false">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Q535" s="0" t="str">
        <f aca="false">IF($A535="","",IFERROR(INDEX(Enrichment!$A$2:$GZ$2000,MATCH($A535,INDEX(Enrichment!$A$2:$GZ$2000,0,MATCH("row_id",Enrichment!$A$1:$GZ$1,0)),0),MATCH("backup_work_email",Enrichment!$A$1:$GZ$1,0))&amp;"",""))</f>
        <v/>
      </c>
      <c r="BR535" s="0" t="str">
        <f aca="false">IF($A535="","",IF(BQ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EQ535" s="0" t="str">
        <f aca="false">IF($A535="","",IF(AH535="exact",10,IF(AH535="adjacent",5,0)))</f>
        <v/>
      </c>
      <c r="ER535" s="0" t="str">
        <f aca="false">IF($A535="","",IF(R535="Y",15,0))</f>
        <v/>
      </c>
      <c r="FS535" s="0" t="str">
        <f aca="false">IF($A535="","",IF(ISNUMBER(MATCH(U535,{"queued","contacted","replied","call_booked","call_done","yes_in_principle","materials_sent"},0)),"Y","N"))</f>
        <v/>
      </c>
      <c r="FT535" s="0" t="str">
        <f aca="false">IF($A535="","",IF(OR(T535="Y",U535="do_not_contact",AS535&amp;""&lt;&gt;""),"Y","N"))</f>
        <v/>
      </c>
      <c r="FU535" s="0" t="str">
        <f aca="false">IF($A535="","",IF(AP535&amp;""&lt;&gt;"",AP535&amp;"",$A535))</f>
        <v/>
      </c>
      <c r="FV535" s="0" t="str">
        <f aca="false">IF($A535="","",IF(COUNTIFS($FU$2:$FU$1000,FU535,$FS$2:$FS$1000,"Y")+COUNTIFS($FU$2:$FU$1000,FU535,$FT$2:$FT$1000,"Y")&gt;0,"Y","N"))</f>
        <v/>
      </c>
      <c r="FW535" s="0" t="str">
        <f aca="false">IF($A535="","",IF(AND(U535="new",T535="N",FT535="N",AT535="Y",FV535="N"),"Y","N"))</f>
        <v/>
      </c>
      <c r="FX535" s="0" t="str">
        <f aca="false">IF($A535="","",IF(FW535&lt;&gt;"Y","N",IF(COUNTIFS($FU$2:$FU$1000,FU535,$FW$2:$FW$1000,"Y",$J$2:$J$1000,"&gt;"&amp;J535)+COUNTIFS($FU$2:$FU$1000,FU535,$FW$2:$FW$1000,"Y",$J$2:$J$1000,J535,$GD$2:$GD$1000,"&lt;"&amp;GD535)=0,"Y","N")))</f>
        <v/>
      </c>
      <c r="FY535" s="0" t="str">
        <f aca="false">IF($A535="","",IF(AND(FW535="Y",FX535="Y",Y535&amp;""&lt;&gt;""),IF(Y535&lt;=10,"Y","N"),"N"))</f>
        <v/>
      </c>
      <c r="FZ535" s="0" t="str">
        <f aca="false">IF(FY535="Y",Y535,"")</f>
        <v/>
      </c>
      <c r="GA535" s="0" t="str">
        <f aca="false">IF($A535="","",IF(AND(I535="walk-in",CN535="pass",U535="new",FT535="N",FV535="N",AQ535&lt;&gt;"Y"),"Y","N"))</f>
        <v/>
      </c>
      <c r="GB535" s="0" t="str">
        <f aca="false">IF(GA535&lt;&gt;"Y","",IF(COUNTIFS($GA$2:$GA$1000,"Y",$J$2:$J$1000,"&gt;"&amp;J535)+COUNTIFS($GA$2:$GA$1000,"Y",$J$2:$J$1000,J535,$GD$2:$GD$1000,"&lt;"&amp;GD535)+1&lt;=25,COUNTIFS($GA$2:$GA$1000,"Y",$J$2:$J$1000,"&gt;"&amp;J535)+COUNTIFS($GA$2:$GA$1000,"Y",$J$2:$J$1000,J535,$GD$2:$GD$1000,"&lt;"&amp;GD535)+1,""))</f>
        <v/>
      </c>
      <c r="GC535" s="0" t="str">
        <f aca="false">IF(AND(_xlfn.ISFORMULA(C535),_xlfn.ISFORMULA(J535)),"Y","N")</f>
        <v>Y</v>
      </c>
      <c r="GD535" s="0" t="n">
        <f aca="false">ROW()-1</f>
        <v>534</v>
      </c>
    </row>
    <row r="536" customFormat="false" ht="15" hidden="false" customHeight="false" outlineLevel="0" collapsed="false">
      <c r="C536" s="0" t="str">
        <f aca="false">IF($A536="","",IF(AW536="Y",BM536&amp;"",AY536&amp;""))</f>
        <v/>
      </c>
      <c r="D536" s="0" t="str">
        <f aca="false">IF($A536="","",IF(AW536="Y",BN536&amp;"",AZ536&amp;""))</f>
        <v/>
      </c>
      <c r="E536" s="0" t="str">
        <f aca="false">IF($A536="","",IF(AW536="Y",BO536&amp;"",BA536&amp;""))</f>
        <v/>
      </c>
      <c r="F536" s="0" t="str">
        <f aca="false">IF($A536="","",IF(AW536="Y",BP536&amp;"",BB536&amp;""))</f>
        <v/>
      </c>
      <c r="G536" s="0" t="str">
        <f aca="false">IF($A536="","",IF(AW536="Y",BQ536&amp;"",BC536&amp;""))</f>
        <v/>
      </c>
      <c r="H536" s="0" t="str">
        <f aca="false">IF($A536="","",IF(AW536="Y",BR536&amp;"",BD536&amp;""))</f>
        <v/>
      </c>
      <c r="I536" s="0" t="str">
        <f aca="false">IF($A536="","",IF(R536="Y","warm-intro",IF(H536="verified","email",IF(C536&lt;&gt;"","linkedin",CB536&amp;""))))</f>
        <v/>
      </c>
      <c r="J536" s="0" t="str">
        <f aca="false">IF($A536="","",IF(CN536="pass",ROUND(N(EM536)+N(EN536)+N(EO536)+N(EP536)+N(EQ536)+N(ER536),1),0))</f>
        <v/>
      </c>
      <c r="K536" s="0" t="str">
        <f aca="false">IF($A536="","",IF(CN536&lt;&gt;"pass",CA536&amp;"",CA536&amp;"; "&amp;IF(AW536="Y",BZ536&amp;"",BL536&amp;"")&amp;IF(R536="Y","; known to the founder (+15)","")&amp;"."))</f>
        <v/>
      </c>
      <c r="R536" s="5"/>
      <c r="U536" s="5"/>
      <c r="Y536" s="0" t="str">
        <f aca="false">IF(FX536&lt;&gt;"Y","",COUNTIFS($FX$2:$FX$1000,"Y",$J$2:$J$1000,"&gt;"&amp;J536)+COUNTIFS($FX$2:$FX$1000,"Y",$J$2:$J$1000,J536,$GD$2:$GD$1000,"&lt;"&amp;GD536)+1)</f>
        <v/>
      </c>
      <c r="AB536" s="0" t="str">
        <f aca="false">IF($A536="","",IF(AW536="Y",BY536&amp;"",BK536&amp;""))</f>
        <v/>
      </c>
      <c r="AC536" s="0" t="str">
        <f aca="false">IF($A536="","",IF(AW536="Y",BS536&amp;"",BE536&amp;""))</f>
        <v/>
      </c>
      <c r="AD536" s="0" t="str">
        <f aca="false">IF($A536="","",IF(AW536="Y",BT536&amp;"",BF536&amp;""))</f>
        <v/>
      </c>
      <c r="AE536" s="0" t="str">
        <f aca="false">IF($A536="","",IF(AW536="Y",BU536&amp;"",BG536&amp;""))</f>
        <v/>
      </c>
      <c r="AF536" s="0" t="str">
        <f aca="false">IF($A536="","",IF(AW536="Y",BV536&amp;"",BH536&amp;""))</f>
        <v/>
      </c>
      <c r="AG536" s="0" t="str">
        <f aca="false">IF($A536="","",IF(AW536="Y",BW536&amp;"",BI536&amp;""))</f>
        <v/>
      </c>
      <c r="AH536" s="0" t="str">
        <f aca="false">IF($A536="","",IF(AW536="Y",BX536&amp;"",BJ536&amp;""))</f>
        <v/>
      </c>
      <c r="AQ536" s="5"/>
      <c r="AT536" s="0" t="str">
        <f aca="false">IF($A536="","",IF(AND(CN536="pass",AQ536&lt;&gt;"Y",C536&lt;&gt;"",OR(AX536&lt;&gt;"Y",AV536="Y")),"Y","N"))</f>
        <v/>
      </c>
      <c r="AU536" s="0" t="str">
        <f aca="false">IF($A536="","",_xlfn.TEXTJOIN("; ",TRUE(),IF(CN536&lt;&gt;"pass","gated out",""),IF(AQ536="Y","on hold: "&amp;AR536,""),IF(C536="","no contact named on an opened page",""),IF(AND(AX536="Y",AV536&lt;&gt;"Y"),"Tuesday estimate band "&amp;L536&amp;": founder's call","")))</f>
        <v/>
      </c>
      <c r="BC536" s="0" t="str">
        <f aca="false">IF($A536="","",IFERROR(INDEX(Enrichment!$A$2:$GZ$2000,MATCH($A536,INDEX(Enrichment!$A$2:$GZ$2000,0,MATCH("row_id",Enrichment!$A$1:$GZ$1,0)),0),MATCH("work_email",Enrichment!$A$1:$GZ$1,0))&amp;"",""))</f>
        <v/>
      </c>
      <c r="BD536" s="0" t="str">
        <f aca="false">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Q536" s="0" t="str">
        <f aca="false">IF($A536="","",IFERROR(INDEX(Enrichment!$A$2:$GZ$2000,MATCH($A536,INDEX(Enrichment!$A$2:$GZ$2000,0,MATCH("row_id",Enrichment!$A$1:$GZ$1,0)),0),MATCH("backup_work_email",Enrichment!$A$1:$GZ$1,0))&amp;"",""))</f>
        <v/>
      </c>
      <c r="BR536" s="0" t="str">
        <f aca="false">IF($A536="","",IF(BQ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EQ536" s="0" t="str">
        <f aca="false">IF($A536="","",IF(AH536="exact",10,IF(AH536="adjacent",5,0)))</f>
        <v/>
      </c>
      <c r="ER536" s="0" t="str">
        <f aca="false">IF($A536="","",IF(R536="Y",15,0))</f>
        <v/>
      </c>
      <c r="FS536" s="0" t="str">
        <f aca="false">IF($A536="","",IF(ISNUMBER(MATCH(U536,{"queued","contacted","replied","call_booked","call_done","yes_in_principle","materials_sent"},0)),"Y","N"))</f>
        <v/>
      </c>
      <c r="FT536" s="0" t="str">
        <f aca="false">IF($A536="","",IF(OR(T536="Y",U536="do_not_contact",AS536&amp;""&lt;&gt;""),"Y","N"))</f>
        <v/>
      </c>
      <c r="FU536" s="0" t="str">
        <f aca="false">IF($A536="","",IF(AP536&amp;""&lt;&gt;"",AP536&amp;"",$A536))</f>
        <v/>
      </c>
      <c r="FV536" s="0" t="str">
        <f aca="false">IF($A536="","",IF(COUNTIFS($FU$2:$FU$1000,FU536,$FS$2:$FS$1000,"Y")+COUNTIFS($FU$2:$FU$1000,FU536,$FT$2:$FT$1000,"Y")&gt;0,"Y","N"))</f>
        <v/>
      </c>
      <c r="FW536" s="0" t="str">
        <f aca="false">IF($A536="","",IF(AND(U536="new",T536="N",FT536="N",AT536="Y",FV536="N"),"Y","N"))</f>
        <v/>
      </c>
      <c r="FX536" s="0" t="str">
        <f aca="false">IF($A536="","",IF(FW536&lt;&gt;"Y","N",IF(COUNTIFS($FU$2:$FU$1000,FU536,$FW$2:$FW$1000,"Y",$J$2:$J$1000,"&gt;"&amp;J536)+COUNTIFS($FU$2:$FU$1000,FU536,$FW$2:$FW$1000,"Y",$J$2:$J$1000,J536,$GD$2:$GD$1000,"&lt;"&amp;GD536)=0,"Y","N")))</f>
        <v/>
      </c>
      <c r="FY536" s="0" t="str">
        <f aca="false">IF($A536="","",IF(AND(FW536="Y",FX536="Y",Y536&amp;""&lt;&gt;""),IF(Y536&lt;=10,"Y","N"),"N"))</f>
        <v/>
      </c>
      <c r="FZ536" s="0" t="str">
        <f aca="false">IF(FY536="Y",Y536,"")</f>
        <v/>
      </c>
      <c r="GA536" s="0" t="str">
        <f aca="false">IF($A536="","",IF(AND(I536="walk-in",CN536="pass",U536="new",FT536="N",FV536="N",AQ536&lt;&gt;"Y"),"Y","N"))</f>
        <v/>
      </c>
      <c r="GB536" s="0" t="str">
        <f aca="false">IF(GA536&lt;&gt;"Y","",IF(COUNTIFS($GA$2:$GA$1000,"Y",$J$2:$J$1000,"&gt;"&amp;J536)+COUNTIFS($GA$2:$GA$1000,"Y",$J$2:$J$1000,J536,$GD$2:$GD$1000,"&lt;"&amp;GD536)+1&lt;=25,COUNTIFS($GA$2:$GA$1000,"Y",$J$2:$J$1000,"&gt;"&amp;J536)+COUNTIFS($GA$2:$GA$1000,"Y",$J$2:$J$1000,J536,$GD$2:$GD$1000,"&lt;"&amp;GD536)+1,""))</f>
        <v/>
      </c>
      <c r="GC536" s="0" t="str">
        <f aca="false">IF(AND(_xlfn.ISFORMULA(C536),_xlfn.ISFORMULA(J536)),"Y","N")</f>
        <v>Y</v>
      </c>
      <c r="GD536" s="0" t="n">
        <f aca="false">ROW()-1</f>
        <v>535</v>
      </c>
    </row>
    <row r="537" customFormat="false" ht="15" hidden="false" customHeight="false" outlineLevel="0" collapsed="false">
      <c r="C537" s="0" t="str">
        <f aca="false">IF($A537="","",IF(AW537="Y",BM537&amp;"",AY537&amp;""))</f>
        <v/>
      </c>
      <c r="D537" s="0" t="str">
        <f aca="false">IF($A537="","",IF(AW537="Y",BN537&amp;"",AZ537&amp;""))</f>
        <v/>
      </c>
      <c r="E537" s="0" t="str">
        <f aca="false">IF($A537="","",IF(AW537="Y",BO537&amp;"",BA537&amp;""))</f>
        <v/>
      </c>
      <c r="F537" s="0" t="str">
        <f aca="false">IF($A537="","",IF(AW537="Y",BP537&amp;"",BB537&amp;""))</f>
        <v/>
      </c>
      <c r="G537" s="0" t="str">
        <f aca="false">IF($A537="","",IF(AW537="Y",BQ537&amp;"",BC537&amp;""))</f>
        <v/>
      </c>
      <c r="H537" s="0" t="str">
        <f aca="false">IF($A537="","",IF(AW537="Y",BR537&amp;"",BD537&amp;""))</f>
        <v/>
      </c>
      <c r="I537" s="0" t="str">
        <f aca="false">IF($A537="","",IF(R537="Y","warm-intro",IF(H537="verified","email",IF(C537&lt;&gt;"","linkedin",CB537&amp;""))))</f>
        <v/>
      </c>
      <c r="J537" s="0" t="str">
        <f aca="false">IF($A537="","",IF(CN537="pass",ROUND(N(EM537)+N(EN537)+N(EO537)+N(EP537)+N(EQ537)+N(ER537),1),0))</f>
        <v/>
      </c>
      <c r="K537" s="0" t="str">
        <f aca="false">IF($A537="","",IF(CN537&lt;&gt;"pass",CA537&amp;"",CA537&amp;"; "&amp;IF(AW537="Y",BZ537&amp;"",BL537&amp;"")&amp;IF(R537="Y","; known to the founder (+15)","")&amp;"."))</f>
        <v/>
      </c>
      <c r="R537" s="5"/>
      <c r="U537" s="5"/>
      <c r="Y537" s="0" t="str">
        <f aca="false">IF(FX537&lt;&gt;"Y","",COUNTIFS($FX$2:$FX$1000,"Y",$J$2:$J$1000,"&gt;"&amp;J537)+COUNTIFS($FX$2:$FX$1000,"Y",$J$2:$J$1000,J537,$GD$2:$GD$1000,"&lt;"&amp;GD537)+1)</f>
        <v/>
      </c>
      <c r="AB537" s="0" t="str">
        <f aca="false">IF($A537="","",IF(AW537="Y",BY537&amp;"",BK537&amp;""))</f>
        <v/>
      </c>
      <c r="AC537" s="0" t="str">
        <f aca="false">IF($A537="","",IF(AW537="Y",BS537&amp;"",BE537&amp;""))</f>
        <v/>
      </c>
      <c r="AD537" s="0" t="str">
        <f aca="false">IF($A537="","",IF(AW537="Y",BT537&amp;"",BF537&amp;""))</f>
        <v/>
      </c>
      <c r="AE537" s="0" t="str">
        <f aca="false">IF($A537="","",IF(AW537="Y",BU537&amp;"",BG537&amp;""))</f>
        <v/>
      </c>
      <c r="AF537" s="0" t="str">
        <f aca="false">IF($A537="","",IF(AW537="Y",BV537&amp;"",BH537&amp;""))</f>
        <v/>
      </c>
      <c r="AG537" s="0" t="str">
        <f aca="false">IF($A537="","",IF(AW537="Y",BW537&amp;"",BI537&amp;""))</f>
        <v/>
      </c>
      <c r="AH537" s="0" t="str">
        <f aca="false">IF($A537="","",IF(AW537="Y",BX537&amp;"",BJ537&amp;""))</f>
        <v/>
      </c>
      <c r="AQ537" s="5"/>
      <c r="AT537" s="0" t="str">
        <f aca="false">IF($A537="","",IF(AND(CN537="pass",AQ537&lt;&gt;"Y",C537&lt;&gt;"",OR(AX537&lt;&gt;"Y",AV537="Y")),"Y","N"))</f>
        <v/>
      </c>
      <c r="AU537" s="0" t="str">
        <f aca="false">IF($A537="","",_xlfn.TEXTJOIN("; ",TRUE(),IF(CN537&lt;&gt;"pass","gated out",""),IF(AQ537="Y","on hold: "&amp;AR537,""),IF(C537="","no contact named on an opened page",""),IF(AND(AX537="Y",AV537&lt;&gt;"Y"),"Tuesday estimate band "&amp;L537&amp;": founder's call","")))</f>
        <v/>
      </c>
      <c r="BC537" s="0" t="str">
        <f aca="false">IF($A537="","",IFERROR(INDEX(Enrichment!$A$2:$GZ$2000,MATCH($A537,INDEX(Enrichment!$A$2:$GZ$2000,0,MATCH("row_id",Enrichment!$A$1:$GZ$1,0)),0),MATCH("work_email",Enrichment!$A$1:$GZ$1,0))&amp;"",""))</f>
        <v/>
      </c>
      <c r="BD537" s="0" t="str">
        <f aca="false">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Q537" s="0" t="str">
        <f aca="false">IF($A537="","",IFERROR(INDEX(Enrichment!$A$2:$GZ$2000,MATCH($A537,INDEX(Enrichment!$A$2:$GZ$2000,0,MATCH("row_id",Enrichment!$A$1:$GZ$1,0)),0),MATCH("backup_work_email",Enrichment!$A$1:$GZ$1,0))&amp;"",""))</f>
        <v/>
      </c>
      <c r="BR537" s="0" t="str">
        <f aca="false">IF($A537="","",IF(BQ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EQ537" s="0" t="str">
        <f aca="false">IF($A537="","",IF(AH537="exact",10,IF(AH537="adjacent",5,0)))</f>
        <v/>
      </c>
      <c r="ER537" s="0" t="str">
        <f aca="false">IF($A537="","",IF(R537="Y",15,0))</f>
        <v/>
      </c>
      <c r="FS537" s="0" t="str">
        <f aca="false">IF($A537="","",IF(ISNUMBER(MATCH(U537,{"queued","contacted","replied","call_booked","call_done","yes_in_principle","materials_sent"},0)),"Y","N"))</f>
        <v/>
      </c>
      <c r="FT537" s="0" t="str">
        <f aca="false">IF($A537="","",IF(OR(T537="Y",U537="do_not_contact",AS537&amp;""&lt;&gt;""),"Y","N"))</f>
        <v/>
      </c>
      <c r="FU537" s="0" t="str">
        <f aca="false">IF($A537="","",IF(AP537&amp;""&lt;&gt;"",AP537&amp;"",$A537))</f>
        <v/>
      </c>
      <c r="FV537" s="0" t="str">
        <f aca="false">IF($A537="","",IF(COUNTIFS($FU$2:$FU$1000,FU537,$FS$2:$FS$1000,"Y")+COUNTIFS($FU$2:$FU$1000,FU537,$FT$2:$FT$1000,"Y")&gt;0,"Y","N"))</f>
        <v/>
      </c>
      <c r="FW537" s="0" t="str">
        <f aca="false">IF($A537="","",IF(AND(U537="new",T537="N",FT537="N",AT537="Y",FV537="N"),"Y","N"))</f>
        <v/>
      </c>
      <c r="FX537" s="0" t="str">
        <f aca="false">IF($A537="","",IF(FW537&lt;&gt;"Y","N",IF(COUNTIFS($FU$2:$FU$1000,FU537,$FW$2:$FW$1000,"Y",$J$2:$J$1000,"&gt;"&amp;J537)+COUNTIFS($FU$2:$FU$1000,FU537,$FW$2:$FW$1000,"Y",$J$2:$J$1000,J537,$GD$2:$GD$1000,"&lt;"&amp;GD537)=0,"Y","N")))</f>
        <v/>
      </c>
      <c r="FY537" s="0" t="str">
        <f aca="false">IF($A537="","",IF(AND(FW537="Y",FX537="Y",Y537&amp;""&lt;&gt;""),IF(Y537&lt;=10,"Y","N"),"N"))</f>
        <v/>
      </c>
      <c r="FZ537" s="0" t="str">
        <f aca="false">IF(FY537="Y",Y537,"")</f>
        <v/>
      </c>
      <c r="GA537" s="0" t="str">
        <f aca="false">IF($A537="","",IF(AND(I537="walk-in",CN537="pass",U537="new",FT537="N",FV537="N",AQ537&lt;&gt;"Y"),"Y","N"))</f>
        <v/>
      </c>
      <c r="GB537" s="0" t="str">
        <f aca="false">IF(GA537&lt;&gt;"Y","",IF(COUNTIFS($GA$2:$GA$1000,"Y",$J$2:$J$1000,"&gt;"&amp;J537)+COUNTIFS($GA$2:$GA$1000,"Y",$J$2:$J$1000,J537,$GD$2:$GD$1000,"&lt;"&amp;GD537)+1&lt;=25,COUNTIFS($GA$2:$GA$1000,"Y",$J$2:$J$1000,"&gt;"&amp;J537)+COUNTIFS($GA$2:$GA$1000,"Y",$J$2:$J$1000,J537,$GD$2:$GD$1000,"&lt;"&amp;GD537)+1,""))</f>
        <v/>
      </c>
      <c r="GC537" s="0" t="str">
        <f aca="false">IF(AND(_xlfn.ISFORMULA(C537),_xlfn.ISFORMULA(J537)),"Y","N")</f>
        <v>Y</v>
      </c>
      <c r="GD537" s="0" t="n">
        <f aca="false">ROW()-1</f>
        <v>536</v>
      </c>
    </row>
    <row r="538" customFormat="false" ht="15" hidden="false" customHeight="false" outlineLevel="0" collapsed="false">
      <c r="C538" s="0" t="str">
        <f aca="false">IF($A538="","",IF(AW538="Y",BM538&amp;"",AY538&amp;""))</f>
        <v/>
      </c>
      <c r="D538" s="0" t="str">
        <f aca="false">IF($A538="","",IF(AW538="Y",BN538&amp;"",AZ538&amp;""))</f>
        <v/>
      </c>
      <c r="E538" s="0" t="str">
        <f aca="false">IF($A538="","",IF(AW538="Y",BO538&amp;"",BA538&amp;""))</f>
        <v/>
      </c>
      <c r="F538" s="0" t="str">
        <f aca="false">IF($A538="","",IF(AW538="Y",BP538&amp;"",BB538&amp;""))</f>
        <v/>
      </c>
      <c r="G538" s="0" t="str">
        <f aca="false">IF($A538="","",IF(AW538="Y",BQ538&amp;"",BC538&amp;""))</f>
        <v/>
      </c>
      <c r="H538" s="0" t="str">
        <f aca="false">IF($A538="","",IF(AW538="Y",BR538&amp;"",BD538&amp;""))</f>
        <v/>
      </c>
      <c r="I538" s="0" t="str">
        <f aca="false">IF($A538="","",IF(R538="Y","warm-intro",IF(H538="verified","email",IF(C538&lt;&gt;"","linkedin",CB538&amp;""))))</f>
        <v/>
      </c>
      <c r="J538" s="0" t="str">
        <f aca="false">IF($A538="","",IF(CN538="pass",ROUND(N(EM538)+N(EN538)+N(EO538)+N(EP538)+N(EQ538)+N(ER538),1),0))</f>
        <v/>
      </c>
      <c r="K538" s="0" t="str">
        <f aca="false">IF($A538="","",IF(CN538&lt;&gt;"pass",CA538&amp;"",CA538&amp;"; "&amp;IF(AW538="Y",BZ538&amp;"",BL538&amp;"")&amp;IF(R538="Y","; known to the founder (+15)","")&amp;"."))</f>
        <v/>
      </c>
      <c r="R538" s="5"/>
      <c r="U538" s="5"/>
      <c r="Y538" s="0" t="str">
        <f aca="false">IF(FX538&lt;&gt;"Y","",COUNTIFS($FX$2:$FX$1000,"Y",$J$2:$J$1000,"&gt;"&amp;J538)+COUNTIFS($FX$2:$FX$1000,"Y",$J$2:$J$1000,J538,$GD$2:$GD$1000,"&lt;"&amp;GD538)+1)</f>
        <v/>
      </c>
      <c r="AB538" s="0" t="str">
        <f aca="false">IF($A538="","",IF(AW538="Y",BY538&amp;"",BK538&amp;""))</f>
        <v/>
      </c>
      <c r="AC538" s="0" t="str">
        <f aca="false">IF($A538="","",IF(AW538="Y",BS538&amp;"",BE538&amp;""))</f>
        <v/>
      </c>
      <c r="AD538" s="0" t="str">
        <f aca="false">IF($A538="","",IF(AW538="Y",BT538&amp;"",BF538&amp;""))</f>
        <v/>
      </c>
      <c r="AE538" s="0" t="str">
        <f aca="false">IF($A538="","",IF(AW538="Y",BU538&amp;"",BG538&amp;""))</f>
        <v/>
      </c>
      <c r="AF538" s="0" t="str">
        <f aca="false">IF($A538="","",IF(AW538="Y",BV538&amp;"",BH538&amp;""))</f>
        <v/>
      </c>
      <c r="AG538" s="0" t="str">
        <f aca="false">IF($A538="","",IF(AW538="Y",BW538&amp;"",BI538&amp;""))</f>
        <v/>
      </c>
      <c r="AH538" s="0" t="str">
        <f aca="false">IF($A538="","",IF(AW538="Y",BX538&amp;"",BJ538&amp;""))</f>
        <v/>
      </c>
      <c r="AQ538" s="5"/>
      <c r="AT538" s="0" t="str">
        <f aca="false">IF($A538="","",IF(AND(CN538="pass",AQ538&lt;&gt;"Y",C538&lt;&gt;"",OR(AX538&lt;&gt;"Y",AV538="Y")),"Y","N"))</f>
        <v/>
      </c>
      <c r="AU538" s="0" t="str">
        <f aca="false">IF($A538="","",_xlfn.TEXTJOIN("; ",TRUE(),IF(CN538&lt;&gt;"pass","gated out",""),IF(AQ538="Y","on hold: "&amp;AR538,""),IF(C538="","no contact named on an opened page",""),IF(AND(AX538="Y",AV538&lt;&gt;"Y"),"Tuesday estimate band "&amp;L538&amp;": founder's call","")))</f>
        <v/>
      </c>
      <c r="BC538" s="0" t="str">
        <f aca="false">IF($A538="","",IFERROR(INDEX(Enrichment!$A$2:$GZ$2000,MATCH($A538,INDEX(Enrichment!$A$2:$GZ$2000,0,MATCH("row_id",Enrichment!$A$1:$GZ$1,0)),0),MATCH("work_email",Enrichment!$A$1:$GZ$1,0))&amp;"",""))</f>
        <v/>
      </c>
      <c r="BD538" s="0" t="str">
        <f aca="false">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Q538" s="0" t="str">
        <f aca="false">IF($A538="","",IFERROR(INDEX(Enrichment!$A$2:$GZ$2000,MATCH($A538,INDEX(Enrichment!$A$2:$GZ$2000,0,MATCH("row_id",Enrichment!$A$1:$GZ$1,0)),0),MATCH("backup_work_email",Enrichment!$A$1:$GZ$1,0))&amp;"",""))</f>
        <v/>
      </c>
      <c r="BR538" s="0" t="str">
        <f aca="false">IF($A538="","",IF(BQ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EQ538" s="0" t="str">
        <f aca="false">IF($A538="","",IF(AH538="exact",10,IF(AH538="adjacent",5,0)))</f>
        <v/>
      </c>
      <c r="ER538" s="0" t="str">
        <f aca="false">IF($A538="","",IF(R538="Y",15,0))</f>
        <v/>
      </c>
      <c r="FS538" s="0" t="str">
        <f aca="false">IF($A538="","",IF(ISNUMBER(MATCH(U538,{"queued","contacted","replied","call_booked","call_done","yes_in_principle","materials_sent"},0)),"Y","N"))</f>
        <v/>
      </c>
      <c r="FT538" s="0" t="str">
        <f aca="false">IF($A538="","",IF(OR(T538="Y",U538="do_not_contact",AS538&amp;""&lt;&gt;""),"Y","N"))</f>
        <v/>
      </c>
      <c r="FU538" s="0" t="str">
        <f aca="false">IF($A538="","",IF(AP538&amp;""&lt;&gt;"",AP538&amp;"",$A538))</f>
        <v/>
      </c>
      <c r="FV538" s="0" t="str">
        <f aca="false">IF($A538="","",IF(COUNTIFS($FU$2:$FU$1000,FU538,$FS$2:$FS$1000,"Y")+COUNTIFS($FU$2:$FU$1000,FU538,$FT$2:$FT$1000,"Y")&gt;0,"Y","N"))</f>
        <v/>
      </c>
      <c r="FW538" s="0" t="str">
        <f aca="false">IF($A538="","",IF(AND(U538="new",T538="N",FT538="N",AT538="Y",FV538="N"),"Y","N"))</f>
        <v/>
      </c>
      <c r="FX538" s="0" t="str">
        <f aca="false">IF($A538="","",IF(FW538&lt;&gt;"Y","N",IF(COUNTIFS($FU$2:$FU$1000,FU538,$FW$2:$FW$1000,"Y",$J$2:$J$1000,"&gt;"&amp;J538)+COUNTIFS($FU$2:$FU$1000,FU538,$FW$2:$FW$1000,"Y",$J$2:$J$1000,J538,$GD$2:$GD$1000,"&lt;"&amp;GD538)=0,"Y","N")))</f>
        <v/>
      </c>
      <c r="FY538" s="0" t="str">
        <f aca="false">IF($A538="","",IF(AND(FW538="Y",FX538="Y",Y538&amp;""&lt;&gt;""),IF(Y538&lt;=10,"Y","N"),"N"))</f>
        <v/>
      </c>
      <c r="FZ538" s="0" t="str">
        <f aca="false">IF(FY538="Y",Y538,"")</f>
        <v/>
      </c>
      <c r="GA538" s="0" t="str">
        <f aca="false">IF($A538="","",IF(AND(I538="walk-in",CN538="pass",U538="new",FT538="N",FV538="N",AQ538&lt;&gt;"Y"),"Y","N"))</f>
        <v/>
      </c>
      <c r="GB538" s="0" t="str">
        <f aca="false">IF(GA538&lt;&gt;"Y","",IF(COUNTIFS($GA$2:$GA$1000,"Y",$J$2:$J$1000,"&gt;"&amp;J538)+COUNTIFS($GA$2:$GA$1000,"Y",$J$2:$J$1000,J538,$GD$2:$GD$1000,"&lt;"&amp;GD538)+1&lt;=25,COUNTIFS($GA$2:$GA$1000,"Y",$J$2:$J$1000,"&gt;"&amp;J538)+COUNTIFS($GA$2:$GA$1000,"Y",$J$2:$J$1000,J538,$GD$2:$GD$1000,"&lt;"&amp;GD538)+1,""))</f>
        <v/>
      </c>
      <c r="GC538" s="0" t="str">
        <f aca="false">IF(AND(_xlfn.ISFORMULA(C538),_xlfn.ISFORMULA(J538)),"Y","N")</f>
        <v>Y</v>
      </c>
      <c r="GD538" s="0" t="n">
        <f aca="false">ROW()-1</f>
        <v>537</v>
      </c>
    </row>
    <row r="539" customFormat="false" ht="15" hidden="false" customHeight="false" outlineLevel="0" collapsed="false">
      <c r="C539" s="0" t="str">
        <f aca="false">IF($A539="","",IF(AW539="Y",BM539&amp;"",AY539&amp;""))</f>
        <v/>
      </c>
      <c r="D539" s="0" t="str">
        <f aca="false">IF($A539="","",IF(AW539="Y",BN539&amp;"",AZ539&amp;""))</f>
        <v/>
      </c>
      <c r="E539" s="0" t="str">
        <f aca="false">IF($A539="","",IF(AW539="Y",BO539&amp;"",BA539&amp;""))</f>
        <v/>
      </c>
      <c r="F539" s="0" t="str">
        <f aca="false">IF($A539="","",IF(AW539="Y",BP539&amp;"",BB539&amp;""))</f>
        <v/>
      </c>
      <c r="G539" s="0" t="str">
        <f aca="false">IF($A539="","",IF(AW539="Y",BQ539&amp;"",BC539&amp;""))</f>
        <v/>
      </c>
      <c r="H539" s="0" t="str">
        <f aca="false">IF($A539="","",IF(AW539="Y",BR539&amp;"",BD539&amp;""))</f>
        <v/>
      </c>
      <c r="I539" s="0" t="str">
        <f aca="false">IF($A539="","",IF(R539="Y","warm-intro",IF(H539="verified","email",IF(C539&lt;&gt;"","linkedin",CB539&amp;""))))</f>
        <v/>
      </c>
      <c r="J539" s="0" t="str">
        <f aca="false">IF($A539="","",IF(CN539="pass",ROUND(N(EM539)+N(EN539)+N(EO539)+N(EP539)+N(EQ539)+N(ER539),1),0))</f>
        <v/>
      </c>
      <c r="K539" s="0" t="str">
        <f aca="false">IF($A539="","",IF(CN539&lt;&gt;"pass",CA539&amp;"",CA539&amp;"; "&amp;IF(AW539="Y",BZ539&amp;"",BL539&amp;"")&amp;IF(R539="Y","; known to the founder (+15)","")&amp;"."))</f>
        <v/>
      </c>
      <c r="R539" s="5"/>
      <c r="U539" s="5"/>
      <c r="Y539" s="0" t="str">
        <f aca="false">IF(FX539&lt;&gt;"Y","",COUNTIFS($FX$2:$FX$1000,"Y",$J$2:$J$1000,"&gt;"&amp;J539)+COUNTIFS($FX$2:$FX$1000,"Y",$J$2:$J$1000,J539,$GD$2:$GD$1000,"&lt;"&amp;GD539)+1)</f>
        <v/>
      </c>
      <c r="AB539" s="0" t="str">
        <f aca="false">IF($A539="","",IF(AW539="Y",BY539&amp;"",BK539&amp;""))</f>
        <v/>
      </c>
      <c r="AC539" s="0" t="str">
        <f aca="false">IF($A539="","",IF(AW539="Y",BS539&amp;"",BE539&amp;""))</f>
        <v/>
      </c>
      <c r="AD539" s="0" t="str">
        <f aca="false">IF($A539="","",IF(AW539="Y",BT539&amp;"",BF539&amp;""))</f>
        <v/>
      </c>
      <c r="AE539" s="0" t="str">
        <f aca="false">IF($A539="","",IF(AW539="Y",BU539&amp;"",BG539&amp;""))</f>
        <v/>
      </c>
      <c r="AF539" s="0" t="str">
        <f aca="false">IF($A539="","",IF(AW539="Y",BV539&amp;"",BH539&amp;""))</f>
        <v/>
      </c>
      <c r="AG539" s="0" t="str">
        <f aca="false">IF($A539="","",IF(AW539="Y",BW539&amp;"",BI539&amp;""))</f>
        <v/>
      </c>
      <c r="AH539" s="0" t="str">
        <f aca="false">IF($A539="","",IF(AW539="Y",BX539&amp;"",BJ539&amp;""))</f>
        <v/>
      </c>
      <c r="AQ539" s="5"/>
      <c r="AT539" s="0" t="str">
        <f aca="false">IF($A539="","",IF(AND(CN539="pass",AQ539&lt;&gt;"Y",C539&lt;&gt;"",OR(AX539&lt;&gt;"Y",AV539="Y")),"Y","N"))</f>
        <v/>
      </c>
      <c r="AU539" s="0" t="str">
        <f aca="false">IF($A539="","",_xlfn.TEXTJOIN("; ",TRUE(),IF(CN539&lt;&gt;"pass","gated out",""),IF(AQ539="Y","on hold: "&amp;AR539,""),IF(C539="","no contact named on an opened page",""),IF(AND(AX539="Y",AV539&lt;&gt;"Y"),"Tuesday estimate band "&amp;L539&amp;": founder's call","")))</f>
        <v/>
      </c>
      <c r="BC539" s="0" t="str">
        <f aca="false">IF($A539="","",IFERROR(INDEX(Enrichment!$A$2:$GZ$2000,MATCH($A539,INDEX(Enrichment!$A$2:$GZ$2000,0,MATCH("row_id",Enrichment!$A$1:$GZ$1,0)),0),MATCH("work_email",Enrichment!$A$1:$GZ$1,0))&amp;"",""))</f>
        <v/>
      </c>
      <c r="BD539" s="0" t="str">
        <f aca="false">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Q539" s="0" t="str">
        <f aca="false">IF($A539="","",IFERROR(INDEX(Enrichment!$A$2:$GZ$2000,MATCH($A539,INDEX(Enrichment!$A$2:$GZ$2000,0,MATCH("row_id",Enrichment!$A$1:$GZ$1,0)),0),MATCH("backup_work_email",Enrichment!$A$1:$GZ$1,0))&amp;"",""))</f>
        <v/>
      </c>
      <c r="BR539" s="0" t="str">
        <f aca="false">IF($A539="","",IF(BQ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EQ539" s="0" t="str">
        <f aca="false">IF($A539="","",IF(AH539="exact",10,IF(AH539="adjacent",5,0)))</f>
        <v/>
      </c>
      <c r="ER539" s="0" t="str">
        <f aca="false">IF($A539="","",IF(R539="Y",15,0))</f>
        <v/>
      </c>
      <c r="FS539" s="0" t="str">
        <f aca="false">IF($A539="","",IF(ISNUMBER(MATCH(U539,{"queued","contacted","replied","call_booked","call_done","yes_in_principle","materials_sent"},0)),"Y","N"))</f>
        <v/>
      </c>
      <c r="FT539" s="0" t="str">
        <f aca="false">IF($A539="","",IF(OR(T539="Y",U539="do_not_contact",AS539&amp;""&lt;&gt;""),"Y","N"))</f>
        <v/>
      </c>
      <c r="FU539" s="0" t="str">
        <f aca="false">IF($A539="","",IF(AP539&amp;""&lt;&gt;"",AP539&amp;"",$A539))</f>
        <v/>
      </c>
      <c r="FV539" s="0" t="str">
        <f aca="false">IF($A539="","",IF(COUNTIFS($FU$2:$FU$1000,FU539,$FS$2:$FS$1000,"Y")+COUNTIFS($FU$2:$FU$1000,FU539,$FT$2:$FT$1000,"Y")&gt;0,"Y","N"))</f>
        <v/>
      </c>
      <c r="FW539" s="0" t="str">
        <f aca="false">IF($A539="","",IF(AND(U539="new",T539="N",FT539="N",AT539="Y",FV539="N"),"Y","N"))</f>
        <v/>
      </c>
      <c r="FX539" s="0" t="str">
        <f aca="false">IF($A539="","",IF(FW539&lt;&gt;"Y","N",IF(COUNTIFS($FU$2:$FU$1000,FU539,$FW$2:$FW$1000,"Y",$J$2:$J$1000,"&gt;"&amp;J539)+COUNTIFS($FU$2:$FU$1000,FU539,$FW$2:$FW$1000,"Y",$J$2:$J$1000,J539,$GD$2:$GD$1000,"&lt;"&amp;GD539)=0,"Y","N")))</f>
        <v/>
      </c>
      <c r="FY539" s="0" t="str">
        <f aca="false">IF($A539="","",IF(AND(FW539="Y",FX539="Y",Y539&amp;""&lt;&gt;""),IF(Y539&lt;=10,"Y","N"),"N"))</f>
        <v/>
      </c>
      <c r="FZ539" s="0" t="str">
        <f aca="false">IF(FY539="Y",Y539,"")</f>
        <v/>
      </c>
      <c r="GA539" s="0" t="str">
        <f aca="false">IF($A539="","",IF(AND(I539="walk-in",CN539="pass",U539="new",FT539="N",FV539="N",AQ539&lt;&gt;"Y"),"Y","N"))</f>
        <v/>
      </c>
      <c r="GB539" s="0" t="str">
        <f aca="false">IF(GA539&lt;&gt;"Y","",IF(COUNTIFS($GA$2:$GA$1000,"Y",$J$2:$J$1000,"&gt;"&amp;J539)+COUNTIFS($GA$2:$GA$1000,"Y",$J$2:$J$1000,J539,$GD$2:$GD$1000,"&lt;"&amp;GD539)+1&lt;=25,COUNTIFS($GA$2:$GA$1000,"Y",$J$2:$J$1000,"&gt;"&amp;J539)+COUNTIFS($GA$2:$GA$1000,"Y",$J$2:$J$1000,J539,$GD$2:$GD$1000,"&lt;"&amp;GD539)+1,""))</f>
        <v/>
      </c>
      <c r="GC539" s="0" t="str">
        <f aca="false">IF(AND(_xlfn.ISFORMULA(C539),_xlfn.ISFORMULA(J539)),"Y","N")</f>
        <v>Y</v>
      </c>
      <c r="GD539" s="0" t="n">
        <f aca="false">ROW()-1</f>
        <v>538</v>
      </c>
    </row>
    <row r="540" customFormat="false" ht="15" hidden="false" customHeight="false" outlineLevel="0" collapsed="false">
      <c r="C540" s="0" t="str">
        <f aca="false">IF($A540="","",IF(AW540="Y",BM540&amp;"",AY540&amp;""))</f>
        <v/>
      </c>
      <c r="D540" s="0" t="str">
        <f aca="false">IF($A540="","",IF(AW540="Y",BN540&amp;"",AZ540&amp;""))</f>
        <v/>
      </c>
      <c r="E540" s="0" t="str">
        <f aca="false">IF($A540="","",IF(AW540="Y",BO540&amp;"",BA540&amp;""))</f>
        <v/>
      </c>
      <c r="F540" s="0" t="str">
        <f aca="false">IF($A540="","",IF(AW540="Y",BP540&amp;"",BB540&amp;""))</f>
        <v/>
      </c>
      <c r="G540" s="0" t="str">
        <f aca="false">IF($A540="","",IF(AW540="Y",BQ540&amp;"",BC540&amp;""))</f>
        <v/>
      </c>
      <c r="H540" s="0" t="str">
        <f aca="false">IF($A540="","",IF(AW540="Y",BR540&amp;"",BD540&amp;""))</f>
        <v/>
      </c>
      <c r="I540" s="0" t="str">
        <f aca="false">IF($A540="","",IF(R540="Y","warm-intro",IF(H540="verified","email",IF(C540&lt;&gt;"","linkedin",CB540&amp;""))))</f>
        <v/>
      </c>
      <c r="J540" s="0" t="str">
        <f aca="false">IF($A540="","",IF(CN540="pass",ROUND(N(EM540)+N(EN540)+N(EO540)+N(EP540)+N(EQ540)+N(ER540),1),0))</f>
        <v/>
      </c>
      <c r="K540" s="0" t="str">
        <f aca="false">IF($A540="","",IF(CN540&lt;&gt;"pass",CA540&amp;"",CA540&amp;"; "&amp;IF(AW540="Y",BZ540&amp;"",BL540&amp;"")&amp;IF(R540="Y","; known to the founder (+15)","")&amp;"."))</f>
        <v/>
      </c>
      <c r="R540" s="5"/>
      <c r="U540" s="5"/>
      <c r="Y540" s="0" t="str">
        <f aca="false">IF(FX540&lt;&gt;"Y","",COUNTIFS($FX$2:$FX$1000,"Y",$J$2:$J$1000,"&gt;"&amp;J540)+COUNTIFS($FX$2:$FX$1000,"Y",$J$2:$J$1000,J540,$GD$2:$GD$1000,"&lt;"&amp;GD540)+1)</f>
        <v/>
      </c>
      <c r="AB540" s="0" t="str">
        <f aca="false">IF($A540="","",IF(AW540="Y",BY540&amp;"",BK540&amp;""))</f>
        <v/>
      </c>
      <c r="AC540" s="0" t="str">
        <f aca="false">IF($A540="","",IF(AW540="Y",BS540&amp;"",BE540&amp;""))</f>
        <v/>
      </c>
      <c r="AD540" s="0" t="str">
        <f aca="false">IF($A540="","",IF(AW540="Y",BT540&amp;"",BF540&amp;""))</f>
        <v/>
      </c>
      <c r="AE540" s="0" t="str">
        <f aca="false">IF($A540="","",IF(AW540="Y",BU540&amp;"",BG540&amp;""))</f>
        <v/>
      </c>
      <c r="AF540" s="0" t="str">
        <f aca="false">IF($A540="","",IF(AW540="Y",BV540&amp;"",BH540&amp;""))</f>
        <v/>
      </c>
      <c r="AG540" s="0" t="str">
        <f aca="false">IF($A540="","",IF(AW540="Y",BW540&amp;"",BI540&amp;""))</f>
        <v/>
      </c>
      <c r="AH540" s="0" t="str">
        <f aca="false">IF($A540="","",IF(AW540="Y",BX540&amp;"",BJ540&amp;""))</f>
        <v/>
      </c>
      <c r="AQ540" s="5"/>
      <c r="AT540" s="0" t="str">
        <f aca="false">IF($A540="","",IF(AND(CN540="pass",AQ540&lt;&gt;"Y",C540&lt;&gt;"",OR(AX540&lt;&gt;"Y",AV540="Y")),"Y","N"))</f>
        <v/>
      </c>
      <c r="AU540" s="0" t="str">
        <f aca="false">IF($A540="","",_xlfn.TEXTJOIN("; ",TRUE(),IF(CN540&lt;&gt;"pass","gated out",""),IF(AQ540="Y","on hold: "&amp;AR540,""),IF(C540="","no contact named on an opened page",""),IF(AND(AX540="Y",AV540&lt;&gt;"Y"),"Tuesday estimate band "&amp;L540&amp;": founder's call","")))</f>
        <v/>
      </c>
      <c r="BC540" s="0" t="str">
        <f aca="false">IF($A540="","",IFERROR(INDEX(Enrichment!$A$2:$GZ$2000,MATCH($A540,INDEX(Enrichment!$A$2:$GZ$2000,0,MATCH("row_id",Enrichment!$A$1:$GZ$1,0)),0),MATCH("work_email",Enrichment!$A$1:$GZ$1,0))&amp;"",""))</f>
        <v/>
      </c>
      <c r="BD540" s="0" t="str">
        <f aca="false">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Q540" s="0" t="str">
        <f aca="false">IF($A540="","",IFERROR(INDEX(Enrichment!$A$2:$GZ$2000,MATCH($A540,INDEX(Enrichment!$A$2:$GZ$2000,0,MATCH("row_id",Enrichment!$A$1:$GZ$1,0)),0),MATCH("backup_work_email",Enrichment!$A$1:$GZ$1,0))&amp;"",""))</f>
        <v/>
      </c>
      <c r="BR540" s="0" t="str">
        <f aca="false">IF($A540="","",IF(BQ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EQ540" s="0" t="str">
        <f aca="false">IF($A540="","",IF(AH540="exact",10,IF(AH540="adjacent",5,0)))</f>
        <v/>
      </c>
      <c r="ER540" s="0" t="str">
        <f aca="false">IF($A540="","",IF(R540="Y",15,0))</f>
        <v/>
      </c>
      <c r="FS540" s="0" t="str">
        <f aca="false">IF($A540="","",IF(ISNUMBER(MATCH(U540,{"queued","contacted","replied","call_booked","call_done","yes_in_principle","materials_sent"},0)),"Y","N"))</f>
        <v/>
      </c>
      <c r="FT540" s="0" t="str">
        <f aca="false">IF($A540="","",IF(OR(T540="Y",U540="do_not_contact",AS540&amp;""&lt;&gt;""),"Y","N"))</f>
        <v/>
      </c>
      <c r="FU540" s="0" t="str">
        <f aca="false">IF($A540="","",IF(AP540&amp;""&lt;&gt;"",AP540&amp;"",$A540))</f>
        <v/>
      </c>
      <c r="FV540" s="0" t="str">
        <f aca="false">IF($A540="","",IF(COUNTIFS($FU$2:$FU$1000,FU540,$FS$2:$FS$1000,"Y")+COUNTIFS($FU$2:$FU$1000,FU540,$FT$2:$FT$1000,"Y")&gt;0,"Y","N"))</f>
        <v/>
      </c>
      <c r="FW540" s="0" t="str">
        <f aca="false">IF($A540="","",IF(AND(U540="new",T540="N",FT540="N",AT540="Y",FV540="N"),"Y","N"))</f>
        <v/>
      </c>
      <c r="FX540" s="0" t="str">
        <f aca="false">IF($A540="","",IF(FW540&lt;&gt;"Y","N",IF(COUNTIFS($FU$2:$FU$1000,FU540,$FW$2:$FW$1000,"Y",$J$2:$J$1000,"&gt;"&amp;J540)+COUNTIFS($FU$2:$FU$1000,FU540,$FW$2:$FW$1000,"Y",$J$2:$J$1000,J540,$GD$2:$GD$1000,"&lt;"&amp;GD540)=0,"Y","N")))</f>
        <v/>
      </c>
      <c r="FY540" s="0" t="str">
        <f aca="false">IF($A540="","",IF(AND(FW540="Y",FX540="Y",Y540&amp;""&lt;&gt;""),IF(Y540&lt;=10,"Y","N"),"N"))</f>
        <v/>
      </c>
      <c r="FZ540" s="0" t="str">
        <f aca="false">IF(FY540="Y",Y540,"")</f>
        <v/>
      </c>
      <c r="GA540" s="0" t="str">
        <f aca="false">IF($A540="","",IF(AND(I540="walk-in",CN540="pass",U540="new",FT540="N",FV540="N",AQ540&lt;&gt;"Y"),"Y","N"))</f>
        <v/>
      </c>
      <c r="GB540" s="0" t="str">
        <f aca="false">IF(GA540&lt;&gt;"Y","",IF(COUNTIFS($GA$2:$GA$1000,"Y",$J$2:$J$1000,"&gt;"&amp;J540)+COUNTIFS($GA$2:$GA$1000,"Y",$J$2:$J$1000,J540,$GD$2:$GD$1000,"&lt;"&amp;GD540)+1&lt;=25,COUNTIFS($GA$2:$GA$1000,"Y",$J$2:$J$1000,"&gt;"&amp;J540)+COUNTIFS($GA$2:$GA$1000,"Y",$J$2:$J$1000,J540,$GD$2:$GD$1000,"&lt;"&amp;GD540)+1,""))</f>
        <v/>
      </c>
      <c r="GC540" s="0" t="str">
        <f aca="false">IF(AND(_xlfn.ISFORMULA(C540),_xlfn.ISFORMULA(J540)),"Y","N")</f>
        <v>Y</v>
      </c>
      <c r="GD540" s="0" t="n">
        <f aca="false">ROW()-1</f>
        <v>539</v>
      </c>
    </row>
    <row r="541" customFormat="false" ht="15" hidden="false" customHeight="false" outlineLevel="0" collapsed="false">
      <c r="C541" s="0" t="str">
        <f aca="false">IF($A541="","",IF(AW541="Y",BM541&amp;"",AY541&amp;""))</f>
        <v/>
      </c>
      <c r="D541" s="0" t="str">
        <f aca="false">IF($A541="","",IF(AW541="Y",BN541&amp;"",AZ541&amp;""))</f>
        <v/>
      </c>
      <c r="E541" s="0" t="str">
        <f aca="false">IF($A541="","",IF(AW541="Y",BO541&amp;"",BA541&amp;""))</f>
        <v/>
      </c>
      <c r="F541" s="0" t="str">
        <f aca="false">IF($A541="","",IF(AW541="Y",BP541&amp;"",BB541&amp;""))</f>
        <v/>
      </c>
      <c r="G541" s="0" t="str">
        <f aca="false">IF($A541="","",IF(AW541="Y",BQ541&amp;"",BC541&amp;""))</f>
        <v/>
      </c>
      <c r="H541" s="0" t="str">
        <f aca="false">IF($A541="","",IF(AW541="Y",BR541&amp;"",BD541&amp;""))</f>
        <v/>
      </c>
      <c r="I541" s="0" t="str">
        <f aca="false">IF($A541="","",IF(R541="Y","warm-intro",IF(H541="verified","email",IF(C541&lt;&gt;"","linkedin",CB541&amp;""))))</f>
        <v/>
      </c>
      <c r="J541" s="0" t="str">
        <f aca="false">IF($A541="","",IF(CN541="pass",ROUND(N(EM541)+N(EN541)+N(EO541)+N(EP541)+N(EQ541)+N(ER541),1),0))</f>
        <v/>
      </c>
      <c r="K541" s="0" t="str">
        <f aca="false">IF($A541="","",IF(CN541&lt;&gt;"pass",CA541&amp;"",CA541&amp;"; "&amp;IF(AW541="Y",BZ541&amp;"",BL541&amp;"")&amp;IF(R541="Y","; known to the founder (+15)","")&amp;"."))</f>
        <v/>
      </c>
      <c r="R541" s="5"/>
      <c r="U541" s="5"/>
      <c r="Y541" s="0" t="str">
        <f aca="false">IF(FX541&lt;&gt;"Y","",COUNTIFS($FX$2:$FX$1000,"Y",$J$2:$J$1000,"&gt;"&amp;J541)+COUNTIFS($FX$2:$FX$1000,"Y",$J$2:$J$1000,J541,$GD$2:$GD$1000,"&lt;"&amp;GD541)+1)</f>
        <v/>
      </c>
      <c r="AB541" s="0" t="str">
        <f aca="false">IF($A541="","",IF(AW541="Y",BY541&amp;"",BK541&amp;""))</f>
        <v/>
      </c>
      <c r="AC541" s="0" t="str">
        <f aca="false">IF($A541="","",IF(AW541="Y",BS541&amp;"",BE541&amp;""))</f>
        <v/>
      </c>
      <c r="AD541" s="0" t="str">
        <f aca="false">IF($A541="","",IF(AW541="Y",BT541&amp;"",BF541&amp;""))</f>
        <v/>
      </c>
      <c r="AE541" s="0" t="str">
        <f aca="false">IF($A541="","",IF(AW541="Y",BU541&amp;"",BG541&amp;""))</f>
        <v/>
      </c>
      <c r="AF541" s="0" t="str">
        <f aca="false">IF($A541="","",IF(AW541="Y",BV541&amp;"",BH541&amp;""))</f>
        <v/>
      </c>
      <c r="AG541" s="0" t="str">
        <f aca="false">IF($A541="","",IF(AW541="Y",BW541&amp;"",BI541&amp;""))</f>
        <v/>
      </c>
      <c r="AH541" s="0" t="str">
        <f aca="false">IF($A541="","",IF(AW541="Y",BX541&amp;"",BJ541&amp;""))</f>
        <v/>
      </c>
      <c r="AQ541" s="5"/>
      <c r="AT541" s="0" t="str">
        <f aca="false">IF($A541="","",IF(AND(CN541="pass",AQ541&lt;&gt;"Y",C541&lt;&gt;"",OR(AX541&lt;&gt;"Y",AV541="Y")),"Y","N"))</f>
        <v/>
      </c>
      <c r="AU541" s="0" t="str">
        <f aca="false">IF($A541="","",_xlfn.TEXTJOIN("; ",TRUE(),IF(CN541&lt;&gt;"pass","gated out",""),IF(AQ541="Y","on hold: "&amp;AR541,""),IF(C541="","no contact named on an opened page",""),IF(AND(AX541="Y",AV541&lt;&gt;"Y"),"Tuesday estimate band "&amp;L541&amp;": founder's call","")))</f>
        <v/>
      </c>
      <c r="BC541" s="0" t="str">
        <f aca="false">IF($A541="","",IFERROR(INDEX(Enrichment!$A$2:$GZ$2000,MATCH($A541,INDEX(Enrichment!$A$2:$GZ$2000,0,MATCH("row_id",Enrichment!$A$1:$GZ$1,0)),0),MATCH("work_email",Enrichment!$A$1:$GZ$1,0))&amp;"",""))</f>
        <v/>
      </c>
      <c r="BD541" s="0" t="str">
        <f aca="false">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Q541" s="0" t="str">
        <f aca="false">IF($A541="","",IFERROR(INDEX(Enrichment!$A$2:$GZ$2000,MATCH($A541,INDEX(Enrichment!$A$2:$GZ$2000,0,MATCH("row_id",Enrichment!$A$1:$GZ$1,0)),0),MATCH("backup_work_email",Enrichment!$A$1:$GZ$1,0))&amp;"",""))</f>
        <v/>
      </c>
      <c r="BR541" s="0" t="str">
        <f aca="false">IF($A541="","",IF(BQ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EQ541" s="0" t="str">
        <f aca="false">IF($A541="","",IF(AH541="exact",10,IF(AH541="adjacent",5,0)))</f>
        <v/>
      </c>
      <c r="ER541" s="0" t="str">
        <f aca="false">IF($A541="","",IF(R541="Y",15,0))</f>
        <v/>
      </c>
      <c r="FS541" s="0" t="str">
        <f aca="false">IF($A541="","",IF(ISNUMBER(MATCH(U541,{"queued","contacted","replied","call_booked","call_done","yes_in_principle","materials_sent"},0)),"Y","N"))</f>
        <v/>
      </c>
      <c r="FT541" s="0" t="str">
        <f aca="false">IF($A541="","",IF(OR(T541="Y",U541="do_not_contact",AS541&amp;""&lt;&gt;""),"Y","N"))</f>
        <v/>
      </c>
      <c r="FU541" s="0" t="str">
        <f aca="false">IF($A541="","",IF(AP541&amp;""&lt;&gt;"",AP541&amp;"",$A541))</f>
        <v/>
      </c>
      <c r="FV541" s="0" t="str">
        <f aca="false">IF($A541="","",IF(COUNTIFS($FU$2:$FU$1000,FU541,$FS$2:$FS$1000,"Y")+COUNTIFS($FU$2:$FU$1000,FU541,$FT$2:$FT$1000,"Y")&gt;0,"Y","N"))</f>
        <v/>
      </c>
      <c r="FW541" s="0" t="str">
        <f aca="false">IF($A541="","",IF(AND(U541="new",T541="N",FT541="N",AT541="Y",FV541="N"),"Y","N"))</f>
        <v/>
      </c>
      <c r="FX541" s="0" t="str">
        <f aca="false">IF($A541="","",IF(FW541&lt;&gt;"Y","N",IF(COUNTIFS($FU$2:$FU$1000,FU541,$FW$2:$FW$1000,"Y",$J$2:$J$1000,"&gt;"&amp;J541)+COUNTIFS($FU$2:$FU$1000,FU541,$FW$2:$FW$1000,"Y",$J$2:$J$1000,J541,$GD$2:$GD$1000,"&lt;"&amp;GD541)=0,"Y","N")))</f>
        <v/>
      </c>
      <c r="FY541" s="0" t="str">
        <f aca="false">IF($A541="","",IF(AND(FW541="Y",FX541="Y",Y541&amp;""&lt;&gt;""),IF(Y541&lt;=10,"Y","N"),"N"))</f>
        <v/>
      </c>
      <c r="FZ541" s="0" t="str">
        <f aca="false">IF(FY541="Y",Y541,"")</f>
        <v/>
      </c>
      <c r="GA541" s="0" t="str">
        <f aca="false">IF($A541="","",IF(AND(I541="walk-in",CN541="pass",U541="new",FT541="N",FV541="N",AQ541&lt;&gt;"Y"),"Y","N"))</f>
        <v/>
      </c>
      <c r="GB541" s="0" t="str">
        <f aca="false">IF(GA541&lt;&gt;"Y","",IF(COUNTIFS($GA$2:$GA$1000,"Y",$J$2:$J$1000,"&gt;"&amp;J541)+COUNTIFS($GA$2:$GA$1000,"Y",$J$2:$J$1000,J541,$GD$2:$GD$1000,"&lt;"&amp;GD541)+1&lt;=25,COUNTIFS($GA$2:$GA$1000,"Y",$J$2:$J$1000,"&gt;"&amp;J541)+COUNTIFS($GA$2:$GA$1000,"Y",$J$2:$J$1000,J541,$GD$2:$GD$1000,"&lt;"&amp;GD541)+1,""))</f>
        <v/>
      </c>
      <c r="GC541" s="0" t="str">
        <f aca="false">IF(AND(_xlfn.ISFORMULA(C541),_xlfn.ISFORMULA(J541)),"Y","N")</f>
        <v>Y</v>
      </c>
      <c r="GD541" s="0" t="n">
        <f aca="false">ROW()-1</f>
        <v>540</v>
      </c>
    </row>
    <row r="542" customFormat="false" ht="15" hidden="false" customHeight="false" outlineLevel="0" collapsed="false">
      <c r="C542" s="0" t="str">
        <f aca="false">IF($A542="","",IF(AW542="Y",BM542&amp;"",AY542&amp;""))</f>
        <v/>
      </c>
      <c r="D542" s="0" t="str">
        <f aca="false">IF($A542="","",IF(AW542="Y",BN542&amp;"",AZ542&amp;""))</f>
        <v/>
      </c>
      <c r="E542" s="0" t="str">
        <f aca="false">IF($A542="","",IF(AW542="Y",BO542&amp;"",BA542&amp;""))</f>
        <v/>
      </c>
      <c r="F542" s="0" t="str">
        <f aca="false">IF($A542="","",IF(AW542="Y",BP542&amp;"",BB542&amp;""))</f>
        <v/>
      </c>
      <c r="G542" s="0" t="str">
        <f aca="false">IF($A542="","",IF(AW542="Y",BQ542&amp;"",BC542&amp;""))</f>
        <v/>
      </c>
      <c r="H542" s="0" t="str">
        <f aca="false">IF($A542="","",IF(AW542="Y",BR542&amp;"",BD542&amp;""))</f>
        <v/>
      </c>
      <c r="I542" s="0" t="str">
        <f aca="false">IF($A542="","",IF(R542="Y","warm-intro",IF(H542="verified","email",IF(C542&lt;&gt;"","linkedin",CB542&amp;""))))</f>
        <v/>
      </c>
      <c r="J542" s="0" t="str">
        <f aca="false">IF($A542="","",IF(CN542="pass",ROUND(N(EM542)+N(EN542)+N(EO542)+N(EP542)+N(EQ542)+N(ER542),1),0))</f>
        <v/>
      </c>
      <c r="K542" s="0" t="str">
        <f aca="false">IF($A542="","",IF(CN542&lt;&gt;"pass",CA542&amp;"",CA542&amp;"; "&amp;IF(AW542="Y",BZ542&amp;"",BL542&amp;"")&amp;IF(R542="Y","; known to the founder (+15)","")&amp;"."))</f>
        <v/>
      </c>
      <c r="R542" s="5"/>
      <c r="U542" s="5"/>
      <c r="Y542" s="0" t="str">
        <f aca="false">IF(FX542&lt;&gt;"Y","",COUNTIFS($FX$2:$FX$1000,"Y",$J$2:$J$1000,"&gt;"&amp;J542)+COUNTIFS($FX$2:$FX$1000,"Y",$J$2:$J$1000,J542,$GD$2:$GD$1000,"&lt;"&amp;GD542)+1)</f>
        <v/>
      </c>
      <c r="AB542" s="0" t="str">
        <f aca="false">IF($A542="","",IF(AW542="Y",BY542&amp;"",BK542&amp;""))</f>
        <v/>
      </c>
      <c r="AC542" s="0" t="str">
        <f aca="false">IF($A542="","",IF(AW542="Y",BS542&amp;"",BE542&amp;""))</f>
        <v/>
      </c>
      <c r="AD542" s="0" t="str">
        <f aca="false">IF($A542="","",IF(AW542="Y",BT542&amp;"",BF542&amp;""))</f>
        <v/>
      </c>
      <c r="AE542" s="0" t="str">
        <f aca="false">IF($A542="","",IF(AW542="Y",BU542&amp;"",BG542&amp;""))</f>
        <v/>
      </c>
      <c r="AF542" s="0" t="str">
        <f aca="false">IF($A542="","",IF(AW542="Y",BV542&amp;"",BH542&amp;""))</f>
        <v/>
      </c>
      <c r="AG542" s="0" t="str">
        <f aca="false">IF($A542="","",IF(AW542="Y",BW542&amp;"",BI542&amp;""))</f>
        <v/>
      </c>
      <c r="AH542" s="0" t="str">
        <f aca="false">IF($A542="","",IF(AW542="Y",BX542&amp;"",BJ542&amp;""))</f>
        <v/>
      </c>
      <c r="AQ542" s="5"/>
      <c r="AT542" s="0" t="str">
        <f aca="false">IF($A542="","",IF(AND(CN542="pass",AQ542&lt;&gt;"Y",C542&lt;&gt;"",OR(AX542&lt;&gt;"Y",AV542="Y")),"Y","N"))</f>
        <v/>
      </c>
      <c r="AU542" s="0" t="str">
        <f aca="false">IF($A542="","",_xlfn.TEXTJOIN("; ",TRUE(),IF(CN542&lt;&gt;"pass","gated out",""),IF(AQ542="Y","on hold: "&amp;AR542,""),IF(C542="","no contact named on an opened page",""),IF(AND(AX542="Y",AV542&lt;&gt;"Y"),"Tuesday estimate band "&amp;L542&amp;": founder's call","")))</f>
        <v/>
      </c>
      <c r="BC542" s="0" t="str">
        <f aca="false">IF($A542="","",IFERROR(INDEX(Enrichment!$A$2:$GZ$2000,MATCH($A542,INDEX(Enrichment!$A$2:$GZ$2000,0,MATCH("row_id",Enrichment!$A$1:$GZ$1,0)),0),MATCH("work_email",Enrichment!$A$1:$GZ$1,0))&amp;"",""))</f>
        <v/>
      </c>
      <c r="BD542" s="0" t="str">
        <f aca="false">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Q542" s="0" t="str">
        <f aca="false">IF($A542="","",IFERROR(INDEX(Enrichment!$A$2:$GZ$2000,MATCH($A542,INDEX(Enrichment!$A$2:$GZ$2000,0,MATCH("row_id",Enrichment!$A$1:$GZ$1,0)),0),MATCH("backup_work_email",Enrichment!$A$1:$GZ$1,0))&amp;"",""))</f>
        <v/>
      </c>
      <c r="BR542" s="0" t="str">
        <f aca="false">IF($A542="","",IF(BQ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EQ542" s="0" t="str">
        <f aca="false">IF($A542="","",IF(AH542="exact",10,IF(AH542="adjacent",5,0)))</f>
        <v/>
      </c>
      <c r="ER542" s="0" t="str">
        <f aca="false">IF($A542="","",IF(R542="Y",15,0))</f>
        <v/>
      </c>
      <c r="FS542" s="0" t="str">
        <f aca="false">IF($A542="","",IF(ISNUMBER(MATCH(U542,{"queued","contacted","replied","call_booked","call_done","yes_in_principle","materials_sent"},0)),"Y","N"))</f>
        <v/>
      </c>
      <c r="FT542" s="0" t="str">
        <f aca="false">IF($A542="","",IF(OR(T542="Y",U542="do_not_contact",AS542&amp;""&lt;&gt;""),"Y","N"))</f>
        <v/>
      </c>
      <c r="FU542" s="0" t="str">
        <f aca="false">IF($A542="","",IF(AP542&amp;""&lt;&gt;"",AP542&amp;"",$A542))</f>
        <v/>
      </c>
      <c r="FV542" s="0" t="str">
        <f aca="false">IF($A542="","",IF(COUNTIFS($FU$2:$FU$1000,FU542,$FS$2:$FS$1000,"Y")+COUNTIFS($FU$2:$FU$1000,FU542,$FT$2:$FT$1000,"Y")&gt;0,"Y","N"))</f>
        <v/>
      </c>
      <c r="FW542" s="0" t="str">
        <f aca="false">IF($A542="","",IF(AND(U542="new",T542="N",FT542="N",AT542="Y",FV542="N"),"Y","N"))</f>
        <v/>
      </c>
      <c r="FX542" s="0" t="str">
        <f aca="false">IF($A542="","",IF(FW542&lt;&gt;"Y","N",IF(COUNTIFS($FU$2:$FU$1000,FU542,$FW$2:$FW$1000,"Y",$J$2:$J$1000,"&gt;"&amp;J542)+COUNTIFS($FU$2:$FU$1000,FU542,$FW$2:$FW$1000,"Y",$J$2:$J$1000,J542,$GD$2:$GD$1000,"&lt;"&amp;GD542)=0,"Y","N")))</f>
        <v/>
      </c>
      <c r="FY542" s="0" t="str">
        <f aca="false">IF($A542="","",IF(AND(FW542="Y",FX542="Y",Y542&amp;""&lt;&gt;""),IF(Y542&lt;=10,"Y","N"),"N"))</f>
        <v/>
      </c>
      <c r="FZ542" s="0" t="str">
        <f aca="false">IF(FY542="Y",Y542,"")</f>
        <v/>
      </c>
      <c r="GA542" s="0" t="str">
        <f aca="false">IF($A542="","",IF(AND(I542="walk-in",CN542="pass",U542="new",FT542="N",FV542="N",AQ542&lt;&gt;"Y"),"Y","N"))</f>
        <v/>
      </c>
      <c r="GB542" s="0" t="str">
        <f aca="false">IF(GA542&lt;&gt;"Y","",IF(COUNTIFS($GA$2:$GA$1000,"Y",$J$2:$J$1000,"&gt;"&amp;J542)+COUNTIFS($GA$2:$GA$1000,"Y",$J$2:$J$1000,J542,$GD$2:$GD$1000,"&lt;"&amp;GD542)+1&lt;=25,COUNTIFS($GA$2:$GA$1000,"Y",$J$2:$J$1000,"&gt;"&amp;J542)+COUNTIFS($GA$2:$GA$1000,"Y",$J$2:$J$1000,J542,$GD$2:$GD$1000,"&lt;"&amp;GD542)+1,""))</f>
        <v/>
      </c>
      <c r="GC542" s="0" t="str">
        <f aca="false">IF(AND(_xlfn.ISFORMULA(C542),_xlfn.ISFORMULA(J542)),"Y","N")</f>
        <v>Y</v>
      </c>
      <c r="GD542" s="0" t="n">
        <f aca="false">ROW()-1</f>
        <v>541</v>
      </c>
    </row>
    <row r="543" customFormat="false" ht="15" hidden="false" customHeight="false" outlineLevel="0" collapsed="false">
      <c r="C543" s="0" t="str">
        <f aca="false">IF($A543="","",IF(AW543="Y",BM543&amp;"",AY543&amp;""))</f>
        <v/>
      </c>
      <c r="D543" s="0" t="str">
        <f aca="false">IF($A543="","",IF(AW543="Y",BN543&amp;"",AZ543&amp;""))</f>
        <v/>
      </c>
      <c r="E543" s="0" t="str">
        <f aca="false">IF($A543="","",IF(AW543="Y",BO543&amp;"",BA543&amp;""))</f>
        <v/>
      </c>
      <c r="F543" s="0" t="str">
        <f aca="false">IF($A543="","",IF(AW543="Y",BP543&amp;"",BB543&amp;""))</f>
        <v/>
      </c>
      <c r="G543" s="0" t="str">
        <f aca="false">IF($A543="","",IF(AW543="Y",BQ543&amp;"",BC543&amp;""))</f>
        <v/>
      </c>
      <c r="H543" s="0" t="str">
        <f aca="false">IF($A543="","",IF(AW543="Y",BR543&amp;"",BD543&amp;""))</f>
        <v/>
      </c>
      <c r="I543" s="0" t="str">
        <f aca="false">IF($A543="","",IF(R543="Y","warm-intro",IF(H543="verified","email",IF(C543&lt;&gt;"","linkedin",CB543&amp;""))))</f>
        <v/>
      </c>
      <c r="J543" s="0" t="str">
        <f aca="false">IF($A543="","",IF(CN543="pass",ROUND(N(EM543)+N(EN543)+N(EO543)+N(EP543)+N(EQ543)+N(ER543),1),0))</f>
        <v/>
      </c>
      <c r="K543" s="0" t="str">
        <f aca="false">IF($A543="","",IF(CN543&lt;&gt;"pass",CA543&amp;"",CA543&amp;"; "&amp;IF(AW543="Y",BZ543&amp;"",BL543&amp;"")&amp;IF(R543="Y","; known to the founder (+15)","")&amp;"."))</f>
        <v/>
      </c>
      <c r="R543" s="5"/>
      <c r="U543" s="5"/>
      <c r="Y543" s="0" t="str">
        <f aca="false">IF(FX543&lt;&gt;"Y","",COUNTIFS($FX$2:$FX$1000,"Y",$J$2:$J$1000,"&gt;"&amp;J543)+COUNTIFS($FX$2:$FX$1000,"Y",$J$2:$J$1000,J543,$GD$2:$GD$1000,"&lt;"&amp;GD543)+1)</f>
        <v/>
      </c>
      <c r="AB543" s="0" t="str">
        <f aca="false">IF($A543="","",IF(AW543="Y",BY543&amp;"",BK543&amp;""))</f>
        <v/>
      </c>
      <c r="AC543" s="0" t="str">
        <f aca="false">IF($A543="","",IF(AW543="Y",BS543&amp;"",BE543&amp;""))</f>
        <v/>
      </c>
      <c r="AD543" s="0" t="str">
        <f aca="false">IF($A543="","",IF(AW543="Y",BT543&amp;"",BF543&amp;""))</f>
        <v/>
      </c>
      <c r="AE543" s="0" t="str">
        <f aca="false">IF($A543="","",IF(AW543="Y",BU543&amp;"",BG543&amp;""))</f>
        <v/>
      </c>
      <c r="AF543" s="0" t="str">
        <f aca="false">IF($A543="","",IF(AW543="Y",BV543&amp;"",BH543&amp;""))</f>
        <v/>
      </c>
      <c r="AG543" s="0" t="str">
        <f aca="false">IF($A543="","",IF(AW543="Y",BW543&amp;"",BI543&amp;""))</f>
        <v/>
      </c>
      <c r="AH543" s="0" t="str">
        <f aca="false">IF($A543="","",IF(AW543="Y",BX543&amp;"",BJ543&amp;""))</f>
        <v/>
      </c>
      <c r="AQ543" s="5"/>
      <c r="AT543" s="0" t="str">
        <f aca="false">IF($A543="","",IF(AND(CN543="pass",AQ543&lt;&gt;"Y",C543&lt;&gt;"",OR(AX543&lt;&gt;"Y",AV543="Y")),"Y","N"))</f>
        <v/>
      </c>
      <c r="AU543" s="0" t="str">
        <f aca="false">IF($A543="","",_xlfn.TEXTJOIN("; ",TRUE(),IF(CN543&lt;&gt;"pass","gated out",""),IF(AQ543="Y","on hold: "&amp;AR543,""),IF(C543="","no contact named on an opened page",""),IF(AND(AX543="Y",AV543&lt;&gt;"Y"),"Tuesday estimate band "&amp;L543&amp;": founder's call","")))</f>
        <v/>
      </c>
      <c r="BC543" s="0" t="str">
        <f aca="false">IF($A543="","",IFERROR(INDEX(Enrichment!$A$2:$GZ$2000,MATCH($A543,INDEX(Enrichment!$A$2:$GZ$2000,0,MATCH("row_id",Enrichment!$A$1:$GZ$1,0)),0),MATCH("work_email",Enrichment!$A$1:$GZ$1,0))&amp;"",""))</f>
        <v/>
      </c>
      <c r="BD543" s="0" t="str">
        <f aca="false">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Q543" s="0" t="str">
        <f aca="false">IF($A543="","",IFERROR(INDEX(Enrichment!$A$2:$GZ$2000,MATCH($A543,INDEX(Enrichment!$A$2:$GZ$2000,0,MATCH("row_id",Enrichment!$A$1:$GZ$1,0)),0),MATCH("backup_work_email",Enrichment!$A$1:$GZ$1,0))&amp;"",""))</f>
        <v/>
      </c>
      <c r="BR543" s="0" t="str">
        <f aca="false">IF($A543="","",IF(BQ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EQ543" s="0" t="str">
        <f aca="false">IF($A543="","",IF(AH543="exact",10,IF(AH543="adjacent",5,0)))</f>
        <v/>
      </c>
      <c r="ER543" s="0" t="str">
        <f aca="false">IF($A543="","",IF(R543="Y",15,0))</f>
        <v/>
      </c>
      <c r="FS543" s="0" t="str">
        <f aca="false">IF($A543="","",IF(ISNUMBER(MATCH(U543,{"queued","contacted","replied","call_booked","call_done","yes_in_principle","materials_sent"},0)),"Y","N"))</f>
        <v/>
      </c>
      <c r="FT543" s="0" t="str">
        <f aca="false">IF($A543="","",IF(OR(T543="Y",U543="do_not_contact",AS543&amp;""&lt;&gt;""),"Y","N"))</f>
        <v/>
      </c>
      <c r="FU543" s="0" t="str">
        <f aca="false">IF($A543="","",IF(AP543&amp;""&lt;&gt;"",AP543&amp;"",$A543))</f>
        <v/>
      </c>
      <c r="FV543" s="0" t="str">
        <f aca="false">IF($A543="","",IF(COUNTIFS($FU$2:$FU$1000,FU543,$FS$2:$FS$1000,"Y")+COUNTIFS($FU$2:$FU$1000,FU543,$FT$2:$FT$1000,"Y")&gt;0,"Y","N"))</f>
        <v/>
      </c>
      <c r="FW543" s="0" t="str">
        <f aca="false">IF($A543="","",IF(AND(U543="new",T543="N",FT543="N",AT543="Y",FV543="N"),"Y","N"))</f>
        <v/>
      </c>
      <c r="FX543" s="0" t="str">
        <f aca="false">IF($A543="","",IF(FW543&lt;&gt;"Y","N",IF(COUNTIFS($FU$2:$FU$1000,FU543,$FW$2:$FW$1000,"Y",$J$2:$J$1000,"&gt;"&amp;J543)+COUNTIFS($FU$2:$FU$1000,FU543,$FW$2:$FW$1000,"Y",$J$2:$J$1000,J543,$GD$2:$GD$1000,"&lt;"&amp;GD543)=0,"Y","N")))</f>
        <v/>
      </c>
      <c r="FY543" s="0" t="str">
        <f aca="false">IF($A543="","",IF(AND(FW543="Y",FX543="Y",Y543&amp;""&lt;&gt;""),IF(Y543&lt;=10,"Y","N"),"N"))</f>
        <v/>
      </c>
      <c r="FZ543" s="0" t="str">
        <f aca="false">IF(FY543="Y",Y543,"")</f>
        <v/>
      </c>
      <c r="GA543" s="0" t="str">
        <f aca="false">IF($A543="","",IF(AND(I543="walk-in",CN543="pass",U543="new",FT543="N",FV543="N",AQ543&lt;&gt;"Y"),"Y","N"))</f>
        <v/>
      </c>
      <c r="GB543" s="0" t="str">
        <f aca="false">IF(GA543&lt;&gt;"Y","",IF(COUNTIFS($GA$2:$GA$1000,"Y",$J$2:$J$1000,"&gt;"&amp;J543)+COUNTIFS($GA$2:$GA$1000,"Y",$J$2:$J$1000,J543,$GD$2:$GD$1000,"&lt;"&amp;GD543)+1&lt;=25,COUNTIFS($GA$2:$GA$1000,"Y",$J$2:$J$1000,"&gt;"&amp;J543)+COUNTIFS($GA$2:$GA$1000,"Y",$J$2:$J$1000,J543,$GD$2:$GD$1000,"&lt;"&amp;GD543)+1,""))</f>
        <v/>
      </c>
      <c r="GC543" s="0" t="str">
        <f aca="false">IF(AND(_xlfn.ISFORMULA(C543),_xlfn.ISFORMULA(J543)),"Y","N")</f>
        <v>Y</v>
      </c>
      <c r="GD543" s="0" t="n">
        <f aca="false">ROW()-1</f>
        <v>542</v>
      </c>
    </row>
    <row r="544" customFormat="false" ht="15" hidden="false" customHeight="false" outlineLevel="0" collapsed="false">
      <c r="C544" s="0" t="str">
        <f aca="false">IF($A544="","",IF(AW544="Y",BM544&amp;"",AY544&amp;""))</f>
        <v/>
      </c>
      <c r="D544" s="0" t="str">
        <f aca="false">IF($A544="","",IF(AW544="Y",BN544&amp;"",AZ544&amp;""))</f>
        <v/>
      </c>
      <c r="E544" s="0" t="str">
        <f aca="false">IF($A544="","",IF(AW544="Y",BO544&amp;"",BA544&amp;""))</f>
        <v/>
      </c>
      <c r="F544" s="0" t="str">
        <f aca="false">IF($A544="","",IF(AW544="Y",BP544&amp;"",BB544&amp;""))</f>
        <v/>
      </c>
      <c r="G544" s="0" t="str">
        <f aca="false">IF($A544="","",IF(AW544="Y",BQ544&amp;"",BC544&amp;""))</f>
        <v/>
      </c>
      <c r="H544" s="0" t="str">
        <f aca="false">IF($A544="","",IF(AW544="Y",BR544&amp;"",BD544&amp;""))</f>
        <v/>
      </c>
      <c r="I544" s="0" t="str">
        <f aca="false">IF($A544="","",IF(R544="Y","warm-intro",IF(H544="verified","email",IF(C544&lt;&gt;"","linkedin",CB544&amp;""))))</f>
        <v/>
      </c>
      <c r="J544" s="0" t="str">
        <f aca="false">IF($A544="","",IF(CN544="pass",ROUND(N(EM544)+N(EN544)+N(EO544)+N(EP544)+N(EQ544)+N(ER544),1),0))</f>
        <v/>
      </c>
      <c r="K544" s="0" t="str">
        <f aca="false">IF($A544="","",IF(CN544&lt;&gt;"pass",CA544&amp;"",CA544&amp;"; "&amp;IF(AW544="Y",BZ544&amp;"",BL544&amp;"")&amp;IF(R544="Y","; known to the founder (+15)","")&amp;"."))</f>
        <v/>
      </c>
      <c r="R544" s="5"/>
      <c r="U544" s="5"/>
      <c r="Y544" s="0" t="str">
        <f aca="false">IF(FX544&lt;&gt;"Y","",COUNTIFS($FX$2:$FX$1000,"Y",$J$2:$J$1000,"&gt;"&amp;J544)+COUNTIFS($FX$2:$FX$1000,"Y",$J$2:$J$1000,J544,$GD$2:$GD$1000,"&lt;"&amp;GD544)+1)</f>
        <v/>
      </c>
      <c r="AB544" s="0" t="str">
        <f aca="false">IF($A544="","",IF(AW544="Y",BY544&amp;"",BK544&amp;""))</f>
        <v/>
      </c>
      <c r="AC544" s="0" t="str">
        <f aca="false">IF($A544="","",IF(AW544="Y",BS544&amp;"",BE544&amp;""))</f>
        <v/>
      </c>
      <c r="AD544" s="0" t="str">
        <f aca="false">IF($A544="","",IF(AW544="Y",BT544&amp;"",BF544&amp;""))</f>
        <v/>
      </c>
      <c r="AE544" s="0" t="str">
        <f aca="false">IF($A544="","",IF(AW544="Y",BU544&amp;"",BG544&amp;""))</f>
        <v/>
      </c>
      <c r="AF544" s="0" t="str">
        <f aca="false">IF($A544="","",IF(AW544="Y",BV544&amp;"",BH544&amp;""))</f>
        <v/>
      </c>
      <c r="AG544" s="0" t="str">
        <f aca="false">IF($A544="","",IF(AW544="Y",BW544&amp;"",BI544&amp;""))</f>
        <v/>
      </c>
      <c r="AH544" s="0" t="str">
        <f aca="false">IF($A544="","",IF(AW544="Y",BX544&amp;"",BJ544&amp;""))</f>
        <v/>
      </c>
      <c r="AQ544" s="5"/>
      <c r="AT544" s="0" t="str">
        <f aca="false">IF($A544="","",IF(AND(CN544="pass",AQ544&lt;&gt;"Y",C544&lt;&gt;"",OR(AX544&lt;&gt;"Y",AV544="Y")),"Y","N"))</f>
        <v/>
      </c>
      <c r="AU544" s="0" t="str">
        <f aca="false">IF($A544="","",_xlfn.TEXTJOIN("; ",TRUE(),IF(CN544&lt;&gt;"pass","gated out",""),IF(AQ544="Y","on hold: "&amp;AR544,""),IF(C544="","no contact named on an opened page",""),IF(AND(AX544="Y",AV544&lt;&gt;"Y"),"Tuesday estimate band "&amp;L544&amp;": founder's call","")))</f>
        <v/>
      </c>
      <c r="BC544" s="0" t="str">
        <f aca="false">IF($A544="","",IFERROR(INDEX(Enrichment!$A$2:$GZ$2000,MATCH($A544,INDEX(Enrichment!$A$2:$GZ$2000,0,MATCH("row_id",Enrichment!$A$1:$GZ$1,0)),0),MATCH("work_email",Enrichment!$A$1:$GZ$1,0))&amp;"",""))</f>
        <v/>
      </c>
      <c r="BD544" s="0" t="str">
        <f aca="false">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Q544" s="0" t="str">
        <f aca="false">IF($A544="","",IFERROR(INDEX(Enrichment!$A$2:$GZ$2000,MATCH($A544,INDEX(Enrichment!$A$2:$GZ$2000,0,MATCH("row_id",Enrichment!$A$1:$GZ$1,0)),0),MATCH("backup_work_email",Enrichment!$A$1:$GZ$1,0))&amp;"",""))</f>
        <v/>
      </c>
      <c r="BR544" s="0" t="str">
        <f aca="false">IF($A544="","",IF(BQ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EQ544" s="0" t="str">
        <f aca="false">IF($A544="","",IF(AH544="exact",10,IF(AH544="adjacent",5,0)))</f>
        <v/>
      </c>
      <c r="ER544" s="0" t="str">
        <f aca="false">IF($A544="","",IF(R544="Y",15,0))</f>
        <v/>
      </c>
      <c r="FS544" s="0" t="str">
        <f aca="false">IF($A544="","",IF(ISNUMBER(MATCH(U544,{"queued","contacted","replied","call_booked","call_done","yes_in_principle","materials_sent"},0)),"Y","N"))</f>
        <v/>
      </c>
      <c r="FT544" s="0" t="str">
        <f aca="false">IF($A544="","",IF(OR(T544="Y",U544="do_not_contact",AS544&amp;""&lt;&gt;""),"Y","N"))</f>
        <v/>
      </c>
      <c r="FU544" s="0" t="str">
        <f aca="false">IF($A544="","",IF(AP544&amp;""&lt;&gt;"",AP544&amp;"",$A544))</f>
        <v/>
      </c>
      <c r="FV544" s="0" t="str">
        <f aca="false">IF($A544="","",IF(COUNTIFS($FU$2:$FU$1000,FU544,$FS$2:$FS$1000,"Y")+COUNTIFS($FU$2:$FU$1000,FU544,$FT$2:$FT$1000,"Y")&gt;0,"Y","N"))</f>
        <v/>
      </c>
      <c r="FW544" s="0" t="str">
        <f aca="false">IF($A544="","",IF(AND(U544="new",T544="N",FT544="N",AT544="Y",FV544="N"),"Y","N"))</f>
        <v/>
      </c>
      <c r="FX544" s="0" t="str">
        <f aca="false">IF($A544="","",IF(FW544&lt;&gt;"Y","N",IF(COUNTIFS($FU$2:$FU$1000,FU544,$FW$2:$FW$1000,"Y",$J$2:$J$1000,"&gt;"&amp;J544)+COUNTIFS($FU$2:$FU$1000,FU544,$FW$2:$FW$1000,"Y",$J$2:$J$1000,J544,$GD$2:$GD$1000,"&lt;"&amp;GD544)=0,"Y","N")))</f>
        <v/>
      </c>
      <c r="FY544" s="0" t="str">
        <f aca="false">IF($A544="","",IF(AND(FW544="Y",FX544="Y",Y544&amp;""&lt;&gt;""),IF(Y544&lt;=10,"Y","N"),"N"))</f>
        <v/>
      </c>
      <c r="FZ544" s="0" t="str">
        <f aca="false">IF(FY544="Y",Y544,"")</f>
        <v/>
      </c>
      <c r="GA544" s="0" t="str">
        <f aca="false">IF($A544="","",IF(AND(I544="walk-in",CN544="pass",U544="new",FT544="N",FV544="N",AQ544&lt;&gt;"Y"),"Y","N"))</f>
        <v/>
      </c>
      <c r="GB544" s="0" t="str">
        <f aca="false">IF(GA544&lt;&gt;"Y","",IF(COUNTIFS($GA$2:$GA$1000,"Y",$J$2:$J$1000,"&gt;"&amp;J544)+COUNTIFS($GA$2:$GA$1000,"Y",$J$2:$J$1000,J544,$GD$2:$GD$1000,"&lt;"&amp;GD544)+1&lt;=25,COUNTIFS($GA$2:$GA$1000,"Y",$J$2:$J$1000,"&gt;"&amp;J544)+COUNTIFS($GA$2:$GA$1000,"Y",$J$2:$J$1000,J544,$GD$2:$GD$1000,"&lt;"&amp;GD544)+1,""))</f>
        <v/>
      </c>
      <c r="GC544" s="0" t="str">
        <f aca="false">IF(AND(_xlfn.ISFORMULA(C544),_xlfn.ISFORMULA(J544)),"Y","N")</f>
        <v>Y</v>
      </c>
      <c r="GD544" s="0" t="n">
        <f aca="false">ROW()-1</f>
        <v>543</v>
      </c>
    </row>
    <row r="545" customFormat="false" ht="15" hidden="false" customHeight="false" outlineLevel="0" collapsed="false">
      <c r="C545" s="0" t="str">
        <f aca="false">IF($A545="","",IF(AW545="Y",BM545&amp;"",AY545&amp;""))</f>
        <v/>
      </c>
      <c r="D545" s="0" t="str">
        <f aca="false">IF($A545="","",IF(AW545="Y",BN545&amp;"",AZ545&amp;""))</f>
        <v/>
      </c>
      <c r="E545" s="0" t="str">
        <f aca="false">IF($A545="","",IF(AW545="Y",BO545&amp;"",BA545&amp;""))</f>
        <v/>
      </c>
      <c r="F545" s="0" t="str">
        <f aca="false">IF($A545="","",IF(AW545="Y",BP545&amp;"",BB545&amp;""))</f>
        <v/>
      </c>
      <c r="G545" s="0" t="str">
        <f aca="false">IF($A545="","",IF(AW545="Y",BQ545&amp;"",BC545&amp;""))</f>
        <v/>
      </c>
      <c r="H545" s="0" t="str">
        <f aca="false">IF($A545="","",IF(AW545="Y",BR545&amp;"",BD545&amp;""))</f>
        <v/>
      </c>
      <c r="I545" s="0" t="str">
        <f aca="false">IF($A545="","",IF(R545="Y","warm-intro",IF(H545="verified","email",IF(C545&lt;&gt;"","linkedin",CB545&amp;""))))</f>
        <v/>
      </c>
      <c r="J545" s="0" t="str">
        <f aca="false">IF($A545="","",IF(CN545="pass",ROUND(N(EM545)+N(EN545)+N(EO545)+N(EP545)+N(EQ545)+N(ER545),1),0))</f>
        <v/>
      </c>
      <c r="K545" s="0" t="str">
        <f aca="false">IF($A545="","",IF(CN545&lt;&gt;"pass",CA545&amp;"",CA545&amp;"; "&amp;IF(AW545="Y",BZ545&amp;"",BL545&amp;"")&amp;IF(R545="Y","; known to the founder (+15)","")&amp;"."))</f>
        <v/>
      </c>
      <c r="R545" s="5"/>
      <c r="U545" s="5"/>
      <c r="Y545" s="0" t="str">
        <f aca="false">IF(FX545&lt;&gt;"Y","",COUNTIFS($FX$2:$FX$1000,"Y",$J$2:$J$1000,"&gt;"&amp;J545)+COUNTIFS($FX$2:$FX$1000,"Y",$J$2:$J$1000,J545,$GD$2:$GD$1000,"&lt;"&amp;GD545)+1)</f>
        <v/>
      </c>
      <c r="AB545" s="0" t="str">
        <f aca="false">IF($A545="","",IF(AW545="Y",BY545&amp;"",BK545&amp;""))</f>
        <v/>
      </c>
      <c r="AC545" s="0" t="str">
        <f aca="false">IF($A545="","",IF(AW545="Y",BS545&amp;"",BE545&amp;""))</f>
        <v/>
      </c>
      <c r="AD545" s="0" t="str">
        <f aca="false">IF($A545="","",IF(AW545="Y",BT545&amp;"",BF545&amp;""))</f>
        <v/>
      </c>
      <c r="AE545" s="0" t="str">
        <f aca="false">IF($A545="","",IF(AW545="Y",BU545&amp;"",BG545&amp;""))</f>
        <v/>
      </c>
      <c r="AF545" s="0" t="str">
        <f aca="false">IF($A545="","",IF(AW545="Y",BV545&amp;"",BH545&amp;""))</f>
        <v/>
      </c>
      <c r="AG545" s="0" t="str">
        <f aca="false">IF($A545="","",IF(AW545="Y",BW545&amp;"",BI545&amp;""))</f>
        <v/>
      </c>
      <c r="AH545" s="0" t="str">
        <f aca="false">IF($A545="","",IF(AW545="Y",BX545&amp;"",BJ545&amp;""))</f>
        <v/>
      </c>
      <c r="AQ545" s="5"/>
      <c r="AT545" s="0" t="str">
        <f aca="false">IF($A545="","",IF(AND(CN545="pass",AQ545&lt;&gt;"Y",C545&lt;&gt;"",OR(AX545&lt;&gt;"Y",AV545="Y")),"Y","N"))</f>
        <v/>
      </c>
      <c r="AU545" s="0" t="str">
        <f aca="false">IF($A545="","",_xlfn.TEXTJOIN("; ",TRUE(),IF(CN545&lt;&gt;"pass","gated out",""),IF(AQ545="Y","on hold: "&amp;AR545,""),IF(C545="","no contact named on an opened page",""),IF(AND(AX545="Y",AV545&lt;&gt;"Y"),"Tuesday estimate band "&amp;L545&amp;": founder's call","")))</f>
        <v/>
      </c>
      <c r="BC545" s="0" t="str">
        <f aca="false">IF($A545="","",IFERROR(INDEX(Enrichment!$A$2:$GZ$2000,MATCH($A545,INDEX(Enrichment!$A$2:$GZ$2000,0,MATCH("row_id",Enrichment!$A$1:$GZ$1,0)),0),MATCH("work_email",Enrichment!$A$1:$GZ$1,0))&amp;"",""))</f>
        <v/>
      </c>
      <c r="BD545" s="0" t="str">
        <f aca="false">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Q545" s="0" t="str">
        <f aca="false">IF($A545="","",IFERROR(INDEX(Enrichment!$A$2:$GZ$2000,MATCH($A545,INDEX(Enrichment!$A$2:$GZ$2000,0,MATCH("row_id",Enrichment!$A$1:$GZ$1,0)),0),MATCH("backup_work_email",Enrichment!$A$1:$GZ$1,0))&amp;"",""))</f>
        <v/>
      </c>
      <c r="BR545" s="0" t="str">
        <f aca="false">IF($A545="","",IF(BQ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EQ545" s="0" t="str">
        <f aca="false">IF($A545="","",IF(AH545="exact",10,IF(AH545="adjacent",5,0)))</f>
        <v/>
      </c>
      <c r="ER545" s="0" t="str">
        <f aca="false">IF($A545="","",IF(R545="Y",15,0))</f>
        <v/>
      </c>
      <c r="FS545" s="0" t="str">
        <f aca="false">IF($A545="","",IF(ISNUMBER(MATCH(U545,{"queued","contacted","replied","call_booked","call_done","yes_in_principle","materials_sent"},0)),"Y","N"))</f>
        <v/>
      </c>
      <c r="FT545" s="0" t="str">
        <f aca="false">IF($A545="","",IF(OR(T545="Y",U545="do_not_contact",AS545&amp;""&lt;&gt;""),"Y","N"))</f>
        <v/>
      </c>
      <c r="FU545" s="0" t="str">
        <f aca="false">IF($A545="","",IF(AP545&amp;""&lt;&gt;"",AP545&amp;"",$A545))</f>
        <v/>
      </c>
      <c r="FV545" s="0" t="str">
        <f aca="false">IF($A545="","",IF(COUNTIFS($FU$2:$FU$1000,FU545,$FS$2:$FS$1000,"Y")+COUNTIFS($FU$2:$FU$1000,FU545,$FT$2:$FT$1000,"Y")&gt;0,"Y","N"))</f>
        <v/>
      </c>
      <c r="FW545" s="0" t="str">
        <f aca="false">IF($A545="","",IF(AND(U545="new",T545="N",FT545="N",AT545="Y",FV545="N"),"Y","N"))</f>
        <v/>
      </c>
      <c r="FX545" s="0" t="str">
        <f aca="false">IF($A545="","",IF(FW545&lt;&gt;"Y","N",IF(COUNTIFS($FU$2:$FU$1000,FU545,$FW$2:$FW$1000,"Y",$J$2:$J$1000,"&gt;"&amp;J545)+COUNTIFS($FU$2:$FU$1000,FU545,$FW$2:$FW$1000,"Y",$J$2:$J$1000,J545,$GD$2:$GD$1000,"&lt;"&amp;GD545)=0,"Y","N")))</f>
        <v/>
      </c>
      <c r="FY545" s="0" t="str">
        <f aca="false">IF($A545="","",IF(AND(FW545="Y",FX545="Y",Y545&amp;""&lt;&gt;""),IF(Y545&lt;=10,"Y","N"),"N"))</f>
        <v/>
      </c>
      <c r="FZ545" s="0" t="str">
        <f aca="false">IF(FY545="Y",Y545,"")</f>
        <v/>
      </c>
      <c r="GA545" s="0" t="str">
        <f aca="false">IF($A545="","",IF(AND(I545="walk-in",CN545="pass",U545="new",FT545="N",FV545="N",AQ545&lt;&gt;"Y"),"Y","N"))</f>
        <v/>
      </c>
      <c r="GB545" s="0" t="str">
        <f aca="false">IF(GA545&lt;&gt;"Y","",IF(COUNTIFS($GA$2:$GA$1000,"Y",$J$2:$J$1000,"&gt;"&amp;J545)+COUNTIFS($GA$2:$GA$1000,"Y",$J$2:$J$1000,J545,$GD$2:$GD$1000,"&lt;"&amp;GD545)+1&lt;=25,COUNTIFS($GA$2:$GA$1000,"Y",$J$2:$J$1000,"&gt;"&amp;J545)+COUNTIFS($GA$2:$GA$1000,"Y",$J$2:$J$1000,J545,$GD$2:$GD$1000,"&lt;"&amp;GD545)+1,""))</f>
        <v/>
      </c>
      <c r="GC545" s="0" t="str">
        <f aca="false">IF(AND(_xlfn.ISFORMULA(C545),_xlfn.ISFORMULA(J545)),"Y","N")</f>
        <v>Y</v>
      </c>
      <c r="GD545" s="0" t="n">
        <f aca="false">ROW()-1</f>
        <v>544</v>
      </c>
    </row>
    <row r="546" customFormat="false" ht="15" hidden="false" customHeight="false" outlineLevel="0" collapsed="false">
      <c r="C546" s="0" t="str">
        <f aca="false">IF($A546="","",IF(AW546="Y",BM546&amp;"",AY546&amp;""))</f>
        <v/>
      </c>
      <c r="D546" s="0" t="str">
        <f aca="false">IF($A546="","",IF(AW546="Y",BN546&amp;"",AZ546&amp;""))</f>
        <v/>
      </c>
      <c r="E546" s="0" t="str">
        <f aca="false">IF($A546="","",IF(AW546="Y",BO546&amp;"",BA546&amp;""))</f>
        <v/>
      </c>
      <c r="F546" s="0" t="str">
        <f aca="false">IF($A546="","",IF(AW546="Y",BP546&amp;"",BB546&amp;""))</f>
        <v/>
      </c>
      <c r="G546" s="0" t="str">
        <f aca="false">IF($A546="","",IF(AW546="Y",BQ546&amp;"",BC546&amp;""))</f>
        <v/>
      </c>
      <c r="H546" s="0" t="str">
        <f aca="false">IF($A546="","",IF(AW546="Y",BR546&amp;"",BD546&amp;""))</f>
        <v/>
      </c>
      <c r="I546" s="0" t="str">
        <f aca="false">IF($A546="","",IF(R546="Y","warm-intro",IF(H546="verified","email",IF(C546&lt;&gt;"","linkedin",CB546&amp;""))))</f>
        <v/>
      </c>
      <c r="J546" s="0" t="str">
        <f aca="false">IF($A546="","",IF(CN546="pass",ROUND(N(EM546)+N(EN546)+N(EO546)+N(EP546)+N(EQ546)+N(ER546),1),0))</f>
        <v/>
      </c>
      <c r="K546" s="0" t="str">
        <f aca="false">IF($A546="","",IF(CN546&lt;&gt;"pass",CA546&amp;"",CA546&amp;"; "&amp;IF(AW546="Y",BZ546&amp;"",BL546&amp;"")&amp;IF(R546="Y","; known to the founder (+15)","")&amp;"."))</f>
        <v/>
      </c>
      <c r="R546" s="5"/>
      <c r="U546" s="5"/>
      <c r="Y546" s="0" t="str">
        <f aca="false">IF(FX546&lt;&gt;"Y","",COUNTIFS($FX$2:$FX$1000,"Y",$J$2:$J$1000,"&gt;"&amp;J546)+COUNTIFS($FX$2:$FX$1000,"Y",$J$2:$J$1000,J546,$GD$2:$GD$1000,"&lt;"&amp;GD546)+1)</f>
        <v/>
      </c>
      <c r="AB546" s="0" t="str">
        <f aca="false">IF($A546="","",IF(AW546="Y",BY546&amp;"",BK546&amp;""))</f>
        <v/>
      </c>
      <c r="AC546" s="0" t="str">
        <f aca="false">IF($A546="","",IF(AW546="Y",BS546&amp;"",BE546&amp;""))</f>
        <v/>
      </c>
      <c r="AD546" s="0" t="str">
        <f aca="false">IF($A546="","",IF(AW546="Y",BT546&amp;"",BF546&amp;""))</f>
        <v/>
      </c>
      <c r="AE546" s="0" t="str">
        <f aca="false">IF($A546="","",IF(AW546="Y",BU546&amp;"",BG546&amp;""))</f>
        <v/>
      </c>
      <c r="AF546" s="0" t="str">
        <f aca="false">IF($A546="","",IF(AW546="Y",BV546&amp;"",BH546&amp;""))</f>
        <v/>
      </c>
      <c r="AG546" s="0" t="str">
        <f aca="false">IF($A546="","",IF(AW546="Y",BW546&amp;"",BI546&amp;""))</f>
        <v/>
      </c>
      <c r="AH546" s="0" t="str">
        <f aca="false">IF($A546="","",IF(AW546="Y",BX546&amp;"",BJ546&amp;""))</f>
        <v/>
      </c>
      <c r="AQ546" s="5"/>
      <c r="AT546" s="0" t="str">
        <f aca="false">IF($A546="","",IF(AND(CN546="pass",AQ546&lt;&gt;"Y",C546&lt;&gt;"",OR(AX546&lt;&gt;"Y",AV546="Y")),"Y","N"))</f>
        <v/>
      </c>
      <c r="AU546" s="0" t="str">
        <f aca="false">IF($A546="","",_xlfn.TEXTJOIN("; ",TRUE(),IF(CN546&lt;&gt;"pass","gated out",""),IF(AQ546="Y","on hold: "&amp;AR546,""),IF(C546="","no contact named on an opened page",""),IF(AND(AX546="Y",AV546&lt;&gt;"Y"),"Tuesday estimate band "&amp;L546&amp;": founder's call","")))</f>
        <v/>
      </c>
      <c r="BC546" s="0" t="str">
        <f aca="false">IF($A546="","",IFERROR(INDEX(Enrichment!$A$2:$GZ$2000,MATCH($A546,INDEX(Enrichment!$A$2:$GZ$2000,0,MATCH("row_id",Enrichment!$A$1:$GZ$1,0)),0),MATCH("work_email",Enrichment!$A$1:$GZ$1,0))&amp;"",""))</f>
        <v/>
      </c>
      <c r="BD546" s="0" t="str">
        <f aca="false">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Q546" s="0" t="str">
        <f aca="false">IF($A546="","",IFERROR(INDEX(Enrichment!$A$2:$GZ$2000,MATCH($A546,INDEX(Enrichment!$A$2:$GZ$2000,0,MATCH("row_id",Enrichment!$A$1:$GZ$1,0)),0),MATCH("backup_work_email",Enrichment!$A$1:$GZ$1,0))&amp;"",""))</f>
        <v/>
      </c>
      <c r="BR546" s="0" t="str">
        <f aca="false">IF($A546="","",IF(BQ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EQ546" s="0" t="str">
        <f aca="false">IF($A546="","",IF(AH546="exact",10,IF(AH546="adjacent",5,0)))</f>
        <v/>
      </c>
      <c r="ER546" s="0" t="str">
        <f aca="false">IF($A546="","",IF(R546="Y",15,0))</f>
        <v/>
      </c>
      <c r="FS546" s="0" t="str">
        <f aca="false">IF($A546="","",IF(ISNUMBER(MATCH(U546,{"queued","contacted","replied","call_booked","call_done","yes_in_principle","materials_sent"},0)),"Y","N"))</f>
        <v/>
      </c>
      <c r="FT546" s="0" t="str">
        <f aca="false">IF($A546="","",IF(OR(T546="Y",U546="do_not_contact",AS546&amp;""&lt;&gt;""),"Y","N"))</f>
        <v/>
      </c>
      <c r="FU546" s="0" t="str">
        <f aca="false">IF($A546="","",IF(AP546&amp;""&lt;&gt;"",AP546&amp;"",$A546))</f>
        <v/>
      </c>
      <c r="FV546" s="0" t="str">
        <f aca="false">IF($A546="","",IF(COUNTIFS($FU$2:$FU$1000,FU546,$FS$2:$FS$1000,"Y")+COUNTIFS($FU$2:$FU$1000,FU546,$FT$2:$FT$1000,"Y")&gt;0,"Y","N"))</f>
        <v/>
      </c>
      <c r="FW546" s="0" t="str">
        <f aca="false">IF($A546="","",IF(AND(U546="new",T546="N",FT546="N",AT546="Y",FV546="N"),"Y","N"))</f>
        <v/>
      </c>
      <c r="FX546" s="0" t="str">
        <f aca="false">IF($A546="","",IF(FW546&lt;&gt;"Y","N",IF(COUNTIFS($FU$2:$FU$1000,FU546,$FW$2:$FW$1000,"Y",$J$2:$J$1000,"&gt;"&amp;J546)+COUNTIFS($FU$2:$FU$1000,FU546,$FW$2:$FW$1000,"Y",$J$2:$J$1000,J546,$GD$2:$GD$1000,"&lt;"&amp;GD546)=0,"Y","N")))</f>
        <v/>
      </c>
      <c r="FY546" s="0" t="str">
        <f aca="false">IF($A546="","",IF(AND(FW546="Y",FX546="Y",Y546&amp;""&lt;&gt;""),IF(Y546&lt;=10,"Y","N"),"N"))</f>
        <v/>
      </c>
      <c r="FZ546" s="0" t="str">
        <f aca="false">IF(FY546="Y",Y546,"")</f>
        <v/>
      </c>
      <c r="GA546" s="0" t="str">
        <f aca="false">IF($A546="","",IF(AND(I546="walk-in",CN546="pass",U546="new",FT546="N",FV546="N",AQ546&lt;&gt;"Y"),"Y","N"))</f>
        <v/>
      </c>
      <c r="GB546" s="0" t="str">
        <f aca="false">IF(GA546&lt;&gt;"Y","",IF(COUNTIFS($GA$2:$GA$1000,"Y",$J$2:$J$1000,"&gt;"&amp;J546)+COUNTIFS($GA$2:$GA$1000,"Y",$J$2:$J$1000,J546,$GD$2:$GD$1000,"&lt;"&amp;GD546)+1&lt;=25,COUNTIFS($GA$2:$GA$1000,"Y",$J$2:$J$1000,"&gt;"&amp;J546)+COUNTIFS($GA$2:$GA$1000,"Y",$J$2:$J$1000,J546,$GD$2:$GD$1000,"&lt;"&amp;GD546)+1,""))</f>
        <v/>
      </c>
      <c r="GC546" s="0" t="str">
        <f aca="false">IF(AND(_xlfn.ISFORMULA(C546),_xlfn.ISFORMULA(J546)),"Y","N")</f>
        <v>Y</v>
      </c>
      <c r="GD546" s="0" t="n">
        <f aca="false">ROW()-1</f>
        <v>545</v>
      </c>
    </row>
    <row r="547" customFormat="false" ht="15" hidden="false" customHeight="false" outlineLevel="0" collapsed="false">
      <c r="C547" s="0" t="str">
        <f aca="false">IF($A547="","",IF(AW547="Y",BM547&amp;"",AY547&amp;""))</f>
        <v/>
      </c>
      <c r="D547" s="0" t="str">
        <f aca="false">IF($A547="","",IF(AW547="Y",BN547&amp;"",AZ547&amp;""))</f>
        <v/>
      </c>
      <c r="E547" s="0" t="str">
        <f aca="false">IF($A547="","",IF(AW547="Y",BO547&amp;"",BA547&amp;""))</f>
        <v/>
      </c>
      <c r="F547" s="0" t="str">
        <f aca="false">IF($A547="","",IF(AW547="Y",BP547&amp;"",BB547&amp;""))</f>
        <v/>
      </c>
      <c r="G547" s="0" t="str">
        <f aca="false">IF($A547="","",IF(AW547="Y",BQ547&amp;"",BC547&amp;""))</f>
        <v/>
      </c>
      <c r="H547" s="0" t="str">
        <f aca="false">IF($A547="","",IF(AW547="Y",BR547&amp;"",BD547&amp;""))</f>
        <v/>
      </c>
      <c r="I547" s="0" t="str">
        <f aca="false">IF($A547="","",IF(R547="Y","warm-intro",IF(H547="verified","email",IF(C547&lt;&gt;"","linkedin",CB547&amp;""))))</f>
        <v/>
      </c>
      <c r="J547" s="0" t="str">
        <f aca="false">IF($A547="","",IF(CN547="pass",ROUND(N(EM547)+N(EN547)+N(EO547)+N(EP547)+N(EQ547)+N(ER547),1),0))</f>
        <v/>
      </c>
      <c r="K547" s="0" t="str">
        <f aca="false">IF($A547="","",IF(CN547&lt;&gt;"pass",CA547&amp;"",CA547&amp;"; "&amp;IF(AW547="Y",BZ547&amp;"",BL547&amp;"")&amp;IF(R547="Y","; known to the founder (+15)","")&amp;"."))</f>
        <v/>
      </c>
      <c r="R547" s="5"/>
      <c r="U547" s="5"/>
      <c r="Y547" s="0" t="str">
        <f aca="false">IF(FX547&lt;&gt;"Y","",COUNTIFS($FX$2:$FX$1000,"Y",$J$2:$J$1000,"&gt;"&amp;J547)+COUNTIFS($FX$2:$FX$1000,"Y",$J$2:$J$1000,J547,$GD$2:$GD$1000,"&lt;"&amp;GD547)+1)</f>
        <v/>
      </c>
      <c r="AB547" s="0" t="str">
        <f aca="false">IF($A547="","",IF(AW547="Y",BY547&amp;"",BK547&amp;""))</f>
        <v/>
      </c>
      <c r="AC547" s="0" t="str">
        <f aca="false">IF($A547="","",IF(AW547="Y",BS547&amp;"",BE547&amp;""))</f>
        <v/>
      </c>
      <c r="AD547" s="0" t="str">
        <f aca="false">IF($A547="","",IF(AW547="Y",BT547&amp;"",BF547&amp;""))</f>
        <v/>
      </c>
      <c r="AE547" s="0" t="str">
        <f aca="false">IF($A547="","",IF(AW547="Y",BU547&amp;"",BG547&amp;""))</f>
        <v/>
      </c>
      <c r="AF547" s="0" t="str">
        <f aca="false">IF($A547="","",IF(AW547="Y",BV547&amp;"",BH547&amp;""))</f>
        <v/>
      </c>
      <c r="AG547" s="0" t="str">
        <f aca="false">IF($A547="","",IF(AW547="Y",BW547&amp;"",BI547&amp;""))</f>
        <v/>
      </c>
      <c r="AH547" s="0" t="str">
        <f aca="false">IF($A547="","",IF(AW547="Y",BX547&amp;"",BJ547&amp;""))</f>
        <v/>
      </c>
      <c r="AQ547" s="5"/>
      <c r="AT547" s="0" t="str">
        <f aca="false">IF($A547="","",IF(AND(CN547="pass",AQ547&lt;&gt;"Y",C547&lt;&gt;"",OR(AX547&lt;&gt;"Y",AV547="Y")),"Y","N"))</f>
        <v/>
      </c>
      <c r="AU547" s="0" t="str">
        <f aca="false">IF($A547="","",_xlfn.TEXTJOIN("; ",TRUE(),IF(CN547&lt;&gt;"pass","gated out",""),IF(AQ547="Y","on hold: "&amp;AR547,""),IF(C547="","no contact named on an opened page",""),IF(AND(AX547="Y",AV547&lt;&gt;"Y"),"Tuesday estimate band "&amp;L547&amp;": founder's call","")))</f>
        <v/>
      </c>
      <c r="BC547" s="0" t="str">
        <f aca="false">IF($A547="","",IFERROR(INDEX(Enrichment!$A$2:$GZ$2000,MATCH($A547,INDEX(Enrichment!$A$2:$GZ$2000,0,MATCH("row_id",Enrichment!$A$1:$GZ$1,0)),0),MATCH("work_email",Enrichment!$A$1:$GZ$1,0))&amp;"",""))</f>
        <v/>
      </c>
      <c r="BD547" s="0" t="str">
        <f aca="false">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Q547" s="0" t="str">
        <f aca="false">IF($A547="","",IFERROR(INDEX(Enrichment!$A$2:$GZ$2000,MATCH($A547,INDEX(Enrichment!$A$2:$GZ$2000,0,MATCH("row_id",Enrichment!$A$1:$GZ$1,0)),0),MATCH("backup_work_email",Enrichment!$A$1:$GZ$1,0))&amp;"",""))</f>
        <v/>
      </c>
      <c r="BR547" s="0" t="str">
        <f aca="false">IF($A547="","",IF(BQ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EQ547" s="0" t="str">
        <f aca="false">IF($A547="","",IF(AH547="exact",10,IF(AH547="adjacent",5,0)))</f>
        <v/>
      </c>
      <c r="ER547" s="0" t="str">
        <f aca="false">IF($A547="","",IF(R547="Y",15,0))</f>
        <v/>
      </c>
      <c r="FS547" s="0" t="str">
        <f aca="false">IF($A547="","",IF(ISNUMBER(MATCH(U547,{"queued","contacted","replied","call_booked","call_done","yes_in_principle","materials_sent"},0)),"Y","N"))</f>
        <v/>
      </c>
      <c r="FT547" s="0" t="str">
        <f aca="false">IF($A547="","",IF(OR(T547="Y",U547="do_not_contact",AS547&amp;""&lt;&gt;""),"Y","N"))</f>
        <v/>
      </c>
      <c r="FU547" s="0" t="str">
        <f aca="false">IF($A547="","",IF(AP547&amp;""&lt;&gt;"",AP547&amp;"",$A547))</f>
        <v/>
      </c>
      <c r="FV547" s="0" t="str">
        <f aca="false">IF($A547="","",IF(COUNTIFS($FU$2:$FU$1000,FU547,$FS$2:$FS$1000,"Y")+COUNTIFS($FU$2:$FU$1000,FU547,$FT$2:$FT$1000,"Y")&gt;0,"Y","N"))</f>
        <v/>
      </c>
      <c r="FW547" s="0" t="str">
        <f aca="false">IF($A547="","",IF(AND(U547="new",T547="N",FT547="N",AT547="Y",FV547="N"),"Y","N"))</f>
        <v/>
      </c>
      <c r="FX547" s="0" t="str">
        <f aca="false">IF($A547="","",IF(FW547&lt;&gt;"Y","N",IF(COUNTIFS($FU$2:$FU$1000,FU547,$FW$2:$FW$1000,"Y",$J$2:$J$1000,"&gt;"&amp;J547)+COUNTIFS($FU$2:$FU$1000,FU547,$FW$2:$FW$1000,"Y",$J$2:$J$1000,J547,$GD$2:$GD$1000,"&lt;"&amp;GD547)=0,"Y","N")))</f>
        <v/>
      </c>
      <c r="FY547" s="0" t="str">
        <f aca="false">IF($A547="","",IF(AND(FW547="Y",FX547="Y",Y547&amp;""&lt;&gt;""),IF(Y547&lt;=10,"Y","N"),"N"))</f>
        <v/>
      </c>
      <c r="FZ547" s="0" t="str">
        <f aca="false">IF(FY547="Y",Y547,"")</f>
        <v/>
      </c>
      <c r="GA547" s="0" t="str">
        <f aca="false">IF($A547="","",IF(AND(I547="walk-in",CN547="pass",U547="new",FT547="N",FV547="N",AQ547&lt;&gt;"Y"),"Y","N"))</f>
        <v/>
      </c>
      <c r="GB547" s="0" t="str">
        <f aca="false">IF(GA547&lt;&gt;"Y","",IF(COUNTIFS($GA$2:$GA$1000,"Y",$J$2:$J$1000,"&gt;"&amp;J547)+COUNTIFS($GA$2:$GA$1000,"Y",$J$2:$J$1000,J547,$GD$2:$GD$1000,"&lt;"&amp;GD547)+1&lt;=25,COUNTIFS($GA$2:$GA$1000,"Y",$J$2:$J$1000,"&gt;"&amp;J547)+COUNTIFS($GA$2:$GA$1000,"Y",$J$2:$J$1000,J547,$GD$2:$GD$1000,"&lt;"&amp;GD547)+1,""))</f>
        <v/>
      </c>
      <c r="GC547" s="0" t="str">
        <f aca="false">IF(AND(_xlfn.ISFORMULA(C547),_xlfn.ISFORMULA(J547)),"Y","N")</f>
        <v>Y</v>
      </c>
      <c r="GD547" s="0" t="n">
        <f aca="false">ROW()-1</f>
        <v>546</v>
      </c>
    </row>
    <row r="548" customFormat="false" ht="15" hidden="false" customHeight="false" outlineLevel="0" collapsed="false">
      <c r="C548" s="0" t="str">
        <f aca="false">IF($A548="","",IF(AW548="Y",BM548&amp;"",AY548&amp;""))</f>
        <v/>
      </c>
      <c r="D548" s="0" t="str">
        <f aca="false">IF($A548="","",IF(AW548="Y",BN548&amp;"",AZ548&amp;""))</f>
        <v/>
      </c>
      <c r="E548" s="0" t="str">
        <f aca="false">IF($A548="","",IF(AW548="Y",BO548&amp;"",BA548&amp;""))</f>
        <v/>
      </c>
      <c r="F548" s="0" t="str">
        <f aca="false">IF($A548="","",IF(AW548="Y",BP548&amp;"",BB548&amp;""))</f>
        <v/>
      </c>
      <c r="G548" s="0" t="str">
        <f aca="false">IF($A548="","",IF(AW548="Y",BQ548&amp;"",BC548&amp;""))</f>
        <v/>
      </c>
      <c r="H548" s="0" t="str">
        <f aca="false">IF($A548="","",IF(AW548="Y",BR548&amp;"",BD548&amp;""))</f>
        <v/>
      </c>
      <c r="I548" s="0" t="str">
        <f aca="false">IF($A548="","",IF(R548="Y","warm-intro",IF(H548="verified","email",IF(C548&lt;&gt;"","linkedin",CB548&amp;""))))</f>
        <v/>
      </c>
      <c r="J548" s="0" t="str">
        <f aca="false">IF($A548="","",IF(CN548="pass",ROUND(N(EM548)+N(EN548)+N(EO548)+N(EP548)+N(EQ548)+N(ER548),1),0))</f>
        <v/>
      </c>
      <c r="K548" s="0" t="str">
        <f aca="false">IF($A548="","",IF(CN548&lt;&gt;"pass",CA548&amp;"",CA548&amp;"; "&amp;IF(AW548="Y",BZ548&amp;"",BL548&amp;"")&amp;IF(R548="Y","; known to the founder (+15)","")&amp;"."))</f>
        <v/>
      </c>
      <c r="R548" s="5"/>
      <c r="U548" s="5"/>
      <c r="Y548" s="0" t="str">
        <f aca="false">IF(FX548&lt;&gt;"Y","",COUNTIFS($FX$2:$FX$1000,"Y",$J$2:$J$1000,"&gt;"&amp;J548)+COUNTIFS($FX$2:$FX$1000,"Y",$J$2:$J$1000,J548,$GD$2:$GD$1000,"&lt;"&amp;GD548)+1)</f>
        <v/>
      </c>
      <c r="AB548" s="0" t="str">
        <f aca="false">IF($A548="","",IF(AW548="Y",BY548&amp;"",BK548&amp;""))</f>
        <v/>
      </c>
      <c r="AC548" s="0" t="str">
        <f aca="false">IF($A548="","",IF(AW548="Y",BS548&amp;"",BE548&amp;""))</f>
        <v/>
      </c>
      <c r="AD548" s="0" t="str">
        <f aca="false">IF($A548="","",IF(AW548="Y",BT548&amp;"",BF548&amp;""))</f>
        <v/>
      </c>
      <c r="AE548" s="0" t="str">
        <f aca="false">IF($A548="","",IF(AW548="Y",BU548&amp;"",BG548&amp;""))</f>
        <v/>
      </c>
      <c r="AF548" s="0" t="str">
        <f aca="false">IF($A548="","",IF(AW548="Y",BV548&amp;"",BH548&amp;""))</f>
        <v/>
      </c>
      <c r="AG548" s="0" t="str">
        <f aca="false">IF($A548="","",IF(AW548="Y",BW548&amp;"",BI548&amp;""))</f>
        <v/>
      </c>
      <c r="AH548" s="0" t="str">
        <f aca="false">IF($A548="","",IF(AW548="Y",BX548&amp;"",BJ548&amp;""))</f>
        <v/>
      </c>
      <c r="AQ548" s="5"/>
      <c r="AT548" s="0" t="str">
        <f aca="false">IF($A548="","",IF(AND(CN548="pass",AQ548&lt;&gt;"Y",C548&lt;&gt;"",OR(AX548&lt;&gt;"Y",AV548="Y")),"Y","N"))</f>
        <v/>
      </c>
      <c r="AU548" s="0" t="str">
        <f aca="false">IF($A548="","",_xlfn.TEXTJOIN("; ",TRUE(),IF(CN548&lt;&gt;"pass","gated out",""),IF(AQ548="Y","on hold: "&amp;AR548,""),IF(C548="","no contact named on an opened page",""),IF(AND(AX548="Y",AV548&lt;&gt;"Y"),"Tuesday estimate band "&amp;L548&amp;": founder's call","")))</f>
        <v/>
      </c>
      <c r="BC548" s="0" t="str">
        <f aca="false">IF($A548="","",IFERROR(INDEX(Enrichment!$A$2:$GZ$2000,MATCH($A548,INDEX(Enrichment!$A$2:$GZ$2000,0,MATCH("row_id",Enrichment!$A$1:$GZ$1,0)),0),MATCH("work_email",Enrichment!$A$1:$GZ$1,0))&amp;"",""))</f>
        <v/>
      </c>
      <c r="BD548" s="0" t="str">
        <f aca="false">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Q548" s="0" t="str">
        <f aca="false">IF($A548="","",IFERROR(INDEX(Enrichment!$A$2:$GZ$2000,MATCH($A548,INDEX(Enrichment!$A$2:$GZ$2000,0,MATCH("row_id",Enrichment!$A$1:$GZ$1,0)),0),MATCH("backup_work_email",Enrichment!$A$1:$GZ$1,0))&amp;"",""))</f>
        <v/>
      </c>
      <c r="BR548" s="0" t="str">
        <f aca="false">IF($A548="","",IF(BQ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EQ548" s="0" t="str">
        <f aca="false">IF($A548="","",IF(AH548="exact",10,IF(AH548="adjacent",5,0)))</f>
        <v/>
      </c>
      <c r="ER548" s="0" t="str">
        <f aca="false">IF($A548="","",IF(R548="Y",15,0))</f>
        <v/>
      </c>
      <c r="FS548" s="0" t="str">
        <f aca="false">IF($A548="","",IF(ISNUMBER(MATCH(U548,{"queued","contacted","replied","call_booked","call_done","yes_in_principle","materials_sent"},0)),"Y","N"))</f>
        <v/>
      </c>
      <c r="FT548" s="0" t="str">
        <f aca="false">IF($A548="","",IF(OR(T548="Y",U548="do_not_contact",AS548&amp;""&lt;&gt;""),"Y","N"))</f>
        <v/>
      </c>
      <c r="FU548" s="0" t="str">
        <f aca="false">IF($A548="","",IF(AP548&amp;""&lt;&gt;"",AP548&amp;"",$A548))</f>
        <v/>
      </c>
      <c r="FV548" s="0" t="str">
        <f aca="false">IF($A548="","",IF(COUNTIFS($FU$2:$FU$1000,FU548,$FS$2:$FS$1000,"Y")+COUNTIFS($FU$2:$FU$1000,FU548,$FT$2:$FT$1000,"Y")&gt;0,"Y","N"))</f>
        <v/>
      </c>
      <c r="FW548" s="0" t="str">
        <f aca="false">IF($A548="","",IF(AND(U548="new",T548="N",FT548="N",AT548="Y",FV548="N"),"Y","N"))</f>
        <v/>
      </c>
      <c r="FX548" s="0" t="str">
        <f aca="false">IF($A548="","",IF(FW548&lt;&gt;"Y","N",IF(COUNTIFS($FU$2:$FU$1000,FU548,$FW$2:$FW$1000,"Y",$J$2:$J$1000,"&gt;"&amp;J548)+COUNTIFS($FU$2:$FU$1000,FU548,$FW$2:$FW$1000,"Y",$J$2:$J$1000,J548,$GD$2:$GD$1000,"&lt;"&amp;GD548)=0,"Y","N")))</f>
        <v/>
      </c>
      <c r="FY548" s="0" t="str">
        <f aca="false">IF($A548="","",IF(AND(FW548="Y",FX548="Y",Y548&amp;""&lt;&gt;""),IF(Y548&lt;=10,"Y","N"),"N"))</f>
        <v/>
      </c>
      <c r="FZ548" s="0" t="str">
        <f aca="false">IF(FY548="Y",Y548,"")</f>
        <v/>
      </c>
      <c r="GA548" s="0" t="str">
        <f aca="false">IF($A548="","",IF(AND(I548="walk-in",CN548="pass",U548="new",FT548="N",FV548="N",AQ548&lt;&gt;"Y"),"Y","N"))</f>
        <v/>
      </c>
      <c r="GB548" s="0" t="str">
        <f aca="false">IF(GA548&lt;&gt;"Y","",IF(COUNTIFS($GA$2:$GA$1000,"Y",$J$2:$J$1000,"&gt;"&amp;J548)+COUNTIFS($GA$2:$GA$1000,"Y",$J$2:$J$1000,J548,$GD$2:$GD$1000,"&lt;"&amp;GD548)+1&lt;=25,COUNTIFS($GA$2:$GA$1000,"Y",$J$2:$J$1000,"&gt;"&amp;J548)+COUNTIFS($GA$2:$GA$1000,"Y",$J$2:$J$1000,J548,$GD$2:$GD$1000,"&lt;"&amp;GD548)+1,""))</f>
        <v/>
      </c>
      <c r="GC548" s="0" t="str">
        <f aca="false">IF(AND(_xlfn.ISFORMULA(C548),_xlfn.ISFORMULA(J548)),"Y","N")</f>
        <v>Y</v>
      </c>
      <c r="GD548" s="0" t="n">
        <f aca="false">ROW()-1</f>
        <v>547</v>
      </c>
    </row>
    <row r="549" customFormat="false" ht="15" hidden="false" customHeight="false" outlineLevel="0" collapsed="false">
      <c r="C549" s="0" t="str">
        <f aca="false">IF($A549="","",IF(AW549="Y",BM549&amp;"",AY549&amp;""))</f>
        <v/>
      </c>
      <c r="D549" s="0" t="str">
        <f aca="false">IF($A549="","",IF(AW549="Y",BN549&amp;"",AZ549&amp;""))</f>
        <v/>
      </c>
      <c r="E549" s="0" t="str">
        <f aca="false">IF($A549="","",IF(AW549="Y",BO549&amp;"",BA549&amp;""))</f>
        <v/>
      </c>
      <c r="F549" s="0" t="str">
        <f aca="false">IF($A549="","",IF(AW549="Y",BP549&amp;"",BB549&amp;""))</f>
        <v/>
      </c>
      <c r="G549" s="0" t="str">
        <f aca="false">IF($A549="","",IF(AW549="Y",BQ549&amp;"",BC549&amp;""))</f>
        <v/>
      </c>
      <c r="H549" s="0" t="str">
        <f aca="false">IF($A549="","",IF(AW549="Y",BR549&amp;"",BD549&amp;""))</f>
        <v/>
      </c>
      <c r="I549" s="0" t="str">
        <f aca="false">IF($A549="","",IF(R549="Y","warm-intro",IF(H549="verified","email",IF(C549&lt;&gt;"","linkedin",CB549&amp;""))))</f>
        <v/>
      </c>
      <c r="J549" s="0" t="str">
        <f aca="false">IF($A549="","",IF(CN549="pass",ROUND(N(EM549)+N(EN549)+N(EO549)+N(EP549)+N(EQ549)+N(ER549),1),0))</f>
        <v/>
      </c>
      <c r="K549" s="0" t="str">
        <f aca="false">IF($A549="","",IF(CN549&lt;&gt;"pass",CA549&amp;"",CA549&amp;"; "&amp;IF(AW549="Y",BZ549&amp;"",BL549&amp;"")&amp;IF(R549="Y","; known to the founder (+15)","")&amp;"."))</f>
        <v/>
      </c>
      <c r="R549" s="5"/>
      <c r="U549" s="5"/>
      <c r="Y549" s="0" t="str">
        <f aca="false">IF(FX549&lt;&gt;"Y","",COUNTIFS($FX$2:$FX$1000,"Y",$J$2:$J$1000,"&gt;"&amp;J549)+COUNTIFS($FX$2:$FX$1000,"Y",$J$2:$J$1000,J549,$GD$2:$GD$1000,"&lt;"&amp;GD549)+1)</f>
        <v/>
      </c>
      <c r="AB549" s="0" t="str">
        <f aca="false">IF($A549="","",IF(AW549="Y",BY549&amp;"",BK549&amp;""))</f>
        <v/>
      </c>
      <c r="AC549" s="0" t="str">
        <f aca="false">IF($A549="","",IF(AW549="Y",BS549&amp;"",BE549&amp;""))</f>
        <v/>
      </c>
      <c r="AD549" s="0" t="str">
        <f aca="false">IF($A549="","",IF(AW549="Y",BT549&amp;"",BF549&amp;""))</f>
        <v/>
      </c>
      <c r="AE549" s="0" t="str">
        <f aca="false">IF($A549="","",IF(AW549="Y",BU549&amp;"",BG549&amp;""))</f>
        <v/>
      </c>
      <c r="AF549" s="0" t="str">
        <f aca="false">IF($A549="","",IF(AW549="Y",BV549&amp;"",BH549&amp;""))</f>
        <v/>
      </c>
      <c r="AG549" s="0" t="str">
        <f aca="false">IF($A549="","",IF(AW549="Y",BW549&amp;"",BI549&amp;""))</f>
        <v/>
      </c>
      <c r="AH549" s="0" t="str">
        <f aca="false">IF($A549="","",IF(AW549="Y",BX549&amp;"",BJ549&amp;""))</f>
        <v/>
      </c>
      <c r="AQ549" s="5"/>
      <c r="AT549" s="0" t="str">
        <f aca="false">IF($A549="","",IF(AND(CN549="pass",AQ549&lt;&gt;"Y",C549&lt;&gt;"",OR(AX549&lt;&gt;"Y",AV549="Y")),"Y","N"))</f>
        <v/>
      </c>
      <c r="AU549" s="0" t="str">
        <f aca="false">IF($A549="","",_xlfn.TEXTJOIN("; ",TRUE(),IF(CN549&lt;&gt;"pass","gated out",""),IF(AQ549="Y","on hold: "&amp;AR549,""),IF(C549="","no contact named on an opened page",""),IF(AND(AX549="Y",AV549&lt;&gt;"Y"),"Tuesday estimate band "&amp;L549&amp;": founder's call","")))</f>
        <v/>
      </c>
      <c r="BC549" s="0" t="str">
        <f aca="false">IF($A549="","",IFERROR(INDEX(Enrichment!$A$2:$GZ$2000,MATCH($A549,INDEX(Enrichment!$A$2:$GZ$2000,0,MATCH("row_id",Enrichment!$A$1:$GZ$1,0)),0),MATCH("work_email",Enrichment!$A$1:$GZ$1,0))&amp;"",""))</f>
        <v/>
      </c>
      <c r="BD549" s="0" t="str">
        <f aca="false">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Q549" s="0" t="str">
        <f aca="false">IF($A549="","",IFERROR(INDEX(Enrichment!$A$2:$GZ$2000,MATCH($A549,INDEX(Enrichment!$A$2:$GZ$2000,0,MATCH("row_id",Enrichment!$A$1:$GZ$1,0)),0),MATCH("backup_work_email",Enrichment!$A$1:$GZ$1,0))&amp;"",""))</f>
        <v/>
      </c>
      <c r="BR549" s="0" t="str">
        <f aca="false">IF($A549="","",IF(BQ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EQ549" s="0" t="str">
        <f aca="false">IF($A549="","",IF(AH549="exact",10,IF(AH549="adjacent",5,0)))</f>
        <v/>
      </c>
      <c r="ER549" s="0" t="str">
        <f aca="false">IF($A549="","",IF(R549="Y",15,0))</f>
        <v/>
      </c>
      <c r="FS549" s="0" t="str">
        <f aca="false">IF($A549="","",IF(ISNUMBER(MATCH(U549,{"queued","contacted","replied","call_booked","call_done","yes_in_principle","materials_sent"},0)),"Y","N"))</f>
        <v/>
      </c>
      <c r="FT549" s="0" t="str">
        <f aca="false">IF($A549="","",IF(OR(T549="Y",U549="do_not_contact",AS549&amp;""&lt;&gt;""),"Y","N"))</f>
        <v/>
      </c>
      <c r="FU549" s="0" t="str">
        <f aca="false">IF($A549="","",IF(AP549&amp;""&lt;&gt;"",AP549&amp;"",$A549))</f>
        <v/>
      </c>
      <c r="FV549" s="0" t="str">
        <f aca="false">IF($A549="","",IF(COUNTIFS($FU$2:$FU$1000,FU549,$FS$2:$FS$1000,"Y")+COUNTIFS($FU$2:$FU$1000,FU549,$FT$2:$FT$1000,"Y")&gt;0,"Y","N"))</f>
        <v/>
      </c>
      <c r="FW549" s="0" t="str">
        <f aca="false">IF($A549="","",IF(AND(U549="new",T549="N",FT549="N",AT549="Y",FV549="N"),"Y","N"))</f>
        <v/>
      </c>
      <c r="FX549" s="0" t="str">
        <f aca="false">IF($A549="","",IF(FW549&lt;&gt;"Y","N",IF(COUNTIFS($FU$2:$FU$1000,FU549,$FW$2:$FW$1000,"Y",$J$2:$J$1000,"&gt;"&amp;J549)+COUNTIFS($FU$2:$FU$1000,FU549,$FW$2:$FW$1000,"Y",$J$2:$J$1000,J549,$GD$2:$GD$1000,"&lt;"&amp;GD549)=0,"Y","N")))</f>
        <v/>
      </c>
      <c r="FY549" s="0" t="str">
        <f aca="false">IF($A549="","",IF(AND(FW549="Y",FX549="Y",Y549&amp;""&lt;&gt;""),IF(Y549&lt;=10,"Y","N"),"N"))</f>
        <v/>
      </c>
      <c r="FZ549" s="0" t="str">
        <f aca="false">IF(FY549="Y",Y549,"")</f>
        <v/>
      </c>
      <c r="GA549" s="0" t="str">
        <f aca="false">IF($A549="","",IF(AND(I549="walk-in",CN549="pass",U549="new",FT549="N",FV549="N",AQ549&lt;&gt;"Y"),"Y","N"))</f>
        <v/>
      </c>
      <c r="GB549" s="0" t="str">
        <f aca="false">IF(GA549&lt;&gt;"Y","",IF(COUNTIFS($GA$2:$GA$1000,"Y",$J$2:$J$1000,"&gt;"&amp;J549)+COUNTIFS($GA$2:$GA$1000,"Y",$J$2:$J$1000,J549,$GD$2:$GD$1000,"&lt;"&amp;GD549)+1&lt;=25,COUNTIFS($GA$2:$GA$1000,"Y",$J$2:$J$1000,"&gt;"&amp;J549)+COUNTIFS($GA$2:$GA$1000,"Y",$J$2:$J$1000,J549,$GD$2:$GD$1000,"&lt;"&amp;GD549)+1,""))</f>
        <v/>
      </c>
      <c r="GC549" s="0" t="str">
        <f aca="false">IF(AND(_xlfn.ISFORMULA(C549),_xlfn.ISFORMULA(J549)),"Y","N")</f>
        <v>Y</v>
      </c>
      <c r="GD549" s="0" t="n">
        <f aca="false">ROW()-1</f>
        <v>548</v>
      </c>
    </row>
    <row r="550" customFormat="false" ht="15" hidden="false" customHeight="false" outlineLevel="0" collapsed="false">
      <c r="C550" s="0" t="str">
        <f aca="false">IF($A550="","",IF(AW550="Y",BM550&amp;"",AY550&amp;""))</f>
        <v/>
      </c>
      <c r="D550" s="0" t="str">
        <f aca="false">IF($A550="","",IF(AW550="Y",BN550&amp;"",AZ550&amp;""))</f>
        <v/>
      </c>
      <c r="E550" s="0" t="str">
        <f aca="false">IF($A550="","",IF(AW550="Y",BO550&amp;"",BA550&amp;""))</f>
        <v/>
      </c>
      <c r="F550" s="0" t="str">
        <f aca="false">IF($A550="","",IF(AW550="Y",BP550&amp;"",BB550&amp;""))</f>
        <v/>
      </c>
      <c r="G550" s="0" t="str">
        <f aca="false">IF($A550="","",IF(AW550="Y",BQ550&amp;"",BC550&amp;""))</f>
        <v/>
      </c>
      <c r="H550" s="0" t="str">
        <f aca="false">IF($A550="","",IF(AW550="Y",BR550&amp;"",BD550&amp;""))</f>
        <v/>
      </c>
      <c r="I550" s="0" t="str">
        <f aca="false">IF($A550="","",IF(R550="Y","warm-intro",IF(H550="verified","email",IF(C550&lt;&gt;"","linkedin",CB550&amp;""))))</f>
        <v/>
      </c>
      <c r="J550" s="0" t="str">
        <f aca="false">IF($A550="","",IF(CN550="pass",ROUND(N(EM550)+N(EN550)+N(EO550)+N(EP550)+N(EQ550)+N(ER550),1),0))</f>
        <v/>
      </c>
      <c r="K550" s="0" t="str">
        <f aca="false">IF($A550="","",IF(CN550&lt;&gt;"pass",CA550&amp;"",CA550&amp;"; "&amp;IF(AW550="Y",BZ550&amp;"",BL550&amp;"")&amp;IF(R550="Y","; known to the founder (+15)","")&amp;"."))</f>
        <v/>
      </c>
      <c r="R550" s="5"/>
      <c r="U550" s="5"/>
      <c r="Y550" s="0" t="str">
        <f aca="false">IF(FX550&lt;&gt;"Y","",COUNTIFS($FX$2:$FX$1000,"Y",$J$2:$J$1000,"&gt;"&amp;J550)+COUNTIFS($FX$2:$FX$1000,"Y",$J$2:$J$1000,J550,$GD$2:$GD$1000,"&lt;"&amp;GD550)+1)</f>
        <v/>
      </c>
      <c r="AB550" s="0" t="str">
        <f aca="false">IF($A550="","",IF(AW550="Y",BY550&amp;"",BK550&amp;""))</f>
        <v/>
      </c>
      <c r="AC550" s="0" t="str">
        <f aca="false">IF($A550="","",IF(AW550="Y",BS550&amp;"",BE550&amp;""))</f>
        <v/>
      </c>
      <c r="AD550" s="0" t="str">
        <f aca="false">IF($A550="","",IF(AW550="Y",BT550&amp;"",BF550&amp;""))</f>
        <v/>
      </c>
      <c r="AE550" s="0" t="str">
        <f aca="false">IF($A550="","",IF(AW550="Y",BU550&amp;"",BG550&amp;""))</f>
        <v/>
      </c>
      <c r="AF550" s="0" t="str">
        <f aca="false">IF($A550="","",IF(AW550="Y",BV550&amp;"",BH550&amp;""))</f>
        <v/>
      </c>
      <c r="AG550" s="0" t="str">
        <f aca="false">IF($A550="","",IF(AW550="Y",BW550&amp;"",BI550&amp;""))</f>
        <v/>
      </c>
      <c r="AH550" s="0" t="str">
        <f aca="false">IF($A550="","",IF(AW550="Y",BX550&amp;"",BJ550&amp;""))</f>
        <v/>
      </c>
      <c r="AQ550" s="5"/>
      <c r="AT550" s="0" t="str">
        <f aca="false">IF($A550="","",IF(AND(CN550="pass",AQ550&lt;&gt;"Y",C550&lt;&gt;"",OR(AX550&lt;&gt;"Y",AV550="Y")),"Y","N"))</f>
        <v/>
      </c>
      <c r="AU550" s="0" t="str">
        <f aca="false">IF($A550="","",_xlfn.TEXTJOIN("; ",TRUE(),IF(CN550&lt;&gt;"pass","gated out",""),IF(AQ550="Y","on hold: "&amp;AR550,""),IF(C550="","no contact named on an opened page",""),IF(AND(AX550="Y",AV550&lt;&gt;"Y"),"Tuesday estimate band "&amp;L550&amp;": founder's call","")))</f>
        <v/>
      </c>
      <c r="BC550" s="0" t="str">
        <f aca="false">IF($A550="","",IFERROR(INDEX(Enrichment!$A$2:$GZ$2000,MATCH($A550,INDEX(Enrichment!$A$2:$GZ$2000,0,MATCH("row_id",Enrichment!$A$1:$GZ$1,0)),0),MATCH("work_email",Enrichment!$A$1:$GZ$1,0))&amp;"",""))</f>
        <v/>
      </c>
      <c r="BD550" s="0" t="str">
        <f aca="false">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Q550" s="0" t="str">
        <f aca="false">IF($A550="","",IFERROR(INDEX(Enrichment!$A$2:$GZ$2000,MATCH($A550,INDEX(Enrichment!$A$2:$GZ$2000,0,MATCH("row_id",Enrichment!$A$1:$GZ$1,0)),0),MATCH("backup_work_email",Enrichment!$A$1:$GZ$1,0))&amp;"",""))</f>
        <v/>
      </c>
      <c r="BR550" s="0" t="str">
        <f aca="false">IF($A550="","",IF(BQ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EQ550" s="0" t="str">
        <f aca="false">IF($A550="","",IF(AH550="exact",10,IF(AH550="adjacent",5,0)))</f>
        <v/>
      </c>
      <c r="ER550" s="0" t="str">
        <f aca="false">IF($A550="","",IF(R550="Y",15,0))</f>
        <v/>
      </c>
      <c r="FS550" s="0" t="str">
        <f aca="false">IF($A550="","",IF(ISNUMBER(MATCH(U550,{"queued","contacted","replied","call_booked","call_done","yes_in_principle","materials_sent"},0)),"Y","N"))</f>
        <v/>
      </c>
      <c r="FT550" s="0" t="str">
        <f aca="false">IF($A550="","",IF(OR(T550="Y",U550="do_not_contact",AS550&amp;""&lt;&gt;""),"Y","N"))</f>
        <v/>
      </c>
      <c r="FU550" s="0" t="str">
        <f aca="false">IF($A550="","",IF(AP550&amp;""&lt;&gt;"",AP550&amp;"",$A550))</f>
        <v/>
      </c>
      <c r="FV550" s="0" t="str">
        <f aca="false">IF($A550="","",IF(COUNTIFS($FU$2:$FU$1000,FU550,$FS$2:$FS$1000,"Y")+COUNTIFS($FU$2:$FU$1000,FU550,$FT$2:$FT$1000,"Y")&gt;0,"Y","N"))</f>
        <v/>
      </c>
      <c r="FW550" s="0" t="str">
        <f aca="false">IF($A550="","",IF(AND(U550="new",T550="N",FT550="N",AT550="Y",FV550="N"),"Y","N"))</f>
        <v/>
      </c>
      <c r="FX550" s="0" t="str">
        <f aca="false">IF($A550="","",IF(FW550&lt;&gt;"Y","N",IF(COUNTIFS($FU$2:$FU$1000,FU550,$FW$2:$FW$1000,"Y",$J$2:$J$1000,"&gt;"&amp;J550)+COUNTIFS($FU$2:$FU$1000,FU550,$FW$2:$FW$1000,"Y",$J$2:$J$1000,J550,$GD$2:$GD$1000,"&lt;"&amp;GD550)=0,"Y","N")))</f>
        <v/>
      </c>
      <c r="FY550" s="0" t="str">
        <f aca="false">IF($A550="","",IF(AND(FW550="Y",FX550="Y",Y550&amp;""&lt;&gt;""),IF(Y550&lt;=10,"Y","N"),"N"))</f>
        <v/>
      </c>
      <c r="FZ550" s="0" t="str">
        <f aca="false">IF(FY550="Y",Y550,"")</f>
        <v/>
      </c>
      <c r="GA550" s="0" t="str">
        <f aca="false">IF($A550="","",IF(AND(I550="walk-in",CN550="pass",U550="new",FT550="N",FV550="N",AQ550&lt;&gt;"Y"),"Y","N"))</f>
        <v/>
      </c>
      <c r="GB550" s="0" t="str">
        <f aca="false">IF(GA550&lt;&gt;"Y","",IF(COUNTIFS($GA$2:$GA$1000,"Y",$J$2:$J$1000,"&gt;"&amp;J550)+COUNTIFS($GA$2:$GA$1000,"Y",$J$2:$J$1000,J550,$GD$2:$GD$1000,"&lt;"&amp;GD550)+1&lt;=25,COUNTIFS($GA$2:$GA$1000,"Y",$J$2:$J$1000,"&gt;"&amp;J550)+COUNTIFS($GA$2:$GA$1000,"Y",$J$2:$J$1000,J550,$GD$2:$GD$1000,"&lt;"&amp;GD550)+1,""))</f>
        <v/>
      </c>
      <c r="GC550" s="0" t="str">
        <f aca="false">IF(AND(_xlfn.ISFORMULA(C550),_xlfn.ISFORMULA(J550)),"Y","N")</f>
        <v>Y</v>
      </c>
      <c r="GD550" s="0" t="n">
        <f aca="false">ROW()-1</f>
        <v>549</v>
      </c>
    </row>
    <row r="551" customFormat="false" ht="15" hidden="false" customHeight="false" outlineLevel="0" collapsed="false">
      <c r="C551" s="0" t="str">
        <f aca="false">IF($A551="","",IF(AW551="Y",BM551&amp;"",AY551&amp;""))</f>
        <v/>
      </c>
      <c r="D551" s="0" t="str">
        <f aca="false">IF($A551="","",IF(AW551="Y",BN551&amp;"",AZ551&amp;""))</f>
        <v/>
      </c>
      <c r="E551" s="0" t="str">
        <f aca="false">IF($A551="","",IF(AW551="Y",BO551&amp;"",BA551&amp;""))</f>
        <v/>
      </c>
      <c r="F551" s="0" t="str">
        <f aca="false">IF($A551="","",IF(AW551="Y",BP551&amp;"",BB551&amp;""))</f>
        <v/>
      </c>
      <c r="G551" s="0" t="str">
        <f aca="false">IF($A551="","",IF(AW551="Y",BQ551&amp;"",BC551&amp;""))</f>
        <v/>
      </c>
      <c r="H551" s="0" t="str">
        <f aca="false">IF($A551="","",IF(AW551="Y",BR551&amp;"",BD551&amp;""))</f>
        <v/>
      </c>
      <c r="I551" s="0" t="str">
        <f aca="false">IF($A551="","",IF(R551="Y","warm-intro",IF(H551="verified","email",IF(C551&lt;&gt;"","linkedin",CB551&amp;""))))</f>
        <v/>
      </c>
      <c r="J551" s="0" t="str">
        <f aca="false">IF($A551="","",IF(CN551="pass",ROUND(N(EM551)+N(EN551)+N(EO551)+N(EP551)+N(EQ551)+N(ER551),1),0))</f>
        <v/>
      </c>
      <c r="K551" s="0" t="str">
        <f aca="false">IF($A551="","",IF(CN551&lt;&gt;"pass",CA551&amp;"",CA551&amp;"; "&amp;IF(AW551="Y",BZ551&amp;"",BL551&amp;"")&amp;IF(R551="Y","; known to the founder (+15)","")&amp;"."))</f>
        <v/>
      </c>
      <c r="R551" s="5"/>
      <c r="U551" s="5"/>
      <c r="Y551" s="0" t="str">
        <f aca="false">IF(FX551&lt;&gt;"Y","",COUNTIFS($FX$2:$FX$1000,"Y",$J$2:$J$1000,"&gt;"&amp;J551)+COUNTIFS($FX$2:$FX$1000,"Y",$J$2:$J$1000,J551,$GD$2:$GD$1000,"&lt;"&amp;GD551)+1)</f>
        <v/>
      </c>
      <c r="AB551" s="0" t="str">
        <f aca="false">IF($A551="","",IF(AW551="Y",BY551&amp;"",BK551&amp;""))</f>
        <v/>
      </c>
      <c r="AC551" s="0" t="str">
        <f aca="false">IF($A551="","",IF(AW551="Y",BS551&amp;"",BE551&amp;""))</f>
        <v/>
      </c>
      <c r="AD551" s="0" t="str">
        <f aca="false">IF($A551="","",IF(AW551="Y",BT551&amp;"",BF551&amp;""))</f>
        <v/>
      </c>
      <c r="AE551" s="0" t="str">
        <f aca="false">IF($A551="","",IF(AW551="Y",BU551&amp;"",BG551&amp;""))</f>
        <v/>
      </c>
      <c r="AF551" s="0" t="str">
        <f aca="false">IF($A551="","",IF(AW551="Y",BV551&amp;"",BH551&amp;""))</f>
        <v/>
      </c>
      <c r="AG551" s="0" t="str">
        <f aca="false">IF($A551="","",IF(AW551="Y",BW551&amp;"",BI551&amp;""))</f>
        <v/>
      </c>
      <c r="AH551" s="0" t="str">
        <f aca="false">IF($A551="","",IF(AW551="Y",BX551&amp;"",BJ551&amp;""))</f>
        <v/>
      </c>
      <c r="AQ551" s="5"/>
      <c r="AT551" s="0" t="str">
        <f aca="false">IF($A551="","",IF(AND(CN551="pass",AQ551&lt;&gt;"Y",C551&lt;&gt;"",OR(AX551&lt;&gt;"Y",AV551="Y")),"Y","N"))</f>
        <v/>
      </c>
      <c r="AU551" s="0" t="str">
        <f aca="false">IF($A551="","",_xlfn.TEXTJOIN("; ",TRUE(),IF(CN551&lt;&gt;"pass","gated out",""),IF(AQ551="Y","on hold: "&amp;AR551,""),IF(C551="","no contact named on an opened page",""),IF(AND(AX551="Y",AV551&lt;&gt;"Y"),"Tuesday estimate band "&amp;L551&amp;": founder's call","")))</f>
        <v/>
      </c>
      <c r="BC551" s="0" t="str">
        <f aca="false">IF($A551="","",IFERROR(INDEX(Enrichment!$A$2:$GZ$2000,MATCH($A551,INDEX(Enrichment!$A$2:$GZ$2000,0,MATCH("row_id",Enrichment!$A$1:$GZ$1,0)),0),MATCH("work_email",Enrichment!$A$1:$GZ$1,0))&amp;"",""))</f>
        <v/>
      </c>
      <c r="BD551" s="0" t="str">
        <f aca="false">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Q551" s="0" t="str">
        <f aca="false">IF($A551="","",IFERROR(INDEX(Enrichment!$A$2:$GZ$2000,MATCH($A551,INDEX(Enrichment!$A$2:$GZ$2000,0,MATCH("row_id",Enrichment!$A$1:$GZ$1,0)),0),MATCH("backup_work_email",Enrichment!$A$1:$GZ$1,0))&amp;"",""))</f>
        <v/>
      </c>
      <c r="BR551" s="0" t="str">
        <f aca="false">IF($A551="","",IF(BQ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EQ551" s="0" t="str">
        <f aca="false">IF($A551="","",IF(AH551="exact",10,IF(AH551="adjacent",5,0)))</f>
        <v/>
      </c>
      <c r="ER551" s="0" t="str">
        <f aca="false">IF($A551="","",IF(R551="Y",15,0))</f>
        <v/>
      </c>
      <c r="FS551" s="0" t="str">
        <f aca="false">IF($A551="","",IF(ISNUMBER(MATCH(U551,{"queued","contacted","replied","call_booked","call_done","yes_in_principle","materials_sent"},0)),"Y","N"))</f>
        <v/>
      </c>
      <c r="FT551" s="0" t="str">
        <f aca="false">IF($A551="","",IF(OR(T551="Y",U551="do_not_contact",AS551&amp;""&lt;&gt;""),"Y","N"))</f>
        <v/>
      </c>
      <c r="FU551" s="0" t="str">
        <f aca="false">IF($A551="","",IF(AP551&amp;""&lt;&gt;"",AP551&amp;"",$A551))</f>
        <v/>
      </c>
      <c r="FV551" s="0" t="str">
        <f aca="false">IF($A551="","",IF(COUNTIFS($FU$2:$FU$1000,FU551,$FS$2:$FS$1000,"Y")+COUNTIFS($FU$2:$FU$1000,FU551,$FT$2:$FT$1000,"Y")&gt;0,"Y","N"))</f>
        <v/>
      </c>
      <c r="FW551" s="0" t="str">
        <f aca="false">IF($A551="","",IF(AND(U551="new",T551="N",FT551="N",AT551="Y",FV551="N"),"Y","N"))</f>
        <v/>
      </c>
      <c r="FX551" s="0" t="str">
        <f aca="false">IF($A551="","",IF(FW551&lt;&gt;"Y","N",IF(COUNTIFS($FU$2:$FU$1000,FU551,$FW$2:$FW$1000,"Y",$J$2:$J$1000,"&gt;"&amp;J551)+COUNTIFS($FU$2:$FU$1000,FU551,$FW$2:$FW$1000,"Y",$J$2:$J$1000,J551,$GD$2:$GD$1000,"&lt;"&amp;GD551)=0,"Y","N")))</f>
        <v/>
      </c>
      <c r="FY551" s="0" t="str">
        <f aca="false">IF($A551="","",IF(AND(FW551="Y",FX551="Y",Y551&amp;""&lt;&gt;""),IF(Y551&lt;=10,"Y","N"),"N"))</f>
        <v/>
      </c>
      <c r="FZ551" s="0" t="str">
        <f aca="false">IF(FY551="Y",Y551,"")</f>
        <v/>
      </c>
      <c r="GA551" s="0" t="str">
        <f aca="false">IF($A551="","",IF(AND(I551="walk-in",CN551="pass",U551="new",FT551="N",FV551="N",AQ551&lt;&gt;"Y"),"Y","N"))</f>
        <v/>
      </c>
      <c r="GB551" s="0" t="str">
        <f aca="false">IF(GA551&lt;&gt;"Y","",IF(COUNTIFS($GA$2:$GA$1000,"Y",$J$2:$J$1000,"&gt;"&amp;J551)+COUNTIFS($GA$2:$GA$1000,"Y",$J$2:$J$1000,J551,$GD$2:$GD$1000,"&lt;"&amp;GD551)+1&lt;=25,COUNTIFS($GA$2:$GA$1000,"Y",$J$2:$J$1000,"&gt;"&amp;J551)+COUNTIFS($GA$2:$GA$1000,"Y",$J$2:$J$1000,J551,$GD$2:$GD$1000,"&lt;"&amp;GD551)+1,""))</f>
        <v/>
      </c>
      <c r="GC551" s="0" t="str">
        <f aca="false">IF(AND(_xlfn.ISFORMULA(C551),_xlfn.ISFORMULA(J551)),"Y","N")</f>
        <v>Y</v>
      </c>
      <c r="GD551" s="0" t="n">
        <f aca="false">ROW()-1</f>
        <v>550</v>
      </c>
    </row>
    <row r="552" customFormat="false" ht="15" hidden="false" customHeight="false" outlineLevel="0" collapsed="false">
      <c r="C552" s="0" t="str">
        <f aca="false">IF($A552="","",IF(AW552="Y",BM552&amp;"",AY552&amp;""))</f>
        <v/>
      </c>
      <c r="D552" s="0" t="str">
        <f aca="false">IF($A552="","",IF(AW552="Y",BN552&amp;"",AZ552&amp;""))</f>
        <v/>
      </c>
      <c r="E552" s="0" t="str">
        <f aca="false">IF($A552="","",IF(AW552="Y",BO552&amp;"",BA552&amp;""))</f>
        <v/>
      </c>
      <c r="F552" s="0" t="str">
        <f aca="false">IF($A552="","",IF(AW552="Y",BP552&amp;"",BB552&amp;""))</f>
        <v/>
      </c>
      <c r="G552" s="0" t="str">
        <f aca="false">IF($A552="","",IF(AW552="Y",BQ552&amp;"",BC552&amp;""))</f>
        <v/>
      </c>
      <c r="H552" s="0" t="str">
        <f aca="false">IF($A552="","",IF(AW552="Y",BR552&amp;"",BD552&amp;""))</f>
        <v/>
      </c>
      <c r="I552" s="0" t="str">
        <f aca="false">IF($A552="","",IF(R552="Y","warm-intro",IF(H552="verified","email",IF(C552&lt;&gt;"","linkedin",CB552&amp;""))))</f>
        <v/>
      </c>
      <c r="J552" s="0" t="str">
        <f aca="false">IF($A552="","",IF(CN552="pass",ROUND(N(EM552)+N(EN552)+N(EO552)+N(EP552)+N(EQ552)+N(ER552),1),0))</f>
        <v/>
      </c>
      <c r="K552" s="0" t="str">
        <f aca="false">IF($A552="","",IF(CN552&lt;&gt;"pass",CA552&amp;"",CA552&amp;"; "&amp;IF(AW552="Y",BZ552&amp;"",BL552&amp;"")&amp;IF(R552="Y","; known to the founder (+15)","")&amp;"."))</f>
        <v/>
      </c>
      <c r="R552" s="5"/>
      <c r="U552" s="5"/>
      <c r="Y552" s="0" t="str">
        <f aca="false">IF(FX552&lt;&gt;"Y","",COUNTIFS($FX$2:$FX$1000,"Y",$J$2:$J$1000,"&gt;"&amp;J552)+COUNTIFS($FX$2:$FX$1000,"Y",$J$2:$J$1000,J552,$GD$2:$GD$1000,"&lt;"&amp;GD552)+1)</f>
        <v/>
      </c>
      <c r="AB552" s="0" t="str">
        <f aca="false">IF($A552="","",IF(AW552="Y",BY552&amp;"",BK552&amp;""))</f>
        <v/>
      </c>
      <c r="AC552" s="0" t="str">
        <f aca="false">IF($A552="","",IF(AW552="Y",BS552&amp;"",BE552&amp;""))</f>
        <v/>
      </c>
      <c r="AD552" s="0" t="str">
        <f aca="false">IF($A552="","",IF(AW552="Y",BT552&amp;"",BF552&amp;""))</f>
        <v/>
      </c>
      <c r="AE552" s="0" t="str">
        <f aca="false">IF($A552="","",IF(AW552="Y",BU552&amp;"",BG552&amp;""))</f>
        <v/>
      </c>
      <c r="AF552" s="0" t="str">
        <f aca="false">IF($A552="","",IF(AW552="Y",BV552&amp;"",BH552&amp;""))</f>
        <v/>
      </c>
      <c r="AG552" s="0" t="str">
        <f aca="false">IF($A552="","",IF(AW552="Y",BW552&amp;"",BI552&amp;""))</f>
        <v/>
      </c>
      <c r="AH552" s="0" t="str">
        <f aca="false">IF($A552="","",IF(AW552="Y",BX552&amp;"",BJ552&amp;""))</f>
        <v/>
      </c>
      <c r="AQ552" s="5"/>
      <c r="AT552" s="0" t="str">
        <f aca="false">IF($A552="","",IF(AND(CN552="pass",AQ552&lt;&gt;"Y",C552&lt;&gt;"",OR(AX552&lt;&gt;"Y",AV552="Y")),"Y","N"))</f>
        <v/>
      </c>
      <c r="AU552" s="0" t="str">
        <f aca="false">IF($A552="","",_xlfn.TEXTJOIN("; ",TRUE(),IF(CN552&lt;&gt;"pass","gated out",""),IF(AQ552="Y","on hold: "&amp;AR552,""),IF(C552="","no contact named on an opened page",""),IF(AND(AX552="Y",AV552&lt;&gt;"Y"),"Tuesday estimate band "&amp;L552&amp;": founder's call","")))</f>
        <v/>
      </c>
      <c r="BC552" s="0" t="str">
        <f aca="false">IF($A552="","",IFERROR(INDEX(Enrichment!$A$2:$GZ$2000,MATCH($A552,INDEX(Enrichment!$A$2:$GZ$2000,0,MATCH("row_id",Enrichment!$A$1:$GZ$1,0)),0),MATCH("work_email",Enrichment!$A$1:$GZ$1,0))&amp;"",""))</f>
        <v/>
      </c>
      <c r="BD552" s="0" t="str">
        <f aca="false">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Q552" s="0" t="str">
        <f aca="false">IF($A552="","",IFERROR(INDEX(Enrichment!$A$2:$GZ$2000,MATCH($A552,INDEX(Enrichment!$A$2:$GZ$2000,0,MATCH("row_id",Enrichment!$A$1:$GZ$1,0)),0),MATCH("backup_work_email",Enrichment!$A$1:$GZ$1,0))&amp;"",""))</f>
        <v/>
      </c>
      <c r="BR552" s="0" t="str">
        <f aca="false">IF($A552="","",IF(BQ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EQ552" s="0" t="str">
        <f aca="false">IF($A552="","",IF(AH552="exact",10,IF(AH552="adjacent",5,0)))</f>
        <v/>
      </c>
      <c r="ER552" s="0" t="str">
        <f aca="false">IF($A552="","",IF(R552="Y",15,0))</f>
        <v/>
      </c>
      <c r="FS552" s="0" t="str">
        <f aca="false">IF($A552="","",IF(ISNUMBER(MATCH(U552,{"queued","contacted","replied","call_booked","call_done","yes_in_principle","materials_sent"},0)),"Y","N"))</f>
        <v/>
      </c>
      <c r="FT552" s="0" t="str">
        <f aca="false">IF($A552="","",IF(OR(T552="Y",U552="do_not_contact",AS552&amp;""&lt;&gt;""),"Y","N"))</f>
        <v/>
      </c>
      <c r="FU552" s="0" t="str">
        <f aca="false">IF($A552="","",IF(AP552&amp;""&lt;&gt;"",AP552&amp;"",$A552))</f>
        <v/>
      </c>
      <c r="FV552" s="0" t="str">
        <f aca="false">IF($A552="","",IF(COUNTIFS($FU$2:$FU$1000,FU552,$FS$2:$FS$1000,"Y")+COUNTIFS($FU$2:$FU$1000,FU552,$FT$2:$FT$1000,"Y")&gt;0,"Y","N"))</f>
        <v/>
      </c>
      <c r="FW552" s="0" t="str">
        <f aca="false">IF($A552="","",IF(AND(U552="new",T552="N",FT552="N",AT552="Y",FV552="N"),"Y","N"))</f>
        <v/>
      </c>
      <c r="FX552" s="0" t="str">
        <f aca="false">IF($A552="","",IF(FW552&lt;&gt;"Y","N",IF(COUNTIFS($FU$2:$FU$1000,FU552,$FW$2:$FW$1000,"Y",$J$2:$J$1000,"&gt;"&amp;J552)+COUNTIFS($FU$2:$FU$1000,FU552,$FW$2:$FW$1000,"Y",$J$2:$J$1000,J552,$GD$2:$GD$1000,"&lt;"&amp;GD552)=0,"Y","N")))</f>
        <v/>
      </c>
      <c r="FY552" s="0" t="str">
        <f aca="false">IF($A552="","",IF(AND(FW552="Y",FX552="Y",Y552&amp;""&lt;&gt;""),IF(Y552&lt;=10,"Y","N"),"N"))</f>
        <v/>
      </c>
      <c r="FZ552" s="0" t="str">
        <f aca="false">IF(FY552="Y",Y552,"")</f>
        <v/>
      </c>
      <c r="GA552" s="0" t="str">
        <f aca="false">IF($A552="","",IF(AND(I552="walk-in",CN552="pass",U552="new",FT552="N",FV552="N",AQ552&lt;&gt;"Y"),"Y","N"))</f>
        <v/>
      </c>
      <c r="GB552" s="0" t="str">
        <f aca="false">IF(GA552&lt;&gt;"Y","",IF(COUNTIFS($GA$2:$GA$1000,"Y",$J$2:$J$1000,"&gt;"&amp;J552)+COUNTIFS($GA$2:$GA$1000,"Y",$J$2:$J$1000,J552,$GD$2:$GD$1000,"&lt;"&amp;GD552)+1&lt;=25,COUNTIFS($GA$2:$GA$1000,"Y",$J$2:$J$1000,"&gt;"&amp;J552)+COUNTIFS($GA$2:$GA$1000,"Y",$J$2:$J$1000,J552,$GD$2:$GD$1000,"&lt;"&amp;GD552)+1,""))</f>
        <v/>
      </c>
      <c r="GC552" s="0" t="str">
        <f aca="false">IF(AND(_xlfn.ISFORMULA(C552),_xlfn.ISFORMULA(J552)),"Y","N")</f>
        <v>Y</v>
      </c>
      <c r="GD552" s="0" t="n">
        <f aca="false">ROW()-1</f>
        <v>551</v>
      </c>
    </row>
    <row r="553" customFormat="false" ht="15" hidden="false" customHeight="false" outlineLevel="0" collapsed="false">
      <c r="C553" s="0" t="str">
        <f aca="false">IF($A553="","",IF(AW553="Y",BM553&amp;"",AY553&amp;""))</f>
        <v/>
      </c>
      <c r="D553" s="0" t="str">
        <f aca="false">IF($A553="","",IF(AW553="Y",BN553&amp;"",AZ553&amp;""))</f>
        <v/>
      </c>
      <c r="E553" s="0" t="str">
        <f aca="false">IF($A553="","",IF(AW553="Y",BO553&amp;"",BA553&amp;""))</f>
        <v/>
      </c>
      <c r="F553" s="0" t="str">
        <f aca="false">IF($A553="","",IF(AW553="Y",BP553&amp;"",BB553&amp;""))</f>
        <v/>
      </c>
      <c r="G553" s="0" t="str">
        <f aca="false">IF($A553="","",IF(AW553="Y",BQ553&amp;"",BC553&amp;""))</f>
        <v/>
      </c>
      <c r="H553" s="0" t="str">
        <f aca="false">IF($A553="","",IF(AW553="Y",BR553&amp;"",BD553&amp;""))</f>
        <v/>
      </c>
      <c r="I553" s="0" t="str">
        <f aca="false">IF($A553="","",IF(R553="Y","warm-intro",IF(H553="verified","email",IF(C553&lt;&gt;"","linkedin",CB553&amp;""))))</f>
        <v/>
      </c>
      <c r="J553" s="0" t="str">
        <f aca="false">IF($A553="","",IF(CN553="pass",ROUND(N(EM553)+N(EN553)+N(EO553)+N(EP553)+N(EQ553)+N(ER553),1),0))</f>
        <v/>
      </c>
      <c r="K553" s="0" t="str">
        <f aca="false">IF($A553="","",IF(CN553&lt;&gt;"pass",CA553&amp;"",CA553&amp;"; "&amp;IF(AW553="Y",BZ553&amp;"",BL553&amp;"")&amp;IF(R553="Y","; known to the founder (+15)","")&amp;"."))</f>
        <v/>
      </c>
      <c r="R553" s="5"/>
      <c r="U553" s="5"/>
      <c r="Y553" s="0" t="str">
        <f aca="false">IF(FX553&lt;&gt;"Y","",COUNTIFS($FX$2:$FX$1000,"Y",$J$2:$J$1000,"&gt;"&amp;J553)+COUNTIFS($FX$2:$FX$1000,"Y",$J$2:$J$1000,J553,$GD$2:$GD$1000,"&lt;"&amp;GD553)+1)</f>
        <v/>
      </c>
      <c r="AB553" s="0" t="str">
        <f aca="false">IF($A553="","",IF(AW553="Y",BY553&amp;"",BK553&amp;""))</f>
        <v/>
      </c>
      <c r="AC553" s="0" t="str">
        <f aca="false">IF($A553="","",IF(AW553="Y",BS553&amp;"",BE553&amp;""))</f>
        <v/>
      </c>
      <c r="AD553" s="0" t="str">
        <f aca="false">IF($A553="","",IF(AW553="Y",BT553&amp;"",BF553&amp;""))</f>
        <v/>
      </c>
      <c r="AE553" s="0" t="str">
        <f aca="false">IF($A553="","",IF(AW553="Y",BU553&amp;"",BG553&amp;""))</f>
        <v/>
      </c>
      <c r="AF553" s="0" t="str">
        <f aca="false">IF($A553="","",IF(AW553="Y",BV553&amp;"",BH553&amp;""))</f>
        <v/>
      </c>
      <c r="AG553" s="0" t="str">
        <f aca="false">IF($A553="","",IF(AW553="Y",BW553&amp;"",BI553&amp;""))</f>
        <v/>
      </c>
      <c r="AH553" s="0" t="str">
        <f aca="false">IF($A553="","",IF(AW553="Y",BX553&amp;"",BJ553&amp;""))</f>
        <v/>
      </c>
      <c r="AQ553" s="5"/>
      <c r="AT553" s="0" t="str">
        <f aca="false">IF($A553="","",IF(AND(CN553="pass",AQ553&lt;&gt;"Y",C553&lt;&gt;"",OR(AX553&lt;&gt;"Y",AV553="Y")),"Y","N"))</f>
        <v/>
      </c>
      <c r="AU553" s="0" t="str">
        <f aca="false">IF($A553="","",_xlfn.TEXTJOIN("; ",TRUE(),IF(CN553&lt;&gt;"pass","gated out",""),IF(AQ553="Y","on hold: "&amp;AR553,""),IF(C553="","no contact named on an opened page",""),IF(AND(AX553="Y",AV553&lt;&gt;"Y"),"Tuesday estimate band "&amp;L553&amp;": founder's call","")))</f>
        <v/>
      </c>
      <c r="BC553" s="0" t="str">
        <f aca="false">IF($A553="","",IFERROR(INDEX(Enrichment!$A$2:$GZ$2000,MATCH($A553,INDEX(Enrichment!$A$2:$GZ$2000,0,MATCH("row_id",Enrichment!$A$1:$GZ$1,0)),0),MATCH("work_email",Enrichment!$A$1:$GZ$1,0))&amp;"",""))</f>
        <v/>
      </c>
      <c r="BD553" s="0" t="str">
        <f aca="false">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Q553" s="0" t="str">
        <f aca="false">IF($A553="","",IFERROR(INDEX(Enrichment!$A$2:$GZ$2000,MATCH($A553,INDEX(Enrichment!$A$2:$GZ$2000,0,MATCH("row_id",Enrichment!$A$1:$GZ$1,0)),0),MATCH("backup_work_email",Enrichment!$A$1:$GZ$1,0))&amp;"",""))</f>
        <v/>
      </c>
      <c r="BR553" s="0" t="str">
        <f aca="false">IF($A553="","",IF(BQ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EQ553" s="0" t="str">
        <f aca="false">IF($A553="","",IF(AH553="exact",10,IF(AH553="adjacent",5,0)))</f>
        <v/>
      </c>
      <c r="ER553" s="0" t="str">
        <f aca="false">IF($A553="","",IF(R553="Y",15,0))</f>
        <v/>
      </c>
      <c r="FS553" s="0" t="str">
        <f aca="false">IF($A553="","",IF(ISNUMBER(MATCH(U553,{"queued","contacted","replied","call_booked","call_done","yes_in_principle","materials_sent"},0)),"Y","N"))</f>
        <v/>
      </c>
      <c r="FT553" s="0" t="str">
        <f aca="false">IF($A553="","",IF(OR(T553="Y",U553="do_not_contact",AS553&amp;""&lt;&gt;""),"Y","N"))</f>
        <v/>
      </c>
      <c r="FU553" s="0" t="str">
        <f aca="false">IF($A553="","",IF(AP553&amp;""&lt;&gt;"",AP553&amp;"",$A553))</f>
        <v/>
      </c>
      <c r="FV553" s="0" t="str">
        <f aca="false">IF($A553="","",IF(COUNTIFS($FU$2:$FU$1000,FU553,$FS$2:$FS$1000,"Y")+COUNTIFS($FU$2:$FU$1000,FU553,$FT$2:$FT$1000,"Y")&gt;0,"Y","N"))</f>
        <v/>
      </c>
      <c r="FW553" s="0" t="str">
        <f aca="false">IF($A553="","",IF(AND(U553="new",T553="N",FT553="N",AT553="Y",FV553="N"),"Y","N"))</f>
        <v/>
      </c>
      <c r="FX553" s="0" t="str">
        <f aca="false">IF($A553="","",IF(FW553&lt;&gt;"Y","N",IF(COUNTIFS($FU$2:$FU$1000,FU553,$FW$2:$FW$1000,"Y",$J$2:$J$1000,"&gt;"&amp;J553)+COUNTIFS($FU$2:$FU$1000,FU553,$FW$2:$FW$1000,"Y",$J$2:$J$1000,J553,$GD$2:$GD$1000,"&lt;"&amp;GD553)=0,"Y","N")))</f>
        <v/>
      </c>
      <c r="FY553" s="0" t="str">
        <f aca="false">IF($A553="","",IF(AND(FW553="Y",FX553="Y",Y553&amp;""&lt;&gt;""),IF(Y553&lt;=10,"Y","N"),"N"))</f>
        <v/>
      </c>
      <c r="FZ553" s="0" t="str">
        <f aca="false">IF(FY553="Y",Y553,"")</f>
        <v/>
      </c>
      <c r="GA553" s="0" t="str">
        <f aca="false">IF($A553="","",IF(AND(I553="walk-in",CN553="pass",U553="new",FT553="N",FV553="N",AQ553&lt;&gt;"Y"),"Y","N"))</f>
        <v/>
      </c>
      <c r="GB553" s="0" t="str">
        <f aca="false">IF(GA553&lt;&gt;"Y","",IF(COUNTIFS($GA$2:$GA$1000,"Y",$J$2:$J$1000,"&gt;"&amp;J553)+COUNTIFS($GA$2:$GA$1000,"Y",$J$2:$J$1000,J553,$GD$2:$GD$1000,"&lt;"&amp;GD553)+1&lt;=25,COUNTIFS($GA$2:$GA$1000,"Y",$J$2:$J$1000,"&gt;"&amp;J553)+COUNTIFS($GA$2:$GA$1000,"Y",$J$2:$J$1000,J553,$GD$2:$GD$1000,"&lt;"&amp;GD553)+1,""))</f>
        <v/>
      </c>
      <c r="GC553" s="0" t="str">
        <f aca="false">IF(AND(_xlfn.ISFORMULA(C553),_xlfn.ISFORMULA(J553)),"Y","N")</f>
        <v>Y</v>
      </c>
      <c r="GD553" s="0" t="n">
        <f aca="false">ROW()-1</f>
        <v>552</v>
      </c>
    </row>
    <row r="554" customFormat="false" ht="15" hidden="false" customHeight="false" outlineLevel="0" collapsed="false">
      <c r="C554" s="0" t="str">
        <f aca="false">IF($A554="","",IF(AW554="Y",BM554&amp;"",AY554&amp;""))</f>
        <v/>
      </c>
      <c r="D554" s="0" t="str">
        <f aca="false">IF($A554="","",IF(AW554="Y",BN554&amp;"",AZ554&amp;""))</f>
        <v/>
      </c>
      <c r="E554" s="0" t="str">
        <f aca="false">IF($A554="","",IF(AW554="Y",BO554&amp;"",BA554&amp;""))</f>
        <v/>
      </c>
      <c r="F554" s="0" t="str">
        <f aca="false">IF($A554="","",IF(AW554="Y",BP554&amp;"",BB554&amp;""))</f>
        <v/>
      </c>
      <c r="G554" s="0" t="str">
        <f aca="false">IF($A554="","",IF(AW554="Y",BQ554&amp;"",BC554&amp;""))</f>
        <v/>
      </c>
      <c r="H554" s="0" t="str">
        <f aca="false">IF($A554="","",IF(AW554="Y",BR554&amp;"",BD554&amp;""))</f>
        <v/>
      </c>
      <c r="I554" s="0" t="str">
        <f aca="false">IF($A554="","",IF(R554="Y","warm-intro",IF(H554="verified","email",IF(C554&lt;&gt;"","linkedin",CB554&amp;""))))</f>
        <v/>
      </c>
      <c r="J554" s="0" t="str">
        <f aca="false">IF($A554="","",IF(CN554="pass",ROUND(N(EM554)+N(EN554)+N(EO554)+N(EP554)+N(EQ554)+N(ER554),1),0))</f>
        <v/>
      </c>
      <c r="K554" s="0" t="str">
        <f aca="false">IF($A554="","",IF(CN554&lt;&gt;"pass",CA554&amp;"",CA554&amp;"; "&amp;IF(AW554="Y",BZ554&amp;"",BL554&amp;"")&amp;IF(R554="Y","; known to the founder (+15)","")&amp;"."))</f>
        <v/>
      </c>
      <c r="R554" s="5"/>
      <c r="U554" s="5"/>
      <c r="Y554" s="0" t="str">
        <f aca="false">IF(FX554&lt;&gt;"Y","",COUNTIFS($FX$2:$FX$1000,"Y",$J$2:$J$1000,"&gt;"&amp;J554)+COUNTIFS($FX$2:$FX$1000,"Y",$J$2:$J$1000,J554,$GD$2:$GD$1000,"&lt;"&amp;GD554)+1)</f>
        <v/>
      </c>
      <c r="AB554" s="0" t="str">
        <f aca="false">IF($A554="","",IF(AW554="Y",BY554&amp;"",BK554&amp;""))</f>
        <v/>
      </c>
      <c r="AC554" s="0" t="str">
        <f aca="false">IF($A554="","",IF(AW554="Y",BS554&amp;"",BE554&amp;""))</f>
        <v/>
      </c>
      <c r="AD554" s="0" t="str">
        <f aca="false">IF($A554="","",IF(AW554="Y",BT554&amp;"",BF554&amp;""))</f>
        <v/>
      </c>
      <c r="AE554" s="0" t="str">
        <f aca="false">IF($A554="","",IF(AW554="Y",BU554&amp;"",BG554&amp;""))</f>
        <v/>
      </c>
      <c r="AF554" s="0" t="str">
        <f aca="false">IF($A554="","",IF(AW554="Y",BV554&amp;"",BH554&amp;""))</f>
        <v/>
      </c>
      <c r="AG554" s="0" t="str">
        <f aca="false">IF($A554="","",IF(AW554="Y",BW554&amp;"",BI554&amp;""))</f>
        <v/>
      </c>
      <c r="AH554" s="0" t="str">
        <f aca="false">IF($A554="","",IF(AW554="Y",BX554&amp;"",BJ554&amp;""))</f>
        <v/>
      </c>
      <c r="AQ554" s="5"/>
      <c r="AT554" s="0" t="str">
        <f aca="false">IF($A554="","",IF(AND(CN554="pass",AQ554&lt;&gt;"Y",C554&lt;&gt;"",OR(AX554&lt;&gt;"Y",AV554="Y")),"Y","N"))</f>
        <v/>
      </c>
      <c r="AU554" s="0" t="str">
        <f aca="false">IF($A554="","",_xlfn.TEXTJOIN("; ",TRUE(),IF(CN554&lt;&gt;"pass","gated out",""),IF(AQ554="Y","on hold: "&amp;AR554,""),IF(C554="","no contact named on an opened page",""),IF(AND(AX554="Y",AV554&lt;&gt;"Y"),"Tuesday estimate band "&amp;L554&amp;": founder's call","")))</f>
        <v/>
      </c>
      <c r="BC554" s="0" t="str">
        <f aca="false">IF($A554="","",IFERROR(INDEX(Enrichment!$A$2:$GZ$2000,MATCH($A554,INDEX(Enrichment!$A$2:$GZ$2000,0,MATCH("row_id",Enrichment!$A$1:$GZ$1,0)),0),MATCH("work_email",Enrichment!$A$1:$GZ$1,0))&amp;"",""))</f>
        <v/>
      </c>
      <c r="BD554" s="0" t="str">
        <f aca="false">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Q554" s="0" t="str">
        <f aca="false">IF($A554="","",IFERROR(INDEX(Enrichment!$A$2:$GZ$2000,MATCH($A554,INDEX(Enrichment!$A$2:$GZ$2000,0,MATCH("row_id",Enrichment!$A$1:$GZ$1,0)),0),MATCH("backup_work_email",Enrichment!$A$1:$GZ$1,0))&amp;"",""))</f>
        <v/>
      </c>
      <c r="BR554" s="0" t="str">
        <f aca="false">IF($A554="","",IF(BQ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EQ554" s="0" t="str">
        <f aca="false">IF($A554="","",IF(AH554="exact",10,IF(AH554="adjacent",5,0)))</f>
        <v/>
      </c>
      <c r="ER554" s="0" t="str">
        <f aca="false">IF($A554="","",IF(R554="Y",15,0))</f>
        <v/>
      </c>
      <c r="FS554" s="0" t="str">
        <f aca="false">IF($A554="","",IF(ISNUMBER(MATCH(U554,{"queued","contacted","replied","call_booked","call_done","yes_in_principle","materials_sent"},0)),"Y","N"))</f>
        <v/>
      </c>
      <c r="FT554" s="0" t="str">
        <f aca="false">IF($A554="","",IF(OR(T554="Y",U554="do_not_contact",AS554&amp;""&lt;&gt;""),"Y","N"))</f>
        <v/>
      </c>
      <c r="FU554" s="0" t="str">
        <f aca="false">IF($A554="","",IF(AP554&amp;""&lt;&gt;"",AP554&amp;"",$A554))</f>
        <v/>
      </c>
      <c r="FV554" s="0" t="str">
        <f aca="false">IF($A554="","",IF(COUNTIFS($FU$2:$FU$1000,FU554,$FS$2:$FS$1000,"Y")+COUNTIFS($FU$2:$FU$1000,FU554,$FT$2:$FT$1000,"Y")&gt;0,"Y","N"))</f>
        <v/>
      </c>
      <c r="FW554" s="0" t="str">
        <f aca="false">IF($A554="","",IF(AND(U554="new",T554="N",FT554="N",AT554="Y",FV554="N"),"Y","N"))</f>
        <v/>
      </c>
      <c r="FX554" s="0" t="str">
        <f aca="false">IF($A554="","",IF(FW554&lt;&gt;"Y","N",IF(COUNTIFS($FU$2:$FU$1000,FU554,$FW$2:$FW$1000,"Y",$J$2:$J$1000,"&gt;"&amp;J554)+COUNTIFS($FU$2:$FU$1000,FU554,$FW$2:$FW$1000,"Y",$J$2:$J$1000,J554,$GD$2:$GD$1000,"&lt;"&amp;GD554)=0,"Y","N")))</f>
        <v/>
      </c>
      <c r="FY554" s="0" t="str">
        <f aca="false">IF($A554="","",IF(AND(FW554="Y",FX554="Y",Y554&amp;""&lt;&gt;""),IF(Y554&lt;=10,"Y","N"),"N"))</f>
        <v/>
      </c>
      <c r="FZ554" s="0" t="str">
        <f aca="false">IF(FY554="Y",Y554,"")</f>
        <v/>
      </c>
      <c r="GA554" s="0" t="str">
        <f aca="false">IF($A554="","",IF(AND(I554="walk-in",CN554="pass",U554="new",FT554="N",FV554="N",AQ554&lt;&gt;"Y"),"Y","N"))</f>
        <v/>
      </c>
      <c r="GB554" s="0" t="str">
        <f aca="false">IF(GA554&lt;&gt;"Y","",IF(COUNTIFS($GA$2:$GA$1000,"Y",$J$2:$J$1000,"&gt;"&amp;J554)+COUNTIFS($GA$2:$GA$1000,"Y",$J$2:$J$1000,J554,$GD$2:$GD$1000,"&lt;"&amp;GD554)+1&lt;=25,COUNTIFS($GA$2:$GA$1000,"Y",$J$2:$J$1000,"&gt;"&amp;J554)+COUNTIFS($GA$2:$GA$1000,"Y",$J$2:$J$1000,J554,$GD$2:$GD$1000,"&lt;"&amp;GD554)+1,""))</f>
        <v/>
      </c>
      <c r="GC554" s="0" t="str">
        <f aca="false">IF(AND(_xlfn.ISFORMULA(C554),_xlfn.ISFORMULA(J554)),"Y","N")</f>
        <v>Y</v>
      </c>
      <c r="GD554" s="0" t="n">
        <f aca="false">ROW()-1</f>
        <v>553</v>
      </c>
    </row>
    <row r="555" customFormat="false" ht="15" hidden="false" customHeight="false" outlineLevel="0" collapsed="false">
      <c r="C555" s="0" t="str">
        <f aca="false">IF($A555="","",IF(AW555="Y",BM555&amp;"",AY555&amp;""))</f>
        <v/>
      </c>
      <c r="D555" s="0" t="str">
        <f aca="false">IF($A555="","",IF(AW555="Y",BN555&amp;"",AZ555&amp;""))</f>
        <v/>
      </c>
      <c r="E555" s="0" t="str">
        <f aca="false">IF($A555="","",IF(AW555="Y",BO555&amp;"",BA555&amp;""))</f>
        <v/>
      </c>
      <c r="F555" s="0" t="str">
        <f aca="false">IF($A555="","",IF(AW555="Y",BP555&amp;"",BB555&amp;""))</f>
        <v/>
      </c>
      <c r="G555" s="0" t="str">
        <f aca="false">IF($A555="","",IF(AW555="Y",BQ555&amp;"",BC555&amp;""))</f>
        <v/>
      </c>
      <c r="H555" s="0" t="str">
        <f aca="false">IF($A555="","",IF(AW555="Y",BR555&amp;"",BD555&amp;""))</f>
        <v/>
      </c>
      <c r="I555" s="0" t="str">
        <f aca="false">IF($A555="","",IF(R555="Y","warm-intro",IF(H555="verified","email",IF(C555&lt;&gt;"","linkedin",CB555&amp;""))))</f>
        <v/>
      </c>
      <c r="J555" s="0" t="str">
        <f aca="false">IF($A555="","",IF(CN555="pass",ROUND(N(EM555)+N(EN555)+N(EO555)+N(EP555)+N(EQ555)+N(ER555),1),0))</f>
        <v/>
      </c>
      <c r="K555" s="0" t="str">
        <f aca="false">IF($A555="","",IF(CN555&lt;&gt;"pass",CA555&amp;"",CA555&amp;"; "&amp;IF(AW555="Y",BZ555&amp;"",BL555&amp;"")&amp;IF(R555="Y","; known to the founder (+15)","")&amp;"."))</f>
        <v/>
      </c>
      <c r="R555" s="5"/>
      <c r="U555" s="5"/>
      <c r="Y555" s="0" t="str">
        <f aca="false">IF(FX555&lt;&gt;"Y","",COUNTIFS($FX$2:$FX$1000,"Y",$J$2:$J$1000,"&gt;"&amp;J555)+COUNTIFS($FX$2:$FX$1000,"Y",$J$2:$J$1000,J555,$GD$2:$GD$1000,"&lt;"&amp;GD555)+1)</f>
        <v/>
      </c>
      <c r="AB555" s="0" t="str">
        <f aca="false">IF($A555="","",IF(AW555="Y",BY555&amp;"",BK555&amp;""))</f>
        <v/>
      </c>
      <c r="AC555" s="0" t="str">
        <f aca="false">IF($A555="","",IF(AW555="Y",BS555&amp;"",BE555&amp;""))</f>
        <v/>
      </c>
      <c r="AD555" s="0" t="str">
        <f aca="false">IF($A555="","",IF(AW555="Y",BT555&amp;"",BF555&amp;""))</f>
        <v/>
      </c>
      <c r="AE555" s="0" t="str">
        <f aca="false">IF($A555="","",IF(AW555="Y",BU555&amp;"",BG555&amp;""))</f>
        <v/>
      </c>
      <c r="AF555" s="0" t="str">
        <f aca="false">IF($A555="","",IF(AW555="Y",BV555&amp;"",BH555&amp;""))</f>
        <v/>
      </c>
      <c r="AG555" s="0" t="str">
        <f aca="false">IF($A555="","",IF(AW555="Y",BW555&amp;"",BI555&amp;""))</f>
        <v/>
      </c>
      <c r="AH555" s="0" t="str">
        <f aca="false">IF($A555="","",IF(AW555="Y",BX555&amp;"",BJ555&amp;""))</f>
        <v/>
      </c>
      <c r="AQ555" s="5"/>
      <c r="AT555" s="0" t="str">
        <f aca="false">IF($A555="","",IF(AND(CN555="pass",AQ555&lt;&gt;"Y",C555&lt;&gt;"",OR(AX555&lt;&gt;"Y",AV555="Y")),"Y","N"))</f>
        <v/>
      </c>
      <c r="AU555" s="0" t="str">
        <f aca="false">IF($A555="","",_xlfn.TEXTJOIN("; ",TRUE(),IF(CN555&lt;&gt;"pass","gated out",""),IF(AQ555="Y","on hold: "&amp;AR555,""),IF(C555="","no contact named on an opened page",""),IF(AND(AX555="Y",AV555&lt;&gt;"Y"),"Tuesday estimate band "&amp;L555&amp;": founder's call","")))</f>
        <v/>
      </c>
      <c r="BC555" s="0" t="str">
        <f aca="false">IF($A555="","",IFERROR(INDEX(Enrichment!$A$2:$GZ$2000,MATCH($A555,INDEX(Enrichment!$A$2:$GZ$2000,0,MATCH("row_id",Enrichment!$A$1:$GZ$1,0)),0),MATCH("work_email",Enrichment!$A$1:$GZ$1,0))&amp;"",""))</f>
        <v/>
      </c>
      <c r="BD555" s="0" t="str">
        <f aca="false">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Q555" s="0" t="str">
        <f aca="false">IF($A555="","",IFERROR(INDEX(Enrichment!$A$2:$GZ$2000,MATCH($A555,INDEX(Enrichment!$A$2:$GZ$2000,0,MATCH("row_id",Enrichment!$A$1:$GZ$1,0)),0),MATCH("backup_work_email",Enrichment!$A$1:$GZ$1,0))&amp;"",""))</f>
        <v/>
      </c>
      <c r="BR555" s="0" t="str">
        <f aca="false">IF($A555="","",IF(BQ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EQ555" s="0" t="str">
        <f aca="false">IF($A555="","",IF(AH555="exact",10,IF(AH555="adjacent",5,0)))</f>
        <v/>
      </c>
      <c r="ER555" s="0" t="str">
        <f aca="false">IF($A555="","",IF(R555="Y",15,0))</f>
        <v/>
      </c>
      <c r="FS555" s="0" t="str">
        <f aca="false">IF($A555="","",IF(ISNUMBER(MATCH(U555,{"queued","contacted","replied","call_booked","call_done","yes_in_principle","materials_sent"},0)),"Y","N"))</f>
        <v/>
      </c>
      <c r="FT555" s="0" t="str">
        <f aca="false">IF($A555="","",IF(OR(T555="Y",U555="do_not_contact",AS555&amp;""&lt;&gt;""),"Y","N"))</f>
        <v/>
      </c>
      <c r="FU555" s="0" t="str">
        <f aca="false">IF($A555="","",IF(AP555&amp;""&lt;&gt;"",AP555&amp;"",$A555))</f>
        <v/>
      </c>
      <c r="FV555" s="0" t="str">
        <f aca="false">IF($A555="","",IF(COUNTIFS($FU$2:$FU$1000,FU555,$FS$2:$FS$1000,"Y")+COUNTIFS($FU$2:$FU$1000,FU555,$FT$2:$FT$1000,"Y")&gt;0,"Y","N"))</f>
        <v/>
      </c>
      <c r="FW555" s="0" t="str">
        <f aca="false">IF($A555="","",IF(AND(U555="new",T555="N",FT555="N",AT555="Y",FV555="N"),"Y","N"))</f>
        <v/>
      </c>
      <c r="FX555" s="0" t="str">
        <f aca="false">IF($A555="","",IF(FW555&lt;&gt;"Y","N",IF(COUNTIFS($FU$2:$FU$1000,FU555,$FW$2:$FW$1000,"Y",$J$2:$J$1000,"&gt;"&amp;J555)+COUNTIFS($FU$2:$FU$1000,FU555,$FW$2:$FW$1000,"Y",$J$2:$J$1000,J555,$GD$2:$GD$1000,"&lt;"&amp;GD555)=0,"Y","N")))</f>
        <v/>
      </c>
      <c r="FY555" s="0" t="str">
        <f aca="false">IF($A555="","",IF(AND(FW555="Y",FX555="Y",Y555&amp;""&lt;&gt;""),IF(Y555&lt;=10,"Y","N"),"N"))</f>
        <v/>
      </c>
      <c r="FZ555" s="0" t="str">
        <f aca="false">IF(FY555="Y",Y555,"")</f>
        <v/>
      </c>
      <c r="GA555" s="0" t="str">
        <f aca="false">IF($A555="","",IF(AND(I555="walk-in",CN555="pass",U555="new",FT555="N",FV555="N",AQ555&lt;&gt;"Y"),"Y","N"))</f>
        <v/>
      </c>
      <c r="GB555" s="0" t="str">
        <f aca="false">IF(GA555&lt;&gt;"Y","",IF(COUNTIFS($GA$2:$GA$1000,"Y",$J$2:$J$1000,"&gt;"&amp;J555)+COUNTIFS($GA$2:$GA$1000,"Y",$J$2:$J$1000,J555,$GD$2:$GD$1000,"&lt;"&amp;GD555)+1&lt;=25,COUNTIFS($GA$2:$GA$1000,"Y",$J$2:$J$1000,"&gt;"&amp;J555)+COUNTIFS($GA$2:$GA$1000,"Y",$J$2:$J$1000,J555,$GD$2:$GD$1000,"&lt;"&amp;GD555)+1,""))</f>
        <v/>
      </c>
      <c r="GC555" s="0" t="str">
        <f aca="false">IF(AND(_xlfn.ISFORMULA(C555),_xlfn.ISFORMULA(J555)),"Y","N")</f>
        <v>Y</v>
      </c>
      <c r="GD555" s="0" t="n">
        <f aca="false">ROW()-1</f>
        <v>554</v>
      </c>
    </row>
    <row r="556" customFormat="false" ht="15" hidden="false" customHeight="false" outlineLevel="0" collapsed="false">
      <c r="C556" s="0" t="str">
        <f aca="false">IF($A556="","",IF(AW556="Y",BM556&amp;"",AY556&amp;""))</f>
        <v/>
      </c>
      <c r="D556" s="0" t="str">
        <f aca="false">IF($A556="","",IF(AW556="Y",BN556&amp;"",AZ556&amp;""))</f>
        <v/>
      </c>
      <c r="E556" s="0" t="str">
        <f aca="false">IF($A556="","",IF(AW556="Y",BO556&amp;"",BA556&amp;""))</f>
        <v/>
      </c>
      <c r="F556" s="0" t="str">
        <f aca="false">IF($A556="","",IF(AW556="Y",BP556&amp;"",BB556&amp;""))</f>
        <v/>
      </c>
      <c r="G556" s="0" t="str">
        <f aca="false">IF($A556="","",IF(AW556="Y",BQ556&amp;"",BC556&amp;""))</f>
        <v/>
      </c>
      <c r="H556" s="0" t="str">
        <f aca="false">IF($A556="","",IF(AW556="Y",BR556&amp;"",BD556&amp;""))</f>
        <v/>
      </c>
      <c r="I556" s="0" t="str">
        <f aca="false">IF($A556="","",IF(R556="Y","warm-intro",IF(H556="verified","email",IF(C556&lt;&gt;"","linkedin",CB556&amp;""))))</f>
        <v/>
      </c>
      <c r="J556" s="0" t="str">
        <f aca="false">IF($A556="","",IF(CN556="pass",ROUND(N(EM556)+N(EN556)+N(EO556)+N(EP556)+N(EQ556)+N(ER556),1),0))</f>
        <v/>
      </c>
      <c r="K556" s="0" t="str">
        <f aca="false">IF($A556="","",IF(CN556&lt;&gt;"pass",CA556&amp;"",CA556&amp;"; "&amp;IF(AW556="Y",BZ556&amp;"",BL556&amp;"")&amp;IF(R556="Y","; known to the founder (+15)","")&amp;"."))</f>
        <v/>
      </c>
      <c r="R556" s="5"/>
      <c r="U556" s="5"/>
      <c r="Y556" s="0" t="str">
        <f aca="false">IF(FX556&lt;&gt;"Y","",COUNTIFS($FX$2:$FX$1000,"Y",$J$2:$J$1000,"&gt;"&amp;J556)+COUNTIFS($FX$2:$FX$1000,"Y",$J$2:$J$1000,J556,$GD$2:$GD$1000,"&lt;"&amp;GD556)+1)</f>
        <v/>
      </c>
      <c r="AB556" s="0" t="str">
        <f aca="false">IF($A556="","",IF(AW556="Y",BY556&amp;"",BK556&amp;""))</f>
        <v/>
      </c>
      <c r="AC556" s="0" t="str">
        <f aca="false">IF($A556="","",IF(AW556="Y",BS556&amp;"",BE556&amp;""))</f>
        <v/>
      </c>
      <c r="AD556" s="0" t="str">
        <f aca="false">IF($A556="","",IF(AW556="Y",BT556&amp;"",BF556&amp;""))</f>
        <v/>
      </c>
      <c r="AE556" s="0" t="str">
        <f aca="false">IF($A556="","",IF(AW556="Y",BU556&amp;"",BG556&amp;""))</f>
        <v/>
      </c>
      <c r="AF556" s="0" t="str">
        <f aca="false">IF($A556="","",IF(AW556="Y",BV556&amp;"",BH556&amp;""))</f>
        <v/>
      </c>
      <c r="AG556" s="0" t="str">
        <f aca="false">IF($A556="","",IF(AW556="Y",BW556&amp;"",BI556&amp;""))</f>
        <v/>
      </c>
      <c r="AH556" s="0" t="str">
        <f aca="false">IF($A556="","",IF(AW556="Y",BX556&amp;"",BJ556&amp;""))</f>
        <v/>
      </c>
      <c r="AQ556" s="5"/>
      <c r="AT556" s="0" t="str">
        <f aca="false">IF($A556="","",IF(AND(CN556="pass",AQ556&lt;&gt;"Y",C556&lt;&gt;"",OR(AX556&lt;&gt;"Y",AV556="Y")),"Y","N"))</f>
        <v/>
      </c>
      <c r="AU556" s="0" t="str">
        <f aca="false">IF($A556="","",_xlfn.TEXTJOIN("; ",TRUE(),IF(CN556&lt;&gt;"pass","gated out",""),IF(AQ556="Y","on hold: "&amp;AR556,""),IF(C556="","no contact named on an opened page",""),IF(AND(AX556="Y",AV556&lt;&gt;"Y"),"Tuesday estimate band "&amp;L556&amp;": founder's call","")))</f>
        <v/>
      </c>
      <c r="BC556" s="0" t="str">
        <f aca="false">IF($A556="","",IFERROR(INDEX(Enrichment!$A$2:$GZ$2000,MATCH($A556,INDEX(Enrichment!$A$2:$GZ$2000,0,MATCH("row_id",Enrichment!$A$1:$GZ$1,0)),0),MATCH("work_email",Enrichment!$A$1:$GZ$1,0))&amp;"",""))</f>
        <v/>
      </c>
      <c r="BD556" s="0" t="str">
        <f aca="false">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Q556" s="0" t="str">
        <f aca="false">IF($A556="","",IFERROR(INDEX(Enrichment!$A$2:$GZ$2000,MATCH($A556,INDEX(Enrichment!$A$2:$GZ$2000,0,MATCH("row_id",Enrichment!$A$1:$GZ$1,0)),0),MATCH("backup_work_email",Enrichment!$A$1:$GZ$1,0))&amp;"",""))</f>
        <v/>
      </c>
      <c r="BR556" s="0" t="str">
        <f aca="false">IF($A556="","",IF(BQ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EQ556" s="0" t="str">
        <f aca="false">IF($A556="","",IF(AH556="exact",10,IF(AH556="adjacent",5,0)))</f>
        <v/>
      </c>
      <c r="ER556" s="0" t="str">
        <f aca="false">IF($A556="","",IF(R556="Y",15,0))</f>
        <v/>
      </c>
      <c r="FS556" s="0" t="str">
        <f aca="false">IF($A556="","",IF(ISNUMBER(MATCH(U556,{"queued","contacted","replied","call_booked","call_done","yes_in_principle","materials_sent"},0)),"Y","N"))</f>
        <v/>
      </c>
      <c r="FT556" s="0" t="str">
        <f aca="false">IF($A556="","",IF(OR(T556="Y",U556="do_not_contact",AS556&amp;""&lt;&gt;""),"Y","N"))</f>
        <v/>
      </c>
      <c r="FU556" s="0" t="str">
        <f aca="false">IF($A556="","",IF(AP556&amp;""&lt;&gt;"",AP556&amp;"",$A556))</f>
        <v/>
      </c>
      <c r="FV556" s="0" t="str">
        <f aca="false">IF($A556="","",IF(COUNTIFS($FU$2:$FU$1000,FU556,$FS$2:$FS$1000,"Y")+COUNTIFS($FU$2:$FU$1000,FU556,$FT$2:$FT$1000,"Y")&gt;0,"Y","N"))</f>
        <v/>
      </c>
      <c r="FW556" s="0" t="str">
        <f aca="false">IF($A556="","",IF(AND(U556="new",T556="N",FT556="N",AT556="Y",FV556="N"),"Y","N"))</f>
        <v/>
      </c>
      <c r="FX556" s="0" t="str">
        <f aca="false">IF($A556="","",IF(FW556&lt;&gt;"Y","N",IF(COUNTIFS($FU$2:$FU$1000,FU556,$FW$2:$FW$1000,"Y",$J$2:$J$1000,"&gt;"&amp;J556)+COUNTIFS($FU$2:$FU$1000,FU556,$FW$2:$FW$1000,"Y",$J$2:$J$1000,J556,$GD$2:$GD$1000,"&lt;"&amp;GD556)=0,"Y","N")))</f>
        <v/>
      </c>
      <c r="FY556" s="0" t="str">
        <f aca="false">IF($A556="","",IF(AND(FW556="Y",FX556="Y",Y556&amp;""&lt;&gt;""),IF(Y556&lt;=10,"Y","N"),"N"))</f>
        <v/>
      </c>
      <c r="FZ556" s="0" t="str">
        <f aca="false">IF(FY556="Y",Y556,"")</f>
        <v/>
      </c>
      <c r="GA556" s="0" t="str">
        <f aca="false">IF($A556="","",IF(AND(I556="walk-in",CN556="pass",U556="new",FT556="N",FV556="N",AQ556&lt;&gt;"Y"),"Y","N"))</f>
        <v/>
      </c>
      <c r="GB556" s="0" t="str">
        <f aca="false">IF(GA556&lt;&gt;"Y","",IF(COUNTIFS($GA$2:$GA$1000,"Y",$J$2:$J$1000,"&gt;"&amp;J556)+COUNTIFS($GA$2:$GA$1000,"Y",$J$2:$J$1000,J556,$GD$2:$GD$1000,"&lt;"&amp;GD556)+1&lt;=25,COUNTIFS($GA$2:$GA$1000,"Y",$J$2:$J$1000,"&gt;"&amp;J556)+COUNTIFS($GA$2:$GA$1000,"Y",$J$2:$J$1000,J556,$GD$2:$GD$1000,"&lt;"&amp;GD556)+1,""))</f>
        <v/>
      </c>
      <c r="GC556" s="0" t="str">
        <f aca="false">IF(AND(_xlfn.ISFORMULA(C556),_xlfn.ISFORMULA(J556)),"Y","N")</f>
        <v>Y</v>
      </c>
      <c r="GD556" s="0" t="n">
        <f aca="false">ROW()-1</f>
        <v>555</v>
      </c>
    </row>
    <row r="557" customFormat="false" ht="15" hidden="false" customHeight="false" outlineLevel="0" collapsed="false">
      <c r="C557" s="0" t="str">
        <f aca="false">IF($A557="","",IF(AW557="Y",BM557&amp;"",AY557&amp;""))</f>
        <v/>
      </c>
      <c r="D557" s="0" t="str">
        <f aca="false">IF($A557="","",IF(AW557="Y",BN557&amp;"",AZ557&amp;""))</f>
        <v/>
      </c>
      <c r="E557" s="0" t="str">
        <f aca="false">IF($A557="","",IF(AW557="Y",BO557&amp;"",BA557&amp;""))</f>
        <v/>
      </c>
      <c r="F557" s="0" t="str">
        <f aca="false">IF($A557="","",IF(AW557="Y",BP557&amp;"",BB557&amp;""))</f>
        <v/>
      </c>
      <c r="G557" s="0" t="str">
        <f aca="false">IF($A557="","",IF(AW557="Y",BQ557&amp;"",BC557&amp;""))</f>
        <v/>
      </c>
      <c r="H557" s="0" t="str">
        <f aca="false">IF($A557="","",IF(AW557="Y",BR557&amp;"",BD557&amp;""))</f>
        <v/>
      </c>
      <c r="I557" s="0" t="str">
        <f aca="false">IF($A557="","",IF(R557="Y","warm-intro",IF(H557="verified","email",IF(C557&lt;&gt;"","linkedin",CB557&amp;""))))</f>
        <v/>
      </c>
      <c r="J557" s="0" t="str">
        <f aca="false">IF($A557="","",IF(CN557="pass",ROUND(N(EM557)+N(EN557)+N(EO557)+N(EP557)+N(EQ557)+N(ER557),1),0))</f>
        <v/>
      </c>
      <c r="K557" s="0" t="str">
        <f aca="false">IF($A557="","",IF(CN557&lt;&gt;"pass",CA557&amp;"",CA557&amp;"; "&amp;IF(AW557="Y",BZ557&amp;"",BL557&amp;"")&amp;IF(R557="Y","; known to the founder (+15)","")&amp;"."))</f>
        <v/>
      </c>
      <c r="R557" s="5"/>
      <c r="U557" s="5"/>
      <c r="Y557" s="0" t="str">
        <f aca="false">IF(FX557&lt;&gt;"Y","",COUNTIFS($FX$2:$FX$1000,"Y",$J$2:$J$1000,"&gt;"&amp;J557)+COUNTIFS($FX$2:$FX$1000,"Y",$J$2:$J$1000,J557,$GD$2:$GD$1000,"&lt;"&amp;GD557)+1)</f>
        <v/>
      </c>
      <c r="AB557" s="0" t="str">
        <f aca="false">IF($A557="","",IF(AW557="Y",BY557&amp;"",BK557&amp;""))</f>
        <v/>
      </c>
      <c r="AC557" s="0" t="str">
        <f aca="false">IF($A557="","",IF(AW557="Y",BS557&amp;"",BE557&amp;""))</f>
        <v/>
      </c>
      <c r="AD557" s="0" t="str">
        <f aca="false">IF($A557="","",IF(AW557="Y",BT557&amp;"",BF557&amp;""))</f>
        <v/>
      </c>
      <c r="AE557" s="0" t="str">
        <f aca="false">IF($A557="","",IF(AW557="Y",BU557&amp;"",BG557&amp;""))</f>
        <v/>
      </c>
      <c r="AF557" s="0" t="str">
        <f aca="false">IF($A557="","",IF(AW557="Y",BV557&amp;"",BH557&amp;""))</f>
        <v/>
      </c>
      <c r="AG557" s="0" t="str">
        <f aca="false">IF($A557="","",IF(AW557="Y",BW557&amp;"",BI557&amp;""))</f>
        <v/>
      </c>
      <c r="AH557" s="0" t="str">
        <f aca="false">IF($A557="","",IF(AW557="Y",BX557&amp;"",BJ557&amp;""))</f>
        <v/>
      </c>
      <c r="AQ557" s="5"/>
      <c r="AT557" s="0" t="str">
        <f aca="false">IF($A557="","",IF(AND(CN557="pass",AQ557&lt;&gt;"Y",C557&lt;&gt;"",OR(AX557&lt;&gt;"Y",AV557="Y")),"Y","N"))</f>
        <v/>
      </c>
      <c r="AU557" s="0" t="str">
        <f aca="false">IF($A557="","",_xlfn.TEXTJOIN("; ",TRUE(),IF(CN557&lt;&gt;"pass","gated out",""),IF(AQ557="Y","on hold: "&amp;AR557,""),IF(C557="","no contact named on an opened page",""),IF(AND(AX557="Y",AV557&lt;&gt;"Y"),"Tuesday estimate band "&amp;L557&amp;": founder's call","")))</f>
        <v/>
      </c>
      <c r="BC557" s="0" t="str">
        <f aca="false">IF($A557="","",IFERROR(INDEX(Enrichment!$A$2:$GZ$2000,MATCH($A557,INDEX(Enrichment!$A$2:$GZ$2000,0,MATCH("row_id",Enrichment!$A$1:$GZ$1,0)),0),MATCH("work_email",Enrichment!$A$1:$GZ$1,0))&amp;"",""))</f>
        <v/>
      </c>
      <c r="BD557" s="0" t="str">
        <f aca="false">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Q557" s="0" t="str">
        <f aca="false">IF($A557="","",IFERROR(INDEX(Enrichment!$A$2:$GZ$2000,MATCH($A557,INDEX(Enrichment!$A$2:$GZ$2000,0,MATCH("row_id",Enrichment!$A$1:$GZ$1,0)),0),MATCH("backup_work_email",Enrichment!$A$1:$GZ$1,0))&amp;"",""))</f>
        <v/>
      </c>
      <c r="BR557" s="0" t="str">
        <f aca="false">IF($A557="","",IF(BQ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EQ557" s="0" t="str">
        <f aca="false">IF($A557="","",IF(AH557="exact",10,IF(AH557="adjacent",5,0)))</f>
        <v/>
      </c>
      <c r="ER557" s="0" t="str">
        <f aca="false">IF($A557="","",IF(R557="Y",15,0))</f>
        <v/>
      </c>
      <c r="FS557" s="0" t="str">
        <f aca="false">IF($A557="","",IF(ISNUMBER(MATCH(U557,{"queued","contacted","replied","call_booked","call_done","yes_in_principle","materials_sent"},0)),"Y","N"))</f>
        <v/>
      </c>
      <c r="FT557" s="0" t="str">
        <f aca="false">IF($A557="","",IF(OR(T557="Y",U557="do_not_contact",AS557&amp;""&lt;&gt;""),"Y","N"))</f>
        <v/>
      </c>
      <c r="FU557" s="0" t="str">
        <f aca="false">IF($A557="","",IF(AP557&amp;""&lt;&gt;"",AP557&amp;"",$A557))</f>
        <v/>
      </c>
      <c r="FV557" s="0" t="str">
        <f aca="false">IF($A557="","",IF(COUNTIFS($FU$2:$FU$1000,FU557,$FS$2:$FS$1000,"Y")+COUNTIFS($FU$2:$FU$1000,FU557,$FT$2:$FT$1000,"Y")&gt;0,"Y","N"))</f>
        <v/>
      </c>
      <c r="FW557" s="0" t="str">
        <f aca="false">IF($A557="","",IF(AND(U557="new",T557="N",FT557="N",AT557="Y",FV557="N"),"Y","N"))</f>
        <v/>
      </c>
      <c r="FX557" s="0" t="str">
        <f aca="false">IF($A557="","",IF(FW557&lt;&gt;"Y","N",IF(COUNTIFS($FU$2:$FU$1000,FU557,$FW$2:$FW$1000,"Y",$J$2:$J$1000,"&gt;"&amp;J557)+COUNTIFS($FU$2:$FU$1000,FU557,$FW$2:$FW$1000,"Y",$J$2:$J$1000,J557,$GD$2:$GD$1000,"&lt;"&amp;GD557)=0,"Y","N")))</f>
        <v/>
      </c>
      <c r="FY557" s="0" t="str">
        <f aca="false">IF($A557="","",IF(AND(FW557="Y",FX557="Y",Y557&amp;""&lt;&gt;""),IF(Y557&lt;=10,"Y","N"),"N"))</f>
        <v/>
      </c>
      <c r="FZ557" s="0" t="str">
        <f aca="false">IF(FY557="Y",Y557,"")</f>
        <v/>
      </c>
      <c r="GA557" s="0" t="str">
        <f aca="false">IF($A557="","",IF(AND(I557="walk-in",CN557="pass",U557="new",FT557="N",FV557="N",AQ557&lt;&gt;"Y"),"Y","N"))</f>
        <v/>
      </c>
      <c r="GB557" s="0" t="str">
        <f aca="false">IF(GA557&lt;&gt;"Y","",IF(COUNTIFS($GA$2:$GA$1000,"Y",$J$2:$J$1000,"&gt;"&amp;J557)+COUNTIFS($GA$2:$GA$1000,"Y",$J$2:$J$1000,J557,$GD$2:$GD$1000,"&lt;"&amp;GD557)+1&lt;=25,COUNTIFS($GA$2:$GA$1000,"Y",$J$2:$J$1000,"&gt;"&amp;J557)+COUNTIFS($GA$2:$GA$1000,"Y",$J$2:$J$1000,J557,$GD$2:$GD$1000,"&lt;"&amp;GD557)+1,""))</f>
        <v/>
      </c>
      <c r="GC557" s="0" t="str">
        <f aca="false">IF(AND(_xlfn.ISFORMULA(C557),_xlfn.ISFORMULA(J557)),"Y","N")</f>
        <v>Y</v>
      </c>
      <c r="GD557" s="0" t="n">
        <f aca="false">ROW()-1</f>
        <v>556</v>
      </c>
    </row>
    <row r="558" customFormat="false" ht="15" hidden="false" customHeight="false" outlineLevel="0" collapsed="false">
      <c r="C558" s="0" t="str">
        <f aca="false">IF($A558="","",IF(AW558="Y",BM558&amp;"",AY558&amp;""))</f>
        <v/>
      </c>
      <c r="D558" s="0" t="str">
        <f aca="false">IF($A558="","",IF(AW558="Y",BN558&amp;"",AZ558&amp;""))</f>
        <v/>
      </c>
      <c r="E558" s="0" t="str">
        <f aca="false">IF($A558="","",IF(AW558="Y",BO558&amp;"",BA558&amp;""))</f>
        <v/>
      </c>
      <c r="F558" s="0" t="str">
        <f aca="false">IF($A558="","",IF(AW558="Y",BP558&amp;"",BB558&amp;""))</f>
        <v/>
      </c>
      <c r="G558" s="0" t="str">
        <f aca="false">IF($A558="","",IF(AW558="Y",BQ558&amp;"",BC558&amp;""))</f>
        <v/>
      </c>
      <c r="H558" s="0" t="str">
        <f aca="false">IF($A558="","",IF(AW558="Y",BR558&amp;"",BD558&amp;""))</f>
        <v/>
      </c>
      <c r="I558" s="0" t="str">
        <f aca="false">IF($A558="","",IF(R558="Y","warm-intro",IF(H558="verified","email",IF(C558&lt;&gt;"","linkedin",CB558&amp;""))))</f>
        <v/>
      </c>
      <c r="J558" s="0" t="str">
        <f aca="false">IF($A558="","",IF(CN558="pass",ROUND(N(EM558)+N(EN558)+N(EO558)+N(EP558)+N(EQ558)+N(ER558),1),0))</f>
        <v/>
      </c>
      <c r="K558" s="0" t="str">
        <f aca="false">IF($A558="","",IF(CN558&lt;&gt;"pass",CA558&amp;"",CA558&amp;"; "&amp;IF(AW558="Y",BZ558&amp;"",BL558&amp;"")&amp;IF(R558="Y","; known to the founder (+15)","")&amp;"."))</f>
        <v/>
      </c>
      <c r="R558" s="5"/>
      <c r="U558" s="5"/>
      <c r="Y558" s="0" t="str">
        <f aca="false">IF(FX558&lt;&gt;"Y","",COUNTIFS($FX$2:$FX$1000,"Y",$J$2:$J$1000,"&gt;"&amp;J558)+COUNTIFS($FX$2:$FX$1000,"Y",$J$2:$J$1000,J558,$GD$2:$GD$1000,"&lt;"&amp;GD558)+1)</f>
        <v/>
      </c>
      <c r="AB558" s="0" t="str">
        <f aca="false">IF($A558="","",IF(AW558="Y",BY558&amp;"",BK558&amp;""))</f>
        <v/>
      </c>
      <c r="AC558" s="0" t="str">
        <f aca="false">IF($A558="","",IF(AW558="Y",BS558&amp;"",BE558&amp;""))</f>
        <v/>
      </c>
      <c r="AD558" s="0" t="str">
        <f aca="false">IF($A558="","",IF(AW558="Y",BT558&amp;"",BF558&amp;""))</f>
        <v/>
      </c>
      <c r="AE558" s="0" t="str">
        <f aca="false">IF($A558="","",IF(AW558="Y",BU558&amp;"",BG558&amp;""))</f>
        <v/>
      </c>
      <c r="AF558" s="0" t="str">
        <f aca="false">IF($A558="","",IF(AW558="Y",BV558&amp;"",BH558&amp;""))</f>
        <v/>
      </c>
      <c r="AG558" s="0" t="str">
        <f aca="false">IF($A558="","",IF(AW558="Y",BW558&amp;"",BI558&amp;""))</f>
        <v/>
      </c>
      <c r="AH558" s="0" t="str">
        <f aca="false">IF($A558="","",IF(AW558="Y",BX558&amp;"",BJ558&amp;""))</f>
        <v/>
      </c>
      <c r="AQ558" s="5"/>
      <c r="AT558" s="0" t="str">
        <f aca="false">IF($A558="","",IF(AND(CN558="pass",AQ558&lt;&gt;"Y",C558&lt;&gt;"",OR(AX558&lt;&gt;"Y",AV558="Y")),"Y","N"))</f>
        <v/>
      </c>
      <c r="AU558" s="0" t="str">
        <f aca="false">IF($A558="","",_xlfn.TEXTJOIN("; ",TRUE(),IF(CN558&lt;&gt;"pass","gated out",""),IF(AQ558="Y","on hold: "&amp;AR558,""),IF(C558="","no contact named on an opened page",""),IF(AND(AX558="Y",AV558&lt;&gt;"Y"),"Tuesday estimate band "&amp;L558&amp;": founder's call","")))</f>
        <v/>
      </c>
      <c r="BC558" s="0" t="str">
        <f aca="false">IF($A558="","",IFERROR(INDEX(Enrichment!$A$2:$GZ$2000,MATCH($A558,INDEX(Enrichment!$A$2:$GZ$2000,0,MATCH("row_id",Enrichment!$A$1:$GZ$1,0)),0),MATCH("work_email",Enrichment!$A$1:$GZ$1,0))&amp;"",""))</f>
        <v/>
      </c>
      <c r="BD558" s="0" t="str">
        <f aca="false">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Q558" s="0" t="str">
        <f aca="false">IF($A558="","",IFERROR(INDEX(Enrichment!$A$2:$GZ$2000,MATCH($A558,INDEX(Enrichment!$A$2:$GZ$2000,0,MATCH("row_id",Enrichment!$A$1:$GZ$1,0)),0),MATCH("backup_work_email",Enrichment!$A$1:$GZ$1,0))&amp;"",""))</f>
        <v/>
      </c>
      <c r="BR558" s="0" t="str">
        <f aca="false">IF($A558="","",IF(BQ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EQ558" s="0" t="str">
        <f aca="false">IF($A558="","",IF(AH558="exact",10,IF(AH558="adjacent",5,0)))</f>
        <v/>
      </c>
      <c r="ER558" s="0" t="str">
        <f aca="false">IF($A558="","",IF(R558="Y",15,0))</f>
        <v/>
      </c>
      <c r="FS558" s="0" t="str">
        <f aca="false">IF($A558="","",IF(ISNUMBER(MATCH(U558,{"queued","contacted","replied","call_booked","call_done","yes_in_principle","materials_sent"},0)),"Y","N"))</f>
        <v/>
      </c>
      <c r="FT558" s="0" t="str">
        <f aca="false">IF($A558="","",IF(OR(T558="Y",U558="do_not_contact",AS558&amp;""&lt;&gt;""),"Y","N"))</f>
        <v/>
      </c>
      <c r="FU558" s="0" t="str">
        <f aca="false">IF($A558="","",IF(AP558&amp;""&lt;&gt;"",AP558&amp;"",$A558))</f>
        <v/>
      </c>
      <c r="FV558" s="0" t="str">
        <f aca="false">IF($A558="","",IF(COUNTIFS($FU$2:$FU$1000,FU558,$FS$2:$FS$1000,"Y")+COUNTIFS($FU$2:$FU$1000,FU558,$FT$2:$FT$1000,"Y")&gt;0,"Y","N"))</f>
        <v/>
      </c>
      <c r="FW558" s="0" t="str">
        <f aca="false">IF($A558="","",IF(AND(U558="new",T558="N",FT558="N",AT558="Y",FV558="N"),"Y","N"))</f>
        <v/>
      </c>
      <c r="FX558" s="0" t="str">
        <f aca="false">IF($A558="","",IF(FW558&lt;&gt;"Y","N",IF(COUNTIFS($FU$2:$FU$1000,FU558,$FW$2:$FW$1000,"Y",$J$2:$J$1000,"&gt;"&amp;J558)+COUNTIFS($FU$2:$FU$1000,FU558,$FW$2:$FW$1000,"Y",$J$2:$J$1000,J558,$GD$2:$GD$1000,"&lt;"&amp;GD558)=0,"Y","N")))</f>
        <v/>
      </c>
      <c r="FY558" s="0" t="str">
        <f aca="false">IF($A558="","",IF(AND(FW558="Y",FX558="Y",Y558&amp;""&lt;&gt;""),IF(Y558&lt;=10,"Y","N"),"N"))</f>
        <v/>
      </c>
      <c r="FZ558" s="0" t="str">
        <f aca="false">IF(FY558="Y",Y558,"")</f>
        <v/>
      </c>
      <c r="GA558" s="0" t="str">
        <f aca="false">IF($A558="","",IF(AND(I558="walk-in",CN558="pass",U558="new",FT558="N",FV558="N",AQ558&lt;&gt;"Y"),"Y","N"))</f>
        <v/>
      </c>
      <c r="GB558" s="0" t="str">
        <f aca="false">IF(GA558&lt;&gt;"Y","",IF(COUNTIFS($GA$2:$GA$1000,"Y",$J$2:$J$1000,"&gt;"&amp;J558)+COUNTIFS($GA$2:$GA$1000,"Y",$J$2:$J$1000,J558,$GD$2:$GD$1000,"&lt;"&amp;GD558)+1&lt;=25,COUNTIFS($GA$2:$GA$1000,"Y",$J$2:$J$1000,"&gt;"&amp;J558)+COUNTIFS($GA$2:$GA$1000,"Y",$J$2:$J$1000,J558,$GD$2:$GD$1000,"&lt;"&amp;GD558)+1,""))</f>
        <v/>
      </c>
      <c r="GC558" s="0" t="str">
        <f aca="false">IF(AND(_xlfn.ISFORMULA(C558),_xlfn.ISFORMULA(J558)),"Y","N")</f>
        <v>Y</v>
      </c>
      <c r="GD558" s="0" t="n">
        <f aca="false">ROW()-1</f>
        <v>557</v>
      </c>
    </row>
    <row r="559" customFormat="false" ht="15" hidden="false" customHeight="false" outlineLevel="0" collapsed="false">
      <c r="C559" s="0" t="str">
        <f aca="false">IF($A559="","",IF(AW559="Y",BM559&amp;"",AY559&amp;""))</f>
        <v/>
      </c>
      <c r="D559" s="0" t="str">
        <f aca="false">IF($A559="","",IF(AW559="Y",BN559&amp;"",AZ559&amp;""))</f>
        <v/>
      </c>
      <c r="E559" s="0" t="str">
        <f aca="false">IF($A559="","",IF(AW559="Y",BO559&amp;"",BA559&amp;""))</f>
        <v/>
      </c>
      <c r="F559" s="0" t="str">
        <f aca="false">IF($A559="","",IF(AW559="Y",BP559&amp;"",BB559&amp;""))</f>
        <v/>
      </c>
      <c r="G559" s="0" t="str">
        <f aca="false">IF($A559="","",IF(AW559="Y",BQ559&amp;"",BC559&amp;""))</f>
        <v/>
      </c>
      <c r="H559" s="0" t="str">
        <f aca="false">IF($A559="","",IF(AW559="Y",BR559&amp;"",BD559&amp;""))</f>
        <v/>
      </c>
      <c r="I559" s="0" t="str">
        <f aca="false">IF($A559="","",IF(R559="Y","warm-intro",IF(H559="verified","email",IF(C559&lt;&gt;"","linkedin",CB559&amp;""))))</f>
        <v/>
      </c>
      <c r="J559" s="0" t="str">
        <f aca="false">IF($A559="","",IF(CN559="pass",ROUND(N(EM559)+N(EN559)+N(EO559)+N(EP559)+N(EQ559)+N(ER559),1),0))</f>
        <v/>
      </c>
      <c r="K559" s="0" t="str">
        <f aca="false">IF($A559="","",IF(CN559&lt;&gt;"pass",CA559&amp;"",CA559&amp;"; "&amp;IF(AW559="Y",BZ559&amp;"",BL559&amp;"")&amp;IF(R559="Y","; known to the founder (+15)","")&amp;"."))</f>
        <v/>
      </c>
      <c r="R559" s="5"/>
      <c r="U559" s="5"/>
      <c r="Y559" s="0" t="str">
        <f aca="false">IF(FX559&lt;&gt;"Y","",COUNTIFS($FX$2:$FX$1000,"Y",$J$2:$J$1000,"&gt;"&amp;J559)+COUNTIFS($FX$2:$FX$1000,"Y",$J$2:$J$1000,J559,$GD$2:$GD$1000,"&lt;"&amp;GD559)+1)</f>
        <v/>
      </c>
      <c r="AB559" s="0" t="str">
        <f aca="false">IF($A559="","",IF(AW559="Y",BY559&amp;"",BK559&amp;""))</f>
        <v/>
      </c>
      <c r="AC559" s="0" t="str">
        <f aca="false">IF($A559="","",IF(AW559="Y",BS559&amp;"",BE559&amp;""))</f>
        <v/>
      </c>
      <c r="AD559" s="0" t="str">
        <f aca="false">IF($A559="","",IF(AW559="Y",BT559&amp;"",BF559&amp;""))</f>
        <v/>
      </c>
      <c r="AE559" s="0" t="str">
        <f aca="false">IF($A559="","",IF(AW559="Y",BU559&amp;"",BG559&amp;""))</f>
        <v/>
      </c>
      <c r="AF559" s="0" t="str">
        <f aca="false">IF($A559="","",IF(AW559="Y",BV559&amp;"",BH559&amp;""))</f>
        <v/>
      </c>
      <c r="AG559" s="0" t="str">
        <f aca="false">IF($A559="","",IF(AW559="Y",BW559&amp;"",BI559&amp;""))</f>
        <v/>
      </c>
      <c r="AH559" s="0" t="str">
        <f aca="false">IF($A559="","",IF(AW559="Y",BX559&amp;"",BJ559&amp;""))</f>
        <v/>
      </c>
      <c r="AQ559" s="5"/>
      <c r="AT559" s="0" t="str">
        <f aca="false">IF($A559="","",IF(AND(CN559="pass",AQ559&lt;&gt;"Y",C559&lt;&gt;"",OR(AX559&lt;&gt;"Y",AV559="Y")),"Y","N"))</f>
        <v/>
      </c>
      <c r="AU559" s="0" t="str">
        <f aca="false">IF($A559="","",_xlfn.TEXTJOIN("; ",TRUE(),IF(CN559&lt;&gt;"pass","gated out",""),IF(AQ559="Y","on hold: "&amp;AR559,""),IF(C559="","no contact named on an opened page",""),IF(AND(AX559="Y",AV559&lt;&gt;"Y"),"Tuesday estimate band "&amp;L559&amp;": founder's call","")))</f>
        <v/>
      </c>
      <c r="BC559" s="0" t="str">
        <f aca="false">IF($A559="","",IFERROR(INDEX(Enrichment!$A$2:$GZ$2000,MATCH($A559,INDEX(Enrichment!$A$2:$GZ$2000,0,MATCH("row_id",Enrichment!$A$1:$GZ$1,0)),0),MATCH("work_email",Enrichment!$A$1:$GZ$1,0))&amp;"",""))</f>
        <v/>
      </c>
      <c r="BD559" s="0" t="str">
        <f aca="false">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Q559" s="0" t="str">
        <f aca="false">IF($A559="","",IFERROR(INDEX(Enrichment!$A$2:$GZ$2000,MATCH($A559,INDEX(Enrichment!$A$2:$GZ$2000,0,MATCH("row_id",Enrichment!$A$1:$GZ$1,0)),0),MATCH("backup_work_email",Enrichment!$A$1:$GZ$1,0))&amp;"",""))</f>
        <v/>
      </c>
      <c r="BR559" s="0" t="str">
        <f aca="false">IF($A559="","",IF(BQ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EQ559" s="0" t="str">
        <f aca="false">IF($A559="","",IF(AH559="exact",10,IF(AH559="adjacent",5,0)))</f>
        <v/>
      </c>
      <c r="ER559" s="0" t="str">
        <f aca="false">IF($A559="","",IF(R559="Y",15,0))</f>
        <v/>
      </c>
      <c r="FS559" s="0" t="str">
        <f aca="false">IF($A559="","",IF(ISNUMBER(MATCH(U559,{"queued","contacted","replied","call_booked","call_done","yes_in_principle","materials_sent"},0)),"Y","N"))</f>
        <v/>
      </c>
      <c r="FT559" s="0" t="str">
        <f aca="false">IF($A559="","",IF(OR(T559="Y",U559="do_not_contact",AS559&amp;""&lt;&gt;""),"Y","N"))</f>
        <v/>
      </c>
      <c r="FU559" s="0" t="str">
        <f aca="false">IF($A559="","",IF(AP559&amp;""&lt;&gt;"",AP559&amp;"",$A559))</f>
        <v/>
      </c>
      <c r="FV559" s="0" t="str">
        <f aca="false">IF($A559="","",IF(COUNTIFS($FU$2:$FU$1000,FU559,$FS$2:$FS$1000,"Y")+COUNTIFS($FU$2:$FU$1000,FU559,$FT$2:$FT$1000,"Y")&gt;0,"Y","N"))</f>
        <v/>
      </c>
      <c r="FW559" s="0" t="str">
        <f aca="false">IF($A559="","",IF(AND(U559="new",T559="N",FT559="N",AT559="Y",FV559="N"),"Y","N"))</f>
        <v/>
      </c>
      <c r="FX559" s="0" t="str">
        <f aca="false">IF($A559="","",IF(FW559&lt;&gt;"Y","N",IF(COUNTIFS($FU$2:$FU$1000,FU559,$FW$2:$FW$1000,"Y",$J$2:$J$1000,"&gt;"&amp;J559)+COUNTIFS($FU$2:$FU$1000,FU559,$FW$2:$FW$1000,"Y",$J$2:$J$1000,J559,$GD$2:$GD$1000,"&lt;"&amp;GD559)=0,"Y","N")))</f>
        <v/>
      </c>
      <c r="FY559" s="0" t="str">
        <f aca="false">IF($A559="","",IF(AND(FW559="Y",FX559="Y",Y559&amp;""&lt;&gt;""),IF(Y559&lt;=10,"Y","N"),"N"))</f>
        <v/>
      </c>
      <c r="FZ559" s="0" t="str">
        <f aca="false">IF(FY559="Y",Y559,"")</f>
        <v/>
      </c>
      <c r="GA559" s="0" t="str">
        <f aca="false">IF($A559="","",IF(AND(I559="walk-in",CN559="pass",U559="new",FT559="N",FV559="N",AQ559&lt;&gt;"Y"),"Y","N"))</f>
        <v/>
      </c>
      <c r="GB559" s="0" t="str">
        <f aca="false">IF(GA559&lt;&gt;"Y","",IF(COUNTIFS($GA$2:$GA$1000,"Y",$J$2:$J$1000,"&gt;"&amp;J559)+COUNTIFS($GA$2:$GA$1000,"Y",$J$2:$J$1000,J559,$GD$2:$GD$1000,"&lt;"&amp;GD559)+1&lt;=25,COUNTIFS($GA$2:$GA$1000,"Y",$J$2:$J$1000,"&gt;"&amp;J559)+COUNTIFS($GA$2:$GA$1000,"Y",$J$2:$J$1000,J559,$GD$2:$GD$1000,"&lt;"&amp;GD559)+1,""))</f>
        <v/>
      </c>
      <c r="GC559" s="0" t="str">
        <f aca="false">IF(AND(_xlfn.ISFORMULA(C559),_xlfn.ISFORMULA(J559)),"Y","N")</f>
        <v>Y</v>
      </c>
      <c r="GD559" s="0" t="n">
        <f aca="false">ROW()-1</f>
        <v>558</v>
      </c>
    </row>
    <row r="560" customFormat="false" ht="15" hidden="false" customHeight="false" outlineLevel="0" collapsed="false">
      <c r="C560" s="0" t="str">
        <f aca="false">IF($A560="","",IF(AW560="Y",BM560&amp;"",AY560&amp;""))</f>
        <v/>
      </c>
      <c r="D560" s="0" t="str">
        <f aca="false">IF($A560="","",IF(AW560="Y",BN560&amp;"",AZ560&amp;""))</f>
        <v/>
      </c>
      <c r="E560" s="0" t="str">
        <f aca="false">IF($A560="","",IF(AW560="Y",BO560&amp;"",BA560&amp;""))</f>
        <v/>
      </c>
      <c r="F560" s="0" t="str">
        <f aca="false">IF($A560="","",IF(AW560="Y",BP560&amp;"",BB560&amp;""))</f>
        <v/>
      </c>
      <c r="G560" s="0" t="str">
        <f aca="false">IF($A560="","",IF(AW560="Y",BQ560&amp;"",BC560&amp;""))</f>
        <v/>
      </c>
      <c r="H560" s="0" t="str">
        <f aca="false">IF($A560="","",IF(AW560="Y",BR560&amp;"",BD560&amp;""))</f>
        <v/>
      </c>
      <c r="I560" s="0" t="str">
        <f aca="false">IF($A560="","",IF(R560="Y","warm-intro",IF(H560="verified","email",IF(C560&lt;&gt;"","linkedin",CB560&amp;""))))</f>
        <v/>
      </c>
      <c r="J560" s="0" t="str">
        <f aca="false">IF($A560="","",IF(CN560="pass",ROUND(N(EM560)+N(EN560)+N(EO560)+N(EP560)+N(EQ560)+N(ER560),1),0))</f>
        <v/>
      </c>
      <c r="K560" s="0" t="str">
        <f aca="false">IF($A560="","",IF(CN560&lt;&gt;"pass",CA560&amp;"",CA560&amp;"; "&amp;IF(AW560="Y",BZ560&amp;"",BL560&amp;"")&amp;IF(R560="Y","; known to the founder (+15)","")&amp;"."))</f>
        <v/>
      </c>
      <c r="R560" s="5"/>
      <c r="U560" s="5"/>
      <c r="Y560" s="0" t="str">
        <f aca="false">IF(FX560&lt;&gt;"Y","",COUNTIFS($FX$2:$FX$1000,"Y",$J$2:$J$1000,"&gt;"&amp;J560)+COUNTIFS($FX$2:$FX$1000,"Y",$J$2:$J$1000,J560,$GD$2:$GD$1000,"&lt;"&amp;GD560)+1)</f>
        <v/>
      </c>
      <c r="AB560" s="0" t="str">
        <f aca="false">IF($A560="","",IF(AW560="Y",BY560&amp;"",BK560&amp;""))</f>
        <v/>
      </c>
      <c r="AC560" s="0" t="str">
        <f aca="false">IF($A560="","",IF(AW560="Y",BS560&amp;"",BE560&amp;""))</f>
        <v/>
      </c>
      <c r="AD560" s="0" t="str">
        <f aca="false">IF($A560="","",IF(AW560="Y",BT560&amp;"",BF560&amp;""))</f>
        <v/>
      </c>
      <c r="AE560" s="0" t="str">
        <f aca="false">IF($A560="","",IF(AW560="Y",BU560&amp;"",BG560&amp;""))</f>
        <v/>
      </c>
      <c r="AF560" s="0" t="str">
        <f aca="false">IF($A560="","",IF(AW560="Y",BV560&amp;"",BH560&amp;""))</f>
        <v/>
      </c>
      <c r="AG560" s="0" t="str">
        <f aca="false">IF($A560="","",IF(AW560="Y",BW560&amp;"",BI560&amp;""))</f>
        <v/>
      </c>
      <c r="AH560" s="0" t="str">
        <f aca="false">IF($A560="","",IF(AW560="Y",BX560&amp;"",BJ560&amp;""))</f>
        <v/>
      </c>
      <c r="AQ560" s="5"/>
      <c r="AT560" s="0" t="str">
        <f aca="false">IF($A560="","",IF(AND(CN560="pass",AQ560&lt;&gt;"Y",C560&lt;&gt;"",OR(AX560&lt;&gt;"Y",AV560="Y")),"Y","N"))</f>
        <v/>
      </c>
      <c r="AU560" s="0" t="str">
        <f aca="false">IF($A560="","",_xlfn.TEXTJOIN("; ",TRUE(),IF(CN560&lt;&gt;"pass","gated out",""),IF(AQ560="Y","on hold: "&amp;AR560,""),IF(C560="","no contact named on an opened page",""),IF(AND(AX560="Y",AV560&lt;&gt;"Y"),"Tuesday estimate band "&amp;L560&amp;": founder's call","")))</f>
        <v/>
      </c>
      <c r="BC560" s="0" t="str">
        <f aca="false">IF($A560="","",IFERROR(INDEX(Enrichment!$A$2:$GZ$2000,MATCH($A560,INDEX(Enrichment!$A$2:$GZ$2000,0,MATCH("row_id",Enrichment!$A$1:$GZ$1,0)),0),MATCH("work_email",Enrichment!$A$1:$GZ$1,0))&amp;"",""))</f>
        <v/>
      </c>
      <c r="BD560" s="0" t="str">
        <f aca="false">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Q560" s="0" t="str">
        <f aca="false">IF($A560="","",IFERROR(INDEX(Enrichment!$A$2:$GZ$2000,MATCH($A560,INDEX(Enrichment!$A$2:$GZ$2000,0,MATCH("row_id",Enrichment!$A$1:$GZ$1,0)),0),MATCH("backup_work_email",Enrichment!$A$1:$GZ$1,0))&amp;"",""))</f>
        <v/>
      </c>
      <c r="BR560" s="0" t="str">
        <f aca="false">IF($A560="","",IF(BQ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EQ560" s="0" t="str">
        <f aca="false">IF($A560="","",IF(AH560="exact",10,IF(AH560="adjacent",5,0)))</f>
        <v/>
      </c>
      <c r="ER560" s="0" t="str">
        <f aca="false">IF($A560="","",IF(R560="Y",15,0))</f>
        <v/>
      </c>
      <c r="FS560" s="0" t="str">
        <f aca="false">IF($A560="","",IF(ISNUMBER(MATCH(U560,{"queued","contacted","replied","call_booked","call_done","yes_in_principle","materials_sent"},0)),"Y","N"))</f>
        <v/>
      </c>
      <c r="FT560" s="0" t="str">
        <f aca="false">IF($A560="","",IF(OR(T560="Y",U560="do_not_contact",AS560&amp;""&lt;&gt;""),"Y","N"))</f>
        <v/>
      </c>
      <c r="FU560" s="0" t="str">
        <f aca="false">IF($A560="","",IF(AP560&amp;""&lt;&gt;"",AP560&amp;"",$A560))</f>
        <v/>
      </c>
      <c r="FV560" s="0" t="str">
        <f aca="false">IF($A560="","",IF(COUNTIFS($FU$2:$FU$1000,FU560,$FS$2:$FS$1000,"Y")+COUNTIFS($FU$2:$FU$1000,FU560,$FT$2:$FT$1000,"Y")&gt;0,"Y","N"))</f>
        <v/>
      </c>
      <c r="FW560" s="0" t="str">
        <f aca="false">IF($A560="","",IF(AND(U560="new",T560="N",FT560="N",AT560="Y",FV560="N"),"Y","N"))</f>
        <v/>
      </c>
      <c r="FX560" s="0" t="str">
        <f aca="false">IF($A560="","",IF(FW560&lt;&gt;"Y","N",IF(COUNTIFS($FU$2:$FU$1000,FU560,$FW$2:$FW$1000,"Y",$J$2:$J$1000,"&gt;"&amp;J560)+COUNTIFS($FU$2:$FU$1000,FU560,$FW$2:$FW$1000,"Y",$J$2:$J$1000,J560,$GD$2:$GD$1000,"&lt;"&amp;GD560)=0,"Y","N")))</f>
        <v/>
      </c>
      <c r="FY560" s="0" t="str">
        <f aca="false">IF($A560="","",IF(AND(FW560="Y",FX560="Y",Y560&amp;""&lt;&gt;""),IF(Y560&lt;=10,"Y","N"),"N"))</f>
        <v/>
      </c>
      <c r="FZ560" s="0" t="str">
        <f aca="false">IF(FY560="Y",Y560,"")</f>
        <v/>
      </c>
      <c r="GA560" s="0" t="str">
        <f aca="false">IF($A560="","",IF(AND(I560="walk-in",CN560="pass",U560="new",FT560="N",FV560="N",AQ560&lt;&gt;"Y"),"Y","N"))</f>
        <v/>
      </c>
      <c r="GB560" s="0" t="str">
        <f aca="false">IF(GA560&lt;&gt;"Y","",IF(COUNTIFS($GA$2:$GA$1000,"Y",$J$2:$J$1000,"&gt;"&amp;J560)+COUNTIFS($GA$2:$GA$1000,"Y",$J$2:$J$1000,J560,$GD$2:$GD$1000,"&lt;"&amp;GD560)+1&lt;=25,COUNTIFS($GA$2:$GA$1000,"Y",$J$2:$J$1000,"&gt;"&amp;J560)+COUNTIFS($GA$2:$GA$1000,"Y",$J$2:$J$1000,J560,$GD$2:$GD$1000,"&lt;"&amp;GD560)+1,""))</f>
        <v/>
      </c>
      <c r="GC560" s="0" t="str">
        <f aca="false">IF(AND(_xlfn.ISFORMULA(C560),_xlfn.ISFORMULA(J560)),"Y","N")</f>
        <v>Y</v>
      </c>
      <c r="GD560" s="0" t="n">
        <f aca="false">ROW()-1</f>
        <v>559</v>
      </c>
    </row>
    <row r="561" customFormat="false" ht="15" hidden="false" customHeight="false" outlineLevel="0" collapsed="false">
      <c r="C561" s="0" t="str">
        <f aca="false">IF($A561="","",IF(AW561="Y",BM561&amp;"",AY561&amp;""))</f>
        <v/>
      </c>
      <c r="D561" s="0" t="str">
        <f aca="false">IF($A561="","",IF(AW561="Y",BN561&amp;"",AZ561&amp;""))</f>
        <v/>
      </c>
      <c r="E561" s="0" t="str">
        <f aca="false">IF($A561="","",IF(AW561="Y",BO561&amp;"",BA561&amp;""))</f>
        <v/>
      </c>
      <c r="F561" s="0" t="str">
        <f aca="false">IF($A561="","",IF(AW561="Y",BP561&amp;"",BB561&amp;""))</f>
        <v/>
      </c>
      <c r="G561" s="0" t="str">
        <f aca="false">IF($A561="","",IF(AW561="Y",BQ561&amp;"",BC561&amp;""))</f>
        <v/>
      </c>
      <c r="H561" s="0" t="str">
        <f aca="false">IF($A561="","",IF(AW561="Y",BR561&amp;"",BD561&amp;""))</f>
        <v/>
      </c>
      <c r="I561" s="0" t="str">
        <f aca="false">IF($A561="","",IF(R561="Y","warm-intro",IF(H561="verified","email",IF(C561&lt;&gt;"","linkedin",CB561&amp;""))))</f>
        <v/>
      </c>
      <c r="J561" s="0" t="str">
        <f aca="false">IF($A561="","",IF(CN561="pass",ROUND(N(EM561)+N(EN561)+N(EO561)+N(EP561)+N(EQ561)+N(ER561),1),0))</f>
        <v/>
      </c>
      <c r="K561" s="0" t="str">
        <f aca="false">IF($A561="","",IF(CN561&lt;&gt;"pass",CA561&amp;"",CA561&amp;"; "&amp;IF(AW561="Y",BZ561&amp;"",BL561&amp;"")&amp;IF(R561="Y","; known to the founder (+15)","")&amp;"."))</f>
        <v/>
      </c>
      <c r="R561" s="5"/>
      <c r="U561" s="5"/>
      <c r="Y561" s="0" t="str">
        <f aca="false">IF(FX561&lt;&gt;"Y","",COUNTIFS($FX$2:$FX$1000,"Y",$J$2:$J$1000,"&gt;"&amp;J561)+COUNTIFS($FX$2:$FX$1000,"Y",$J$2:$J$1000,J561,$GD$2:$GD$1000,"&lt;"&amp;GD561)+1)</f>
        <v/>
      </c>
      <c r="AB561" s="0" t="str">
        <f aca="false">IF($A561="","",IF(AW561="Y",BY561&amp;"",BK561&amp;""))</f>
        <v/>
      </c>
      <c r="AC561" s="0" t="str">
        <f aca="false">IF($A561="","",IF(AW561="Y",BS561&amp;"",BE561&amp;""))</f>
        <v/>
      </c>
      <c r="AD561" s="0" t="str">
        <f aca="false">IF($A561="","",IF(AW561="Y",BT561&amp;"",BF561&amp;""))</f>
        <v/>
      </c>
      <c r="AE561" s="0" t="str">
        <f aca="false">IF($A561="","",IF(AW561="Y",BU561&amp;"",BG561&amp;""))</f>
        <v/>
      </c>
      <c r="AF561" s="0" t="str">
        <f aca="false">IF($A561="","",IF(AW561="Y",BV561&amp;"",BH561&amp;""))</f>
        <v/>
      </c>
      <c r="AG561" s="0" t="str">
        <f aca="false">IF($A561="","",IF(AW561="Y",BW561&amp;"",BI561&amp;""))</f>
        <v/>
      </c>
      <c r="AH561" s="0" t="str">
        <f aca="false">IF($A561="","",IF(AW561="Y",BX561&amp;"",BJ561&amp;""))</f>
        <v/>
      </c>
      <c r="AQ561" s="5"/>
      <c r="AT561" s="0" t="str">
        <f aca="false">IF($A561="","",IF(AND(CN561="pass",AQ561&lt;&gt;"Y",C561&lt;&gt;"",OR(AX561&lt;&gt;"Y",AV561="Y")),"Y","N"))</f>
        <v/>
      </c>
      <c r="AU561" s="0" t="str">
        <f aca="false">IF($A561="","",_xlfn.TEXTJOIN("; ",TRUE(),IF(CN561&lt;&gt;"pass","gated out",""),IF(AQ561="Y","on hold: "&amp;AR561,""),IF(C561="","no contact named on an opened page",""),IF(AND(AX561="Y",AV561&lt;&gt;"Y"),"Tuesday estimate band "&amp;L561&amp;": founder's call","")))</f>
        <v/>
      </c>
      <c r="BC561" s="0" t="str">
        <f aca="false">IF($A561="","",IFERROR(INDEX(Enrichment!$A$2:$GZ$2000,MATCH($A561,INDEX(Enrichment!$A$2:$GZ$2000,0,MATCH("row_id",Enrichment!$A$1:$GZ$1,0)),0),MATCH("work_email",Enrichment!$A$1:$GZ$1,0))&amp;"",""))</f>
        <v/>
      </c>
      <c r="BD561" s="0" t="str">
        <f aca="false">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Q561" s="0" t="str">
        <f aca="false">IF($A561="","",IFERROR(INDEX(Enrichment!$A$2:$GZ$2000,MATCH($A561,INDEX(Enrichment!$A$2:$GZ$2000,0,MATCH("row_id",Enrichment!$A$1:$GZ$1,0)),0),MATCH("backup_work_email",Enrichment!$A$1:$GZ$1,0))&amp;"",""))</f>
        <v/>
      </c>
      <c r="BR561" s="0" t="str">
        <f aca="false">IF($A561="","",IF(BQ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EQ561" s="0" t="str">
        <f aca="false">IF($A561="","",IF(AH561="exact",10,IF(AH561="adjacent",5,0)))</f>
        <v/>
      </c>
      <c r="ER561" s="0" t="str">
        <f aca="false">IF($A561="","",IF(R561="Y",15,0))</f>
        <v/>
      </c>
      <c r="FS561" s="0" t="str">
        <f aca="false">IF($A561="","",IF(ISNUMBER(MATCH(U561,{"queued","contacted","replied","call_booked","call_done","yes_in_principle","materials_sent"},0)),"Y","N"))</f>
        <v/>
      </c>
      <c r="FT561" s="0" t="str">
        <f aca="false">IF($A561="","",IF(OR(T561="Y",U561="do_not_contact",AS561&amp;""&lt;&gt;""),"Y","N"))</f>
        <v/>
      </c>
      <c r="FU561" s="0" t="str">
        <f aca="false">IF($A561="","",IF(AP561&amp;""&lt;&gt;"",AP561&amp;"",$A561))</f>
        <v/>
      </c>
      <c r="FV561" s="0" t="str">
        <f aca="false">IF($A561="","",IF(COUNTIFS($FU$2:$FU$1000,FU561,$FS$2:$FS$1000,"Y")+COUNTIFS($FU$2:$FU$1000,FU561,$FT$2:$FT$1000,"Y")&gt;0,"Y","N"))</f>
        <v/>
      </c>
      <c r="FW561" s="0" t="str">
        <f aca="false">IF($A561="","",IF(AND(U561="new",T561="N",FT561="N",AT561="Y",FV561="N"),"Y","N"))</f>
        <v/>
      </c>
      <c r="FX561" s="0" t="str">
        <f aca="false">IF($A561="","",IF(FW561&lt;&gt;"Y","N",IF(COUNTIFS($FU$2:$FU$1000,FU561,$FW$2:$FW$1000,"Y",$J$2:$J$1000,"&gt;"&amp;J561)+COUNTIFS($FU$2:$FU$1000,FU561,$FW$2:$FW$1000,"Y",$J$2:$J$1000,J561,$GD$2:$GD$1000,"&lt;"&amp;GD561)=0,"Y","N")))</f>
        <v/>
      </c>
      <c r="FY561" s="0" t="str">
        <f aca="false">IF($A561="","",IF(AND(FW561="Y",FX561="Y",Y561&amp;""&lt;&gt;""),IF(Y561&lt;=10,"Y","N"),"N"))</f>
        <v/>
      </c>
      <c r="FZ561" s="0" t="str">
        <f aca="false">IF(FY561="Y",Y561,"")</f>
        <v/>
      </c>
      <c r="GA561" s="0" t="str">
        <f aca="false">IF($A561="","",IF(AND(I561="walk-in",CN561="pass",U561="new",FT561="N",FV561="N",AQ561&lt;&gt;"Y"),"Y","N"))</f>
        <v/>
      </c>
      <c r="GB561" s="0" t="str">
        <f aca="false">IF(GA561&lt;&gt;"Y","",IF(COUNTIFS($GA$2:$GA$1000,"Y",$J$2:$J$1000,"&gt;"&amp;J561)+COUNTIFS($GA$2:$GA$1000,"Y",$J$2:$J$1000,J561,$GD$2:$GD$1000,"&lt;"&amp;GD561)+1&lt;=25,COUNTIFS($GA$2:$GA$1000,"Y",$J$2:$J$1000,"&gt;"&amp;J561)+COUNTIFS($GA$2:$GA$1000,"Y",$J$2:$J$1000,J561,$GD$2:$GD$1000,"&lt;"&amp;GD561)+1,""))</f>
        <v/>
      </c>
      <c r="GC561" s="0" t="str">
        <f aca="false">IF(AND(_xlfn.ISFORMULA(C561),_xlfn.ISFORMULA(J561)),"Y","N")</f>
        <v>Y</v>
      </c>
      <c r="GD561" s="0" t="n">
        <f aca="false">ROW()-1</f>
        <v>560</v>
      </c>
    </row>
    <row r="562" customFormat="false" ht="15" hidden="false" customHeight="false" outlineLevel="0" collapsed="false">
      <c r="C562" s="0" t="str">
        <f aca="false">IF($A562="","",IF(AW562="Y",BM562&amp;"",AY562&amp;""))</f>
        <v/>
      </c>
      <c r="D562" s="0" t="str">
        <f aca="false">IF($A562="","",IF(AW562="Y",BN562&amp;"",AZ562&amp;""))</f>
        <v/>
      </c>
      <c r="E562" s="0" t="str">
        <f aca="false">IF($A562="","",IF(AW562="Y",BO562&amp;"",BA562&amp;""))</f>
        <v/>
      </c>
      <c r="F562" s="0" t="str">
        <f aca="false">IF($A562="","",IF(AW562="Y",BP562&amp;"",BB562&amp;""))</f>
        <v/>
      </c>
      <c r="G562" s="0" t="str">
        <f aca="false">IF($A562="","",IF(AW562="Y",BQ562&amp;"",BC562&amp;""))</f>
        <v/>
      </c>
      <c r="H562" s="0" t="str">
        <f aca="false">IF($A562="","",IF(AW562="Y",BR562&amp;"",BD562&amp;""))</f>
        <v/>
      </c>
      <c r="I562" s="0" t="str">
        <f aca="false">IF($A562="","",IF(R562="Y","warm-intro",IF(H562="verified","email",IF(C562&lt;&gt;"","linkedin",CB562&amp;""))))</f>
        <v/>
      </c>
      <c r="J562" s="0" t="str">
        <f aca="false">IF($A562="","",IF(CN562="pass",ROUND(N(EM562)+N(EN562)+N(EO562)+N(EP562)+N(EQ562)+N(ER562),1),0))</f>
        <v/>
      </c>
      <c r="K562" s="0" t="str">
        <f aca="false">IF($A562="","",IF(CN562&lt;&gt;"pass",CA562&amp;"",CA562&amp;"; "&amp;IF(AW562="Y",BZ562&amp;"",BL562&amp;"")&amp;IF(R562="Y","; known to the founder (+15)","")&amp;"."))</f>
        <v/>
      </c>
      <c r="R562" s="5"/>
      <c r="U562" s="5"/>
      <c r="Y562" s="0" t="str">
        <f aca="false">IF(FX562&lt;&gt;"Y","",COUNTIFS($FX$2:$FX$1000,"Y",$J$2:$J$1000,"&gt;"&amp;J562)+COUNTIFS($FX$2:$FX$1000,"Y",$J$2:$J$1000,J562,$GD$2:$GD$1000,"&lt;"&amp;GD562)+1)</f>
        <v/>
      </c>
      <c r="AB562" s="0" t="str">
        <f aca="false">IF($A562="","",IF(AW562="Y",BY562&amp;"",BK562&amp;""))</f>
        <v/>
      </c>
      <c r="AC562" s="0" t="str">
        <f aca="false">IF($A562="","",IF(AW562="Y",BS562&amp;"",BE562&amp;""))</f>
        <v/>
      </c>
      <c r="AD562" s="0" t="str">
        <f aca="false">IF($A562="","",IF(AW562="Y",BT562&amp;"",BF562&amp;""))</f>
        <v/>
      </c>
      <c r="AE562" s="0" t="str">
        <f aca="false">IF($A562="","",IF(AW562="Y",BU562&amp;"",BG562&amp;""))</f>
        <v/>
      </c>
      <c r="AF562" s="0" t="str">
        <f aca="false">IF($A562="","",IF(AW562="Y",BV562&amp;"",BH562&amp;""))</f>
        <v/>
      </c>
      <c r="AG562" s="0" t="str">
        <f aca="false">IF($A562="","",IF(AW562="Y",BW562&amp;"",BI562&amp;""))</f>
        <v/>
      </c>
      <c r="AH562" s="0" t="str">
        <f aca="false">IF($A562="","",IF(AW562="Y",BX562&amp;"",BJ562&amp;""))</f>
        <v/>
      </c>
      <c r="AQ562" s="5"/>
      <c r="AT562" s="0" t="str">
        <f aca="false">IF($A562="","",IF(AND(CN562="pass",AQ562&lt;&gt;"Y",C562&lt;&gt;"",OR(AX562&lt;&gt;"Y",AV562="Y")),"Y","N"))</f>
        <v/>
      </c>
      <c r="AU562" s="0" t="str">
        <f aca="false">IF($A562="","",_xlfn.TEXTJOIN("; ",TRUE(),IF(CN562&lt;&gt;"pass","gated out",""),IF(AQ562="Y","on hold: "&amp;AR562,""),IF(C562="","no contact named on an opened page",""),IF(AND(AX562="Y",AV562&lt;&gt;"Y"),"Tuesday estimate band "&amp;L562&amp;": founder's call","")))</f>
        <v/>
      </c>
      <c r="BC562" s="0" t="str">
        <f aca="false">IF($A562="","",IFERROR(INDEX(Enrichment!$A$2:$GZ$2000,MATCH($A562,INDEX(Enrichment!$A$2:$GZ$2000,0,MATCH("row_id",Enrichment!$A$1:$GZ$1,0)),0),MATCH("work_email",Enrichment!$A$1:$GZ$1,0))&amp;"",""))</f>
        <v/>
      </c>
      <c r="BD562" s="0" t="str">
        <f aca="false">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Q562" s="0" t="str">
        <f aca="false">IF($A562="","",IFERROR(INDEX(Enrichment!$A$2:$GZ$2000,MATCH($A562,INDEX(Enrichment!$A$2:$GZ$2000,0,MATCH("row_id",Enrichment!$A$1:$GZ$1,0)),0),MATCH("backup_work_email",Enrichment!$A$1:$GZ$1,0))&amp;"",""))</f>
        <v/>
      </c>
      <c r="BR562" s="0" t="str">
        <f aca="false">IF($A562="","",IF(BQ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EQ562" s="0" t="str">
        <f aca="false">IF($A562="","",IF(AH562="exact",10,IF(AH562="adjacent",5,0)))</f>
        <v/>
      </c>
      <c r="ER562" s="0" t="str">
        <f aca="false">IF($A562="","",IF(R562="Y",15,0))</f>
        <v/>
      </c>
      <c r="FS562" s="0" t="str">
        <f aca="false">IF($A562="","",IF(ISNUMBER(MATCH(U562,{"queued","contacted","replied","call_booked","call_done","yes_in_principle","materials_sent"},0)),"Y","N"))</f>
        <v/>
      </c>
      <c r="FT562" s="0" t="str">
        <f aca="false">IF($A562="","",IF(OR(T562="Y",U562="do_not_contact",AS562&amp;""&lt;&gt;""),"Y","N"))</f>
        <v/>
      </c>
      <c r="FU562" s="0" t="str">
        <f aca="false">IF($A562="","",IF(AP562&amp;""&lt;&gt;"",AP562&amp;"",$A562))</f>
        <v/>
      </c>
      <c r="FV562" s="0" t="str">
        <f aca="false">IF($A562="","",IF(COUNTIFS($FU$2:$FU$1000,FU562,$FS$2:$FS$1000,"Y")+COUNTIFS($FU$2:$FU$1000,FU562,$FT$2:$FT$1000,"Y")&gt;0,"Y","N"))</f>
        <v/>
      </c>
      <c r="FW562" s="0" t="str">
        <f aca="false">IF($A562="","",IF(AND(U562="new",T562="N",FT562="N",AT562="Y",FV562="N"),"Y","N"))</f>
        <v/>
      </c>
      <c r="FX562" s="0" t="str">
        <f aca="false">IF($A562="","",IF(FW562&lt;&gt;"Y","N",IF(COUNTIFS($FU$2:$FU$1000,FU562,$FW$2:$FW$1000,"Y",$J$2:$J$1000,"&gt;"&amp;J562)+COUNTIFS($FU$2:$FU$1000,FU562,$FW$2:$FW$1000,"Y",$J$2:$J$1000,J562,$GD$2:$GD$1000,"&lt;"&amp;GD562)=0,"Y","N")))</f>
        <v/>
      </c>
      <c r="FY562" s="0" t="str">
        <f aca="false">IF($A562="","",IF(AND(FW562="Y",FX562="Y",Y562&amp;""&lt;&gt;""),IF(Y562&lt;=10,"Y","N"),"N"))</f>
        <v/>
      </c>
      <c r="FZ562" s="0" t="str">
        <f aca="false">IF(FY562="Y",Y562,"")</f>
        <v/>
      </c>
      <c r="GA562" s="0" t="str">
        <f aca="false">IF($A562="","",IF(AND(I562="walk-in",CN562="pass",U562="new",FT562="N",FV562="N",AQ562&lt;&gt;"Y"),"Y","N"))</f>
        <v/>
      </c>
      <c r="GB562" s="0" t="str">
        <f aca="false">IF(GA562&lt;&gt;"Y","",IF(COUNTIFS($GA$2:$GA$1000,"Y",$J$2:$J$1000,"&gt;"&amp;J562)+COUNTIFS($GA$2:$GA$1000,"Y",$J$2:$J$1000,J562,$GD$2:$GD$1000,"&lt;"&amp;GD562)+1&lt;=25,COUNTIFS($GA$2:$GA$1000,"Y",$J$2:$J$1000,"&gt;"&amp;J562)+COUNTIFS($GA$2:$GA$1000,"Y",$J$2:$J$1000,J562,$GD$2:$GD$1000,"&lt;"&amp;GD562)+1,""))</f>
        <v/>
      </c>
      <c r="GC562" s="0" t="str">
        <f aca="false">IF(AND(_xlfn.ISFORMULA(C562),_xlfn.ISFORMULA(J562)),"Y","N")</f>
        <v>Y</v>
      </c>
      <c r="GD562" s="0" t="n">
        <f aca="false">ROW()-1</f>
        <v>561</v>
      </c>
    </row>
    <row r="563" customFormat="false" ht="15" hidden="false" customHeight="false" outlineLevel="0" collapsed="false">
      <c r="C563" s="0" t="str">
        <f aca="false">IF($A563="","",IF(AW563="Y",BM563&amp;"",AY563&amp;""))</f>
        <v/>
      </c>
      <c r="D563" s="0" t="str">
        <f aca="false">IF($A563="","",IF(AW563="Y",BN563&amp;"",AZ563&amp;""))</f>
        <v/>
      </c>
      <c r="E563" s="0" t="str">
        <f aca="false">IF($A563="","",IF(AW563="Y",BO563&amp;"",BA563&amp;""))</f>
        <v/>
      </c>
      <c r="F563" s="0" t="str">
        <f aca="false">IF($A563="","",IF(AW563="Y",BP563&amp;"",BB563&amp;""))</f>
        <v/>
      </c>
      <c r="G563" s="0" t="str">
        <f aca="false">IF($A563="","",IF(AW563="Y",BQ563&amp;"",BC563&amp;""))</f>
        <v/>
      </c>
      <c r="H563" s="0" t="str">
        <f aca="false">IF($A563="","",IF(AW563="Y",BR563&amp;"",BD563&amp;""))</f>
        <v/>
      </c>
      <c r="I563" s="0" t="str">
        <f aca="false">IF($A563="","",IF(R563="Y","warm-intro",IF(H563="verified","email",IF(C563&lt;&gt;"","linkedin",CB563&amp;""))))</f>
        <v/>
      </c>
      <c r="J563" s="0" t="str">
        <f aca="false">IF($A563="","",IF(CN563="pass",ROUND(N(EM563)+N(EN563)+N(EO563)+N(EP563)+N(EQ563)+N(ER563),1),0))</f>
        <v/>
      </c>
      <c r="K563" s="0" t="str">
        <f aca="false">IF($A563="","",IF(CN563&lt;&gt;"pass",CA563&amp;"",CA563&amp;"; "&amp;IF(AW563="Y",BZ563&amp;"",BL563&amp;"")&amp;IF(R563="Y","; known to the founder (+15)","")&amp;"."))</f>
        <v/>
      </c>
      <c r="R563" s="5"/>
      <c r="U563" s="5"/>
      <c r="Y563" s="0" t="str">
        <f aca="false">IF(FX563&lt;&gt;"Y","",COUNTIFS($FX$2:$FX$1000,"Y",$J$2:$J$1000,"&gt;"&amp;J563)+COUNTIFS($FX$2:$FX$1000,"Y",$J$2:$J$1000,J563,$GD$2:$GD$1000,"&lt;"&amp;GD563)+1)</f>
        <v/>
      </c>
      <c r="AB563" s="0" t="str">
        <f aca="false">IF($A563="","",IF(AW563="Y",BY563&amp;"",BK563&amp;""))</f>
        <v/>
      </c>
      <c r="AC563" s="0" t="str">
        <f aca="false">IF($A563="","",IF(AW563="Y",BS563&amp;"",BE563&amp;""))</f>
        <v/>
      </c>
      <c r="AD563" s="0" t="str">
        <f aca="false">IF($A563="","",IF(AW563="Y",BT563&amp;"",BF563&amp;""))</f>
        <v/>
      </c>
      <c r="AE563" s="0" t="str">
        <f aca="false">IF($A563="","",IF(AW563="Y",BU563&amp;"",BG563&amp;""))</f>
        <v/>
      </c>
      <c r="AF563" s="0" t="str">
        <f aca="false">IF($A563="","",IF(AW563="Y",BV563&amp;"",BH563&amp;""))</f>
        <v/>
      </c>
      <c r="AG563" s="0" t="str">
        <f aca="false">IF($A563="","",IF(AW563="Y",BW563&amp;"",BI563&amp;""))</f>
        <v/>
      </c>
      <c r="AH563" s="0" t="str">
        <f aca="false">IF($A563="","",IF(AW563="Y",BX563&amp;"",BJ563&amp;""))</f>
        <v/>
      </c>
      <c r="AQ563" s="5"/>
      <c r="AT563" s="0" t="str">
        <f aca="false">IF($A563="","",IF(AND(CN563="pass",AQ563&lt;&gt;"Y",C563&lt;&gt;"",OR(AX563&lt;&gt;"Y",AV563="Y")),"Y","N"))</f>
        <v/>
      </c>
      <c r="AU563" s="0" t="str">
        <f aca="false">IF($A563="","",_xlfn.TEXTJOIN("; ",TRUE(),IF(CN563&lt;&gt;"pass","gated out",""),IF(AQ563="Y","on hold: "&amp;AR563,""),IF(C563="","no contact named on an opened page",""),IF(AND(AX563="Y",AV563&lt;&gt;"Y"),"Tuesday estimate band "&amp;L563&amp;": founder's call","")))</f>
        <v/>
      </c>
      <c r="BC563" s="0" t="str">
        <f aca="false">IF($A563="","",IFERROR(INDEX(Enrichment!$A$2:$GZ$2000,MATCH($A563,INDEX(Enrichment!$A$2:$GZ$2000,0,MATCH("row_id",Enrichment!$A$1:$GZ$1,0)),0),MATCH("work_email",Enrichment!$A$1:$GZ$1,0))&amp;"",""))</f>
        <v/>
      </c>
      <c r="BD563" s="0" t="str">
        <f aca="false">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Q563" s="0" t="str">
        <f aca="false">IF($A563="","",IFERROR(INDEX(Enrichment!$A$2:$GZ$2000,MATCH($A563,INDEX(Enrichment!$A$2:$GZ$2000,0,MATCH("row_id",Enrichment!$A$1:$GZ$1,0)),0),MATCH("backup_work_email",Enrichment!$A$1:$GZ$1,0))&amp;"",""))</f>
        <v/>
      </c>
      <c r="BR563" s="0" t="str">
        <f aca="false">IF($A563="","",IF(BQ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EQ563" s="0" t="str">
        <f aca="false">IF($A563="","",IF(AH563="exact",10,IF(AH563="adjacent",5,0)))</f>
        <v/>
      </c>
      <c r="ER563" s="0" t="str">
        <f aca="false">IF($A563="","",IF(R563="Y",15,0))</f>
        <v/>
      </c>
      <c r="FS563" s="0" t="str">
        <f aca="false">IF($A563="","",IF(ISNUMBER(MATCH(U563,{"queued","contacted","replied","call_booked","call_done","yes_in_principle","materials_sent"},0)),"Y","N"))</f>
        <v/>
      </c>
      <c r="FT563" s="0" t="str">
        <f aca="false">IF($A563="","",IF(OR(T563="Y",U563="do_not_contact",AS563&amp;""&lt;&gt;""),"Y","N"))</f>
        <v/>
      </c>
      <c r="FU563" s="0" t="str">
        <f aca="false">IF($A563="","",IF(AP563&amp;""&lt;&gt;"",AP563&amp;"",$A563))</f>
        <v/>
      </c>
      <c r="FV563" s="0" t="str">
        <f aca="false">IF($A563="","",IF(COUNTIFS($FU$2:$FU$1000,FU563,$FS$2:$FS$1000,"Y")+COUNTIFS($FU$2:$FU$1000,FU563,$FT$2:$FT$1000,"Y")&gt;0,"Y","N"))</f>
        <v/>
      </c>
      <c r="FW563" s="0" t="str">
        <f aca="false">IF($A563="","",IF(AND(U563="new",T563="N",FT563="N",AT563="Y",FV563="N"),"Y","N"))</f>
        <v/>
      </c>
      <c r="FX563" s="0" t="str">
        <f aca="false">IF($A563="","",IF(FW563&lt;&gt;"Y","N",IF(COUNTIFS($FU$2:$FU$1000,FU563,$FW$2:$FW$1000,"Y",$J$2:$J$1000,"&gt;"&amp;J563)+COUNTIFS($FU$2:$FU$1000,FU563,$FW$2:$FW$1000,"Y",$J$2:$J$1000,J563,$GD$2:$GD$1000,"&lt;"&amp;GD563)=0,"Y","N")))</f>
        <v/>
      </c>
      <c r="FY563" s="0" t="str">
        <f aca="false">IF($A563="","",IF(AND(FW563="Y",FX563="Y",Y563&amp;""&lt;&gt;""),IF(Y563&lt;=10,"Y","N"),"N"))</f>
        <v/>
      </c>
      <c r="FZ563" s="0" t="str">
        <f aca="false">IF(FY563="Y",Y563,"")</f>
        <v/>
      </c>
      <c r="GA563" s="0" t="str">
        <f aca="false">IF($A563="","",IF(AND(I563="walk-in",CN563="pass",U563="new",FT563="N",FV563="N",AQ563&lt;&gt;"Y"),"Y","N"))</f>
        <v/>
      </c>
      <c r="GB563" s="0" t="str">
        <f aca="false">IF(GA563&lt;&gt;"Y","",IF(COUNTIFS($GA$2:$GA$1000,"Y",$J$2:$J$1000,"&gt;"&amp;J563)+COUNTIFS($GA$2:$GA$1000,"Y",$J$2:$J$1000,J563,$GD$2:$GD$1000,"&lt;"&amp;GD563)+1&lt;=25,COUNTIFS($GA$2:$GA$1000,"Y",$J$2:$J$1000,"&gt;"&amp;J563)+COUNTIFS($GA$2:$GA$1000,"Y",$J$2:$J$1000,J563,$GD$2:$GD$1000,"&lt;"&amp;GD563)+1,""))</f>
        <v/>
      </c>
      <c r="GC563" s="0" t="str">
        <f aca="false">IF(AND(_xlfn.ISFORMULA(C563),_xlfn.ISFORMULA(J563)),"Y","N")</f>
        <v>Y</v>
      </c>
      <c r="GD563" s="0" t="n">
        <f aca="false">ROW()-1</f>
        <v>562</v>
      </c>
    </row>
    <row r="564" customFormat="false" ht="15" hidden="false" customHeight="false" outlineLevel="0" collapsed="false">
      <c r="C564" s="0" t="str">
        <f aca="false">IF($A564="","",IF(AW564="Y",BM564&amp;"",AY564&amp;""))</f>
        <v/>
      </c>
      <c r="D564" s="0" t="str">
        <f aca="false">IF($A564="","",IF(AW564="Y",BN564&amp;"",AZ564&amp;""))</f>
        <v/>
      </c>
      <c r="E564" s="0" t="str">
        <f aca="false">IF($A564="","",IF(AW564="Y",BO564&amp;"",BA564&amp;""))</f>
        <v/>
      </c>
      <c r="F564" s="0" t="str">
        <f aca="false">IF($A564="","",IF(AW564="Y",BP564&amp;"",BB564&amp;""))</f>
        <v/>
      </c>
      <c r="G564" s="0" t="str">
        <f aca="false">IF($A564="","",IF(AW564="Y",BQ564&amp;"",BC564&amp;""))</f>
        <v/>
      </c>
      <c r="H564" s="0" t="str">
        <f aca="false">IF($A564="","",IF(AW564="Y",BR564&amp;"",BD564&amp;""))</f>
        <v/>
      </c>
      <c r="I564" s="0" t="str">
        <f aca="false">IF($A564="","",IF(R564="Y","warm-intro",IF(H564="verified","email",IF(C564&lt;&gt;"","linkedin",CB564&amp;""))))</f>
        <v/>
      </c>
      <c r="J564" s="0" t="str">
        <f aca="false">IF($A564="","",IF(CN564="pass",ROUND(N(EM564)+N(EN564)+N(EO564)+N(EP564)+N(EQ564)+N(ER564),1),0))</f>
        <v/>
      </c>
      <c r="K564" s="0" t="str">
        <f aca="false">IF($A564="","",IF(CN564&lt;&gt;"pass",CA564&amp;"",CA564&amp;"; "&amp;IF(AW564="Y",BZ564&amp;"",BL564&amp;"")&amp;IF(R564="Y","; known to the founder (+15)","")&amp;"."))</f>
        <v/>
      </c>
      <c r="R564" s="5"/>
      <c r="U564" s="5"/>
      <c r="Y564" s="0" t="str">
        <f aca="false">IF(FX564&lt;&gt;"Y","",COUNTIFS($FX$2:$FX$1000,"Y",$J$2:$J$1000,"&gt;"&amp;J564)+COUNTIFS($FX$2:$FX$1000,"Y",$J$2:$J$1000,J564,$GD$2:$GD$1000,"&lt;"&amp;GD564)+1)</f>
        <v/>
      </c>
      <c r="AB564" s="0" t="str">
        <f aca="false">IF($A564="","",IF(AW564="Y",BY564&amp;"",BK564&amp;""))</f>
        <v/>
      </c>
      <c r="AC564" s="0" t="str">
        <f aca="false">IF($A564="","",IF(AW564="Y",BS564&amp;"",BE564&amp;""))</f>
        <v/>
      </c>
      <c r="AD564" s="0" t="str">
        <f aca="false">IF($A564="","",IF(AW564="Y",BT564&amp;"",BF564&amp;""))</f>
        <v/>
      </c>
      <c r="AE564" s="0" t="str">
        <f aca="false">IF($A564="","",IF(AW564="Y",BU564&amp;"",BG564&amp;""))</f>
        <v/>
      </c>
      <c r="AF564" s="0" t="str">
        <f aca="false">IF($A564="","",IF(AW564="Y",BV564&amp;"",BH564&amp;""))</f>
        <v/>
      </c>
      <c r="AG564" s="0" t="str">
        <f aca="false">IF($A564="","",IF(AW564="Y",BW564&amp;"",BI564&amp;""))</f>
        <v/>
      </c>
      <c r="AH564" s="0" t="str">
        <f aca="false">IF($A564="","",IF(AW564="Y",BX564&amp;"",BJ564&amp;""))</f>
        <v/>
      </c>
      <c r="AQ564" s="5"/>
      <c r="AT564" s="0" t="str">
        <f aca="false">IF($A564="","",IF(AND(CN564="pass",AQ564&lt;&gt;"Y",C564&lt;&gt;"",OR(AX564&lt;&gt;"Y",AV564="Y")),"Y","N"))</f>
        <v/>
      </c>
      <c r="AU564" s="0" t="str">
        <f aca="false">IF($A564="","",_xlfn.TEXTJOIN("; ",TRUE(),IF(CN564&lt;&gt;"pass","gated out",""),IF(AQ564="Y","on hold: "&amp;AR564,""),IF(C564="","no contact named on an opened page",""),IF(AND(AX564="Y",AV564&lt;&gt;"Y"),"Tuesday estimate band "&amp;L564&amp;": founder's call","")))</f>
        <v/>
      </c>
      <c r="BC564" s="0" t="str">
        <f aca="false">IF($A564="","",IFERROR(INDEX(Enrichment!$A$2:$GZ$2000,MATCH($A564,INDEX(Enrichment!$A$2:$GZ$2000,0,MATCH("row_id",Enrichment!$A$1:$GZ$1,0)),0),MATCH("work_email",Enrichment!$A$1:$GZ$1,0))&amp;"",""))</f>
        <v/>
      </c>
      <c r="BD564" s="0" t="str">
        <f aca="false">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Q564" s="0" t="str">
        <f aca="false">IF($A564="","",IFERROR(INDEX(Enrichment!$A$2:$GZ$2000,MATCH($A564,INDEX(Enrichment!$A$2:$GZ$2000,0,MATCH("row_id",Enrichment!$A$1:$GZ$1,0)),0),MATCH("backup_work_email",Enrichment!$A$1:$GZ$1,0))&amp;"",""))</f>
        <v/>
      </c>
      <c r="BR564" s="0" t="str">
        <f aca="false">IF($A564="","",IF(BQ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EQ564" s="0" t="str">
        <f aca="false">IF($A564="","",IF(AH564="exact",10,IF(AH564="adjacent",5,0)))</f>
        <v/>
      </c>
      <c r="ER564" s="0" t="str">
        <f aca="false">IF($A564="","",IF(R564="Y",15,0))</f>
        <v/>
      </c>
      <c r="FS564" s="0" t="str">
        <f aca="false">IF($A564="","",IF(ISNUMBER(MATCH(U564,{"queued","contacted","replied","call_booked","call_done","yes_in_principle","materials_sent"},0)),"Y","N"))</f>
        <v/>
      </c>
      <c r="FT564" s="0" t="str">
        <f aca="false">IF($A564="","",IF(OR(T564="Y",U564="do_not_contact",AS564&amp;""&lt;&gt;""),"Y","N"))</f>
        <v/>
      </c>
      <c r="FU564" s="0" t="str">
        <f aca="false">IF($A564="","",IF(AP564&amp;""&lt;&gt;"",AP564&amp;"",$A564))</f>
        <v/>
      </c>
      <c r="FV564" s="0" t="str">
        <f aca="false">IF($A564="","",IF(COUNTIFS($FU$2:$FU$1000,FU564,$FS$2:$FS$1000,"Y")+COUNTIFS($FU$2:$FU$1000,FU564,$FT$2:$FT$1000,"Y")&gt;0,"Y","N"))</f>
        <v/>
      </c>
      <c r="FW564" s="0" t="str">
        <f aca="false">IF($A564="","",IF(AND(U564="new",T564="N",FT564="N",AT564="Y",FV564="N"),"Y","N"))</f>
        <v/>
      </c>
      <c r="FX564" s="0" t="str">
        <f aca="false">IF($A564="","",IF(FW564&lt;&gt;"Y","N",IF(COUNTIFS($FU$2:$FU$1000,FU564,$FW$2:$FW$1000,"Y",$J$2:$J$1000,"&gt;"&amp;J564)+COUNTIFS($FU$2:$FU$1000,FU564,$FW$2:$FW$1000,"Y",$J$2:$J$1000,J564,$GD$2:$GD$1000,"&lt;"&amp;GD564)=0,"Y","N")))</f>
        <v/>
      </c>
      <c r="FY564" s="0" t="str">
        <f aca="false">IF($A564="","",IF(AND(FW564="Y",FX564="Y",Y564&amp;""&lt;&gt;""),IF(Y564&lt;=10,"Y","N"),"N"))</f>
        <v/>
      </c>
      <c r="FZ564" s="0" t="str">
        <f aca="false">IF(FY564="Y",Y564,"")</f>
        <v/>
      </c>
      <c r="GA564" s="0" t="str">
        <f aca="false">IF($A564="","",IF(AND(I564="walk-in",CN564="pass",U564="new",FT564="N",FV564="N",AQ564&lt;&gt;"Y"),"Y","N"))</f>
        <v/>
      </c>
      <c r="GB564" s="0" t="str">
        <f aca="false">IF(GA564&lt;&gt;"Y","",IF(COUNTIFS($GA$2:$GA$1000,"Y",$J$2:$J$1000,"&gt;"&amp;J564)+COUNTIFS($GA$2:$GA$1000,"Y",$J$2:$J$1000,J564,$GD$2:$GD$1000,"&lt;"&amp;GD564)+1&lt;=25,COUNTIFS($GA$2:$GA$1000,"Y",$J$2:$J$1000,"&gt;"&amp;J564)+COUNTIFS($GA$2:$GA$1000,"Y",$J$2:$J$1000,J564,$GD$2:$GD$1000,"&lt;"&amp;GD564)+1,""))</f>
        <v/>
      </c>
      <c r="GC564" s="0" t="str">
        <f aca="false">IF(AND(_xlfn.ISFORMULA(C564),_xlfn.ISFORMULA(J564)),"Y","N")</f>
        <v>Y</v>
      </c>
      <c r="GD564" s="0" t="n">
        <f aca="false">ROW()-1</f>
        <v>563</v>
      </c>
    </row>
    <row r="565" customFormat="false" ht="15" hidden="false" customHeight="false" outlineLevel="0" collapsed="false">
      <c r="C565" s="0" t="str">
        <f aca="false">IF($A565="","",IF(AW565="Y",BM565&amp;"",AY565&amp;""))</f>
        <v/>
      </c>
      <c r="D565" s="0" t="str">
        <f aca="false">IF($A565="","",IF(AW565="Y",BN565&amp;"",AZ565&amp;""))</f>
        <v/>
      </c>
      <c r="E565" s="0" t="str">
        <f aca="false">IF($A565="","",IF(AW565="Y",BO565&amp;"",BA565&amp;""))</f>
        <v/>
      </c>
      <c r="F565" s="0" t="str">
        <f aca="false">IF($A565="","",IF(AW565="Y",BP565&amp;"",BB565&amp;""))</f>
        <v/>
      </c>
      <c r="G565" s="0" t="str">
        <f aca="false">IF($A565="","",IF(AW565="Y",BQ565&amp;"",BC565&amp;""))</f>
        <v/>
      </c>
      <c r="H565" s="0" t="str">
        <f aca="false">IF($A565="","",IF(AW565="Y",BR565&amp;"",BD565&amp;""))</f>
        <v/>
      </c>
      <c r="I565" s="0" t="str">
        <f aca="false">IF($A565="","",IF(R565="Y","warm-intro",IF(H565="verified","email",IF(C565&lt;&gt;"","linkedin",CB565&amp;""))))</f>
        <v/>
      </c>
      <c r="J565" s="0" t="str">
        <f aca="false">IF($A565="","",IF(CN565="pass",ROUND(N(EM565)+N(EN565)+N(EO565)+N(EP565)+N(EQ565)+N(ER565),1),0))</f>
        <v/>
      </c>
      <c r="K565" s="0" t="str">
        <f aca="false">IF($A565="","",IF(CN565&lt;&gt;"pass",CA565&amp;"",CA565&amp;"; "&amp;IF(AW565="Y",BZ565&amp;"",BL565&amp;"")&amp;IF(R565="Y","; known to the founder (+15)","")&amp;"."))</f>
        <v/>
      </c>
      <c r="R565" s="5"/>
      <c r="U565" s="5"/>
      <c r="Y565" s="0" t="str">
        <f aca="false">IF(FX565&lt;&gt;"Y","",COUNTIFS($FX$2:$FX$1000,"Y",$J$2:$J$1000,"&gt;"&amp;J565)+COUNTIFS($FX$2:$FX$1000,"Y",$J$2:$J$1000,J565,$GD$2:$GD$1000,"&lt;"&amp;GD565)+1)</f>
        <v/>
      </c>
      <c r="AB565" s="0" t="str">
        <f aca="false">IF($A565="","",IF(AW565="Y",BY565&amp;"",BK565&amp;""))</f>
        <v/>
      </c>
      <c r="AC565" s="0" t="str">
        <f aca="false">IF($A565="","",IF(AW565="Y",BS565&amp;"",BE565&amp;""))</f>
        <v/>
      </c>
      <c r="AD565" s="0" t="str">
        <f aca="false">IF($A565="","",IF(AW565="Y",BT565&amp;"",BF565&amp;""))</f>
        <v/>
      </c>
      <c r="AE565" s="0" t="str">
        <f aca="false">IF($A565="","",IF(AW565="Y",BU565&amp;"",BG565&amp;""))</f>
        <v/>
      </c>
      <c r="AF565" s="0" t="str">
        <f aca="false">IF($A565="","",IF(AW565="Y",BV565&amp;"",BH565&amp;""))</f>
        <v/>
      </c>
      <c r="AG565" s="0" t="str">
        <f aca="false">IF($A565="","",IF(AW565="Y",BW565&amp;"",BI565&amp;""))</f>
        <v/>
      </c>
      <c r="AH565" s="0" t="str">
        <f aca="false">IF($A565="","",IF(AW565="Y",BX565&amp;"",BJ565&amp;""))</f>
        <v/>
      </c>
      <c r="AQ565" s="5"/>
      <c r="AT565" s="0" t="str">
        <f aca="false">IF($A565="","",IF(AND(CN565="pass",AQ565&lt;&gt;"Y",C565&lt;&gt;"",OR(AX565&lt;&gt;"Y",AV565="Y")),"Y","N"))</f>
        <v/>
      </c>
      <c r="AU565" s="0" t="str">
        <f aca="false">IF($A565="","",_xlfn.TEXTJOIN("; ",TRUE(),IF(CN565&lt;&gt;"pass","gated out",""),IF(AQ565="Y","on hold: "&amp;AR565,""),IF(C565="","no contact named on an opened page",""),IF(AND(AX565="Y",AV565&lt;&gt;"Y"),"Tuesday estimate band "&amp;L565&amp;": founder's call","")))</f>
        <v/>
      </c>
      <c r="BC565" s="0" t="str">
        <f aca="false">IF($A565="","",IFERROR(INDEX(Enrichment!$A$2:$GZ$2000,MATCH($A565,INDEX(Enrichment!$A$2:$GZ$2000,0,MATCH("row_id",Enrichment!$A$1:$GZ$1,0)),0),MATCH("work_email",Enrichment!$A$1:$GZ$1,0))&amp;"",""))</f>
        <v/>
      </c>
      <c r="BD565" s="0" t="str">
        <f aca="false">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Q565" s="0" t="str">
        <f aca="false">IF($A565="","",IFERROR(INDEX(Enrichment!$A$2:$GZ$2000,MATCH($A565,INDEX(Enrichment!$A$2:$GZ$2000,0,MATCH("row_id",Enrichment!$A$1:$GZ$1,0)),0),MATCH("backup_work_email",Enrichment!$A$1:$GZ$1,0))&amp;"",""))</f>
        <v/>
      </c>
      <c r="BR565" s="0" t="str">
        <f aca="false">IF($A565="","",IF(BQ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EQ565" s="0" t="str">
        <f aca="false">IF($A565="","",IF(AH565="exact",10,IF(AH565="adjacent",5,0)))</f>
        <v/>
      </c>
      <c r="ER565" s="0" t="str">
        <f aca="false">IF($A565="","",IF(R565="Y",15,0))</f>
        <v/>
      </c>
      <c r="FS565" s="0" t="str">
        <f aca="false">IF($A565="","",IF(ISNUMBER(MATCH(U565,{"queued","contacted","replied","call_booked","call_done","yes_in_principle","materials_sent"},0)),"Y","N"))</f>
        <v/>
      </c>
      <c r="FT565" s="0" t="str">
        <f aca="false">IF($A565="","",IF(OR(T565="Y",U565="do_not_contact",AS565&amp;""&lt;&gt;""),"Y","N"))</f>
        <v/>
      </c>
      <c r="FU565" s="0" t="str">
        <f aca="false">IF($A565="","",IF(AP565&amp;""&lt;&gt;"",AP565&amp;"",$A565))</f>
        <v/>
      </c>
      <c r="FV565" s="0" t="str">
        <f aca="false">IF($A565="","",IF(COUNTIFS($FU$2:$FU$1000,FU565,$FS$2:$FS$1000,"Y")+COUNTIFS($FU$2:$FU$1000,FU565,$FT$2:$FT$1000,"Y")&gt;0,"Y","N"))</f>
        <v/>
      </c>
      <c r="FW565" s="0" t="str">
        <f aca="false">IF($A565="","",IF(AND(U565="new",T565="N",FT565="N",AT565="Y",FV565="N"),"Y","N"))</f>
        <v/>
      </c>
      <c r="FX565" s="0" t="str">
        <f aca="false">IF($A565="","",IF(FW565&lt;&gt;"Y","N",IF(COUNTIFS($FU$2:$FU$1000,FU565,$FW$2:$FW$1000,"Y",$J$2:$J$1000,"&gt;"&amp;J565)+COUNTIFS($FU$2:$FU$1000,FU565,$FW$2:$FW$1000,"Y",$J$2:$J$1000,J565,$GD$2:$GD$1000,"&lt;"&amp;GD565)=0,"Y","N")))</f>
        <v/>
      </c>
      <c r="FY565" s="0" t="str">
        <f aca="false">IF($A565="","",IF(AND(FW565="Y",FX565="Y",Y565&amp;""&lt;&gt;""),IF(Y565&lt;=10,"Y","N"),"N"))</f>
        <v/>
      </c>
      <c r="FZ565" s="0" t="str">
        <f aca="false">IF(FY565="Y",Y565,"")</f>
        <v/>
      </c>
      <c r="GA565" s="0" t="str">
        <f aca="false">IF($A565="","",IF(AND(I565="walk-in",CN565="pass",U565="new",FT565="N",FV565="N",AQ565&lt;&gt;"Y"),"Y","N"))</f>
        <v/>
      </c>
      <c r="GB565" s="0" t="str">
        <f aca="false">IF(GA565&lt;&gt;"Y","",IF(COUNTIFS($GA$2:$GA$1000,"Y",$J$2:$J$1000,"&gt;"&amp;J565)+COUNTIFS($GA$2:$GA$1000,"Y",$J$2:$J$1000,J565,$GD$2:$GD$1000,"&lt;"&amp;GD565)+1&lt;=25,COUNTIFS($GA$2:$GA$1000,"Y",$J$2:$J$1000,"&gt;"&amp;J565)+COUNTIFS($GA$2:$GA$1000,"Y",$J$2:$J$1000,J565,$GD$2:$GD$1000,"&lt;"&amp;GD565)+1,""))</f>
        <v/>
      </c>
      <c r="GC565" s="0" t="str">
        <f aca="false">IF(AND(_xlfn.ISFORMULA(C565),_xlfn.ISFORMULA(J565)),"Y","N")</f>
        <v>Y</v>
      </c>
      <c r="GD565" s="0" t="n">
        <f aca="false">ROW()-1</f>
        <v>564</v>
      </c>
    </row>
    <row r="566" customFormat="false" ht="15" hidden="false" customHeight="false" outlineLevel="0" collapsed="false">
      <c r="C566" s="0" t="str">
        <f aca="false">IF($A566="","",IF(AW566="Y",BM566&amp;"",AY566&amp;""))</f>
        <v/>
      </c>
      <c r="D566" s="0" t="str">
        <f aca="false">IF($A566="","",IF(AW566="Y",BN566&amp;"",AZ566&amp;""))</f>
        <v/>
      </c>
      <c r="E566" s="0" t="str">
        <f aca="false">IF($A566="","",IF(AW566="Y",BO566&amp;"",BA566&amp;""))</f>
        <v/>
      </c>
      <c r="F566" s="0" t="str">
        <f aca="false">IF($A566="","",IF(AW566="Y",BP566&amp;"",BB566&amp;""))</f>
        <v/>
      </c>
      <c r="G566" s="0" t="str">
        <f aca="false">IF($A566="","",IF(AW566="Y",BQ566&amp;"",BC566&amp;""))</f>
        <v/>
      </c>
      <c r="H566" s="0" t="str">
        <f aca="false">IF($A566="","",IF(AW566="Y",BR566&amp;"",BD566&amp;""))</f>
        <v/>
      </c>
      <c r="I566" s="0" t="str">
        <f aca="false">IF($A566="","",IF(R566="Y","warm-intro",IF(H566="verified","email",IF(C566&lt;&gt;"","linkedin",CB566&amp;""))))</f>
        <v/>
      </c>
      <c r="J566" s="0" t="str">
        <f aca="false">IF($A566="","",IF(CN566="pass",ROUND(N(EM566)+N(EN566)+N(EO566)+N(EP566)+N(EQ566)+N(ER566),1),0))</f>
        <v/>
      </c>
      <c r="K566" s="0" t="str">
        <f aca="false">IF($A566="","",IF(CN566&lt;&gt;"pass",CA566&amp;"",CA566&amp;"; "&amp;IF(AW566="Y",BZ566&amp;"",BL566&amp;"")&amp;IF(R566="Y","; known to the founder (+15)","")&amp;"."))</f>
        <v/>
      </c>
      <c r="R566" s="5"/>
      <c r="U566" s="5"/>
      <c r="Y566" s="0" t="str">
        <f aca="false">IF(FX566&lt;&gt;"Y","",COUNTIFS($FX$2:$FX$1000,"Y",$J$2:$J$1000,"&gt;"&amp;J566)+COUNTIFS($FX$2:$FX$1000,"Y",$J$2:$J$1000,J566,$GD$2:$GD$1000,"&lt;"&amp;GD566)+1)</f>
        <v/>
      </c>
      <c r="AB566" s="0" t="str">
        <f aca="false">IF($A566="","",IF(AW566="Y",BY566&amp;"",BK566&amp;""))</f>
        <v/>
      </c>
      <c r="AC566" s="0" t="str">
        <f aca="false">IF($A566="","",IF(AW566="Y",BS566&amp;"",BE566&amp;""))</f>
        <v/>
      </c>
      <c r="AD566" s="0" t="str">
        <f aca="false">IF($A566="","",IF(AW566="Y",BT566&amp;"",BF566&amp;""))</f>
        <v/>
      </c>
      <c r="AE566" s="0" t="str">
        <f aca="false">IF($A566="","",IF(AW566="Y",BU566&amp;"",BG566&amp;""))</f>
        <v/>
      </c>
      <c r="AF566" s="0" t="str">
        <f aca="false">IF($A566="","",IF(AW566="Y",BV566&amp;"",BH566&amp;""))</f>
        <v/>
      </c>
      <c r="AG566" s="0" t="str">
        <f aca="false">IF($A566="","",IF(AW566="Y",BW566&amp;"",BI566&amp;""))</f>
        <v/>
      </c>
      <c r="AH566" s="0" t="str">
        <f aca="false">IF($A566="","",IF(AW566="Y",BX566&amp;"",BJ566&amp;""))</f>
        <v/>
      </c>
      <c r="AQ566" s="5"/>
      <c r="AT566" s="0" t="str">
        <f aca="false">IF($A566="","",IF(AND(CN566="pass",AQ566&lt;&gt;"Y",C566&lt;&gt;"",OR(AX566&lt;&gt;"Y",AV566="Y")),"Y","N"))</f>
        <v/>
      </c>
      <c r="AU566" s="0" t="str">
        <f aca="false">IF($A566="","",_xlfn.TEXTJOIN("; ",TRUE(),IF(CN566&lt;&gt;"pass","gated out",""),IF(AQ566="Y","on hold: "&amp;AR566,""),IF(C566="","no contact named on an opened page",""),IF(AND(AX566="Y",AV566&lt;&gt;"Y"),"Tuesday estimate band "&amp;L566&amp;": founder's call","")))</f>
        <v/>
      </c>
      <c r="BC566" s="0" t="str">
        <f aca="false">IF($A566="","",IFERROR(INDEX(Enrichment!$A$2:$GZ$2000,MATCH($A566,INDEX(Enrichment!$A$2:$GZ$2000,0,MATCH("row_id",Enrichment!$A$1:$GZ$1,0)),0),MATCH("work_email",Enrichment!$A$1:$GZ$1,0))&amp;"",""))</f>
        <v/>
      </c>
      <c r="BD566" s="0" t="str">
        <f aca="false">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Q566" s="0" t="str">
        <f aca="false">IF($A566="","",IFERROR(INDEX(Enrichment!$A$2:$GZ$2000,MATCH($A566,INDEX(Enrichment!$A$2:$GZ$2000,0,MATCH("row_id",Enrichment!$A$1:$GZ$1,0)),0),MATCH("backup_work_email",Enrichment!$A$1:$GZ$1,0))&amp;"",""))</f>
        <v/>
      </c>
      <c r="BR566" s="0" t="str">
        <f aca="false">IF($A566="","",IF(BQ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EQ566" s="0" t="str">
        <f aca="false">IF($A566="","",IF(AH566="exact",10,IF(AH566="adjacent",5,0)))</f>
        <v/>
      </c>
      <c r="ER566" s="0" t="str">
        <f aca="false">IF($A566="","",IF(R566="Y",15,0))</f>
        <v/>
      </c>
      <c r="FS566" s="0" t="str">
        <f aca="false">IF($A566="","",IF(ISNUMBER(MATCH(U566,{"queued","contacted","replied","call_booked","call_done","yes_in_principle","materials_sent"},0)),"Y","N"))</f>
        <v/>
      </c>
      <c r="FT566" s="0" t="str">
        <f aca="false">IF($A566="","",IF(OR(T566="Y",U566="do_not_contact",AS566&amp;""&lt;&gt;""),"Y","N"))</f>
        <v/>
      </c>
      <c r="FU566" s="0" t="str">
        <f aca="false">IF($A566="","",IF(AP566&amp;""&lt;&gt;"",AP566&amp;"",$A566))</f>
        <v/>
      </c>
      <c r="FV566" s="0" t="str">
        <f aca="false">IF($A566="","",IF(COUNTIFS($FU$2:$FU$1000,FU566,$FS$2:$FS$1000,"Y")+COUNTIFS($FU$2:$FU$1000,FU566,$FT$2:$FT$1000,"Y")&gt;0,"Y","N"))</f>
        <v/>
      </c>
      <c r="FW566" s="0" t="str">
        <f aca="false">IF($A566="","",IF(AND(U566="new",T566="N",FT566="N",AT566="Y",FV566="N"),"Y","N"))</f>
        <v/>
      </c>
      <c r="FX566" s="0" t="str">
        <f aca="false">IF($A566="","",IF(FW566&lt;&gt;"Y","N",IF(COUNTIFS($FU$2:$FU$1000,FU566,$FW$2:$FW$1000,"Y",$J$2:$J$1000,"&gt;"&amp;J566)+COUNTIFS($FU$2:$FU$1000,FU566,$FW$2:$FW$1000,"Y",$J$2:$J$1000,J566,$GD$2:$GD$1000,"&lt;"&amp;GD566)=0,"Y","N")))</f>
        <v/>
      </c>
      <c r="FY566" s="0" t="str">
        <f aca="false">IF($A566="","",IF(AND(FW566="Y",FX566="Y",Y566&amp;""&lt;&gt;""),IF(Y566&lt;=10,"Y","N"),"N"))</f>
        <v/>
      </c>
      <c r="FZ566" s="0" t="str">
        <f aca="false">IF(FY566="Y",Y566,"")</f>
        <v/>
      </c>
      <c r="GA566" s="0" t="str">
        <f aca="false">IF($A566="","",IF(AND(I566="walk-in",CN566="pass",U566="new",FT566="N",FV566="N",AQ566&lt;&gt;"Y"),"Y","N"))</f>
        <v/>
      </c>
      <c r="GB566" s="0" t="str">
        <f aca="false">IF(GA566&lt;&gt;"Y","",IF(COUNTIFS($GA$2:$GA$1000,"Y",$J$2:$J$1000,"&gt;"&amp;J566)+COUNTIFS($GA$2:$GA$1000,"Y",$J$2:$J$1000,J566,$GD$2:$GD$1000,"&lt;"&amp;GD566)+1&lt;=25,COUNTIFS($GA$2:$GA$1000,"Y",$J$2:$J$1000,"&gt;"&amp;J566)+COUNTIFS($GA$2:$GA$1000,"Y",$J$2:$J$1000,J566,$GD$2:$GD$1000,"&lt;"&amp;GD566)+1,""))</f>
        <v/>
      </c>
      <c r="GC566" s="0" t="str">
        <f aca="false">IF(AND(_xlfn.ISFORMULA(C566),_xlfn.ISFORMULA(J566)),"Y","N")</f>
        <v>Y</v>
      </c>
      <c r="GD566" s="0" t="n">
        <f aca="false">ROW()-1</f>
        <v>565</v>
      </c>
    </row>
    <row r="567" customFormat="false" ht="15" hidden="false" customHeight="false" outlineLevel="0" collapsed="false">
      <c r="C567" s="0" t="str">
        <f aca="false">IF($A567="","",IF(AW567="Y",BM567&amp;"",AY567&amp;""))</f>
        <v/>
      </c>
      <c r="D567" s="0" t="str">
        <f aca="false">IF($A567="","",IF(AW567="Y",BN567&amp;"",AZ567&amp;""))</f>
        <v/>
      </c>
      <c r="E567" s="0" t="str">
        <f aca="false">IF($A567="","",IF(AW567="Y",BO567&amp;"",BA567&amp;""))</f>
        <v/>
      </c>
      <c r="F567" s="0" t="str">
        <f aca="false">IF($A567="","",IF(AW567="Y",BP567&amp;"",BB567&amp;""))</f>
        <v/>
      </c>
      <c r="G567" s="0" t="str">
        <f aca="false">IF($A567="","",IF(AW567="Y",BQ567&amp;"",BC567&amp;""))</f>
        <v/>
      </c>
      <c r="H567" s="0" t="str">
        <f aca="false">IF($A567="","",IF(AW567="Y",BR567&amp;"",BD567&amp;""))</f>
        <v/>
      </c>
      <c r="I567" s="0" t="str">
        <f aca="false">IF($A567="","",IF(R567="Y","warm-intro",IF(H567="verified","email",IF(C567&lt;&gt;"","linkedin",CB567&amp;""))))</f>
        <v/>
      </c>
      <c r="J567" s="0" t="str">
        <f aca="false">IF($A567="","",IF(CN567="pass",ROUND(N(EM567)+N(EN567)+N(EO567)+N(EP567)+N(EQ567)+N(ER567),1),0))</f>
        <v/>
      </c>
      <c r="K567" s="0" t="str">
        <f aca="false">IF($A567="","",IF(CN567&lt;&gt;"pass",CA567&amp;"",CA567&amp;"; "&amp;IF(AW567="Y",BZ567&amp;"",BL567&amp;"")&amp;IF(R567="Y","; known to the founder (+15)","")&amp;"."))</f>
        <v/>
      </c>
      <c r="R567" s="5"/>
      <c r="U567" s="5"/>
      <c r="Y567" s="0" t="str">
        <f aca="false">IF(FX567&lt;&gt;"Y","",COUNTIFS($FX$2:$FX$1000,"Y",$J$2:$J$1000,"&gt;"&amp;J567)+COUNTIFS($FX$2:$FX$1000,"Y",$J$2:$J$1000,J567,$GD$2:$GD$1000,"&lt;"&amp;GD567)+1)</f>
        <v/>
      </c>
      <c r="AB567" s="0" t="str">
        <f aca="false">IF($A567="","",IF(AW567="Y",BY567&amp;"",BK567&amp;""))</f>
        <v/>
      </c>
      <c r="AC567" s="0" t="str">
        <f aca="false">IF($A567="","",IF(AW567="Y",BS567&amp;"",BE567&amp;""))</f>
        <v/>
      </c>
      <c r="AD567" s="0" t="str">
        <f aca="false">IF($A567="","",IF(AW567="Y",BT567&amp;"",BF567&amp;""))</f>
        <v/>
      </c>
      <c r="AE567" s="0" t="str">
        <f aca="false">IF($A567="","",IF(AW567="Y",BU567&amp;"",BG567&amp;""))</f>
        <v/>
      </c>
      <c r="AF567" s="0" t="str">
        <f aca="false">IF($A567="","",IF(AW567="Y",BV567&amp;"",BH567&amp;""))</f>
        <v/>
      </c>
      <c r="AG567" s="0" t="str">
        <f aca="false">IF($A567="","",IF(AW567="Y",BW567&amp;"",BI567&amp;""))</f>
        <v/>
      </c>
      <c r="AH567" s="0" t="str">
        <f aca="false">IF($A567="","",IF(AW567="Y",BX567&amp;"",BJ567&amp;""))</f>
        <v/>
      </c>
      <c r="AQ567" s="5"/>
      <c r="AT567" s="0" t="str">
        <f aca="false">IF($A567="","",IF(AND(CN567="pass",AQ567&lt;&gt;"Y",C567&lt;&gt;"",OR(AX567&lt;&gt;"Y",AV567="Y")),"Y","N"))</f>
        <v/>
      </c>
      <c r="AU567" s="0" t="str">
        <f aca="false">IF($A567="","",_xlfn.TEXTJOIN("; ",TRUE(),IF(CN567&lt;&gt;"pass","gated out",""),IF(AQ567="Y","on hold: "&amp;AR567,""),IF(C567="","no contact named on an opened page",""),IF(AND(AX567="Y",AV567&lt;&gt;"Y"),"Tuesday estimate band "&amp;L567&amp;": founder's call","")))</f>
        <v/>
      </c>
      <c r="BC567" s="0" t="str">
        <f aca="false">IF($A567="","",IFERROR(INDEX(Enrichment!$A$2:$GZ$2000,MATCH($A567,INDEX(Enrichment!$A$2:$GZ$2000,0,MATCH("row_id",Enrichment!$A$1:$GZ$1,0)),0),MATCH("work_email",Enrichment!$A$1:$GZ$1,0))&amp;"",""))</f>
        <v/>
      </c>
      <c r="BD567" s="0" t="str">
        <f aca="false">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Q567" s="0" t="str">
        <f aca="false">IF($A567="","",IFERROR(INDEX(Enrichment!$A$2:$GZ$2000,MATCH($A567,INDEX(Enrichment!$A$2:$GZ$2000,0,MATCH("row_id",Enrichment!$A$1:$GZ$1,0)),0),MATCH("backup_work_email",Enrichment!$A$1:$GZ$1,0))&amp;"",""))</f>
        <v/>
      </c>
      <c r="BR567" s="0" t="str">
        <f aca="false">IF($A567="","",IF(BQ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EQ567" s="0" t="str">
        <f aca="false">IF($A567="","",IF(AH567="exact",10,IF(AH567="adjacent",5,0)))</f>
        <v/>
      </c>
      <c r="ER567" s="0" t="str">
        <f aca="false">IF($A567="","",IF(R567="Y",15,0))</f>
        <v/>
      </c>
      <c r="FS567" s="0" t="str">
        <f aca="false">IF($A567="","",IF(ISNUMBER(MATCH(U567,{"queued","contacted","replied","call_booked","call_done","yes_in_principle","materials_sent"},0)),"Y","N"))</f>
        <v/>
      </c>
      <c r="FT567" s="0" t="str">
        <f aca="false">IF($A567="","",IF(OR(T567="Y",U567="do_not_contact",AS567&amp;""&lt;&gt;""),"Y","N"))</f>
        <v/>
      </c>
      <c r="FU567" s="0" t="str">
        <f aca="false">IF($A567="","",IF(AP567&amp;""&lt;&gt;"",AP567&amp;"",$A567))</f>
        <v/>
      </c>
      <c r="FV567" s="0" t="str">
        <f aca="false">IF($A567="","",IF(COUNTIFS($FU$2:$FU$1000,FU567,$FS$2:$FS$1000,"Y")+COUNTIFS($FU$2:$FU$1000,FU567,$FT$2:$FT$1000,"Y")&gt;0,"Y","N"))</f>
        <v/>
      </c>
      <c r="FW567" s="0" t="str">
        <f aca="false">IF($A567="","",IF(AND(U567="new",T567="N",FT567="N",AT567="Y",FV567="N"),"Y","N"))</f>
        <v/>
      </c>
      <c r="FX567" s="0" t="str">
        <f aca="false">IF($A567="","",IF(FW567&lt;&gt;"Y","N",IF(COUNTIFS($FU$2:$FU$1000,FU567,$FW$2:$FW$1000,"Y",$J$2:$J$1000,"&gt;"&amp;J567)+COUNTIFS($FU$2:$FU$1000,FU567,$FW$2:$FW$1000,"Y",$J$2:$J$1000,J567,$GD$2:$GD$1000,"&lt;"&amp;GD567)=0,"Y","N")))</f>
        <v/>
      </c>
      <c r="FY567" s="0" t="str">
        <f aca="false">IF($A567="","",IF(AND(FW567="Y",FX567="Y",Y567&amp;""&lt;&gt;""),IF(Y567&lt;=10,"Y","N"),"N"))</f>
        <v/>
      </c>
      <c r="FZ567" s="0" t="str">
        <f aca="false">IF(FY567="Y",Y567,"")</f>
        <v/>
      </c>
      <c r="GA567" s="0" t="str">
        <f aca="false">IF($A567="","",IF(AND(I567="walk-in",CN567="pass",U567="new",FT567="N",FV567="N",AQ567&lt;&gt;"Y"),"Y","N"))</f>
        <v/>
      </c>
      <c r="GB567" s="0" t="str">
        <f aca="false">IF(GA567&lt;&gt;"Y","",IF(COUNTIFS($GA$2:$GA$1000,"Y",$J$2:$J$1000,"&gt;"&amp;J567)+COUNTIFS($GA$2:$GA$1000,"Y",$J$2:$J$1000,J567,$GD$2:$GD$1000,"&lt;"&amp;GD567)+1&lt;=25,COUNTIFS($GA$2:$GA$1000,"Y",$J$2:$J$1000,"&gt;"&amp;J567)+COUNTIFS($GA$2:$GA$1000,"Y",$J$2:$J$1000,J567,$GD$2:$GD$1000,"&lt;"&amp;GD567)+1,""))</f>
        <v/>
      </c>
      <c r="GC567" s="0" t="str">
        <f aca="false">IF(AND(_xlfn.ISFORMULA(C567),_xlfn.ISFORMULA(J567)),"Y","N")</f>
        <v>Y</v>
      </c>
      <c r="GD567" s="0" t="n">
        <f aca="false">ROW()-1</f>
        <v>566</v>
      </c>
    </row>
    <row r="568" customFormat="false" ht="15" hidden="false" customHeight="false" outlineLevel="0" collapsed="false">
      <c r="C568" s="0" t="str">
        <f aca="false">IF($A568="","",IF(AW568="Y",BM568&amp;"",AY568&amp;""))</f>
        <v/>
      </c>
      <c r="D568" s="0" t="str">
        <f aca="false">IF($A568="","",IF(AW568="Y",BN568&amp;"",AZ568&amp;""))</f>
        <v/>
      </c>
      <c r="E568" s="0" t="str">
        <f aca="false">IF($A568="","",IF(AW568="Y",BO568&amp;"",BA568&amp;""))</f>
        <v/>
      </c>
      <c r="F568" s="0" t="str">
        <f aca="false">IF($A568="","",IF(AW568="Y",BP568&amp;"",BB568&amp;""))</f>
        <v/>
      </c>
      <c r="G568" s="0" t="str">
        <f aca="false">IF($A568="","",IF(AW568="Y",BQ568&amp;"",BC568&amp;""))</f>
        <v/>
      </c>
      <c r="H568" s="0" t="str">
        <f aca="false">IF($A568="","",IF(AW568="Y",BR568&amp;"",BD568&amp;""))</f>
        <v/>
      </c>
      <c r="I568" s="0" t="str">
        <f aca="false">IF($A568="","",IF(R568="Y","warm-intro",IF(H568="verified","email",IF(C568&lt;&gt;"","linkedin",CB568&amp;""))))</f>
        <v/>
      </c>
      <c r="J568" s="0" t="str">
        <f aca="false">IF($A568="","",IF(CN568="pass",ROUND(N(EM568)+N(EN568)+N(EO568)+N(EP568)+N(EQ568)+N(ER568),1),0))</f>
        <v/>
      </c>
      <c r="K568" s="0" t="str">
        <f aca="false">IF($A568="","",IF(CN568&lt;&gt;"pass",CA568&amp;"",CA568&amp;"; "&amp;IF(AW568="Y",BZ568&amp;"",BL568&amp;"")&amp;IF(R568="Y","; known to the founder (+15)","")&amp;"."))</f>
        <v/>
      </c>
      <c r="R568" s="5"/>
      <c r="U568" s="5"/>
      <c r="Y568" s="0" t="str">
        <f aca="false">IF(FX568&lt;&gt;"Y","",COUNTIFS($FX$2:$FX$1000,"Y",$J$2:$J$1000,"&gt;"&amp;J568)+COUNTIFS($FX$2:$FX$1000,"Y",$J$2:$J$1000,J568,$GD$2:$GD$1000,"&lt;"&amp;GD568)+1)</f>
        <v/>
      </c>
      <c r="AB568" s="0" t="str">
        <f aca="false">IF($A568="","",IF(AW568="Y",BY568&amp;"",BK568&amp;""))</f>
        <v/>
      </c>
      <c r="AC568" s="0" t="str">
        <f aca="false">IF($A568="","",IF(AW568="Y",BS568&amp;"",BE568&amp;""))</f>
        <v/>
      </c>
      <c r="AD568" s="0" t="str">
        <f aca="false">IF($A568="","",IF(AW568="Y",BT568&amp;"",BF568&amp;""))</f>
        <v/>
      </c>
      <c r="AE568" s="0" t="str">
        <f aca="false">IF($A568="","",IF(AW568="Y",BU568&amp;"",BG568&amp;""))</f>
        <v/>
      </c>
      <c r="AF568" s="0" t="str">
        <f aca="false">IF($A568="","",IF(AW568="Y",BV568&amp;"",BH568&amp;""))</f>
        <v/>
      </c>
      <c r="AG568" s="0" t="str">
        <f aca="false">IF($A568="","",IF(AW568="Y",BW568&amp;"",BI568&amp;""))</f>
        <v/>
      </c>
      <c r="AH568" s="0" t="str">
        <f aca="false">IF($A568="","",IF(AW568="Y",BX568&amp;"",BJ568&amp;""))</f>
        <v/>
      </c>
      <c r="AQ568" s="5"/>
      <c r="AT568" s="0" t="str">
        <f aca="false">IF($A568="","",IF(AND(CN568="pass",AQ568&lt;&gt;"Y",C568&lt;&gt;"",OR(AX568&lt;&gt;"Y",AV568="Y")),"Y","N"))</f>
        <v/>
      </c>
      <c r="AU568" s="0" t="str">
        <f aca="false">IF($A568="","",_xlfn.TEXTJOIN("; ",TRUE(),IF(CN568&lt;&gt;"pass","gated out",""),IF(AQ568="Y","on hold: "&amp;AR568,""),IF(C568="","no contact named on an opened page",""),IF(AND(AX568="Y",AV568&lt;&gt;"Y"),"Tuesday estimate band "&amp;L568&amp;": founder's call","")))</f>
        <v/>
      </c>
      <c r="BC568" s="0" t="str">
        <f aca="false">IF($A568="","",IFERROR(INDEX(Enrichment!$A$2:$GZ$2000,MATCH($A568,INDEX(Enrichment!$A$2:$GZ$2000,0,MATCH("row_id",Enrichment!$A$1:$GZ$1,0)),0),MATCH("work_email",Enrichment!$A$1:$GZ$1,0))&amp;"",""))</f>
        <v/>
      </c>
      <c r="BD568" s="0" t="str">
        <f aca="false">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Q568" s="0" t="str">
        <f aca="false">IF($A568="","",IFERROR(INDEX(Enrichment!$A$2:$GZ$2000,MATCH($A568,INDEX(Enrichment!$A$2:$GZ$2000,0,MATCH("row_id",Enrichment!$A$1:$GZ$1,0)),0),MATCH("backup_work_email",Enrichment!$A$1:$GZ$1,0))&amp;"",""))</f>
        <v/>
      </c>
      <c r="BR568" s="0" t="str">
        <f aca="false">IF($A568="","",IF(BQ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EQ568" s="0" t="str">
        <f aca="false">IF($A568="","",IF(AH568="exact",10,IF(AH568="adjacent",5,0)))</f>
        <v/>
      </c>
      <c r="ER568" s="0" t="str">
        <f aca="false">IF($A568="","",IF(R568="Y",15,0))</f>
        <v/>
      </c>
      <c r="FS568" s="0" t="str">
        <f aca="false">IF($A568="","",IF(ISNUMBER(MATCH(U568,{"queued","contacted","replied","call_booked","call_done","yes_in_principle","materials_sent"},0)),"Y","N"))</f>
        <v/>
      </c>
      <c r="FT568" s="0" t="str">
        <f aca="false">IF($A568="","",IF(OR(T568="Y",U568="do_not_contact",AS568&amp;""&lt;&gt;""),"Y","N"))</f>
        <v/>
      </c>
      <c r="FU568" s="0" t="str">
        <f aca="false">IF($A568="","",IF(AP568&amp;""&lt;&gt;"",AP568&amp;"",$A568))</f>
        <v/>
      </c>
      <c r="FV568" s="0" t="str">
        <f aca="false">IF($A568="","",IF(COUNTIFS($FU$2:$FU$1000,FU568,$FS$2:$FS$1000,"Y")+COUNTIFS($FU$2:$FU$1000,FU568,$FT$2:$FT$1000,"Y")&gt;0,"Y","N"))</f>
        <v/>
      </c>
      <c r="FW568" s="0" t="str">
        <f aca="false">IF($A568="","",IF(AND(U568="new",T568="N",FT568="N",AT568="Y",FV568="N"),"Y","N"))</f>
        <v/>
      </c>
      <c r="FX568" s="0" t="str">
        <f aca="false">IF($A568="","",IF(FW568&lt;&gt;"Y","N",IF(COUNTIFS($FU$2:$FU$1000,FU568,$FW$2:$FW$1000,"Y",$J$2:$J$1000,"&gt;"&amp;J568)+COUNTIFS($FU$2:$FU$1000,FU568,$FW$2:$FW$1000,"Y",$J$2:$J$1000,J568,$GD$2:$GD$1000,"&lt;"&amp;GD568)=0,"Y","N")))</f>
        <v/>
      </c>
      <c r="FY568" s="0" t="str">
        <f aca="false">IF($A568="","",IF(AND(FW568="Y",FX568="Y",Y568&amp;""&lt;&gt;""),IF(Y568&lt;=10,"Y","N"),"N"))</f>
        <v/>
      </c>
      <c r="FZ568" s="0" t="str">
        <f aca="false">IF(FY568="Y",Y568,"")</f>
        <v/>
      </c>
      <c r="GA568" s="0" t="str">
        <f aca="false">IF($A568="","",IF(AND(I568="walk-in",CN568="pass",U568="new",FT568="N",FV568="N",AQ568&lt;&gt;"Y"),"Y","N"))</f>
        <v/>
      </c>
      <c r="GB568" s="0" t="str">
        <f aca="false">IF(GA568&lt;&gt;"Y","",IF(COUNTIFS($GA$2:$GA$1000,"Y",$J$2:$J$1000,"&gt;"&amp;J568)+COUNTIFS($GA$2:$GA$1000,"Y",$J$2:$J$1000,J568,$GD$2:$GD$1000,"&lt;"&amp;GD568)+1&lt;=25,COUNTIFS($GA$2:$GA$1000,"Y",$J$2:$J$1000,"&gt;"&amp;J568)+COUNTIFS($GA$2:$GA$1000,"Y",$J$2:$J$1000,J568,$GD$2:$GD$1000,"&lt;"&amp;GD568)+1,""))</f>
        <v/>
      </c>
      <c r="GC568" s="0" t="str">
        <f aca="false">IF(AND(_xlfn.ISFORMULA(C568),_xlfn.ISFORMULA(J568)),"Y","N")</f>
        <v>Y</v>
      </c>
      <c r="GD568" s="0" t="n">
        <f aca="false">ROW()-1</f>
        <v>567</v>
      </c>
    </row>
    <row r="569" customFormat="false" ht="15" hidden="false" customHeight="false" outlineLevel="0" collapsed="false">
      <c r="C569" s="0" t="str">
        <f aca="false">IF($A569="","",IF(AW569="Y",BM569&amp;"",AY569&amp;""))</f>
        <v/>
      </c>
      <c r="D569" s="0" t="str">
        <f aca="false">IF($A569="","",IF(AW569="Y",BN569&amp;"",AZ569&amp;""))</f>
        <v/>
      </c>
      <c r="E569" s="0" t="str">
        <f aca="false">IF($A569="","",IF(AW569="Y",BO569&amp;"",BA569&amp;""))</f>
        <v/>
      </c>
      <c r="F569" s="0" t="str">
        <f aca="false">IF($A569="","",IF(AW569="Y",BP569&amp;"",BB569&amp;""))</f>
        <v/>
      </c>
      <c r="G569" s="0" t="str">
        <f aca="false">IF($A569="","",IF(AW569="Y",BQ569&amp;"",BC569&amp;""))</f>
        <v/>
      </c>
      <c r="H569" s="0" t="str">
        <f aca="false">IF($A569="","",IF(AW569="Y",BR569&amp;"",BD569&amp;""))</f>
        <v/>
      </c>
      <c r="I569" s="0" t="str">
        <f aca="false">IF($A569="","",IF(R569="Y","warm-intro",IF(H569="verified","email",IF(C569&lt;&gt;"","linkedin",CB569&amp;""))))</f>
        <v/>
      </c>
      <c r="J569" s="0" t="str">
        <f aca="false">IF($A569="","",IF(CN569="pass",ROUND(N(EM569)+N(EN569)+N(EO569)+N(EP569)+N(EQ569)+N(ER569),1),0))</f>
        <v/>
      </c>
      <c r="K569" s="0" t="str">
        <f aca="false">IF($A569="","",IF(CN569&lt;&gt;"pass",CA569&amp;"",CA569&amp;"; "&amp;IF(AW569="Y",BZ569&amp;"",BL569&amp;"")&amp;IF(R569="Y","; known to the founder (+15)","")&amp;"."))</f>
        <v/>
      </c>
      <c r="R569" s="5"/>
      <c r="U569" s="5"/>
      <c r="Y569" s="0" t="str">
        <f aca="false">IF(FX569&lt;&gt;"Y","",COUNTIFS($FX$2:$FX$1000,"Y",$J$2:$J$1000,"&gt;"&amp;J569)+COUNTIFS($FX$2:$FX$1000,"Y",$J$2:$J$1000,J569,$GD$2:$GD$1000,"&lt;"&amp;GD569)+1)</f>
        <v/>
      </c>
      <c r="AB569" s="0" t="str">
        <f aca="false">IF($A569="","",IF(AW569="Y",BY569&amp;"",BK569&amp;""))</f>
        <v/>
      </c>
      <c r="AC569" s="0" t="str">
        <f aca="false">IF($A569="","",IF(AW569="Y",BS569&amp;"",BE569&amp;""))</f>
        <v/>
      </c>
      <c r="AD569" s="0" t="str">
        <f aca="false">IF($A569="","",IF(AW569="Y",BT569&amp;"",BF569&amp;""))</f>
        <v/>
      </c>
      <c r="AE569" s="0" t="str">
        <f aca="false">IF($A569="","",IF(AW569="Y",BU569&amp;"",BG569&amp;""))</f>
        <v/>
      </c>
      <c r="AF569" s="0" t="str">
        <f aca="false">IF($A569="","",IF(AW569="Y",BV569&amp;"",BH569&amp;""))</f>
        <v/>
      </c>
      <c r="AG569" s="0" t="str">
        <f aca="false">IF($A569="","",IF(AW569="Y",BW569&amp;"",BI569&amp;""))</f>
        <v/>
      </c>
      <c r="AH569" s="0" t="str">
        <f aca="false">IF($A569="","",IF(AW569="Y",BX569&amp;"",BJ569&amp;""))</f>
        <v/>
      </c>
      <c r="AQ569" s="5"/>
      <c r="AT569" s="0" t="str">
        <f aca="false">IF($A569="","",IF(AND(CN569="pass",AQ569&lt;&gt;"Y",C569&lt;&gt;"",OR(AX569&lt;&gt;"Y",AV569="Y")),"Y","N"))</f>
        <v/>
      </c>
      <c r="AU569" s="0" t="str">
        <f aca="false">IF($A569="","",_xlfn.TEXTJOIN("; ",TRUE(),IF(CN569&lt;&gt;"pass","gated out",""),IF(AQ569="Y","on hold: "&amp;AR569,""),IF(C569="","no contact named on an opened page",""),IF(AND(AX569="Y",AV569&lt;&gt;"Y"),"Tuesday estimate band "&amp;L569&amp;": founder's call","")))</f>
        <v/>
      </c>
      <c r="BC569" s="0" t="str">
        <f aca="false">IF($A569="","",IFERROR(INDEX(Enrichment!$A$2:$GZ$2000,MATCH($A569,INDEX(Enrichment!$A$2:$GZ$2000,0,MATCH("row_id",Enrichment!$A$1:$GZ$1,0)),0),MATCH("work_email",Enrichment!$A$1:$GZ$1,0))&amp;"",""))</f>
        <v/>
      </c>
      <c r="BD569" s="0" t="str">
        <f aca="false">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Q569" s="0" t="str">
        <f aca="false">IF($A569="","",IFERROR(INDEX(Enrichment!$A$2:$GZ$2000,MATCH($A569,INDEX(Enrichment!$A$2:$GZ$2000,0,MATCH("row_id",Enrichment!$A$1:$GZ$1,0)),0),MATCH("backup_work_email",Enrichment!$A$1:$GZ$1,0))&amp;"",""))</f>
        <v/>
      </c>
      <c r="BR569" s="0" t="str">
        <f aca="false">IF($A569="","",IF(BQ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EQ569" s="0" t="str">
        <f aca="false">IF($A569="","",IF(AH569="exact",10,IF(AH569="adjacent",5,0)))</f>
        <v/>
      </c>
      <c r="ER569" s="0" t="str">
        <f aca="false">IF($A569="","",IF(R569="Y",15,0))</f>
        <v/>
      </c>
      <c r="FS569" s="0" t="str">
        <f aca="false">IF($A569="","",IF(ISNUMBER(MATCH(U569,{"queued","contacted","replied","call_booked","call_done","yes_in_principle","materials_sent"},0)),"Y","N"))</f>
        <v/>
      </c>
      <c r="FT569" s="0" t="str">
        <f aca="false">IF($A569="","",IF(OR(T569="Y",U569="do_not_contact",AS569&amp;""&lt;&gt;""),"Y","N"))</f>
        <v/>
      </c>
      <c r="FU569" s="0" t="str">
        <f aca="false">IF($A569="","",IF(AP569&amp;""&lt;&gt;"",AP569&amp;"",$A569))</f>
        <v/>
      </c>
      <c r="FV569" s="0" t="str">
        <f aca="false">IF($A569="","",IF(COUNTIFS($FU$2:$FU$1000,FU569,$FS$2:$FS$1000,"Y")+COUNTIFS($FU$2:$FU$1000,FU569,$FT$2:$FT$1000,"Y")&gt;0,"Y","N"))</f>
        <v/>
      </c>
      <c r="FW569" s="0" t="str">
        <f aca="false">IF($A569="","",IF(AND(U569="new",T569="N",FT569="N",AT569="Y",FV569="N"),"Y","N"))</f>
        <v/>
      </c>
      <c r="FX569" s="0" t="str">
        <f aca="false">IF($A569="","",IF(FW569&lt;&gt;"Y","N",IF(COUNTIFS($FU$2:$FU$1000,FU569,$FW$2:$FW$1000,"Y",$J$2:$J$1000,"&gt;"&amp;J569)+COUNTIFS($FU$2:$FU$1000,FU569,$FW$2:$FW$1000,"Y",$J$2:$J$1000,J569,$GD$2:$GD$1000,"&lt;"&amp;GD569)=0,"Y","N")))</f>
        <v/>
      </c>
      <c r="FY569" s="0" t="str">
        <f aca="false">IF($A569="","",IF(AND(FW569="Y",FX569="Y",Y569&amp;""&lt;&gt;""),IF(Y569&lt;=10,"Y","N"),"N"))</f>
        <v/>
      </c>
      <c r="FZ569" s="0" t="str">
        <f aca="false">IF(FY569="Y",Y569,"")</f>
        <v/>
      </c>
      <c r="GA569" s="0" t="str">
        <f aca="false">IF($A569="","",IF(AND(I569="walk-in",CN569="pass",U569="new",FT569="N",FV569="N",AQ569&lt;&gt;"Y"),"Y","N"))</f>
        <v/>
      </c>
      <c r="GB569" s="0" t="str">
        <f aca="false">IF(GA569&lt;&gt;"Y","",IF(COUNTIFS($GA$2:$GA$1000,"Y",$J$2:$J$1000,"&gt;"&amp;J569)+COUNTIFS($GA$2:$GA$1000,"Y",$J$2:$J$1000,J569,$GD$2:$GD$1000,"&lt;"&amp;GD569)+1&lt;=25,COUNTIFS($GA$2:$GA$1000,"Y",$J$2:$J$1000,"&gt;"&amp;J569)+COUNTIFS($GA$2:$GA$1000,"Y",$J$2:$J$1000,J569,$GD$2:$GD$1000,"&lt;"&amp;GD569)+1,""))</f>
        <v/>
      </c>
      <c r="GC569" s="0" t="str">
        <f aca="false">IF(AND(_xlfn.ISFORMULA(C569),_xlfn.ISFORMULA(J569)),"Y","N")</f>
        <v>Y</v>
      </c>
      <c r="GD569" s="0" t="n">
        <f aca="false">ROW()-1</f>
        <v>568</v>
      </c>
    </row>
    <row r="570" customFormat="false" ht="15" hidden="false" customHeight="false" outlineLevel="0" collapsed="false">
      <c r="C570" s="0" t="str">
        <f aca="false">IF($A570="","",IF(AW570="Y",BM570&amp;"",AY570&amp;""))</f>
        <v/>
      </c>
      <c r="D570" s="0" t="str">
        <f aca="false">IF($A570="","",IF(AW570="Y",BN570&amp;"",AZ570&amp;""))</f>
        <v/>
      </c>
      <c r="E570" s="0" t="str">
        <f aca="false">IF($A570="","",IF(AW570="Y",BO570&amp;"",BA570&amp;""))</f>
        <v/>
      </c>
      <c r="F570" s="0" t="str">
        <f aca="false">IF($A570="","",IF(AW570="Y",BP570&amp;"",BB570&amp;""))</f>
        <v/>
      </c>
      <c r="G570" s="0" t="str">
        <f aca="false">IF($A570="","",IF(AW570="Y",BQ570&amp;"",BC570&amp;""))</f>
        <v/>
      </c>
      <c r="H570" s="0" t="str">
        <f aca="false">IF($A570="","",IF(AW570="Y",BR570&amp;"",BD570&amp;""))</f>
        <v/>
      </c>
      <c r="I570" s="0" t="str">
        <f aca="false">IF($A570="","",IF(R570="Y","warm-intro",IF(H570="verified","email",IF(C570&lt;&gt;"","linkedin",CB570&amp;""))))</f>
        <v/>
      </c>
      <c r="J570" s="0" t="str">
        <f aca="false">IF($A570="","",IF(CN570="pass",ROUND(N(EM570)+N(EN570)+N(EO570)+N(EP570)+N(EQ570)+N(ER570),1),0))</f>
        <v/>
      </c>
      <c r="K570" s="0" t="str">
        <f aca="false">IF($A570="","",IF(CN570&lt;&gt;"pass",CA570&amp;"",CA570&amp;"; "&amp;IF(AW570="Y",BZ570&amp;"",BL570&amp;"")&amp;IF(R570="Y","; known to the founder (+15)","")&amp;"."))</f>
        <v/>
      </c>
      <c r="R570" s="5"/>
      <c r="U570" s="5"/>
      <c r="Y570" s="0" t="str">
        <f aca="false">IF(FX570&lt;&gt;"Y","",COUNTIFS($FX$2:$FX$1000,"Y",$J$2:$J$1000,"&gt;"&amp;J570)+COUNTIFS($FX$2:$FX$1000,"Y",$J$2:$J$1000,J570,$GD$2:$GD$1000,"&lt;"&amp;GD570)+1)</f>
        <v/>
      </c>
      <c r="AB570" s="0" t="str">
        <f aca="false">IF($A570="","",IF(AW570="Y",BY570&amp;"",BK570&amp;""))</f>
        <v/>
      </c>
      <c r="AC570" s="0" t="str">
        <f aca="false">IF($A570="","",IF(AW570="Y",BS570&amp;"",BE570&amp;""))</f>
        <v/>
      </c>
      <c r="AD570" s="0" t="str">
        <f aca="false">IF($A570="","",IF(AW570="Y",BT570&amp;"",BF570&amp;""))</f>
        <v/>
      </c>
      <c r="AE570" s="0" t="str">
        <f aca="false">IF($A570="","",IF(AW570="Y",BU570&amp;"",BG570&amp;""))</f>
        <v/>
      </c>
      <c r="AF570" s="0" t="str">
        <f aca="false">IF($A570="","",IF(AW570="Y",BV570&amp;"",BH570&amp;""))</f>
        <v/>
      </c>
      <c r="AG570" s="0" t="str">
        <f aca="false">IF($A570="","",IF(AW570="Y",BW570&amp;"",BI570&amp;""))</f>
        <v/>
      </c>
      <c r="AH570" s="0" t="str">
        <f aca="false">IF($A570="","",IF(AW570="Y",BX570&amp;"",BJ570&amp;""))</f>
        <v/>
      </c>
      <c r="AQ570" s="5"/>
      <c r="AT570" s="0" t="str">
        <f aca="false">IF($A570="","",IF(AND(CN570="pass",AQ570&lt;&gt;"Y",C570&lt;&gt;"",OR(AX570&lt;&gt;"Y",AV570="Y")),"Y","N"))</f>
        <v/>
      </c>
      <c r="AU570" s="0" t="str">
        <f aca="false">IF($A570="","",_xlfn.TEXTJOIN("; ",TRUE(),IF(CN570&lt;&gt;"pass","gated out",""),IF(AQ570="Y","on hold: "&amp;AR570,""),IF(C570="","no contact named on an opened page",""),IF(AND(AX570="Y",AV570&lt;&gt;"Y"),"Tuesday estimate band "&amp;L570&amp;": founder's call","")))</f>
        <v/>
      </c>
      <c r="BC570" s="0" t="str">
        <f aca="false">IF($A570="","",IFERROR(INDEX(Enrichment!$A$2:$GZ$2000,MATCH($A570,INDEX(Enrichment!$A$2:$GZ$2000,0,MATCH("row_id",Enrichment!$A$1:$GZ$1,0)),0),MATCH("work_email",Enrichment!$A$1:$GZ$1,0))&amp;"",""))</f>
        <v/>
      </c>
      <c r="BD570" s="0" t="str">
        <f aca="false">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Q570" s="0" t="str">
        <f aca="false">IF($A570="","",IFERROR(INDEX(Enrichment!$A$2:$GZ$2000,MATCH($A570,INDEX(Enrichment!$A$2:$GZ$2000,0,MATCH("row_id",Enrichment!$A$1:$GZ$1,0)),0),MATCH("backup_work_email",Enrichment!$A$1:$GZ$1,0))&amp;"",""))</f>
        <v/>
      </c>
      <c r="BR570" s="0" t="str">
        <f aca="false">IF($A570="","",IF(BQ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EQ570" s="0" t="str">
        <f aca="false">IF($A570="","",IF(AH570="exact",10,IF(AH570="adjacent",5,0)))</f>
        <v/>
      </c>
      <c r="ER570" s="0" t="str">
        <f aca="false">IF($A570="","",IF(R570="Y",15,0))</f>
        <v/>
      </c>
      <c r="FS570" s="0" t="str">
        <f aca="false">IF($A570="","",IF(ISNUMBER(MATCH(U570,{"queued","contacted","replied","call_booked","call_done","yes_in_principle","materials_sent"},0)),"Y","N"))</f>
        <v/>
      </c>
      <c r="FT570" s="0" t="str">
        <f aca="false">IF($A570="","",IF(OR(T570="Y",U570="do_not_contact",AS570&amp;""&lt;&gt;""),"Y","N"))</f>
        <v/>
      </c>
      <c r="FU570" s="0" t="str">
        <f aca="false">IF($A570="","",IF(AP570&amp;""&lt;&gt;"",AP570&amp;"",$A570))</f>
        <v/>
      </c>
      <c r="FV570" s="0" t="str">
        <f aca="false">IF($A570="","",IF(COUNTIFS($FU$2:$FU$1000,FU570,$FS$2:$FS$1000,"Y")+COUNTIFS($FU$2:$FU$1000,FU570,$FT$2:$FT$1000,"Y")&gt;0,"Y","N"))</f>
        <v/>
      </c>
      <c r="FW570" s="0" t="str">
        <f aca="false">IF($A570="","",IF(AND(U570="new",T570="N",FT570="N",AT570="Y",FV570="N"),"Y","N"))</f>
        <v/>
      </c>
      <c r="FX570" s="0" t="str">
        <f aca="false">IF($A570="","",IF(FW570&lt;&gt;"Y","N",IF(COUNTIFS($FU$2:$FU$1000,FU570,$FW$2:$FW$1000,"Y",$J$2:$J$1000,"&gt;"&amp;J570)+COUNTIFS($FU$2:$FU$1000,FU570,$FW$2:$FW$1000,"Y",$J$2:$J$1000,J570,$GD$2:$GD$1000,"&lt;"&amp;GD570)=0,"Y","N")))</f>
        <v/>
      </c>
      <c r="FY570" s="0" t="str">
        <f aca="false">IF($A570="","",IF(AND(FW570="Y",FX570="Y",Y570&amp;""&lt;&gt;""),IF(Y570&lt;=10,"Y","N"),"N"))</f>
        <v/>
      </c>
      <c r="FZ570" s="0" t="str">
        <f aca="false">IF(FY570="Y",Y570,"")</f>
        <v/>
      </c>
      <c r="GA570" s="0" t="str">
        <f aca="false">IF($A570="","",IF(AND(I570="walk-in",CN570="pass",U570="new",FT570="N",FV570="N",AQ570&lt;&gt;"Y"),"Y","N"))</f>
        <v/>
      </c>
      <c r="GB570" s="0" t="str">
        <f aca="false">IF(GA570&lt;&gt;"Y","",IF(COUNTIFS($GA$2:$GA$1000,"Y",$J$2:$J$1000,"&gt;"&amp;J570)+COUNTIFS($GA$2:$GA$1000,"Y",$J$2:$J$1000,J570,$GD$2:$GD$1000,"&lt;"&amp;GD570)+1&lt;=25,COUNTIFS($GA$2:$GA$1000,"Y",$J$2:$J$1000,"&gt;"&amp;J570)+COUNTIFS($GA$2:$GA$1000,"Y",$J$2:$J$1000,J570,$GD$2:$GD$1000,"&lt;"&amp;GD570)+1,""))</f>
        <v/>
      </c>
      <c r="GC570" s="0" t="str">
        <f aca="false">IF(AND(_xlfn.ISFORMULA(C570),_xlfn.ISFORMULA(J570)),"Y","N")</f>
        <v>Y</v>
      </c>
      <c r="GD570" s="0" t="n">
        <f aca="false">ROW()-1</f>
        <v>569</v>
      </c>
    </row>
    <row r="571" customFormat="false" ht="15" hidden="false" customHeight="false" outlineLevel="0" collapsed="false">
      <c r="C571" s="0" t="str">
        <f aca="false">IF($A571="","",IF(AW571="Y",BM571&amp;"",AY571&amp;""))</f>
        <v/>
      </c>
      <c r="D571" s="0" t="str">
        <f aca="false">IF($A571="","",IF(AW571="Y",BN571&amp;"",AZ571&amp;""))</f>
        <v/>
      </c>
      <c r="E571" s="0" t="str">
        <f aca="false">IF($A571="","",IF(AW571="Y",BO571&amp;"",BA571&amp;""))</f>
        <v/>
      </c>
      <c r="F571" s="0" t="str">
        <f aca="false">IF($A571="","",IF(AW571="Y",BP571&amp;"",BB571&amp;""))</f>
        <v/>
      </c>
      <c r="G571" s="0" t="str">
        <f aca="false">IF($A571="","",IF(AW571="Y",BQ571&amp;"",BC571&amp;""))</f>
        <v/>
      </c>
      <c r="H571" s="0" t="str">
        <f aca="false">IF($A571="","",IF(AW571="Y",BR571&amp;"",BD571&amp;""))</f>
        <v/>
      </c>
      <c r="I571" s="0" t="str">
        <f aca="false">IF($A571="","",IF(R571="Y","warm-intro",IF(H571="verified","email",IF(C571&lt;&gt;"","linkedin",CB571&amp;""))))</f>
        <v/>
      </c>
      <c r="J571" s="0" t="str">
        <f aca="false">IF($A571="","",IF(CN571="pass",ROUND(N(EM571)+N(EN571)+N(EO571)+N(EP571)+N(EQ571)+N(ER571),1),0))</f>
        <v/>
      </c>
      <c r="K571" s="0" t="str">
        <f aca="false">IF($A571="","",IF(CN571&lt;&gt;"pass",CA571&amp;"",CA571&amp;"; "&amp;IF(AW571="Y",BZ571&amp;"",BL571&amp;"")&amp;IF(R571="Y","; known to the founder (+15)","")&amp;"."))</f>
        <v/>
      </c>
      <c r="R571" s="5"/>
      <c r="U571" s="5"/>
      <c r="Y571" s="0" t="str">
        <f aca="false">IF(FX571&lt;&gt;"Y","",COUNTIFS($FX$2:$FX$1000,"Y",$J$2:$J$1000,"&gt;"&amp;J571)+COUNTIFS($FX$2:$FX$1000,"Y",$J$2:$J$1000,J571,$GD$2:$GD$1000,"&lt;"&amp;GD571)+1)</f>
        <v/>
      </c>
      <c r="AB571" s="0" t="str">
        <f aca="false">IF($A571="","",IF(AW571="Y",BY571&amp;"",BK571&amp;""))</f>
        <v/>
      </c>
      <c r="AC571" s="0" t="str">
        <f aca="false">IF($A571="","",IF(AW571="Y",BS571&amp;"",BE571&amp;""))</f>
        <v/>
      </c>
      <c r="AD571" s="0" t="str">
        <f aca="false">IF($A571="","",IF(AW571="Y",BT571&amp;"",BF571&amp;""))</f>
        <v/>
      </c>
      <c r="AE571" s="0" t="str">
        <f aca="false">IF($A571="","",IF(AW571="Y",BU571&amp;"",BG571&amp;""))</f>
        <v/>
      </c>
      <c r="AF571" s="0" t="str">
        <f aca="false">IF($A571="","",IF(AW571="Y",BV571&amp;"",BH571&amp;""))</f>
        <v/>
      </c>
      <c r="AG571" s="0" t="str">
        <f aca="false">IF($A571="","",IF(AW571="Y",BW571&amp;"",BI571&amp;""))</f>
        <v/>
      </c>
      <c r="AH571" s="0" t="str">
        <f aca="false">IF($A571="","",IF(AW571="Y",BX571&amp;"",BJ571&amp;""))</f>
        <v/>
      </c>
      <c r="AQ571" s="5"/>
      <c r="AT571" s="0" t="str">
        <f aca="false">IF($A571="","",IF(AND(CN571="pass",AQ571&lt;&gt;"Y",C571&lt;&gt;"",OR(AX571&lt;&gt;"Y",AV571="Y")),"Y","N"))</f>
        <v/>
      </c>
      <c r="AU571" s="0" t="str">
        <f aca="false">IF($A571="","",_xlfn.TEXTJOIN("; ",TRUE(),IF(CN571&lt;&gt;"pass","gated out",""),IF(AQ571="Y","on hold: "&amp;AR571,""),IF(C571="","no contact named on an opened page",""),IF(AND(AX571="Y",AV571&lt;&gt;"Y"),"Tuesday estimate band "&amp;L571&amp;": founder's call","")))</f>
        <v/>
      </c>
      <c r="BC571" s="0" t="str">
        <f aca="false">IF($A571="","",IFERROR(INDEX(Enrichment!$A$2:$GZ$2000,MATCH($A571,INDEX(Enrichment!$A$2:$GZ$2000,0,MATCH("row_id",Enrichment!$A$1:$GZ$1,0)),0),MATCH("work_email",Enrichment!$A$1:$GZ$1,0))&amp;"",""))</f>
        <v/>
      </c>
      <c r="BD571" s="0" t="str">
        <f aca="false">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Q571" s="0" t="str">
        <f aca="false">IF($A571="","",IFERROR(INDEX(Enrichment!$A$2:$GZ$2000,MATCH($A571,INDEX(Enrichment!$A$2:$GZ$2000,0,MATCH("row_id",Enrichment!$A$1:$GZ$1,0)),0),MATCH("backup_work_email",Enrichment!$A$1:$GZ$1,0))&amp;"",""))</f>
        <v/>
      </c>
      <c r="BR571" s="0" t="str">
        <f aca="false">IF($A571="","",IF(BQ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EQ571" s="0" t="str">
        <f aca="false">IF($A571="","",IF(AH571="exact",10,IF(AH571="adjacent",5,0)))</f>
        <v/>
      </c>
      <c r="ER571" s="0" t="str">
        <f aca="false">IF($A571="","",IF(R571="Y",15,0))</f>
        <v/>
      </c>
      <c r="FS571" s="0" t="str">
        <f aca="false">IF($A571="","",IF(ISNUMBER(MATCH(U571,{"queued","contacted","replied","call_booked","call_done","yes_in_principle","materials_sent"},0)),"Y","N"))</f>
        <v/>
      </c>
      <c r="FT571" s="0" t="str">
        <f aca="false">IF($A571="","",IF(OR(T571="Y",U571="do_not_contact",AS571&amp;""&lt;&gt;""),"Y","N"))</f>
        <v/>
      </c>
      <c r="FU571" s="0" t="str">
        <f aca="false">IF($A571="","",IF(AP571&amp;""&lt;&gt;"",AP571&amp;"",$A571))</f>
        <v/>
      </c>
      <c r="FV571" s="0" t="str">
        <f aca="false">IF($A571="","",IF(COUNTIFS($FU$2:$FU$1000,FU571,$FS$2:$FS$1000,"Y")+COUNTIFS($FU$2:$FU$1000,FU571,$FT$2:$FT$1000,"Y")&gt;0,"Y","N"))</f>
        <v/>
      </c>
      <c r="FW571" s="0" t="str">
        <f aca="false">IF($A571="","",IF(AND(U571="new",T571="N",FT571="N",AT571="Y",FV571="N"),"Y","N"))</f>
        <v/>
      </c>
      <c r="FX571" s="0" t="str">
        <f aca="false">IF($A571="","",IF(FW571&lt;&gt;"Y","N",IF(COUNTIFS($FU$2:$FU$1000,FU571,$FW$2:$FW$1000,"Y",$J$2:$J$1000,"&gt;"&amp;J571)+COUNTIFS($FU$2:$FU$1000,FU571,$FW$2:$FW$1000,"Y",$J$2:$J$1000,J571,$GD$2:$GD$1000,"&lt;"&amp;GD571)=0,"Y","N")))</f>
        <v/>
      </c>
      <c r="FY571" s="0" t="str">
        <f aca="false">IF($A571="","",IF(AND(FW571="Y",FX571="Y",Y571&amp;""&lt;&gt;""),IF(Y571&lt;=10,"Y","N"),"N"))</f>
        <v/>
      </c>
      <c r="FZ571" s="0" t="str">
        <f aca="false">IF(FY571="Y",Y571,"")</f>
        <v/>
      </c>
      <c r="GA571" s="0" t="str">
        <f aca="false">IF($A571="","",IF(AND(I571="walk-in",CN571="pass",U571="new",FT571="N",FV571="N",AQ571&lt;&gt;"Y"),"Y","N"))</f>
        <v/>
      </c>
      <c r="GB571" s="0" t="str">
        <f aca="false">IF(GA571&lt;&gt;"Y","",IF(COUNTIFS($GA$2:$GA$1000,"Y",$J$2:$J$1000,"&gt;"&amp;J571)+COUNTIFS($GA$2:$GA$1000,"Y",$J$2:$J$1000,J571,$GD$2:$GD$1000,"&lt;"&amp;GD571)+1&lt;=25,COUNTIFS($GA$2:$GA$1000,"Y",$J$2:$J$1000,"&gt;"&amp;J571)+COUNTIFS($GA$2:$GA$1000,"Y",$J$2:$J$1000,J571,$GD$2:$GD$1000,"&lt;"&amp;GD571)+1,""))</f>
        <v/>
      </c>
      <c r="GC571" s="0" t="str">
        <f aca="false">IF(AND(_xlfn.ISFORMULA(C571),_xlfn.ISFORMULA(J571)),"Y","N")</f>
        <v>Y</v>
      </c>
      <c r="GD571" s="0" t="n">
        <f aca="false">ROW()-1</f>
        <v>570</v>
      </c>
    </row>
    <row r="572" customFormat="false" ht="15" hidden="false" customHeight="false" outlineLevel="0" collapsed="false">
      <c r="C572" s="0" t="str">
        <f aca="false">IF($A572="","",IF(AW572="Y",BM572&amp;"",AY572&amp;""))</f>
        <v/>
      </c>
      <c r="D572" s="0" t="str">
        <f aca="false">IF($A572="","",IF(AW572="Y",BN572&amp;"",AZ572&amp;""))</f>
        <v/>
      </c>
      <c r="E572" s="0" t="str">
        <f aca="false">IF($A572="","",IF(AW572="Y",BO572&amp;"",BA572&amp;""))</f>
        <v/>
      </c>
      <c r="F572" s="0" t="str">
        <f aca="false">IF($A572="","",IF(AW572="Y",BP572&amp;"",BB572&amp;""))</f>
        <v/>
      </c>
      <c r="G572" s="0" t="str">
        <f aca="false">IF($A572="","",IF(AW572="Y",BQ572&amp;"",BC572&amp;""))</f>
        <v/>
      </c>
      <c r="H572" s="0" t="str">
        <f aca="false">IF($A572="","",IF(AW572="Y",BR572&amp;"",BD572&amp;""))</f>
        <v/>
      </c>
      <c r="I572" s="0" t="str">
        <f aca="false">IF($A572="","",IF(R572="Y","warm-intro",IF(H572="verified","email",IF(C572&lt;&gt;"","linkedin",CB572&amp;""))))</f>
        <v/>
      </c>
      <c r="J572" s="0" t="str">
        <f aca="false">IF($A572="","",IF(CN572="pass",ROUND(N(EM572)+N(EN572)+N(EO572)+N(EP572)+N(EQ572)+N(ER572),1),0))</f>
        <v/>
      </c>
      <c r="K572" s="0" t="str">
        <f aca="false">IF($A572="","",IF(CN572&lt;&gt;"pass",CA572&amp;"",CA572&amp;"; "&amp;IF(AW572="Y",BZ572&amp;"",BL572&amp;"")&amp;IF(R572="Y","; known to the founder (+15)","")&amp;"."))</f>
        <v/>
      </c>
      <c r="R572" s="5"/>
      <c r="U572" s="5"/>
      <c r="Y572" s="0" t="str">
        <f aca="false">IF(FX572&lt;&gt;"Y","",COUNTIFS($FX$2:$FX$1000,"Y",$J$2:$J$1000,"&gt;"&amp;J572)+COUNTIFS($FX$2:$FX$1000,"Y",$J$2:$J$1000,J572,$GD$2:$GD$1000,"&lt;"&amp;GD572)+1)</f>
        <v/>
      </c>
      <c r="AB572" s="0" t="str">
        <f aca="false">IF($A572="","",IF(AW572="Y",BY572&amp;"",BK572&amp;""))</f>
        <v/>
      </c>
      <c r="AC572" s="0" t="str">
        <f aca="false">IF($A572="","",IF(AW572="Y",BS572&amp;"",BE572&amp;""))</f>
        <v/>
      </c>
      <c r="AD572" s="0" t="str">
        <f aca="false">IF($A572="","",IF(AW572="Y",BT572&amp;"",BF572&amp;""))</f>
        <v/>
      </c>
      <c r="AE572" s="0" t="str">
        <f aca="false">IF($A572="","",IF(AW572="Y",BU572&amp;"",BG572&amp;""))</f>
        <v/>
      </c>
      <c r="AF572" s="0" t="str">
        <f aca="false">IF($A572="","",IF(AW572="Y",BV572&amp;"",BH572&amp;""))</f>
        <v/>
      </c>
      <c r="AG572" s="0" t="str">
        <f aca="false">IF($A572="","",IF(AW572="Y",BW572&amp;"",BI572&amp;""))</f>
        <v/>
      </c>
      <c r="AH572" s="0" t="str">
        <f aca="false">IF($A572="","",IF(AW572="Y",BX572&amp;"",BJ572&amp;""))</f>
        <v/>
      </c>
      <c r="AQ572" s="5"/>
      <c r="AT572" s="0" t="str">
        <f aca="false">IF($A572="","",IF(AND(CN572="pass",AQ572&lt;&gt;"Y",C572&lt;&gt;"",OR(AX572&lt;&gt;"Y",AV572="Y")),"Y","N"))</f>
        <v/>
      </c>
      <c r="AU572" s="0" t="str">
        <f aca="false">IF($A572="","",_xlfn.TEXTJOIN("; ",TRUE(),IF(CN572&lt;&gt;"pass","gated out",""),IF(AQ572="Y","on hold: "&amp;AR572,""),IF(C572="","no contact named on an opened page",""),IF(AND(AX572="Y",AV572&lt;&gt;"Y"),"Tuesday estimate band "&amp;L572&amp;": founder's call","")))</f>
        <v/>
      </c>
      <c r="BC572" s="0" t="str">
        <f aca="false">IF($A572="","",IFERROR(INDEX(Enrichment!$A$2:$GZ$2000,MATCH($A572,INDEX(Enrichment!$A$2:$GZ$2000,0,MATCH("row_id",Enrichment!$A$1:$GZ$1,0)),0),MATCH("work_email",Enrichment!$A$1:$GZ$1,0))&amp;"",""))</f>
        <v/>
      </c>
      <c r="BD572" s="0" t="str">
        <f aca="false">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Q572" s="0" t="str">
        <f aca="false">IF($A572="","",IFERROR(INDEX(Enrichment!$A$2:$GZ$2000,MATCH($A572,INDEX(Enrichment!$A$2:$GZ$2000,0,MATCH("row_id",Enrichment!$A$1:$GZ$1,0)),0),MATCH("backup_work_email",Enrichment!$A$1:$GZ$1,0))&amp;"",""))</f>
        <v/>
      </c>
      <c r="BR572" s="0" t="str">
        <f aca="false">IF($A572="","",IF(BQ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EQ572" s="0" t="str">
        <f aca="false">IF($A572="","",IF(AH572="exact",10,IF(AH572="adjacent",5,0)))</f>
        <v/>
      </c>
      <c r="ER572" s="0" t="str">
        <f aca="false">IF($A572="","",IF(R572="Y",15,0))</f>
        <v/>
      </c>
      <c r="FS572" s="0" t="str">
        <f aca="false">IF($A572="","",IF(ISNUMBER(MATCH(U572,{"queued","contacted","replied","call_booked","call_done","yes_in_principle","materials_sent"},0)),"Y","N"))</f>
        <v/>
      </c>
      <c r="FT572" s="0" t="str">
        <f aca="false">IF($A572="","",IF(OR(T572="Y",U572="do_not_contact",AS572&amp;""&lt;&gt;""),"Y","N"))</f>
        <v/>
      </c>
      <c r="FU572" s="0" t="str">
        <f aca="false">IF($A572="","",IF(AP572&amp;""&lt;&gt;"",AP572&amp;"",$A572))</f>
        <v/>
      </c>
      <c r="FV572" s="0" t="str">
        <f aca="false">IF($A572="","",IF(COUNTIFS($FU$2:$FU$1000,FU572,$FS$2:$FS$1000,"Y")+COUNTIFS($FU$2:$FU$1000,FU572,$FT$2:$FT$1000,"Y")&gt;0,"Y","N"))</f>
        <v/>
      </c>
      <c r="FW572" s="0" t="str">
        <f aca="false">IF($A572="","",IF(AND(U572="new",T572="N",FT572="N",AT572="Y",FV572="N"),"Y","N"))</f>
        <v/>
      </c>
      <c r="FX572" s="0" t="str">
        <f aca="false">IF($A572="","",IF(FW572&lt;&gt;"Y","N",IF(COUNTIFS($FU$2:$FU$1000,FU572,$FW$2:$FW$1000,"Y",$J$2:$J$1000,"&gt;"&amp;J572)+COUNTIFS($FU$2:$FU$1000,FU572,$FW$2:$FW$1000,"Y",$J$2:$J$1000,J572,$GD$2:$GD$1000,"&lt;"&amp;GD572)=0,"Y","N")))</f>
        <v/>
      </c>
      <c r="FY572" s="0" t="str">
        <f aca="false">IF($A572="","",IF(AND(FW572="Y",FX572="Y",Y572&amp;""&lt;&gt;""),IF(Y572&lt;=10,"Y","N"),"N"))</f>
        <v/>
      </c>
      <c r="FZ572" s="0" t="str">
        <f aca="false">IF(FY572="Y",Y572,"")</f>
        <v/>
      </c>
      <c r="GA572" s="0" t="str">
        <f aca="false">IF($A572="","",IF(AND(I572="walk-in",CN572="pass",U572="new",FT572="N",FV572="N",AQ572&lt;&gt;"Y"),"Y","N"))</f>
        <v/>
      </c>
      <c r="GB572" s="0" t="str">
        <f aca="false">IF(GA572&lt;&gt;"Y","",IF(COUNTIFS($GA$2:$GA$1000,"Y",$J$2:$J$1000,"&gt;"&amp;J572)+COUNTIFS($GA$2:$GA$1000,"Y",$J$2:$J$1000,J572,$GD$2:$GD$1000,"&lt;"&amp;GD572)+1&lt;=25,COUNTIFS($GA$2:$GA$1000,"Y",$J$2:$J$1000,"&gt;"&amp;J572)+COUNTIFS($GA$2:$GA$1000,"Y",$J$2:$J$1000,J572,$GD$2:$GD$1000,"&lt;"&amp;GD572)+1,""))</f>
        <v/>
      </c>
      <c r="GC572" s="0" t="str">
        <f aca="false">IF(AND(_xlfn.ISFORMULA(C572),_xlfn.ISFORMULA(J572)),"Y","N")</f>
        <v>Y</v>
      </c>
      <c r="GD572" s="0" t="n">
        <f aca="false">ROW()-1</f>
        <v>571</v>
      </c>
    </row>
    <row r="573" customFormat="false" ht="15" hidden="false" customHeight="false" outlineLevel="0" collapsed="false">
      <c r="C573" s="0" t="str">
        <f aca="false">IF($A573="","",IF(AW573="Y",BM573&amp;"",AY573&amp;""))</f>
        <v/>
      </c>
      <c r="D573" s="0" t="str">
        <f aca="false">IF($A573="","",IF(AW573="Y",BN573&amp;"",AZ573&amp;""))</f>
        <v/>
      </c>
      <c r="E573" s="0" t="str">
        <f aca="false">IF($A573="","",IF(AW573="Y",BO573&amp;"",BA573&amp;""))</f>
        <v/>
      </c>
      <c r="F573" s="0" t="str">
        <f aca="false">IF($A573="","",IF(AW573="Y",BP573&amp;"",BB573&amp;""))</f>
        <v/>
      </c>
      <c r="G573" s="0" t="str">
        <f aca="false">IF($A573="","",IF(AW573="Y",BQ573&amp;"",BC573&amp;""))</f>
        <v/>
      </c>
      <c r="H573" s="0" t="str">
        <f aca="false">IF($A573="","",IF(AW573="Y",BR573&amp;"",BD573&amp;""))</f>
        <v/>
      </c>
      <c r="I573" s="0" t="str">
        <f aca="false">IF($A573="","",IF(R573="Y","warm-intro",IF(H573="verified","email",IF(C573&lt;&gt;"","linkedin",CB573&amp;""))))</f>
        <v/>
      </c>
      <c r="J573" s="0" t="str">
        <f aca="false">IF($A573="","",IF(CN573="pass",ROUND(N(EM573)+N(EN573)+N(EO573)+N(EP573)+N(EQ573)+N(ER573),1),0))</f>
        <v/>
      </c>
      <c r="K573" s="0" t="str">
        <f aca="false">IF($A573="","",IF(CN573&lt;&gt;"pass",CA573&amp;"",CA573&amp;"; "&amp;IF(AW573="Y",BZ573&amp;"",BL573&amp;"")&amp;IF(R573="Y","; known to the founder (+15)","")&amp;"."))</f>
        <v/>
      </c>
      <c r="R573" s="5"/>
      <c r="U573" s="5"/>
      <c r="Y573" s="0" t="str">
        <f aca="false">IF(FX573&lt;&gt;"Y","",COUNTIFS($FX$2:$FX$1000,"Y",$J$2:$J$1000,"&gt;"&amp;J573)+COUNTIFS($FX$2:$FX$1000,"Y",$J$2:$J$1000,J573,$GD$2:$GD$1000,"&lt;"&amp;GD573)+1)</f>
        <v/>
      </c>
      <c r="AB573" s="0" t="str">
        <f aca="false">IF($A573="","",IF(AW573="Y",BY573&amp;"",BK573&amp;""))</f>
        <v/>
      </c>
      <c r="AC573" s="0" t="str">
        <f aca="false">IF($A573="","",IF(AW573="Y",BS573&amp;"",BE573&amp;""))</f>
        <v/>
      </c>
      <c r="AD573" s="0" t="str">
        <f aca="false">IF($A573="","",IF(AW573="Y",BT573&amp;"",BF573&amp;""))</f>
        <v/>
      </c>
      <c r="AE573" s="0" t="str">
        <f aca="false">IF($A573="","",IF(AW573="Y",BU573&amp;"",BG573&amp;""))</f>
        <v/>
      </c>
      <c r="AF573" s="0" t="str">
        <f aca="false">IF($A573="","",IF(AW573="Y",BV573&amp;"",BH573&amp;""))</f>
        <v/>
      </c>
      <c r="AG573" s="0" t="str">
        <f aca="false">IF($A573="","",IF(AW573="Y",BW573&amp;"",BI573&amp;""))</f>
        <v/>
      </c>
      <c r="AH573" s="0" t="str">
        <f aca="false">IF($A573="","",IF(AW573="Y",BX573&amp;"",BJ573&amp;""))</f>
        <v/>
      </c>
      <c r="AQ573" s="5"/>
      <c r="AT573" s="0" t="str">
        <f aca="false">IF($A573="","",IF(AND(CN573="pass",AQ573&lt;&gt;"Y",C573&lt;&gt;"",OR(AX573&lt;&gt;"Y",AV573="Y")),"Y","N"))</f>
        <v/>
      </c>
      <c r="AU573" s="0" t="str">
        <f aca="false">IF($A573="","",_xlfn.TEXTJOIN("; ",TRUE(),IF(CN573&lt;&gt;"pass","gated out",""),IF(AQ573="Y","on hold: "&amp;AR573,""),IF(C573="","no contact named on an opened page",""),IF(AND(AX573="Y",AV573&lt;&gt;"Y"),"Tuesday estimate band "&amp;L573&amp;": founder's call","")))</f>
        <v/>
      </c>
      <c r="BC573" s="0" t="str">
        <f aca="false">IF($A573="","",IFERROR(INDEX(Enrichment!$A$2:$GZ$2000,MATCH($A573,INDEX(Enrichment!$A$2:$GZ$2000,0,MATCH("row_id",Enrichment!$A$1:$GZ$1,0)),0),MATCH("work_email",Enrichment!$A$1:$GZ$1,0))&amp;"",""))</f>
        <v/>
      </c>
      <c r="BD573" s="0" t="str">
        <f aca="false">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Q573" s="0" t="str">
        <f aca="false">IF($A573="","",IFERROR(INDEX(Enrichment!$A$2:$GZ$2000,MATCH($A573,INDEX(Enrichment!$A$2:$GZ$2000,0,MATCH("row_id",Enrichment!$A$1:$GZ$1,0)),0),MATCH("backup_work_email",Enrichment!$A$1:$GZ$1,0))&amp;"",""))</f>
        <v/>
      </c>
      <c r="BR573" s="0" t="str">
        <f aca="false">IF($A573="","",IF(BQ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EQ573" s="0" t="str">
        <f aca="false">IF($A573="","",IF(AH573="exact",10,IF(AH573="adjacent",5,0)))</f>
        <v/>
      </c>
      <c r="ER573" s="0" t="str">
        <f aca="false">IF($A573="","",IF(R573="Y",15,0))</f>
        <v/>
      </c>
      <c r="FS573" s="0" t="str">
        <f aca="false">IF($A573="","",IF(ISNUMBER(MATCH(U573,{"queued","contacted","replied","call_booked","call_done","yes_in_principle","materials_sent"},0)),"Y","N"))</f>
        <v/>
      </c>
      <c r="FT573" s="0" t="str">
        <f aca="false">IF($A573="","",IF(OR(T573="Y",U573="do_not_contact",AS573&amp;""&lt;&gt;""),"Y","N"))</f>
        <v/>
      </c>
      <c r="FU573" s="0" t="str">
        <f aca="false">IF($A573="","",IF(AP573&amp;""&lt;&gt;"",AP573&amp;"",$A573))</f>
        <v/>
      </c>
      <c r="FV573" s="0" t="str">
        <f aca="false">IF($A573="","",IF(COUNTIFS($FU$2:$FU$1000,FU573,$FS$2:$FS$1000,"Y")+COUNTIFS($FU$2:$FU$1000,FU573,$FT$2:$FT$1000,"Y")&gt;0,"Y","N"))</f>
        <v/>
      </c>
      <c r="FW573" s="0" t="str">
        <f aca="false">IF($A573="","",IF(AND(U573="new",T573="N",FT573="N",AT573="Y",FV573="N"),"Y","N"))</f>
        <v/>
      </c>
      <c r="FX573" s="0" t="str">
        <f aca="false">IF($A573="","",IF(FW573&lt;&gt;"Y","N",IF(COUNTIFS($FU$2:$FU$1000,FU573,$FW$2:$FW$1000,"Y",$J$2:$J$1000,"&gt;"&amp;J573)+COUNTIFS($FU$2:$FU$1000,FU573,$FW$2:$FW$1000,"Y",$J$2:$J$1000,J573,$GD$2:$GD$1000,"&lt;"&amp;GD573)=0,"Y","N")))</f>
        <v/>
      </c>
      <c r="FY573" s="0" t="str">
        <f aca="false">IF($A573="","",IF(AND(FW573="Y",FX573="Y",Y573&amp;""&lt;&gt;""),IF(Y573&lt;=10,"Y","N"),"N"))</f>
        <v/>
      </c>
      <c r="FZ573" s="0" t="str">
        <f aca="false">IF(FY573="Y",Y573,"")</f>
        <v/>
      </c>
      <c r="GA573" s="0" t="str">
        <f aca="false">IF($A573="","",IF(AND(I573="walk-in",CN573="pass",U573="new",FT573="N",FV573="N",AQ573&lt;&gt;"Y"),"Y","N"))</f>
        <v/>
      </c>
      <c r="GB573" s="0" t="str">
        <f aca="false">IF(GA573&lt;&gt;"Y","",IF(COUNTIFS($GA$2:$GA$1000,"Y",$J$2:$J$1000,"&gt;"&amp;J573)+COUNTIFS($GA$2:$GA$1000,"Y",$J$2:$J$1000,J573,$GD$2:$GD$1000,"&lt;"&amp;GD573)+1&lt;=25,COUNTIFS($GA$2:$GA$1000,"Y",$J$2:$J$1000,"&gt;"&amp;J573)+COUNTIFS($GA$2:$GA$1000,"Y",$J$2:$J$1000,J573,$GD$2:$GD$1000,"&lt;"&amp;GD573)+1,""))</f>
        <v/>
      </c>
      <c r="GC573" s="0" t="str">
        <f aca="false">IF(AND(_xlfn.ISFORMULA(C573),_xlfn.ISFORMULA(J573)),"Y","N")</f>
        <v>Y</v>
      </c>
      <c r="GD573" s="0" t="n">
        <f aca="false">ROW()-1</f>
        <v>572</v>
      </c>
    </row>
    <row r="574" customFormat="false" ht="15" hidden="false" customHeight="false" outlineLevel="0" collapsed="false">
      <c r="C574" s="0" t="str">
        <f aca="false">IF($A574="","",IF(AW574="Y",BM574&amp;"",AY574&amp;""))</f>
        <v/>
      </c>
      <c r="D574" s="0" t="str">
        <f aca="false">IF($A574="","",IF(AW574="Y",BN574&amp;"",AZ574&amp;""))</f>
        <v/>
      </c>
      <c r="E574" s="0" t="str">
        <f aca="false">IF($A574="","",IF(AW574="Y",BO574&amp;"",BA574&amp;""))</f>
        <v/>
      </c>
      <c r="F574" s="0" t="str">
        <f aca="false">IF($A574="","",IF(AW574="Y",BP574&amp;"",BB574&amp;""))</f>
        <v/>
      </c>
      <c r="G574" s="0" t="str">
        <f aca="false">IF($A574="","",IF(AW574="Y",BQ574&amp;"",BC574&amp;""))</f>
        <v/>
      </c>
      <c r="H574" s="0" t="str">
        <f aca="false">IF($A574="","",IF(AW574="Y",BR574&amp;"",BD574&amp;""))</f>
        <v/>
      </c>
      <c r="I574" s="0" t="str">
        <f aca="false">IF($A574="","",IF(R574="Y","warm-intro",IF(H574="verified","email",IF(C574&lt;&gt;"","linkedin",CB574&amp;""))))</f>
        <v/>
      </c>
      <c r="J574" s="0" t="str">
        <f aca="false">IF($A574="","",IF(CN574="pass",ROUND(N(EM574)+N(EN574)+N(EO574)+N(EP574)+N(EQ574)+N(ER574),1),0))</f>
        <v/>
      </c>
      <c r="K574" s="0" t="str">
        <f aca="false">IF($A574="","",IF(CN574&lt;&gt;"pass",CA574&amp;"",CA574&amp;"; "&amp;IF(AW574="Y",BZ574&amp;"",BL574&amp;"")&amp;IF(R574="Y","; known to the founder (+15)","")&amp;"."))</f>
        <v/>
      </c>
      <c r="R574" s="5"/>
      <c r="U574" s="5"/>
      <c r="Y574" s="0" t="str">
        <f aca="false">IF(FX574&lt;&gt;"Y","",COUNTIFS($FX$2:$FX$1000,"Y",$J$2:$J$1000,"&gt;"&amp;J574)+COUNTIFS($FX$2:$FX$1000,"Y",$J$2:$J$1000,J574,$GD$2:$GD$1000,"&lt;"&amp;GD574)+1)</f>
        <v/>
      </c>
      <c r="AB574" s="0" t="str">
        <f aca="false">IF($A574="","",IF(AW574="Y",BY574&amp;"",BK574&amp;""))</f>
        <v/>
      </c>
      <c r="AC574" s="0" t="str">
        <f aca="false">IF($A574="","",IF(AW574="Y",BS574&amp;"",BE574&amp;""))</f>
        <v/>
      </c>
      <c r="AD574" s="0" t="str">
        <f aca="false">IF($A574="","",IF(AW574="Y",BT574&amp;"",BF574&amp;""))</f>
        <v/>
      </c>
      <c r="AE574" s="0" t="str">
        <f aca="false">IF($A574="","",IF(AW574="Y",BU574&amp;"",BG574&amp;""))</f>
        <v/>
      </c>
      <c r="AF574" s="0" t="str">
        <f aca="false">IF($A574="","",IF(AW574="Y",BV574&amp;"",BH574&amp;""))</f>
        <v/>
      </c>
      <c r="AG574" s="0" t="str">
        <f aca="false">IF($A574="","",IF(AW574="Y",BW574&amp;"",BI574&amp;""))</f>
        <v/>
      </c>
      <c r="AH574" s="0" t="str">
        <f aca="false">IF($A574="","",IF(AW574="Y",BX574&amp;"",BJ574&amp;""))</f>
        <v/>
      </c>
      <c r="AQ574" s="5"/>
      <c r="AT574" s="0" t="str">
        <f aca="false">IF($A574="","",IF(AND(CN574="pass",AQ574&lt;&gt;"Y",C574&lt;&gt;"",OR(AX574&lt;&gt;"Y",AV574="Y")),"Y","N"))</f>
        <v/>
      </c>
      <c r="AU574" s="0" t="str">
        <f aca="false">IF($A574="","",_xlfn.TEXTJOIN("; ",TRUE(),IF(CN574&lt;&gt;"pass","gated out",""),IF(AQ574="Y","on hold: "&amp;AR574,""),IF(C574="","no contact named on an opened page",""),IF(AND(AX574="Y",AV574&lt;&gt;"Y"),"Tuesday estimate band "&amp;L574&amp;": founder's call","")))</f>
        <v/>
      </c>
      <c r="BC574" s="0" t="str">
        <f aca="false">IF($A574="","",IFERROR(INDEX(Enrichment!$A$2:$GZ$2000,MATCH($A574,INDEX(Enrichment!$A$2:$GZ$2000,0,MATCH("row_id",Enrichment!$A$1:$GZ$1,0)),0),MATCH("work_email",Enrichment!$A$1:$GZ$1,0))&amp;"",""))</f>
        <v/>
      </c>
      <c r="BD574" s="0" t="str">
        <f aca="false">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Q574" s="0" t="str">
        <f aca="false">IF($A574="","",IFERROR(INDEX(Enrichment!$A$2:$GZ$2000,MATCH($A574,INDEX(Enrichment!$A$2:$GZ$2000,0,MATCH("row_id",Enrichment!$A$1:$GZ$1,0)),0),MATCH("backup_work_email",Enrichment!$A$1:$GZ$1,0))&amp;"",""))</f>
        <v/>
      </c>
      <c r="BR574" s="0" t="str">
        <f aca="false">IF($A574="","",IF(BQ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EQ574" s="0" t="str">
        <f aca="false">IF($A574="","",IF(AH574="exact",10,IF(AH574="adjacent",5,0)))</f>
        <v/>
      </c>
      <c r="ER574" s="0" t="str">
        <f aca="false">IF($A574="","",IF(R574="Y",15,0))</f>
        <v/>
      </c>
      <c r="FS574" s="0" t="str">
        <f aca="false">IF($A574="","",IF(ISNUMBER(MATCH(U574,{"queued","contacted","replied","call_booked","call_done","yes_in_principle","materials_sent"},0)),"Y","N"))</f>
        <v/>
      </c>
      <c r="FT574" s="0" t="str">
        <f aca="false">IF($A574="","",IF(OR(T574="Y",U574="do_not_contact",AS574&amp;""&lt;&gt;""),"Y","N"))</f>
        <v/>
      </c>
      <c r="FU574" s="0" t="str">
        <f aca="false">IF($A574="","",IF(AP574&amp;""&lt;&gt;"",AP574&amp;"",$A574))</f>
        <v/>
      </c>
      <c r="FV574" s="0" t="str">
        <f aca="false">IF($A574="","",IF(COUNTIFS($FU$2:$FU$1000,FU574,$FS$2:$FS$1000,"Y")+COUNTIFS($FU$2:$FU$1000,FU574,$FT$2:$FT$1000,"Y")&gt;0,"Y","N"))</f>
        <v/>
      </c>
      <c r="FW574" s="0" t="str">
        <f aca="false">IF($A574="","",IF(AND(U574="new",T574="N",FT574="N",AT574="Y",FV574="N"),"Y","N"))</f>
        <v/>
      </c>
      <c r="FX574" s="0" t="str">
        <f aca="false">IF($A574="","",IF(FW574&lt;&gt;"Y","N",IF(COUNTIFS($FU$2:$FU$1000,FU574,$FW$2:$FW$1000,"Y",$J$2:$J$1000,"&gt;"&amp;J574)+COUNTIFS($FU$2:$FU$1000,FU574,$FW$2:$FW$1000,"Y",$J$2:$J$1000,J574,$GD$2:$GD$1000,"&lt;"&amp;GD574)=0,"Y","N")))</f>
        <v/>
      </c>
      <c r="FY574" s="0" t="str">
        <f aca="false">IF($A574="","",IF(AND(FW574="Y",FX574="Y",Y574&amp;""&lt;&gt;""),IF(Y574&lt;=10,"Y","N"),"N"))</f>
        <v/>
      </c>
      <c r="FZ574" s="0" t="str">
        <f aca="false">IF(FY574="Y",Y574,"")</f>
        <v/>
      </c>
      <c r="GA574" s="0" t="str">
        <f aca="false">IF($A574="","",IF(AND(I574="walk-in",CN574="pass",U574="new",FT574="N",FV574="N",AQ574&lt;&gt;"Y"),"Y","N"))</f>
        <v/>
      </c>
      <c r="GB574" s="0" t="str">
        <f aca="false">IF(GA574&lt;&gt;"Y","",IF(COUNTIFS($GA$2:$GA$1000,"Y",$J$2:$J$1000,"&gt;"&amp;J574)+COUNTIFS($GA$2:$GA$1000,"Y",$J$2:$J$1000,J574,$GD$2:$GD$1000,"&lt;"&amp;GD574)+1&lt;=25,COUNTIFS($GA$2:$GA$1000,"Y",$J$2:$J$1000,"&gt;"&amp;J574)+COUNTIFS($GA$2:$GA$1000,"Y",$J$2:$J$1000,J574,$GD$2:$GD$1000,"&lt;"&amp;GD574)+1,""))</f>
        <v/>
      </c>
      <c r="GC574" s="0" t="str">
        <f aca="false">IF(AND(_xlfn.ISFORMULA(C574),_xlfn.ISFORMULA(J574)),"Y","N")</f>
        <v>Y</v>
      </c>
      <c r="GD574" s="0" t="n">
        <f aca="false">ROW()-1</f>
        <v>573</v>
      </c>
    </row>
    <row r="575" customFormat="false" ht="15" hidden="false" customHeight="false" outlineLevel="0" collapsed="false">
      <c r="C575" s="0" t="str">
        <f aca="false">IF($A575="","",IF(AW575="Y",BM575&amp;"",AY575&amp;""))</f>
        <v/>
      </c>
      <c r="D575" s="0" t="str">
        <f aca="false">IF($A575="","",IF(AW575="Y",BN575&amp;"",AZ575&amp;""))</f>
        <v/>
      </c>
      <c r="E575" s="0" t="str">
        <f aca="false">IF($A575="","",IF(AW575="Y",BO575&amp;"",BA575&amp;""))</f>
        <v/>
      </c>
      <c r="F575" s="0" t="str">
        <f aca="false">IF($A575="","",IF(AW575="Y",BP575&amp;"",BB575&amp;""))</f>
        <v/>
      </c>
      <c r="G575" s="0" t="str">
        <f aca="false">IF($A575="","",IF(AW575="Y",BQ575&amp;"",BC575&amp;""))</f>
        <v/>
      </c>
      <c r="H575" s="0" t="str">
        <f aca="false">IF($A575="","",IF(AW575="Y",BR575&amp;"",BD575&amp;""))</f>
        <v/>
      </c>
      <c r="I575" s="0" t="str">
        <f aca="false">IF($A575="","",IF(R575="Y","warm-intro",IF(H575="verified","email",IF(C575&lt;&gt;"","linkedin",CB575&amp;""))))</f>
        <v/>
      </c>
      <c r="J575" s="0" t="str">
        <f aca="false">IF($A575="","",IF(CN575="pass",ROUND(N(EM575)+N(EN575)+N(EO575)+N(EP575)+N(EQ575)+N(ER575),1),0))</f>
        <v/>
      </c>
      <c r="K575" s="0" t="str">
        <f aca="false">IF($A575="","",IF(CN575&lt;&gt;"pass",CA575&amp;"",CA575&amp;"; "&amp;IF(AW575="Y",BZ575&amp;"",BL575&amp;"")&amp;IF(R575="Y","; known to the founder (+15)","")&amp;"."))</f>
        <v/>
      </c>
      <c r="R575" s="5"/>
      <c r="U575" s="5"/>
      <c r="Y575" s="0" t="str">
        <f aca="false">IF(FX575&lt;&gt;"Y","",COUNTIFS($FX$2:$FX$1000,"Y",$J$2:$J$1000,"&gt;"&amp;J575)+COUNTIFS($FX$2:$FX$1000,"Y",$J$2:$J$1000,J575,$GD$2:$GD$1000,"&lt;"&amp;GD575)+1)</f>
        <v/>
      </c>
      <c r="AB575" s="0" t="str">
        <f aca="false">IF($A575="","",IF(AW575="Y",BY575&amp;"",BK575&amp;""))</f>
        <v/>
      </c>
      <c r="AC575" s="0" t="str">
        <f aca="false">IF($A575="","",IF(AW575="Y",BS575&amp;"",BE575&amp;""))</f>
        <v/>
      </c>
      <c r="AD575" s="0" t="str">
        <f aca="false">IF($A575="","",IF(AW575="Y",BT575&amp;"",BF575&amp;""))</f>
        <v/>
      </c>
      <c r="AE575" s="0" t="str">
        <f aca="false">IF($A575="","",IF(AW575="Y",BU575&amp;"",BG575&amp;""))</f>
        <v/>
      </c>
      <c r="AF575" s="0" t="str">
        <f aca="false">IF($A575="","",IF(AW575="Y",BV575&amp;"",BH575&amp;""))</f>
        <v/>
      </c>
      <c r="AG575" s="0" t="str">
        <f aca="false">IF($A575="","",IF(AW575="Y",BW575&amp;"",BI575&amp;""))</f>
        <v/>
      </c>
      <c r="AH575" s="0" t="str">
        <f aca="false">IF($A575="","",IF(AW575="Y",BX575&amp;"",BJ575&amp;""))</f>
        <v/>
      </c>
      <c r="AQ575" s="5"/>
      <c r="AT575" s="0" t="str">
        <f aca="false">IF($A575="","",IF(AND(CN575="pass",AQ575&lt;&gt;"Y",C575&lt;&gt;"",OR(AX575&lt;&gt;"Y",AV575="Y")),"Y","N"))</f>
        <v/>
      </c>
      <c r="AU575" s="0" t="str">
        <f aca="false">IF($A575="","",_xlfn.TEXTJOIN("; ",TRUE(),IF(CN575&lt;&gt;"pass","gated out",""),IF(AQ575="Y","on hold: "&amp;AR575,""),IF(C575="","no contact named on an opened page",""),IF(AND(AX575="Y",AV575&lt;&gt;"Y"),"Tuesday estimate band "&amp;L575&amp;": founder's call","")))</f>
        <v/>
      </c>
      <c r="BC575" s="0" t="str">
        <f aca="false">IF($A575="","",IFERROR(INDEX(Enrichment!$A$2:$GZ$2000,MATCH($A575,INDEX(Enrichment!$A$2:$GZ$2000,0,MATCH("row_id",Enrichment!$A$1:$GZ$1,0)),0),MATCH("work_email",Enrichment!$A$1:$GZ$1,0))&amp;"",""))</f>
        <v/>
      </c>
      <c r="BD575" s="0" t="str">
        <f aca="false">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Q575" s="0" t="str">
        <f aca="false">IF($A575="","",IFERROR(INDEX(Enrichment!$A$2:$GZ$2000,MATCH($A575,INDEX(Enrichment!$A$2:$GZ$2000,0,MATCH("row_id",Enrichment!$A$1:$GZ$1,0)),0),MATCH("backup_work_email",Enrichment!$A$1:$GZ$1,0))&amp;"",""))</f>
        <v/>
      </c>
      <c r="BR575" s="0" t="str">
        <f aca="false">IF($A575="","",IF(BQ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EQ575" s="0" t="str">
        <f aca="false">IF($A575="","",IF(AH575="exact",10,IF(AH575="adjacent",5,0)))</f>
        <v/>
      </c>
      <c r="ER575" s="0" t="str">
        <f aca="false">IF($A575="","",IF(R575="Y",15,0))</f>
        <v/>
      </c>
      <c r="FS575" s="0" t="str">
        <f aca="false">IF($A575="","",IF(ISNUMBER(MATCH(U575,{"queued","contacted","replied","call_booked","call_done","yes_in_principle","materials_sent"},0)),"Y","N"))</f>
        <v/>
      </c>
      <c r="FT575" s="0" t="str">
        <f aca="false">IF($A575="","",IF(OR(T575="Y",U575="do_not_contact",AS575&amp;""&lt;&gt;""),"Y","N"))</f>
        <v/>
      </c>
      <c r="FU575" s="0" t="str">
        <f aca="false">IF($A575="","",IF(AP575&amp;""&lt;&gt;"",AP575&amp;"",$A575))</f>
        <v/>
      </c>
      <c r="FV575" s="0" t="str">
        <f aca="false">IF($A575="","",IF(COUNTIFS($FU$2:$FU$1000,FU575,$FS$2:$FS$1000,"Y")+COUNTIFS($FU$2:$FU$1000,FU575,$FT$2:$FT$1000,"Y")&gt;0,"Y","N"))</f>
        <v/>
      </c>
      <c r="FW575" s="0" t="str">
        <f aca="false">IF($A575="","",IF(AND(U575="new",T575="N",FT575="N",AT575="Y",FV575="N"),"Y","N"))</f>
        <v/>
      </c>
      <c r="FX575" s="0" t="str">
        <f aca="false">IF($A575="","",IF(FW575&lt;&gt;"Y","N",IF(COUNTIFS($FU$2:$FU$1000,FU575,$FW$2:$FW$1000,"Y",$J$2:$J$1000,"&gt;"&amp;J575)+COUNTIFS($FU$2:$FU$1000,FU575,$FW$2:$FW$1000,"Y",$J$2:$J$1000,J575,$GD$2:$GD$1000,"&lt;"&amp;GD575)=0,"Y","N")))</f>
        <v/>
      </c>
      <c r="FY575" s="0" t="str">
        <f aca="false">IF($A575="","",IF(AND(FW575="Y",FX575="Y",Y575&amp;""&lt;&gt;""),IF(Y575&lt;=10,"Y","N"),"N"))</f>
        <v/>
      </c>
      <c r="FZ575" s="0" t="str">
        <f aca="false">IF(FY575="Y",Y575,"")</f>
        <v/>
      </c>
      <c r="GA575" s="0" t="str">
        <f aca="false">IF($A575="","",IF(AND(I575="walk-in",CN575="pass",U575="new",FT575="N",FV575="N",AQ575&lt;&gt;"Y"),"Y","N"))</f>
        <v/>
      </c>
      <c r="GB575" s="0" t="str">
        <f aca="false">IF(GA575&lt;&gt;"Y","",IF(COUNTIFS($GA$2:$GA$1000,"Y",$J$2:$J$1000,"&gt;"&amp;J575)+COUNTIFS($GA$2:$GA$1000,"Y",$J$2:$J$1000,J575,$GD$2:$GD$1000,"&lt;"&amp;GD575)+1&lt;=25,COUNTIFS($GA$2:$GA$1000,"Y",$J$2:$J$1000,"&gt;"&amp;J575)+COUNTIFS($GA$2:$GA$1000,"Y",$J$2:$J$1000,J575,$GD$2:$GD$1000,"&lt;"&amp;GD575)+1,""))</f>
        <v/>
      </c>
      <c r="GC575" s="0" t="str">
        <f aca="false">IF(AND(_xlfn.ISFORMULA(C575),_xlfn.ISFORMULA(J575)),"Y","N")</f>
        <v>Y</v>
      </c>
      <c r="GD575" s="0" t="n">
        <f aca="false">ROW()-1</f>
        <v>574</v>
      </c>
    </row>
    <row r="576" customFormat="false" ht="15" hidden="false" customHeight="false" outlineLevel="0" collapsed="false">
      <c r="C576" s="0" t="str">
        <f aca="false">IF($A576="","",IF(AW576="Y",BM576&amp;"",AY576&amp;""))</f>
        <v/>
      </c>
      <c r="D576" s="0" t="str">
        <f aca="false">IF($A576="","",IF(AW576="Y",BN576&amp;"",AZ576&amp;""))</f>
        <v/>
      </c>
      <c r="E576" s="0" t="str">
        <f aca="false">IF($A576="","",IF(AW576="Y",BO576&amp;"",BA576&amp;""))</f>
        <v/>
      </c>
      <c r="F576" s="0" t="str">
        <f aca="false">IF($A576="","",IF(AW576="Y",BP576&amp;"",BB576&amp;""))</f>
        <v/>
      </c>
      <c r="G576" s="0" t="str">
        <f aca="false">IF($A576="","",IF(AW576="Y",BQ576&amp;"",BC576&amp;""))</f>
        <v/>
      </c>
      <c r="H576" s="0" t="str">
        <f aca="false">IF($A576="","",IF(AW576="Y",BR576&amp;"",BD576&amp;""))</f>
        <v/>
      </c>
      <c r="I576" s="0" t="str">
        <f aca="false">IF($A576="","",IF(R576="Y","warm-intro",IF(H576="verified","email",IF(C576&lt;&gt;"","linkedin",CB576&amp;""))))</f>
        <v/>
      </c>
      <c r="J576" s="0" t="str">
        <f aca="false">IF($A576="","",IF(CN576="pass",ROUND(N(EM576)+N(EN576)+N(EO576)+N(EP576)+N(EQ576)+N(ER576),1),0))</f>
        <v/>
      </c>
      <c r="K576" s="0" t="str">
        <f aca="false">IF($A576="","",IF(CN576&lt;&gt;"pass",CA576&amp;"",CA576&amp;"; "&amp;IF(AW576="Y",BZ576&amp;"",BL576&amp;"")&amp;IF(R576="Y","; known to the founder (+15)","")&amp;"."))</f>
        <v/>
      </c>
      <c r="R576" s="5"/>
      <c r="U576" s="5"/>
      <c r="Y576" s="0" t="str">
        <f aca="false">IF(FX576&lt;&gt;"Y","",COUNTIFS($FX$2:$FX$1000,"Y",$J$2:$J$1000,"&gt;"&amp;J576)+COUNTIFS($FX$2:$FX$1000,"Y",$J$2:$J$1000,J576,$GD$2:$GD$1000,"&lt;"&amp;GD576)+1)</f>
        <v/>
      </c>
      <c r="AB576" s="0" t="str">
        <f aca="false">IF($A576="","",IF(AW576="Y",BY576&amp;"",BK576&amp;""))</f>
        <v/>
      </c>
      <c r="AC576" s="0" t="str">
        <f aca="false">IF($A576="","",IF(AW576="Y",BS576&amp;"",BE576&amp;""))</f>
        <v/>
      </c>
      <c r="AD576" s="0" t="str">
        <f aca="false">IF($A576="","",IF(AW576="Y",BT576&amp;"",BF576&amp;""))</f>
        <v/>
      </c>
      <c r="AE576" s="0" t="str">
        <f aca="false">IF($A576="","",IF(AW576="Y",BU576&amp;"",BG576&amp;""))</f>
        <v/>
      </c>
      <c r="AF576" s="0" t="str">
        <f aca="false">IF($A576="","",IF(AW576="Y",BV576&amp;"",BH576&amp;""))</f>
        <v/>
      </c>
      <c r="AG576" s="0" t="str">
        <f aca="false">IF($A576="","",IF(AW576="Y",BW576&amp;"",BI576&amp;""))</f>
        <v/>
      </c>
      <c r="AH576" s="0" t="str">
        <f aca="false">IF($A576="","",IF(AW576="Y",BX576&amp;"",BJ576&amp;""))</f>
        <v/>
      </c>
      <c r="AQ576" s="5"/>
      <c r="AT576" s="0" t="str">
        <f aca="false">IF($A576="","",IF(AND(CN576="pass",AQ576&lt;&gt;"Y",C576&lt;&gt;"",OR(AX576&lt;&gt;"Y",AV576="Y")),"Y","N"))</f>
        <v/>
      </c>
      <c r="AU576" s="0" t="str">
        <f aca="false">IF($A576="","",_xlfn.TEXTJOIN("; ",TRUE(),IF(CN576&lt;&gt;"pass","gated out",""),IF(AQ576="Y","on hold: "&amp;AR576,""),IF(C576="","no contact named on an opened page",""),IF(AND(AX576="Y",AV576&lt;&gt;"Y"),"Tuesday estimate band "&amp;L576&amp;": founder's call","")))</f>
        <v/>
      </c>
      <c r="BC576" s="0" t="str">
        <f aca="false">IF($A576="","",IFERROR(INDEX(Enrichment!$A$2:$GZ$2000,MATCH($A576,INDEX(Enrichment!$A$2:$GZ$2000,0,MATCH("row_id",Enrichment!$A$1:$GZ$1,0)),0),MATCH("work_email",Enrichment!$A$1:$GZ$1,0))&amp;"",""))</f>
        <v/>
      </c>
      <c r="BD576" s="0" t="str">
        <f aca="false">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Q576" s="0" t="str">
        <f aca="false">IF($A576="","",IFERROR(INDEX(Enrichment!$A$2:$GZ$2000,MATCH($A576,INDEX(Enrichment!$A$2:$GZ$2000,0,MATCH("row_id",Enrichment!$A$1:$GZ$1,0)),0),MATCH("backup_work_email",Enrichment!$A$1:$GZ$1,0))&amp;"",""))</f>
        <v/>
      </c>
      <c r="BR576" s="0" t="str">
        <f aca="false">IF($A576="","",IF(BQ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EQ576" s="0" t="str">
        <f aca="false">IF($A576="","",IF(AH576="exact",10,IF(AH576="adjacent",5,0)))</f>
        <v/>
      </c>
      <c r="ER576" s="0" t="str">
        <f aca="false">IF($A576="","",IF(R576="Y",15,0))</f>
        <v/>
      </c>
      <c r="FS576" s="0" t="str">
        <f aca="false">IF($A576="","",IF(ISNUMBER(MATCH(U576,{"queued","contacted","replied","call_booked","call_done","yes_in_principle","materials_sent"},0)),"Y","N"))</f>
        <v/>
      </c>
      <c r="FT576" s="0" t="str">
        <f aca="false">IF($A576="","",IF(OR(T576="Y",U576="do_not_contact",AS576&amp;""&lt;&gt;""),"Y","N"))</f>
        <v/>
      </c>
      <c r="FU576" s="0" t="str">
        <f aca="false">IF($A576="","",IF(AP576&amp;""&lt;&gt;"",AP576&amp;"",$A576))</f>
        <v/>
      </c>
      <c r="FV576" s="0" t="str">
        <f aca="false">IF($A576="","",IF(COUNTIFS($FU$2:$FU$1000,FU576,$FS$2:$FS$1000,"Y")+COUNTIFS($FU$2:$FU$1000,FU576,$FT$2:$FT$1000,"Y")&gt;0,"Y","N"))</f>
        <v/>
      </c>
      <c r="FW576" s="0" t="str">
        <f aca="false">IF($A576="","",IF(AND(U576="new",T576="N",FT576="N",AT576="Y",FV576="N"),"Y","N"))</f>
        <v/>
      </c>
      <c r="FX576" s="0" t="str">
        <f aca="false">IF($A576="","",IF(FW576&lt;&gt;"Y","N",IF(COUNTIFS($FU$2:$FU$1000,FU576,$FW$2:$FW$1000,"Y",$J$2:$J$1000,"&gt;"&amp;J576)+COUNTIFS($FU$2:$FU$1000,FU576,$FW$2:$FW$1000,"Y",$J$2:$J$1000,J576,$GD$2:$GD$1000,"&lt;"&amp;GD576)=0,"Y","N")))</f>
        <v/>
      </c>
      <c r="FY576" s="0" t="str">
        <f aca="false">IF($A576="","",IF(AND(FW576="Y",FX576="Y",Y576&amp;""&lt;&gt;""),IF(Y576&lt;=10,"Y","N"),"N"))</f>
        <v/>
      </c>
      <c r="FZ576" s="0" t="str">
        <f aca="false">IF(FY576="Y",Y576,"")</f>
        <v/>
      </c>
      <c r="GA576" s="0" t="str">
        <f aca="false">IF($A576="","",IF(AND(I576="walk-in",CN576="pass",U576="new",FT576="N",FV576="N",AQ576&lt;&gt;"Y"),"Y","N"))</f>
        <v/>
      </c>
      <c r="GB576" s="0" t="str">
        <f aca="false">IF(GA576&lt;&gt;"Y","",IF(COUNTIFS($GA$2:$GA$1000,"Y",$J$2:$J$1000,"&gt;"&amp;J576)+COUNTIFS($GA$2:$GA$1000,"Y",$J$2:$J$1000,J576,$GD$2:$GD$1000,"&lt;"&amp;GD576)+1&lt;=25,COUNTIFS($GA$2:$GA$1000,"Y",$J$2:$J$1000,"&gt;"&amp;J576)+COUNTIFS($GA$2:$GA$1000,"Y",$J$2:$J$1000,J576,$GD$2:$GD$1000,"&lt;"&amp;GD576)+1,""))</f>
        <v/>
      </c>
      <c r="GC576" s="0" t="str">
        <f aca="false">IF(AND(_xlfn.ISFORMULA(C576),_xlfn.ISFORMULA(J576)),"Y","N")</f>
        <v>Y</v>
      </c>
      <c r="GD576" s="0" t="n">
        <f aca="false">ROW()-1</f>
        <v>575</v>
      </c>
    </row>
    <row r="577" customFormat="false" ht="15" hidden="false" customHeight="false" outlineLevel="0" collapsed="false">
      <c r="C577" s="0" t="str">
        <f aca="false">IF($A577="","",IF(AW577="Y",BM577&amp;"",AY577&amp;""))</f>
        <v/>
      </c>
      <c r="D577" s="0" t="str">
        <f aca="false">IF($A577="","",IF(AW577="Y",BN577&amp;"",AZ577&amp;""))</f>
        <v/>
      </c>
      <c r="E577" s="0" t="str">
        <f aca="false">IF($A577="","",IF(AW577="Y",BO577&amp;"",BA577&amp;""))</f>
        <v/>
      </c>
      <c r="F577" s="0" t="str">
        <f aca="false">IF($A577="","",IF(AW577="Y",BP577&amp;"",BB577&amp;""))</f>
        <v/>
      </c>
      <c r="G577" s="0" t="str">
        <f aca="false">IF($A577="","",IF(AW577="Y",BQ577&amp;"",BC577&amp;""))</f>
        <v/>
      </c>
      <c r="H577" s="0" t="str">
        <f aca="false">IF($A577="","",IF(AW577="Y",BR577&amp;"",BD577&amp;""))</f>
        <v/>
      </c>
      <c r="I577" s="0" t="str">
        <f aca="false">IF($A577="","",IF(R577="Y","warm-intro",IF(H577="verified","email",IF(C577&lt;&gt;"","linkedin",CB577&amp;""))))</f>
        <v/>
      </c>
      <c r="J577" s="0" t="str">
        <f aca="false">IF($A577="","",IF(CN577="pass",ROUND(N(EM577)+N(EN577)+N(EO577)+N(EP577)+N(EQ577)+N(ER577),1),0))</f>
        <v/>
      </c>
      <c r="K577" s="0" t="str">
        <f aca="false">IF($A577="","",IF(CN577&lt;&gt;"pass",CA577&amp;"",CA577&amp;"; "&amp;IF(AW577="Y",BZ577&amp;"",BL577&amp;"")&amp;IF(R577="Y","; known to the founder (+15)","")&amp;"."))</f>
        <v/>
      </c>
      <c r="R577" s="5"/>
      <c r="U577" s="5"/>
      <c r="Y577" s="0" t="str">
        <f aca="false">IF(FX577&lt;&gt;"Y","",COUNTIFS($FX$2:$FX$1000,"Y",$J$2:$J$1000,"&gt;"&amp;J577)+COUNTIFS($FX$2:$FX$1000,"Y",$J$2:$J$1000,J577,$GD$2:$GD$1000,"&lt;"&amp;GD577)+1)</f>
        <v/>
      </c>
      <c r="AB577" s="0" t="str">
        <f aca="false">IF($A577="","",IF(AW577="Y",BY577&amp;"",BK577&amp;""))</f>
        <v/>
      </c>
      <c r="AC577" s="0" t="str">
        <f aca="false">IF($A577="","",IF(AW577="Y",BS577&amp;"",BE577&amp;""))</f>
        <v/>
      </c>
      <c r="AD577" s="0" t="str">
        <f aca="false">IF($A577="","",IF(AW577="Y",BT577&amp;"",BF577&amp;""))</f>
        <v/>
      </c>
      <c r="AE577" s="0" t="str">
        <f aca="false">IF($A577="","",IF(AW577="Y",BU577&amp;"",BG577&amp;""))</f>
        <v/>
      </c>
      <c r="AF577" s="0" t="str">
        <f aca="false">IF($A577="","",IF(AW577="Y",BV577&amp;"",BH577&amp;""))</f>
        <v/>
      </c>
      <c r="AG577" s="0" t="str">
        <f aca="false">IF($A577="","",IF(AW577="Y",BW577&amp;"",BI577&amp;""))</f>
        <v/>
      </c>
      <c r="AH577" s="0" t="str">
        <f aca="false">IF($A577="","",IF(AW577="Y",BX577&amp;"",BJ577&amp;""))</f>
        <v/>
      </c>
      <c r="AQ577" s="5"/>
      <c r="AT577" s="0" t="str">
        <f aca="false">IF($A577="","",IF(AND(CN577="pass",AQ577&lt;&gt;"Y",C577&lt;&gt;"",OR(AX577&lt;&gt;"Y",AV577="Y")),"Y","N"))</f>
        <v/>
      </c>
      <c r="AU577" s="0" t="str">
        <f aca="false">IF($A577="","",_xlfn.TEXTJOIN("; ",TRUE(),IF(CN577&lt;&gt;"pass","gated out",""),IF(AQ577="Y","on hold: "&amp;AR577,""),IF(C577="","no contact named on an opened page",""),IF(AND(AX577="Y",AV577&lt;&gt;"Y"),"Tuesday estimate band "&amp;L577&amp;": founder's call","")))</f>
        <v/>
      </c>
      <c r="BC577" s="0" t="str">
        <f aca="false">IF($A577="","",IFERROR(INDEX(Enrichment!$A$2:$GZ$2000,MATCH($A577,INDEX(Enrichment!$A$2:$GZ$2000,0,MATCH("row_id",Enrichment!$A$1:$GZ$1,0)),0),MATCH("work_email",Enrichment!$A$1:$GZ$1,0))&amp;"",""))</f>
        <v/>
      </c>
      <c r="BD577" s="0" t="str">
        <f aca="false">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Q577" s="0" t="str">
        <f aca="false">IF($A577="","",IFERROR(INDEX(Enrichment!$A$2:$GZ$2000,MATCH($A577,INDEX(Enrichment!$A$2:$GZ$2000,0,MATCH("row_id",Enrichment!$A$1:$GZ$1,0)),0),MATCH("backup_work_email",Enrichment!$A$1:$GZ$1,0))&amp;"",""))</f>
        <v/>
      </c>
      <c r="BR577" s="0" t="str">
        <f aca="false">IF($A577="","",IF(BQ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EQ577" s="0" t="str">
        <f aca="false">IF($A577="","",IF(AH577="exact",10,IF(AH577="adjacent",5,0)))</f>
        <v/>
      </c>
      <c r="ER577" s="0" t="str">
        <f aca="false">IF($A577="","",IF(R577="Y",15,0))</f>
        <v/>
      </c>
      <c r="FS577" s="0" t="str">
        <f aca="false">IF($A577="","",IF(ISNUMBER(MATCH(U577,{"queued","contacted","replied","call_booked","call_done","yes_in_principle","materials_sent"},0)),"Y","N"))</f>
        <v/>
      </c>
      <c r="FT577" s="0" t="str">
        <f aca="false">IF($A577="","",IF(OR(T577="Y",U577="do_not_contact",AS577&amp;""&lt;&gt;""),"Y","N"))</f>
        <v/>
      </c>
      <c r="FU577" s="0" t="str">
        <f aca="false">IF($A577="","",IF(AP577&amp;""&lt;&gt;"",AP577&amp;"",$A577))</f>
        <v/>
      </c>
      <c r="FV577" s="0" t="str">
        <f aca="false">IF($A577="","",IF(COUNTIFS($FU$2:$FU$1000,FU577,$FS$2:$FS$1000,"Y")+COUNTIFS($FU$2:$FU$1000,FU577,$FT$2:$FT$1000,"Y")&gt;0,"Y","N"))</f>
        <v/>
      </c>
      <c r="FW577" s="0" t="str">
        <f aca="false">IF($A577="","",IF(AND(U577="new",T577="N",FT577="N",AT577="Y",FV577="N"),"Y","N"))</f>
        <v/>
      </c>
      <c r="FX577" s="0" t="str">
        <f aca="false">IF($A577="","",IF(FW577&lt;&gt;"Y","N",IF(COUNTIFS($FU$2:$FU$1000,FU577,$FW$2:$FW$1000,"Y",$J$2:$J$1000,"&gt;"&amp;J577)+COUNTIFS($FU$2:$FU$1000,FU577,$FW$2:$FW$1000,"Y",$J$2:$J$1000,J577,$GD$2:$GD$1000,"&lt;"&amp;GD577)=0,"Y","N")))</f>
        <v/>
      </c>
      <c r="FY577" s="0" t="str">
        <f aca="false">IF($A577="","",IF(AND(FW577="Y",FX577="Y",Y577&amp;""&lt;&gt;""),IF(Y577&lt;=10,"Y","N"),"N"))</f>
        <v/>
      </c>
      <c r="FZ577" s="0" t="str">
        <f aca="false">IF(FY577="Y",Y577,"")</f>
        <v/>
      </c>
      <c r="GA577" s="0" t="str">
        <f aca="false">IF($A577="","",IF(AND(I577="walk-in",CN577="pass",U577="new",FT577="N",FV577="N",AQ577&lt;&gt;"Y"),"Y","N"))</f>
        <v/>
      </c>
      <c r="GB577" s="0" t="str">
        <f aca="false">IF(GA577&lt;&gt;"Y","",IF(COUNTIFS($GA$2:$GA$1000,"Y",$J$2:$J$1000,"&gt;"&amp;J577)+COUNTIFS($GA$2:$GA$1000,"Y",$J$2:$J$1000,J577,$GD$2:$GD$1000,"&lt;"&amp;GD577)+1&lt;=25,COUNTIFS($GA$2:$GA$1000,"Y",$J$2:$J$1000,"&gt;"&amp;J577)+COUNTIFS($GA$2:$GA$1000,"Y",$J$2:$J$1000,J577,$GD$2:$GD$1000,"&lt;"&amp;GD577)+1,""))</f>
        <v/>
      </c>
      <c r="GC577" s="0" t="str">
        <f aca="false">IF(AND(_xlfn.ISFORMULA(C577),_xlfn.ISFORMULA(J577)),"Y","N")</f>
        <v>Y</v>
      </c>
      <c r="GD577" s="0" t="n">
        <f aca="false">ROW()-1</f>
        <v>576</v>
      </c>
    </row>
    <row r="578" customFormat="false" ht="15" hidden="false" customHeight="false" outlineLevel="0" collapsed="false">
      <c r="C578" s="0" t="str">
        <f aca="false">IF($A578="","",IF(AW578="Y",BM578&amp;"",AY578&amp;""))</f>
        <v/>
      </c>
      <c r="D578" s="0" t="str">
        <f aca="false">IF($A578="","",IF(AW578="Y",BN578&amp;"",AZ578&amp;""))</f>
        <v/>
      </c>
      <c r="E578" s="0" t="str">
        <f aca="false">IF($A578="","",IF(AW578="Y",BO578&amp;"",BA578&amp;""))</f>
        <v/>
      </c>
      <c r="F578" s="0" t="str">
        <f aca="false">IF($A578="","",IF(AW578="Y",BP578&amp;"",BB578&amp;""))</f>
        <v/>
      </c>
      <c r="G578" s="0" t="str">
        <f aca="false">IF($A578="","",IF(AW578="Y",BQ578&amp;"",BC578&amp;""))</f>
        <v/>
      </c>
      <c r="H578" s="0" t="str">
        <f aca="false">IF($A578="","",IF(AW578="Y",BR578&amp;"",BD578&amp;""))</f>
        <v/>
      </c>
      <c r="I578" s="0" t="str">
        <f aca="false">IF($A578="","",IF(R578="Y","warm-intro",IF(H578="verified","email",IF(C578&lt;&gt;"","linkedin",CB578&amp;""))))</f>
        <v/>
      </c>
      <c r="J578" s="0" t="str">
        <f aca="false">IF($A578="","",IF(CN578="pass",ROUND(N(EM578)+N(EN578)+N(EO578)+N(EP578)+N(EQ578)+N(ER578),1),0))</f>
        <v/>
      </c>
      <c r="K578" s="0" t="str">
        <f aca="false">IF($A578="","",IF(CN578&lt;&gt;"pass",CA578&amp;"",CA578&amp;"; "&amp;IF(AW578="Y",BZ578&amp;"",BL578&amp;"")&amp;IF(R578="Y","; known to the founder (+15)","")&amp;"."))</f>
        <v/>
      </c>
      <c r="R578" s="5"/>
      <c r="U578" s="5"/>
      <c r="Y578" s="0" t="str">
        <f aca="false">IF(FX578&lt;&gt;"Y","",COUNTIFS($FX$2:$FX$1000,"Y",$J$2:$J$1000,"&gt;"&amp;J578)+COUNTIFS($FX$2:$FX$1000,"Y",$J$2:$J$1000,J578,$GD$2:$GD$1000,"&lt;"&amp;GD578)+1)</f>
        <v/>
      </c>
      <c r="AB578" s="0" t="str">
        <f aca="false">IF($A578="","",IF(AW578="Y",BY578&amp;"",BK578&amp;""))</f>
        <v/>
      </c>
      <c r="AC578" s="0" t="str">
        <f aca="false">IF($A578="","",IF(AW578="Y",BS578&amp;"",BE578&amp;""))</f>
        <v/>
      </c>
      <c r="AD578" s="0" t="str">
        <f aca="false">IF($A578="","",IF(AW578="Y",BT578&amp;"",BF578&amp;""))</f>
        <v/>
      </c>
      <c r="AE578" s="0" t="str">
        <f aca="false">IF($A578="","",IF(AW578="Y",BU578&amp;"",BG578&amp;""))</f>
        <v/>
      </c>
      <c r="AF578" s="0" t="str">
        <f aca="false">IF($A578="","",IF(AW578="Y",BV578&amp;"",BH578&amp;""))</f>
        <v/>
      </c>
      <c r="AG578" s="0" t="str">
        <f aca="false">IF($A578="","",IF(AW578="Y",BW578&amp;"",BI578&amp;""))</f>
        <v/>
      </c>
      <c r="AH578" s="0" t="str">
        <f aca="false">IF($A578="","",IF(AW578="Y",BX578&amp;"",BJ578&amp;""))</f>
        <v/>
      </c>
      <c r="AQ578" s="5"/>
      <c r="AT578" s="0" t="str">
        <f aca="false">IF($A578="","",IF(AND(CN578="pass",AQ578&lt;&gt;"Y",C578&lt;&gt;"",OR(AX578&lt;&gt;"Y",AV578="Y")),"Y","N"))</f>
        <v/>
      </c>
      <c r="AU578" s="0" t="str">
        <f aca="false">IF($A578="","",_xlfn.TEXTJOIN("; ",TRUE(),IF(CN578&lt;&gt;"pass","gated out",""),IF(AQ578="Y","on hold: "&amp;AR578,""),IF(C578="","no contact named on an opened page",""),IF(AND(AX578="Y",AV578&lt;&gt;"Y"),"Tuesday estimate band "&amp;L578&amp;": founder's call","")))</f>
        <v/>
      </c>
      <c r="BC578" s="0" t="str">
        <f aca="false">IF($A578="","",IFERROR(INDEX(Enrichment!$A$2:$GZ$2000,MATCH($A578,INDEX(Enrichment!$A$2:$GZ$2000,0,MATCH("row_id",Enrichment!$A$1:$GZ$1,0)),0),MATCH("work_email",Enrichment!$A$1:$GZ$1,0))&amp;"",""))</f>
        <v/>
      </c>
      <c r="BD578" s="0" t="str">
        <f aca="false">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Q578" s="0" t="str">
        <f aca="false">IF($A578="","",IFERROR(INDEX(Enrichment!$A$2:$GZ$2000,MATCH($A578,INDEX(Enrichment!$A$2:$GZ$2000,0,MATCH("row_id",Enrichment!$A$1:$GZ$1,0)),0),MATCH("backup_work_email",Enrichment!$A$1:$GZ$1,0))&amp;"",""))</f>
        <v/>
      </c>
      <c r="BR578" s="0" t="str">
        <f aca="false">IF($A578="","",IF(BQ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EQ578" s="0" t="str">
        <f aca="false">IF($A578="","",IF(AH578="exact",10,IF(AH578="adjacent",5,0)))</f>
        <v/>
      </c>
      <c r="ER578" s="0" t="str">
        <f aca="false">IF($A578="","",IF(R578="Y",15,0))</f>
        <v/>
      </c>
      <c r="FS578" s="0" t="str">
        <f aca="false">IF($A578="","",IF(ISNUMBER(MATCH(U578,{"queued","contacted","replied","call_booked","call_done","yes_in_principle","materials_sent"},0)),"Y","N"))</f>
        <v/>
      </c>
      <c r="FT578" s="0" t="str">
        <f aca="false">IF($A578="","",IF(OR(T578="Y",U578="do_not_contact",AS578&amp;""&lt;&gt;""),"Y","N"))</f>
        <v/>
      </c>
      <c r="FU578" s="0" t="str">
        <f aca="false">IF($A578="","",IF(AP578&amp;""&lt;&gt;"",AP578&amp;"",$A578))</f>
        <v/>
      </c>
      <c r="FV578" s="0" t="str">
        <f aca="false">IF($A578="","",IF(COUNTIFS($FU$2:$FU$1000,FU578,$FS$2:$FS$1000,"Y")+COUNTIFS($FU$2:$FU$1000,FU578,$FT$2:$FT$1000,"Y")&gt;0,"Y","N"))</f>
        <v/>
      </c>
      <c r="FW578" s="0" t="str">
        <f aca="false">IF($A578="","",IF(AND(U578="new",T578="N",FT578="N",AT578="Y",FV578="N"),"Y","N"))</f>
        <v/>
      </c>
      <c r="FX578" s="0" t="str">
        <f aca="false">IF($A578="","",IF(FW578&lt;&gt;"Y","N",IF(COUNTIFS($FU$2:$FU$1000,FU578,$FW$2:$FW$1000,"Y",$J$2:$J$1000,"&gt;"&amp;J578)+COUNTIFS($FU$2:$FU$1000,FU578,$FW$2:$FW$1000,"Y",$J$2:$J$1000,J578,$GD$2:$GD$1000,"&lt;"&amp;GD578)=0,"Y","N")))</f>
        <v/>
      </c>
      <c r="FY578" s="0" t="str">
        <f aca="false">IF($A578="","",IF(AND(FW578="Y",FX578="Y",Y578&amp;""&lt;&gt;""),IF(Y578&lt;=10,"Y","N"),"N"))</f>
        <v/>
      </c>
      <c r="FZ578" s="0" t="str">
        <f aca="false">IF(FY578="Y",Y578,"")</f>
        <v/>
      </c>
      <c r="GA578" s="0" t="str">
        <f aca="false">IF($A578="","",IF(AND(I578="walk-in",CN578="pass",U578="new",FT578="N",FV578="N",AQ578&lt;&gt;"Y"),"Y","N"))</f>
        <v/>
      </c>
      <c r="GB578" s="0" t="str">
        <f aca="false">IF(GA578&lt;&gt;"Y","",IF(COUNTIFS($GA$2:$GA$1000,"Y",$J$2:$J$1000,"&gt;"&amp;J578)+COUNTIFS($GA$2:$GA$1000,"Y",$J$2:$J$1000,J578,$GD$2:$GD$1000,"&lt;"&amp;GD578)+1&lt;=25,COUNTIFS($GA$2:$GA$1000,"Y",$J$2:$J$1000,"&gt;"&amp;J578)+COUNTIFS($GA$2:$GA$1000,"Y",$J$2:$J$1000,J578,$GD$2:$GD$1000,"&lt;"&amp;GD578)+1,""))</f>
        <v/>
      </c>
      <c r="GC578" s="0" t="str">
        <f aca="false">IF(AND(_xlfn.ISFORMULA(C578),_xlfn.ISFORMULA(J578)),"Y","N")</f>
        <v>Y</v>
      </c>
      <c r="GD578" s="0" t="n">
        <f aca="false">ROW()-1</f>
        <v>577</v>
      </c>
    </row>
    <row r="579" customFormat="false" ht="15" hidden="false" customHeight="false" outlineLevel="0" collapsed="false">
      <c r="C579" s="0" t="str">
        <f aca="false">IF($A579="","",IF(AW579="Y",BM579&amp;"",AY579&amp;""))</f>
        <v/>
      </c>
      <c r="D579" s="0" t="str">
        <f aca="false">IF($A579="","",IF(AW579="Y",BN579&amp;"",AZ579&amp;""))</f>
        <v/>
      </c>
      <c r="E579" s="0" t="str">
        <f aca="false">IF($A579="","",IF(AW579="Y",BO579&amp;"",BA579&amp;""))</f>
        <v/>
      </c>
      <c r="F579" s="0" t="str">
        <f aca="false">IF($A579="","",IF(AW579="Y",BP579&amp;"",BB579&amp;""))</f>
        <v/>
      </c>
      <c r="G579" s="0" t="str">
        <f aca="false">IF($A579="","",IF(AW579="Y",BQ579&amp;"",BC579&amp;""))</f>
        <v/>
      </c>
      <c r="H579" s="0" t="str">
        <f aca="false">IF($A579="","",IF(AW579="Y",BR579&amp;"",BD579&amp;""))</f>
        <v/>
      </c>
      <c r="I579" s="0" t="str">
        <f aca="false">IF($A579="","",IF(R579="Y","warm-intro",IF(H579="verified","email",IF(C579&lt;&gt;"","linkedin",CB579&amp;""))))</f>
        <v/>
      </c>
      <c r="J579" s="0" t="str">
        <f aca="false">IF($A579="","",IF(CN579="pass",ROUND(N(EM579)+N(EN579)+N(EO579)+N(EP579)+N(EQ579)+N(ER579),1),0))</f>
        <v/>
      </c>
      <c r="K579" s="0" t="str">
        <f aca="false">IF($A579="","",IF(CN579&lt;&gt;"pass",CA579&amp;"",CA579&amp;"; "&amp;IF(AW579="Y",BZ579&amp;"",BL579&amp;"")&amp;IF(R579="Y","; known to the founder (+15)","")&amp;"."))</f>
        <v/>
      </c>
      <c r="R579" s="5"/>
      <c r="U579" s="5"/>
      <c r="Y579" s="0" t="str">
        <f aca="false">IF(FX579&lt;&gt;"Y","",COUNTIFS($FX$2:$FX$1000,"Y",$J$2:$J$1000,"&gt;"&amp;J579)+COUNTIFS($FX$2:$FX$1000,"Y",$J$2:$J$1000,J579,$GD$2:$GD$1000,"&lt;"&amp;GD579)+1)</f>
        <v/>
      </c>
      <c r="AB579" s="0" t="str">
        <f aca="false">IF($A579="","",IF(AW579="Y",BY579&amp;"",BK579&amp;""))</f>
        <v/>
      </c>
      <c r="AC579" s="0" t="str">
        <f aca="false">IF($A579="","",IF(AW579="Y",BS579&amp;"",BE579&amp;""))</f>
        <v/>
      </c>
      <c r="AD579" s="0" t="str">
        <f aca="false">IF($A579="","",IF(AW579="Y",BT579&amp;"",BF579&amp;""))</f>
        <v/>
      </c>
      <c r="AE579" s="0" t="str">
        <f aca="false">IF($A579="","",IF(AW579="Y",BU579&amp;"",BG579&amp;""))</f>
        <v/>
      </c>
      <c r="AF579" s="0" t="str">
        <f aca="false">IF($A579="","",IF(AW579="Y",BV579&amp;"",BH579&amp;""))</f>
        <v/>
      </c>
      <c r="AG579" s="0" t="str">
        <f aca="false">IF($A579="","",IF(AW579="Y",BW579&amp;"",BI579&amp;""))</f>
        <v/>
      </c>
      <c r="AH579" s="0" t="str">
        <f aca="false">IF($A579="","",IF(AW579="Y",BX579&amp;"",BJ579&amp;""))</f>
        <v/>
      </c>
      <c r="AQ579" s="5"/>
      <c r="AT579" s="0" t="str">
        <f aca="false">IF($A579="","",IF(AND(CN579="pass",AQ579&lt;&gt;"Y",C579&lt;&gt;"",OR(AX579&lt;&gt;"Y",AV579="Y")),"Y","N"))</f>
        <v/>
      </c>
      <c r="AU579" s="0" t="str">
        <f aca="false">IF($A579="","",_xlfn.TEXTJOIN("; ",TRUE(),IF(CN579&lt;&gt;"pass","gated out",""),IF(AQ579="Y","on hold: "&amp;AR579,""),IF(C579="","no contact named on an opened page",""),IF(AND(AX579="Y",AV579&lt;&gt;"Y"),"Tuesday estimate band "&amp;L579&amp;": founder's call","")))</f>
        <v/>
      </c>
      <c r="BC579" s="0" t="str">
        <f aca="false">IF($A579="","",IFERROR(INDEX(Enrichment!$A$2:$GZ$2000,MATCH($A579,INDEX(Enrichment!$A$2:$GZ$2000,0,MATCH("row_id",Enrichment!$A$1:$GZ$1,0)),0),MATCH("work_email",Enrichment!$A$1:$GZ$1,0))&amp;"",""))</f>
        <v/>
      </c>
      <c r="BD579" s="0" t="str">
        <f aca="false">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Q579" s="0" t="str">
        <f aca="false">IF($A579="","",IFERROR(INDEX(Enrichment!$A$2:$GZ$2000,MATCH($A579,INDEX(Enrichment!$A$2:$GZ$2000,0,MATCH("row_id",Enrichment!$A$1:$GZ$1,0)),0),MATCH("backup_work_email",Enrichment!$A$1:$GZ$1,0))&amp;"",""))</f>
        <v/>
      </c>
      <c r="BR579" s="0" t="str">
        <f aca="false">IF($A579="","",IF(BQ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EQ579" s="0" t="str">
        <f aca="false">IF($A579="","",IF(AH579="exact",10,IF(AH579="adjacent",5,0)))</f>
        <v/>
      </c>
      <c r="ER579" s="0" t="str">
        <f aca="false">IF($A579="","",IF(R579="Y",15,0))</f>
        <v/>
      </c>
      <c r="FS579" s="0" t="str">
        <f aca="false">IF($A579="","",IF(ISNUMBER(MATCH(U579,{"queued","contacted","replied","call_booked","call_done","yes_in_principle","materials_sent"},0)),"Y","N"))</f>
        <v/>
      </c>
      <c r="FT579" s="0" t="str">
        <f aca="false">IF($A579="","",IF(OR(T579="Y",U579="do_not_contact",AS579&amp;""&lt;&gt;""),"Y","N"))</f>
        <v/>
      </c>
      <c r="FU579" s="0" t="str">
        <f aca="false">IF($A579="","",IF(AP579&amp;""&lt;&gt;"",AP579&amp;"",$A579))</f>
        <v/>
      </c>
      <c r="FV579" s="0" t="str">
        <f aca="false">IF($A579="","",IF(COUNTIFS($FU$2:$FU$1000,FU579,$FS$2:$FS$1000,"Y")+COUNTIFS($FU$2:$FU$1000,FU579,$FT$2:$FT$1000,"Y")&gt;0,"Y","N"))</f>
        <v/>
      </c>
      <c r="FW579" s="0" t="str">
        <f aca="false">IF($A579="","",IF(AND(U579="new",T579="N",FT579="N",AT579="Y",FV579="N"),"Y","N"))</f>
        <v/>
      </c>
      <c r="FX579" s="0" t="str">
        <f aca="false">IF($A579="","",IF(FW579&lt;&gt;"Y","N",IF(COUNTIFS($FU$2:$FU$1000,FU579,$FW$2:$FW$1000,"Y",$J$2:$J$1000,"&gt;"&amp;J579)+COUNTIFS($FU$2:$FU$1000,FU579,$FW$2:$FW$1000,"Y",$J$2:$J$1000,J579,$GD$2:$GD$1000,"&lt;"&amp;GD579)=0,"Y","N")))</f>
        <v/>
      </c>
      <c r="FY579" s="0" t="str">
        <f aca="false">IF($A579="","",IF(AND(FW579="Y",FX579="Y",Y579&amp;""&lt;&gt;""),IF(Y579&lt;=10,"Y","N"),"N"))</f>
        <v/>
      </c>
      <c r="FZ579" s="0" t="str">
        <f aca="false">IF(FY579="Y",Y579,"")</f>
        <v/>
      </c>
      <c r="GA579" s="0" t="str">
        <f aca="false">IF($A579="","",IF(AND(I579="walk-in",CN579="pass",U579="new",FT579="N",FV579="N",AQ579&lt;&gt;"Y"),"Y","N"))</f>
        <v/>
      </c>
      <c r="GB579" s="0" t="str">
        <f aca="false">IF(GA579&lt;&gt;"Y","",IF(COUNTIFS($GA$2:$GA$1000,"Y",$J$2:$J$1000,"&gt;"&amp;J579)+COUNTIFS($GA$2:$GA$1000,"Y",$J$2:$J$1000,J579,$GD$2:$GD$1000,"&lt;"&amp;GD579)+1&lt;=25,COUNTIFS($GA$2:$GA$1000,"Y",$J$2:$J$1000,"&gt;"&amp;J579)+COUNTIFS($GA$2:$GA$1000,"Y",$J$2:$J$1000,J579,$GD$2:$GD$1000,"&lt;"&amp;GD579)+1,""))</f>
        <v/>
      </c>
      <c r="GC579" s="0" t="str">
        <f aca="false">IF(AND(_xlfn.ISFORMULA(C579),_xlfn.ISFORMULA(J579)),"Y","N")</f>
        <v>Y</v>
      </c>
      <c r="GD579" s="0" t="n">
        <f aca="false">ROW()-1</f>
        <v>578</v>
      </c>
    </row>
    <row r="580" customFormat="false" ht="15" hidden="false" customHeight="false" outlineLevel="0" collapsed="false">
      <c r="C580" s="0" t="str">
        <f aca="false">IF($A580="","",IF(AW580="Y",BM580&amp;"",AY580&amp;""))</f>
        <v/>
      </c>
      <c r="D580" s="0" t="str">
        <f aca="false">IF($A580="","",IF(AW580="Y",BN580&amp;"",AZ580&amp;""))</f>
        <v/>
      </c>
      <c r="E580" s="0" t="str">
        <f aca="false">IF($A580="","",IF(AW580="Y",BO580&amp;"",BA580&amp;""))</f>
        <v/>
      </c>
      <c r="F580" s="0" t="str">
        <f aca="false">IF($A580="","",IF(AW580="Y",BP580&amp;"",BB580&amp;""))</f>
        <v/>
      </c>
      <c r="G580" s="0" t="str">
        <f aca="false">IF($A580="","",IF(AW580="Y",BQ580&amp;"",BC580&amp;""))</f>
        <v/>
      </c>
      <c r="H580" s="0" t="str">
        <f aca="false">IF($A580="","",IF(AW580="Y",BR580&amp;"",BD580&amp;""))</f>
        <v/>
      </c>
      <c r="I580" s="0" t="str">
        <f aca="false">IF($A580="","",IF(R580="Y","warm-intro",IF(H580="verified","email",IF(C580&lt;&gt;"","linkedin",CB580&amp;""))))</f>
        <v/>
      </c>
      <c r="J580" s="0" t="str">
        <f aca="false">IF($A580="","",IF(CN580="pass",ROUND(N(EM580)+N(EN580)+N(EO580)+N(EP580)+N(EQ580)+N(ER580),1),0))</f>
        <v/>
      </c>
      <c r="K580" s="0" t="str">
        <f aca="false">IF($A580="","",IF(CN580&lt;&gt;"pass",CA580&amp;"",CA580&amp;"; "&amp;IF(AW580="Y",BZ580&amp;"",BL580&amp;"")&amp;IF(R580="Y","; known to the founder (+15)","")&amp;"."))</f>
        <v/>
      </c>
      <c r="R580" s="5"/>
      <c r="U580" s="5"/>
      <c r="Y580" s="0" t="str">
        <f aca="false">IF(FX580&lt;&gt;"Y","",COUNTIFS($FX$2:$FX$1000,"Y",$J$2:$J$1000,"&gt;"&amp;J580)+COUNTIFS($FX$2:$FX$1000,"Y",$J$2:$J$1000,J580,$GD$2:$GD$1000,"&lt;"&amp;GD580)+1)</f>
        <v/>
      </c>
      <c r="AB580" s="0" t="str">
        <f aca="false">IF($A580="","",IF(AW580="Y",BY580&amp;"",BK580&amp;""))</f>
        <v/>
      </c>
      <c r="AC580" s="0" t="str">
        <f aca="false">IF($A580="","",IF(AW580="Y",BS580&amp;"",BE580&amp;""))</f>
        <v/>
      </c>
      <c r="AD580" s="0" t="str">
        <f aca="false">IF($A580="","",IF(AW580="Y",BT580&amp;"",BF580&amp;""))</f>
        <v/>
      </c>
      <c r="AE580" s="0" t="str">
        <f aca="false">IF($A580="","",IF(AW580="Y",BU580&amp;"",BG580&amp;""))</f>
        <v/>
      </c>
      <c r="AF580" s="0" t="str">
        <f aca="false">IF($A580="","",IF(AW580="Y",BV580&amp;"",BH580&amp;""))</f>
        <v/>
      </c>
      <c r="AG580" s="0" t="str">
        <f aca="false">IF($A580="","",IF(AW580="Y",BW580&amp;"",BI580&amp;""))</f>
        <v/>
      </c>
      <c r="AH580" s="0" t="str">
        <f aca="false">IF($A580="","",IF(AW580="Y",BX580&amp;"",BJ580&amp;""))</f>
        <v/>
      </c>
      <c r="AQ580" s="5"/>
      <c r="AT580" s="0" t="str">
        <f aca="false">IF($A580="","",IF(AND(CN580="pass",AQ580&lt;&gt;"Y",C580&lt;&gt;"",OR(AX580&lt;&gt;"Y",AV580="Y")),"Y","N"))</f>
        <v/>
      </c>
      <c r="AU580" s="0" t="str">
        <f aca="false">IF($A580="","",_xlfn.TEXTJOIN("; ",TRUE(),IF(CN580&lt;&gt;"pass","gated out",""),IF(AQ580="Y","on hold: "&amp;AR580,""),IF(C580="","no contact named on an opened page",""),IF(AND(AX580="Y",AV580&lt;&gt;"Y"),"Tuesday estimate band "&amp;L580&amp;": founder's call","")))</f>
        <v/>
      </c>
      <c r="BC580" s="0" t="str">
        <f aca="false">IF($A580="","",IFERROR(INDEX(Enrichment!$A$2:$GZ$2000,MATCH($A580,INDEX(Enrichment!$A$2:$GZ$2000,0,MATCH("row_id",Enrichment!$A$1:$GZ$1,0)),0),MATCH("work_email",Enrichment!$A$1:$GZ$1,0))&amp;"",""))</f>
        <v/>
      </c>
      <c r="BD580" s="0" t="str">
        <f aca="false">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Q580" s="0" t="str">
        <f aca="false">IF($A580="","",IFERROR(INDEX(Enrichment!$A$2:$GZ$2000,MATCH($A580,INDEX(Enrichment!$A$2:$GZ$2000,0,MATCH("row_id",Enrichment!$A$1:$GZ$1,0)),0),MATCH("backup_work_email",Enrichment!$A$1:$GZ$1,0))&amp;"",""))</f>
        <v/>
      </c>
      <c r="BR580" s="0" t="str">
        <f aca="false">IF($A580="","",IF(BQ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EQ580" s="0" t="str">
        <f aca="false">IF($A580="","",IF(AH580="exact",10,IF(AH580="adjacent",5,0)))</f>
        <v/>
      </c>
      <c r="ER580" s="0" t="str">
        <f aca="false">IF($A580="","",IF(R580="Y",15,0))</f>
        <v/>
      </c>
      <c r="FS580" s="0" t="str">
        <f aca="false">IF($A580="","",IF(ISNUMBER(MATCH(U580,{"queued","contacted","replied","call_booked","call_done","yes_in_principle","materials_sent"},0)),"Y","N"))</f>
        <v/>
      </c>
      <c r="FT580" s="0" t="str">
        <f aca="false">IF($A580="","",IF(OR(T580="Y",U580="do_not_contact",AS580&amp;""&lt;&gt;""),"Y","N"))</f>
        <v/>
      </c>
      <c r="FU580" s="0" t="str">
        <f aca="false">IF($A580="","",IF(AP580&amp;""&lt;&gt;"",AP580&amp;"",$A580))</f>
        <v/>
      </c>
      <c r="FV580" s="0" t="str">
        <f aca="false">IF($A580="","",IF(COUNTIFS($FU$2:$FU$1000,FU580,$FS$2:$FS$1000,"Y")+COUNTIFS($FU$2:$FU$1000,FU580,$FT$2:$FT$1000,"Y")&gt;0,"Y","N"))</f>
        <v/>
      </c>
      <c r="FW580" s="0" t="str">
        <f aca="false">IF($A580="","",IF(AND(U580="new",T580="N",FT580="N",AT580="Y",FV580="N"),"Y","N"))</f>
        <v/>
      </c>
      <c r="FX580" s="0" t="str">
        <f aca="false">IF($A580="","",IF(FW580&lt;&gt;"Y","N",IF(COUNTIFS($FU$2:$FU$1000,FU580,$FW$2:$FW$1000,"Y",$J$2:$J$1000,"&gt;"&amp;J580)+COUNTIFS($FU$2:$FU$1000,FU580,$FW$2:$FW$1000,"Y",$J$2:$J$1000,J580,$GD$2:$GD$1000,"&lt;"&amp;GD580)=0,"Y","N")))</f>
        <v/>
      </c>
      <c r="FY580" s="0" t="str">
        <f aca="false">IF($A580="","",IF(AND(FW580="Y",FX580="Y",Y580&amp;""&lt;&gt;""),IF(Y580&lt;=10,"Y","N"),"N"))</f>
        <v/>
      </c>
      <c r="FZ580" s="0" t="str">
        <f aca="false">IF(FY580="Y",Y580,"")</f>
        <v/>
      </c>
      <c r="GA580" s="0" t="str">
        <f aca="false">IF($A580="","",IF(AND(I580="walk-in",CN580="pass",U580="new",FT580="N",FV580="N",AQ580&lt;&gt;"Y"),"Y","N"))</f>
        <v/>
      </c>
      <c r="GB580" s="0" t="str">
        <f aca="false">IF(GA580&lt;&gt;"Y","",IF(COUNTIFS($GA$2:$GA$1000,"Y",$J$2:$J$1000,"&gt;"&amp;J580)+COUNTIFS($GA$2:$GA$1000,"Y",$J$2:$J$1000,J580,$GD$2:$GD$1000,"&lt;"&amp;GD580)+1&lt;=25,COUNTIFS($GA$2:$GA$1000,"Y",$J$2:$J$1000,"&gt;"&amp;J580)+COUNTIFS($GA$2:$GA$1000,"Y",$J$2:$J$1000,J580,$GD$2:$GD$1000,"&lt;"&amp;GD580)+1,""))</f>
        <v/>
      </c>
      <c r="GC580" s="0" t="str">
        <f aca="false">IF(AND(_xlfn.ISFORMULA(C580),_xlfn.ISFORMULA(J580)),"Y","N")</f>
        <v>Y</v>
      </c>
      <c r="GD580" s="0" t="n">
        <f aca="false">ROW()-1</f>
        <v>579</v>
      </c>
    </row>
    <row r="581" customFormat="false" ht="15" hidden="false" customHeight="false" outlineLevel="0" collapsed="false">
      <c r="C581" s="0" t="str">
        <f aca="false">IF($A581="","",IF(AW581="Y",BM581&amp;"",AY581&amp;""))</f>
        <v/>
      </c>
      <c r="D581" s="0" t="str">
        <f aca="false">IF($A581="","",IF(AW581="Y",BN581&amp;"",AZ581&amp;""))</f>
        <v/>
      </c>
      <c r="E581" s="0" t="str">
        <f aca="false">IF($A581="","",IF(AW581="Y",BO581&amp;"",BA581&amp;""))</f>
        <v/>
      </c>
      <c r="F581" s="0" t="str">
        <f aca="false">IF($A581="","",IF(AW581="Y",BP581&amp;"",BB581&amp;""))</f>
        <v/>
      </c>
      <c r="G581" s="0" t="str">
        <f aca="false">IF($A581="","",IF(AW581="Y",BQ581&amp;"",BC581&amp;""))</f>
        <v/>
      </c>
      <c r="H581" s="0" t="str">
        <f aca="false">IF($A581="","",IF(AW581="Y",BR581&amp;"",BD581&amp;""))</f>
        <v/>
      </c>
      <c r="I581" s="0" t="str">
        <f aca="false">IF($A581="","",IF(R581="Y","warm-intro",IF(H581="verified","email",IF(C581&lt;&gt;"","linkedin",CB581&amp;""))))</f>
        <v/>
      </c>
      <c r="J581" s="0" t="str">
        <f aca="false">IF($A581="","",IF(CN581="pass",ROUND(N(EM581)+N(EN581)+N(EO581)+N(EP581)+N(EQ581)+N(ER581),1),0))</f>
        <v/>
      </c>
      <c r="K581" s="0" t="str">
        <f aca="false">IF($A581="","",IF(CN581&lt;&gt;"pass",CA581&amp;"",CA581&amp;"; "&amp;IF(AW581="Y",BZ581&amp;"",BL581&amp;"")&amp;IF(R581="Y","; known to the founder (+15)","")&amp;"."))</f>
        <v/>
      </c>
      <c r="R581" s="5"/>
      <c r="U581" s="5"/>
      <c r="Y581" s="0" t="str">
        <f aca="false">IF(FX581&lt;&gt;"Y","",COUNTIFS($FX$2:$FX$1000,"Y",$J$2:$J$1000,"&gt;"&amp;J581)+COUNTIFS($FX$2:$FX$1000,"Y",$J$2:$J$1000,J581,$GD$2:$GD$1000,"&lt;"&amp;GD581)+1)</f>
        <v/>
      </c>
      <c r="AB581" s="0" t="str">
        <f aca="false">IF($A581="","",IF(AW581="Y",BY581&amp;"",BK581&amp;""))</f>
        <v/>
      </c>
      <c r="AC581" s="0" t="str">
        <f aca="false">IF($A581="","",IF(AW581="Y",BS581&amp;"",BE581&amp;""))</f>
        <v/>
      </c>
      <c r="AD581" s="0" t="str">
        <f aca="false">IF($A581="","",IF(AW581="Y",BT581&amp;"",BF581&amp;""))</f>
        <v/>
      </c>
      <c r="AE581" s="0" t="str">
        <f aca="false">IF($A581="","",IF(AW581="Y",BU581&amp;"",BG581&amp;""))</f>
        <v/>
      </c>
      <c r="AF581" s="0" t="str">
        <f aca="false">IF($A581="","",IF(AW581="Y",BV581&amp;"",BH581&amp;""))</f>
        <v/>
      </c>
      <c r="AG581" s="0" t="str">
        <f aca="false">IF($A581="","",IF(AW581="Y",BW581&amp;"",BI581&amp;""))</f>
        <v/>
      </c>
      <c r="AH581" s="0" t="str">
        <f aca="false">IF($A581="","",IF(AW581="Y",BX581&amp;"",BJ581&amp;""))</f>
        <v/>
      </c>
      <c r="AQ581" s="5"/>
      <c r="AT581" s="0" t="str">
        <f aca="false">IF($A581="","",IF(AND(CN581="pass",AQ581&lt;&gt;"Y",C581&lt;&gt;"",OR(AX581&lt;&gt;"Y",AV581="Y")),"Y","N"))</f>
        <v/>
      </c>
      <c r="AU581" s="0" t="str">
        <f aca="false">IF($A581="","",_xlfn.TEXTJOIN("; ",TRUE(),IF(CN581&lt;&gt;"pass","gated out",""),IF(AQ581="Y","on hold: "&amp;AR581,""),IF(C581="","no contact named on an opened page",""),IF(AND(AX581="Y",AV581&lt;&gt;"Y"),"Tuesday estimate band "&amp;L581&amp;": founder's call","")))</f>
        <v/>
      </c>
      <c r="BC581" s="0" t="str">
        <f aca="false">IF($A581="","",IFERROR(INDEX(Enrichment!$A$2:$GZ$2000,MATCH($A581,INDEX(Enrichment!$A$2:$GZ$2000,0,MATCH("row_id",Enrichment!$A$1:$GZ$1,0)),0),MATCH("work_email",Enrichment!$A$1:$GZ$1,0))&amp;"",""))</f>
        <v/>
      </c>
      <c r="BD581" s="0" t="str">
        <f aca="false">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Q581" s="0" t="str">
        <f aca="false">IF($A581="","",IFERROR(INDEX(Enrichment!$A$2:$GZ$2000,MATCH($A581,INDEX(Enrichment!$A$2:$GZ$2000,0,MATCH("row_id",Enrichment!$A$1:$GZ$1,0)),0),MATCH("backup_work_email",Enrichment!$A$1:$GZ$1,0))&amp;"",""))</f>
        <v/>
      </c>
      <c r="BR581" s="0" t="str">
        <f aca="false">IF($A581="","",IF(BQ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EQ581" s="0" t="str">
        <f aca="false">IF($A581="","",IF(AH581="exact",10,IF(AH581="adjacent",5,0)))</f>
        <v/>
      </c>
      <c r="ER581" s="0" t="str">
        <f aca="false">IF($A581="","",IF(R581="Y",15,0))</f>
        <v/>
      </c>
      <c r="FS581" s="0" t="str">
        <f aca="false">IF($A581="","",IF(ISNUMBER(MATCH(U581,{"queued","contacted","replied","call_booked","call_done","yes_in_principle","materials_sent"},0)),"Y","N"))</f>
        <v/>
      </c>
      <c r="FT581" s="0" t="str">
        <f aca="false">IF($A581="","",IF(OR(T581="Y",U581="do_not_contact",AS581&amp;""&lt;&gt;""),"Y","N"))</f>
        <v/>
      </c>
      <c r="FU581" s="0" t="str">
        <f aca="false">IF($A581="","",IF(AP581&amp;""&lt;&gt;"",AP581&amp;"",$A581))</f>
        <v/>
      </c>
      <c r="FV581" s="0" t="str">
        <f aca="false">IF($A581="","",IF(COUNTIFS($FU$2:$FU$1000,FU581,$FS$2:$FS$1000,"Y")+COUNTIFS($FU$2:$FU$1000,FU581,$FT$2:$FT$1000,"Y")&gt;0,"Y","N"))</f>
        <v/>
      </c>
      <c r="FW581" s="0" t="str">
        <f aca="false">IF($A581="","",IF(AND(U581="new",T581="N",FT581="N",AT581="Y",FV581="N"),"Y","N"))</f>
        <v/>
      </c>
      <c r="FX581" s="0" t="str">
        <f aca="false">IF($A581="","",IF(FW581&lt;&gt;"Y","N",IF(COUNTIFS($FU$2:$FU$1000,FU581,$FW$2:$FW$1000,"Y",$J$2:$J$1000,"&gt;"&amp;J581)+COUNTIFS($FU$2:$FU$1000,FU581,$FW$2:$FW$1000,"Y",$J$2:$J$1000,J581,$GD$2:$GD$1000,"&lt;"&amp;GD581)=0,"Y","N")))</f>
        <v/>
      </c>
      <c r="FY581" s="0" t="str">
        <f aca="false">IF($A581="","",IF(AND(FW581="Y",FX581="Y",Y581&amp;""&lt;&gt;""),IF(Y581&lt;=10,"Y","N"),"N"))</f>
        <v/>
      </c>
      <c r="FZ581" s="0" t="str">
        <f aca="false">IF(FY581="Y",Y581,"")</f>
        <v/>
      </c>
      <c r="GA581" s="0" t="str">
        <f aca="false">IF($A581="","",IF(AND(I581="walk-in",CN581="pass",U581="new",FT581="N",FV581="N",AQ581&lt;&gt;"Y"),"Y","N"))</f>
        <v/>
      </c>
      <c r="GB581" s="0" t="str">
        <f aca="false">IF(GA581&lt;&gt;"Y","",IF(COUNTIFS($GA$2:$GA$1000,"Y",$J$2:$J$1000,"&gt;"&amp;J581)+COUNTIFS($GA$2:$GA$1000,"Y",$J$2:$J$1000,J581,$GD$2:$GD$1000,"&lt;"&amp;GD581)+1&lt;=25,COUNTIFS($GA$2:$GA$1000,"Y",$J$2:$J$1000,"&gt;"&amp;J581)+COUNTIFS($GA$2:$GA$1000,"Y",$J$2:$J$1000,J581,$GD$2:$GD$1000,"&lt;"&amp;GD581)+1,""))</f>
        <v/>
      </c>
      <c r="GC581" s="0" t="str">
        <f aca="false">IF(AND(_xlfn.ISFORMULA(C581),_xlfn.ISFORMULA(J581)),"Y","N")</f>
        <v>Y</v>
      </c>
      <c r="GD581" s="0" t="n">
        <f aca="false">ROW()-1</f>
        <v>580</v>
      </c>
    </row>
    <row r="582" customFormat="false" ht="15" hidden="false" customHeight="false" outlineLevel="0" collapsed="false">
      <c r="C582" s="0" t="str">
        <f aca="false">IF($A582="","",IF(AW582="Y",BM582&amp;"",AY582&amp;""))</f>
        <v/>
      </c>
      <c r="D582" s="0" t="str">
        <f aca="false">IF($A582="","",IF(AW582="Y",BN582&amp;"",AZ582&amp;""))</f>
        <v/>
      </c>
      <c r="E582" s="0" t="str">
        <f aca="false">IF($A582="","",IF(AW582="Y",BO582&amp;"",BA582&amp;""))</f>
        <v/>
      </c>
      <c r="F582" s="0" t="str">
        <f aca="false">IF($A582="","",IF(AW582="Y",BP582&amp;"",BB582&amp;""))</f>
        <v/>
      </c>
      <c r="G582" s="0" t="str">
        <f aca="false">IF($A582="","",IF(AW582="Y",BQ582&amp;"",BC582&amp;""))</f>
        <v/>
      </c>
      <c r="H582" s="0" t="str">
        <f aca="false">IF($A582="","",IF(AW582="Y",BR582&amp;"",BD582&amp;""))</f>
        <v/>
      </c>
      <c r="I582" s="0" t="str">
        <f aca="false">IF($A582="","",IF(R582="Y","warm-intro",IF(H582="verified","email",IF(C582&lt;&gt;"","linkedin",CB582&amp;""))))</f>
        <v/>
      </c>
      <c r="J582" s="0" t="str">
        <f aca="false">IF($A582="","",IF(CN582="pass",ROUND(N(EM582)+N(EN582)+N(EO582)+N(EP582)+N(EQ582)+N(ER582),1),0))</f>
        <v/>
      </c>
      <c r="K582" s="0" t="str">
        <f aca="false">IF($A582="","",IF(CN582&lt;&gt;"pass",CA582&amp;"",CA582&amp;"; "&amp;IF(AW582="Y",BZ582&amp;"",BL582&amp;"")&amp;IF(R582="Y","; known to the founder (+15)","")&amp;"."))</f>
        <v/>
      </c>
      <c r="R582" s="5"/>
      <c r="U582" s="5"/>
      <c r="Y582" s="0" t="str">
        <f aca="false">IF(FX582&lt;&gt;"Y","",COUNTIFS($FX$2:$FX$1000,"Y",$J$2:$J$1000,"&gt;"&amp;J582)+COUNTIFS($FX$2:$FX$1000,"Y",$J$2:$J$1000,J582,$GD$2:$GD$1000,"&lt;"&amp;GD582)+1)</f>
        <v/>
      </c>
      <c r="AB582" s="0" t="str">
        <f aca="false">IF($A582="","",IF(AW582="Y",BY582&amp;"",BK582&amp;""))</f>
        <v/>
      </c>
      <c r="AC582" s="0" t="str">
        <f aca="false">IF($A582="","",IF(AW582="Y",BS582&amp;"",BE582&amp;""))</f>
        <v/>
      </c>
      <c r="AD582" s="0" t="str">
        <f aca="false">IF($A582="","",IF(AW582="Y",BT582&amp;"",BF582&amp;""))</f>
        <v/>
      </c>
      <c r="AE582" s="0" t="str">
        <f aca="false">IF($A582="","",IF(AW582="Y",BU582&amp;"",BG582&amp;""))</f>
        <v/>
      </c>
      <c r="AF582" s="0" t="str">
        <f aca="false">IF($A582="","",IF(AW582="Y",BV582&amp;"",BH582&amp;""))</f>
        <v/>
      </c>
      <c r="AG582" s="0" t="str">
        <f aca="false">IF($A582="","",IF(AW582="Y",BW582&amp;"",BI582&amp;""))</f>
        <v/>
      </c>
      <c r="AH582" s="0" t="str">
        <f aca="false">IF($A582="","",IF(AW582="Y",BX582&amp;"",BJ582&amp;""))</f>
        <v/>
      </c>
      <c r="AQ582" s="5"/>
      <c r="AT582" s="0" t="str">
        <f aca="false">IF($A582="","",IF(AND(CN582="pass",AQ582&lt;&gt;"Y",C582&lt;&gt;"",OR(AX582&lt;&gt;"Y",AV582="Y")),"Y","N"))</f>
        <v/>
      </c>
      <c r="AU582" s="0" t="str">
        <f aca="false">IF($A582="","",_xlfn.TEXTJOIN("; ",TRUE(),IF(CN582&lt;&gt;"pass","gated out",""),IF(AQ582="Y","on hold: "&amp;AR582,""),IF(C582="","no contact named on an opened page",""),IF(AND(AX582="Y",AV582&lt;&gt;"Y"),"Tuesday estimate band "&amp;L582&amp;": founder's call","")))</f>
        <v/>
      </c>
      <c r="BC582" s="0" t="str">
        <f aca="false">IF($A582="","",IFERROR(INDEX(Enrichment!$A$2:$GZ$2000,MATCH($A582,INDEX(Enrichment!$A$2:$GZ$2000,0,MATCH("row_id",Enrichment!$A$1:$GZ$1,0)),0),MATCH("work_email",Enrichment!$A$1:$GZ$1,0))&amp;"",""))</f>
        <v/>
      </c>
      <c r="BD582" s="0" t="str">
        <f aca="false">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Q582" s="0" t="str">
        <f aca="false">IF($A582="","",IFERROR(INDEX(Enrichment!$A$2:$GZ$2000,MATCH($A582,INDEX(Enrichment!$A$2:$GZ$2000,0,MATCH("row_id",Enrichment!$A$1:$GZ$1,0)),0),MATCH("backup_work_email",Enrichment!$A$1:$GZ$1,0))&amp;"",""))</f>
        <v/>
      </c>
      <c r="BR582" s="0" t="str">
        <f aca="false">IF($A582="","",IF(BQ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EQ582" s="0" t="str">
        <f aca="false">IF($A582="","",IF(AH582="exact",10,IF(AH582="adjacent",5,0)))</f>
        <v/>
      </c>
      <c r="ER582" s="0" t="str">
        <f aca="false">IF($A582="","",IF(R582="Y",15,0))</f>
        <v/>
      </c>
      <c r="FS582" s="0" t="str">
        <f aca="false">IF($A582="","",IF(ISNUMBER(MATCH(U582,{"queued","contacted","replied","call_booked","call_done","yes_in_principle","materials_sent"},0)),"Y","N"))</f>
        <v/>
      </c>
      <c r="FT582" s="0" t="str">
        <f aca="false">IF($A582="","",IF(OR(T582="Y",U582="do_not_contact",AS582&amp;""&lt;&gt;""),"Y","N"))</f>
        <v/>
      </c>
      <c r="FU582" s="0" t="str">
        <f aca="false">IF($A582="","",IF(AP582&amp;""&lt;&gt;"",AP582&amp;"",$A582))</f>
        <v/>
      </c>
      <c r="FV582" s="0" t="str">
        <f aca="false">IF($A582="","",IF(COUNTIFS($FU$2:$FU$1000,FU582,$FS$2:$FS$1000,"Y")+COUNTIFS($FU$2:$FU$1000,FU582,$FT$2:$FT$1000,"Y")&gt;0,"Y","N"))</f>
        <v/>
      </c>
      <c r="FW582" s="0" t="str">
        <f aca="false">IF($A582="","",IF(AND(U582="new",T582="N",FT582="N",AT582="Y",FV582="N"),"Y","N"))</f>
        <v/>
      </c>
      <c r="FX582" s="0" t="str">
        <f aca="false">IF($A582="","",IF(FW582&lt;&gt;"Y","N",IF(COUNTIFS($FU$2:$FU$1000,FU582,$FW$2:$FW$1000,"Y",$J$2:$J$1000,"&gt;"&amp;J582)+COUNTIFS($FU$2:$FU$1000,FU582,$FW$2:$FW$1000,"Y",$J$2:$J$1000,J582,$GD$2:$GD$1000,"&lt;"&amp;GD582)=0,"Y","N")))</f>
        <v/>
      </c>
      <c r="FY582" s="0" t="str">
        <f aca="false">IF($A582="","",IF(AND(FW582="Y",FX582="Y",Y582&amp;""&lt;&gt;""),IF(Y582&lt;=10,"Y","N"),"N"))</f>
        <v/>
      </c>
      <c r="FZ582" s="0" t="str">
        <f aca="false">IF(FY582="Y",Y582,"")</f>
        <v/>
      </c>
      <c r="GA582" s="0" t="str">
        <f aca="false">IF($A582="","",IF(AND(I582="walk-in",CN582="pass",U582="new",FT582="N",FV582="N",AQ582&lt;&gt;"Y"),"Y","N"))</f>
        <v/>
      </c>
      <c r="GB582" s="0" t="str">
        <f aca="false">IF(GA582&lt;&gt;"Y","",IF(COUNTIFS($GA$2:$GA$1000,"Y",$J$2:$J$1000,"&gt;"&amp;J582)+COUNTIFS($GA$2:$GA$1000,"Y",$J$2:$J$1000,J582,$GD$2:$GD$1000,"&lt;"&amp;GD582)+1&lt;=25,COUNTIFS($GA$2:$GA$1000,"Y",$J$2:$J$1000,"&gt;"&amp;J582)+COUNTIFS($GA$2:$GA$1000,"Y",$J$2:$J$1000,J582,$GD$2:$GD$1000,"&lt;"&amp;GD582)+1,""))</f>
        <v/>
      </c>
      <c r="GC582" s="0" t="str">
        <f aca="false">IF(AND(_xlfn.ISFORMULA(C582),_xlfn.ISFORMULA(J582)),"Y","N")</f>
        <v>Y</v>
      </c>
      <c r="GD582" s="0" t="n">
        <f aca="false">ROW()-1</f>
        <v>581</v>
      </c>
    </row>
    <row r="583" customFormat="false" ht="15" hidden="false" customHeight="false" outlineLevel="0" collapsed="false">
      <c r="C583" s="0" t="str">
        <f aca="false">IF($A583="","",IF(AW583="Y",BM583&amp;"",AY583&amp;""))</f>
        <v/>
      </c>
      <c r="D583" s="0" t="str">
        <f aca="false">IF($A583="","",IF(AW583="Y",BN583&amp;"",AZ583&amp;""))</f>
        <v/>
      </c>
      <c r="E583" s="0" t="str">
        <f aca="false">IF($A583="","",IF(AW583="Y",BO583&amp;"",BA583&amp;""))</f>
        <v/>
      </c>
      <c r="F583" s="0" t="str">
        <f aca="false">IF($A583="","",IF(AW583="Y",BP583&amp;"",BB583&amp;""))</f>
        <v/>
      </c>
      <c r="G583" s="0" t="str">
        <f aca="false">IF($A583="","",IF(AW583="Y",BQ583&amp;"",BC583&amp;""))</f>
        <v/>
      </c>
      <c r="H583" s="0" t="str">
        <f aca="false">IF($A583="","",IF(AW583="Y",BR583&amp;"",BD583&amp;""))</f>
        <v/>
      </c>
      <c r="I583" s="0" t="str">
        <f aca="false">IF($A583="","",IF(R583="Y","warm-intro",IF(H583="verified","email",IF(C583&lt;&gt;"","linkedin",CB583&amp;""))))</f>
        <v/>
      </c>
      <c r="J583" s="0" t="str">
        <f aca="false">IF($A583="","",IF(CN583="pass",ROUND(N(EM583)+N(EN583)+N(EO583)+N(EP583)+N(EQ583)+N(ER583),1),0))</f>
        <v/>
      </c>
      <c r="K583" s="0" t="str">
        <f aca="false">IF($A583="","",IF(CN583&lt;&gt;"pass",CA583&amp;"",CA583&amp;"; "&amp;IF(AW583="Y",BZ583&amp;"",BL583&amp;"")&amp;IF(R583="Y","; known to the founder (+15)","")&amp;"."))</f>
        <v/>
      </c>
      <c r="R583" s="5"/>
      <c r="U583" s="5"/>
      <c r="Y583" s="0" t="str">
        <f aca="false">IF(FX583&lt;&gt;"Y","",COUNTIFS($FX$2:$FX$1000,"Y",$J$2:$J$1000,"&gt;"&amp;J583)+COUNTIFS($FX$2:$FX$1000,"Y",$J$2:$J$1000,J583,$GD$2:$GD$1000,"&lt;"&amp;GD583)+1)</f>
        <v/>
      </c>
      <c r="AB583" s="0" t="str">
        <f aca="false">IF($A583="","",IF(AW583="Y",BY583&amp;"",BK583&amp;""))</f>
        <v/>
      </c>
      <c r="AC583" s="0" t="str">
        <f aca="false">IF($A583="","",IF(AW583="Y",BS583&amp;"",BE583&amp;""))</f>
        <v/>
      </c>
      <c r="AD583" s="0" t="str">
        <f aca="false">IF($A583="","",IF(AW583="Y",BT583&amp;"",BF583&amp;""))</f>
        <v/>
      </c>
      <c r="AE583" s="0" t="str">
        <f aca="false">IF($A583="","",IF(AW583="Y",BU583&amp;"",BG583&amp;""))</f>
        <v/>
      </c>
      <c r="AF583" s="0" t="str">
        <f aca="false">IF($A583="","",IF(AW583="Y",BV583&amp;"",BH583&amp;""))</f>
        <v/>
      </c>
      <c r="AG583" s="0" t="str">
        <f aca="false">IF($A583="","",IF(AW583="Y",BW583&amp;"",BI583&amp;""))</f>
        <v/>
      </c>
      <c r="AH583" s="0" t="str">
        <f aca="false">IF($A583="","",IF(AW583="Y",BX583&amp;"",BJ583&amp;""))</f>
        <v/>
      </c>
      <c r="AQ583" s="5"/>
      <c r="AT583" s="0" t="str">
        <f aca="false">IF($A583="","",IF(AND(CN583="pass",AQ583&lt;&gt;"Y",C583&lt;&gt;"",OR(AX583&lt;&gt;"Y",AV583="Y")),"Y","N"))</f>
        <v/>
      </c>
      <c r="AU583" s="0" t="str">
        <f aca="false">IF($A583="","",_xlfn.TEXTJOIN("; ",TRUE(),IF(CN583&lt;&gt;"pass","gated out",""),IF(AQ583="Y","on hold: "&amp;AR583,""),IF(C583="","no contact named on an opened page",""),IF(AND(AX583="Y",AV583&lt;&gt;"Y"),"Tuesday estimate band "&amp;L583&amp;": founder's call","")))</f>
        <v/>
      </c>
      <c r="BC583" s="0" t="str">
        <f aca="false">IF($A583="","",IFERROR(INDEX(Enrichment!$A$2:$GZ$2000,MATCH($A583,INDEX(Enrichment!$A$2:$GZ$2000,0,MATCH("row_id",Enrichment!$A$1:$GZ$1,0)),0),MATCH("work_email",Enrichment!$A$1:$GZ$1,0))&amp;"",""))</f>
        <v/>
      </c>
      <c r="BD583" s="0" t="str">
        <f aca="false">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Q583" s="0" t="str">
        <f aca="false">IF($A583="","",IFERROR(INDEX(Enrichment!$A$2:$GZ$2000,MATCH($A583,INDEX(Enrichment!$A$2:$GZ$2000,0,MATCH("row_id",Enrichment!$A$1:$GZ$1,0)),0),MATCH("backup_work_email",Enrichment!$A$1:$GZ$1,0))&amp;"",""))</f>
        <v/>
      </c>
      <c r="BR583" s="0" t="str">
        <f aca="false">IF($A583="","",IF(BQ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EQ583" s="0" t="str">
        <f aca="false">IF($A583="","",IF(AH583="exact",10,IF(AH583="adjacent",5,0)))</f>
        <v/>
      </c>
      <c r="ER583" s="0" t="str">
        <f aca="false">IF($A583="","",IF(R583="Y",15,0))</f>
        <v/>
      </c>
      <c r="FS583" s="0" t="str">
        <f aca="false">IF($A583="","",IF(ISNUMBER(MATCH(U583,{"queued","contacted","replied","call_booked","call_done","yes_in_principle","materials_sent"},0)),"Y","N"))</f>
        <v/>
      </c>
      <c r="FT583" s="0" t="str">
        <f aca="false">IF($A583="","",IF(OR(T583="Y",U583="do_not_contact",AS583&amp;""&lt;&gt;""),"Y","N"))</f>
        <v/>
      </c>
      <c r="FU583" s="0" t="str">
        <f aca="false">IF($A583="","",IF(AP583&amp;""&lt;&gt;"",AP583&amp;"",$A583))</f>
        <v/>
      </c>
      <c r="FV583" s="0" t="str">
        <f aca="false">IF($A583="","",IF(COUNTIFS($FU$2:$FU$1000,FU583,$FS$2:$FS$1000,"Y")+COUNTIFS($FU$2:$FU$1000,FU583,$FT$2:$FT$1000,"Y")&gt;0,"Y","N"))</f>
        <v/>
      </c>
      <c r="FW583" s="0" t="str">
        <f aca="false">IF($A583="","",IF(AND(U583="new",T583="N",FT583="N",AT583="Y",FV583="N"),"Y","N"))</f>
        <v/>
      </c>
      <c r="FX583" s="0" t="str">
        <f aca="false">IF($A583="","",IF(FW583&lt;&gt;"Y","N",IF(COUNTIFS($FU$2:$FU$1000,FU583,$FW$2:$FW$1000,"Y",$J$2:$J$1000,"&gt;"&amp;J583)+COUNTIFS($FU$2:$FU$1000,FU583,$FW$2:$FW$1000,"Y",$J$2:$J$1000,J583,$GD$2:$GD$1000,"&lt;"&amp;GD583)=0,"Y","N")))</f>
        <v/>
      </c>
      <c r="FY583" s="0" t="str">
        <f aca="false">IF($A583="","",IF(AND(FW583="Y",FX583="Y",Y583&amp;""&lt;&gt;""),IF(Y583&lt;=10,"Y","N"),"N"))</f>
        <v/>
      </c>
      <c r="FZ583" s="0" t="str">
        <f aca="false">IF(FY583="Y",Y583,"")</f>
        <v/>
      </c>
      <c r="GA583" s="0" t="str">
        <f aca="false">IF($A583="","",IF(AND(I583="walk-in",CN583="pass",U583="new",FT583="N",FV583="N",AQ583&lt;&gt;"Y"),"Y","N"))</f>
        <v/>
      </c>
      <c r="GB583" s="0" t="str">
        <f aca="false">IF(GA583&lt;&gt;"Y","",IF(COUNTIFS($GA$2:$GA$1000,"Y",$J$2:$J$1000,"&gt;"&amp;J583)+COUNTIFS($GA$2:$GA$1000,"Y",$J$2:$J$1000,J583,$GD$2:$GD$1000,"&lt;"&amp;GD583)+1&lt;=25,COUNTIFS($GA$2:$GA$1000,"Y",$J$2:$J$1000,"&gt;"&amp;J583)+COUNTIFS($GA$2:$GA$1000,"Y",$J$2:$J$1000,J583,$GD$2:$GD$1000,"&lt;"&amp;GD583)+1,""))</f>
        <v/>
      </c>
      <c r="GC583" s="0" t="str">
        <f aca="false">IF(AND(_xlfn.ISFORMULA(C583),_xlfn.ISFORMULA(J583)),"Y","N")</f>
        <v>Y</v>
      </c>
      <c r="GD583" s="0" t="n">
        <f aca="false">ROW()-1</f>
        <v>582</v>
      </c>
    </row>
    <row r="584" customFormat="false" ht="15" hidden="false" customHeight="false" outlineLevel="0" collapsed="false">
      <c r="C584" s="0" t="str">
        <f aca="false">IF($A584="","",IF(AW584="Y",BM584&amp;"",AY584&amp;""))</f>
        <v/>
      </c>
      <c r="D584" s="0" t="str">
        <f aca="false">IF($A584="","",IF(AW584="Y",BN584&amp;"",AZ584&amp;""))</f>
        <v/>
      </c>
      <c r="E584" s="0" t="str">
        <f aca="false">IF($A584="","",IF(AW584="Y",BO584&amp;"",BA584&amp;""))</f>
        <v/>
      </c>
      <c r="F584" s="0" t="str">
        <f aca="false">IF($A584="","",IF(AW584="Y",BP584&amp;"",BB584&amp;""))</f>
        <v/>
      </c>
      <c r="G584" s="0" t="str">
        <f aca="false">IF($A584="","",IF(AW584="Y",BQ584&amp;"",BC584&amp;""))</f>
        <v/>
      </c>
      <c r="H584" s="0" t="str">
        <f aca="false">IF($A584="","",IF(AW584="Y",BR584&amp;"",BD584&amp;""))</f>
        <v/>
      </c>
      <c r="I584" s="0" t="str">
        <f aca="false">IF($A584="","",IF(R584="Y","warm-intro",IF(H584="verified","email",IF(C584&lt;&gt;"","linkedin",CB584&amp;""))))</f>
        <v/>
      </c>
      <c r="J584" s="0" t="str">
        <f aca="false">IF($A584="","",IF(CN584="pass",ROUND(N(EM584)+N(EN584)+N(EO584)+N(EP584)+N(EQ584)+N(ER584),1),0))</f>
        <v/>
      </c>
      <c r="K584" s="0" t="str">
        <f aca="false">IF($A584="","",IF(CN584&lt;&gt;"pass",CA584&amp;"",CA584&amp;"; "&amp;IF(AW584="Y",BZ584&amp;"",BL584&amp;"")&amp;IF(R584="Y","; known to the founder (+15)","")&amp;"."))</f>
        <v/>
      </c>
      <c r="R584" s="5"/>
      <c r="U584" s="5"/>
      <c r="Y584" s="0" t="str">
        <f aca="false">IF(FX584&lt;&gt;"Y","",COUNTIFS($FX$2:$FX$1000,"Y",$J$2:$J$1000,"&gt;"&amp;J584)+COUNTIFS($FX$2:$FX$1000,"Y",$J$2:$J$1000,J584,$GD$2:$GD$1000,"&lt;"&amp;GD584)+1)</f>
        <v/>
      </c>
      <c r="AB584" s="0" t="str">
        <f aca="false">IF($A584="","",IF(AW584="Y",BY584&amp;"",BK584&amp;""))</f>
        <v/>
      </c>
      <c r="AC584" s="0" t="str">
        <f aca="false">IF($A584="","",IF(AW584="Y",BS584&amp;"",BE584&amp;""))</f>
        <v/>
      </c>
      <c r="AD584" s="0" t="str">
        <f aca="false">IF($A584="","",IF(AW584="Y",BT584&amp;"",BF584&amp;""))</f>
        <v/>
      </c>
      <c r="AE584" s="0" t="str">
        <f aca="false">IF($A584="","",IF(AW584="Y",BU584&amp;"",BG584&amp;""))</f>
        <v/>
      </c>
      <c r="AF584" s="0" t="str">
        <f aca="false">IF($A584="","",IF(AW584="Y",BV584&amp;"",BH584&amp;""))</f>
        <v/>
      </c>
      <c r="AG584" s="0" t="str">
        <f aca="false">IF($A584="","",IF(AW584="Y",BW584&amp;"",BI584&amp;""))</f>
        <v/>
      </c>
      <c r="AH584" s="0" t="str">
        <f aca="false">IF($A584="","",IF(AW584="Y",BX584&amp;"",BJ584&amp;""))</f>
        <v/>
      </c>
      <c r="AQ584" s="5"/>
      <c r="AT584" s="0" t="str">
        <f aca="false">IF($A584="","",IF(AND(CN584="pass",AQ584&lt;&gt;"Y",C584&lt;&gt;"",OR(AX584&lt;&gt;"Y",AV584="Y")),"Y","N"))</f>
        <v/>
      </c>
      <c r="AU584" s="0" t="str">
        <f aca="false">IF($A584="","",_xlfn.TEXTJOIN("; ",TRUE(),IF(CN584&lt;&gt;"pass","gated out",""),IF(AQ584="Y","on hold: "&amp;AR584,""),IF(C584="","no contact named on an opened page",""),IF(AND(AX584="Y",AV584&lt;&gt;"Y"),"Tuesday estimate band "&amp;L584&amp;": founder's call","")))</f>
        <v/>
      </c>
      <c r="BC584" s="0" t="str">
        <f aca="false">IF($A584="","",IFERROR(INDEX(Enrichment!$A$2:$GZ$2000,MATCH($A584,INDEX(Enrichment!$A$2:$GZ$2000,0,MATCH("row_id",Enrichment!$A$1:$GZ$1,0)),0),MATCH("work_email",Enrichment!$A$1:$GZ$1,0))&amp;"",""))</f>
        <v/>
      </c>
      <c r="BD584" s="0" t="str">
        <f aca="false">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Q584" s="0" t="str">
        <f aca="false">IF($A584="","",IFERROR(INDEX(Enrichment!$A$2:$GZ$2000,MATCH($A584,INDEX(Enrichment!$A$2:$GZ$2000,0,MATCH("row_id",Enrichment!$A$1:$GZ$1,0)),0),MATCH("backup_work_email",Enrichment!$A$1:$GZ$1,0))&amp;"",""))</f>
        <v/>
      </c>
      <c r="BR584" s="0" t="str">
        <f aca="false">IF($A584="","",IF(BQ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EQ584" s="0" t="str">
        <f aca="false">IF($A584="","",IF(AH584="exact",10,IF(AH584="adjacent",5,0)))</f>
        <v/>
      </c>
      <c r="ER584" s="0" t="str">
        <f aca="false">IF($A584="","",IF(R584="Y",15,0))</f>
        <v/>
      </c>
      <c r="FS584" s="0" t="str">
        <f aca="false">IF($A584="","",IF(ISNUMBER(MATCH(U584,{"queued","contacted","replied","call_booked","call_done","yes_in_principle","materials_sent"},0)),"Y","N"))</f>
        <v/>
      </c>
      <c r="FT584" s="0" t="str">
        <f aca="false">IF($A584="","",IF(OR(T584="Y",U584="do_not_contact",AS584&amp;""&lt;&gt;""),"Y","N"))</f>
        <v/>
      </c>
      <c r="FU584" s="0" t="str">
        <f aca="false">IF($A584="","",IF(AP584&amp;""&lt;&gt;"",AP584&amp;"",$A584))</f>
        <v/>
      </c>
      <c r="FV584" s="0" t="str">
        <f aca="false">IF($A584="","",IF(COUNTIFS($FU$2:$FU$1000,FU584,$FS$2:$FS$1000,"Y")+COUNTIFS($FU$2:$FU$1000,FU584,$FT$2:$FT$1000,"Y")&gt;0,"Y","N"))</f>
        <v/>
      </c>
      <c r="FW584" s="0" t="str">
        <f aca="false">IF($A584="","",IF(AND(U584="new",T584="N",FT584="N",AT584="Y",FV584="N"),"Y","N"))</f>
        <v/>
      </c>
      <c r="FX584" s="0" t="str">
        <f aca="false">IF($A584="","",IF(FW584&lt;&gt;"Y","N",IF(COUNTIFS($FU$2:$FU$1000,FU584,$FW$2:$FW$1000,"Y",$J$2:$J$1000,"&gt;"&amp;J584)+COUNTIFS($FU$2:$FU$1000,FU584,$FW$2:$FW$1000,"Y",$J$2:$J$1000,J584,$GD$2:$GD$1000,"&lt;"&amp;GD584)=0,"Y","N")))</f>
        <v/>
      </c>
      <c r="FY584" s="0" t="str">
        <f aca="false">IF($A584="","",IF(AND(FW584="Y",FX584="Y",Y584&amp;""&lt;&gt;""),IF(Y584&lt;=10,"Y","N"),"N"))</f>
        <v/>
      </c>
      <c r="FZ584" s="0" t="str">
        <f aca="false">IF(FY584="Y",Y584,"")</f>
        <v/>
      </c>
      <c r="GA584" s="0" t="str">
        <f aca="false">IF($A584="","",IF(AND(I584="walk-in",CN584="pass",U584="new",FT584="N",FV584="N",AQ584&lt;&gt;"Y"),"Y","N"))</f>
        <v/>
      </c>
      <c r="GB584" s="0" t="str">
        <f aca="false">IF(GA584&lt;&gt;"Y","",IF(COUNTIFS($GA$2:$GA$1000,"Y",$J$2:$J$1000,"&gt;"&amp;J584)+COUNTIFS($GA$2:$GA$1000,"Y",$J$2:$J$1000,J584,$GD$2:$GD$1000,"&lt;"&amp;GD584)+1&lt;=25,COUNTIFS($GA$2:$GA$1000,"Y",$J$2:$J$1000,"&gt;"&amp;J584)+COUNTIFS($GA$2:$GA$1000,"Y",$J$2:$J$1000,J584,$GD$2:$GD$1000,"&lt;"&amp;GD584)+1,""))</f>
        <v/>
      </c>
      <c r="GC584" s="0" t="str">
        <f aca="false">IF(AND(_xlfn.ISFORMULA(C584),_xlfn.ISFORMULA(J584)),"Y","N")</f>
        <v>Y</v>
      </c>
      <c r="GD584" s="0" t="n">
        <f aca="false">ROW()-1</f>
        <v>583</v>
      </c>
    </row>
    <row r="585" customFormat="false" ht="15" hidden="false" customHeight="false" outlineLevel="0" collapsed="false">
      <c r="C585" s="0" t="str">
        <f aca="false">IF($A585="","",IF(AW585="Y",BM585&amp;"",AY585&amp;""))</f>
        <v/>
      </c>
      <c r="D585" s="0" t="str">
        <f aca="false">IF($A585="","",IF(AW585="Y",BN585&amp;"",AZ585&amp;""))</f>
        <v/>
      </c>
      <c r="E585" s="0" t="str">
        <f aca="false">IF($A585="","",IF(AW585="Y",BO585&amp;"",BA585&amp;""))</f>
        <v/>
      </c>
      <c r="F585" s="0" t="str">
        <f aca="false">IF($A585="","",IF(AW585="Y",BP585&amp;"",BB585&amp;""))</f>
        <v/>
      </c>
      <c r="G585" s="0" t="str">
        <f aca="false">IF($A585="","",IF(AW585="Y",BQ585&amp;"",BC585&amp;""))</f>
        <v/>
      </c>
      <c r="H585" s="0" t="str">
        <f aca="false">IF($A585="","",IF(AW585="Y",BR585&amp;"",BD585&amp;""))</f>
        <v/>
      </c>
      <c r="I585" s="0" t="str">
        <f aca="false">IF($A585="","",IF(R585="Y","warm-intro",IF(H585="verified","email",IF(C585&lt;&gt;"","linkedin",CB585&amp;""))))</f>
        <v/>
      </c>
      <c r="J585" s="0" t="str">
        <f aca="false">IF($A585="","",IF(CN585="pass",ROUND(N(EM585)+N(EN585)+N(EO585)+N(EP585)+N(EQ585)+N(ER585),1),0))</f>
        <v/>
      </c>
      <c r="K585" s="0" t="str">
        <f aca="false">IF($A585="","",IF(CN585&lt;&gt;"pass",CA585&amp;"",CA585&amp;"; "&amp;IF(AW585="Y",BZ585&amp;"",BL585&amp;"")&amp;IF(R585="Y","; known to the founder (+15)","")&amp;"."))</f>
        <v/>
      </c>
      <c r="R585" s="5"/>
      <c r="U585" s="5"/>
      <c r="Y585" s="0" t="str">
        <f aca="false">IF(FX585&lt;&gt;"Y","",COUNTIFS($FX$2:$FX$1000,"Y",$J$2:$J$1000,"&gt;"&amp;J585)+COUNTIFS($FX$2:$FX$1000,"Y",$J$2:$J$1000,J585,$GD$2:$GD$1000,"&lt;"&amp;GD585)+1)</f>
        <v/>
      </c>
      <c r="AB585" s="0" t="str">
        <f aca="false">IF($A585="","",IF(AW585="Y",BY585&amp;"",BK585&amp;""))</f>
        <v/>
      </c>
      <c r="AC585" s="0" t="str">
        <f aca="false">IF($A585="","",IF(AW585="Y",BS585&amp;"",BE585&amp;""))</f>
        <v/>
      </c>
      <c r="AD585" s="0" t="str">
        <f aca="false">IF($A585="","",IF(AW585="Y",BT585&amp;"",BF585&amp;""))</f>
        <v/>
      </c>
      <c r="AE585" s="0" t="str">
        <f aca="false">IF($A585="","",IF(AW585="Y",BU585&amp;"",BG585&amp;""))</f>
        <v/>
      </c>
      <c r="AF585" s="0" t="str">
        <f aca="false">IF($A585="","",IF(AW585="Y",BV585&amp;"",BH585&amp;""))</f>
        <v/>
      </c>
      <c r="AG585" s="0" t="str">
        <f aca="false">IF($A585="","",IF(AW585="Y",BW585&amp;"",BI585&amp;""))</f>
        <v/>
      </c>
      <c r="AH585" s="0" t="str">
        <f aca="false">IF($A585="","",IF(AW585="Y",BX585&amp;"",BJ585&amp;""))</f>
        <v/>
      </c>
      <c r="AQ585" s="5"/>
      <c r="AT585" s="0" t="str">
        <f aca="false">IF($A585="","",IF(AND(CN585="pass",AQ585&lt;&gt;"Y",C585&lt;&gt;"",OR(AX585&lt;&gt;"Y",AV585="Y")),"Y","N"))</f>
        <v/>
      </c>
      <c r="AU585" s="0" t="str">
        <f aca="false">IF($A585="","",_xlfn.TEXTJOIN("; ",TRUE(),IF(CN585&lt;&gt;"pass","gated out",""),IF(AQ585="Y","on hold: "&amp;AR585,""),IF(C585="","no contact named on an opened page",""),IF(AND(AX585="Y",AV585&lt;&gt;"Y"),"Tuesday estimate band "&amp;L585&amp;": founder's call","")))</f>
        <v/>
      </c>
      <c r="BC585" s="0" t="str">
        <f aca="false">IF($A585="","",IFERROR(INDEX(Enrichment!$A$2:$GZ$2000,MATCH($A585,INDEX(Enrichment!$A$2:$GZ$2000,0,MATCH("row_id",Enrichment!$A$1:$GZ$1,0)),0),MATCH("work_email",Enrichment!$A$1:$GZ$1,0))&amp;"",""))</f>
        <v/>
      </c>
      <c r="BD585" s="0" t="str">
        <f aca="false">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Q585" s="0" t="str">
        <f aca="false">IF($A585="","",IFERROR(INDEX(Enrichment!$A$2:$GZ$2000,MATCH($A585,INDEX(Enrichment!$A$2:$GZ$2000,0,MATCH("row_id",Enrichment!$A$1:$GZ$1,0)),0),MATCH("backup_work_email",Enrichment!$A$1:$GZ$1,0))&amp;"",""))</f>
        <v/>
      </c>
      <c r="BR585" s="0" t="str">
        <f aca="false">IF($A585="","",IF(BQ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EQ585" s="0" t="str">
        <f aca="false">IF($A585="","",IF(AH585="exact",10,IF(AH585="adjacent",5,0)))</f>
        <v/>
      </c>
      <c r="ER585" s="0" t="str">
        <f aca="false">IF($A585="","",IF(R585="Y",15,0))</f>
        <v/>
      </c>
      <c r="FS585" s="0" t="str">
        <f aca="false">IF($A585="","",IF(ISNUMBER(MATCH(U585,{"queued","contacted","replied","call_booked","call_done","yes_in_principle","materials_sent"},0)),"Y","N"))</f>
        <v/>
      </c>
      <c r="FT585" s="0" t="str">
        <f aca="false">IF($A585="","",IF(OR(T585="Y",U585="do_not_contact",AS585&amp;""&lt;&gt;""),"Y","N"))</f>
        <v/>
      </c>
      <c r="FU585" s="0" t="str">
        <f aca="false">IF($A585="","",IF(AP585&amp;""&lt;&gt;"",AP585&amp;"",$A585))</f>
        <v/>
      </c>
      <c r="FV585" s="0" t="str">
        <f aca="false">IF($A585="","",IF(COUNTIFS($FU$2:$FU$1000,FU585,$FS$2:$FS$1000,"Y")+COUNTIFS($FU$2:$FU$1000,FU585,$FT$2:$FT$1000,"Y")&gt;0,"Y","N"))</f>
        <v/>
      </c>
      <c r="FW585" s="0" t="str">
        <f aca="false">IF($A585="","",IF(AND(U585="new",T585="N",FT585="N",AT585="Y",FV585="N"),"Y","N"))</f>
        <v/>
      </c>
      <c r="FX585" s="0" t="str">
        <f aca="false">IF($A585="","",IF(FW585&lt;&gt;"Y","N",IF(COUNTIFS($FU$2:$FU$1000,FU585,$FW$2:$FW$1000,"Y",$J$2:$J$1000,"&gt;"&amp;J585)+COUNTIFS($FU$2:$FU$1000,FU585,$FW$2:$FW$1000,"Y",$J$2:$J$1000,J585,$GD$2:$GD$1000,"&lt;"&amp;GD585)=0,"Y","N")))</f>
        <v/>
      </c>
      <c r="FY585" s="0" t="str">
        <f aca="false">IF($A585="","",IF(AND(FW585="Y",FX585="Y",Y585&amp;""&lt;&gt;""),IF(Y585&lt;=10,"Y","N"),"N"))</f>
        <v/>
      </c>
      <c r="FZ585" s="0" t="str">
        <f aca="false">IF(FY585="Y",Y585,"")</f>
        <v/>
      </c>
      <c r="GA585" s="0" t="str">
        <f aca="false">IF($A585="","",IF(AND(I585="walk-in",CN585="pass",U585="new",FT585="N",FV585="N",AQ585&lt;&gt;"Y"),"Y","N"))</f>
        <v/>
      </c>
      <c r="GB585" s="0" t="str">
        <f aca="false">IF(GA585&lt;&gt;"Y","",IF(COUNTIFS($GA$2:$GA$1000,"Y",$J$2:$J$1000,"&gt;"&amp;J585)+COUNTIFS($GA$2:$GA$1000,"Y",$J$2:$J$1000,J585,$GD$2:$GD$1000,"&lt;"&amp;GD585)+1&lt;=25,COUNTIFS($GA$2:$GA$1000,"Y",$J$2:$J$1000,"&gt;"&amp;J585)+COUNTIFS($GA$2:$GA$1000,"Y",$J$2:$J$1000,J585,$GD$2:$GD$1000,"&lt;"&amp;GD585)+1,""))</f>
        <v/>
      </c>
      <c r="GC585" s="0" t="str">
        <f aca="false">IF(AND(_xlfn.ISFORMULA(C585),_xlfn.ISFORMULA(J585)),"Y","N")</f>
        <v>Y</v>
      </c>
      <c r="GD585" s="0" t="n">
        <f aca="false">ROW()-1</f>
        <v>584</v>
      </c>
    </row>
    <row r="586" customFormat="false" ht="15" hidden="false" customHeight="false" outlineLevel="0" collapsed="false">
      <c r="C586" s="0" t="str">
        <f aca="false">IF($A586="","",IF(AW586="Y",BM586&amp;"",AY586&amp;""))</f>
        <v/>
      </c>
      <c r="D586" s="0" t="str">
        <f aca="false">IF($A586="","",IF(AW586="Y",BN586&amp;"",AZ586&amp;""))</f>
        <v/>
      </c>
      <c r="E586" s="0" t="str">
        <f aca="false">IF($A586="","",IF(AW586="Y",BO586&amp;"",BA586&amp;""))</f>
        <v/>
      </c>
      <c r="F586" s="0" t="str">
        <f aca="false">IF($A586="","",IF(AW586="Y",BP586&amp;"",BB586&amp;""))</f>
        <v/>
      </c>
      <c r="G586" s="0" t="str">
        <f aca="false">IF($A586="","",IF(AW586="Y",BQ586&amp;"",BC586&amp;""))</f>
        <v/>
      </c>
      <c r="H586" s="0" t="str">
        <f aca="false">IF($A586="","",IF(AW586="Y",BR586&amp;"",BD586&amp;""))</f>
        <v/>
      </c>
      <c r="I586" s="0" t="str">
        <f aca="false">IF($A586="","",IF(R586="Y","warm-intro",IF(H586="verified","email",IF(C586&lt;&gt;"","linkedin",CB586&amp;""))))</f>
        <v/>
      </c>
      <c r="J586" s="0" t="str">
        <f aca="false">IF($A586="","",IF(CN586="pass",ROUND(N(EM586)+N(EN586)+N(EO586)+N(EP586)+N(EQ586)+N(ER586),1),0))</f>
        <v/>
      </c>
      <c r="K586" s="0" t="str">
        <f aca="false">IF($A586="","",IF(CN586&lt;&gt;"pass",CA586&amp;"",CA586&amp;"; "&amp;IF(AW586="Y",BZ586&amp;"",BL586&amp;"")&amp;IF(R586="Y","; known to the founder (+15)","")&amp;"."))</f>
        <v/>
      </c>
      <c r="R586" s="5"/>
      <c r="U586" s="5"/>
      <c r="Y586" s="0" t="str">
        <f aca="false">IF(FX586&lt;&gt;"Y","",COUNTIFS($FX$2:$FX$1000,"Y",$J$2:$J$1000,"&gt;"&amp;J586)+COUNTIFS($FX$2:$FX$1000,"Y",$J$2:$J$1000,J586,$GD$2:$GD$1000,"&lt;"&amp;GD586)+1)</f>
        <v/>
      </c>
      <c r="AB586" s="0" t="str">
        <f aca="false">IF($A586="","",IF(AW586="Y",BY586&amp;"",BK586&amp;""))</f>
        <v/>
      </c>
      <c r="AC586" s="0" t="str">
        <f aca="false">IF($A586="","",IF(AW586="Y",BS586&amp;"",BE586&amp;""))</f>
        <v/>
      </c>
      <c r="AD586" s="0" t="str">
        <f aca="false">IF($A586="","",IF(AW586="Y",BT586&amp;"",BF586&amp;""))</f>
        <v/>
      </c>
      <c r="AE586" s="0" t="str">
        <f aca="false">IF($A586="","",IF(AW586="Y",BU586&amp;"",BG586&amp;""))</f>
        <v/>
      </c>
      <c r="AF586" s="0" t="str">
        <f aca="false">IF($A586="","",IF(AW586="Y",BV586&amp;"",BH586&amp;""))</f>
        <v/>
      </c>
      <c r="AG586" s="0" t="str">
        <f aca="false">IF($A586="","",IF(AW586="Y",BW586&amp;"",BI586&amp;""))</f>
        <v/>
      </c>
      <c r="AH586" s="0" t="str">
        <f aca="false">IF($A586="","",IF(AW586="Y",BX586&amp;"",BJ586&amp;""))</f>
        <v/>
      </c>
      <c r="AQ586" s="5"/>
      <c r="AT586" s="0" t="str">
        <f aca="false">IF($A586="","",IF(AND(CN586="pass",AQ586&lt;&gt;"Y",C586&lt;&gt;"",OR(AX586&lt;&gt;"Y",AV586="Y")),"Y","N"))</f>
        <v/>
      </c>
      <c r="AU586" s="0" t="str">
        <f aca="false">IF($A586="","",_xlfn.TEXTJOIN("; ",TRUE(),IF(CN586&lt;&gt;"pass","gated out",""),IF(AQ586="Y","on hold: "&amp;AR586,""),IF(C586="","no contact named on an opened page",""),IF(AND(AX586="Y",AV586&lt;&gt;"Y"),"Tuesday estimate band "&amp;L586&amp;": founder's call","")))</f>
        <v/>
      </c>
      <c r="BC586" s="0" t="str">
        <f aca="false">IF($A586="","",IFERROR(INDEX(Enrichment!$A$2:$GZ$2000,MATCH($A586,INDEX(Enrichment!$A$2:$GZ$2000,0,MATCH("row_id",Enrichment!$A$1:$GZ$1,0)),0),MATCH("work_email",Enrichment!$A$1:$GZ$1,0))&amp;"",""))</f>
        <v/>
      </c>
      <c r="BD586" s="0" t="str">
        <f aca="false">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Q586" s="0" t="str">
        <f aca="false">IF($A586="","",IFERROR(INDEX(Enrichment!$A$2:$GZ$2000,MATCH($A586,INDEX(Enrichment!$A$2:$GZ$2000,0,MATCH("row_id",Enrichment!$A$1:$GZ$1,0)),0),MATCH("backup_work_email",Enrichment!$A$1:$GZ$1,0))&amp;"",""))</f>
        <v/>
      </c>
      <c r="BR586" s="0" t="str">
        <f aca="false">IF($A586="","",IF(BQ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EQ586" s="0" t="str">
        <f aca="false">IF($A586="","",IF(AH586="exact",10,IF(AH586="adjacent",5,0)))</f>
        <v/>
      </c>
      <c r="ER586" s="0" t="str">
        <f aca="false">IF($A586="","",IF(R586="Y",15,0))</f>
        <v/>
      </c>
      <c r="FS586" s="0" t="str">
        <f aca="false">IF($A586="","",IF(ISNUMBER(MATCH(U586,{"queued","contacted","replied","call_booked","call_done","yes_in_principle","materials_sent"},0)),"Y","N"))</f>
        <v/>
      </c>
      <c r="FT586" s="0" t="str">
        <f aca="false">IF($A586="","",IF(OR(T586="Y",U586="do_not_contact",AS586&amp;""&lt;&gt;""),"Y","N"))</f>
        <v/>
      </c>
      <c r="FU586" s="0" t="str">
        <f aca="false">IF($A586="","",IF(AP586&amp;""&lt;&gt;"",AP586&amp;"",$A586))</f>
        <v/>
      </c>
      <c r="FV586" s="0" t="str">
        <f aca="false">IF($A586="","",IF(COUNTIFS($FU$2:$FU$1000,FU586,$FS$2:$FS$1000,"Y")+COUNTIFS($FU$2:$FU$1000,FU586,$FT$2:$FT$1000,"Y")&gt;0,"Y","N"))</f>
        <v/>
      </c>
      <c r="FW586" s="0" t="str">
        <f aca="false">IF($A586="","",IF(AND(U586="new",T586="N",FT586="N",AT586="Y",FV586="N"),"Y","N"))</f>
        <v/>
      </c>
      <c r="FX586" s="0" t="str">
        <f aca="false">IF($A586="","",IF(FW586&lt;&gt;"Y","N",IF(COUNTIFS($FU$2:$FU$1000,FU586,$FW$2:$FW$1000,"Y",$J$2:$J$1000,"&gt;"&amp;J586)+COUNTIFS($FU$2:$FU$1000,FU586,$FW$2:$FW$1000,"Y",$J$2:$J$1000,J586,$GD$2:$GD$1000,"&lt;"&amp;GD586)=0,"Y","N")))</f>
        <v/>
      </c>
      <c r="FY586" s="0" t="str">
        <f aca="false">IF($A586="","",IF(AND(FW586="Y",FX586="Y",Y586&amp;""&lt;&gt;""),IF(Y586&lt;=10,"Y","N"),"N"))</f>
        <v/>
      </c>
      <c r="FZ586" s="0" t="str">
        <f aca="false">IF(FY586="Y",Y586,"")</f>
        <v/>
      </c>
      <c r="GA586" s="0" t="str">
        <f aca="false">IF($A586="","",IF(AND(I586="walk-in",CN586="pass",U586="new",FT586="N",FV586="N",AQ586&lt;&gt;"Y"),"Y","N"))</f>
        <v/>
      </c>
      <c r="GB586" s="0" t="str">
        <f aca="false">IF(GA586&lt;&gt;"Y","",IF(COUNTIFS($GA$2:$GA$1000,"Y",$J$2:$J$1000,"&gt;"&amp;J586)+COUNTIFS($GA$2:$GA$1000,"Y",$J$2:$J$1000,J586,$GD$2:$GD$1000,"&lt;"&amp;GD586)+1&lt;=25,COUNTIFS($GA$2:$GA$1000,"Y",$J$2:$J$1000,"&gt;"&amp;J586)+COUNTIFS($GA$2:$GA$1000,"Y",$J$2:$J$1000,J586,$GD$2:$GD$1000,"&lt;"&amp;GD586)+1,""))</f>
        <v/>
      </c>
      <c r="GC586" s="0" t="str">
        <f aca="false">IF(AND(_xlfn.ISFORMULA(C586),_xlfn.ISFORMULA(J586)),"Y","N")</f>
        <v>Y</v>
      </c>
      <c r="GD586" s="0" t="n">
        <f aca="false">ROW()-1</f>
        <v>585</v>
      </c>
    </row>
    <row r="587" customFormat="false" ht="15" hidden="false" customHeight="false" outlineLevel="0" collapsed="false">
      <c r="C587" s="0" t="str">
        <f aca="false">IF($A587="","",IF(AW587="Y",BM587&amp;"",AY587&amp;""))</f>
        <v/>
      </c>
      <c r="D587" s="0" t="str">
        <f aca="false">IF($A587="","",IF(AW587="Y",BN587&amp;"",AZ587&amp;""))</f>
        <v/>
      </c>
      <c r="E587" s="0" t="str">
        <f aca="false">IF($A587="","",IF(AW587="Y",BO587&amp;"",BA587&amp;""))</f>
        <v/>
      </c>
      <c r="F587" s="0" t="str">
        <f aca="false">IF($A587="","",IF(AW587="Y",BP587&amp;"",BB587&amp;""))</f>
        <v/>
      </c>
      <c r="G587" s="0" t="str">
        <f aca="false">IF($A587="","",IF(AW587="Y",BQ587&amp;"",BC587&amp;""))</f>
        <v/>
      </c>
      <c r="H587" s="0" t="str">
        <f aca="false">IF($A587="","",IF(AW587="Y",BR587&amp;"",BD587&amp;""))</f>
        <v/>
      </c>
      <c r="I587" s="0" t="str">
        <f aca="false">IF($A587="","",IF(R587="Y","warm-intro",IF(H587="verified","email",IF(C587&lt;&gt;"","linkedin",CB587&amp;""))))</f>
        <v/>
      </c>
      <c r="J587" s="0" t="str">
        <f aca="false">IF($A587="","",IF(CN587="pass",ROUND(N(EM587)+N(EN587)+N(EO587)+N(EP587)+N(EQ587)+N(ER587),1),0))</f>
        <v/>
      </c>
      <c r="K587" s="0" t="str">
        <f aca="false">IF($A587="","",IF(CN587&lt;&gt;"pass",CA587&amp;"",CA587&amp;"; "&amp;IF(AW587="Y",BZ587&amp;"",BL587&amp;"")&amp;IF(R587="Y","; known to the founder (+15)","")&amp;"."))</f>
        <v/>
      </c>
      <c r="R587" s="5"/>
      <c r="U587" s="5"/>
      <c r="Y587" s="0" t="str">
        <f aca="false">IF(FX587&lt;&gt;"Y","",COUNTIFS($FX$2:$FX$1000,"Y",$J$2:$J$1000,"&gt;"&amp;J587)+COUNTIFS($FX$2:$FX$1000,"Y",$J$2:$J$1000,J587,$GD$2:$GD$1000,"&lt;"&amp;GD587)+1)</f>
        <v/>
      </c>
      <c r="AB587" s="0" t="str">
        <f aca="false">IF($A587="","",IF(AW587="Y",BY587&amp;"",BK587&amp;""))</f>
        <v/>
      </c>
      <c r="AC587" s="0" t="str">
        <f aca="false">IF($A587="","",IF(AW587="Y",BS587&amp;"",BE587&amp;""))</f>
        <v/>
      </c>
      <c r="AD587" s="0" t="str">
        <f aca="false">IF($A587="","",IF(AW587="Y",BT587&amp;"",BF587&amp;""))</f>
        <v/>
      </c>
      <c r="AE587" s="0" t="str">
        <f aca="false">IF($A587="","",IF(AW587="Y",BU587&amp;"",BG587&amp;""))</f>
        <v/>
      </c>
      <c r="AF587" s="0" t="str">
        <f aca="false">IF($A587="","",IF(AW587="Y",BV587&amp;"",BH587&amp;""))</f>
        <v/>
      </c>
      <c r="AG587" s="0" t="str">
        <f aca="false">IF($A587="","",IF(AW587="Y",BW587&amp;"",BI587&amp;""))</f>
        <v/>
      </c>
      <c r="AH587" s="0" t="str">
        <f aca="false">IF($A587="","",IF(AW587="Y",BX587&amp;"",BJ587&amp;""))</f>
        <v/>
      </c>
      <c r="AQ587" s="5"/>
      <c r="AT587" s="0" t="str">
        <f aca="false">IF($A587="","",IF(AND(CN587="pass",AQ587&lt;&gt;"Y",C587&lt;&gt;"",OR(AX587&lt;&gt;"Y",AV587="Y")),"Y","N"))</f>
        <v/>
      </c>
      <c r="AU587" s="0" t="str">
        <f aca="false">IF($A587="","",_xlfn.TEXTJOIN("; ",TRUE(),IF(CN587&lt;&gt;"pass","gated out",""),IF(AQ587="Y","on hold: "&amp;AR587,""),IF(C587="","no contact named on an opened page",""),IF(AND(AX587="Y",AV587&lt;&gt;"Y"),"Tuesday estimate band "&amp;L587&amp;": founder's call","")))</f>
        <v/>
      </c>
      <c r="BC587" s="0" t="str">
        <f aca="false">IF($A587="","",IFERROR(INDEX(Enrichment!$A$2:$GZ$2000,MATCH($A587,INDEX(Enrichment!$A$2:$GZ$2000,0,MATCH("row_id",Enrichment!$A$1:$GZ$1,0)),0),MATCH("work_email",Enrichment!$A$1:$GZ$1,0))&amp;"",""))</f>
        <v/>
      </c>
      <c r="BD587" s="0" t="str">
        <f aca="false">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Q587" s="0" t="str">
        <f aca="false">IF($A587="","",IFERROR(INDEX(Enrichment!$A$2:$GZ$2000,MATCH($A587,INDEX(Enrichment!$A$2:$GZ$2000,0,MATCH("row_id",Enrichment!$A$1:$GZ$1,0)),0),MATCH("backup_work_email",Enrichment!$A$1:$GZ$1,0))&amp;"",""))</f>
        <v/>
      </c>
      <c r="BR587" s="0" t="str">
        <f aca="false">IF($A587="","",IF(BQ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EQ587" s="0" t="str">
        <f aca="false">IF($A587="","",IF(AH587="exact",10,IF(AH587="adjacent",5,0)))</f>
        <v/>
      </c>
      <c r="ER587" s="0" t="str">
        <f aca="false">IF($A587="","",IF(R587="Y",15,0))</f>
        <v/>
      </c>
      <c r="FS587" s="0" t="str">
        <f aca="false">IF($A587="","",IF(ISNUMBER(MATCH(U587,{"queued","contacted","replied","call_booked","call_done","yes_in_principle","materials_sent"},0)),"Y","N"))</f>
        <v/>
      </c>
      <c r="FT587" s="0" t="str">
        <f aca="false">IF($A587="","",IF(OR(T587="Y",U587="do_not_contact",AS587&amp;""&lt;&gt;""),"Y","N"))</f>
        <v/>
      </c>
      <c r="FU587" s="0" t="str">
        <f aca="false">IF($A587="","",IF(AP587&amp;""&lt;&gt;"",AP587&amp;"",$A587))</f>
        <v/>
      </c>
      <c r="FV587" s="0" t="str">
        <f aca="false">IF($A587="","",IF(COUNTIFS($FU$2:$FU$1000,FU587,$FS$2:$FS$1000,"Y")+COUNTIFS($FU$2:$FU$1000,FU587,$FT$2:$FT$1000,"Y")&gt;0,"Y","N"))</f>
        <v/>
      </c>
      <c r="FW587" s="0" t="str">
        <f aca="false">IF($A587="","",IF(AND(U587="new",T587="N",FT587="N",AT587="Y",FV587="N"),"Y","N"))</f>
        <v/>
      </c>
      <c r="FX587" s="0" t="str">
        <f aca="false">IF($A587="","",IF(FW587&lt;&gt;"Y","N",IF(COUNTIFS($FU$2:$FU$1000,FU587,$FW$2:$FW$1000,"Y",$J$2:$J$1000,"&gt;"&amp;J587)+COUNTIFS($FU$2:$FU$1000,FU587,$FW$2:$FW$1000,"Y",$J$2:$J$1000,J587,$GD$2:$GD$1000,"&lt;"&amp;GD587)=0,"Y","N")))</f>
        <v/>
      </c>
      <c r="FY587" s="0" t="str">
        <f aca="false">IF($A587="","",IF(AND(FW587="Y",FX587="Y",Y587&amp;""&lt;&gt;""),IF(Y587&lt;=10,"Y","N"),"N"))</f>
        <v/>
      </c>
      <c r="FZ587" s="0" t="str">
        <f aca="false">IF(FY587="Y",Y587,"")</f>
        <v/>
      </c>
      <c r="GA587" s="0" t="str">
        <f aca="false">IF($A587="","",IF(AND(I587="walk-in",CN587="pass",U587="new",FT587="N",FV587="N",AQ587&lt;&gt;"Y"),"Y","N"))</f>
        <v/>
      </c>
      <c r="GB587" s="0" t="str">
        <f aca="false">IF(GA587&lt;&gt;"Y","",IF(COUNTIFS($GA$2:$GA$1000,"Y",$J$2:$J$1000,"&gt;"&amp;J587)+COUNTIFS($GA$2:$GA$1000,"Y",$J$2:$J$1000,J587,$GD$2:$GD$1000,"&lt;"&amp;GD587)+1&lt;=25,COUNTIFS($GA$2:$GA$1000,"Y",$J$2:$J$1000,"&gt;"&amp;J587)+COUNTIFS($GA$2:$GA$1000,"Y",$J$2:$J$1000,J587,$GD$2:$GD$1000,"&lt;"&amp;GD587)+1,""))</f>
        <v/>
      </c>
      <c r="GC587" s="0" t="str">
        <f aca="false">IF(AND(_xlfn.ISFORMULA(C587),_xlfn.ISFORMULA(J587)),"Y","N")</f>
        <v>Y</v>
      </c>
      <c r="GD587" s="0" t="n">
        <f aca="false">ROW()-1</f>
        <v>586</v>
      </c>
    </row>
    <row r="588" customFormat="false" ht="15" hidden="false" customHeight="false" outlineLevel="0" collapsed="false">
      <c r="C588" s="0" t="str">
        <f aca="false">IF($A588="","",IF(AW588="Y",BM588&amp;"",AY588&amp;""))</f>
        <v/>
      </c>
      <c r="D588" s="0" t="str">
        <f aca="false">IF($A588="","",IF(AW588="Y",BN588&amp;"",AZ588&amp;""))</f>
        <v/>
      </c>
      <c r="E588" s="0" t="str">
        <f aca="false">IF($A588="","",IF(AW588="Y",BO588&amp;"",BA588&amp;""))</f>
        <v/>
      </c>
      <c r="F588" s="0" t="str">
        <f aca="false">IF($A588="","",IF(AW588="Y",BP588&amp;"",BB588&amp;""))</f>
        <v/>
      </c>
      <c r="G588" s="0" t="str">
        <f aca="false">IF($A588="","",IF(AW588="Y",BQ588&amp;"",BC588&amp;""))</f>
        <v/>
      </c>
      <c r="H588" s="0" t="str">
        <f aca="false">IF($A588="","",IF(AW588="Y",BR588&amp;"",BD588&amp;""))</f>
        <v/>
      </c>
      <c r="I588" s="0" t="str">
        <f aca="false">IF($A588="","",IF(R588="Y","warm-intro",IF(H588="verified","email",IF(C588&lt;&gt;"","linkedin",CB588&amp;""))))</f>
        <v/>
      </c>
      <c r="J588" s="0" t="str">
        <f aca="false">IF($A588="","",IF(CN588="pass",ROUND(N(EM588)+N(EN588)+N(EO588)+N(EP588)+N(EQ588)+N(ER588),1),0))</f>
        <v/>
      </c>
      <c r="K588" s="0" t="str">
        <f aca="false">IF($A588="","",IF(CN588&lt;&gt;"pass",CA588&amp;"",CA588&amp;"; "&amp;IF(AW588="Y",BZ588&amp;"",BL588&amp;"")&amp;IF(R588="Y","; known to the founder (+15)","")&amp;"."))</f>
        <v/>
      </c>
      <c r="R588" s="5"/>
      <c r="U588" s="5"/>
      <c r="Y588" s="0" t="str">
        <f aca="false">IF(FX588&lt;&gt;"Y","",COUNTIFS($FX$2:$FX$1000,"Y",$J$2:$J$1000,"&gt;"&amp;J588)+COUNTIFS($FX$2:$FX$1000,"Y",$J$2:$J$1000,J588,$GD$2:$GD$1000,"&lt;"&amp;GD588)+1)</f>
        <v/>
      </c>
      <c r="AB588" s="0" t="str">
        <f aca="false">IF($A588="","",IF(AW588="Y",BY588&amp;"",BK588&amp;""))</f>
        <v/>
      </c>
      <c r="AC588" s="0" t="str">
        <f aca="false">IF($A588="","",IF(AW588="Y",BS588&amp;"",BE588&amp;""))</f>
        <v/>
      </c>
      <c r="AD588" s="0" t="str">
        <f aca="false">IF($A588="","",IF(AW588="Y",BT588&amp;"",BF588&amp;""))</f>
        <v/>
      </c>
      <c r="AE588" s="0" t="str">
        <f aca="false">IF($A588="","",IF(AW588="Y",BU588&amp;"",BG588&amp;""))</f>
        <v/>
      </c>
      <c r="AF588" s="0" t="str">
        <f aca="false">IF($A588="","",IF(AW588="Y",BV588&amp;"",BH588&amp;""))</f>
        <v/>
      </c>
      <c r="AG588" s="0" t="str">
        <f aca="false">IF($A588="","",IF(AW588="Y",BW588&amp;"",BI588&amp;""))</f>
        <v/>
      </c>
      <c r="AH588" s="0" t="str">
        <f aca="false">IF($A588="","",IF(AW588="Y",BX588&amp;"",BJ588&amp;""))</f>
        <v/>
      </c>
      <c r="AQ588" s="5"/>
      <c r="AT588" s="0" t="str">
        <f aca="false">IF($A588="","",IF(AND(CN588="pass",AQ588&lt;&gt;"Y",C588&lt;&gt;"",OR(AX588&lt;&gt;"Y",AV588="Y")),"Y","N"))</f>
        <v/>
      </c>
      <c r="AU588" s="0" t="str">
        <f aca="false">IF($A588="","",_xlfn.TEXTJOIN("; ",TRUE(),IF(CN588&lt;&gt;"pass","gated out",""),IF(AQ588="Y","on hold: "&amp;AR588,""),IF(C588="","no contact named on an opened page",""),IF(AND(AX588="Y",AV588&lt;&gt;"Y"),"Tuesday estimate band "&amp;L588&amp;": founder's call","")))</f>
        <v/>
      </c>
      <c r="BC588" s="0" t="str">
        <f aca="false">IF($A588="","",IFERROR(INDEX(Enrichment!$A$2:$GZ$2000,MATCH($A588,INDEX(Enrichment!$A$2:$GZ$2000,0,MATCH("row_id",Enrichment!$A$1:$GZ$1,0)),0),MATCH("work_email",Enrichment!$A$1:$GZ$1,0))&amp;"",""))</f>
        <v/>
      </c>
      <c r="BD588" s="0" t="str">
        <f aca="false">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Q588" s="0" t="str">
        <f aca="false">IF($A588="","",IFERROR(INDEX(Enrichment!$A$2:$GZ$2000,MATCH($A588,INDEX(Enrichment!$A$2:$GZ$2000,0,MATCH("row_id",Enrichment!$A$1:$GZ$1,0)),0),MATCH("backup_work_email",Enrichment!$A$1:$GZ$1,0))&amp;"",""))</f>
        <v/>
      </c>
      <c r="BR588" s="0" t="str">
        <f aca="false">IF($A588="","",IF(BQ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EQ588" s="0" t="str">
        <f aca="false">IF($A588="","",IF(AH588="exact",10,IF(AH588="adjacent",5,0)))</f>
        <v/>
      </c>
      <c r="ER588" s="0" t="str">
        <f aca="false">IF($A588="","",IF(R588="Y",15,0))</f>
        <v/>
      </c>
      <c r="FS588" s="0" t="str">
        <f aca="false">IF($A588="","",IF(ISNUMBER(MATCH(U588,{"queued","contacted","replied","call_booked","call_done","yes_in_principle","materials_sent"},0)),"Y","N"))</f>
        <v/>
      </c>
      <c r="FT588" s="0" t="str">
        <f aca="false">IF($A588="","",IF(OR(T588="Y",U588="do_not_contact",AS588&amp;""&lt;&gt;""),"Y","N"))</f>
        <v/>
      </c>
      <c r="FU588" s="0" t="str">
        <f aca="false">IF($A588="","",IF(AP588&amp;""&lt;&gt;"",AP588&amp;"",$A588))</f>
        <v/>
      </c>
      <c r="FV588" s="0" t="str">
        <f aca="false">IF($A588="","",IF(COUNTIFS($FU$2:$FU$1000,FU588,$FS$2:$FS$1000,"Y")+COUNTIFS($FU$2:$FU$1000,FU588,$FT$2:$FT$1000,"Y")&gt;0,"Y","N"))</f>
        <v/>
      </c>
      <c r="FW588" s="0" t="str">
        <f aca="false">IF($A588="","",IF(AND(U588="new",T588="N",FT588="N",AT588="Y",FV588="N"),"Y","N"))</f>
        <v/>
      </c>
      <c r="FX588" s="0" t="str">
        <f aca="false">IF($A588="","",IF(FW588&lt;&gt;"Y","N",IF(COUNTIFS($FU$2:$FU$1000,FU588,$FW$2:$FW$1000,"Y",$J$2:$J$1000,"&gt;"&amp;J588)+COUNTIFS($FU$2:$FU$1000,FU588,$FW$2:$FW$1000,"Y",$J$2:$J$1000,J588,$GD$2:$GD$1000,"&lt;"&amp;GD588)=0,"Y","N")))</f>
        <v/>
      </c>
      <c r="FY588" s="0" t="str">
        <f aca="false">IF($A588="","",IF(AND(FW588="Y",FX588="Y",Y588&amp;""&lt;&gt;""),IF(Y588&lt;=10,"Y","N"),"N"))</f>
        <v/>
      </c>
      <c r="FZ588" s="0" t="str">
        <f aca="false">IF(FY588="Y",Y588,"")</f>
        <v/>
      </c>
      <c r="GA588" s="0" t="str">
        <f aca="false">IF($A588="","",IF(AND(I588="walk-in",CN588="pass",U588="new",FT588="N",FV588="N",AQ588&lt;&gt;"Y"),"Y","N"))</f>
        <v/>
      </c>
      <c r="GB588" s="0" t="str">
        <f aca="false">IF(GA588&lt;&gt;"Y","",IF(COUNTIFS($GA$2:$GA$1000,"Y",$J$2:$J$1000,"&gt;"&amp;J588)+COUNTIFS($GA$2:$GA$1000,"Y",$J$2:$J$1000,J588,$GD$2:$GD$1000,"&lt;"&amp;GD588)+1&lt;=25,COUNTIFS($GA$2:$GA$1000,"Y",$J$2:$J$1000,"&gt;"&amp;J588)+COUNTIFS($GA$2:$GA$1000,"Y",$J$2:$J$1000,J588,$GD$2:$GD$1000,"&lt;"&amp;GD588)+1,""))</f>
        <v/>
      </c>
      <c r="GC588" s="0" t="str">
        <f aca="false">IF(AND(_xlfn.ISFORMULA(C588),_xlfn.ISFORMULA(J588)),"Y","N")</f>
        <v>Y</v>
      </c>
      <c r="GD588" s="0" t="n">
        <f aca="false">ROW()-1</f>
        <v>587</v>
      </c>
    </row>
    <row r="589" customFormat="false" ht="15" hidden="false" customHeight="false" outlineLevel="0" collapsed="false">
      <c r="C589" s="0" t="str">
        <f aca="false">IF($A589="","",IF(AW589="Y",BM589&amp;"",AY589&amp;""))</f>
        <v/>
      </c>
      <c r="D589" s="0" t="str">
        <f aca="false">IF($A589="","",IF(AW589="Y",BN589&amp;"",AZ589&amp;""))</f>
        <v/>
      </c>
      <c r="E589" s="0" t="str">
        <f aca="false">IF($A589="","",IF(AW589="Y",BO589&amp;"",BA589&amp;""))</f>
        <v/>
      </c>
      <c r="F589" s="0" t="str">
        <f aca="false">IF($A589="","",IF(AW589="Y",BP589&amp;"",BB589&amp;""))</f>
        <v/>
      </c>
      <c r="G589" s="0" t="str">
        <f aca="false">IF($A589="","",IF(AW589="Y",BQ589&amp;"",BC589&amp;""))</f>
        <v/>
      </c>
      <c r="H589" s="0" t="str">
        <f aca="false">IF($A589="","",IF(AW589="Y",BR589&amp;"",BD589&amp;""))</f>
        <v/>
      </c>
      <c r="I589" s="0" t="str">
        <f aca="false">IF($A589="","",IF(R589="Y","warm-intro",IF(H589="verified","email",IF(C589&lt;&gt;"","linkedin",CB589&amp;""))))</f>
        <v/>
      </c>
      <c r="J589" s="0" t="str">
        <f aca="false">IF($A589="","",IF(CN589="pass",ROUND(N(EM589)+N(EN589)+N(EO589)+N(EP589)+N(EQ589)+N(ER589),1),0))</f>
        <v/>
      </c>
      <c r="K589" s="0" t="str">
        <f aca="false">IF($A589="","",IF(CN589&lt;&gt;"pass",CA589&amp;"",CA589&amp;"; "&amp;IF(AW589="Y",BZ589&amp;"",BL589&amp;"")&amp;IF(R589="Y","; known to the founder (+15)","")&amp;"."))</f>
        <v/>
      </c>
      <c r="R589" s="5"/>
      <c r="U589" s="5"/>
      <c r="Y589" s="0" t="str">
        <f aca="false">IF(FX589&lt;&gt;"Y","",COUNTIFS($FX$2:$FX$1000,"Y",$J$2:$J$1000,"&gt;"&amp;J589)+COUNTIFS($FX$2:$FX$1000,"Y",$J$2:$J$1000,J589,$GD$2:$GD$1000,"&lt;"&amp;GD589)+1)</f>
        <v/>
      </c>
      <c r="AB589" s="0" t="str">
        <f aca="false">IF($A589="","",IF(AW589="Y",BY589&amp;"",BK589&amp;""))</f>
        <v/>
      </c>
      <c r="AC589" s="0" t="str">
        <f aca="false">IF($A589="","",IF(AW589="Y",BS589&amp;"",BE589&amp;""))</f>
        <v/>
      </c>
      <c r="AD589" s="0" t="str">
        <f aca="false">IF($A589="","",IF(AW589="Y",BT589&amp;"",BF589&amp;""))</f>
        <v/>
      </c>
      <c r="AE589" s="0" t="str">
        <f aca="false">IF($A589="","",IF(AW589="Y",BU589&amp;"",BG589&amp;""))</f>
        <v/>
      </c>
      <c r="AF589" s="0" t="str">
        <f aca="false">IF($A589="","",IF(AW589="Y",BV589&amp;"",BH589&amp;""))</f>
        <v/>
      </c>
      <c r="AG589" s="0" t="str">
        <f aca="false">IF($A589="","",IF(AW589="Y",BW589&amp;"",BI589&amp;""))</f>
        <v/>
      </c>
      <c r="AH589" s="0" t="str">
        <f aca="false">IF($A589="","",IF(AW589="Y",BX589&amp;"",BJ589&amp;""))</f>
        <v/>
      </c>
      <c r="AQ589" s="5"/>
      <c r="AT589" s="0" t="str">
        <f aca="false">IF($A589="","",IF(AND(CN589="pass",AQ589&lt;&gt;"Y",C589&lt;&gt;"",OR(AX589&lt;&gt;"Y",AV589="Y")),"Y","N"))</f>
        <v/>
      </c>
      <c r="AU589" s="0" t="str">
        <f aca="false">IF($A589="","",_xlfn.TEXTJOIN("; ",TRUE(),IF(CN589&lt;&gt;"pass","gated out",""),IF(AQ589="Y","on hold: "&amp;AR589,""),IF(C589="","no contact named on an opened page",""),IF(AND(AX589="Y",AV589&lt;&gt;"Y"),"Tuesday estimate band "&amp;L589&amp;": founder's call","")))</f>
        <v/>
      </c>
      <c r="BC589" s="0" t="str">
        <f aca="false">IF($A589="","",IFERROR(INDEX(Enrichment!$A$2:$GZ$2000,MATCH($A589,INDEX(Enrichment!$A$2:$GZ$2000,0,MATCH("row_id",Enrichment!$A$1:$GZ$1,0)),0),MATCH("work_email",Enrichment!$A$1:$GZ$1,0))&amp;"",""))</f>
        <v/>
      </c>
      <c r="BD589" s="0" t="str">
        <f aca="false">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Q589" s="0" t="str">
        <f aca="false">IF($A589="","",IFERROR(INDEX(Enrichment!$A$2:$GZ$2000,MATCH($A589,INDEX(Enrichment!$A$2:$GZ$2000,0,MATCH("row_id",Enrichment!$A$1:$GZ$1,0)),0),MATCH("backup_work_email",Enrichment!$A$1:$GZ$1,0))&amp;"",""))</f>
        <v/>
      </c>
      <c r="BR589" s="0" t="str">
        <f aca="false">IF($A589="","",IF(BQ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EQ589" s="0" t="str">
        <f aca="false">IF($A589="","",IF(AH589="exact",10,IF(AH589="adjacent",5,0)))</f>
        <v/>
      </c>
      <c r="ER589" s="0" t="str">
        <f aca="false">IF($A589="","",IF(R589="Y",15,0))</f>
        <v/>
      </c>
      <c r="FS589" s="0" t="str">
        <f aca="false">IF($A589="","",IF(ISNUMBER(MATCH(U589,{"queued","contacted","replied","call_booked","call_done","yes_in_principle","materials_sent"},0)),"Y","N"))</f>
        <v/>
      </c>
      <c r="FT589" s="0" t="str">
        <f aca="false">IF($A589="","",IF(OR(T589="Y",U589="do_not_contact",AS589&amp;""&lt;&gt;""),"Y","N"))</f>
        <v/>
      </c>
      <c r="FU589" s="0" t="str">
        <f aca="false">IF($A589="","",IF(AP589&amp;""&lt;&gt;"",AP589&amp;"",$A589))</f>
        <v/>
      </c>
      <c r="FV589" s="0" t="str">
        <f aca="false">IF($A589="","",IF(COUNTIFS($FU$2:$FU$1000,FU589,$FS$2:$FS$1000,"Y")+COUNTIFS($FU$2:$FU$1000,FU589,$FT$2:$FT$1000,"Y")&gt;0,"Y","N"))</f>
        <v/>
      </c>
      <c r="FW589" s="0" t="str">
        <f aca="false">IF($A589="","",IF(AND(U589="new",T589="N",FT589="N",AT589="Y",FV589="N"),"Y","N"))</f>
        <v/>
      </c>
      <c r="FX589" s="0" t="str">
        <f aca="false">IF($A589="","",IF(FW589&lt;&gt;"Y","N",IF(COUNTIFS($FU$2:$FU$1000,FU589,$FW$2:$FW$1000,"Y",$J$2:$J$1000,"&gt;"&amp;J589)+COUNTIFS($FU$2:$FU$1000,FU589,$FW$2:$FW$1000,"Y",$J$2:$J$1000,J589,$GD$2:$GD$1000,"&lt;"&amp;GD589)=0,"Y","N")))</f>
        <v/>
      </c>
      <c r="FY589" s="0" t="str">
        <f aca="false">IF($A589="","",IF(AND(FW589="Y",FX589="Y",Y589&amp;""&lt;&gt;""),IF(Y589&lt;=10,"Y","N"),"N"))</f>
        <v/>
      </c>
      <c r="FZ589" s="0" t="str">
        <f aca="false">IF(FY589="Y",Y589,"")</f>
        <v/>
      </c>
      <c r="GA589" s="0" t="str">
        <f aca="false">IF($A589="","",IF(AND(I589="walk-in",CN589="pass",U589="new",FT589="N",FV589="N",AQ589&lt;&gt;"Y"),"Y","N"))</f>
        <v/>
      </c>
      <c r="GB589" s="0" t="str">
        <f aca="false">IF(GA589&lt;&gt;"Y","",IF(COUNTIFS($GA$2:$GA$1000,"Y",$J$2:$J$1000,"&gt;"&amp;J589)+COUNTIFS($GA$2:$GA$1000,"Y",$J$2:$J$1000,J589,$GD$2:$GD$1000,"&lt;"&amp;GD589)+1&lt;=25,COUNTIFS($GA$2:$GA$1000,"Y",$J$2:$J$1000,"&gt;"&amp;J589)+COUNTIFS($GA$2:$GA$1000,"Y",$J$2:$J$1000,J589,$GD$2:$GD$1000,"&lt;"&amp;GD589)+1,""))</f>
        <v/>
      </c>
      <c r="GC589" s="0" t="str">
        <f aca="false">IF(AND(_xlfn.ISFORMULA(C589),_xlfn.ISFORMULA(J589)),"Y","N")</f>
        <v>Y</v>
      </c>
      <c r="GD589" s="0" t="n">
        <f aca="false">ROW()-1</f>
        <v>588</v>
      </c>
    </row>
    <row r="590" customFormat="false" ht="15" hidden="false" customHeight="false" outlineLevel="0" collapsed="false">
      <c r="C590" s="0" t="str">
        <f aca="false">IF($A590="","",IF(AW590="Y",BM590&amp;"",AY590&amp;""))</f>
        <v/>
      </c>
      <c r="D590" s="0" t="str">
        <f aca="false">IF($A590="","",IF(AW590="Y",BN590&amp;"",AZ590&amp;""))</f>
        <v/>
      </c>
      <c r="E590" s="0" t="str">
        <f aca="false">IF($A590="","",IF(AW590="Y",BO590&amp;"",BA590&amp;""))</f>
        <v/>
      </c>
      <c r="F590" s="0" t="str">
        <f aca="false">IF($A590="","",IF(AW590="Y",BP590&amp;"",BB590&amp;""))</f>
        <v/>
      </c>
      <c r="G590" s="0" t="str">
        <f aca="false">IF($A590="","",IF(AW590="Y",BQ590&amp;"",BC590&amp;""))</f>
        <v/>
      </c>
      <c r="H590" s="0" t="str">
        <f aca="false">IF($A590="","",IF(AW590="Y",BR590&amp;"",BD590&amp;""))</f>
        <v/>
      </c>
      <c r="I590" s="0" t="str">
        <f aca="false">IF($A590="","",IF(R590="Y","warm-intro",IF(H590="verified","email",IF(C590&lt;&gt;"","linkedin",CB590&amp;""))))</f>
        <v/>
      </c>
      <c r="J590" s="0" t="str">
        <f aca="false">IF($A590="","",IF(CN590="pass",ROUND(N(EM590)+N(EN590)+N(EO590)+N(EP590)+N(EQ590)+N(ER590),1),0))</f>
        <v/>
      </c>
      <c r="K590" s="0" t="str">
        <f aca="false">IF($A590="","",IF(CN590&lt;&gt;"pass",CA590&amp;"",CA590&amp;"; "&amp;IF(AW590="Y",BZ590&amp;"",BL590&amp;"")&amp;IF(R590="Y","; known to the founder (+15)","")&amp;"."))</f>
        <v/>
      </c>
      <c r="R590" s="5"/>
      <c r="U590" s="5"/>
      <c r="Y590" s="0" t="str">
        <f aca="false">IF(FX590&lt;&gt;"Y","",COUNTIFS($FX$2:$FX$1000,"Y",$J$2:$J$1000,"&gt;"&amp;J590)+COUNTIFS($FX$2:$FX$1000,"Y",$J$2:$J$1000,J590,$GD$2:$GD$1000,"&lt;"&amp;GD590)+1)</f>
        <v/>
      </c>
      <c r="AB590" s="0" t="str">
        <f aca="false">IF($A590="","",IF(AW590="Y",BY590&amp;"",BK590&amp;""))</f>
        <v/>
      </c>
      <c r="AC590" s="0" t="str">
        <f aca="false">IF($A590="","",IF(AW590="Y",BS590&amp;"",BE590&amp;""))</f>
        <v/>
      </c>
      <c r="AD590" s="0" t="str">
        <f aca="false">IF($A590="","",IF(AW590="Y",BT590&amp;"",BF590&amp;""))</f>
        <v/>
      </c>
      <c r="AE590" s="0" t="str">
        <f aca="false">IF($A590="","",IF(AW590="Y",BU590&amp;"",BG590&amp;""))</f>
        <v/>
      </c>
      <c r="AF590" s="0" t="str">
        <f aca="false">IF($A590="","",IF(AW590="Y",BV590&amp;"",BH590&amp;""))</f>
        <v/>
      </c>
      <c r="AG590" s="0" t="str">
        <f aca="false">IF($A590="","",IF(AW590="Y",BW590&amp;"",BI590&amp;""))</f>
        <v/>
      </c>
      <c r="AH590" s="0" t="str">
        <f aca="false">IF($A590="","",IF(AW590="Y",BX590&amp;"",BJ590&amp;""))</f>
        <v/>
      </c>
      <c r="AQ590" s="5"/>
      <c r="AT590" s="0" t="str">
        <f aca="false">IF($A590="","",IF(AND(CN590="pass",AQ590&lt;&gt;"Y",C590&lt;&gt;"",OR(AX590&lt;&gt;"Y",AV590="Y")),"Y","N"))</f>
        <v/>
      </c>
      <c r="AU590" s="0" t="str">
        <f aca="false">IF($A590="","",_xlfn.TEXTJOIN("; ",TRUE(),IF(CN590&lt;&gt;"pass","gated out",""),IF(AQ590="Y","on hold: "&amp;AR590,""),IF(C590="","no contact named on an opened page",""),IF(AND(AX590="Y",AV590&lt;&gt;"Y"),"Tuesday estimate band "&amp;L590&amp;": founder's call","")))</f>
        <v/>
      </c>
      <c r="BC590" s="0" t="str">
        <f aca="false">IF($A590="","",IFERROR(INDEX(Enrichment!$A$2:$GZ$2000,MATCH($A590,INDEX(Enrichment!$A$2:$GZ$2000,0,MATCH("row_id",Enrichment!$A$1:$GZ$1,0)),0),MATCH("work_email",Enrichment!$A$1:$GZ$1,0))&amp;"",""))</f>
        <v/>
      </c>
      <c r="BD590" s="0" t="str">
        <f aca="false">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Q590" s="0" t="str">
        <f aca="false">IF($A590="","",IFERROR(INDEX(Enrichment!$A$2:$GZ$2000,MATCH($A590,INDEX(Enrichment!$A$2:$GZ$2000,0,MATCH("row_id",Enrichment!$A$1:$GZ$1,0)),0),MATCH("backup_work_email",Enrichment!$A$1:$GZ$1,0))&amp;"",""))</f>
        <v/>
      </c>
      <c r="BR590" s="0" t="str">
        <f aca="false">IF($A590="","",IF(BQ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EQ590" s="0" t="str">
        <f aca="false">IF($A590="","",IF(AH590="exact",10,IF(AH590="adjacent",5,0)))</f>
        <v/>
      </c>
      <c r="ER590" s="0" t="str">
        <f aca="false">IF($A590="","",IF(R590="Y",15,0))</f>
        <v/>
      </c>
      <c r="FS590" s="0" t="str">
        <f aca="false">IF($A590="","",IF(ISNUMBER(MATCH(U590,{"queued","contacted","replied","call_booked","call_done","yes_in_principle","materials_sent"},0)),"Y","N"))</f>
        <v/>
      </c>
      <c r="FT590" s="0" t="str">
        <f aca="false">IF($A590="","",IF(OR(T590="Y",U590="do_not_contact",AS590&amp;""&lt;&gt;""),"Y","N"))</f>
        <v/>
      </c>
      <c r="FU590" s="0" t="str">
        <f aca="false">IF($A590="","",IF(AP590&amp;""&lt;&gt;"",AP590&amp;"",$A590))</f>
        <v/>
      </c>
      <c r="FV590" s="0" t="str">
        <f aca="false">IF($A590="","",IF(COUNTIFS($FU$2:$FU$1000,FU590,$FS$2:$FS$1000,"Y")+COUNTIFS($FU$2:$FU$1000,FU590,$FT$2:$FT$1000,"Y")&gt;0,"Y","N"))</f>
        <v/>
      </c>
      <c r="FW590" s="0" t="str">
        <f aca="false">IF($A590="","",IF(AND(U590="new",T590="N",FT590="N",AT590="Y",FV590="N"),"Y","N"))</f>
        <v/>
      </c>
      <c r="FX590" s="0" t="str">
        <f aca="false">IF($A590="","",IF(FW590&lt;&gt;"Y","N",IF(COUNTIFS($FU$2:$FU$1000,FU590,$FW$2:$FW$1000,"Y",$J$2:$J$1000,"&gt;"&amp;J590)+COUNTIFS($FU$2:$FU$1000,FU590,$FW$2:$FW$1000,"Y",$J$2:$J$1000,J590,$GD$2:$GD$1000,"&lt;"&amp;GD590)=0,"Y","N")))</f>
        <v/>
      </c>
      <c r="FY590" s="0" t="str">
        <f aca="false">IF($A590="","",IF(AND(FW590="Y",FX590="Y",Y590&amp;""&lt;&gt;""),IF(Y590&lt;=10,"Y","N"),"N"))</f>
        <v/>
      </c>
      <c r="FZ590" s="0" t="str">
        <f aca="false">IF(FY590="Y",Y590,"")</f>
        <v/>
      </c>
      <c r="GA590" s="0" t="str">
        <f aca="false">IF($A590="","",IF(AND(I590="walk-in",CN590="pass",U590="new",FT590="N",FV590="N",AQ590&lt;&gt;"Y"),"Y","N"))</f>
        <v/>
      </c>
      <c r="GB590" s="0" t="str">
        <f aca="false">IF(GA590&lt;&gt;"Y","",IF(COUNTIFS($GA$2:$GA$1000,"Y",$J$2:$J$1000,"&gt;"&amp;J590)+COUNTIFS($GA$2:$GA$1000,"Y",$J$2:$J$1000,J590,$GD$2:$GD$1000,"&lt;"&amp;GD590)+1&lt;=25,COUNTIFS($GA$2:$GA$1000,"Y",$J$2:$J$1000,"&gt;"&amp;J590)+COUNTIFS($GA$2:$GA$1000,"Y",$J$2:$J$1000,J590,$GD$2:$GD$1000,"&lt;"&amp;GD590)+1,""))</f>
        <v/>
      </c>
      <c r="GC590" s="0" t="str">
        <f aca="false">IF(AND(_xlfn.ISFORMULA(C590),_xlfn.ISFORMULA(J590)),"Y","N")</f>
        <v>Y</v>
      </c>
      <c r="GD590" s="0" t="n">
        <f aca="false">ROW()-1</f>
        <v>589</v>
      </c>
    </row>
    <row r="591" customFormat="false" ht="15" hidden="false" customHeight="false" outlineLevel="0" collapsed="false">
      <c r="C591" s="0" t="str">
        <f aca="false">IF($A591="","",IF(AW591="Y",BM591&amp;"",AY591&amp;""))</f>
        <v/>
      </c>
      <c r="D591" s="0" t="str">
        <f aca="false">IF($A591="","",IF(AW591="Y",BN591&amp;"",AZ591&amp;""))</f>
        <v/>
      </c>
      <c r="E591" s="0" t="str">
        <f aca="false">IF($A591="","",IF(AW591="Y",BO591&amp;"",BA591&amp;""))</f>
        <v/>
      </c>
      <c r="F591" s="0" t="str">
        <f aca="false">IF($A591="","",IF(AW591="Y",BP591&amp;"",BB591&amp;""))</f>
        <v/>
      </c>
      <c r="G591" s="0" t="str">
        <f aca="false">IF($A591="","",IF(AW591="Y",BQ591&amp;"",BC591&amp;""))</f>
        <v/>
      </c>
      <c r="H591" s="0" t="str">
        <f aca="false">IF($A591="","",IF(AW591="Y",BR591&amp;"",BD591&amp;""))</f>
        <v/>
      </c>
      <c r="I591" s="0" t="str">
        <f aca="false">IF($A591="","",IF(R591="Y","warm-intro",IF(H591="verified","email",IF(C591&lt;&gt;"","linkedin",CB591&amp;""))))</f>
        <v/>
      </c>
      <c r="J591" s="0" t="str">
        <f aca="false">IF($A591="","",IF(CN591="pass",ROUND(N(EM591)+N(EN591)+N(EO591)+N(EP591)+N(EQ591)+N(ER591),1),0))</f>
        <v/>
      </c>
      <c r="K591" s="0" t="str">
        <f aca="false">IF($A591="","",IF(CN591&lt;&gt;"pass",CA591&amp;"",CA591&amp;"; "&amp;IF(AW591="Y",BZ591&amp;"",BL591&amp;"")&amp;IF(R591="Y","; known to the founder (+15)","")&amp;"."))</f>
        <v/>
      </c>
      <c r="R591" s="5"/>
      <c r="U591" s="5"/>
      <c r="Y591" s="0" t="str">
        <f aca="false">IF(FX591&lt;&gt;"Y","",COUNTIFS($FX$2:$FX$1000,"Y",$J$2:$J$1000,"&gt;"&amp;J591)+COUNTIFS($FX$2:$FX$1000,"Y",$J$2:$J$1000,J591,$GD$2:$GD$1000,"&lt;"&amp;GD591)+1)</f>
        <v/>
      </c>
      <c r="AB591" s="0" t="str">
        <f aca="false">IF($A591="","",IF(AW591="Y",BY591&amp;"",BK591&amp;""))</f>
        <v/>
      </c>
      <c r="AC591" s="0" t="str">
        <f aca="false">IF($A591="","",IF(AW591="Y",BS591&amp;"",BE591&amp;""))</f>
        <v/>
      </c>
      <c r="AD591" s="0" t="str">
        <f aca="false">IF($A591="","",IF(AW591="Y",BT591&amp;"",BF591&amp;""))</f>
        <v/>
      </c>
      <c r="AE591" s="0" t="str">
        <f aca="false">IF($A591="","",IF(AW591="Y",BU591&amp;"",BG591&amp;""))</f>
        <v/>
      </c>
      <c r="AF591" s="0" t="str">
        <f aca="false">IF($A591="","",IF(AW591="Y",BV591&amp;"",BH591&amp;""))</f>
        <v/>
      </c>
      <c r="AG591" s="0" t="str">
        <f aca="false">IF($A591="","",IF(AW591="Y",BW591&amp;"",BI591&amp;""))</f>
        <v/>
      </c>
      <c r="AH591" s="0" t="str">
        <f aca="false">IF($A591="","",IF(AW591="Y",BX591&amp;"",BJ591&amp;""))</f>
        <v/>
      </c>
      <c r="AQ591" s="5"/>
      <c r="AT591" s="0" t="str">
        <f aca="false">IF($A591="","",IF(AND(CN591="pass",AQ591&lt;&gt;"Y",C591&lt;&gt;"",OR(AX591&lt;&gt;"Y",AV591="Y")),"Y","N"))</f>
        <v/>
      </c>
      <c r="AU591" s="0" t="str">
        <f aca="false">IF($A591="","",_xlfn.TEXTJOIN("; ",TRUE(),IF(CN591&lt;&gt;"pass","gated out",""),IF(AQ591="Y","on hold: "&amp;AR591,""),IF(C591="","no contact named on an opened page",""),IF(AND(AX591="Y",AV591&lt;&gt;"Y"),"Tuesday estimate band "&amp;L591&amp;": founder's call","")))</f>
        <v/>
      </c>
      <c r="BC591" s="0" t="str">
        <f aca="false">IF($A591="","",IFERROR(INDEX(Enrichment!$A$2:$GZ$2000,MATCH($A591,INDEX(Enrichment!$A$2:$GZ$2000,0,MATCH("row_id",Enrichment!$A$1:$GZ$1,0)),0),MATCH("work_email",Enrichment!$A$1:$GZ$1,0))&amp;"",""))</f>
        <v/>
      </c>
      <c r="BD591" s="0" t="str">
        <f aca="false">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Q591" s="0" t="str">
        <f aca="false">IF($A591="","",IFERROR(INDEX(Enrichment!$A$2:$GZ$2000,MATCH($A591,INDEX(Enrichment!$A$2:$GZ$2000,0,MATCH("row_id",Enrichment!$A$1:$GZ$1,0)),0),MATCH("backup_work_email",Enrichment!$A$1:$GZ$1,0))&amp;"",""))</f>
        <v/>
      </c>
      <c r="BR591" s="0" t="str">
        <f aca="false">IF($A591="","",IF(BQ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EQ591" s="0" t="str">
        <f aca="false">IF($A591="","",IF(AH591="exact",10,IF(AH591="adjacent",5,0)))</f>
        <v/>
      </c>
      <c r="ER591" s="0" t="str">
        <f aca="false">IF($A591="","",IF(R591="Y",15,0))</f>
        <v/>
      </c>
      <c r="FS591" s="0" t="str">
        <f aca="false">IF($A591="","",IF(ISNUMBER(MATCH(U591,{"queued","contacted","replied","call_booked","call_done","yes_in_principle","materials_sent"},0)),"Y","N"))</f>
        <v/>
      </c>
      <c r="FT591" s="0" t="str">
        <f aca="false">IF($A591="","",IF(OR(T591="Y",U591="do_not_contact",AS591&amp;""&lt;&gt;""),"Y","N"))</f>
        <v/>
      </c>
      <c r="FU591" s="0" t="str">
        <f aca="false">IF($A591="","",IF(AP591&amp;""&lt;&gt;"",AP591&amp;"",$A591))</f>
        <v/>
      </c>
      <c r="FV591" s="0" t="str">
        <f aca="false">IF($A591="","",IF(COUNTIFS($FU$2:$FU$1000,FU591,$FS$2:$FS$1000,"Y")+COUNTIFS($FU$2:$FU$1000,FU591,$FT$2:$FT$1000,"Y")&gt;0,"Y","N"))</f>
        <v/>
      </c>
      <c r="FW591" s="0" t="str">
        <f aca="false">IF($A591="","",IF(AND(U591="new",T591="N",FT591="N",AT591="Y",FV591="N"),"Y","N"))</f>
        <v/>
      </c>
      <c r="FX591" s="0" t="str">
        <f aca="false">IF($A591="","",IF(FW591&lt;&gt;"Y","N",IF(COUNTIFS($FU$2:$FU$1000,FU591,$FW$2:$FW$1000,"Y",$J$2:$J$1000,"&gt;"&amp;J591)+COUNTIFS($FU$2:$FU$1000,FU591,$FW$2:$FW$1000,"Y",$J$2:$J$1000,J591,$GD$2:$GD$1000,"&lt;"&amp;GD591)=0,"Y","N")))</f>
        <v/>
      </c>
      <c r="FY591" s="0" t="str">
        <f aca="false">IF($A591="","",IF(AND(FW591="Y",FX591="Y",Y591&amp;""&lt;&gt;""),IF(Y591&lt;=10,"Y","N"),"N"))</f>
        <v/>
      </c>
      <c r="FZ591" s="0" t="str">
        <f aca="false">IF(FY591="Y",Y591,"")</f>
        <v/>
      </c>
      <c r="GA591" s="0" t="str">
        <f aca="false">IF($A591="","",IF(AND(I591="walk-in",CN591="pass",U591="new",FT591="N",FV591="N",AQ591&lt;&gt;"Y"),"Y","N"))</f>
        <v/>
      </c>
      <c r="GB591" s="0" t="str">
        <f aca="false">IF(GA591&lt;&gt;"Y","",IF(COUNTIFS($GA$2:$GA$1000,"Y",$J$2:$J$1000,"&gt;"&amp;J591)+COUNTIFS($GA$2:$GA$1000,"Y",$J$2:$J$1000,J591,$GD$2:$GD$1000,"&lt;"&amp;GD591)+1&lt;=25,COUNTIFS($GA$2:$GA$1000,"Y",$J$2:$J$1000,"&gt;"&amp;J591)+COUNTIFS($GA$2:$GA$1000,"Y",$J$2:$J$1000,J591,$GD$2:$GD$1000,"&lt;"&amp;GD591)+1,""))</f>
        <v/>
      </c>
      <c r="GC591" s="0" t="str">
        <f aca="false">IF(AND(_xlfn.ISFORMULA(C591),_xlfn.ISFORMULA(J591)),"Y","N")</f>
        <v>Y</v>
      </c>
      <c r="GD591" s="0" t="n">
        <f aca="false">ROW()-1</f>
        <v>590</v>
      </c>
    </row>
    <row r="592" customFormat="false" ht="15" hidden="false" customHeight="false" outlineLevel="0" collapsed="false">
      <c r="C592" s="0" t="str">
        <f aca="false">IF($A592="","",IF(AW592="Y",BM592&amp;"",AY592&amp;""))</f>
        <v/>
      </c>
      <c r="D592" s="0" t="str">
        <f aca="false">IF($A592="","",IF(AW592="Y",BN592&amp;"",AZ592&amp;""))</f>
        <v/>
      </c>
      <c r="E592" s="0" t="str">
        <f aca="false">IF($A592="","",IF(AW592="Y",BO592&amp;"",BA592&amp;""))</f>
        <v/>
      </c>
      <c r="F592" s="0" t="str">
        <f aca="false">IF($A592="","",IF(AW592="Y",BP592&amp;"",BB592&amp;""))</f>
        <v/>
      </c>
      <c r="G592" s="0" t="str">
        <f aca="false">IF($A592="","",IF(AW592="Y",BQ592&amp;"",BC592&amp;""))</f>
        <v/>
      </c>
      <c r="H592" s="0" t="str">
        <f aca="false">IF($A592="","",IF(AW592="Y",BR592&amp;"",BD592&amp;""))</f>
        <v/>
      </c>
      <c r="I592" s="0" t="str">
        <f aca="false">IF($A592="","",IF(R592="Y","warm-intro",IF(H592="verified","email",IF(C592&lt;&gt;"","linkedin",CB592&amp;""))))</f>
        <v/>
      </c>
      <c r="J592" s="0" t="str">
        <f aca="false">IF($A592="","",IF(CN592="pass",ROUND(N(EM592)+N(EN592)+N(EO592)+N(EP592)+N(EQ592)+N(ER592),1),0))</f>
        <v/>
      </c>
      <c r="K592" s="0" t="str">
        <f aca="false">IF($A592="","",IF(CN592&lt;&gt;"pass",CA592&amp;"",CA592&amp;"; "&amp;IF(AW592="Y",BZ592&amp;"",BL592&amp;"")&amp;IF(R592="Y","; known to the founder (+15)","")&amp;"."))</f>
        <v/>
      </c>
      <c r="R592" s="5"/>
      <c r="U592" s="5"/>
      <c r="Y592" s="0" t="str">
        <f aca="false">IF(FX592&lt;&gt;"Y","",COUNTIFS($FX$2:$FX$1000,"Y",$J$2:$J$1000,"&gt;"&amp;J592)+COUNTIFS($FX$2:$FX$1000,"Y",$J$2:$J$1000,J592,$GD$2:$GD$1000,"&lt;"&amp;GD592)+1)</f>
        <v/>
      </c>
      <c r="AB592" s="0" t="str">
        <f aca="false">IF($A592="","",IF(AW592="Y",BY592&amp;"",BK592&amp;""))</f>
        <v/>
      </c>
      <c r="AC592" s="0" t="str">
        <f aca="false">IF($A592="","",IF(AW592="Y",BS592&amp;"",BE592&amp;""))</f>
        <v/>
      </c>
      <c r="AD592" s="0" t="str">
        <f aca="false">IF($A592="","",IF(AW592="Y",BT592&amp;"",BF592&amp;""))</f>
        <v/>
      </c>
      <c r="AE592" s="0" t="str">
        <f aca="false">IF($A592="","",IF(AW592="Y",BU592&amp;"",BG592&amp;""))</f>
        <v/>
      </c>
      <c r="AF592" s="0" t="str">
        <f aca="false">IF($A592="","",IF(AW592="Y",BV592&amp;"",BH592&amp;""))</f>
        <v/>
      </c>
      <c r="AG592" s="0" t="str">
        <f aca="false">IF($A592="","",IF(AW592="Y",BW592&amp;"",BI592&amp;""))</f>
        <v/>
      </c>
      <c r="AH592" s="0" t="str">
        <f aca="false">IF($A592="","",IF(AW592="Y",BX592&amp;"",BJ592&amp;""))</f>
        <v/>
      </c>
      <c r="AQ592" s="5"/>
      <c r="AT592" s="0" t="str">
        <f aca="false">IF($A592="","",IF(AND(CN592="pass",AQ592&lt;&gt;"Y",C592&lt;&gt;"",OR(AX592&lt;&gt;"Y",AV592="Y")),"Y","N"))</f>
        <v/>
      </c>
      <c r="AU592" s="0" t="str">
        <f aca="false">IF($A592="","",_xlfn.TEXTJOIN("; ",TRUE(),IF(CN592&lt;&gt;"pass","gated out",""),IF(AQ592="Y","on hold: "&amp;AR592,""),IF(C592="","no contact named on an opened page",""),IF(AND(AX592="Y",AV592&lt;&gt;"Y"),"Tuesday estimate band "&amp;L592&amp;": founder's call","")))</f>
        <v/>
      </c>
      <c r="BC592" s="0" t="str">
        <f aca="false">IF($A592="","",IFERROR(INDEX(Enrichment!$A$2:$GZ$2000,MATCH($A592,INDEX(Enrichment!$A$2:$GZ$2000,0,MATCH("row_id",Enrichment!$A$1:$GZ$1,0)),0),MATCH("work_email",Enrichment!$A$1:$GZ$1,0))&amp;"",""))</f>
        <v/>
      </c>
      <c r="BD592" s="0" t="str">
        <f aca="false">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Q592" s="0" t="str">
        <f aca="false">IF($A592="","",IFERROR(INDEX(Enrichment!$A$2:$GZ$2000,MATCH($A592,INDEX(Enrichment!$A$2:$GZ$2000,0,MATCH("row_id",Enrichment!$A$1:$GZ$1,0)),0),MATCH("backup_work_email",Enrichment!$A$1:$GZ$1,0))&amp;"",""))</f>
        <v/>
      </c>
      <c r="BR592" s="0" t="str">
        <f aca="false">IF($A592="","",IF(BQ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EQ592" s="0" t="str">
        <f aca="false">IF($A592="","",IF(AH592="exact",10,IF(AH592="adjacent",5,0)))</f>
        <v/>
      </c>
      <c r="ER592" s="0" t="str">
        <f aca="false">IF($A592="","",IF(R592="Y",15,0))</f>
        <v/>
      </c>
      <c r="FS592" s="0" t="str">
        <f aca="false">IF($A592="","",IF(ISNUMBER(MATCH(U592,{"queued","contacted","replied","call_booked","call_done","yes_in_principle","materials_sent"},0)),"Y","N"))</f>
        <v/>
      </c>
      <c r="FT592" s="0" t="str">
        <f aca="false">IF($A592="","",IF(OR(T592="Y",U592="do_not_contact",AS592&amp;""&lt;&gt;""),"Y","N"))</f>
        <v/>
      </c>
      <c r="FU592" s="0" t="str">
        <f aca="false">IF($A592="","",IF(AP592&amp;""&lt;&gt;"",AP592&amp;"",$A592))</f>
        <v/>
      </c>
      <c r="FV592" s="0" t="str">
        <f aca="false">IF($A592="","",IF(COUNTIFS($FU$2:$FU$1000,FU592,$FS$2:$FS$1000,"Y")+COUNTIFS($FU$2:$FU$1000,FU592,$FT$2:$FT$1000,"Y")&gt;0,"Y","N"))</f>
        <v/>
      </c>
      <c r="FW592" s="0" t="str">
        <f aca="false">IF($A592="","",IF(AND(U592="new",T592="N",FT592="N",AT592="Y",FV592="N"),"Y","N"))</f>
        <v/>
      </c>
      <c r="FX592" s="0" t="str">
        <f aca="false">IF($A592="","",IF(FW592&lt;&gt;"Y","N",IF(COUNTIFS($FU$2:$FU$1000,FU592,$FW$2:$FW$1000,"Y",$J$2:$J$1000,"&gt;"&amp;J592)+COUNTIFS($FU$2:$FU$1000,FU592,$FW$2:$FW$1000,"Y",$J$2:$J$1000,J592,$GD$2:$GD$1000,"&lt;"&amp;GD592)=0,"Y","N")))</f>
        <v/>
      </c>
      <c r="FY592" s="0" t="str">
        <f aca="false">IF($A592="","",IF(AND(FW592="Y",FX592="Y",Y592&amp;""&lt;&gt;""),IF(Y592&lt;=10,"Y","N"),"N"))</f>
        <v/>
      </c>
      <c r="FZ592" s="0" t="str">
        <f aca="false">IF(FY592="Y",Y592,"")</f>
        <v/>
      </c>
      <c r="GA592" s="0" t="str">
        <f aca="false">IF($A592="","",IF(AND(I592="walk-in",CN592="pass",U592="new",FT592="N",FV592="N",AQ592&lt;&gt;"Y"),"Y","N"))</f>
        <v/>
      </c>
      <c r="GB592" s="0" t="str">
        <f aca="false">IF(GA592&lt;&gt;"Y","",IF(COUNTIFS($GA$2:$GA$1000,"Y",$J$2:$J$1000,"&gt;"&amp;J592)+COUNTIFS($GA$2:$GA$1000,"Y",$J$2:$J$1000,J592,$GD$2:$GD$1000,"&lt;"&amp;GD592)+1&lt;=25,COUNTIFS($GA$2:$GA$1000,"Y",$J$2:$J$1000,"&gt;"&amp;J592)+COUNTIFS($GA$2:$GA$1000,"Y",$J$2:$J$1000,J592,$GD$2:$GD$1000,"&lt;"&amp;GD592)+1,""))</f>
        <v/>
      </c>
      <c r="GC592" s="0" t="str">
        <f aca="false">IF(AND(_xlfn.ISFORMULA(C592),_xlfn.ISFORMULA(J592)),"Y","N")</f>
        <v>Y</v>
      </c>
      <c r="GD592" s="0" t="n">
        <f aca="false">ROW()-1</f>
        <v>591</v>
      </c>
    </row>
    <row r="593" customFormat="false" ht="15" hidden="false" customHeight="false" outlineLevel="0" collapsed="false">
      <c r="C593" s="0" t="str">
        <f aca="false">IF($A593="","",IF(AW593="Y",BM593&amp;"",AY593&amp;""))</f>
        <v/>
      </c>
      <c r="D593" s="0" t="str">
        <f aca="false">IF($A593="","",IF(AW593="Y",BN593&amp;"",AZ593&amp;""))</f>
        <v/>
      </c>
      <c r="E593" s="0" t="str">
        <f aca="false">IF($A593="","",IF(AW593="Y",BO593&amp;"",BA593&amp;""))</f>
        <v/>
      </c>
      <c r="F593" s="0" t="str">
        <f aca="false">IF($A593="","",IF(AW593="Y",BP593&amp;"",BB593&amp;""))</f>
        <v/>
      </c>
      <c r="G593" s="0" t="str">
        <f aca="false">IF($A593="","",IF(AW593="Y",BQ593&amp;"",BC593&amp;""))</f>
        <v/>
      </c>
      <c r="H593" s="0" t="str">
        <f aca="false">IF($A593="","",IF(AW593="Y",BR593&amp;"",BD593&amp;""))</f>
        <v/>
      </c>
      <c r="I593" s="0" t="str">
        <f aca="false">IF($A593="","",IF(R593="Y","warm-intro",IF(H593="verified","email",IF(C593&lt;&gt;"","linkedin",CB593&amp;""))))</f>
        <v/>
      </c>
      <c r="J593" s="0" t="str">
        <f aca="false">IF($A593="","",IF(CN593="pass",ROUND(N(EM593)+N(EN593)+N(EO593)+N(EP593)+N(EQ593)+N(ER593),1),0))</f>
        <v/>
      </c>
      <c r="K593" s="0" t="str">
        <f aca="false">IF($A593="","",IF(CN593&lt;&gt;"pass",CA593&amp;"",CA593&amp;"; "&amp;IF(AW593="Y",BZ593&amp;"",BL593&amp;"")&amp;IF(R593="Y","; known to the founder (+15)","")&amp;"."))</f>
        <v/>
      </c>
      <c r="R593" s="5"/>
      <c r="U593" s="5"/>
      <c r="Y593" s="0" t="str">
        <f aca="false">IF(FX593&lt;&gt;"Y","",COUNTIFS($FX$2:$FX$1000,"Y",$J$2:$J$1000,"&gt;"&amp;J593)+COUNTIFS($FX$2:$FX$1000,"Y",$J$2:$J$1000,J593,$GD$2:$GD$1000,"&lt;"&amp;GD593)+1)</f>
        <v/>
      </c>
      <c r="AB593" s="0" t="str">
        <f aca="false">IF($A593="","",IF(AW593="Y",BY593&amp;"",BK593&amp;""))</f>
        <v/>
      </c>
      <c r="AC593" s="0" t="str">
        <f aca="false">IF($A593="","",IF(AW593="Y",BS593&amp;"",BE593&amp;""))</f>
        <v/>
      </c>
      <c r="AD593" s="0" t="str">
        <f aca="false">IF($A593="","",IF(AW593="Y",BT593&amp;"",BF593&amp;""))</f>
        <v/>
      </c>
      <c r="AE593" s="0" t="str">
        <f aca="false">IF($A593="","",IF(AW593="Y",BU593&amp;"",BG593&amp;""))</f>
        <v/>
      </c>
      <c r="AF593" s="0" t="str">
        <f aca="false">IF($A593="","",IF(AW593="Y",BV593&amp;"",BH593&amp;""))</f>
        <v/>
      </c>
      <c r="AG593" s="0" t="str">
        <f aca="false">IF($A593="","",IF(AW593="Y",BW593&amp;"",BI593&amp;""))</f>
        <v/>
      </c>
      <c r="AH593" s="0" t="str">
        <f aca="false">IF($A593="","",IF(AW593="Y",BX593&amp;"",BJ593&amp;""))</f>
        <v/>
      </c>
      <c r="AQ593" s="5"/>
      <c r="AT593" s="0" t="str">
        <f aca="false">IF($A593="","",IF(AND(CN593="pass",AQ593&lt;&gt;"Y",C593&lt;&gt;"",OR(AX593&lt;&gt;"Y",AV593="Y")),"Y","N"))</f>
        <v/>
      </c>
      <c r="AU593" s="0" t="str">
        <f aca="false">IF($A593="","",_xlfn.TEXTJOIN("; ",TRUE(),IF(CN593&lt;&gt;"pass","gated out",""),IF(AQ593="Y","on hold: "&amp;AR593,""),IF(C593="","no contact named on an opened page",""),IF(AND(AX593="Y",AV593&lt;&gt;"Y"),"Tuesday estimate band "&amp;L593&amp;": founder's call","")))</f>
        <v/>
      </c>
      <c r="BC593" s="0" t="str">
        <f aca="false">IF($A593="","",IFERROR(INDEX(Enrichment!$A$2:$GZ$2000,MATCH($A593,INDEX(Enrichment!$A$2:$GZ$2000,0,MATCH("row_id",Enrichment!$A$1:$GZ$1,0)),0),MATCH("work_email",Enrichment!$A$1:$GZ$1,0))&amp;"",""))</f>
        <v/>
      </c>
      <c r="BD593" s="0" t="str">
        <f aca="false">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Q593" s="0" t="str">
        <f aca="false">IF($A593="","",IFERROR(INDEX(Enrichment!$A$2:$GZ$2000,MATCH($A593,INDEX(Enrichment!$A$2:$GZ$2000,0,MATCH("row_id",Enrichment!$A$1:$GZ$1,0)),0),MATCH("backup_work_email",Enrichment!$A$1:$GZ$1,0))&amp;"",""))</f>
        <v/>
      </c>
      <c r="BR593" s="0" t="str">
        <f aca="false">IF($A593="","",IF(BQ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EQ593" s="0" t="str">
        <f aca="false">IF($A593="","",IF(AH593="exact",10,IF(AH593="adjacent",5,0)))</f>
        <v/>
      </c>
      <c r="ER593" s="0" t="str">
        <f aca="false">IF($A593="","",IF(R593="Y",15,0))</f>
        <v/>
      </c>
      <c r="FS593" s="0" t="str">
        <f aca="false">IF($A593="","",IF(ISNUMBER(MATCH(U593,{"queued","contacted","replied","call_booked","call_done","yes_in_principle","materials_sent"},0)),"Y","N"))</f>
        <v/>
      </c>
      <c r="FT593" s="0" t="str">
        <f aca="false">IF($A593="","",IF(OR(T593="Y",U593="do_not_contact",AS593&amp;""&lt;&gt;""),"Y","N"))</f>
        <v/>
      </c>
      <c r="FU593" s="0" t="str">
        <f aca="false">IF($A593="","",IF(AP593&amp;""&lt;&gt;"",AP593&amp;"",$A593))</f>
        <v/>
      </c>
      <c r="FV593" s="0" t="str">
        <f aca="false">IF($A593="","",IF(COUNTIFS($FU$2:$FU$1000,FU593,$FS$2:$FS$1000,"Y")+COUNTIFS($FU$2:$FU$1000,FU593,$FT$2:$FT$1000,"Y")&gt;0,"Y","N"))</f>
        <v/>
      </c>
      <c r="FW593" s="0" t="str">
        <f aca="false">IF($A593="","",IF(AND(U593="new",T593="N",FT593="N",AT593="Y",FV593="N"),"Y","N"))</f>
        <v/>
      </c>
      <c r="FX593" s="0" t="str">
        <f aca="false">IF($A593="","",IF(FW593&lt;&gt;"Y","N",IF(COUNTIFS($FU$2:$FU$1000,FU593,$FW$2:$FW$1000,"Y",$J$2:$J$1000,"&gt;"&amp;J593)+COUNTIFS($FU$2:$FU$1000,FU593,$FW$2:$FW$1000,"Y",$J$2:$J$1000,J593,$GD$2:$GD$1000,"&lt;"&amp;GD593)=0,"Y","N")))</f>
        <v/>
      </c>
      <c r="FY593" s="0" t="str">
        <f aca="false">IF($A593="","",IF(AND(FW593="Y",FX593="Y",Y593&amp;""&lt;&gt;""),IF(Y593&lt;=10,"Y","N"),"N"))</f>
        <v/>
      </c>
      <c r="FZ593" s="0" t="str">
        <f aca="false">IF(FY593="Y",Y593,"")</f>
        <v/>
      </c>
      <c r="GA593" s="0" t="str">
        <f aca="false">IF($A593="","",IF(AND(I593="walk-in",CN593="pass",U593="new",FT593="N",FV593="N",AQ593&lt;&gt;"Y"),"Y","N"))</f>
        <v/>
      </c>
      <c r="GB593" s="0" t="str">
        <f aca="false">IF(GA593&lt;&gt;"Y","",IF(COUNTIFS($GA$2:$GA$1000,"Y",$J$2:$J$1000,"&gt;"&amp;J593)+COUNTIFS($GA$2:$GA$1000,"Y",$J$2:$J$1000,J593,$GD$2:$GD$1000,"&lt;"&amp;GD593)+1&lt;=25,COUNTIFS($GA$2:$GA$1000,"Y",$J$2:$J$1000,"&gt;"&amp;J593)+COUNTIFS($GA$2:$GA$1000,"Y",$J$2:$J$1000,J593,$GD$2:$GD$1000,"&lt;"&amp;GD593)+1,""))</f>
        <v/>
      </c>
      <c r="GC593" s="0" t="str">
        <f aca="false">IF(AND(_xlfn.ISFORMULA(C593),_xlfn.ISFORMULA(J593)),"Y","N")</f>
        <v>Y</v>
      </c>
      <c r="GD593" s="0" t="n">
        <f aca="false">ROW()-1</f>
        <v>592</v>
      </c>
    </row>
    <row r="594" customFormat="false" ht="15" hidden="false" customHeight="false" outlineLevel="0" collapsed="false">
      <c r="C594" s="0" t="str">
        <f aca="false">IF($A594="","",IF(AW594="Y",BM594&amp;"",AY594&amp;""))</f>
        <v/>
      </c>
      <c r="D594" s="0" t="str">
        <f aca="false">IF($A594="","",IF(AW594="Y",BN594&amp;"",AZ594&amp;""))</f>
        <v/>
      </c>
      <c r="E594" s="0" t="str">
        <f aca="false">IF($A594="","",IF(AW594="Y",BO594&amp;"",BA594&amp;""))</f>
        <v/>
      </c>
      <c r="F594" s="0" t="str">
        <f aca="false">IF($A594="","",IF(AW594="Y",BP594&amp;"",BB594&amp;""))</f>
        <v/>
      </c>
      <c r="G594" s="0" t="str">
        <f aca="false">IF($A594="","",IF(AW594="Y",BQ594&amp;"",BC594&amp;""))</f>
        <v/>
      </c>
      <c r="H594" s="0" t="str">
        <f aca="false">IF($A594="","",IF(AW594="Y",BR594&amp;"",BD594&amp;""))</f>
        <v/>
      </c>
      <c r="I594" s="0" t="str">
        <f aca="false">IF($A594="","",IF(R594="Y","warm-intro",IF(H594="verified","email",IF(C594&lt;&gt;"","linkedin",CB594&amp;""))))</f>
        <v/>
      </c>
      <c r="J594" s="0" t="str">
        <f aca="false">IF($A594="","",IF(CN594="pass",ROUND(N(EM594)+N(EN594)+N(EO594)+N(EP594)+N(EQ594)+N(ER594),1),0))</f>
        <v/>
      </c>
      <c r="K594" s="0" t="str">
        <f aca="false">IF($A594="","",IF(CN594&lt;&gt;"pass",CA594&amp;"",CA594&amp;"; "&amp;IF(AW594="Y",BZ594&amp;"",BL594&amp;"")&amp;IF(R594="Y","; known to the founder (+15)","")&amp;"."))</f>
        <v/>
      </c>
      <c r="R594" s="5"/>
      <c r="U594" s="5"/>
      <c r="Y594" s="0" t="str">
        <f aca="false">IF(FX594&lt;&gt;"Y","",COUNTIFS($FX$2:$FX$1000,"Y",$J$2:$J$1000,"&gt;"&amp;J594)+COUNTIFS($FX$2:$FX$1000,"Y",$J$2:$J$1000,J594,$GD$2:$GD$1000,"&lt;"&amp;GD594)+1)</f>
        <v/>
      </c>
      <c r="AB594" s="0" t="str">
        <f aca="false">IF($A594="","",IF(AW594="Y",BY594&amp;"",BK594&amp;""))</f>
        <v/>
      </c>
      <c r="AC594" s="0" t="str">
        <f aca="false">IF($A594="","",IF(AW594="Y",BS594&amp;"",BE594&amp;""))</f>
        <v/>
      </c>
      <c r="AD594" s="0" t="str">
        <f aca="false">IF($A594="","",IF(AW594="Y",BT594&amp;"",BF594&amp;""))</f>
        <v/>
      </c>
      <c r="AE594" s="0" t="str">
        <f aca="false">IF($A594="","",IF(AW594="Y",BU594&amp;"",BG594&amp;""))</f>
        <v/>
      </c>
      <c r="AF594" s="0" t="str">
        <f aca="false">IF($A594="","",IF(AW594="Y",BV594&amp;"",BH594&amp;""))</f>
        <v/>
      </c>
      <c r="AG594" s="0" t="str">
        <f aca="false">IF($A594="","",IF(AW594="Y",BW594&amp;"",BI594&amp;""))</f>
        <v/>
      </c>
      <c r="AH594" s="0" t="str">
        <f aca="false">IF($A594="","",IF(AW594="Y",BX594&amp;"",BJ594&amp;""))</f>
        <v/>
      </c>
      <c r="AQ594" s="5"/>
      <c r="AT594" s="0" t="str">
        <f aca="false">IF($A594="","",IF(AND(CN594="pass",AQ594&lt;&gt;"Y",C594&lt;&gt;"",OR(AX594&lt;&gt;"Y",AV594="Y")),"Y","N"))</f>
        <v/>
      </c>
      <c r="AU594" s="0" t="str">
        <f aca="false">IF($A594="","",_xlfn.TEXTJOIN("; ",TRUE(),IF(CN594&lt;&gt;"pass","gated out",""),IF(AQ594="Y","on hold: "&amp;AR594,""),IF(C594="","no contact named on an opened page",""),IF(AND(AX594="Y",AV594&lt;&gt;"Y"),"Tuesday estimate band "&amp;L594&amp;": founder's call","")))</f>
        <v/>
      </c>
      <c r="BC594" s="0" t="str">
        <f aca="false">IF($A594="","",IFERROR(INDEX(Enrichment!$A$2:$GZ$2000,MATCH($A594,INDEX(Enrichment!$A$2:$GZ$2000,0,MATCH("row_id",Enrichment!$A$1:$GZ$1,0)),0),MATCH("work_email",Enrichment!$A$1:$GZ$1,0))&amp;"",""))</f>
        <v/>
      </c>
      <c r="BD594" s="0" t="str">
        <f aca="false">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Q594" s="0" t="str">
        <f aca="false">IF($A594="","",IFERROR(INDEX(Enrichment!$A$2:$GZ$2000,MATCH($A594,INDEX(Enrichment!$A$2:$GZ$2000,0,MATCH("row_id",Enrichment!$A$1:$GZ$1,0)),0),MATCH("backup_work_email",Enrichment!$A$1:$GZ$1,0))&amp;"",""))</f>
        <v/>
      </c>
      <c r="BR594" s="0" t="str">
        <f aca="false">IF($A594="","",IF(BQ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EQ594" s="0" t="str">
        <f aca="false">IF($A594="","",IF(AH594="exact",10,IF(AH594="adjacent",5,0)))</f>
        <v/>
      </c>
      <c r="ER594" s="0" t="str">
        <f aca="false">IF($A594="","",IF(R594="Y",15,0))</f>
        <v/>
      </c>
      <c r="FS594" s="0" t="str">
        <f aca="false">IF($A594="","",IF(ISNUMBER(MATCH(U594,{"queued","contacted","replied","call_booked","call_done","yes_in_principle","materials_sent"},0)),"Y","N"))</f>
        <v/>
      </c>
      <c r="FT594" s="0" t="str">
        <f aca="false">IF($A594="","",IF(OR(T594="Y",U594="do_not_contact",AS594&amp;""&lt;&gt;""),"Y","N"))</f>
        <v/>
      </c>
      <c r="FU594" s="0" t="str">
        <f aca="false">IF($A594="","",IF(AP594&amp;""&lt;&gt;"",AP594&amp;"",$A594))</f>
        <v/>
      </c>
      <c r="FV594" s="0" t="str">
        <f aca="false">IF($A594="","",IF(COUNTIFS($FU$2:$FU$1000,FU594,$FS$2:$FS$1000,"Y")+COUNTIFS($FU$2:$FU$1000,FU594,$FT$2:$FT$1000,"Y")&gt;0,"Y","N"))</f>
        <v/>
      </c>
      <c r="FW594" s="0" t="str">
        <f aca="false">IF($A594="","",IF(AND(U594="new",T594="N",FT594="N",AT594="Y",FV594="N"),"Y","N"))</f>
        <v/>
      </c>
      <c r="FX594" s="0" t="str">
        <f aca="false">IF($A594="","",IF(FW594&lt;&gt;"Y","N",IF(COUNTIFS($FU$2:$FU$1000,FU594,$FW$2:$FW$1000,"Y",$J$2:$J$1000,"&gt;"&amp;J594)+COUNTIFS($FU$2:$FU$1000,FU594,$FW$2:$FW$1000,"Y",$J$2:$J$1000,J594,$GD$2:$GD$1000,"&lt;"&amp;GD594)=0,"Y","N")))</f>
        <v/>
      </c>
      <c r="FY594" s="0" t="str">
        <f aca="false">IF($A594="","",IF(AND(FW594="Y",FX594="Y",Y594&amp;""&lt;&gt;""),IF(Y594&lt;=10,"Y","N"),"N"))</f>
        <v/>
      </c>
      <c r="FZ594" s="0" t="str">
        <f aca="false">IF(FY594="Y",Y594,"")</f>
        <v/>
      </c>
      <c r="GA594" s="0" t="str">
        <f aca="false">IF($A594="","",IF(AND(I594="walk-in",CN594="pass",U594="new",FT594="N",FV594="N",AQ594&lt;&gt;"Y"),"Y","N"))</f>
        <v/>
      </c>
      <c r="GB594" s="0" t="str">
        <f aca="false">IF(GA594&lt;&gt;"Y","",IF(COUNTIFS($GA$2:$GA$1000,"Y",$J$2:$J$1000,"&gt;"&amp;J594)+COUNTIFS($GA$2:$GA$1000,"Y",$J$2:$J$1000,J594,$GD$2:$GD$1000,"&lt;"&amp;GD594)+1&lt;=25,COUNTIFS($GA$2:$GA$1000,"Y",$J$2:$J$1000,"&gt;"&amp;J594)+COUNTIFS($GA$2:$GA$1000,"Y",$J$2:$J$1000,J594,$GD$2:$GD$1000,"&lt;"&amp;GD594)+1,""))</f>
        <v/>
      </c>
      <c r="GC594" s="0" t="str">
        <f aca="false">IF(AND(_xlfn.ISFORMULA(C594),_xlfn.ISFORMULA(J594)),"Y","N")</f>
        <v>Y</v>
      </c>
      <c r="GD594" s="0" t="n">
        <f aca="false">ROW()-1</f>
        <v>593</v>
      </c>
    </row>
    <row r="595" customFormat="false" ht="15" hidden="false" customHeight="false" outlineLevel="0" collapsed="false">
      <c r="C595" s="0" t="str">
        <f aca="false">IF($A595="","",IF(AW595="Y",BM595&amp;"",AY595&amp;""))</f>
        <v/>
      </c>
      <c r="D595" s="0" t="str">
        <f aca="false">IF($A595="","",IF(AW595="Y",BN595&amp;"",AZ595&amp;""))</f>
        <v/>
      </c>
      <c r="E595" s="0" t="str">
        <f aca="false">IF($A595="","",IF(AW595="Y",BO595&amp;"",BA595&amp;""))</f>
        <v/>
      </c>
      <c r="F595" s="0" t="str">
        <f aca="false">IF($A595="","",IF(AW595="Y",BP595&amp;"",BB595&amp;""))</f>
        <v/>
      </c>
      <c r="G595" s="0" t="str">
        <f aca="false">IF($A595="","",IF(AW595="Y",BQ595&amp;"",BC595&amp;""))</f>
        <v/>
      </c>
      <c r="H595" s="0" t="str">
        <f aca="false">IF($A595="","",IF(AW595="Y",BR595&amp;"",BD595&amp;""))</f>
        <v/>
      </c>
      <c r="I595" s="0" t="str">
        <f aca="false">IF($A595="","",IF(R595="Y","warm-intro",IF(H595="verified","email",IF(C595&lt;&gt;"","linkedin",CB595&amp;""))))</f>
        <v/>
      </c>
      <c r="J595" s="0" t="str">
        <f aca="false">IF($A595="","",IF(CN595="pass",ROUND(N(EM595)+N(EN595)+N(EO595)+N(EP595)+N(EQ595)+N(ER595),1),0))</f>
        <v/>
      </c>
      <c r="K595" s="0" t="str">
        <f aca="false">IF($A595="","",IF(CN595&lt;&gt;"pass",CA595&amp;"",CA595&amp;"; "&amp;IF(AW595="Y",BZ595&amp;"",BL595&amp;"")&amp;IF(R595="Y","; known to the founder (+15)","")&amp;"."))</f>
        <v/>
      </c>
      <c r="R595" s="5"/>
      <c r="U595" s="5"/>
      <c r="Y595" s="0" t="str">
        <f aca="false">IF(FX595&lt;&gt;"Y","",COUNTIFS($FX$2:$FX$1000,"Y",$J$2:$J$1000,"&gt;"&amp;J595)+COUNTIFS($FX$2:$FX$1000,"Y",$J$2:$J$1000,J595,$GD$2:$GD$1000,"&lt;"&amp;GD595)+1)</f>
        <v/>
      </c>
      <c r="AB595" s="0" t="str">
        <f aca="false">IF($A595="","",IF(AW595="Y",BY595&amp;"",BK595&amp;""))</f>
        <v/>
      </c>
      <c r="AC595" s="0" t="str">
        <f aca="false">IF($A595="","",IF(AW595="Y",BS595&amp;"",BE595&amp;""))</f>
        <v/>
      </c>
      <c r="AD595" s="0" t="str">
        <f aca="false">IF($A595="","",IF(AW595="Y",BT595&amp;"",BF595&amp;""))</f>
        <v/>
      </c>
      <c r="AE595" s="0" t="str">
        <f aca="false">IF($A595="","",IF(AW595="Y",BU595&amp;"",BG595&amp;""))</f>
        <v/>
      </c>
      <c r="AF595" s="0" t="str">
        <f aca="false">IF($A595="","",IF(AW595="Y",BV595&amp;"",BH595&amp;""))</f>
        <v/>
      </c>
      <c r="AG595" s="0" t="str">
        <f aca="false">IF($A595="","",IF(AW595="Y",BW595&amp;"",BI595&amp;""))</f>
        <v/>
      </c>
      <c r="AH595" s="0" t="str">
        <f aca="false">IF($A595="","",IF(AW595="Y",BX595&amp;"",BJ595&amp;""))</f>
        <v/>
      </c>
      <c r="AQ595" s="5"/>
      <c r="AT595" s="0" t="str">
        <f aca="false">IF($A595="","",IF(AND(CN595="pass",AQ595&lt;&gt;"Y",C595&lt;&gt;"",OR(AX595&lt;&gt;"Y",AV595="Y")),"Y","N"))</f>
        <v/>
      </c>
      <c r="AU595" s="0" t="str">
        <f aca="false">IF($A595="","",_xlfn.TEXTJOIN("; ",TRUE(),IF(CN595&lt;&gt;"pass","gated out",""),IF(AQ595="Y","on hold: "&amp;AR595,""),IF(C595="","no contact named on an opened page",""),IF(AND(AX595="Y",AV595&lt;&gt;"Y"),"Tuesday estimate band "&amp;L595&amp;": founder's call","")))</f>
        <v/>
      </c>
      <c r="BC595" s="0" t="str">
        <f aca="false">IF($A595="","",IFERROR(INDEX(Enrichment!$A$2:$GZ$2000,MATCH($A595,INDEX(Enrichment!$A$2:$GZ$2000,0,MATCH("row_id",Enrichment!$A$1:$GZ$1,0)),0),MATCH("work_email",Enrichment!$A$1:$GZ$1,0))&amp;"",""))</f>
        <v/>
      </c>
      <c r="BD595" s="0" t="str">
        <f aca="false">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Q595" s="0" t="str">
        <f aca="false">IF($A595="","",IFERROR(INDEX(Enrichment!$A$2:$GZ$2000,MATCH($A595,INDEX(Enrichment!$A$2:$GZ$2000,0,MATCH("row_id",Enrichment!$A$1:$GZ$1,0)),0),MATCH("backup_work_email",Enrichment!$A$1:$GZ$1,0))&amp;"",""))</f>
        <v/>
      </c>
      <c r="BR595" s="0" t="str">
        <f aca="false">IF($A595="","",IF(BQ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EQ595" s="0" t="str">
        <f aca="false">IF($A595="","",IF(AH595="exact",10,IF(AH595="adjacent",5,0)))</f>
        <v/>
      </c>
      <c r="ER595" s="0" t="str">
        <f aca="false">IF($A595="","",IF(R595="Y",15,0))</f>
        <v/>
      </c>
      <c r="FS595" s="0" t="str">
        <f aca="false">IF($A595="","",IF(ISNUMBER(MATCH(U595,{"queued","contacted","replied","call_booked","call_done","yes_in_principle","materials_sent"},0)),"Y","N"))</f>
        <v/>
      </c>
      <c r="FT595" s="0" t="str">
        <f aca="false">IF($A595="","",IF(OR(T595="Y",U595="do_not_contact",AS595&amp;""&lt;&gt;""),"Y","N"))</f>
        <v/>
      </c>
      <c r="FU595" s="0" t="str">
        <f aca="false">IF($A595="","",IF(AP595&amp;""&lt;&gt;"",AP595&amp;"",$A595))</f>
        <v/>
      </c>
      <c r="FV595" s="0" t="str">
        <f aca="false">IF($A595="","",IF(COUNTIFS($FU$2:$FU$1000,FU595,$FS$2:$FS$1000,"Y")+COUNTIFS($FU$2:$FU$1000,FU595,$FT$2:$FT$1000,"Y")&gt;0,"Y","N"))</f>
        <v/>
      </c>
      <c r="FW595" s="0" t="str">
        <f aca="false">IF($A595="","",IF(AND(U595="new",T595="N",FT595="N",AT595="Y",FV595="N"),"Y","N"))</f>
        <v/>
      </c>
      <c r="FX595" s="0" t="str">
        <f aca="false">IF($A595="","",IF(FW595&lt;&gt;"Y","N",IF(COUNTIFS($FU$2:$FU$1000,FU595,$FW$2:$FW$1000,"Y",$J$2:$J$1000,"&gt;"&amp;J595)+COUNTIFS($FU$2:$FU$1000,FU595,$FW$2:$FW$1000,"Y",$J$2:$J$1000,J595,$GD$2:$GD$1000,"&lt;"&amp;GD595)=0,"Y","N")))</f>
        <v/>
      </c>
      <c r="FY595" s="0" t="str">
        <f aca="false">IF($A595="","",IF(AND(FW595="Y",FX595="Y",Y595&amp;""&lt;&gt;""),IF(Y595&lt;=10,"Y","N"),"N"))</f>
        <v/>
      </c>
      <c r="FZ595" s="0" t="str">
        <f aca="false">IF(FY595="Y",Y595,"")</f>
        <v/>
      </c>
      <c r="GA595" s="0" t="str">
        <f aca="false">IF($A595="","",IF(AND(I595="walk-in",CN595="pass",U595="new",FT595="N",FV595="N",AQ595&lt;&gt;"Y"),"Y","N"))</f>
        <v/>
      </c>
      <c r="GB595" s="0" t="str">
        <f aca="false">IF(GA595&lt;&gt;"Y","",IF(COUNTIFS($GA$2:$GA$1000,"Y",$J$2:$J$1000,"&gt;"&amp;J595)+COUNTIFS($GA$2:$GA$1000,"Y",$J$2:$J$1000,J595,$GD$2:$GD$1000,"&lt;"&amp;GD595)+1&lt;=25,COUNTIFS($GA$2:$GA$1000,"Y",$J$2:$J$1000,"&gt;"&amp;J595)+COUNTIFS($GA$2:$GA$1000,"Y",$J$2:$J$1000,J595,$GD$2:$GD$1000,"&lt;"&amp;GD595)+1,""))</f>
        <v/>
      </c>
      <c r="GC595" s="0" t="str">
        <f aca="false">IF(AND(_xlfn.ISFORMULA(C595),_xlfn.ISFORMULA(J595)),"Y","N")</f>
        <v>Y</v>
      </c>
      <c r="GD595" s="0" t="n">
        <f aca="false">ROW()-1</f>
        <v>594</v>
      </c>
    </row>
    <row r="596" customFormat="false" ht="15" hidden="false" customHeight="false" outlineLevel="0" collapsed="false">
      <c r="C596" s="0" t="str">
        <f aca="false">IF($A596="","",IF(AW596="Y",BM596&amp;"",AY596&amp;""))</f>
        <v/>
      </c>
      <c r="D596" s="0" t="str">
        <f aca="false">IF($A596="","",IF(AW596="Y",BN596&amp;"",AZ596&amp;""))</f>
        <v/>
      </c>
      <c r="E596" s="0" t="str">
        <f aca="false">IF($A596="","",IF(AW596="Y",BO596&amp;"",BA596&amp;""))</f>
        <v/>
      </c>
      <c r="F596" s="0" t="str">
        <f aca="false">IF($A596="","",IF(AW596="Y",BP596&amp;"",BB596&amp;""))</f>
        <v/>
      </c>
      <c r="G596" s="0" t="str">
        <f aca="false">IF($A596="","",IF(AW596="Y",BQ596&amp;"",BC596&amp;""))</f>
        <v/>
      </c>
      <c r="H596" s="0" t="str">
        <f aca="false">IF($A596="","",IF(AW596="Y",BR596&amp;"",BD596&amp;""))</f>
        <v/>
      </c>
      <c r="I596" s="0" t="str">
        <f aca="false">IF($A596="","",IF(R596="Y","warm-intro",IF(H596="verified","email",IF(C596&lt;&gt;"","linkedin",CB596&amp;""))))</f>
        <v/>
      </c>
      <c r="J596" s="0" t="str">
        <f aca="false">IF($A596="","",IF(CN596="pass",ROUND(N(EM596)+N(EN596)+N(EO596)+N(EP596)+N(EQ596)+N(ER596),1),0))</f>
        <v/>
      </c>
      <c r="K596" s="0" t="str">
        <f aca="false">IF($A596="","",IF(CN596&lt;&gt;"pass",CA596&amp;"",CA596&amp;"; "&amp;IF(AW596="Y",BZ596&amp;"",BL596&amp;"")&amp;IF(R596="Y","; known to the founder (+15)","")&amp;"."))</f>
        <v/>
      </c>
      <c r="R596" s="5"/>
      <c r="U596" s="5"/>
      <c r="Y596" s="0" t="str">
        <f aca="false">IF(FX596&lt;&gt;"Y","",COUNTIFS($FX$2:$FX$1000,"Y",$J$2:$J$1000,"&gt;"&amp;J596)+COUNTIFS($FX$2:$FX$1000,"Y",$J$2:$J$1000,J596,$GD$2:$GD$1000,"&lt;"&amp;GD596)+1)</f>
        <v/>
      </c>
      <c r="AB596" s="0" t="str">
        <f aca="false">IF($A596="","",IF(AW596="Y",BY596&amp;"",BK596&amp;""))</f>
        <v/>
      </c>
      <c r="AC596" s="0" t="str">
        <f aca="false">IF($A596="","",IF(AW596="Y",BS596&amp;"",BE596&amp;""))</f>
        <v/>
      </c>
      <c r="AD596" s="0" t="str">
        <f aca="false">IF($A596="","",IF(AW596="Y",BT596&amp;"",BF596&amp;""))</f>
        <v/>
      </c>
      <c r="AE596" s="0" t="str">
        <f aca="false">IF($A596="","",IF(AW596="Y",BU596&amp;"",BG596&amp;""))</f>
        <v/>
      </c>
      <c r="AF596" s="0" t="str">
        <f aca="false">IF($A596="","",IF(AW596="Y",BV596&amp;"",BH596&amp;""))</f>
        <v/>
      </c>
      <c r="AG596" s="0" t="str">
        <f aca="false">IF($A596="","",IF(AW596="Y",BW596&amp;"",BI596&amp;""))</f>
        <v/>
      </c>
      <c r="AH596" s="0" t="str">
        <f aca="false">IF($A596="","",IF(AW596="Y",BX596&amp;"",BJ596&amp;""))</f>
        <v/>
      </c>
      <c r="AQ596" s="5"/>
      <c r="AT596" s="0" t="str">
        <f aca="false">IF($A596="","",IF(AND(CN596="pass",AQ596&lt;&gt;"Y",C596&lt;&gt;"",OR(AX596&lt;&gt;"Y",AV596="Y")),"Y","N"))</f>
        <v/>
      </c>
      <c r="AU596" s="0" t="str">
        <f aca="false">IF($A596="","",_xlfn.TEXTJOIN("; ",TRUE(),IF(CN596&lt;&gt;"pass","gated out",""),IF(AQ596="Y","on hold: "&amp;AR596,""),IF(C596="","no contact named on an opened page",""),IF(AND(AX596="Y",AV596&lt;&gt;"Y"),"Tuesday estimate band "&amp;L596&amp;": founder's call","")))</f>
        <v/>
      </c>
      <c r="BC596" s="0" t="str">
        <f aca="false">IF($A596="","",IFERROR(INDEX(Enrichment!$A$2:$GZ$2000,MATCH($A596,INDEX(Enrichment!$A$2:$GZ$2000,0,MATCH("row_id",Enrichment!$A$1:$GZ$1,0)),0),MATCH("work_email",Enrichment!$A$1:$GZ$1,0))&amp;"",""))</f>
        <v/>
      </c>
      <c r="BD596" s="0" t="str">
        <f aca="false">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Q596" s="0" t="str">
        <f aca="false">IF($A596="","",IFERROR(INDEX(Enrichment!$A$2:$GZ$2000,MATCH($A596,INDEX(Enrichment!$A$2:$GZ$2000,0,MATCH("row_id",Enrichment!$A$1:$GZ$1,0)),0),MATCH("backup_work_email",Enrichment!$A$1:$GZ$1,0))&amp;"",""))</f>
        <v/>
      </c>
      <c r="BR596" s="0" t="str">
        <f aca="false">IF($A596="","",IF(BQ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EQ596" s="0" t="str">
        <f aca="false">IF($A596="","",IF(AH596="exact",10,IF(AH596="adjacent",5,0)))</f>
        <v/>
      </c>
      <c r="ER596" s="0" t="str">
        <f aca="false">IF($A596="","",IF(R596="Y",15,0))</f>
        <v/>
      </c>
      <c r="FS596" s="0" t="str">
        <f aca="false">IF($A596="","",IF(ISNUMBER(MATCH(U596,{"queued","contacted","replied","call_booked","call_done","yes_in_principle","materials_sent"},0)),"Y","N"))</f>
        <v/>
      </c>
      <c r="FT596" s="0" t="str">
        <f aca="false">IF($A596="","",IF(OR(T596="Y",U596="do_not_contact",AS596&amp;""&lt;&gt;""),"Y","N"))</f>
        <v/>
      </c>
      <c r="FU596" s="0" t="str">
        <f aca="false">IF($A596="","",IF(AP596&amp;""&lt;&gt;"",AP596&amp;"",$A596))</f>
        <v/>
      </c>
      <c r="FV596" s="0" t="str">
        <f aca="false">IF($A596="","",IF(COUNTIFS($FU$2:$FU$1000,FU596,$FS$2:$FS$1000,"Y")+COUNTIFS($FU$2:$FU$1000,FU596,$FT$2:$FT$1000,"Y")&gt;0,"Y","N"))</f>
        <v/>
      </c>
      <c r="FW596" s="0" t="str">
        <f aca="false">IF($A596="","",IF(AND(U596="new",T596="N",FT596="N",AT596="Y",FV596="N"),"Y","N"))</f>
        <v/>
      </c>
      <c r="FX596" s="0" t="str">
        <f aca="false">IF($A596="","",IF(FW596&lt;&gt;"Y","N",IF(COUNTIFS($FU$2:$FU$1000,FU596,$FW$2:$FW$1000,"Y",$J$2:$J$1000,"&gt;"&amp;J596)+COUNTIFS($FU$2:$FU$1000,FU596,$FW$2:$FW$1000,"Y",$J$2:$J$1000,J596,$GD$2:$GD$1000,"&lt;"&amp;GD596)=0,"Y","N")))</f>
        <v/>
      </c>
      <c r="FY596" s="0" t="str">
        <f aca="false">IF($A596="","",IF(AND(FW596="Y",FX596="Y",Y596&amp;""&lt;&gt;""),IF(Y596&lt;=10,"Y","N"),"N"))</f>
        <v/>
      </c>
      <c r="FZ596" s="0" t="str">
        <f aca="false">IF(FY596="Y",Y596,"")</f>
        <v/>
      </c>
      <c r="GA596" s="0" t="str">
        <f aca="false">IF($A596="","",IF(AND(I596="walk-in",CN596="pass",U596="new",FT596="N",FV596="N",AQ596&lt;&gt;"Y"),"Y","N"))</f>
        <v/>
      </c>
      <c r="GB596" s="0" t="str">
        <f aca="false">IF(GA596&lt;&gt;"Y","",IF(COUNTIFS($GA$2:$GA$1000,"Y",$J$2:$J$1000,"&gt;"&amp;J596)+COUNTIFS($GA$2:$GA$1000,"Y",$J$2:$J$1000,J596,$GD$2:$GD$1000,"&lt;"&amp;GD596)+1&lt;=25,COUNTIFS($GA$2:$GA$1000,"Y",$J$2:$J$1000,"&gt;"&amp;J596)+COUNTIFS($GA$2:$GA$1000,"Y",$J$2:$J$1000,J596,$GD$2:$GD$1000,"&lt;"&amp;GD596)+1,""))</f>
        <v/>
      </c>
      <c r="GC596" s="0" t="str">
        <f aca="false">IF(AND(_xlfn.ISFORMULA(C596),_xlfn.ISFORMULA(J596)),"Y","N")</f>
        <v>Y</v>
      </c>
      <c r="GD596" s="0" t="n">
        <f aca="false">ROW()-1</f>
        <v>595</v>
      </c>
    </row>
    <row r="597" customFormat="false" ht="15" hidden="false" customHeight="false" outlineLevel="0" collapsed="false">
      <c r="C597" s="0" t="str">
        <f aca="false">IF($A597="","",IF(AW597="Y",BM597&amp;"",AY597&amp;""))</f>
        <v/>
      </c>
      <c r="D597" s="0" t="str">
        <f aca="false">IF($A597="","",IF(AW597="Y",BN597&amp;"",AZ597&amp;""))</f>
        <v/>
      </c>
      <c r="E597" s="0" t="str">
        <f aca="false">IF($A597="","",IF(AW597="Y",BO597&amp;"",BA597&amp;""))</f>
        <v/>
      </c>
      <c r="F597" s="0" t="str">
        <f aca="false">IF($A597="","",IF(AW597="Y",BP597&amp;"",BB597&amp;""))</f>
        <v/>
      </c>
      <c r="G597" s="0" t="str">
        <f aca="false">IF($A597="","",IF(AW597="Y",BQ597&amp;"",BC597&amp;""))</f>
        <v/>
      </c>
      <c r="H597" s="0" t="str">
        <f aca="false">IF($A597="","",IF(AW597="Y",BR597&amp;"",BD597&amp;""))</f>
        <v/>
      </c>
      <c r="I597" s="0" t="str">
        <f aca="false">IF($A597="","",IF(R597="Y","warm-intro",IF(H597="verified","email",IF(C597&lt;&gt;"","linkedin",CB597&amp;""))))</f>
        <v/>
      </c>
      <c r="J597" s="0" t="str">
        <f aca="false">IF($A597="","",IF(CN597="pass",ROUND(N(EM597)+N(EN597)+N(EO597)+N(EP597)+N(EQ597)+N(ER597),1),0))</f>
        <v/>
      </c>
      <c r="K597" s="0" t="str">
        <f aca="false">IF($A597="","",IF(CN597&lt;&gt;"pass",CA597&amp;"",CA597&amp;"; "&amp;IF(AW597="Y",BZ597&amp;"",BL597&amp;"")&amp;IF(R597="Y","; known to the founder (+15)","")&amp;"."))</f>
        <v/>
      </c>
      <c r="R597" s="5"/>
      <c r="U597" s="5"/>
      <c r="Y597" s="0" t="str">
        <f aca="false">IF(FX597&lt;&gt;"Y","",COUNTIFS($FX$2:$FX$1000,"Y",$J$2:$J$1000,"&gt;"&amp;J597)+COUNTIFS($FX$2:$FX$1000,"Y",$J$2:$J$1000,J597,$GD$2:$GD$1000,"&lt;"&amp;GD597)+1)</f>
        <v/>
      </c>
      <c r="AB597" s="0" t="str">
        <f aca="false">IF($A597="","",IF(AW597="Y",BY597&amp;"",BK597&amp;""))</f>
        <v/>
      </c>
      <c r="AC597" s="0" t="str">
        <f aca="false">IF($A597="","",IF(AW597="Y",BS597&amp;"",BE597&amp;""))</f>
        <v/>
      </c>
      <c r="AD597" s="0" t="str">
        <f aca="false">IF($A597="","",IF(AW597="Y",BT597&amp;"",BF597&amp;""))</f>
        <v/>
      </c>
      <c r="AE597" s="0" t="str">
        <f aca="false">IF($A597="","",IF(AW597="Y",BU597&amp;"",BG597&amp;""))</f>
        <v/>
      </c>
      <c r="AF597" s="0" t="str">
        <f aca="false">IF($A597="","",IF(AW597="Y",BV597&amp;"",BH597&amp;""))</f>
        <v/>
      </c>
      <c r="AG597" s="0" t="str">
        <f aca="false">IF($A597="","",IF(AW597="Y",BW597&amp;"",BI597&amp;""))</f>
        <v/>
      </c>
      <c r="AH597" s="0" t="str">
        <f aca="false">IF($A597="","",IF(AW597="Y",BX597&amp;"",BJ597&amp;""))</f>
        <v/>
      </c>
      <c r="AQ597" s="5"/>
      <c r="AT597" s="0" t="str">
        <f aca="false">IF($A597="","",IF(AND(CN597="pass",AQ597&lt;&gt;"Y",C597&lt;&gt;"",OR(AX597&lt;&gt;"Y",AV597="Y")),"Y","N"))</f>
        <v/>
      </c>
      <c r="AU597" s="0" t="str">
        <f aca="false">IF($A597="","",_xlfn.TEXTJOIN("; ",TRUE(),IF(CN597&lt;&gt;"pass","gated out",""),IF(AQ597="Y","on hold: "&amp;AR597,""),IF(C597="","no contact named on an opened page",""),IF(AND(AX597="Y",AV597&lt;&gt;"Y"),"Tuesday estimate band "&amp;L597&amp;": founder's call","")))</f>
        <v/>
      </c>
      <c r="BC597" s="0" t="str">
        <f aca="false">IF($A597="","",IFERROR(INDEX(Enrichment!$A$2:$GZ$2000,MATCH($A597,INDEX(Enrichment!$A$2:$GZ$2000,0,MATCH("row_id",Enrichment!$A$1:$GZ$1,0)),0),MATCH("work_email",Enrichment!$A$1:$GZ$1,0))&amp;"",""))</f>
        <v/>
      </c>
      <c r="BD597" s="0" t="str">
        <f aca="false">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Q597" s="0" t="str">
        <f aca="false">IF($A597="","",IFERROR(INDEX(Enrichment!$A$2:$GZ$2000,MATCH($A597,INDEX(Enrichment!$A$2:$GZ$2000,0,MATCH("row_id",Enrichment!$A$1:$GZ$1,0)),0),MATCH("backup_work_email",Enrichment!$A$1:$GZ$1,0))&amp;"",""))</f>
        <v/>
      </c>
      <c r="BR597" s="0" t="str">
        <f aca="false">IF($A597="","",IF(BQ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EQ597" s="0" t="str">
        <f aca="false">IF($A597="","",IF(AH597="exact",10,IF(AH597="adjacent",5,0)))</f>
        <v/>
      </c>
      <c r="ER597" s="0" t="str">
        <f aca="false">IF($A597="","",IF(R597="Y",15,0))</f>
        <v/>
      </c>
      <c r="FS597" s="0" t="str">
        <f aca="false">IF($A597="","",IF(ISNUMBER(MATCH(U597,{"queued","contacted","replied","call_booked","call_done","yes_in_principle","materials_sent"},0)),"Y","N"))</f>
        <v/>
      </c>
      <c r="FT597" s="0" t="str">
        <f aca="false">IF($A597="","",IF(OR(T597="Y",U597="do_not_contact",AS597&amp;""&lt;&gt;""),"Y","N"))</f>
        <v/>
      </c>
      <c r="FU597" s="0" t="str">
        <f aca="false">IF($A597="","",IF(AP597&amp;""&lt;&gt;"",AP597&amp;"",$A597))</f>
        <v/>
      </c>
      <c r="FV597" s="0" t="str">
        <f aca="false">IF($A597="","",IF(COUNTIFS($FU$2:$FU$1000,FU597,$FS$2:$FS$1000,"Y")+COUNTIFS($FU$2:$FU$1000,FU597,$FT$2:$FT$1000,"Y")&gt;0,"Y","N"))</f>
        <v/>
      </c>
      <c r="FW597" s="0" t="str">
        <f aca="false">IF($A597="","",IF(AND(U597="new",T597="N",FT597="N",AT597="Y",FV597="N"),"Y","N"))</f>
        <v/>
      </c>
      <c r="FX597" s="0" t="str">
        <f aca="false">IF($A597="","",IF(FW597&lt;&gt;"Y","N",IF(COUNTIFS($FU$2:$FU$1000,FU597,$FW$2:$FW$1000,"Y",$J$2:$J$1000,"&gt;"&amp;J597)+COUNTIFS($FU$2:$FU$1000,FU597,$FW$2:$FW$1000,"Y",$J$2:$J$1000,J597,$GD$2:$GD$1000,"&lt;"&amp;GD597)=0,"Y","N")))</f>
        <v/>
      </c>
      <c r="FY597" s="0" t="str">
        <f aca="false">IF($A597="","",IF(AND(FW597="Y",FX597="Y",Y597&amp;""&lt;&gt;""),IF(Y597&lt;=10,"Y","N"),"N"))</f>
        <v/>
      </c>
      <c r="FZ597" s="0" t="str">
        <f aca="false">IF(FY597="Y",Y597,"")</f>
        <v/>
      </c>
      <c r="GA597" s="0" t="str">
        <f aca="false">IF($A597="","",IF(AND(I597="walk-in",CN597="pass",U597="new",FT597="N",FV597="N",AQ597&lt;&gt;"Y"),"Y","N"))</f>
        <v/>
      </c>
      <c r="GB597" s="0" t="str">
        <f aca="false">IF(GA597&lt;&gt;"Y","",IF(COUNTIFS($GA$2:$GA$1000,"Y",$J$2:$J$1000,"&gt;"&amp;J597)+COUNTIFS($GA$2:$GA$1000,"Y",$J$2:$J$1000,J597,$GD$2:$GD$1000,"&lt;"&amp;GD597)+1&lt;=25,COUNTIFS($GA$2:$GA$1000,"Y",$J$2:$J$1000,"&gt;"&amp;J597)+COUNTIFS($GA$2:$GA$1000,"Y",$J$2:$J$1000,J597,$GD$2:$GD$1000,"&lt;"&amp;GD597)+1,""))</f>
        <v/>
      </c>
      <c r="GC597" s="0" t="str">
        <f aca="false">IF(AND(_xlfn.ISFORMULA(C597),_xlfn.ISFORMULA(J597)),"Y","N")</f>
        <v>Y</v>
      </c>
      <c r="GD597" s="0" t="n">
        <f aca="false">ROW()-1</f>
        <v>596</v>
      </c>
    </row>
    <row r="598" customFormat="false" ht="15" hidden="false" customHeight="false" outlineLevel="0" collapsed="false">
      <c r="C598" s="0" t="str">
        <f aca="false">IF($A598="","",IF(AW598="Y",BM598&amp;"",AY598&amp;""))</f>
        <v/>
      </c>
      <c r="D598" s="0" t="str">
        <f aca="false">IF($A598="","",IF(AW598="Y",BN598&amp;"",AZ598&amp;""))</f>
        <v/>
      </c>
      <c r="E598" s="0" t="str">
        <f aca="false">IF($A598="","",IF(AW598="Y",BO598&amp;"",BA598&amp;""))</f>
        <v/>
      </c>
      <c r="F598" s="0" t="str">
        <f aca="false">IF($A598="","",IF(AW598="Y",BP598&amp;"",BB598&amp;""))</f>
        <v/>
      </c>
      <c r="G598" s="0" t="str">
        <f aca="false">IF($A598="","",IF(AW598="Y",BQ598&amp;"",BC598&amp;""))</f>
        <v/>
      </c>
      <c r="H598" s="0" t="str">
        <f aca="false">IF($A598="","",IF(AW598="Y",BR598&amp;"",BD598&amp;""))</f>
        <v/>
      </c>
      <c r="I598" s="0" t="str">
        <f aca="false">IF($A598="","",IF(R598="Y","warm-intro",IF(H598="verified","email",IF(C598&lt;&gt;"","linkedin",CB598&amp;""))))</f>
        <v/>
      </c>
      <c r="J598" s="0" t="str">
        <f aca="false">IF($A598="","",IF(CN598="pass",ROUND(N(EM598)+N(EN598)+N(EO598)+N(EP598)+N(EQ598)+N(ER598),1),0))</f>
        <v/>
      </c>
      <c r="K598" s="0" t="str">
        <f aca="false">IF($A598="","",IF(CN598&lt;&gt;"pass",CA598&amp;"",CA598&amp;"; "&amp;IF(AW598="Y",BZ598&amp;"",BL598&amp;"")&amp;IF(R598="Y","; known to the founder (+15)","")&amp;"."))</f>
        <v/>
      </c>
      <c r="R598" s="5"/>
      <c r="U598" s="5"/>
      <c r="Y598" s="0" t="str">
        <f aca="false">IF(FX598&lt;&gt;"Y","",COUNTIFS($FX$2:$FX$1000,"Y",$J$2:$J$1000,"&gt;"&amp;J598)+COUNTIFS($FX$2:$FX$1000,"Y",$J$2:$J$1000,J598,$GD$2:$GD$1000,"&lt;"&amp;GD598)+1)</f>
        <v/>
      </c>
      <c r="AB598" s="0" t="str">
        <f aca="false">IF($A598="","",IF(AW598="Y",BY598&amp;"",BK598&amp;""))</f>
        <v/>
      </c>
      <c r="AC598" s="0" t="str">
        <f aca="false">IF($A598="","",IF(AW598="Y",BS598&amp;"",BE598&amp;""))</f>
        <v/>
      </c>
      <c r="AD598" s="0" t="str">
        <f aca="false">IF($A598="","",IF(AW598="Y",BT598&amp;"",BF598&amp;""))</f>
        <v/>
      </c>
      <c r="AE598" s="0" t="str">
        <f aca="false">IF($A598="","",IF(AW598="Y",BU598&amp;"",BG598&amp;""))</f>
        <v/>
      </c>
      <c r="AF598" s="0" t="str">
        <f aca="false">IF($A598="","",IF(AW598="Y",BV598&amp;"",BH598&amp;""))</f>
        <v/>
      </c>
      <c r="AG598" s="0" t="str">
        <f aca="false">IF($A598="","",IF(AW598="Y",BW598&amp;"",BI598&amp;""))</f>
        <v/>
      </c>
      <c r="AH598" s="0" t="str">
        <f aca="false">IF($A598="","",IF(AW598="Y",BX598&amp;"",BJ598&amp;""))</f>
        <v/>
      </c>
      <c r="AQ598" s="5"/>
      <c r="AT598" s="0" t="str">
        <f aca="false">IF($A598="","",IF(AND(CN598="pass",AQ598&lt;&gt;"Y",C598&lt;&gt;"",OR(AX598&lt;&gt;"Y",AV598="Y")),"Y","N"))</f>
        <v/>
      </c>
      <c r="AU598" s="0" t="str">
        <f aca="false">IF($A598="","",_xlfn.TEXTJOIN("; ",TRUE(),IF(CN598&lt;&gt;"pass","gated out",""),IF(AQ598="Y","on hold: "&amp;AR598,""),IF(C598="","no contact named on an opened page",""),IF(AND(AX598="Y",AV598&lt;&gt;"Y"),"Tuesday estimate band "&amp;L598&amp;": founder's call","")))</f>
        <v/>
      </c>
      <c r="BC598" s="0" t="str">
        <f aca="false">IF($A598="","",IFERROR(INDEX(Enrichment!$A$2:$GZ$2000,MATCH($A598,INDEX(Enrichment!$A$2:$GZ$2000,0,MATCH("row_id",Enrichment!$A$1:$GZ$1,0)),0),MATCH("work_email",Enrichment!$A$1:$GZ$1,0))&amp;"",""))</f>
        <v/>
      </c>
      <c r="BD598" s="0" t="str">
        <f aca="false">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Q598" s="0" t="str">
        <f aca="false">IF($A598="","",IFERROR(INDEX(Enrichment!$A$2:$GZ$2000,MATCH($A598,INDEX(Enrichment!$A$2:$GZ$2000,0,MATCH("row_id",Enrichment!$A$1:$GZ$1,0)),0),MATCH("backup_work_email",Enrichment!$A$1:$GZ$1,0))&amp;"",""))</f>
        <v/>
      </c>
      <c r="BR598" s="0" t="str">
        <f aca="false">IF($A598="","",IF(BQ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EQ598" s="0" t="str">
        <f aca="false">IF($A598="","",IF(AH598="exact",10,IF(AH598="adjacent",5,0)))</f>
        <v/>
      </c>
      <c r="ER598" s="0" t="str">
        <f aca="false">IF($A598="","",IF(R598="Y",15,0))</f>
        <v/>
      </c>
      <c r="FS598" s="0" t="str">
        <f aca="false">IF($A598="","",IF(ISNUMBER(MATCH(U598,{"queued","contacted","replied","call_booked","call_done","yes_in_principle","materials_sent"},0)),"Y","N"))</f>
        <v/>
      </c>
      <c r="FT598" s="0" t="str">
        <f aca="false">IF($A598="","",IF(OR(T598="Y",U598="do_not_contact",AS598&amp;""&lt;&gt;""),"Y","N"))</f>
        <v/>
      </c>
      <c r="FU598" s="0" t="str">
        <f aca="false">IF($A598="","",IF(AP598&amp;""&lt;&gt;"",AP598&amp;"",$A598))</f>
        <v/>
      </c>
      <c r="FV598" s="0" t="str">
        <f aca="false">IF($A598="","",IF(COUNTIFS($FU$2:$FU$1000,FU598,$FS$2:$FS$1000,"Y")+COUNTIFS($FU$2:$FU$1000,FU598,$FT$2:$FT$1000,"Y")&gt;0,"Y","N"))</f>
        <v/>
      </c>
      <c r="FW598" s="0" t="str">
        <f aca="false">IF($A598="","",IF(AND(U598="new",T598="N",FT598="N",AT598="Y",FV598="N"),"Y","N"))</f>
        <v/>
      </c>
      <c r="FX598" s="0" t="str">
        <f aca="false">IF($A598="","",IF(FW598&lt;&gt;"Y","N",IF(COUNTIFS($FU$2:$FU$1000,FU598,$FW$2:$FW$1000,"Y",$J$2:$J$1000,"&gt;"&amp;J598)+COUNTIFS($FU$2:$FU$1000,FU598,$FW$2:$FW$1000,"Y",$J$2:$J$1000,J598,$GD$2:$GD$1000,"&lt;"&amp;GD598)=0,"Y","N")))</f>
        <v/>
      </c>
      <c r="FY598" s="0" t="str">
        <f aca="false">IF($A598="","",IF(AND(FW598="Y",FX598="Y",Y598&amp;""&lt;&gt;""),IF(Y598&lt;=10,"Y","N"),"N"))</f>
        <v/>
      </c>
      <c r="FZ598" s="0" t="str">
        <f aca="false">IF(FY598="Y",Y598,"")</f>
        <v/>
      </c>
      <c r="GA598" s="0" t="str">
        <f aca="false">IF($A598="","",IF(AND(I598="walk-in",CN598="pass",U598="new",FT598="N",FV598="N",AQ598&lt;&gt;"Y"),"Y","N"))</f>
        <v/>
      </c>
      <c r="GB598" s="0" t="str">
        <f aca="false">IF(GA598&lt;&gt;"Y","",IF(COUNTIFS($GA$2:$GA$1000,"Y",$J$2:$J$1000,"&gt;"&amp;J598)+COUNTIFS($GA$2:$GA$1000,"Y",$J$2:$J$1000,J598,$GD$2:$GD$1000,"&lt;"&amp;GD598)+1&lt;=25,COUNTIFS($GA$2:$GA$1000,"Y",$J$2:$J$1000,"&gt;"&amp;J598)+COUNTIFS($GA$2:$GA$1000,"Y",$J$2:$J$1000,J598,$GD$2:$GD$1000,"&lt;"&amp;GD598)+1,""))</f>
        <v/>
      </c>
      <c r="GC598" s="0" t="str">
        <f aca="false">IF(AND(_xlfn.ISFORMULA(C598),_xlfn.ISFORMULA(J598)),"Y","N")</f>
        <v>Y</v>
      </c>
      <c r="GD598" s="0" t="n">
        <f aca="false">ROW()-1</f>
        <v>597</v>
      </c>
    </row>
    <row r="599" customFormat="false" ht="15" hidden="false" customHeight="false" outlineLevel="0" collapsed="false">
      <c r="C599" s="0" t="str">
        <f aca="false">IF($A599="","",IF(AW599="Y",BM599&amp;"",AY599&amp;""))</f>
        <v/>
      </c>
      <c r="D599" s="0" t="str">
        <f aca="false">IF($A599="","",IF(AW599="Y",BN599&amp;"",AZ599&amp;""))</f>
        <v/>
      </c>
      <c r="E599" s="0" t="str">
        <f aca="false">IF($A599="","",IF(AW599="Y",BO599&amp;"",BA599&amp;""))</f>
        <v/>
      </c>
      <c r="F599" s="0" t="str">
        <f aca="false">IF($A599="","",IF(AW599="Y",BP599&amp;"",BB599&amp;""))</f>
        <v/>
      </c>
      <c r="G599" s="0" t="str">
        <f aca="false">IF($A599="","",IF(AW599="Y",BQ599&amp;"",BC599&amp;""))</f>
        <v/>
      </c>
      <c r="H599" s="0" t="str">
        <f aca="false">IF($A599="","",IF(AW599="Y",BR599&amp;"",BD599&amp;""))</f>
        <v/>
      </c>
      <c r="I599" s="0" t="str">
        <f aca="false">IF($A599="","",IF(R599="Y","warm-intro",IF(H599="verified","email",IF(C599&lt;&gt;"","linkedin",CB599&amp;""))))</f>
        <v/>
      </c>
      <c r="J599" s="0" t="str">
        <f aca="false">IF($A599="","",IF(CN599="pass",ROUND(N(EM599)+N(EN599)+N(EO599)+N(EP599)+N(EQ599)+N(ER599),1),0))</f>
        <v/>
      </c>
      <c r="K599" s="0" t="str">
        <f aca="false">IF($A599="","",IF(CN599&lt;&gt;"pass",CA599&amp;"",CA599&amp;"; "&amp;IF(AW599="Y",BZ599&amp;"",BL599&amp;"")&amp;IF(R599="Y","; known to the founder (+15)","")&amp;"."))</f>
        <v/>
      </c>
      <c r="R599" s="5"/>
      <c r="U599" s="5"/>
      <c r="Y599" s="0" t="str">
        <f aca="false">IF(FX599&lt;&gt;"Y","",COUNTIFS($FX$2:$FX$1000,"Y",$J$2:$J$1000,"&gt;"&amp;J599)+COUNTIFS($FX$2:$FX$1000,"Y",$J$2:$J$1000,J599,$GD$2:$GD$1000,"&lt;"&amp;GD599)+1)</f>
        <v/>
      </c>
      <c r="AB599" s="0" t="str">
        <f aca="false">IF($A599="","",IF(AW599="Y",BY599&amp;"",BK599&amp;""))</f>
        <v/>
      </c>
      <c r="AC599" s="0" t="str">
        <f aca="false">IF($A599="","",IF(AW599="Y",BS599&amp;"",BE599&amp;""))</f>
        <v/>
      </c>
      <c r="AD599" s="0" t="str">
        <f aca="false">IF($A599="","",IF(AW599="Y",BT599&amp;"",BF599&amp;""))</f>
        <v/>
      </c>
      <c r="AE599" s="0" t="str">
        <f aca="false">IF($A599="","",IF(AW599="Y",BU599&amp;"",BG599&amp;""))</f>
        <v/>
      </c>
      <c r="AF599" s="0" t="str">
        <f aca="false">IF($A599="","",IF(AW599="Y",BV599&amp;"",BH599&amp;""))</f>
        <v/>
      </c>
      <c r="AG599" s="0" t="str">
        <f aca="false">IF($A599="","",IF(AW599="Y",BW599&amp;"",BI599&amp;""))</f>
        <v/>
      </c>
      <c r="AH599" s="0" t="str">
        <f aca="false">IF($A599="","",IF(AW599="Y",BX599&amp;"",BJ599&amp;""))</f>
        <v/>
      </c>
      <c r="AQ599" s="5"/>
      <c r="AT599" s="0" t="str">
        <f aca="false">IF($A599="","",IF(AND(CN599="pass",AQ599&lt;&gt;"Y",C599&lt;&gt;"",OR(AX599&lt;&gt;"Y",AV599="Y")),"Y","N"))</f>
        <v/>
      </c>
      <c r="AU599" s="0" t="str">
        <f aca="false">IF($A599="","",_xlfn.TEXTJOIN("; ",TRUE(),IF(CN599&lt;&gt;"pass","gated out",""),IF(AQ599="Y","on hold: "&amp;AR599,""),IF(C599="","no contact named on an opened page",""),IF(AND(AX599="Y",AV599&lt;&gt;"Y"),"Tuesday estimate band "&amp;L599&amp;": founder's call","")))</f>
        <v/>
      </c>
      <c r="BC599" s="0" t="str">
        <f aca="false">IF($A599="","",IFERROR(INDEX(Enrichment!$A$2:$GZ$2000,MATCH($A599,INDEX(Enrichment!$A$2:$GZ$2000,0,MATCH("row_id",Enrichment!$A$1:$GZ$1,0)),0),MATCH("work_email",Enrichment!$A$1:$GZ$1,0))&amp;"",""))</f>
        <v/>
      </c>
      <c r="BD599" s="0" t="str">
        <f aca="false">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Q599" s="0" t="str">
        <f aca="false">IF($A599="","",IFERROR(INDEX(Enrichment!$A$2:$GZ$2000,MATCH($A599,INDEX(Enrichment!$A$2:$GZ$2000,0,MATCH("row_id",Enrichment!$A$1:$GZ$1,0)),0),MATCH("backup_work_email",Enrichment!$A$1:$GZ$1,0))&amp;"",""))</f>
        <v/>
      </c>
      <c r="BR599" s="0" t="str">
        <f aca="false">IF($A599="","",IF(BQ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EQ599" s="0" t="str">
        <f aca="false">IF($A599="","",IF(AH599="exact",10,IF(AH599="adjacent",5,0)))</f>
        <v/>
      </c>
      <c r="ER599" s="0" t="str">
        <f aca="false">IF($A599="","",IF(R599="Y",15,0))</f>
        <v/>
      </c>
      <c r="FS599" s="0" t="str">
        <f aca="false">IF($A599="","",IF(ISNUMBER(MATCH(U599,{"queued","contacted","replied","call_booked","call_done","yes_in_principle","materials_sent"},0)),"Y","N"))</f>
        <v/>
      </c>
      <c r="FT599" s="0" t="str">
        <f aca="false">IF($A599="","",IF(OR(T599="Y",U599="do_not_contact",AS599&amp;""&lt;&gt;""),"Y","N"))</f>
        <v/>
      </c>
      <c r="FU599" s="0" t="str">
        <f aca="false">IF($A599="","",IF(AP599&amp;""&lt;&gt;"",AP599&amp;"",$A599))</f>
        <v/>
      </c>
      <c r="FV599" s="0" t="str">
        <f aca="false">IF($A599="","",IF(COUNTIFS($FU$2:$FU$1000,FU599,$FS$2:$FS$1000,"Y")+COUNTIFS($FU$2:$FU$1000,FU599,$FT$2:$FT$1000,"Y")&gt;0,"Y","N"))</f>
        <v/>
      </c>
      <c r="FW599" s="0" t="str">
        <f aca="false">IF($A599="","",IF(AND(U599="new",T599="N",FT599="N",AT599="Y",FV599="N"),"Y","N"))</f>
        <v/>
      </c>
      <c r="FX599" s="0" t="str">
        <f aca="false">IF($A599="","",IF(FW599&lt;&gt;"Y","N",IF(COUNTIFS($FU$2:$FU$1000,FU599,$FW$2:$FW$1000,"Y",$J$2:$J$1000,"&gt;"&amp;J599)+COUNTIFS($FU$2:$FU$1000,FU599,$FW$2:$FW$1000,"Y",$J$2:$J$1000,J599,$GD$2:$GD$1000,"&lt;"&amp;GD599)=0,"Y","N")))</f>
        <v/>
      </c>
      <c r="FY599" s="0" t="str">
        <f aca="false">IF($A599="","",IF(AND(FW599="Y",FX599="Y",Y599&amp;""&lt;&gt;""),IF(Y599&lt;=10,"Y","N"),"N"))</f>
        <v/>
      </c>
      <c r="FZ599" s="0" t="str">
        <f aca="false">IF(FY599="Y",Y599,"")</f>
        <v/>
      </c>
      <c r="GA599" s="0" t="str">
        <f aca="false">IF($A599="","",IF(AND(I599="walk-in",CN599="pass",U599="new",FT599="N",FV599="N",AQ599&lt;&gt;"Y"),"Y","N"))</f>
        <v/>
      </c>
      <c r="GB599" s="0" t="str">
        <f aca="false">IF(GA599&lt;&gt;"Y","",IF(COUNTIFS($GA$2:$GA$1000,"Y",$J$2:$J$1000,"&gt;"&amp;J599)+COUNTIFS($GA$2:$GA$1000,"Y",$J$2:$J$1000,J599,$GD$2:$GD$1000,"&lt;"&amp;GD599)+1&lt;=25,COUNTIFS($GA$2:$GA$1000,"Y",$J$2:$J$1000,"&gt;"&amp;J599)+COUNTIFS($GA$2:$GA$1000,"Y",$J$2:$J$1000,J599,$GD$2:$GD$1000,"&lt;"&amp;GD599)+1,""))</f>
        <v/>
      </c>
      <c r="GC599" s="0" t="str">
        <f aca="false">IF(AND(_xlfn.ISFORMULA(C599),_xlfn.ISFORMULA(J599)),"Y","N")</f>
        <v>Y</v>
      </c>
      <c r="GD599" s="0" t="n">
        <f aca="false">ROW()-1</f>
        <v>598</v>
      </c>
    </row>
    <row r="600" customFormat="false" ht="15" hidden="false" customHeight="false" outlineLevel="0" collapsed="false">
      <c r="C600" s="0" t="str">
        <f aca="false">IF($A600="","",IF(AW600="Y",BM600&amp;"",AY600&amp;""))</f>
        <v/>
      </c>
      <c r="D600" s="0" t="str">
        <f aca="false">IF($A600="","",IF(AW600="Y",BN600&amp;"",AZ600&amp;""))</f>
        <v/>
      </c>
      <c r="E600" s="0" t="str">
        <f aca="false">IF($A600="","",IF(AW600="Y",BO600&amp;"",BA600&amp;""))</f>
        <v/>
      </c>
      <c r="F600" s="0" t="str">
        <f aca="false">IF($A600="","",IF(AW600="Y",BP600&amp;"",BB600&amp;""))</f>
        <v/>
      </c>
      <c r="G600" s="0" t="str">
        <f aca="false">IF($A600="","",IF(AW600="Y",BQ600&amp;"",BC600&amp;""))</f>
        <v/>
      </c>
      <c r="H600" s="0" t="str">
        <f aca="false">IF($A600="","",IF(AW600="Y",BR600&amp;"",BD600&amp;""))</f>
        <v/>
      </c>
      <c r="I600" s="0" t="str">
        <f aca="false">IF($A600="","",IF(R600="Y","warm-intro",IF(H600="verified","email",IF(C600&lt;&gt;"","linkedin",CB600&amp;""))))</f>
        <v/>
      </c>
      <c r="J600" s="0" t="str">
        <f aca="false">IF($A600="","",IF(CN600="pass",ROUND(N(EM600)+N(EN600)+N(EO600)+N(EP600)+N(EQ600)+N(ER600),1),0))</f>
        <v/>
      </c>
      <c r="K600" s="0" t="str">
        <f aca="false">IF($A600="","",IF(CN600&lt;&gt;"pass",CA600&amp;"",CA600&amp;"; "&amp;IF(AW600="Y",BZ600&amp;"",BL600&amp;"")&amp;IF(R600="Y","; known to the founder (+15)","")&amp;"."))</f>
        <v/>
      </c>
      <c r="R600" s="5"/>
      <c r="U600" s="5"/>
      <c r="Y600" s="0" t="str">
        <f aca="false">IF(FX600&lt;&gt;"Y","",COUNTIFS($FX$2:$FX$1000,"Y",$J$2:$J$1000,"&gt;"&amp;J600)+COUNTIFS($FX$2:$FX$1000,"Y",$J$2:$J$1000,J600,$GD$2:$GD$1000,"&lt;"&amp;GD600)+1)</f>
        <v/>
      </c>
      <c r="AB600" s="0" t="str">
        <f aca="false">IF($A600="","",IF(AW600="Y",BY600&amp;"",BK600&amp;""))</f>
        <v/>
      </c>
      <c r="AC600" s="0" t="str">
        <f aca="false">IF($A600="","",IF(AW600="Y",BS600&amp;"",BE600&amp;""))</f>
        <v/>
      </c>
      <c r="AD600" s="0" t="str">
        <f aca="false">IF($A600="","",IF(AW600="Y",BT600&amp;"",BF600&amp;""))</f>
        <v/>
      </c>
      <c r="AE600" s="0" t="str">
        <f aca="false">IF($A600="","",IF(AW600="Y",BU600&amp;"",BG600&amp;""))</f>
        <v/>
      </c>
      <c r="AF600" s="0" t="str">
        <f aca="false">IF($A600="","",IF(AW600="Y",BV600&amp;"",BH600&amp;""))</f>
        <v/>
      </c>
      <c r="AG600" s="0" t="str">
        <f aca="false">IF($A600="","",IF(AW600="Y",BW600&amp;"",BI600&amp;""))</f>
        <v/>
      </c>
      <c r="AH600" s="0" t="str">
        <f aca="false">IF($A600="","",IF(AW600="Y",BX600&amp;"",BJ600&amp;""))</f>
        <v/>
      </c>
      <c r="AQ600" s="5"/>
      <c r="AT600" s="0" t="str">
        <f aca="false">IF($A600="","",IF(AND(CN600="pass",AQ600&lt;&gt;"Y",C600&lt;&gt;"",OR(AX600&lt;&gt;"Y",AV600="Y")),"Y","N"))</f>
        <v/>
      </c>
      <c r="AU600" s="0" t="str">
        <f aca="false">IF($A600="","",_xlfn.TEXTJOIN("; ",TRUE(),IF(CN600&lt;&gt;"pass","gated out",""),IF(AQ600="Y","on hold: "&amp;AR600,""),IF(C600="","no contact named on an opened page",""),IF(AND(AX600="Y",AV600&lt;&gt;"Y"),"Tuesday estimate band "&amp;L600&amp;": founder's call","")))</f>
        <v/>
      </c>
      <c r="BC600" s="0" t="str">
        <f aca="false">IF($A600="","",IFERROR(INDEX(Enrichment!$A$2:$GZ$2000,MATCH($A600,INDEX(Enrichment!$A$2:$GZ$2000,0,MATCH("row_id",Enrichment!$A$1:$GZ$1,0)),0),MATCH("work_email",Enrichment!$A$1:$GZ$1,0))&amp;"",""))</f>
        <v/>
      </c>
      <c r="BD600" s="0" t="str">
        <f aca="false">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Q600" s="0" t="str">
        <f aca="false">IF($A600="","",IFERROR(INDEX(Enrichment!$A$2:$GZ$2000,MATCH($A600,INDEX(Enrichment!$A$2:$GZ$2000,0,MATCH("row_id",Enrichment!$A$1:$GZ$1,0)),0),MATCH("backup_work_email",Enrichment!$A$1:$GZ$1,0))&amp;"",""))</f>
        <v/>
      </c>
      <c r="BR600" s="0" t="str">
        <f aca="false">IF($A600="","",IF(BQ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EQ600" s="0" t="str">
        <f aca="false">IF($A600="","",IF(AH600="exact",10,IF(AH600="adjacent",5,0)))</f>
        <v/>
      </c>
      <c r="ER600" s="0" t="str">
        <f aca="false">IF($A600="","",IF(R600="Y",15,0))</f>
        <v/>
      </c>
      <c r="FS600" s="0" t="str">
        <f aca="false">IF($A600="","",IF(ISNUMBER(MATCH(U600,{"queued","contacted","replied","call_booked","call_done","yes_in_principle","materials_sent"},0)),"Y","N"))</f>
        <v/>
      </c>
      <c r="FT600" s="0" t="str">
        <f aca="false">IF($A600="","",IF(OR(T600="Y",U600="do_not_contact",AS600&amp;""&lt;&gt;""),"Y","N"))</f>
        <v/>
      </c>
      <c r="FU600" s="0" t="str">
        <f aca="false">IF($A600="","",IF(AP600&amp;""&lt;&gt;"",AP600&amp;"",$A600))</f>
        <v/>
      </c>
      <c r="FV600" s="0" t="str">
        <f aca="false">IF($A600="","",IF(COUNTIFS($FU$2:$FU$1000,FU600,$FS$2:$FS$1000,"Y")+COUNTIFS($FU$2:$FU$1000,FU600,$FT$2:$FT$1000,"Y")&gt;0,"Y","N"))</f>
        <v/>
      </c>
      <c r="FW600" s="0" t="str">
        <f aca="false">IF($A600="","",IF(AND(U600="new",T600="N",FT600="N",AT600="Y",FV600="N"),"Y","N"))</f>
        <v/>
      </c>
      <c r="FX600" s="0" t="str">
        <f aca="false">IF($A600="","",IF(FW600&lt;&gt;"Y","N",IF(COUNTIFS($FU$2:$FU$1000,FU600,$FW$2:$FW$1000,"Y",$J$2:$J$1000,"&gt;"&amp;J600)+COUNTIFS($FU$2:$FU$1000,FU600,$FW$2:$FW$1000,"Y",$J$2:$J$1000,J600,$GD$2:$GD$1000,"&lt;"&amp;GD600)=0,"Y","N")))</f>
        <v/>
      </c>
      <c r="FY600" s="0" t="str">
        <f aca="false">IF($A600="","",IF(AND(FW600="Y",FX600="Y",Y600&amp;""&lt;&gt;""),IF(Y600&lt;=10,"Y","N"),"N"))</f>
        <v/>
      </c>
      <c r="FZ600" s="0" t="str">
        <f aca="false">IF(FY600="Y",Y600,"")</f>
        <v/>
      </c>
      <c r="GA600" s="0" t="str">
        <f aca="false">IF($A600="","",IF(AND(I600="walk-in",CN600="pass",U600="new",FT600="N",FV600="N",AQ600&lt;&gt;"Y"),"Y","N"))</f>
        <v/>
      </c>
      <c r="GB600" s="0" t="str">
        <f aca="false">IF(GA600&lt;&gt;"Y","",IF(COUNTIFS($GA$2:$GA$1000,"Y",$J$2:$J$1000,"&gt;"&amp;J600)+COUNTIFS($GA$2:$GA$1000,"Y",$J$2:$J$1000,J600,$GD$2:$GD$1000,"&lt;"&amp;GD600)+1&lt;=25,COUNTIFS($GA$2:$GA$1000,"Y",$J$2:$J$1000,"&gt;"&amp;J600)+COUNTIFS($GA$2:$GA$1000,"Y",$J$2:$J$1000,J600,$GD$2:$GD$1000,"&lt;"&amp;GD600)+1,""))</f>
        <v/>
      </c>
      <c r="GC600" s="0" t="str">
        <f aca="false">IF(AND(_xlfn.ISFORMULA(C600),_xlfn.ISFORMULA(J600)),"Y","N")</f>
        <v>Y</v>
      </c>
      <c r="GD600" s="0" t="n">
        <f aca="false">ROW()-1</f>
        <v>599</v>
      </c>
    </row>
    <row r="601" customFormat="false" ht="15" hidden="false" customHeight="false" outlineLevel="0" collapsed="false">
      <c r="C601" s="0" t="str">
        <f aca="false">IF($A601="","",IF(AW601="Y",BM601&amp;"",AY601&amp;""))</f>
        <v/>
      </c>
      <c r="D601" s="0" t="str">
        <f aca="false">IF($A601="","",IF(AW601="Y",BN601&amp;"",AZ601&amp;""))</f>
        <v/>
      </c>
      <c r="E601" s="0" t="str">
        <f aca="false">IF($A601="","",IF(AW601="Y",BO601&amp;"",BA601&amp;""))</f>
        <v/>
      </c>
      <c r="F601" s="0" t="str">
        <f aca="false">IF($A601="","",IF(AW601="Y",BP601&amp;"",BB601&amp;""))</f>
        <v/>
      </c>
      <c r="G601" s="0" t="str">
        <f aca="false">IF($A601="","",IF(AW601="Y",BQ601&amp;"",BC601&amp;""))</f>
        <v/>
      </c>
      <c r="H601" s="0" t="str">
        <f aca="false">IF($A601="","",IF(AW601="Y",BR601&amp;"",BD601&amp;""))</f>
        <v/>
      </c>
      <c r="I601" s="0" t="str">
        <f aca="false">IF($A601="","",IF(R601="Y","warm-intro",IF(H601="verified","email",IF(C601&lt;&gt;"","linkedin",CB601&amp;""))))</f>
        <v/>
      </c>
      <c r="J601" s="0" t="str">
        <f aca="false">IF($A601="","",IF(CN601="pass",ROUND(N(EM601)+N(EN601)+N(EO601)+N(EP601)+N(EQ601)+N(ER601),1),0))</f>
        <v/>
      </c>
      <c r="K601" s="0" t="str">
        <f aca="false">IF($A601="","",IF(CN601&lt;&gt;"pass",CA601&amp;"",CA601&amp;"; "&amp;IF(AW601="Y",BZ601&amp;"",BL601&amp;"")&amp;IF(R601="Y","; known to the founder (+15)","")&amp;"."))</f>
        <v/>
      </c>
      <c r="R601" s="5"/>
      <c r="U601" s="5"/>
      <c r="Y601" s="0" t="str">
        <f aca="false">IF(FX601&lt;&gt;"Y","",COUNTIFS($FX$2:$FX$1000,"Y",$J$2:$J$1000,"&gt;"&amp;J601)+COUNTIFS($FX$2:$FX$1000,"Y",$J$2:$J$1000,J601,$GD$2:$GD$1000,"&lt;"&amp;GD601)+1)</f>
        <v/>
      </c>
      <c r="AB601" s="0" t="str">
        <f aca="false">IF($A601="","",IF(AW601="Y",BY601&amp;"",BK601&amp;""))</f>
        <v/>
      </c>
      <c r="AC601" s="0" t="str">
        <f aca="false">IF($A601="","",IF(AW601="Y",BS601&amp;"",BE601&amp;""))</f>
        <v/>
      </c>
      <c r="AD601" s="0" t="str">
        <f aca="false">IF($A601="","",IF(AW601="Y",BT601&amp;"",BF601&amp;""))</f>
        <v/>
      </c>
      <c r="AE601" s="0" t="str">
        <f aca="false">IF($A601="","",IF(AW601="Y",BU601&amp;"",BG601&amp;""))</f>
        <v/>
      </c>
      <c r="AF601" s="0" t="str">
        <f aca="false">IF($A601="","",IF(AW601="Y",BV601&amp;"",BH601&amp;""))</f>
        <v/>
      </c>
      <c r="AG601" s="0" t="str">
        <f aca="false">IF($A601="","",IF(AW601="Y",BW601&amp;"",BI601&amp;""))</f>
        <v/>
      </c>
      <c r="AH601" s="0" t="str">
        <f aca="false">IF($A601="","",IF(AW601="Y",BX601&amp;"",BJ601&amp;""))</f>
        <v/>
      </c>
      <c r="AQ601" s="5"/>
      <c r="AT601" s="0" t="str">
        <f aca="false">IF($A601="","",IF(AND(CN601="pass",AQ601&lt;&gt;"Y",C601&lt;&gt;"",OR(AX601&lt;&gt;"Y",AV601="Y")),"Y","N"))</f>
        <v/>
      </c>
      <c r="AU601" s="0" t="str">
        <f aca="false">IF($A601="","",_xlfn.TEXTJOIN("; ",TRUE(),IF(CN601&lt;&gt;"pass","gated out",""),IF(AQ601="Y","on hold: "&amp;AR601,""),IF(C601="","no contact named on an opened page",""),IF(AND(AX601="Y",AV601&lt;&gt;"Y"),"Tuesday estimate band "&amp;L601&amp;": founder's call","")))</f>
        <v/>
      </c>
      <c r="BC601" s="0" t="str">
        <f aca="false">IF($A601="","",IFERROR(INDEX(Enrichment!$A$2:$GZ$2000,MATCH($A601,INDEX(Enrichment!$A$2:$GZ$2000,0,MATCH("row_id",Enrichment!$A$1:$GZ$1,0)),0),MATCH("work_email",Enrichment!$A$1:$GZ$1,0))&amp;"",""))</f>
        <v/>
      </c>
      <c r="BD601" s="0" t="str">
        <f aca="false">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Q601" s="0" t="str">
        <f aca="false">IF($A601="","",IFERROR(INDEX(Enrichment!$A$2:$GZ$2000,MATCH($A601,INDEX(Enrichment!$A$2:$GZ$2000,0,MATCH("row_id",Enrichment!$A$1:$GZ$1,0)),0),MATCH("backup_work_email",Enrichment!$A$1:$GZ$1,0))&amp;"",""))</f>
        <v/>
      </c>
      <c r="BR601" s="0" t="str">
        <f aca="false">IF($A601="","",IF(BQ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EQ601" s="0" t="str">
        <f aca="false">IF($A601="","",IF(AH601="exact",10,IF(AH601="adjacent",5,0)))</f>
        <v/>
      </c>
      <c r="ER601" s="0" t="str">
        <f aca="false">IF($A601="","",IF(R601="Y",15,0))</f>
        <v/>
      </c>
      <c r="FS601" s="0" t="str">
        <f aca="false">IF($A601="","",IF(ISNUMBER(MATCH(U601,{"queued","contacted","replied","call_booked","call_done","yes_in_principle","materials_sent"},0)),"Y","N"))</f>
        <v/>
      </c>
      <c r="FT601" s="0" t="str">
        <f aca="false">IF($A601="","",IF(OR(T601="Y",U601="do_not_contact",AS601&amp;""&lt;&gt;""),"Y","N"))</f>
        <v/>
      </c>
      <c r="FU601" s="0" t="str">
        <f aca="false">IF($A601="","",IF(AP601&amp;""&lt;&gt;"",AP601&amp;"",$A601))</f>
        <v/>
      </c>
      <c r="FV601" s="0" t="str">
        <f aca="false">IF($A601="","",IF(COUNTIFS($FU$2:$FU$1000,FU601,$FS$2:$FS$1000,"Y")+COUNTIFS($FU$2:$FU$1000,FU601,$FT$2:$FT$1000,"Y")&gt;0,"Y","N"))</f>
        <v/>
      </c>
      <c r="FW601" s="0" t="str">
        <f aca="false">IF($A601="","",IF(AND(U601="new",T601="N",FT601="N",AT601="Y",FV601="N"),"Y","N"))</f>
        <v/>
      </c>
      <c r="FX601" s="0" t="str">
        <f aca="false">IF($A601="","",IF(FW601&lt;&gt;"Y","N",IF(COUNTIFS($FU$2:$FU$1000,FU601,$FW$2:$FW$1000,"Y",$J$2:$J$1000,"&gt;"&amp;J601)+COUNTIFS($FU$2:$FU$1000,FU601,$FW$2:$FW$1000,"Y",$J$2:$J$1000,J601,$GD$2:$GD$1000,"&lt;"&amp;GD601)=0,"Y","N")))</f>
        <v/>
      </c>
      <c r="FY601" s="0" t="str">
        <f aca="false">IF($A601="","",IF(AND(FW601="Y",FX601="Y",Y601&amp;""&lt;&gt;""),IF(Y601&lt;=10,"Y","N"),"N"))</f>
        <v/>
      </c>
      <c r="FZ601" s="0" t="str">
        <f aca="false">IF(FY601="Y",Y601,"")</f>
        <v/>
      </c>
      <c r="GA601" s="0" t="str">
        <f aca="false">IF($A601="","",IF(AND(I601="walk-in",CN601="pass",U601="new",FT601="N",FV601="N",AQ601&lt;&gt;"Y"),"Y","N"))</f>
        <v/>
      </c>
      <c r="GB601" s="0" t="str">
        <f aca="false">IF(GA601&lt;&gt;"Y","",IF(COUNTIFS($GA$2:$GA$1000,"Y",$J$2:$J$1000,"&gt;"&amp;J601)+COUNTIFS($GA$2:$GA$1000,"Y",$J$2:$J$1000,J601,$GD$2:$GD$1000,"&lt;"&amp;GD601)+1&lt;=25,COUNTIFS($GA$2:$GA$1000,"Y",$J$2:$J$1000,"&gt;"&amp;J601)+COUNTIFS($GA$2:$GA$1000,"Y",$J$2:$J$1000,J601,$GD$2:$GD$1000,"&lt;"&amp;GD601)+1,""))</f>
        <v/>
      </c>
      <c r="GC601" s="0" t="str">
        <f aca="false">IF(AND(_xlfn.ISFORMULA(C601),_xlfn.ISFORMULA(J601)),"Y","N")</f>
        <v>Y</v>
      </c>
      <c r="GD601" s="0" t="n">
        <f aca="false">ROW()-1</f>
        <v>600</v>
      </c>
    </row>
    <row r="602" customFormat="false" ht="15" hidden="false" customHeight="false" outlineLevel="0" collapsed="false">
      <c r="C602" s="0" t="str">
        <f aca="false">IF($A602="","",IF(AW602="Y",BM602&amp;"",AY602&amp;""))</f>
        <v/>
      </c>
      <c r="D602" s="0" t="str">
        <f aca="false">IF($A602="","",IF(AW602="Y",BN602&amp;"",AZ602&amp;""))</f>
        <v/>
      </c>
      <c r="E602" s="0" t="str">
        <f aca="false">IF($A602="","",IF(AW602="Y",BO602&amp;"",BA602&amp;""))</f>
        <v/>
      </c>
      <c r="F602" s="0" t="str">
        <f aca="false">IF($A602="","",IF(AW602="Y",BP602&amp;"",BB602&amp;""))</f>
        <v/>
      </c>
      <c r="G602" s="0" t="str">
        <f aca="false">IF($A602="","",IF(AW602="Y",BQ602&amp;"",BC602&amp;""))</f>
        <v/>
      </c>
      <c r="H602" s="0" t="str">
        <f aca="false">IF($A602="","",IF(AW602="Y",BR602&amp;"",BD602&amp;""))</f>
        <v/>
      </c>
      <c r="I602" s="0" t="str">
        <f aca="false">IF($A602="","",IF(R602="Y","warm-intro",IF(H602="verified","email",IF(C602&lt;&gt;"","linkedin",CB602&amp;""))))</f>
        <v/>
      </c>
      <c r="J602" s="0" t="str">
        <f aca="false">IF($A602="","",IF(CN602="pass",ROUND(N(EM602)+N(EN602)+N(EO602)+N(EP602)+N(EQ602)+N(ER602),1),0))</f>
        <v/>
      </c>
      <c r="K602" s="0" t="str">
        <f aca="false">IF($A602="","",IF(CN602&lt;&gt;"pass",CA602&amp;"",CA602&amp;"; "&amp;IF(AW602="Y",BZ602&amp;"",BL602&amp;"")&amp;IF(R602="Y","; known to the founder (+15)","")&amp;"."))</f>
        <v/>
      </c>
      <c r="R602" s="5"/>
      <c r="U602" s="5"/>
      <c r="Y602" s="0" t="str">
        <f aca="false">IF(FX602&lt;&gt;"Y","",COUNTIFS($FX$2:$FX$1000,"Y",$J$2:$J$1000,"&gt;"&amp;J602)+COUNTIFS($FX$2:$FX$1000,"Y",$J$2:$J$1000,J602,$GD$2:$GD$1000,"&lt;"&amp;GD602)+1)</f>
        <v/>
      </c>
      <c r="AB602" s="0" t="str">
        <f aca="false">IF($A602="","",IF(AW602="Y",BY602&amp;"",BK602&amp;""))</f>
        <v/>
      </c>
      <c r="AC602" s="0" t="str">
        <f aca="false">IF($A602="","",IF(AW602="Y",BS602&amp;"",BE602&amp;""))</f>
        <v/>
      </c>
      <c r="AD602" s="0" t="str">
        <f aca="false">IF($A602="","",IF(AW602="Y",BT602&amp;"",BF602&amp;""))</f>
        <v/>
      </c>
      <c r="AE602" s="0" t="str">
        <f aca="false">IF($A602="","",IF(AW602="Y",BU602&amp;"",BG602&amp;""))</f>
        <v/>
      </c>
      <c r="AF602" s="0" t="str">
        <f aca="false">IF($A602="","",IF(AW602="Y",BV602&amp;"",BH602&amp;""))</f>
        <v/>
      </c>
      <c r="AG602" s="0" t="str">
        <f aca="false">IF($A602="","",IF(AW602="Y",BW602&amp;"",BI602&amp;""))</f>
        <v/>
      </c>
      <c r="AH602" s="0" t="str">
        <f aca="false">IF($A602="","",IF(AW602="Y",BX602&amp;"",BJ602&amp;""))</f>
        <v/>
      </c>
      <c r="AQ602" s="5"/>
      <c r="AT602" s="0" t="str">
        <f aca="false">IF($A602="","",IF(AND(CN602="pass",AQ602&lt;&gt;"Y",C602&lt;&gt;"",OR(AX602&lt;&gt;"Y",AV602="Y")),"Y","N"))</f>
        <v/>
      </c>
      <c r="AU602" s="0" t="str">
        <f aca="false">IF($A602="","",_xlfn.TEXTJOIN("; ",TRUE(),IF(CN602&lt;&gt;"pass","gated out",""),IF(AQ602="Y","on hold: "&amp;AR602,""),IF(C602="","no contact named on an opened page",""),IF(AND(AX602="Y",AV602&lt;&gt;"Y"),"Tuesday estimate band "&amp;L602&amp;": founder's call","")))</f>
        <v/>
      </c>
      <c r="BC602" s="0" t="str">
        <f aca="false">IF($A602="","",IFERROR(INDEX(Enrichment!$A$2:$GZ$2000,MATCH($A602,INDEX(Enrichment!$A$2:$GZ$2000,0,MATCH("row_id",Enrichment!$A$1:$GZ$1,0)),0),MATCH("work_email",Enrichment!$A$1:$GZ$1,0))&amp;"",""))</f>
        <v/>
      </c>
      <c r="BD602" s="0" t="str">
        <f aca="false">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Q602" s="0" t="str">
        <f aca="false">IF($A602="","",IFERROR(INDEX(Enrichment!$A$2:$GZ$2000,MATCH($A602,INDEX(Enrichment!$A$2:$GZ$2000,0,MATCH("row_id",Enrichment!$A$1:$GZ$1,0)),0),MATCH("backup_work_email",Enrichment!$A$1:$GZ$1,0))&amp;"",""))</f>
        <v/>
      </c>
      <c r="BR602" s="0" t="str">
        <f aca="false">IF($A602="","",IF(BQ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EQ602" s="0" t="str">
        <f aca="false">IF($A602="","",IF(AH602="exact",10,IF(AH602="adjacent",5,0)))</f>
        <v/>
      </c>
      <c r="ER602" s="0" t="str">
        <f aca="false">IF($A602="","",IF(R602="Y",15,0))</f>
        <v/>
      </c>
      <c r="FS602" s="0" t="str">
        <f aca="false">IF($A602="","",IF(ISNUMBER(MATCH(U602,{"queued","contacted","replied","call_booked","call_done","yes_in_principle","materials_sent"},0)),"Y","N"))</f>
        <v/>
      </c>
      <c r="FT602" s="0" t="str">
        <f aca="false">IF($A602="","",IF(OR(T602="Y",U602="do_not_contact",AS602&amp;""&lt;&gt;""),"Y","N"))</f>
        <v/>
      </c>
      <c r="FU602" s="0" t="str">
        <f aca="false">IF($A602="","",IF(AP602&amp;""&lt;&gt;"",AP602&amp;"",$A602))</f>
        <v/>
      </c>
      <c r="FV602" s="0" t="str">
        <f aca="false">IF($A602="","",IF(COUNTIFS($FU$2:$FU$1000,FU602,$FS$2:$FS$1000,"Y")+COUNTIFS($FU$2:$FU$1000,FU602,$FT$2:$FT$1000,"Y")&gt;0,"Y","N"))</f>
        <v/>
      </c>
      <c r="FW602" s="0" t="str">
        <f aca="false">IF($A602="","",IF(AND(U602="new",T602="N",FT602="N",AT602="Y",FV602="N"),"Y","N"))</f>
        <v/>
      </c>
      <c r="FX602" s="0" t="str">
        <f aca="false">IF($A602="","",IF(FW602&lt;&gt;"Y","N",IF(COUNTIFS($FU$2:$FU$1000,FU602,$FW$2:$FW$1000,"Y",$J$2:$J$1000,"&gt;"&amp;J602)+COUNTIFS($FU$2:$FU$1000,FU602,$FW$2:$FW$1000,"Y",$J$2:$J$1000,J602,$GD$2:$GD$1000,"&lt;"&amp;GD602)=0,"Y","N")))</f>
        <v/>
      </c>
      <c r="FY602" s="0" t="str">
        <f aca="false">IF($A602="","",IF(AND(FW602="Y",FX602="Y",Y602&amp;""&lt;&gt;""),IF(Y602&lt;=10,"Y","N"),"N"))</f>
        <v/>
      </c>
      <c r="FZ602" s="0" t="str">
        <f aca="false">IF(FY602="Y",Y602,"")</f>
        <v/>
      </c>
      <c r="GA602" s="0" t="str">
        <f aca="false">IF($A602="","",IF(AND(I602="walk-in",CN602="pass",U602="new",FT602="N",FV602="N",AQ602&lt;&gt;"Y"),"Y","N"))</f>
        <v/>
      </c>
      <c r="GB602" s="0" t="str">
        <f aca="false">IF(GA602&lt;&gt;"Y","",IF(COUNTIFS($GA$2:$GA$1000,"Y",$J$2:$J$1000,"&gt;"&amp;J602)+COUNTIFS($GA$2:$GA$1000,"Y",$J$2:$J$1000,J602,$GD$2:$GD$1000,"&lt;"&amp;GD602)+1&lt;=25,COUNTIFS($GA$2:$GA$1000,"Y",$J$2:$J$1000,"&gt;"&amp;J602)+COUNTIFS($GA$2:$GA$1000,"Y",$J$2:$J$1000,J602,$GD$2:$GD$1000,"&lt;"&amp;GD602)+1,""))</f>
        <v/>
      </c>
      <c r="GC602" s="0" t="str">
        <f aca="false">IF(AND(_xlfn.ISFORMULA(C602),_xlfn.ISFORMULA(J602)),"Y","N")</f>
        <v>Y</v>
      </c>
      <c r="GD602" s="0" t="n">
        <f aca="false">ROW()-1</f>
        <v>601</v>
      </c>
    </row>
    <row r="603" customFormat="false" ht="15" hidden="false" customHeight="false" outlineLevel="0" collapsed="false">
      <c r="C603" s="0" t="str">
        <f aca="false">IF($A603="","",IF(AW603="Y",BM603&amp;"",AY603&amp;""))</f>
        <v/>
      </c>
      <c r="D603" s="0" t="str">
        <f aca="false">IF($A603="","",IF(AW603="Y",BN603&amp;"",AZ603&amp;""))</f>
        <v/>
      </c>
      <c r="E603" s="0" t="str">
        <f aca="false">IF($A603="","",IF(AW603="Y",BO603&amp;"",BA603&amp;""))</f>
        <v/>
      </c>
      <c r="F603" s="0" t="str">
        <f aca="false">IF($A603="","",IF(AW603="Y",BP603&amp;"",BB603&amp;""))</f>
        <v/>
      </c>
      <c r="G603" s="0" t="str">
        <f aca="false">IF($A603="","",IF(AW603="Y",BQ603&amp;"",BC603&amp;""))</f>
        <v/>
      </c>
      <c r="H603" s="0" t="str">
        <f aca="false">IF($A603="","",IF(AW603="Y",BR603&amp;"",BD603&amp;""))</f>
        <v/>
      </c>
      <c r="I603" s="0" t="str">
        <f aca="false">IF($A603="","",IF(R603="Y","warm-intro",IF(H603="verified","email",IF(C603&lt;&gt;"","linkedin",CB603&amp;""))))</f>
        <v/>
      </c>
      <c r="J603" s="0" t="str">
        <f aca="false">IF($A603="","",IF(CN603="pass",ROUND(N(EM603)+N(EN603)+N(EO603)+N(EP603)+N(EQ603)+N(ER603),1),0))</f>
        <v/>
      </c>
      <c r="K603" s="0" t="str">
        <f aca="false">IF($A603="","",IF(CN603&lt;&gt;"pass",CA603&amp;"",CA603&amp;"; "&amp;IF(AW603="Y",BZ603&amp;"",BL603&amp;"")&amp;IF(R603="Y","; known to the founder (+15)","")&amp;"."))</f>
        <v/>
      </c>
      <c r="R603" s="5"/>
      <c r="U603" s="5"/>
      <c r="Y603" s="0" t="str">
        <f aca="false">IF(FX603&lt;&gt;"Y","",COUNTIFS($FX$2:$FX$1000,"Y",$J$2:$J$1000,"&gt;"&amp;J603)+COUNTIFS($FX$2:$FX$1000,"Y",$J$2:$J$1000,J603,$GD$2:$GD$1000,"&lt;"&amp;GD603)+1)</f>
        <v/>
      </c>
      <c r="AB603" s="0" t="str">
        <f aca="false">IF($A603="","",IF(AW603="Y",BY603&amp;"",BK603&amp;""))</f>
        <v/>
      </c>
      <c r="AC603" s="0" t="str">
        <f aca="false">IF($A603="","",IF(AW603="Y",BS603&amp;"",BE603&amp;""))</f>
        <v/>
      </c>
      <c r="AD603" s="0" t="str">
        <f aca="false">IF($A603="","",IF(AW603="Y",BT603&amp;"",BF603&amp;""))</f>
        <v/>
      </c>
      <c r="AE603" s="0" t="str">
        <f aca="false">IF($A603="","",IF(AW603="Y",BU603&amp;"",BG603&amp;""))</f>
        <v/>
      </c>
      <c r="AF603" s="0" t="str">
        <f aca="false">IF($A603="","",IF(AW603="Y",BV603&amp;"",BH603&amp;""))</f>
        <v/>
      </c>
      <c r="AG603" s="0" t="str">
        <f aca="false">IF($A603="","",IF(AW603="Y",BW603&amp;"",BI603&amp;""))</f>
        <v/>
      </c>
      <c r="AH603" s="0" t="str">
        <f aca="false">IF($A603="","",IF(AW603="Y",BX603&amp;"",BJ603&amp;""))</f>
        <v/>
      </c>
      <c r="AQ603" s="5"/>
      <c r="AT603" s="0" t="str">
        <f aca="false">IF($A603="","",IF(AND(CN603="pass",AQ603&lt;&gt;"Y",C603&lt;&gt;"",OR(AX603&lt;&gt;"Y",AV603="Y")),"Y","N"))</f>
        <v/>
      </c>
      <c r="AU603" s="0" t="str">
        <f aca="false">IF($A603="","",_xlfn.TEXTJOIN("; ",TRUE(),IF(CN603&lt;&gt;"pass","gated out",""),IF(AQ603="Y","on hold: "&amp;AR603,""),IF(C603="","no contact named on an opened page",""),IF(AND(AX603="Y",AV603&lt;&gt;"Y"),"Tuesday estimate band "&amp;L603&amp;": founder's call","")))</f>
        <v/>
      </c>
      <c r="BC603" s="0" t="str">
        <f aca="false">IF($A603="","",IFERROR(INDEX(Enrichment!$A$2:$GZ$2000,MATCH($A603,INDEX(Enrichment!$A$2:$GZ$2000,0,MATCH("row_id",Enrichment!$A$1:$GZ$1,0)),0),MATCH("work_email",Enrichment!$A$1:$GZ$1,0))&amp;"",""))</f>
        <v/>
      </c>
      <c r="BD603" s="0" t="str">
        <f aca="false">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Q603" s="0" t="str">
        <f aca="false">IF($A603="","",IFERROR(INDEX(Enrichment!$A$2:$GZ$2000,MATCH($A603,INDEX(Enrichment!$A$2:$GZ$2000,0,MATCH("row_id",Enrichment!$A$1:$GZ$1,0)),0),MATCH("backup_work_email",Enrichment!$A$1:$GZ$1,0))&amp;"",""))</f>
        <v/>
      </c>
      <c r="BR603" s="0" t="str">
        <f aca="false">IF($A603="","",IF(BQ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EQ603" s="0" t="str">
        <f aca="false">IF($A603="","",IF(AH603="exact",10,IF(AH603="adjacent",5,0)))</f>
        <v/>
      </c>
      <c r="ER603" s="0" t="str">
        <f aca="false">IF($A603="","",IF(R603="Y",15,0))</f>
        <v/>
      </c>
      <c r="FS603" s="0" t="str">
        <f aca="false">IF($A603="","",IF(ISNUMBER(MATCH(U603,{"queued","contacted","replied","call_booked","call_done","yes_in_principle","materials_sent"},0)),"Y","N"))</f>
        <v/>
      </c>
      <c r="FT603" s="0" t="str">
        <f aca="false">IF($A603="","",IF(OR(T603="Y",U603="do_not_contact",AS603&amp;""&lt;&gt;""),"Y","N"))</f>
        <v/>
      </c>
      <c r="FU603" s="0" t="str">
        <f aca="false">IF($A603="","",IF(AP603&amp;""&lt;&gt;"",AP603&amp;"",$A603))</f>
        <v/>
      </c>
      <c r="FV603" s="0" t="str">
        <f aca="false">IF($A603="","",IF(COUNTIFS($FU$2:$FU$1000,FU603,$FS$2:$FS$1000,"Y")+COUNTIFS($FU$2:$FU$1000,FU603,$FT$2:$FT$1000,"Y")&gt;0,"Y","N"))</f>
        <v/>
      </c>
      <c r="FW603" s="0" t="str">
        <f aca="false">IF($A603="","",IF(AND(U603="new",T603="N",FT603="N",AT603="Y",FV603="N"),"Y","N"))</f>
        <v/>
      </c>
      <c r="FX603" s="0" t="str">
        <f aca="false">IF($A603="","",IF(FW603&lt;&gt;"Y","N",IF(COUNTIFS($FU$2:$FU$1000,FU603,$FW$2:$FW$1000,"Y",$J$2:$J$1000,"&gt;"&amp;J603)+COUNTIFS($FU$2:$FU$1000,FU603,$FW$2:$FW$1000,"Y",$J$2:$J$1000,J603,$GD$2:$GD$1000,"&lt;"&amp;GD603)=0,"Y","N")))</f>
        <v/>
      </c>
      <c r="FY603" s="0" t="str">
        <f aca="false">IF($A603="","",IF(AND(FW603="Y",FX603="Y",Y603&amp;""&lt;&gt;""),IF(Y603&lt;=10,"Y","N"),"N"))</f>
        <v/>
      </c>
      <c r="FZ603" s="0" t="str">
        <f aca="false">IF(FY603="Y",Y603,"")</f>
        <v/>
      </c>
      <c r="GA603" s="0" t="str">
        <f aca="false">IF($A603="","",IF(AND(I603="walk-in",CN603="pass",U603="new",FT603="N",FV603="N",AQ603&lt;&gt;"Y"),"Y","N"))</f>
        <v/>
      </c>
      <c r="GB603" s="0" t="str">
        <f aca="false">IF(GA603&lt;&gt;"Y","",IF(COUNTIFS($GA$2:$GA$1000,"Y",$J$2:$J$1000,"&gt;"&amp;J603)+COUNTIFS($GA$2:$GA$1000,"Y",$J$2:$J$1000,J603,$GD$2:$GD$1000,"&lt;"&amp;GD603)+1&lt;=25,COUNTIFS($GA$2:$GA$1000,"Y",$J$2:$J$1000,"&gt;"&amp;J603)+COUNTIFS($GA$2:$GA$1000,"Y",$J$2:$J$1000,J603,$GD$2:$GD$1000,"&lt;"&amp;GD603)+1,""))</f>
        <v/>
      </c>
      <c r="GC603" s="0" t="str">
        <f aca="false">IF(AND(_xlfn.ISFORMULA(C603),_xlfn.ISFORMULA(J603)),"Y","N")</f>
        <v>Y</v>
      </c>
      <c r="GD603" s="0" t="n">
        <f aca="false">ROW()-1</f>
        <v>602</v>
      </c>
    </row>
    <row r="604" customFormat="false" ht="15" hidden="false" customHeight="false" outlineLevel="0" collapsed="false">
      <c r="C604" s="0" t="str">
        <f aca="false">IF($A604="","",IF(AW604="Y",BM604&amp;"",AY604&amp;""))</f>
        <v/>
      </c>
      <c r="D604" s="0" t="str">
        <f aca="false">IF($A604="","",IF(AW604="Y",BN604&amp;"",AZ604&amp;""))</f>
        <v/>
      </c>
      <c r="E604" s="0" t="str">
        <f aca="false">IF($A604="","",IF(AW604="Y",BO604&amp;"",BA604&amp;""))</f>
        <v/>
      </c>
      <c r="F604" s="0" t="str">
        <f aca="false">IF($A604="","",IF(AW604="Y",BP604&amp;"",BB604&amp;""))</f>
        <v/>
      </c>
      <c r="G604" s="0" t="str">
        <f aca="false">IF($A604="","",IF(AW604="Y",BQ604&amp;"",BC604&amp;""))</f>
        <v/>
      </c>
      <c r="H604" s="0" t="str">
        <f aca="false">IF($A604="","",IF(AW604="Y",BR604&amp;"",BD604&amp;""))</f>
        <v/>
      </c>
      <c r="I604" s="0" t="str">
        <f aca="false">IF($A604="","",IF(R604="Y","warm-intro",IF(H604="verified","email",IF(C604&lt;&gt;"","linkedin",CB604&amp;""))))</f>
        <v/>
      </c>
      <c r="J604" s="0" t="str">
        <f aca="false">IF($A604="","",IF(CN604="pass",ROUND(N(EM604)+N(EN604)+N(EO604)+N(EP604)+N(EQ604)+N(ER604),1),0))</f>
        <v/>
      </c>
      <c r="K604" s="0" t="str">
        <f aca="false">IF($A604="","",IF(CN604&lt;&gt;"pass",CA604&amp;"",CA604&amp;"; "&amp;IF(AW604="Y",BZ604&amp;"",BL604&amp;"")&amp;IF(R604="Y","; known to the founder (+15)","")&amp;"."))</f>
        <v/>
      </c>
      <c r="R604" s="5"/>
      <c r="U604" s="5"/>
      <c r="Y604" s="0" t="str">
        <f aca="false">IF(FX604&lt;&gt;"Y","",COUNTIFS($FX$2:$FX$1000,"Y",$J$2:$J$1000,"&gt;"&amp;J604)+COUNTIFS($FX$2:$FX$1000,"Y",$J$2:$J$1000,J604,$GD$2:$GD$1000,"&lt;"&amp;GD604)+1)</f>
        <v/>
      </c>
      <c r="AB604" s="0" t="str">
        <f aca="false">IF($A604="","",IF(AW604="Y",BY604&amp;"",BK604&amp;""))</f>
        <v/>
      </c>
      <c r="AC604" s="0" t="str">
        <f aca="false">IF($A604="","",IF(AW604="Y",BS604&amp;"",BE604&amp;""))</f>
        <v/>
      </c>
      <c r="AD604" s="0" t="str">
        <f aca="false">IF($A604="","",IF(AW604="Y",BT604&amp;"",BF604&amp;""))</f>
        <v/>
      </c>
      <c r="AE604" s="0" t="str">
        <f aca="false">IF($A604="","",IF(AW604="Y",BU604&amp;"",BG604&amp;""))</f>
        <v/>
      </c>
      <c r="AF604" s="0" t="str">
        <f aca="false">IF($A604="","",IF(AW604="Y",BV604&amp;"",BH604&amp;""))</f>
        <v/>
      </c>
      <c r="AG604" s="0" t="str">
        <f aca="false">IF($A604="","",IF(AW604="Y",BW604&amp;"",BI604&amp;""))</f>
        <v/>
      </c>
      <c r="AH604" s="0" t="str">
        <f aca="false">IF($A604="","",IF(AW604="Y",BX604&amp;"",BJ604&amp;""))</f>
        <v/>
      </c>
      <c r="AQ604" s="5"/>
      <c r="AT604" s="0" t="str">
        <f aca="false">IF($A604="","",IF(AND(CN604="pass",AQ604&lt;&gt;"Y",C604&lt;&gt;"",OR(AX604&lt;&gt;"Y",AV604="Y")),"Y","N"))</f>
        <v/>
      </c>
      <c r="AU604" s="0" t="str">
        <f aca="false">IF($A604="","",_xlfn.TEXTJOIN("; ",TRUE(),IF(CN604&lt;&gt;"pass","gated out",""),IF(AQ604="Y","on hold: "&amp;AR604,""),IF(C604="","no contact named on an opened page",""),IF(AND(AX604="Y",AV604&lt;&gt;"Y"),"Tuesday estimate band "&amp;L604&amp;": founder's call","")))</f>
        <v/>
      </c>
      <c r="BC604" s="0" t="str">
        <f aca="false">IF($A604="","",IFERROR(INDEX(Enrichment!$A$2:$GZ$2000,MATCH($A604,INDEX(Enrichment!$A$2:$GZ$2000,0,MATCH("row_id",Enrichment!$A$1:$GZ$1,0)),0),MATCH("work_email",Enrichment!$A$1:$GZ$1,0))&amp;"",""))</f>
        <v/>
      </c>
      <c r="BD604" s="0" t="str">
        <f aca="false">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Q604" s="0" t="str">
        <f aca="false">IF($A604="","",IFERROR(INDEX(Enrichment!$A$2:$GZ$2000,MATCH($A604,INDEX(Enrichment!$A$2:$GZ$2000,0,MATCH("row_id",Enrichment!$A$1:$GZ$1,0)),0),MATCH("backup_work_email",Enrichment!$A$1:$GZ$1,0))&amp;"",""))</f>
        <v/>
      </c>
      <c r="BR604" s="0" t="str">
        <f aca="false">IF($A604="","",IF(BQ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EQ604" s="0" t="str">
        <f aca="false">IF($A604="","",IF(AH604="exact",10,IF(AH604="adjacent",5,0)))</f>
        <v/>
      </c>
      <c r="ER604" s="0" t="str">
        <f aca="false">IF($A604="","",IF(R604="Y",15,0))</f>
        <v/>
      </c>
      <c r="FS604" s="0" t="str">
        <f aca="false">IF($A604="","",IF(ISNUMBER(MATCH(U604,{"queued","contacted","replied","call_booked","call_done","yes_in_principle","materials_sent"},0)),"Y","N"))</f>
        <v/>
      </c>
      <c r="FT604" s="0" t="str">
        <f aca="false">IF($A604="","",IF(OR(T604="Y",U604="do_not_contact",AS604&amp;""&lt;&gt;""),"Y","N"))</f>
        <v/>
      </c>
      <c r="FU604" s="0" t="str">
        <f aca="false">IF($A604="","",IF(AP604&amp;""&lt;&gt;"",AP604&amp;"",$A604))</f>
        <v/>
      </c>
      <c r="FV604" s="0" t="str">
        <f aca="false">IF($A604="","",IF(COUNTIFS($FU$2:$FU$1000,FU604,$FS$2:$FS$1000,"Y")+COUNTIFS($FU$2:$FU$1000,FU604,$FT$2:$FT$1000,"Y")&gt;0,"Y","N"))</f>
        <v/>
      </c>
      <c r="FW604" s="0" t="str">
        <f aca="false">IF($A604="","",IF(AND(U604="new",T604="N",FT604="N",AT604="Y",FV604="N"),"Y","N"))</f>
        <v/>
      </c>
      <c r="FX604" s="0" t="str">
        <f aca="false">IF($A604="","",IF(FW604&lt;&gt;"Y","N",IF(COUNTIFS($FU$2:$FU$1000,FU604,$FW$2:$FW$1000,"Y",$J$2:$J$1000,"&gt;"&amp;J604)+COUNTIFS($FU$2:$FU$1000,FU604,$FW$2:$FW$1000,"Y",$J$2:$J$1000,J604,$GD$2:$GD$1000,"&lt;"&amp;GD604)=0,"Y","N")))</f>
        <v/>
      </c>
      <c r="FY604" s="0" t="str">
        <f aca="false">IF($A604="","",IF(AND(FW604="Y",FX604="Y",Y604&amp;""&lt;&gt;""),IF(Y604&lt;=10,"Y","N"),"N"))</f>
        <v/>
      </c>
      <c r="FZ604" s="0" t="str">
        <f aca="false">IF(FY604="Y",Y604,"")</f>
        <v/>
      </c>
      <c r="GA604" s="0" t="str">
        <f aca="false">IF($A604="","",IF(AND(I604="walk-in",CN604="pass",U604="new",FT604="N",FV604="N",AQ604&lt;&gt;"Y"),"Y","N"))</f>
        <v/>
      </c>
      <c r="GB604" s="0" t="str">
        <f aca="false">IF(GA604&lt;&gt;"Y","",IF(COUNTIFS($GA$2:$GA$1000,"Y",$J$2:$J$1000,"&gt;"&amp;J604)+COUNTIFS($GA$2:$GA$1000,"Y",$J$2:$J$1000,J604,$GD$2:$GD$1000,"&lt;"&amp;GD604)+1&lt;=25,COUNTIFS($GA$2:$GA$1000,"Y",$J$2:$J$1000,"&gt;"&amp;J604)+COUNTIFS($GA$2:$GA$1000,"Y",$J$2:$J$1000,J604,$GD$2:$GD$1000,"&lt;"&amp;GD604)+1,""))</f>
        <v/>
      </c>
      <c r="GC604" s="0" t="str">
        <f aca="false">IF(AND(_xlfn.ISFORMULA(C604),_xlfn.ISFORMULA(J604)),"Y","N")</f>
        <v>Y</v>
      </c>
      <c r="GD604" s="0" t="n">
        <f aca="false">ROW()-1</f>
        <v>603</v>
      </c>
    </row>
    <row r="605" customFormat="false" ht="15" hidden="false" customHeight="false" outlineLevel="0" collapsed="false">
      <c r="C605" s="0" t="str">
        <f aca="false">IF($A605="","",IF(AW605="Y",BM605&amp;"",AY605&amp;""))</f>
        <v/>
      </c>
      <c r="D605" s="0" t="str">
        <f aca="false">IF($A605="","",IF(AW605="Y",BN605&amp;"",AZ605&amp;""))</f>
        <v/>
      </c>
      <c r="E605" s="0" t="str">
        <f aca="false">IF($A605="","",IF(AW605="Y",BO605&amp;"",BA605&amp;""))</f>
        <v/>
      </c>
      <c r="F605" s="0" t="str">
        <f aca="false">IF($A605="","",IF(AW605="Y",BP605&amp;"",BB605&amp;""))</f>
        <v/>
      </c>
      <c r="G605" s="0" t="str">
        <f aca="false">IF($A605="","",IF(AW605="Y",BQ605&amp;"",BC605&amp;""))</f>
        <v/>
      </c>
      <c r="H605" s="0" t="str">
        <f aca="false">IF($A605="","",IF(AW605="Y",BR605&amp;"",BD605&amp;""))</f>
        <v/>
      </c>
      <c r="I605" s="0" t="str">
        <f aca="false">IF($A605="","",IF(R605="Y","warm-intro",IF(H605="verified","email",IF(C605&lt;&gt;"","linkedin",CB605&amp;""))))</f>
        <v/>
      </c>
      <c r="J605" s="0" t="str">
        <f aca="false">IF($A605="","",IF(CN605="pass",ROUND(N(EM605)+N(EN605)+N(EO605)+N(EP605)+N(EQ605)+N(ER605),1),0))</f>
        <v/>
      </c>
      <c r="K605" s="0" t="str">
        <f aca="false">IF($A605="","",IF(CN605&lt;&gt;"pass",CA605&amp;"",CA605&amp;"; "&amp;IF(AW605="Y",BZ605&amp;"",BL605&amp;"")&amp;IF(R605="Y","; known to the founder (+15)","")&amp;"."))</f>
        <v/>
      </c>
      <c r="R605" s="5"/>
      <c r="U605" s="5"/>
      <c r="Y605" s="0" t="str">
        <f aca="false">IF(FX605&lt;&gt;"Y","",COUNTIFS($FX$2:$FX$1000,"Y",$J$2:$J$1000,"&gt;"&amp;J605)+COUNTIFS($FX$2:$FX$1000,"Y",$J$2:$J$1000,J605,$GD$2:$GD$1000,"&lt;"&amp;GD605)+1)</f>
        <v/>
      </c>
      <c r="AB605" s="0" t="str">
        <f aca="false">IF($A605="","",IF(AW605="Y",BY605&amp;"",BK605&amp;""))</f>
        <v/>
      </c>
      <c r="AC605" s="0" t="str">
        <f aca="false">IF($A605="","",IF(AW605="Y",BS605&amp;"",BE605&amp;""))</f>
        <v/>
      </c>
      <c r="AD605" s="0" t="str">
        <f aca="false">IF($A605="","",IF(AW605="Y",BT605&amp;"",BF605&amp;""))</f>
        <v/>
      </c>
      <c r="AE605" s="0" t="str">
        <f aca="false">IF($A605="","",IF(AW605="Y",BU605&amp;"",BG605&amp;""))</f>
        <v/>
      </c>
      <c r="AF605" s="0" t="str">
        <f aca="false">IF($A605="","",IF(AW605="Y",BV605&amp;"",BH605&amp;""))</f>
        <v/>
      </c>
      <c r="AG605" s="0" t="str">
        <f aca="false">IF($A605="","",IF(AW605="Y",BW605&amp;"",BI605&amp;""))</f>
        <v/>
      </c>
      <c r="AH605" s="0" t="str">
        <f aca="false">IF($A605="","",IF(AW605="Y",BX605&amp;"",BJ605&amp;""))</f>
        <v/>
      </c>
      <c r="AQ605" s="5"/>
      <c r="AT605" s="0" t="str">
        <f aca="false">IF($A605="","",IF(AND(CN605="pass",AQ605&lt;&gt;"Y",C605&lt;&gt;"",OR(AX605&lt;&gt;"Y",AV605="Y")),"Y","N"))</f>
        <v/>
      </c>
      <c r="AU605" s="0" t="str">
        <f aca="false">IF($A605="","",_xlfn.TEXTJOIN("; ",TRUE(),IF(CN605&lt;&gt;"pass","gated out",""),IF(AQ605="Y","on hold: "&amp;AR605,""),IF(C605="","no contact named on an opened page",""),IF(AND(AX605="Y",AV605&lt;&gt;"Y"),"Tuesday estimate band "&amp;L605&amp;": founder's call","")))</f>
        <v/>
      </c>
      <c r="BC605" s="0" t="str">
        <f aca="false">IF($A605="","",IFERROR(INDEX(Enrichment!$A$2:$GZ$2000,MATCH($A605,INDEX(Enrichment!$A$2:$GZ$2000,0,MATCH("row_id",Enrichment!$A$1:$GZ$1,0)),0),MATCH("work_email",Enrichment!$A$1:$GZ$1,0))&amp;"",""))</f>
        <v/>
      </c>
      <c r="BD605" s="0" t="str">
        <f aca="false">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Q605" s="0" t="str">
        <f aca="false">IF($A605="","",IFERROR(INDEX(Enrichment!$A$2:$GZ$2000,MATCH($A605,INDEX(Enrichment!$A$2:$GZ$2000,0,MATCH("row_id",Enrichment!$A$1:$GZ$1,0)),0),MATCH("backup_work_email",Enrichment!$A$1:$GZ$1,0))&amp;"",""))</f>
        <v/>
      </c>
      <c r="BR605" s="0" t="str">
        <f aca="false">IF($A605="","",IF(BQ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EQ605" s="0" t="str">
        <f aca="false">IF($A605="","",IF(AH605="exact",10,IF(AH605="adjacent",5,0)))</f>
        <v/>
      </c>
      <c r="ER605" s="0" t="str">
        <f aca="false">IF($A605="","",IF(R605="Y",15,0))</f>
        <v/>
      </c>
      <c r="FS605" s="0" t="str">
        <f aca="false">IF($A605="","",IF(ISNUMBER(MATCH(U605,{"queued","contacted","replied","call_booked","call_done","yes_in_principle","materials_sent"},0)),"Y","N"))</f>
        <v/>
      </c>
      <c r="FT605" s="0" t="str">
        <f aca="false">IF($A605="","",IF(OR(T605="Y",U605="do_not_contact",AS605&amp;""&lt;&gt;""),"Y","N"))</f>
        <v/>
      </c>
      <c r="FU605" s="0" t="str">
        <f aca="false">IF($A605="","",IF(AP605&amp;""&lt;&gt;"",AP605&amp;"",$A605))</f>
        <v/>
      </c>
      <c r="FV605" s="0" t="str">
        <f aca="false">IF($A605="","",IF(COUNTIFS($FU$2:$FU$1000,FU605,$FS$2:$FS$1000,"Y")+COUNTIFS($FU$2:$FU$1000,FU605,$FT$2:$FT$1000,"Y")&gt;0,"Y","N"))</f>
        <v/>
      </c>
      <c r="FW605" s="0" t="str">
        <f aca="false">IF($A605="","",IF(AND(U605="new",T605="N",FT605="N",AT605="Y",FV605="N"),"Y","N"))</f>
        <v/>
      </c>
      <c r="FX605" s="0" t="str">
        <f aca="false">IF($A605="","",IF(FW605&lt;&gt;"Y","N",IF(COUNTIFS($FU$2:$FU$1000,FU605,$FW$2:$FW$1000,"Y",$J$2:$J$1000,"&gt;"&amp;J605)+COUNTIFS($FU$2:$FU$1000,FU605,$FW$2:$FW$1000,"Y",$J$2:$J$1000,J605,$GD$2:$GD$1000,"&lt;"&amp;GD605)=0,"Y","N")))</f>
        <v/>
      </c>
      <c r="FY605" s="0" t="str">
        <f aca="false">IF($A605="","",IF(AND(FW605="Y",FX605="Y",Y605&amp;""&lt;&gt;""),IF(Y605&lt;=10,"Y","N"),"N"))</f>
        <v/>
      </c>
      <c r="FZ605" s="0" t="str">
        <f aca="false">IF(FY605="Y",Y605,"")</f>
        <v/>
      </c>
      <c r="GA605" s="0" t="str">
        <f aca="false">IF($A605="","",IF(AND(I605="walk-in",CN605="pass",U605="new",FT605="N",FV605="N",AQ605&lt;&gt;"Y"),"Y","N"))</f>
        <v/>
      </c>
      <c r="GB605" s="0" t="str">
        <f aca="false">IF(GA605&lt;&gt;"Y","",IF(COUNTIFS($GA$2:$GA$1000,"Y",$J$2:$J$1000,"&gt;"&amp;J605)+COUNTIFS($GA$2:$GA$1000,"Y",$J$2:$J$1000,J605,$GD$2:$GD$1000,"&lt;"&amp;GD605)+1&lt;=25,COUNTIFS($GA$2:$GA$1000,"Y",$J$2:$J$1000,"&gt;"&amp;J605)+COUNTIFS($GA$2:$GA$1000,"Y",$J$2:$J$1000,J605,$GD$2:$GD$1000,"&lt;"&amp;GD605)+1,""))</f>
        <v/>
      </c>
      <c r="GC605" s="0" t="str">
        <f aca="false">IF(AND(_xlfn.ISFORMULA(C605),_xlfn.ISFORMULA(J605)),"Y","N")</f>
        <v>Y</v>
      </c>
      <c r="GD605" s="0" t="n">
        <f aca="false">ROW()-1</f>
        <v>604</v>
      </c>
    </row>
    <row r="606" customFormat="false" ht="15" hidden="false" customHeight="false" outlineLevel="0" collapsed="false">
      <c r="C606" s="0" t="str">
        <f aca="false">IF($A606="","",IF(AW606="Y",BM606&amp;"",AY606&amp;""))</f>
        <v/>
      </c>
      <c r="D606" s="0" t="str">
        <f aca="false">IF($A606="","",IF(AW606="Y",BN606&amp;"",AZ606&amp;""))</f>
        <v/>
      </c>
      <c r="E606" s="0" t="str">
        <f aca="false">IF($A606="","",IF(AW606="Y",BO606&amp;"",BA606&amp;""))</f>
        <v/>
      </c>
      <c r="F606" s="0" t="str">
        <f aca="false">IF($A606="","",IF(AW606="Y",BP606&amp;"",BB606&amp;""))</f>
        <v/>
      </c>
      <c r="G606" s="0" t="str">
        <f aca="false">IF($A606="","",IF(AW606="Y",BQ606&amp;"",BC606&amp;""))</f>
        <v/>
      </c>
      <c r="H606" s="0" t="str">
        <f aca="false">IF($A606="","",IF(AW606="Y",BR606&amp;"",BD606&amp;""))</f>
        <v/>
      </c>
      <c r="I606" s="0" t="str">
        <f aca="false">IF($A606="","",IF(R606="Y","warm-intro",IF(H606="verified","email",IF(C606&lt;&gt;"","linkedin",CB606&amp;""))))</f>
        <v/>
      </c>
      <c r="J606" s="0" t="str">
        <f aca="false">IF($A606="","",IF(CN606="pass",ROUND(N(EM606)+N(EN606)+N(EO606)+N(EP606)+N(EQ606)+N(ER606),1),0))</f>
        <v/>
      </c>
      <c r="K606" s="0" t="str">
        <f aca="false">IF($A606="","",IF(CN606&lt;&gt;"pass",CA606&amp;"",CA606&amp;"; "&amp;IF(AW606="Y",BZ606&amp;"",BL606&amp;"")&amp;IF(R606="Y","; known to the founder (+15)","")&amp;"."))</f>
        <v/>
      </c>
      <c r="R606" s="5"/>
      <c r="U606" s="5"/>
      <c r="Y606" s="0" t="str">
        <f aca="false">IF(FX606&lt;&gt;"Y","",COUNTIFS($FX$2:$FX$1000,"Y",$J$2:$J$1000,"&gt;"&amp;J606)+COUNTIFS($FX$2:$FX$1000,"Y",$J$2:$J$1000,J606,$GD$2:$GD$1000,"&lt;"&amp;GD606)+1)</f>
        <v/>
      </c>
      <c r="AB606" s="0" t="str">
        <f aca="false">IF($A606="","",IF(AW606="Y",BY606&amp;"",BK606&amp;""))</f>
        <v/>
      </c>
      <c r="AC606" s="0" t="str">
        <f aca="false">IF($A606="","",IF(AW606="Y",BS606&amp;"",BE606&amp;""))</f>
        <v/>
      </c>
      <c r="AD606" s="0" t="str">
        <f aca="false">IF($A606="","",IF(AW606="Y",BT606&amp;"",BF606&amp;""))</f>
        <v/>
      </c>
      <c r="AE606" s="0" t="str">
        <f aca="false">IF($A606="","",IF(AW606="Y",BU606&amp;"",BG606&amp;""))</f>
        <v/>
      </c>
      <c r="AF606" s="0" t="str">
        <f aca="false">IF($A606="","",IF(AW606="Y",BV606&amp;"",BH606&amp;""))</f>
        <v/>
      </c>
      <c r="AG606" s="0" t="str">
        <f aca="false">IF($A606="","",IF(AW606="Y",BW606&amp;"",BI606&amp;""))</f>
        <v/>
      </c>
      <c r="AH606" s="0" t="str">
        <f aca="false">IF($A606="","",IF(AW606="Y",BX606&amp;"",BJ606&amp;""))</f>
        <v/>
      </c>
      <c r="AQ606" s="5"/>
      <c r="AT606" s="0" t="str">
        <f aca="false">IF($A606="","",IF(AND(CN606="pass",AQ606&lt;&gt;"Y",C606&lt;&gt;"",OR(AX606&lt;&gt;"Y",AV606="Y")),"Y","N"))</f>
        <v/>
      </c>
      <c r="AU606" s="0" t="str">
        <f aca="false">IF($A606="","",_xlfn.TEXTJOIN("; ",TRUE(),IF(CN606&lt;&gt;"pass","gated out",""),IF(AQ606="Y","on hold: "&amp;AR606,""),IF(C606="","no contact named on an opened page",""),IF(AND(AX606="Y",AV606&lt;&gt;"Y"),"Tuesday estimate band "&amp;L606&amp;": founder's call","")))</f>
        <v/>
      </c>
      <c r="BC606" s="0" t="str">
        <f aca="false">IF($A606="","",IFERROR(INDEX(Enrichment!$A$2:$GZ$2000,MATCH($A606,INDEX(Enrichment!$A$2:$GZ$2000,0,MATCH("row_id",Enrichment!$A$1:$GZ$1,0)),0),MATCH("work_email",Enrichment!$A$1:$GZ$1,0))&amp;"",""))</f>
        <v/>
      </c>
      <c r="BD606" s="0" t="str">
        <f aca="false">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Q606" s="0" t="str">
        <f aca="false">IF($A606="","",IFERROR(INDEX(Enrichment!$A$2:$GZ$2000,MATCH($A606,INDEX(Enrichment!$A$2:$GZ$2000,0,MATCH("row_id",Enrichment!$A$1:$GZ$1,0)),0),MATCH("backup_work_email",Enrichment!$A$1:$GZ$1,0))&amp;"",""))</f>
        <v/>
      </c>
      <c r="BR606" s="0" t="str">
        <f aca="false">IF($A606="","",IF(BQ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EQ606" s="0" t="str">
        <f aca="false">IF($A606="","",IF(AH606="exact",10,IF(AH606="adjacent",5,0)))</f>
        <v/>
      </c>
      <c r="ER606" s="0" t="str">
        <f aca="false">IF($A606="","",IF(R606="Y",15,0))</f>
        <v/>
      </c>
      <c r="FS606" s="0" t="str">
        <f aca="false">IF($A606="","",IF(ISNUMBER(MATCH(U606,{"queued","contacted","replied","call_booked","call_done","yes_in_principle","materials_sent"},0)),"Y","N"))</f>
        <v/>
      </c>
      <c r="FT606" s="0" t="str">
        <f aca="false">IF($A606="","",IF(OR(T606="Y",U606="do_not_contact",AS606&amp;""&lt;&gt;""),"Y","N"))</f>
        <v/>
      </c>
      <c r="FU606" s="0" t="str">
        <f aca="false">IF($A606="","",IF(AP606&amp;""&lt;&gt;"",AP606&amp;"",$A606))</f>
        <v/>
      </c>
      <c r="FV606" s="0" t="str">
        <f aca="false">IF($A606="","",IF(COUNTIFS($FU$2:$FU$1000,FU606,$FS$2:$FS$1000,"Y")+COUNTIFS($FU$2:$FU$1000,FU606,$FT$2:$FT$1000,"Y")&gt;0,"Y","N"))</f>
        <v/>
      </c>
      <c r="FW606" s="0" t="str">
        <f aca="false">IF($A606="","",IF(AND(U606="new",T606="N",FT606="N",AT606="Y",FV606="N"),"Y","N"))</f>
        <v/>
      </c>
      <c r="FX606" s="0" t="str">
        <f aca="false">IF($A606="","",IF(FW606&lt;&gt;"Y","N",IF(COUNTIFS($FU$2:$FU$1000,FU606,$FW$2:$FW$1000,"Y",$J$2:$J$1000,"&gt;"&amp;J606)+COUNTIFS($FU$2:$FU$1000,FU606,$FW$2:$FW$1000,"Y",$J$2:$J$1000,J606,$GD$2:$GD$1000,"&lt;"&amp;GD606)=0,"Y","N")))</f>
        <v/>
      </c>
      <c r="FY606" s="0" t="str">
        <f aca="false">IF($A606="","",IF(AND(FW606="Y",FX606="Y",Y606&amp;""&lt;&gt;""),IF(Y606&lt;=10,"Y","N"),"N"))</f>
        <v/>
      </c>
      <c r="FZ606" s="0" t="str">
        <f aca="false">IF(FY606="Y",Y606,"")</f>
        <v/>
      </c>
      <c r="GA606" s="0" t="str">
        <f aca="false">IF($A606="","",IF(AND(I606="walk-in",CN606="pass",U606="new",FT606="N",FV606="N",AQ606&lt;&gt;"Y"),"Y","N"))</f>
        <v/>
      </c>
      <c r="GB606" s="0" t="str">
        <f aca="false">IF(GA606&lt;&gt;"Y","",IF(COUNTIFS($GA$2:$GA$1000,"Y",$J$2:$J$1000,"&gt;"&amp;J606)+COUNTIFS($GA$2:$GA$1000,"Y",$J$2:$J$1000,J606,$GD$2:$GD$1000,"&lt;"&amp;GD606)+1&lt;=25,COUNTIFS($GA$2:$GA$1000,"Y",$J$2:$J$1000,"&gt;"&amp;J606)+COUNTIFS($GA$2:$GA$1000,"Y",$J$2:$J$1000,J606,$GD$2:$GD$1000,"&lt;"&amp;GD606)+1,""))</f>
        <v/>
      </c>
      <c r="GC606" s="0" t="str">
        <f aca="false">IF(AND(_xlfn.ISFORMULA(C606),_xlfn.ISFORMULA(J606)),"Y","N")</f>
        <v>Y</v>
      </c>
      <c r="GD606" s="0" t="n">
        <f aca="false">ROW()-1</f>
        <v>605</v>
      </c>
    </row>
    <row r="607" customFormat="false" ht="15" hidden="false" customHeight="false" outlineLevel="0" collapsed="false">
      <c r="C607" s="0" t="str">
        <f aca="false">IF($A607="","",IF(AW607="Y",BM607&amp;"",AY607&amp;""))</f>
        <v/>
      </c>
      <c r="D607" s="0" t="str">
        <f aca="false">IF($A607="","",IF(AW607="Y",BN607&amp;"",AZ607&amp;""))</f>
        <v/>
      </c>
      <c r="E607" s="0" t="str">
        <f aca="false">IF($A607="","",IF(AW607="Y",BO607&amp;"",BA607&amp;""))</f>
        <v/>
      </c>
      <c r="F607" s="0" t="str">
        <f aca="false">IF($A607="","",IF(AW607="Y",BP607&amp;"",BB607&amp;""))</f>
        <v/>
      </c>
      <c r="G607" s="0" t="str">
        <f aca="false">IF($A607="","",IF(AW607="Y",BQ607&amp;"",BC607&amp;""))</f>
        <v/>
      </c>
      <c r="H607" s="0" t="str">
        <f aca="false">IF($A607="","",IF(AW607="Y",BR607&amp;"",BD607&amp;""))</f>
        <v/>
      </c>
      <c r="I607" s="0" t="str">
        <f aca="false">IF($A607="","",IF(R607="Y","warm-intro",IF(H607="verified","email",IF(C607&lt;&gt;"","linkedin",CB607&amp;""))))</f>
        <v/>
      </c>
      <c r="J607" s="0" t="str">
        <f aca="false">IF($A607="","",IF(CN607="pass",ROUND(N(EM607)+N(EN607)+N(EO607)+N(EP607)+N(EQ607)+N(ER607),1),0))</f>
        <v/>
      </c>
      <c r="K607" s="0" t="str">
        <f aca="false">IF($A607="","",IF(CN607&lt;&gt;"pass",CA607&amp;"",CA607&amp;"; "&amp;IF(AW607="Y",BZ607&amp;"",BL607&amp;"")&amp;IF(R607="Y","; known to the founder (+15)","")&amp;"."))</f>
        <v/>
      </c>
      <c r="R607" s="5"/>
      <c r="U607" s="5"/>
      <c r="Y607" s="0" t="str">
        <f aca="false">IF(FX607&lt;&gt;"Y","",COUNTIFS($FX$2:$FX$1000,"Y",$J$2:$J$1000,"&gt;"&amp;J607)+COUNTIFS($FX$2:$FX$1000,"Y",$J$2:$J$1000,J607,$GD$2:$GD$1000,"&lt;"&amp;GD607)+1)</f>
        <v/>
      </c>
      <c r="AB607" s="0" t="str">
        <f aca="false">IF($A607="","",IF(AW607="Y",BY607&amp;"",BK607&amp;""))</f>
        <v/>
      </c>
      <c r="AC607" s="0" t="str">
        <f aca="false">IF($A607="","",IF(AW607="Y",BS607&amp;"",BE607&amp;""))</f>
        <v/>
      </c>
      <c r="AD607" s="0" t="str">
        <f aca="false">IF($A607="","",IF(AW607="Y",BT607&amp;"",BF607&amp;""))</f>
        <v/>
      </c>
      <c r="AE607" s="0" t="str">
        <f aca="false">IF($A607="","",IF(AW607="Y",BU607&amp;"",BG607&amp;""))</f>
        <v/>
      </c>
      <c r="AF607" s="0" t="str">
        <f aca="false">IF($A607="","",IF(AW607="Y",BV607&amp;"",BH607&amp;""))</f>
        <v/>
      </c>
      <c r="AG607" s="0" t="str">
        <f aca="false">IF($A607="","",IF(AW607="Y",BW607&amp;"",BI607&amp;""))</f>
        <v/>
      </c>
      <c r="AH607" s="0" t="str">
        <f aca="false">IF($A607="","",IF(AW607="Y",BX607&amp;"",BJ607&amp;""))</f>
        <v/>
      </c>
      <c r="AQ607" s="5"/>
      <c r="AT607" s="0" t="str">
        <f aca="false">IF($A607="","",IF(AND(CN607="pass",AQ607&lt;&gt;"Y",C607&lt;&gt;"",OR(AX607&lt;&gt;"Y",AV607="Y")),"Y","N"))</f>
        <v/>
      </c>
      <c r="AU607" s="0" t="str">
        <f aca="false">IF($A607="","",_xlfn.TEXTJOIN("; ",TRUE(),IF(CN607&lt;&gt;"pass","gated out",""),IF(AQ607="Y","on hold: "&amp;AR607,""),IF(C607="","no contact named on an opened page",""),IF(AND(AX607="Y",AV607&lt;&gt;"Y"),"Tuesday estimate band "&amp;L607&amp;": founder's call","")))</f>
        <v/>
      </c>
      <c r="BC607" s="0" t="str">
        <f aca="false">IF($A607="","",IFERROR(INDEX(Enrichment!$A$2:$GZ$2000,MATCH($A607,INDEX(Enrichment!$A$2:$GZ$2000,0,MATCH("row_id",Enrichment!$A$1:$GZ$1,0)),0),MATCH("work_email",Enrichment!$A$1:$GZ$1,0))&amp;"",""))</f>
        <v/>
      </c>
      <c r="BD607" s="0" t="str">
        <f aca="false">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Q607" s="0" t="str">
        <f aca="false">IF($A607="","",IFERROR(INDEX(Enrichment!$A$2:$GZ$2000,MATCH($A607,INDEX(Enrichment!$A$2:$GZ$2000,0,MATCH("row_id",Enrichment!$A$1:$GZ$1,0)),0),MATCH("backup_work_email",Enrichment!$A$1:$GZ$1,0))&amp;"",""))</f>
        <v/>
      </c>
      <c r="BR607" s="0" t="str">
        <f aca="false">IF($A607="","",IF(BQ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EQ607" s="0" t="str">
        <f aca="false">IF($A607="","",IF(AH607="exact",10,IF(AH607="adjacent",5,0)))</f>
        <v/>
      </c>
      <c r="ER607" s="0" t="str">
        <f aca="false">IF($A607="","",IF(R607="Y",15,0))</f>
        <v/>
      </c>
      <c r="FS607" s="0" t="str">
        <f aca="false">IF($A607="","",IF(ISNUMBER(MATCH(U607,{"queued","contacted","replied","call_booked","call_done","yes_in_principle","materials_sent"},0)),"Y","N"))</f>
        <v/>
      </c>
      <c r="FT607" s="0" t="str">
        <f aca="false">IF($A607="","",IF(OR(T607="Y",U607="do_not_contact",AS607&amp;""&lt;&gt;""),"Y","N"))</f>
        <v/>
      </c>
      <c r="FU607" s="0" t="str">
        <f aca="false">IF($A607="","",IF(AP607&amp;""&lt;&gt;"",AP607&amp;"",$A607))</f>
        <v/>
      </c>
      <c r="FV607" s="0" t="str">
        <f aca="false">IF($A607="","",IF(COUNTIFS($FU$2:$FU$1000,FU607,$FS$2:$FS$1000,"Y")+COUNTIFS($FU$2:$FU$1000,FU607,$FT$2:$FT$1000,"Y")&gt;0,"Y","N"))</f>
        <v/>
      </c>
      <c r="FW607" s="0" t="str">
        <f aca="false">IF($A607="","",IF(AND(U607="new",T607="N",FT607="N",AT607="Y",FV607="N"),"Y","N"))</f>
        <v/>
      </c>
      <c r="FX607" s="0" t="str">
        <f aca="false">IF($A607="","",IF(FW607&lt;&gt;"Y","N",IF(COUNTIFS($FU$2:$FU$1000,FU607,$FW$2:$FW$1000,"Y",$J$2:$J$1000,"&gt;"&amp;J607)+COUNTIFS($FU$2:$FU$1000,FU607,$FW$2:$FW$1000,"Y",$J$2:$J$1000,J607,$GD$2:$GD$1000,"&lt;"&amp;GD607)=0,"Y","N")))</f>
        <v/>
      </c>
      <c r="FY607" s="0" t="str">
        <f aca="false">IF($A607="","",IF(AND(FW607="Y",FX607="Y",Y607&amp;""&lt;&gt;""),IF(Y607&lt;=10,"Y","N"),"N"))</f>
        <v/>
      </c>
      <c r="FZ607" s="0" t="str">
        <f aca="false">IF(FY607="Y",Y607,"")</f>
        <v/>
      </c>
      <c r="GA607" s="0" t="str">
        <f aca="false">IF($A607="","",IF(AND(I607="walk-in",CN607="pass",U607="new",FT607="N",FV607="N",AQ607&lt;&gt;"Y"),"Y","N"))</f>
        <v/>
      </c>
      <c r="GB607" s="0" t="str">
        <f aca="false">IF(GA607&lt;&gt;"Y","",IF(COUNTIFS($GA$2:$GA$1000,"Y",$J$2:$J$1000,"&gt;"&amp;J607)+COUNTIFS($GA$2:$GA$1000,"Y",$J$2:$J$1000,J607,$GD$2:$GD$1000,"&lt;"&amp;GD607)+1&lt;=25,COUNTIFS($GA$2:$GA$1000,"Y",$J$2:$J$1000,"&gt;"&amp;J607)+COUNTIFS($GA$2:$GA$1000,"Y",$J$2:$J$1000,J607,$GD$2:$GD$1000,"&lt;"&amp;GD607)+1,""))</f>
        <v/>
      </c>
      <c r="GC607" s="0" t="str">
        <f aca="false">IF(AND(_xlfn.ISFORMULA(C607),_xlfn.ISFORMULA(J607)),"Y","N")</f>
        <v>Y</v>
      </c>
      <c r="GD607" s="0" t="n">
        <f aca="false">ROW()-1</f>
        <v>606</v>
      </c>
    </row>
    <row r="608" customFormat="false" ht="15" hidden="false" customHeight="false" outlineLevel="0" collapsed="false">
      <c r="C608" s="0" t="str">
        <f aca="false">IF($A608="","",IF(AW608="Y",BM608&amp;"",AY608&amp;""))</f>
        <v/>
      </c>
      <c r="D608" s="0" t="str">
        <f aca="false">IF($A608="","",IF(AW608="Y",BN608&amp;"",AZ608&amp;""))</f>
        <v/>
      </c>
      <c r="E608" s="0" t="str">
        <f aca="false">IF($A608="","",IF(AW608="Y",BO608&amp;"",BA608&amp;""))</f>
        <v/>
      </c>
      <c r="F608" s="0" t="str">
        <f aca="false">IF($A608="","",IF(AW608="Y",BP608&amp;"",BB608&amp;""))</f>
        <v/>
      </c>
      <c r="G608" s="0" t="str">
        <f aca="false">IF($A608="","",IF(AW608="Y",BQ608&amp;"",BC608&amp;""))</f>
        <v/>
      </c>
      <c r="H608" s="0" t="str">
        <f aca="false">IF($A608="","",IF(AW608="Y",BR608&amp;"",BD608&amp;""))</f>
        <v/>
      </c>
      <c r="I608" s="0" t="str">
        <f aca="false">IF($A608="","",IF(R608="Y","warm-intro",IF(H608="verified","email",IF(C608&lt;&gt;"","linkedin",CB608&amp;""))))</f>
        <v/>
      </c>
      <c r="J608" s="0" t="str">
        <f aca="false">IF($A608="","",IF(CN608="pass",ROUND(N(EM608)+N(EN608)+N(EO608)+N(EP608)+N(EQ608)+N(ER608),1),0))</f>
        <v/>
      </c>
      <c r="K608" s="0" t="str">
        <f aca="false">IF($A608="","",IF(CN608&lt;&gt;"pass",CA608&amp;"",CA608&amp;"; "&amp;IF(AW608="Y",BZ608&amp;"",BL608&amp;"")&amp;IF(R608="Y","; known to the founder (+15)","")&amp;"."))</f>
        <v/>
      </c>
      <c r="R608" s="5"/>
      <c r="U608" s="5"/>
      <c r="Y608" s="0" t="str">
        <f aca="false">IF(FX608&lt;&gt;"Y","",COUNTIFS($FX$2:$FX$1000,"Y",$J$2:$J$1000,"&gt;"&amp;J608)+COUNTIFS($FX$2:$FX$1000,"Y",$J$2:$J$1000,J608,$GD$2:$GD$1000,"&lt;"&amp;GD608)+1)</f>
        <v/>
      </c>
      <c r="AB608" s="0" t="str">
        <f aca="false">IF($A608="","",IF(AW608="Y",BY608&amp;"",BK608&amp;""))</f>
        <v/>
      </c>
      <c r="AC608" s="0" t="str">
        <f aca="false">IF($A608="","",IF(AW608="Y",BS608&amp;"",BE608&amp;""))</f>
        <v/>
      </c>
      <c r="AD608" s="0" t="str">
        <f aca="false">IF($A608="","",IF(AW608="Y",BT608&amp;"",BF608&amp;""))</f>
        <v/>
      </c>
      <c r="AE608" s="0" t="str">
        <f aca="false">IF($A608="","",IF(AW608="Y",BU608&amp;"",BG608&amp;""))</f>
        <v/>
      </c>
      <c r="AF608" s="0" t="str">
        <f aca="false">IF($A608="","",IF(AW608="Y",BV608&amp;"",BH608&amp;""))</f>
        <v/>
      </c>
      <c r="AG608" s="0" t="str">
        <f aca="false">IF($A608="","",IF(AW608="Y",BW608&amp;"",BI608&amp;""))</f>
        <v/>
      </c>
      <c r="AH608" s="0" t="str">
        <f aca="false">IF($A608="","",IF(AW608="Y",BX608&amp;"",BJ608&amp;""))</f>
        <v/>
      </c>
      <c r="AQ608" s="5"/>
      <c r="AT608" s="0" t="str">
        <f aca="false">IF($A608="","",IF(AND(CN608="pass",AQ608&lt;&gt;"Y",C608&lt;&gt;"",OR(AX608&lt;&gt;"Y",AV608="Y")),"Y","N"))</f>
        <v/>
      </c>
      <c r="AU608" s="0" t="str">
        <f aca="false">IF($A608="","",_xlfn.TEXTJOIN("; ",TRUE(),IF(CN608&lt;&gt;"pass","gated out",""),IF(AQ608="Y","on hold: "&amp;AR608,""),IF(C608="","no contact named on an opened page",""),IF(AND(AX608="Y",AV608&lt;&gt;"Y"),"Tuesday estimate band "&amp;L608&amp;": founder's call","")))</f>
        <v/>
      </c>
      <c r="BC608" s="0" t="str">
        <f aca="false">IF($A608="","",IFERROR(INDEX(Enrichment!$A$2:$GZ$2000,MATCH($A608,INDEX(Enrichment!$A$2:$GZ$2000,0,MATCH("row_id",Enrichment!$A$1:$GZ$1,0)),0),MATCH("work_email",Enrichment!$A$1:$GZ$1,0))&amp;"",""))</f>
        <v/>
      </c>
      <c r="BD608" s="0" t="str">
        <f aca="false">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Q608" s="0" t="str">
        <f aca="false">IF($A608="","",IFERROR(INDEX(Enrichment!$A$2:$GZ$2000,MATCH($A608,INDEX(Enrichment!$A$2:$GZ$2000,0,MATCH("row_id",Enrichment!$A$1:$GZ$1,0)),0),MATCH("backup_work_email",Enrichment!$A$1:$GZ$1,0))&amp;"",""))</f>
        <v/>
      </c>
      <c r="BR608" s="0" t="str">
        <f aca="false">IF($A608="","",IF(BQ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EQ608" s="0" t="str">
        <f aca="false">IF($A608="","",IF(AH608="exact",10,IF(AH608="adjacent",5,0)))</f>
        <v/>
      </c>
      <c r="ER608" s="0" t="str">
        <f aca="false">IF($A608="","",IF(R608="Y",15,0))</f>
        <v/>
      </c>
      <c r="FS608" s="0" t="str">
        <f aca="false">IF($A608="","",IF(ISNUMBER(MATCH(U608,{"queued","contacted","replied","call_booked","call_done","yes_in_principle","materials_sent"},0)),"Y","N"))</f>
        <v/>
      </c>
      <c r="FT608" s="0" t="str">
        <f aca="false">IF($A608="","",IF(OR(T608="Y",U608="do_not_contact",AS608&amp;""&lt;&gt;""),"Y","N"))</f>
        <v/>
      </c>
      <c r="FU608" s="0" t="str">
        <f aca="false">IF($A608="","",IF(AP608&amp;""&lt;&gt;"",AP608&amp;"",$A608))</f>
        <v/>
      </c>
      <c r="FV608" s="0" t="str">
        <f aca="false">IF($A608="","",IF(COUNTIFS($FU$2:$FU$1000,FU608,$FS$2:$FS$1000,"Y")+COUNTIFS($FU$2:$FU$1000,FU608,$FT$2:$FT$1000,"Y")&gt;0,"Y","N"))</f>
        <v/>
      </c>
      <c r="FW608" s="0" t="str">
        <f aca="false">IF($A608="","",IF(AND(U608="new",T608="N",FT608="N",AT608="Y",FV608="N"),"Y","N"))</f>
        <v/>
      </c>
      <c r="FX608" s="0" t="str">
        <f aca="false">IF($A608="","",IF(FW608&lt;&gt;"Y","N",IF(COUNTIFS($FU$2:$FU$1000,FU608,$FW$2:$FW$1000,"Y",$J$2:$J$1000,"&gt;"&amp;J608)+COUNTIFS($FU$2:$FU$1000,FU608,$FW$2:$FW$1000,"Y",$J$2:$J$1000,J608,$GD$2:$GD$1000,"&lt;"&amp;GD608)=0,"Y","N")))</f>
        <v/>
      </c>
      <c r="FY608" s="0" t="str">
        <f aca="false">IF($A608="","",IF(AND(FW608="Y",FX608="Y",Y608&amp;""&lt;&gt;""),IF(Y608&lt;=10,"Y","N"),"N"))</f>
        <v/>
      </c>
      <c r="FZ608" s="0" t="str">
        <f aca="false">IF(FY608="Y",Y608,"")</f>
        <v/>
      </c>
      <c r="GA608" s="0" t="str">
        <f aca="false">IF($A608="","",IF(AND(I608="walk-in",CN608="pass",U608="new",FT608="N",FV608="N",AQ608&lt;&gt;"Y"),"Y","N"))</f>
        <v/>
      </c>
      <c r="GB608" s="0" t="str">
        <f aca="false">IF(GA608&lt;&gt;"Y","",IF(COUNTIFS($GA$2:$GA$1000,"Y",$J$2:$J$1000,"&gt;"&amp;J608)+COUNTIFS($GA$2:$GA$1000,"Y",$J$2:$J$1000,J608,$GD$2:$GD$1000,"&lt;"&amp;GD608)+1&lt;=25,COUNTIFS($GA$2:$GA$1000,"Y",$J$2:$J$1000,"&gt;"&amp;J608)+COUNTIFS($GA$2:$GA$1000,"Y",$J$2:$J$1000,J608,$GD$2:$GD$1000,"&lt;"&amp;GD608)+1,""))</f>
        <v/>
      </c>
      <c r="GC608" s="0" t="str">
        <f aca="false">IF(AND(_xlfn.ISFORMULA(C608),_xlfn.ISFORMULA(J608)),"Y","N")</f>
        <v>Y</v>
      </c>
      <c r="GD608" s="0" t="n">
        <f aca="false">ROW()-1</f>
        <v>607</v>
      </c>
    </row>
    <row r="609" customFormat="false" ht="15" hidden="false" customHeight="false" outlineLevel="0" collapsed="false">
      <c r="C609" s="0" t="str">
        <f aca="false">IF($A609="","",IF(AW609="Y",BM609&amp;"",AY609&amp;""))</f>
        <v/>
      </c>
      <c r="D609" s="0" t="str">
        <f aca="false">IF($A609="","",IF(AW609="Y",BN609&amp;"",AZ609&amp;""))</f>
        <v/>
      </c>
      <c r="E609" s="0" t="str">
        <f aca="false">IF($A609="","",IF(AW609="Y",BO609&amp;"",BA609&amp;""))</f>
        <v/>
      </c>
      <c r="F609" s="0" t="str">
        <f aca="false">IF($A609="","",IF(AW609="Y",BP609&amp;"",BB609&amp;""))</f>
        <v/>
      </c>
      <c r="G609" s="0" t="str">
        <f aca="false">IF($A609="","",IF(AW609="Y",BQ609&amp;"",BC609&amp;""))</f>
        <v/>
      </c>
      <c r="H609" s="0" t="str">
        <f aca="false">IF($A609="","",IF(AW609="Y",BR609&amp;"",BD609&amp;""))</f>
        <v/>
      </c>
      <c r="I609" s="0" t="str">
        <f aca="false">IF($A609="","",IF(R609="Y","warm-intro",IF(H609="verified","email",IF(C609&lt;&gt;"","linkedin",CB609&amp;""))))</f>
        <v/>
      </c>
      <c r="J609" s="0" t="str">
        <f aca="false">IF($A609="","",IF(CN609="pass",ROUND(N(EM609)+N(EN609)+N(EO609)+N(EP609)+N(EQ609)+N(ER609),1),0))</f>
        <v/>
      </c>
      <c r="K609" s="0" t="str">
        <f aca="false">IF($A609="","",IF(CN609&lt;&gt;"pass",CA609&amp;"",CA609&amp;"; "&amp;IF(AW609="Y",BZ609&amp;"",BL609&amp;"")&amp;IF(R609="Y","; known to the founder (+15)","")&amp;"."))</f>
        <v/>
      </c>
      <c r="R609" s="5"/>
      <c r="U609" s="5"/>
      <c r="Y609" s="0" t="str">
        <f aca="false">IF(FX609&lt;&gt;"Y","",COUNTIFS($FX$2:$FX$1000,"Y",$J$2:$J$1000,"&gt;"&amp;J609)+COUNTIFS($FX$2:$FX$1000,"Y",$J$2:$J$1000,J609,$GD$2:$GD$1000,"&lt;"&amp;GD609)+1)</f>
        <v/>
      </c>
      <c r="AB609" s="0" t="str">
        <f aca="false">IF($A609="","",IF(AW609="Y",BY609&amp;"",BK609&amp;""))</f>
        <v/>
      </c>
      <c r="AC609" s="0" t="str">
        <f aca="false">IF($A609="","",IF(AW609="Y",BS609&amp;"",BE609&amp;""))</f>
        <v/>
      </c>
      <c r="AD609" s="0" t="str">
        <f aca="false">IF($A609="","",IF(AW609="Y",BT609&amp;"",BF609&amp;""))</f>
        <v/>
      </c>
      <c r="AE609" s="0" t="str">
        <f aca="false">IF($A609="","",IF(AW609="Y",BU609&amp;"",BG609&amp;""))</f>
        <v/>
      </c>
      <c r="AF609" s="0" t="str">
        <f aca="false">IF($A609="","",IF(AW609="Y",BV609&amp;"",BH609&amp;""))</f>
        <v/>
      </c>
      <c r="AG609" s="0" t="str">
        <f aca="false">IF($A609="","",IF(AW609="Y",BW609&amp;"",BI609&amp;""))</f>
        <v/>
      </c>
      <c r="AH609" s="0" t="str">
        <f aca="false">IF($A609="","",IF(AW609="Y",BX609&amp;"",BJ609&amp;""))</f>
        <v/>
      </c>
      <c r="AQ609" s="5"/>
      <c r="AT609" s="0" t="str">
        <f aca="false">IF($A609="","",IF(AND(CN609="pass",AQ609&lt;&gt;"Y",C609&lt;&gt;"",OR(AX609&lt;&gt;"Y",AV609="Y")),"Y","N"))</f>
        <v/>
      </c>
      <c r="AU609" s="0" t="str">
        <f aca="false">IF($A609="","",_xlfn.TEXTJOIN("; ",TRUE(),IF(CN609&lt;&gt;"pass","gated out",""),IF(AQ609="Y","on hold: "&amp;AR609,""),IF(C609="","no contact named on an opened page",""),IF(AND(AX609="Y",AV609&lt;&gt;"Y"),"Tuesday estimate band "&amp;L609&amp;": founder's call","")))</f>
        <v/>
      </c>
      <c r="BC609" s="0" t="str">
        <f aca="false">IF($A609="","",IFERROR(INDEX(Enrichment!$A$2:$GZ$2000,MATCH($A609,INDEX(Enrichment!$A$2:$GZ$2000,0,MATCH("row_id",Enrichment!$A$1:$GZ$1,0)),0),MATCH("work_email",Enrichment!$A$1:$GZ$1,0))&amp;"",""))</f>
        <v/>
      </c>
      <c r="BD609" s="0" t="str">
        <f aca="false">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Q609" s="0" t="str">
        <f aca="false">IF($A609="","",IFERROR(INDEX(Enrichment!$A$2:$GZ$2000,MATCH($A609,INDEX(Enrichment!$A$2:$GZ$2000,0,MATCH("row_id",Enrichment!$A$1:$GZ$1,0)),0),MATCH("backup_work_email",Enrichment!$A$1:$GZ$1,0))&amp;"",""))</f>
        <v/>
      </c>
      <c r="BR609" s="0" t="str">
        <f aca="false">IF($A609="","",IF(BQ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EQ609" s="0" t="str">
        <f aca="false">IF($A609="","",IF(AH609="exact",10,IF(AH609="adjacent",5,0)))</f>
        <v/>
      </c>
      <c r="ER609" s="0" t="str">
        <f aca="false">IF($A609="","",IF(R609="Y",15,0))</f>
        <v/>
      </c>
      <c r="FS609" s="0" t="str">
        <f aca="false">IF($A609="","",IF(ISNUMBER(MATCH(U609,{"queued","contacted","replied","call_booked","call_done","yes_in_principle","materials_sent"},0)),"Y","N"))</f>
        <v/>
      </c>
      <c r="FT609" s="0" t="str">
        <f aca="false">IF($A609="","",IF(OR(T609="Y",U609="do_not_contact",AS609&amp;""&lt;&gt;""),"Y","N"))</f>
        <v/>
      </c>
      <c r="FU609" s="0" t="str">
        <f aca="false">IF($A609="","",IF(AP609&amp;""&lt;&gt;"",AP609&amp;"",$A609))</f>
        <v/>
      </c>
      <c r="FV609" s="0" t="str">
        <f aca="false">IF($A609="","",IF(COUNTIFS($FU$2:$FU$1000,FU609,$FS$2:$FS$1000,"Y")+COUNTIFS($FU$2:$FU$1000,FU609,$FT$2:$FT$1000,"Y")&gt;0,"Y","N"))</f>
        <v/>
      </c>
      <c r="FW609" s="0" t="str">
        <f aca="false">IF($A609="","",IF(AND(U609="new",T609="N",FT609="N",AT609="Y",FV609="N"),"Y","N"))</f>
        <v/>
      </c>
      <c r="FX609" s="0" t="str">
        <f aca="false">IF($A609="","",IF(FW609&lt;&gt;"Y","N",IF(COUNTIFS($FU$2:$FU$1000,FU609,$FW$2:$FW$1000,"Y",$J$2:$J$1000,"&gt;"&amp;J609)+COUNTIFS($FU$2:$FU$1000,FU609,$FW$2:$FW$1000,"Y",$J$2:$J$1000,J609,$GD$2:$GD$1000,"&lt;"&amp;GD609)=0,"Y","N")))</f>
        <v/>
      </c>
      <c r="FY609" s="0" t="str">
        <f aca="false">IF($A609="","",IF(AND(FW609="Y",FX609="Y",Y609&amp;""&lt;&gt;""),IF(Y609&lt;=10,"Y","N"),"N"))</f>
        <v/>
      </c>
      <c r="FZ609" s="0" t="str">
        <f aca="false">IF(FY609="Y",Y609,"")</f>
        <v/>
      </c>
      <c r="GA609" s="0" t="str">
        <f aca="false">IF($A609="","",IF(AND(I609="walk-in",CN609="pass",U609="new",FT609="N",FV609="N",AQ609&lt;&gt;"Y"),"Y","N"))</f>
        <v/>
      </c>
      <c r="GB609" s="0" t="str">
        <f aca="false">IF(GA609&lt;&gt;"Y","",IF(COUNTIFS($GA$2:$GA$1000,"Y",$J$2:$J$1000,"&gt;"&amp;J609)+COUNTIFS($GA$2:$GA$1000,"Y",$J$2:$J$1000,J609,$GD$2:$GD$1000,"&lt;"&amp;GD609)+1&lt;=25,COUNTIFS($GA$2:$GA$1000,"Y",$J$2:$J$1000,"&gt;"&amp;J609)+COUNTIFS($GA$2:$GA$1000,"Y",$J$2:$J$1000,J609,$GD$2:$GD$1000,"&lt;"&amp;GD609)+1,""))</f>
        <v/>
      </c>
      <c r="GC609" s="0" t="str">
        <f aca="false">IF(AND(_xlfn.ISFORMULA(C609),_xlfn.ISFORMULA(J609)),"Y","N")</f>
        <v>Y</v>
      </c>
      <c r="GD609" s="0" t="n">
        <f aca="false">ROW()-1</f>
        <v>608</v>
      </c>
    </row>
    <row r="610" customFormat="false" ht="15" hidden="false" customHeight="false" outlineLevel="0" collapsed="false">
      <c r="C610" s="0" t="str">
        <f aca="false">IF($A610="","",IF(AW610="Y",BM610&amp;"",AY610&amp;""))</f>
        <v/>
      </c>
      <c r="D610" s="0" t="str">
        <f aca="false">IF($A610="","",IF(AW610="Y",BN610&amp;"",AZ610&amp;""))</f>
        <v/>
      </c>
      <c r="E610" s="0" t="str">
        <f aca="false">IF($A610="","",IF(AW610="Y",BO610&amp;"",BA610&amp;""))</f>
        <v/>
      </c>
      <c r="F610" s="0" t="str">
        <f aca="false">IF($A610="","",IF(AW610="Y",BP610&amp;"",BB610&amp;""))</f>
        <v/>
      </c>
      <c r="G610" s="0" t="str">
        <f aca="false">IF($A610="","",IF(AW610="Y",BQ610&amp;"",BC610&amp;""))</f>
        <v/>
      </c>
      <c r="H610" s="0" t="str">
        <f aca="false">IF($A610="","",IF(AW610="Y",BR610&amp;"",BD610&amp;""))</f>
        <v/>
      </c>
      <c r="I610" s="0" t="str">
        <f aca="false">IF($A610="","",IF(R610="Y","warm-intro",IF(H610="verified","email",IF(C610&lt;&gt;"","linkedin",CB610&amp;""))))</f>
        <v/>
      </c>
      <c r="J610" s="0" t="str">
        <f aca="false">IF($A610="","",IF(CN610="pass",ROUND(N(EM610)+N(EN610)+N(EO610)+N(EP610)+N(EQ610)+N(ER610),1),0))</f>
        <v/>
      </c>
      <c r="K610" s="0" t="str">
        <f aca="false">IF($A610="","",IF(CN610&lt;&gt;"pass",CA610&amp;"",CA610&amp;"; "&amp;IF(AW610="Y",BZ610&amp;"",BL610&amp;"")&amp;IF(R610="Y","; known to the founder (+15)","")&amp;"."))</f>
        <v/>
      </c>
      <c r="R610" s="5"/>
      <c r="U610" s="5"/>
      <c r="Y610" s="0" t="str">
        <f aca="false">IF(FX610&lt;&gt;"Y","",COUNTIFS($FX$2:$FX$1000,"Y",$J$2:$J$1000,"&gt;"&amp;J610)+COUNTIFS($FX$2:$FX$1000,"Y",$J$2:$J$1000,J610,$GD$2:$GD$1000,"&lt;"&amp;GD610)+1)</f>
        <v/>
      </c>
      <c r="AB610" s="0" t="str">
        <f aca="false">IF($A610="","",IF(AW610="Y",BY610&amp;"",BK610&amp;""))</f>
        <v/>
      </c>
      <c r="AC610" s="0" t="str">
        <f aca="false">IF($A610="","",IF(AW610="Y",BS610&amp;"",BE610&amp;""))</f>
        <v/>
      </c>
      <c r="AD610" s="0" t="str">
        <f aca="false">IF($A610="","",IF(AW610="Y",BT610&amp;"",BF610&amp;""))</f>
        <v/>
      </c>
      <c r="AE610" s="0" t="str">
        <f aca="false">IF($A610="","",IF(AW610="Y",BU610&amp;"",BG610&amp;""))</f>
        <v/>
      </c>
      <c r="AF610" s="0" t="str">
        <f aca="false">IF($A610="","",IF(AW610="Y",BV610&amp;"",BH610&amp;""))</f>
        <v/>
      </c>
      <c r="AG610" s="0" t="str">
        <f aca="false">IF($A610="","",IF(AW610="Y",BW610&amp;"",BI610&amp;""))</f>
        <v/>
      </c>
      <c r="AH610" s="0" t="str">
        <f aca="false">IF($A610="","",IF(AW610="Y",BX610&amp;"",BJ610&amp;""))</f>
        <v/>
      </c>
      <c r="AQ610" s="5"/>
      <c r="AT610" s="0" t="str">
        <f aca="false">IF($A610="","",IF(AND(CN610="pass",AQ610&lt;&gt;"Y",C610&lt;&gt;"",OR(AX610&lt;&gt;"Y",AV610="Y")),"Y","N"))</f>
        <v/>
      </c>
      <c r="AU610" s="0" t="str">
        <f aca="false">IF($A610="","",_xlfn.TEXTJOIN("; ",TRUE(),IF(CN610&lt;&gt;"pass","gated out",""),IF(AQ610="Y","on hold: "&amp;AR610,""),IF(C610="","no contact named on an opened page",""),IF(AND(AX610="Y",AV610&lt;&gt;"Y"),"Tuesday estimate band "&amp;L610&amp;": founder's call","")))</f>
        <v/>
      </c>
      <c r="BC610" s="0" t="str">
        <f aca="false">IF($A610="","",IFERROR(INDEX(Enrichment!$A$2:$GZ$2000,MATCH($A610,INDEX(Enrichment!$A$2:$GZ$2000,0,MATCH("row_id",Enrichment!$A$1:$GZ$1,0)),0),MATCH("work_email",Enrichment!$A$1:$GZ$1,0))&amp;"",""))</f>
        <v/>
      </c>
      <c r="BD610" s="0" t="str">
        <f aca="false">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Q610" s="0" t="str">
        <f aca="false">IF($A610="","",IFERROR(INDEX(Enrichment!$A$2:$GZ$2000,MATCH($A610,INDEX(Enrichment!$A$2:$GZ$2000,0,MATCH("row_id",Enrichment!$A$1:$GZ$1,0)),0),MATCH("backup_work_email",Enrichment!$A$1:$GZ$1,0))&amp;"",""))</f>
        <v/>
      </c>
      <c r="BR610" s="0" t="str">
        <f aca="false">IF($A610="","",IF(BQ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EQ610" s="0" t="str">
        <f aca="false">IF($A610="","",IF(AH610="exact",10,IF(AH610="adjacent",5,0)))</f>
        <v/>
      </c>
      <c r="ER610" s="0" t="str">
        <f aca="false">IF($A610="","",IF(R610="Y",15,0))</f>
        <v/>
      </c>
      <c r="FS610" s="0" t="str">
        <f aca="false">IF($A610="","",IF(ISNUMBER(MATCH(U610,{"queued","contacted","replied","call_booked","call_done","yes_in_principle","materials_sent"},0)),"Y","N"))</f>
        <v/>
      </c>
      <c r="FT610" s="0" t="str">
        <f aca="false">IF($A610="","",IF(OR(T610="Y",U610="do_not_contact",AS610&amp;""&lt;&gt;""),"Y","N"))</f>
        <v/>
      </c>
      <c r="FU610" s="0" t="str">
        <f aca="false">IF($A610="","",IF(AP610&amp;""&lt;&gt;"",AP610&amp;"",$A610))</f>
        <v/>
      </c>
      <c r="FV610" s="0" t="str">
        <f aca="false">IF($A610="","",IF(COUNTIFS($FU$2:$FU$1000,FU610,$FS$2:$FS$1000,"Y")+COUNTIFS($FU$2:$FU$1000,FU610,$FT$2:$FT$1000,"Y")&gt;0,"Y","N"))</f>
        <v/>
      </c>
      <c r="FW610" s="0" t="str">
        <f aca="false">IF($A610="","",IF(AND(U610="new",T610="N",FT610="N",AT610="Y",FV610="N"),"Y","N"))</f>
        <v/>
      </c>
      <c r="FX610" s="0" t="str">
        <f aca="false">IF($A610="","",IF(FW610&lt;&gt;"Y","N",IF(COUNTIFS($FU$2:$FU$1000,FU610,$FW$2:$FW$1000,"Y",$J$2:$J$1000,"&gt;"&amp;J610)+COUNTIFS($FU$2:$FU$1000,FU610,$FW$2:$FW$1000,"Y",$J$2:$J$1000,J610,$GD$2:$GD$1000,"&lt;"&amp;GD610)=0,"Y","N")))</f>
        <v/>
      </c>
      <c r="FY610" s="0" t="str">
        <f aca="false">IF($A610="","",IF(AND(FW610="Y",FX610="Y",Y610&amp;""&lt;&gt;""),IF(Y610&lt;=10,"Y","N"),"N"))</f>
        <v/>
      </c>
      <c r="FZ610" s="0" t="str">
        <f aca="false">IF(FY610="Y",Y610,"")</f>
        <v/>
      </c>
      <c r="GA610" s="0" t="str">
        <f aca="false">IF($A610="","",IF(AND(I610="walk-in",CN610="pass",U610="new",FT610="N",FV610="N",AQ610&lt;&gt;"Y"),"Y","N"))</f>
        <v/>
      </c>
      <c r="GB610" s="0" t="str">
        <f aca="false">IF(GA610&lt;&gt;"Y","",IF(COUNTIFS($GA$2:$GA$1000,"Y",$J$2:$J$1000,"&gt;"&amp;J610)+COUNTIFS($GA$2:$GA$1000,"Y",$J$2:$J$1000,J610,$GD$2:$GD$1000,"&lt;"&amp;GD610)+1&lt;=25,COUNTIFS($GA$2:$GA$1000,"Y",$J$2:$J$1000,"&gt;"&amp;J610)+COUNTIFS($GA$2:$GA$1000,"Y",$J$2:$J$1000,J610,$GD$2:$GD$1000,"&lt;"&amp;GD610)+1,""))</f>
        <v/>
      </c>
      <c r="GC610" s="0" t="str">
        <f aca="false">IF(AND(_xlfn.ISFORMULA(C610),_xlfn.ISFORMULA(J610)),"Y","N")</f>
        <v>Y</v>
      </c>
      <c r="GD610" s="0" t="n">
        <f aca="false">ROW()-1</f>
        <v>609</v>
      </c>
    </row>
    <row r="611" customFormat="false" ht="15" hidden="false" customHeight="false" outlineLevel="0" collapsed="false">
      <c r="C611" s="0" t="str">
        <f aca="false">IF($A611="","",IF(AW611="Y",BM611&amp;"",AY611&amp;""))</f>
        <v/>
      </c>
      <c r="D611" s="0" t="str">
        <f aca="false">IF($A611="","",IF(AW611="Y",BN611&amp;"",AZ611&amp;""))</f>
        <v/>
      </c>
      <c r="E611" s="0" t="str">
        <f aca="false">IF($A611="","",IF(AW611="Y",BO611&amp;"",BA611&amp;""))</f>
        <v/>
      </c>
      <c r="F611" s="0" t="str">
        <f aca="false">IF($A611="","",IF(AW611="Y",BP611&amp;"",BB611&amp;""))</f>
        <v/>
      </c>
      <c r="G611" s="0" t="str">
        <f aca="false">IF($A611="","",IF(AW611="Y",BQ611&amp;"",BC611&amp;""))</f>
        <v/>
      </c>
      <c r="H611" s="0" t="str">
        <f aca="false">IF($A611="","",IF(AW611="Y",BR611&amp;"",BD611&amp;""))</f>
        <v/>
      </c>
      <c r="I611" s="0" t="str">
        <f aca="false">IF($A611="","",IF(R611="Y","warm-intro",IF(H611="verified","email",IF(C611&lt;&gt;"","linkedin",CB611&amp;""))))</f>
        <v/>
      </c>
      <c r="J611" s="0" t="str">
        <f aca="false">IF($A611="","",IF(CN611="pass",ROUND(N(EM611)+N(EN611)+N(EO611)+N(EP611)+N(EQ611)+N(ER611),1),0))</f>
        <v/>
      </c>
      <c r="K611" s="0" t="str">
        <f aca="false">IF($A611="","",IF(CN611&lt;&gt;"pass",CA611&amp;"",CA611&amp;"; "&amp;IF(AW611="Y",BZ611&amp;"",BL611&amp;"")&amp;IF(R611="Y","; known to the founder (+15)","")&amp;"."))</f>
        <v/>
      </c>
      <c r="R611" s="5"/>
      <c r="U611" s="5"/>
      <c r="Y611" s="0" t="str">
        <f aca="false">IF(FX611&lt;&gt;"Y","",COUNTIFS($FX$2:$FX$1000,"Y",$J$2:$J$1000,"&gt;"&amp;J611)+COUNTIFS($FX$2:$FX$1000,"Y",$J$2:$J$1000,J611,$GD$2:$GD$1000,"&lt;"&amp;GD611)+1)</f>
        <v/>
      </c>
      <c r="AB611" s="0" t="str">
        <f aca="false">IF($A611="","",IF(AW611="Y",BY611&amp;"",BK611&amp;""))</f>
        <v/>
      </c>
      <c r="AC611" s="0" t="str">
        <f aca="false">IF($A611="","",IF(AW611="Y",BS611&amp;"",BE611&amp;""))</f>
        <v/>
      </c>
      <c r="AD611" s="0" t="str">
        <f aca="false">IF($A611="","",IF(AW611="Y",BT611&amp;"",BF611&amp;""))</f>
        <v/>
      </c>
      <c r="AE611" s="0" t="str">
        <f aca="false">IF($A611="","",IF(AW611="Y",BU611&amp;"",BG611&amp;""))</f>
        <v/>
      </c>
      <c r="AF611" s="0" t="str">
        <f aca="false">IF($A611="","",IF(AW611="Y",BV611&amp;"",BH611&amp;""))</f>
        <v/>
      </c>
      <c r="AG611" s="0" t="str">
        <f aca="false">IF($A611="","",IF(AW611="Y",BW611&amp;"",BI611&amp;""))</f>
        <v/>
      </c>
      <c r="AH611" s="0" t="str">
        <f aca="false">IF($A611="","",IF(AW611="Y",BX611&amp;"",BJ611&amp;""))</f>
        <v/>
      </c>
      <c r="AQ611" s="5"/>
      <c r="AT611" s="0" t="str">
        <f aca="false">IF($A611="","",IF(AND(CN611="pass",AQ611&lt;&gt;"Y",C611&lt;&gt;"",OR(AX611&lt;&gt;"Y",AV611="Y")),"Y","N"))</f>
        <v/>
      </c>
      <c r="AU611" s="0" t="str">
        <f aca="false">IF($A611="","",_xlfn.TEXTJOIN("; ",TRUE(),IF(CN611&lt;&gt;"pass","gated out",""),IF(AQ611="Y","on hold: "&amp;AR611,""),IF(C611="","no contact named on an opened page",""),IF(AND(AX611="Y",AV611&lt;&gt;"Y"),"Tuesday estimate band "&amp;L611&amp;": founder's call","")))</f>
        <v/>
      </c>
      <c r="BC611" s="0" t="str">
        <f aca="false">IF($A611="","",IFERROR(INDEX(Enrichment!$A$2:$GZ$2000,MATCH($A611,INDEX(Enrichment!$A$2:$GZ$2000,0,MATCH("row_id",Enrichment!$A$1:$GZ$1,0)),0),MATCH("work_email",Enrichment!$A$1:$GZ$1,0))&amp;"",""))</f>
        <v/>
      </c>
      <c r="BD611" s="0" t="str">
        <f aca="false">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Q611" s="0" t="str">
        <f aca="false">IF($A611="","",IFERROR(INDEX(Enrichment!$A$2:$GZ$2000,MATCH($A611,INDEX(Enrichment!$A$2:$GZ$2000,0,MATCH("row_id",Enrichment!$A$1:$GZ$1,0)),0),MATCH("backup_work_email",Enrichment!$A$1:$GZ$1,0))&amp;"",""))</f>
        <v/>
      </c>
      <c r="BR611" s="0" t="str">
        <f aca="false">IF($A611="","",IF(BQ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EQ611" s="0" t="str">
        <f aca="false">IF($A611="","",IF(AH611="exact",10,IF(AH611="adjacent",5,0)))</f>
        <v/>
      </c>
      <c r="ER611" s="0" t="str">
        <f aca="false">IF($A611="","",IF(R611="Y",15,0))</f>
        <v/>
      </c>
      <c r="FS611" s="0" t="str">
        <f aca="false">IF($A611="","",IF(ISNUMBER(MATCH(U611,{"queued","contacted","replied","call_booked","call_done","yes_in_principle","materials_sent"},0)),"Y","N"))</f>
        <v/>
      </c>
      <c r="FT611" s="0" t="str">
        <f aca="false">IF($A611="","",IF(OR(T611="Y",U611="do_not_contact",AS611&amp;""&lt;&gt;""),"Y","N"))</f>
        <v/>
      </c>
      <c r="FU611" s="0" t="str">
        <f aca="false">IF($A611="","",IF(AP611&amp;""&lt;&gt;"",AP611&amp;"",$A611))</f>
        <v/>
      </c>
      <c r="FV611" s="0" t="str">
        <f aca="false">IF($A611="","",IF(COUNTIFS($FU$2:$FU$1000,FU611,$FS$2:$FS$1000,"Y")+COUNTIFS($FU$2:$FU$1000,FU611,$FT$2:$FT$1000,"Y")&gt;0,"Y","N"))</f>
        <v/>
      </c>
      <c r="FW611" s="0" t="str">
        <f aca="false">IF($A611="","",IF(AND(U611="new",T611="N",FT611="N",AT611="Y",FV611="N"),"Y","N"))</f>
        <v/>
      </c>
      <c r="FX611" s="0" t="str">
        <f aca="false">IF($A611="","",IF(FW611&lt;&gt;"Y","N",IF(COUNTIFS($FU$2:$FU$1000,FU611,$FW$2:$FW$1000,"Y",$J$2:$J$1000,"&gt;"&amp;J611)+COUNTIFS($FU$2:$FU$1000,FU611,$FW$2:$FW$1000,"Y",$J$2:$J$1000,J611,$GD$2:$GD$1000,"&lt;"&amp;GD611)=0,"Y","N")))</f>
        <v/>
      </c>
      <c r="FY611" s="0" t="str">
        <f aca="false">IF($A611="","",IF(AND(FW611="Y",FX611="Y",Y611&amp;""&lt;&gt;""),IF(Y611&lt;=10,"Y","N"),"N"))</f>
        <v/>
      </c>
      <c r="FZ611" s="0" t="str">
        <f aca="false">IF(FY611="Y",Y611,"")</f>
        <v/>
      </c>
      <c r="GA611" s="0" t="str">
        <f aca="false">IF($A611="","",IF(AND(I611="walk-in",CN611="pass",U611="new",FT611="N",FV611="N",AQ611&lt;&gt;"Y"),"Y","N"))</f>
        <v/>
      </c>
      <c r="GB611" s="0" t="str">
        <f aca="false">IF(GA611&lt;&gt;"Y","",IF(COUNTIFS($GA$2:$GA$1000,"Y",$J$2:$J$1000,"&gt;"&amp;J611)+COUNTIFS($GA$2:$GA$1000,"Y",$J$2:$J$1000,J611,$GD$2:$GD$1000,"&lt;"&amp;GD611)+1&lt;=25,COUNTIFS($GA$2:$GA$1000,"Y",$J$2:$J$1000,"&gt;"&amp;J611)+COUNTIFS($GA$2:$GA$1000,"Y",$J$2:$J$1000,J611,$GD$2:$GD$1000,"&lt;"&amp;GD611)+1,""))</f>
        <v/>
      </c>
      <c r="GC611" s="0" t="str">
        <f aca="false">IF(AND(_xlfn.ISFORMULA(C611),_xlfn.ISFORMULA(J611)),"Y","N")</f>
        <v>Y</v>
      </c>
      <c r="GD611" s="0" t="n">
        <f aca="false">ROW()-1</f>
        <v>610</v>
      </c>
    </row>
    <row r="612" customFormat="false" ht="15" hidden="false" customHeight="false" outlineLevel="0" collapsed="false">
      <c r="C612" s="0" t="str">
        <f aca="false">IF($A612="","",IF(AW612="Y",BM612&amp;"",AY612&amp;""))</f>
        <v/>
      </c>
      <c r="D612" s="0" t="str">
        <f aca="false">IF($A612="","",IF(AW612="Y",BN612&amp;"",AZ612&amp;""))</f>
        <v/>
      </c>
      <c r="E612" s="0" t="str">
        <f aca="false">IF($A612="","",IF(AW612="Y",BO612&amp;"",BA612&amp;""))</f>
        <v/>
      </c>
      <c r="F612" s="0" t="str">
        <f aca="false">IF($A612="","",IF(AW612="Y",BP612&amp;"",BB612&amp;""))</f>
        <v/>
      </c>
      <c r="G612" s="0" t="str">
        <f aca="false">IF($A612="","",IF(AW612="Y",BQ612&amp;"",BC612&amp;""))</f>
        <v/>
      </c>
      <c r="H612" s="0" t="str">
        <f aca="false">IF($A612="","",IF(AW612="Y",BR612&amp;"",BD612&amp;""))</f>
        <v/>
      </c>
      <c r="I612" s="0" t="str">
        <f aca="false">IF($A612="","",IF(R612="Y","warm-intro",IF(H612="verified","email",IF(C612&lt;&gt;"","linkedin",CB612&amp;""))))</f>
        <v/>
      </c>
      <c r="J612" s="0" t="str">
        <f aca="false">IF($A612="","",IF(CN612="pass",ROUND(N(EM612)+N(EN612)+N(EO612)+N(EP612)+N(EQ612)+N(ER612),1),0))</f>
        <v/>
      </c>
      <c r="K612" s="0" t="str">
        <f aca="false">IF($A612="","",IF(CN612&lt;&gt;"pass",CA612&amp;"",CA612&amp;"; "&amp;IF(AW612="Y",BZ612&amp;"",BL612&amp;"")&amp;IF(R612="Y","; known to the founder (+15)","")&amp;"."))</f>
        <v/>
      </c>
      <c r="R612" s="5"/>
      <c r="U612" s="5"/>
      <c r="Y612" s="0" t="str">
        <f aca="false">IF(FX612&lt;&gt;"Y","",COUNTIFS($FX$2:$FX$1000,"Y",$J$2:$J$1000,"&gt;"&amp;J612)+COUNTIFS($FX$2:$FX$1000,"Y",$J$2:$J$1000,J612,$GD$2:$GD$1000,"&lt;"&amp;GD612)+1)</f>
        <v/>
      </c>
      <c r="AB612" s="0" t="str">
        <f aca="false">IF($A612="","",IF(AW612="Y",BY612&amp;"",BK612&amp;""))</f>
        <v/>
      </c>
      <c r="AC612" s="0" t="str">
        <f aca="false">IF($A612="","",IF(AW612="Y",BS612&amp;"",BE612&amp;""))</f>
        <v/>
      </c>
      <c r="AD612" s="0" t="str">
        <f aca="false">IF($A612="","",IF(AW612="Y",BT612&amp;"",BF612&amp;""))</f>
        <v/>
      </c>
      <c r="AE612" s="0" t="str">
        <f aca="false">IF($A612="","",IF(AW612="Y",BU612&amp;"",BG612&amp;""))</f>
        <v/>
      </c>
      <c r="AF612" s="0" t="str">
        <f aca="false">IF($A612="","",IF(AW612="Y",BV612&amp;"",BH612&amp;""))</f>
        <v/>
      </c>
      <c r="AG612" s="0" t="str">
        <f aca="false">IF($A612="","",IF(AW612="Y",BW612&amp;"",BI612&amp;""))</f>
        <v/>
      </c>
      <c r="AH612" s="0" t="str">
        <f aca="false">IF($A612="","",IF(AW612="Y",BX612&amp;"",BJ612&amp;""))</f>
        <v/>
      </c>
      <c r="AQ612" s="5"/>
      <c r="AT612" s="0" t="str">
        <f aca="false">IF($A612="","",IF(AND(CN612="pass",AQ612&lt;&gt;"Y",C612&lt;&gt;"",OR(AX612&lt;&gt;"Y",AV612="Y")),"Y","N"))</f>
        <v/>
      </c>
      <c r="AU612" s="0" t="str">
        <f aca="false">IF($A612="","",_xlfn.TEXTJOIN("; ",TRUE(),IF(CN612&lt;&gt;"pass","gated out",""),IF(AQ612="Y","on hold: "&amp;AR612,""),IF(C612="","no contact named on an opened page",""),IF(AND(AX612="Y",AV612&lt;&gt;"Y"),"Tuesday estimate band "&amp;L612&amp;": founder's call","")))</f>
        <v/>
      </c>
      <c r="BC612" s="0" t="str">
        <f aca="false">IF($A612="","",IFERROR(INDEX(Enrichment!$A$2:$GZ$2000,MATCH($A612,INDEX(Enrichment!$A$2:$GZ$2000,0,MATCH("row_id",Enrichment!$A$1:$GZ$1,0)),0),MATCH("work_email",Enrichment!$A$1:$GZ$1,0))&amp;"",""))</f>
        <v/>
      </c>
      <c r="BD612" s="0" t="str">
        <f aca="false">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Q612" s="0" t="str">
        <f aca="false">IF($A612="","",IFERROR(INDEX(Enrichment!$A$2:$GZ$2000,MATCH($A612,INDEX(Enrichment!$A$2:$GZ$2000,0,MATCH("row_id",Enrichment!$A$1:$GZ$1,0)),0),MATCH("backup_work_email",Enrichment!$A$1:$GZ$1,0))&amp;"",""))</f>
        <v/>
      </c>
      <c r="BR612" s="0" t="str">
        <f aca="false">IF($A612="","",IF(BQ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EQ612" s="0" t="str">
        <f aca="false">IF($A612="","",IF(AH612="exact",10,IF(AH612="adjacent",5,0)))</f>
        <v/>
      </c>
      <c r="ER612" s="0" t="str">
        <f aca="false">IF($A612="","",IF(R612="Y",15,0))</f>
        <v/>
      </c>
      <c r="FS612" s="0" t="str">
        <f aca="false">IF($A612="","",IF(ISNUMBER(MATCH(U612,{"queued","contacted","replied","call_booked","call_done","yes_in_principle","materials_sent"},0)),"Y","N"))</f>
        <v/>
      </c>
      <c r="FT612" s="0" t="str">
        <f aca="false">IF($A612="","",IF(OR(T612="Y",U612="do_not_contact",AS612&amp;""&lt;&gt;""),"Y","N"))</f>
        <v/>
      </c>
      <c r="FU612" s="0" t="str">
        <f aca="false">IF($A612="","",IF(AP612&amp;""&lt;&gt;"",AP612&amp;"",$A612))</f>
        <v/>
      </c>
      <c r="FV612" s="0" t="str">
        <f aca="false">IF($A612="","",IF(COUNTIFS($FU$2:$FU$1000,FU612,$FS$2:$FS$1000,"Y")+COUNTIFS($FU$2:$FU$1000,FU612,$FT$2:$FT$1000,"Y")&gt;0,"Y","N"))</f>
        <v/>
      </c>
      <c r="FW612" s="0" t="str">
        <f aca="false">IF($A612="","",IF(AND(U612="new",T612="N",FT612="N",AT612="Y",FV612="N"),"Y","N"))</f>
        <v/>
      </c>
      <c r="FX612" s="0" t="str">
        <f aca="false">IF($A612="","",IF(FW612&lt;&gt;"Y","N",IF(COUNTIFS($FU$2:$FU$1000,FU612,$FW$2:$FW$1000,"Y",$J$2:$J$1000,"&gt;"&amp;J612)+COUNTIFS($FU$2:$FU$1000,FU612,$FW$2:$FW$1000,"Y",$J$2:$J$1000,J612,$GD$2:$GD$1000,"&lt;"&amp;GD612)=0,"Y","N")))</f>
        <v/>
      </c>
      <c r="FY612" s="0" t="str">
        <f aca="false">IF($A612="","",IF(AND(FW612="Y",FX612="Y",Y612&amp;""&lt;&gt;""),IF(Y612&lt;=10,"Y","N"),"N"))</f>
        <v/>
      </c>
      <c r="FZ612" s="0" t="str">
        <f aca="false">IF(FY612="Y",Y612,"")</f>
        <v/>
      </c>
      <c r="GA612" s="0" t="str">
        <f aca="false">IF($A612="","",IF(AND(I612="walk-in",CN612="pass",U612="new",FT612="N",FV612="N",AQ612&lt;&gt;"Y"),"Y","N"))</f>
        <v/>
      </c>
      <c r="GB612" s="0" t="str">
        <f aca="false">IF(GA612&lt;&gt;"Y","",IF(COUNTIFS($GA$2:$GA$1000,"Y",$J$2:$J$1000,"&gt;"&amp;J612)+COUNTIFS($GA$2:$GA$1000,"Y",$J$2:$J$1000,J612,$GD$2:$GD$1000,"&lt;"&amp;GD612)+1&lt;=25,COUNTIFS($GA$2:$GA$1000,"Y",$J$2:$J$1000,"&gt;"&amp;J612)+COUNTIFS($GA$2:$GA$1000,"Y",$J$2:$J$1000,J612,$GD$2:$GD$1000,"&lt;"&amp;GD612)+1,""))</f>
        <v/>
      </c>
      <c r="GC612" s="0" t="str">
        <f aca="false">IF(AND(_xlfn.ISFORMULA(C612),_xlfn.ISFORMULA(J612)),"Y","N")</f>
        <v>Y</v>
      </c>
      <c r="GD612" s="0" t="n">
        <f aca="false">ROW()-1</f>
        <v>611</v>
      </c>
    </row>
    <row r="613" customFormat="false" ht="15" hidden="false" customHeight="false" outlineLevel="0" collapsed="false">
      <c r="C613" s="0" t="str">
        <f aca="false">IF($A613="","",IF(AW613="Y",BM613&amp;"",AY613&amp;""))</f>
        <v/>
      </c>
      <c r="D613" s="0" t="str">
        <f aca="false">IF($A613="","",IF(AW613="Y",BN613&amp;"",AZ613&amp;""))</f>
        <v/>
      </c>
      <c r="E613" s="0" t="str">
        <f aca="false">IF($A613="","",IF(AW613="Y",BO613&amp;"",BA613&amp;""))</f>
        <v/>
      </c>
      <c r="F613" s="0" t="str">
        <f aca="false">IF($A613="","",IF(AW613="Y",BP613&amp;"",BB613&amp;""))</f>
        <v/>
      </c>
      <c r="G613" s="0" t="str">
        <f aca="false">IF($A613="","",IF(AW613="Y",BQ613&amp;"",BC613&amp;""))</f>
        <v/>
      </c>
      <c r="H613" s="0" t="str">
        <f aca="false">IF($A613="","",IF(AW613="Y",BR613&amp;"",BD613&amp;""))</f>
        <v/>
      </c>
      <c r="I613" s="0" t="str">
        <f aca="false">IF($A613="","",IF(R613="Y","warm-intro",IF(H613="verified","email",IF(C613&lt;&gt;"","linkedin",CB613&amp;""))))</f>
        <v/>
      </c>
      <c r="J613" s="0" t="str">
        <f aca="false">IF($A613="","",IF(CN613="pass",ROUND(N(EM613)+N(EN613)+N(EO613)+N(EP613)+N(EQ613)+N(ER613),1),0))</f>
        <v/>
      </c>
      <c r="K613" s="0" t="str">
        <f aca="false">IF($A613="","",IF(CN613&lt;&gt;"pass",CA613&amp;"",CA613&amp;"; "&amp;IF(AW613="Y",BZ613&amp;"",BL613&amp;"")&amp;IF(R613="Y","; known to the founder (+15)","")&amp;"."))</f>
        <v/>
      </c>
      <c r="R613" s="5"/>
      <c r="U613" s="5"/>
      <c r="Y613" s="0" t="str">
        <f aca="false">IF(FX613&lt;&gt;"Y","",COUNTIFS($FX$2:$FX$1000,"Y",$J$2:$J$1000,"&gt;"&amp;J613)+COUNTIFS($FX$2:$FX$1000,"Y",$J$2:$J$1000,J613,$GD$2:$GD$1000,"&lt;"&amp;GD613)+1)</f>
        <v/>
      </c>
      <c r="AB613" s="0" t="str">
        <f aca="false">IF($A613="","",IF(AW613="Y",BY613&amp;"",BK613&amp;""))</f>
        <v/>
      </c>
      <c r="AC613" s="0" t="str">
        <f aca="false">IF($A613="","",IF(AW613="Y",BS613&amp;"",BE613&amp;""))</f>
        <v/>
      </c>
      <c r="AD613" s="0" t="str">
        <f aca="false">IF($A613="","",IF(AW613="Y",BT613&amp;"",BF613&amp;""))</f>
        <v/>
      </c>
      <c r="AE613" s="0" t="str">
        <f aca="false">IF($A613="","",IF(AW613="Y",BU613&amp;"",BG613&amp;""))</f>
        <v/>
      </c>
      <c r="AF613" s="0" t="str">
        <f aca="false">IF($A613="","",IF(AW613="Y",BV613&amp;"",BH613&amp;""))</f>
        <v/>
      </c>
      <c r="AG613" s="0" t="str">
        <f aca="false">IF($A613="","",IF(AW613="Y",BW613&amp;"",BI613&amp;""))</f>
        <v/>
      </c>
      <c r="AH613" s="0" t="str">
        <f aca="false">IF($A613="","",IF(AW613="Y",BX613&amp;"",BJ613&amp;""))</f>
        <v/>
      </c>
      <c r="AQ613" s="5"/>
      <c r="AT613" s="0" t="str">
        <f aca="false">IF($A613="","",IF(AND(CN613="pass",AQ613&lt;&gt;"Y",C613&lt;&gt;"",OR(AX613&lt;&gt;"Y",AV613="Y")),"Y","N"))</f>
        <v/>
      </c>
      <c r="AU613" s="0" t="str">
        <f aca="false">IF($A613="","",_xlfn.TEXTJOIN("; ",TRUE(),IF(CN613&lt;&gt;"pass","gated out",""),IF(AQ613="Y","on hold: "&amp;AR613,""),IF(C613="","no contact named on an opened page",""),IF(AND(AX613="Y",AV613&lt;&gt;"Y"),"Tuesday estimate band "&amp;L613&amp;": founder's call","")))</f>
        <v/>
      </c>
      <c r="BC613" s="0" t="str">
        <f aca="false">IF($A613="","",IFERROR(INDEX(Enrichment!$A$2:$GZ$2000,MATCH($A613,INDEX(Enrichment!$A$2:$GZ$2000,0,MATCH("row_id",Enrichment!$A$1:$GZ$1,0)),0),MATCH("work_email",Enrichment!$A$1:$GZ$1,0))&amp;"",""))</f>
        <v/>
      </c>
      <c r="BD613" s="0" t="str">
        <f aca="false">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Q613" s="0" t="str">
        <f aca="false">IF($A613="","",IFERROR(INDEX(Enrichment!$A$2:$GZ$2000,MATCH($A613,INDEX(Enrichment!$A$2:$GZ$2000,0,MATCH("row_id",Enrichment!$A$1:$GZ$1,0)),0),MATCH("backup_work_email",Enrichment!$A$1:$GZ$1,0))&amp;"",""))</f>
        <v/>
      </c>
      <c r="BR613" s="0" t="str">
        <f aca="false">IF($A613="","",IF(BQ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EQ613" s="0" t="str">
        <f aca="false">IF($A613="","",IF(AH613="exact",10,IF(AH613="adjacent",5,0)))</f>
        <v/>
      </c>
      <c r="ER613" s="0" t="str">
        <f aca="false">IF($A613="","",IF(R613="Y",15,0))</f>
        <v/>
      </c>
      <c r="FS613" s="0" t="str">
        <f aca="false">IF($A613="","",IF(ISNUMBER(MATCH(U613,{"queued","contacted","replied","call_booked","call_done","yes_in_principle","materials_sent"},0)),"Y","N"))</f>
        <v/>
      </c>
      <c r="FT613" s="0" t="str">
        <f aca="false">IF($A613="","",IF(OR(T613="Y",U613="do_not_contact",AS613&amp;""&lt;&gt;""),"Y","N"))</f>
        <v/>
      </c>
      <c r="FU613" s="0" t="str">
        <f aca="false">IF($A613="","",IF(AP613&amp;""&lt;&gt;"",AP613&amp;"",$A613))</f>
        <v/>
      </c>
      <c r="FV613" s="0" t="str">
        <f aca="false">IF($A613="","",IF(COUNTIFS($FU$2:$FU$1000,FU613,$FS$2:$FS$1000,"Y")+COUNTIFS($FU$2:$FU$1000,FU613,$FT$2:$FT$1000,"Y")&gt;0,"Y","N"))</f>
        <v/>
      </c>
      <c r="FW613" s="0" t="str">
        <f aca="false">IF($A613="","",IF(AND(U613="new",T613="N",FT613="N",AT613="Y",FV613="N"),"Y","N"))</f>
        <v/>
      </c>
      <c r="FX613" s="0" t="str">
        <f aca="false">IF($A613="","",IF(FW613&lt;&gt;"Y","N",IF(COUNTIFS($FU$2:$FU$1000,FU613,$FW$2:$FW$1000,"Y",$J$2:$J$1000,"&gt;"&amp;J613)+COUNTIFS($FU$2:$FU$1000,FU613,$FW$2:$FW$1000,"Y",$J$2:$J$1000,J613,$GD$2:$GD$1000,"&lt;"&amp;GD613)=0,"Y","N")))</f>
        <v/>
      </c>
      <c r="FY613" s="0" t="str">
        <f aca="false">IF($A613="","",IF(AND(FW613="Y",FX613="Y",Y613&amp;""&lt;&gt;""),IF(Y613&lt;=10,"Y","N"),"N"))</f>
        <v/>
      </c>
      <c r="FZ613" s="0" t="str">
        <f aca="false">IF(FY613="Y",Y613,"")</f>
        <v/>
      </c>
      <c r="GA613" s="0" t="str">
        <f aca="false">IF($A613="","",IF(AND(I613="walk-in",CN613="pass",U613="new",FT613="N",FV613="N",AQ613&lt;&gt;"Y"),"Y","N"))</f>
        <v/>
      </c>
      <c r="GB613" s="0" t="str">
        <f aca="false">IF(GA613&lt;&gt;"Y","",IF(COUNTIFS($GA$2:$GA$1000,"Y",$J$2:$J$1000,"&gt;"&amp;J613)+COUNTIFS($GA$2:$GA$1000,"Y",$J$2:$J$1000,J613,$GD$2:$GD$1000,"&lt;"&amp;GD613)+1&lt;=25,COUNTIFS($GA$2:$GA$1000,"Y",$J$2:$J$1000,"&gt;"&amp;J613)+COUNTIFS($GA$2:$GA$1000,"Y",$J$2:$J$1000,J613,$GD$2:$GD$1000,"&lt;"&amp;GD613)+1,""))</f>
        <v/>
      </c>
      <c r="GC613" s="0" t="str">
        <f aca="false">IF(AND(_xlfn.ISFORMULA(C613),_xlfn.ISFORMULA(J613)),"Y","N")</f>
        <v>Y</v>
      </c>
      <c r="GD613" s="0" t="n">
        <f aca="false">ROW()-1</f>
        <v>612</v>
      </c>
    </row>
    <row r="614" customFormat="false" ht="15" hidden="false" customHeight="false" outlineLevel="0" collapsed="false">
      <c r="C614" s="0" t="str">
        <f aca="false">IF($A614="","",IF(AW614="Y",BM614&amp;"",AY614&amp;""))</f>
        <v/>
      </c>
      <c r="D614" s="0" t="str">
        <f aca="false">IF($A614="","",IF(AW614="Y",BN614&amp;"",AZ614&amp;""))</f>
        <v/>
      </c>
      <c r="E614" s="0" t="str">
        <f aca="false">IF($A614="","",IF(AW614="Y",BO614&amp;"",BA614&amp;""))</f>
        <v/>
      </c>
      <c r="F614" s="0" t="str">
        <f aca="false">IF($A614="","",IF(AW614="Y",BP614&amp;"",BB614&amp;""))</f>
        <v/>
      </c>
      <c r="G614" s="0" t="str">
        <f aca="false">IF($A614="","",IF(AW614="Y",BQ614&amp;"",BC614&amp;""))</f>
        <v/>
      </c>
      <c r="H614" s="0" t="str">
        <f aca="false">IF($A614="","",IF(AW614="Y",BR614&amp;"",BD614&amp;""))</f>
        <v/>
      </c>
      <c r="I614" s="0" t="str">
        <f aca="false">IF($A614="","",IF(R614="Y","warm-intro",IF(H614="verified","email",IF(C614&lt;&gt;"","linkedin",CB614&amp;""))))</f>
        <v/>
      </c>
      <c r="J614" s="0" t="str">
        <f aca="false">IF($A614="","",IF(CN614="pass",ROUND(N(EM614)+N(EN614)+N(EO614)+N(EP614)+N(EQ614)+N(ER614),1),0))</f>
        <v/>
      </c>
      <c r="K614" s="0" t="str">
        <f aca="false">IF($A614="","",IF(CN614&lt;&gt;"pass",CA614&amp;"",CA614&amp;"; "&amp;IF(AW614="Y",BZ614&amp;"",BL614&amp;"")&amp;IF(R614="Y","; known to the founder (+15)","")&amp;"."))</f>
        <v/>
      </c>
      <c r="R614" s="5"/>
      <c r="U614" s="5"/>
      <c r="Y614" s="0" t="str">
        <f aca="false">IF(FX614&lt;&gt;"Y","",COUNTIFS($FX$2:$FX$1000,"Y",$J$2:$J$1000,"&gt;"&amp;J614)+COUNTIFS($FX$2:$FX$1000,"Y",$J$2:$J$1000,J614,$GD$2:$GD$1000,"&lt;"&amp;GD614)+1)</f>
        <v/>
      </c>
      <c r="AB614" s="0" t="str">
        <f aca="false">IF($A614="","",IF(AW614="Y",BY614&amp;"",BK614&amp;""))</f>
        <v/>
      </c>
      <c r="AC614" s="0" t="str">
        <f aca="false">IF($A614="","",IF(AW614="Y",BS614&amp;"",BE614&amp;""))</f>
        <v/>
      </c>
      <c r="AD614" s="0" t="str">
        <f aca="false">IF($A614="","",IF(AW614="Y",BT614&amp;"",BF614&amp;""))</f>
        <v/>
      </c>
      <c r="AE614" s="0" t="str">
        <f aca="false">IF($A614="","",IF(AW614="Y",BU614&amp;"",BG614&amp;""))</f>
        <v/>
      </c>
      <c r="AF614" s="0" t="str">
        <f aca="false">IF($A614="","",IF(AW614="Y",BV614&amp;"",BH614&amp;""))</f>
        <v/>
      </c>
      <c r="AG614" s="0" t="str">
        <f aca="false">IF($A614="","",IF(AW614="Y",BW614&amp;"",BI614&amp;""))</f>
        <v/>
      </c>
      <c r="AH614" s="0" t="str">
        <f aca="false">IF($A614="","",IF(AW614="Y",BX614&amp;"",BJ614&amp;""))</f>
        <v/>
      </c>
      <c r="AQ614" s="5"/>
      <c r="AT614" s="0" t="str">
        <f aca="false">IF($A614="","",IF(AND(CN614="pass",AQ614&lt;&gt;"Y",C614&lt;&gt;"",OR(AX614&lt;&gt;"Y",AV614="Y")),"Y","N"))</f>
        <v/>
      </c>
      <c r="AU614" s="0" t="str">
        <f aca="false">IF($A614="","",_xlfn.TEXTJOIN("; ",TRUE(),IF(CN614&lt;&gt;"pass","gated out",""),IF(AQ614="Y","on hold: "&amp;AR614,""),IF(C614="","no contact named on an opened page",""),IF(AND(AX614="Y",AV614&lt;&gt;"Y"),"Tuesday estimate band "&amp;L614&amp;": founder's call","")))</f>
        <v/>
      </c>
      <c r="BC614" s="0" t="str">
        <f aca="false">IF($A614="","",IFERROR(INDEX(Enrichment!$A$2:$GZ$2000,MATCH($A614,INDEX(Enrichment!$A$2:$GZ$2000,0,MATCH("row_id",Enrichment!$A$1:$GZ$1,0)),0),MATCH("work_email",Enrichment!$A$1:$GZ$1,0))&amp;"",""))</f>
        <v/>
      </c>
      <c r="BD614" s="0" t="str">
        <f aca="false">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Q614" s="0" t="str">
        <f aca="false">IF($A614="","",IFERROR(INDEX(Enrichment!$A$2:$GZ$2000,MATCH($A614,INDEX(Enrichment!$A$2:$GZ$2000,0,MATCH("row_id",Enrichment!$A$1:$GZ$1,0)),0),MATCH("backup_work_email",Enrichment!$A$1:$GZ$1,0))&amp;"",""))</f>
        <v/>
      </c>
      <c r="BR614" s="0" t="str">
        <f aca="false">IF($A614="","",IF(BQ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EQ614" s="0" t="str">
        <f aca="false">IF($A614="","",IF(AH614="exact",10,IF(AH614="adjacent",5,0)))</f>
        <v/>
      </c>
      <c r="ER614" s="0" t="str">
        <f aca="false">IF($A614="","",IF(R614="Y",15,0))</f>
        <v/>
      </c>
      <c r="FS614" s="0" t="str">
        <f aca="false">IF($A614="","",IF(ISNUMBER(MATCH(U614,{"queued","contacted","replied","call_booked","call_done","yes_in_principle","materials_sent"},0)),"Y","N"))</f>
        <v/>
      </c>
      <c r="FT614" s="0" t="str">
        <f aca="false">IF($A614="","",IF(OR(T614="Y",U614="do_not_contact",AS614&amp;""&lt;&gt;""),"Y","N"))</f>
        <v/>
      </c>
      <c r="FU614" s="0" t="str">
        <f aca="false">IF($A614="","",IF(AP614&amp;""&lt;&gt;"",AP614&amp;"",$A614))</f>
        <v/>
      </c>
      <c r="FV614" s="0" t="str">
        <f aca="false">IF($A614="","",IF(COUNTIFS($FU$2:$FU$1000,FU614,$FS$2:$FS$1000,"Y")+COUNTIFS($FU$2:$FU$1000,FU614,$FT$2:$FT$1000,"Y")&gt;0,"Y","N"))</f>
        <v/>
      </c>
      <c r="FW614" s="0" t="str">
        <f aca="false">IF($A614="","",IF(AND(U614="new",T614="N",FT614="N",AT614="Y",FV614="N"),"Y","N"))</f>
        <v/>
      </c>
      <c r="FX614" s="0" t="str">
        <f aca="false">IF($A614="","",IF(FW614&lt;&gt;"Y","N",IF(COUNTIFS($FU$2:$FU$1000,FU614,$FW$2:$FW$1000,"Y",$J$2:$J$1000,"&gt;"&amp;J614)+COUNTIFS($FU$2:$FU$1000,FU614,$FW$2:$FW$1000,"Y",$J$2:$J$1000,J614,$GD$2:$GD$1000,"&lt;"&amp;GD614)=0,"Y","N")))</f>
        <v/>
      </c>
      <c r="FY614" s="0" t="str">
        <f aca="false">IF($A614="","",IF(AND(FW614="Y",FX614="Y",Y614&amp;""&lt;&gt;""),IF(Y614&lt;=10,"Y","N"),"N"))</f>
        <v/>
      </c>
      <c r="FZ614" s="0" t="str">
        <f aca="false">IF(FY614="Y",Y614,"")</f>
        <v/>
      </c>
      <c r="GA614" s="0" t="str">
        <f aca="false">IF($A614="","",IF(AND(I614="walk-in",CN614="pass",U614="new",FT614="N",FV614="N",AQ614&lt;&gt;"Y"),"Y","N"))</f>
        <v/>
      </c>
      <c r="GB614" s="0" t="str">
        <f aca="false">IF(GA614&lt;&gt;"Y","",IF(COUNTIFS($GA$2:$GA$1000,"Y",$J$2:$J$1000,"&gt;"&amp;J614)+COUNTIFS($GA$2:$GA$1000,"Y",$J$2:$J$1000,J614,$GD$2:$GD$1000,"&lt;"&amp;GD614)+1&lt;=25,COUNTIFS($GA$2:$GA$1000,"Y",$J$2:$J$1000,"&gt;"&amp;J614)+COUNTIFS($GA$2:$GA$1000,"Y",$J$2:$J$1000,J614,$GD$2:$GD$1000,"&lt;"&amp;GD614)+1,""))</f>
        <v/>
      </c>
      <c r="GC614" s="0" t="str">
        <f aca="false">IF(AND(_xlfn.ISFORMULA(C614),_xlfn.ISFORMULA(J614)),"Y","N")</f>
        <v>Y</v>
      </c>
      <c r="GD614" s="0" t="n">
        <f aca="false">ROW()-1</f>
        <v>613</v>
      </c>
    </row>
    <row r="615" customFormat="false" ht="15" hidden="false" customHeight="false" outlineLevel="0" collapsed="false">
      <c r="C615" s="0" t="str">
        <f aca="false">IF($A615="","",IF(AW615="Y",BM615&amp;"",AY615&amp;""))</f>
        <v/>
      </c>
      <c r="D615" s="0" t="str">
        <f aca="false">IF($A615="","",IF(AW615="Y",BN615&amp;"",AZ615&amp;""))</f>
        <v/>
      </c>
      <c r="E615" s="0" t="str">
        <f aca="false">IF($A615="","",IF(AW615="Y",BO615&amp;"",BA615&amp;""))</f>
        <v/>
      </c>
      <c r="F615" s="0" t="str">
        <f aca="false">IF($A615="","",IF(AW615="Y",BP615&amp;"",BB615&amp;""))</f>
        <v/>
      </c>
      <c r="G615" s="0" t="str">
        <f aca="false">IF($A615="","",IF(AW615="Y",BQ615&amp;"",BC615&amp;""))</f>
        <v/>
      </c>
      <c r="H615" s="0" t="str">
        <f aca="false">IF($A615="","",IF(AW615="Y",BR615&amp;"",BD615&amp;""))</f>
        <v/>
      </c>
      <c r="I615" s="0" t="str">
        <f aca="false">IF($A615="","",IF(R615="Y","warm-intro",IF(H615="verified","email",IF(C615&lt;&gt;"","linkedin",CB615&amp;""))))</f>
        <v/>
      </c>
      <c r="J615" s="0" t="str">
        <f aca="false">IF($A615="","",IF(CN615="pass",ROUND(N(EM615)+N(EN615)+N(EO615)+N(EP615)+N(EQ615)+N(ER615),1),0))</f>
        <v/>
      </c>
      <c r="K615" s="0" t="str">
        <f aca="false">IF($A615="","",IF(CN615&lt;&gt;"pass",CA615&amp;"",CA615&amp;"; "&amp;IF(AW615="Y",BZ615&amp;"",BL615&amp;"")&amp;IF(R615="Y","; known to the founder (+15)","")&amp;"."))</f>
        <v/>
      </c>
      <c r="R615" s="5"/>
      <c r="U615" s="5"/>
      <c r="Y615" s="0" t="str">
        <f aca="false">IF(FX615&lt;&gt;"Y","",COUNTIFS($FX$2:$FX$1000,"Y",$J$2:$J$1000,"&gt;"&amp;J615)+COUNTIFS($FX$2:$FX$1000,"Y",$J$2:$J$1000,J615,$GD$2:$GD$1000,"&lt;"&amp;GD615)+1)</f>
        <v/>
      </c>
      <c r="AB615" s="0" t="str">
        <f aca="false">IF($A615="","",IF(AW615="Y",BY615&amp;"",BK615&amp;""))</f>
        <v/>
      </c>
      <c r="AC615" s="0" t="str">
        <f aca="false">IF($A615="","",IF(AW615="Y",BS615&amp;"",BE615&amp;""))</f>
        <v/>
      </c>
      <c r="AD615" s="0" t="str">
        <f aca="false">IF($A615="","",IF(AW615="Y",BT615&amp;"",BF615&amp;""))</f>
        <v/>
      </c>
      <c r="AE615" s="0" t="str">
        <f aca="false">IF($A615="","",IF(AW615="Y",BU615&amp;"",BG615&amp;""))</f>
        <v/>
      </c>
      <c r="AF615" s="0" t="str">
        <f aca="false">IF($A615="","",IF(AW615="Y",BV615&amp;"",BH615&amp;""))</f>
        <v/>
      </c>
      <c r="AG615" s="0" t="str">
        <f aca="false">IF($A615="","",IF(AW615="Y",BW615&amp;"",BI615&amp;""))</f>
        <v/>
      </c>
      <c r="AH615" s="0" t="str">
        <f aca="false">IF($A615="","",IF(AW615="Y",BX615&amp;"",BJ615&amp;""))</f>
        <v/>
      </c>
      <c r="AQ615" s="5"/>
      <c r="AT615" s="0" t="str">
        <f aca="false">IF($A615="","",IF(AND(CN615="pass",AQ615&lt;&gt;"Y",C615&lt;&gt;"",OR(AX615&lt;&gt;"Y",AV615="Y")),"Y","N"))</f>
        <v/>
      </c>
      <c r="AU615" s="0" t="str">
        <f aca="false">IF($A615="","",_xlfn.TEXTJOIN("; ",TRUE(),IF(CN615&lt;&gt;"pass","gated out",""),IF(AQ615="Y","on hold: "&amp;AR615,""),IF(C615="","no contact named on an opened page",""),IF(AND(AX615="Y",AV615&lt;&gt;"Y"),"Tuesday estimate band "&amp;L615&amp;": founder's call","")))</f>
        <v/>
      </c>
      <c r="BC615" s="0" t="str">
        <f aca="false">IF($A615="","",IFERROR(INDEX(Enrichment!$A$2:$GZ$2000,MATCH($A615,INDEX(Enrichment!$A$2:$GZ$2000,0,MATCH("row_id",Enrichment!$A$1:$GZ$1,0)),0),MATCH("work_email",Enrichment!$A$1:$GZ$1,0))&amp;"",""))</f>
        <v/>
      </c>
      <c r="BD615" s="0" t="str">
        <f aca="false">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Q615" s="0" t="str">
        <f aca="false">IF($A615="","",IFERROR(INDEX(Enrichment!$A$2:$GZ$2000,MATCH($A615,INDEX(Enrichment!$A$2:$GZ$2000,0,MATCH("row_id",Enrichment!$A$1:$GZ$1,0)),0),MATCH("backup_work_email",Enrichment!$A$1:$GZ$1,0))&amp;"",""))</f>
        <v/>
      </c>
      <c r="BR615" s="0" t="str">
        <f aca="false">IF($A615="","",IF(BQ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EQ615" s="0" t="str">
        <f aca="false">IF($A615="","",IF(AH615="exact",10,IF(AH615="adjacent",5,0)))</f>
        <v/>
      </c>
      <c r="ER615" s="0" t="str">
        <f aca="false">IF($A615="","",IF(R615="Y",15,0))</f>
        <v/>
      </c>
      <c r="FS615" s="0" t="str">
        <f aca="false">IF($A615="","",IF(ISNUMBER(MATCH(U615,{"queued","contacted","replied","call_booked","call_done","yes_in_principle","materials_sent"},0)),"Y","N"))</f>
        <v/>
      </c>
      <c r="FT615" s="0" t="str">
        <f aca="false">IF($A615="","",IF(OR(T615="Y",U615="do_not_contact",AS615&amp;""&lt;&gt;""),"Y","N"))</f>
        <v/>
      </c>
      <c r="FU615" s="0" t="str">
        <f aca="false">IF($A615="","",IF(AP615&amp;""&lt;&gt;"",AP615&amp;"",$A615))</f>
        <v/>
      </c>
      <c r="FV615" s="0" t="str">
        <f aca="false">IF($A615="","",IF(COUNTIFS($FU$2:$FU$1000,FU615,$FS$2:$FS$1000,"Y")+COUNTIFS($FU$2:$FU$1000,FU615,$FT$2:$FT$1000,"Y")&gt;0,"Y","N"))</f>
        <v/>
      </c>
      <c r="FW615" s="0" t="str">
        <f aca="false">IF($A615="","",IF(AND(U615="new",T615="N",FT615="N",AT615="Y",FV615="N"),"Y","N"))</f>
        <v/>
      </c>
      <c r="FX615" s="0" t="str">
        <f aca="false">IF($A615="","",IF(FW615&lt;&gt;"Y","N",IF(COUNTIFS($FU$2:$FU$1000,FU615,$FW$2:$FW$1000,"Y",$J$2:$J$1000,"&gt;"&amp;J615)+COUNTIFS($FU$2:$FU$1000,FU615,$FW$2:$FW$1000,"Y",$J$2:$J$1000,J615,$GD$2:$GD$1000,"&lt;"&amp;GD615)=0,"Y","N")))</f>
        <v/>
      </c>
      <c r="FY615" s="0" t="str">
        <f aca="false">IF($A615="","",IF(AND(FW615="Y",FX615="Y",Y615&amp;""&lt;&gt;""),IF(Y615&lt;=10,"Y","N"),"N"))</f>
        <v/>
      </c>
      <c r="FZ615" s="0" t="str">
        <f aca="false">IF(FY615="Y",Y615,"")</f>
        <v/>
      </c>
      <c r="GA615" s="0" t="str">
        <f aca="false">IF($A615="","",IF(AND(I615="walk-in",CN615="pass",U615="new",FT615="N",FV615="N",AQ615&lt;&gt;"Y"),"Y","N"))</f>
        <v/>
      </c>
      <c r="GB615" s="0" t="str">
        <f aca="false">IF(GA615&lt;&gt;"Y","",IF(COUNTIFS($GA$2:$GA$1000,"Y",$J$2:$J$1000,"&gt;"&amp;J615)+COUNTIFS($GA$2:$GA$1000,"Y",$J$2:$J$1000,J615,$GD$2:$GD$1000,"&lt;"&amp;GD615)+1&lt;=25,COUNTIFS($GA$2:$GA$1000,"Y",$J$2:$J$1000,"&gt;"&amp;J615)+COUNTIFS($GA$2:$GA$1000,"Y",$J$2:$J$1000,J615,$GD$2:$GD$1000,"&lt;"&amp;GD615)+1,""))</f>
        <v/>
      </c>
      <c r="GC615" s="0" t="str">
        <f aca="false">IF(AND(_xlfn.ISFORMULA(C615),_xlfn.ISFORMULA(J615)),"Y","N")</f>
        <v>Y</v>
      </c>
      <c r="GD615" s="0" t="n">
        <f aca="false">ROW()-1</f>
        <v>614</v>
      </c>
    </row>
    <row r="616" customFormat="false" ht="15" hidden="false" customHeight="false" outlineLevel="0" collapsed="false">
      <c r="C616" s="0" t="str">
        <f aca="false">IF($A616="","",IF(AW616="Y",BM616&amp;"",AY616&amp;""))</f>
        <v/>
      </c>
      <c r="D616" s="0" t="str">
        <f aca="false">IF($A616="","",IF(AW616="Y",BN616&amp;"",AZ616&amp;""))</f>
        <v/>
      </c>
      <c r="E616" s="0" t="str">
        <f aca="false">IF($A616="","",IF(AW616="Y",BO616&amp;"",BA616&amp;""))</f>
        <v/>
      </c>
      <c r="F616" s="0" t="str">
        <f aca="false">IF($A616="","",IF(AW616="Y",BP616&amp;"",BB616&amp;""))</f>
        <v/>
      </c>
      <c r="G616" s="0" t="str">
        <f aca="false">IF($A616="","",IF(AW616="Y",BQ616&amp;"",BC616&amp;""))</f>
        <v/>
      </c>
      <c r="H616" s="0" t="str">
        <f aca="false">IF($A616="","",IF(AW616="Y",BR616&amp;"",BD616&amp;""))</f>
        <v/>
      </c>
      <c r="I616" s="0" t="str">
        <f aca="false">IF($A616="","",IF(R616="Y","warm-intro",IF(H616="verified","email",IF(C616&lt;&gt;"","linkedin",CB616&amp;""))))</f>
        <v/>
      </c>
      <c r="J616" s="0" t="str">
        <f aca="false">IF($A616="","",IF(CN616="pass",ROUND(N(EM616)+N(EN616)+N(EO616)+N(EP616)+N(EQ616)+N(ER616),1),0))</f>
        <v/>
      </c>
      <c r="K616" s="0" t="str">
        <f aca="false">IF($A616="","",IF(CN616&lt;&gt;"pass",CA616&amp;"",CA616&amp;"; "&amp;IF(AW616="Y",BZ616&amp;"",BL616&amp;"")&amp;IF(R616="Y","; known to the founder (+15)","")&amp;"."))</f>
        <v/>
      </c>
      <c r="R616" s="5"/>
      <c r="U616" s="5"/>
      <c r="Y616" s="0" t="str">
        <f aca="false">IF(FX616&lt;&gt;"Y","",COUNTIFS($FX$2:$FX$1000,"Y",$J$2:$J$1000,"&gt;"&amp;J616)+COUNTIFS($FX$2:$FX$1000,"Y",$J$2:$J$1000,J616,$GD$2:$GD$1000,"&lt;"&amp;GD616)+1)</f>
        <v/>
      </c>
      <c r="AB616" s="0" t="str">
        <f aca="false">IF($A616="","",IF(AW616="Y",BY616&amp;"",BK616&amp;""))</f>
        <v/>
      </c>
      <c r="AC616" s="0" t="str">
        <f aca="false">IF($A616="","",IF(AW616="Y",BS616&amp;"",BE616&amp;""))</f>
        <v/>
      </c>
      <c r="AD616" s="0" t="str">
        <f aca="false">IF($A616="","",IF(AW616="Y",BT616&amp;"",BF616&amp;""))</f>
        <v/>
      </c>
      <c r="AE616" s="0" t="str">
        <f aca="false">IF($A616="","",IF(AW616="Y",BU616&amp;"",BG616&amp;""))</f>
        <v/>
      </c>
      <c r="AF616" s="0" t="str">
        <f aca="false">IF($A616="","",IF(AW616="Y",BV616&amp;"",BH616&amp;""))</f>
        <v/>
      </c>
      <c r="AG616" s="0" t="str">
        <f aca="false">IF($A616="","",IF(AW616="Y",BW616&amp;"",BI616&amp;""))</f>
        <v/>
      </c>
      <c r="AH616" s="0" t="str">
        <f aca="false">IF($A616="","",IF(AW616="Y",BX616&amp;"",BJ616&amp;""))</f>
        <v/>
      </c>
      <c r="AQ616" s="5"/>
      <c r="AT616" s="0" t="str">
        <f aca="false">IF($A616="","",IF(AND(CN616="pass",AQ616&lt;&gt;"Y",C616&lt;&gt;"",OR(AX616&lt;&gt;"Y",AV616="Y")),"Y","N"))</f>
        <v/>
      </c>
      <c r="AU616" s="0" t="str">
        <f aca="false">IF($A616="","",_xlfn.TEXTJOIN("; ",TRUE(),IF(CN616&lt;&gt;"pass","gated out",""),IF(AQ616="Y","on hold: "&amp;AR616,""),IF(C616="","no contact named on an opened page",""),IF(AND(AX616="Y",AV616&lt;&gt;"Y"),"Tuesday estimate band "&amp;L616&amp;": founder's call","")))</f>
        <v/>
      </c>
      <c r="BC616" s="0" t="str">
        <f aca="false">IF($A616="","",IFERROR(INDEX(Enrichment!$A$2:$GZ$2000,MATCH($A616,INDEX(Enrichment!$A$2:$GZ$2000,0,MATCH("row_id",Enrichment!$A$1:$GZ$1,0)),0),MATCH("work_email",Enrichment!$A$1:$GZ$1,0))&amp;"",""))</f>
        <v/>
      </c>
      <c r="BD616" s="0" t="str">
        <f aca="false">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Q616" s="0" t="str">
        <f aca="false">IF($A616="","",IFERROR(INDEX(Enrichment!$A$2:$GZ$2000,MATCH($A616,INDEX(Enrichment!$A$2:$GZ$2000,0,MATCH("row_id",Enrichment!$A$1:$GZ$1,0)),0),MATCH("backup_work_email",Enrichment!$A$1:$GZ$1,0))&amp;"",""))</f>
        <v/>
      </c>
      <c r="BR616" s="0" t="str">
        <f aca="false">IF($A616="","",IF(BQ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EQ616" s="0" t="str">
        <f aca="false">IF($A616="","",IF(AH616="exact",10,IF(AH616="adjacent",5,0)))</f>
        <v/>
      </c>
      <c r="ER616" s="0" t="str">
        <f aca="false">IF($A616="","",IF(R616="Y",15,0))</f>
        <v/>
      </c>
      <c r="FS616" s="0" t="str">
        <f aca="false">IF($A616="","",IF(ISNUMBER(MATCH(U616,{"queued","contacted","replied","call_booked","call_done","yes_in_principle","materials_sent"},0)),"Y","N"))</f>
        <v/>
      </c>
      <c r="FT616" s="0" t="str">
        <f aca="false">IF($A616="","",IF(OR(T616="Y",U616="do_not_contact",AS616&amp;""&lt;&gt;""),"Y","N"))</f>
        <v/>
      </c>
      <c r="FU616" s="0" t="str">
        <f aca="false">IF($A616="","",IF(AP616&amp;""&lt;&gt;"",AP616&amp;"",$A616))</f>
        <v/>
      </c>
      <c r="FV616" s="0" t="str">
        <f aca="false">IF($A616="","",IF(COUNTIFS($FU$2:$FU$1000,FU616,$FS$2:$FS$1000,"Y")+COUNTIFS($FU$2:$FU$1000,FU616,$FT$2:$FT$1000,"Y")&gt;0,"Y","N"))</f>
        <v/>
      </c>
      <c r="FW616" s="0" t="str">
        <f aca="false">IF($A616="","",IF(AND(U616="new",T616="N",FT616="N",AT616="Y",FV616="N"),"Y","N"))</f>
        <v/>
      </c>
      <c r="FX616" s="0" t="str">
        <f aca="false">IF($A616="","",IF(FW616&lt;&gt;"Y","N",IF(COUNTIFS($FU$2:$FU$1000,FU616,$FW$2:$FW$1000,"Y",$J$2:$J$1000,"&gt;"&amp;J616)+COUNTIFS($FU$2:$FU$1000,FU616,$FW$2:$FW$1000,"Y",$J$2:$J$1000,J616,$GD$2:$GD$1000,"&lt;"&amp;GD616)=0,"Y","N")))</f>
        <v/>
      </c>
      <c r="FY616" s="0" t="str">
        <f aca="false">IF($A616="","",IF(AND(FW616="Y",FX616="Y",Y616&amp;""&lt;&gt;""),IF(Y616&lt;=10,"Y","N"),"N"))</f>
        <v/>
      </c>
      <c r="FZ616" s="0" t="str">
        <f aca="false">IF(FY616="Y",Y616,"")</f>
        <v/>
      </c>
      <c r="GA616" s="0" t="str">
        <f aca="false">IF($A616="","",IF(AND(I616="walk-in",CN616="pass",U616="new",FT616="N",FV616="N",AQ616&lt;&gt;"Y"),"Y","N"))</f>
        <v/>
      </c>
      <c r="GB616" s="0" t="str">
        <f aca="false">IF(GA616&lt;&gt;"Y","",IF(COUNTIFS($GA$2:$GA$1000,"Y",$J$2:$J$1000,"&gt;"&amp;J616)+COUNTIFS($GA$2:$GA$1000,"Y",$J$2:$J$1000,J616,$GD$2:$GD$1000,"&lt;"&amp;GD616)+1&lt;=25,COUNTIFS($GA$2:$GA$1000,"Y",$J$2:$J$1000,"&gt;"&amp;J616)+COUNTIFS($GA$2:$GA$1000,"Y",$J$2:$J$1000,J616,$GD$2:$GD$1000,"&lt;"&amp;GD616)+1,""))</f>
        <v/>
      </c>
      <c r="GC616" s="0" t="str">
        <f aca="false">IF(AND(_xlfn.ISFORMULA(C616),_xlfn.ISFORMULA(J616)),"Y","N")</f>
        <v>Y</v>
      </c>
      <c r="GD616" s="0" t="n">
        <f aca="false">ROW()-1</f>
        <v>615</v>
      </c>
    </row>
    <row r="617" customFormat="false" ht="15" hidden="false" customHeight="false" outlineLevel="0" collapsed="false">
      <c r="C617" s="0" t="str">
        <f aca="false">IF($A617="","",IF(AW617="Y",BM617&amp;"",AY617&amp;""))</f>
        <v/>
      </c>
      <c r="D617" s="0" t="str">
        <f aca="false">IF($A617="","",IF(AW617="Y",BN617&amp;"",AZ617&amp;""))</f>
        <v/>
      </c>
      <c r="E617" s="0" t="str">
        <f aca="false">IF($A617="","",IF(AW617="Y",BO617&amp;"",BA617&amp;""))</f>
        <v/>
      </c>
      <c r="F617" s="0" t="str">
        <f aca="false">IF($A617="","",IF(AW617="Y",BP617&amp;"",BB617&amp;""))</f>
        <v/>
      </c>
      <c r="G617" s="0" t="str">
        <f aca="false">IF($A617="","",IF(AW617="Y",BQ617&amp;"",BC617&amp;""))</f>
        <v/>
      </c>
      <c r="H617" s="0" t="str">
        <f aca="false">IF($A617="","",IF(AW617="Y",BR617&amp;"",BD617&amp;""))</f>
        <v/>
      </c>
      <c r="I617" s="0" t="str">
        <f aca="false">IF($A617="","",IF(R617="Y","warm-intro",IF(H617="verified","email",IF(C617&lt;&gt;"","linkedin",CB617&amp;""))))</f>
        <v/>
      </c>
      <c r="J617" s="0" t="str">
        <f aca="false">IF($A617="","",IF(CN617="pass",ROUND(N(EM617)+N(EN617)+N(EO617)+N(EP617)+N(EQ617)+N(ER617),1),0))</f>
        <v/>
      </c>
      <c r="K617" s="0" t="str">
        <f aca="false">IF($A617="","",IF(CN617&lt;&gt;"pass",CA617&amp;"",CA617&amp;"; "&amp;IF(AW617="Y",BZ617&amp;"",BL617&amp;"")&amp;IF(R617="Y","; known to the founder (+15)","")&amp;"."))</f>
        <v/>
      </c>
      <c r="R617" s="5"/>
      <c r="U617" s="5"/>
      <c r="Y617" s="0" t="str">
        <f aca="false">IF(FX617&lt;&gt;"Y","",COUNTIFS($FX$2:$FX$1000,"Y",$J$2:$J$1000,"&gt;"&amp;J617)+COUNTIFS($FX$2:$FX$1000,"Y",$J$2:$J$1000,J617,$GD$2:$GD$1000,"&lt;"&amp;GD617)+1)</f>
        <v/>
      </c>
      <c r="AB617" s="0" t="str">
        <f aca="false">IF($A617="","",IF(AW617="Y",BY617&amp;"",BK617&amp;""))</f>
        <v/>
      </c>
      <c r="AC617" s="0" t="str">
        <f aca="false">IF($A617="","",IF(AW617="Y",BS617&amp;"",BE617&amp;""))</f>
        <v/>
      </c>
      <c r="AD617" s="0" t="str">
        <f aca="false">IF($A617="","",IF(AW617="Y",BT617&amp;"",BF617&amp;""))</f>
        <v/>
      </c>
      <c r="AE617" s="0" t="str">
        <f aca="false">IF($A617="","",IF(AW617="Y",BU617&amp;"",BG617&amp;""))</f>
        <v/>
      </c>
      <c r="AF617" s="0" t="str">
        <f aca="false">IF($A617="","",IF(AW617="Y",BV617&amp;"",BH617&amp;""))</f>
        <v/>
      </c>
      <c r="AG617" s="0" t="str">
        <f aca="false">IF($A617="","",IF(AW617="Y",BW617&amp;"",BI617&amp;""))</f>
        <v/>
      </c>
      <c r="AH617" s="0" t="str">
        <f aca="false">IF($A617="","",IF(AW617="Y",BX617&amp;"",BJ617&amp;""))</f>
        <v/>
      </c>
      <c r="AQ617" s="5"/>
      <c r="AT617" s="0" t="str">
        <f aca="false">IF($A617="","",IF(AND(CN617="pass",AQ617&lt;&gt;"Y",C617&lt;&gt;"",OR(AX617&lt;&gt;"Y",AV617="Y")),"Y","N"))</f>
        <v/>
      </c>
      <c r="AU617" s="0" t="str">
        <f aca="false">IF($A617="","",_xlfn.TEXTJOIN("; ",TRUE(),IF(CN617&lt;&gt;"pass","gated out",""),IF(AQ617="Y","on hold: "&amp;AR617,""),IF(C617="","no contact named on an opened page",""),IF(AND(AX617="Y",AV617&lt;&gt;"Y"),"Tuesday estimate band "&amp;L617&amp;": founder's call","")))</f>
        <v/>
      </c>
      <c r="BC617" s="0" t="str">
        <f aca="false">IF($A617="","",IFERROR(INDEX(Enrichment!$A$2:$GZ$2000,MATCH($A617,INDEX(Enrichment!$A$2:$GZ$2000,0,MATCH("row_id",Enrichment!$A$1:$GZ$1,0)),0),MATCH("work_email",Enrichment!$A$1:$GZ$1,0))&amp;"",""))</f>
        <v/>
      </c>
      <c r="BD617" s="0" t="str">
        <f aca="false">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Q617" s="0" t="str">
        <f aca="false">IF($A617="","",IFERROR(INDEX(Enrichment!$A$2:$GZ$2000,MATCH($A617,INDEX(Enrichment!$A$2:$GZ$2000,0,MATCH("row_id",Enrichment!$A$1:$GZ$1,0)),0),MATCH("backup_work_email",Enrichment!$A$1:$GZ$1,0))&amp;"",""))</f>
        <v/>
      </c>
      <c r="BR617" s="0" t="str">
        <f aca="false">IF($A617="","",IF(BQ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EQ617" s="0" t="str">
        <f aca="false">IF($A617="","",IF(AH617="exact",10,IF(AH617="adjacent",5,0)))</f>
        <v/>
      </c>
      <c r="ER617" s="0" t="str">
        <f aca="false">IF($A617="","",IF(R617="Y",15,0))</f>
        <v/>
      </c>
      <c r="FS617" s="0" t="str">
        <f aca="false">IF($A617="","",IF(ISNUMBER(MATCH(U617,{"queued","contacted","replied","call_booked","call_done","yes_in_principle","materials_sent"},0)),"Y","N"))</f>
        <v/>
      </c>
      <c r="FT617" s="0" t="str">
        <f aca="false">IF($A617="","",IF(OR(T617="Y",U617="do_not_contact",AS617&amp;""&lt;&gt;""),"Y","N"))</f>
        <v/>
      </c>
      <c r="FU617" s="0" t="str">
        <f aca="false">IF($A617="","",IF(AP617&amp;""&lt;&gt;"",AP617&amp;"",$A617))</f>
        <v/>
      </c>
      <c r="FV617" s="0" t="str">
        <f aca="false">IF($A617="","",IF(COUNTIFS($FU$2:$FU$1000,FU617,$FS$2:$FS$1000,"Y")+COUNTIFS($FU$2:$FU$1000,FU617,$FT$2:$FT$1000,"Y")&gt;0,"Y","N"))</f>
        <v/>
      </c>
      <c r="FW617" s="0" t="str">
        <f aca="false">IF($A617="","",IF(AND(U617="new",T617="N",FT617="N",AT617="Y",FV617="N"),"Y","N"))</f>
        <v/>
      </c>
      <c r="FX617" s="0" t="str">
        <f aca="false">IF($A617="","",IF(FW617&lt;&gt;"Y","N",IF(COUNTIFS($FU$2:$FU$1000,FU617,$FW$2:$FW$1000,"Y",$J$2:$J$1000,"&gt;"&amp;J617)+COUNTIFS($FU$2:$FU$1000,FU617,$FW$2:$FW$1000,"Y",$J$2:$J$1000,J617,$GD$2:$GD$1000,"&lt;"&amp;GD617)=0,"Y","N")))</f>
        <v/>
      </c>
      <c r="FY617" s="0" t="str">
        <f aca="false">IF($A617="","",IF(AND(FW617="Y",FX617="Y",Y617&amp;""&lt;&gt;""),IF(Y617&lt;=10,"Y","N"),"N"))</f>
        <v/>
      </c>
      <c r="FZ617" s="0" t="str">
        <f aca="false">IF(FY617="Y",Y617,"")</f>
        <v/>
      </c>
      <c r="GA617" s="0" t="str">
        <f aca="false">IF($A617="","",IF(AND(I617="walk-in",CN617="pass",U617="new",FT617="N",FV617="N",AQ617&lt;&gt;"Y"),"Y","N"))</f>
        <v/>
      </c>
      <c r="GB617" s="0" t="str">
        <f aca="false">IF(GA617&lt;&gt;"Y","",IF(COUNTIFS($GA$2:$GA$1000,"Y",$J$2:$J$1000,"&gt;"&amp;J617)+COUNTIFS($GA$2:$GA$1000,"Y",$J$2:$J$1000,J617,$GD$2:$GD$1000,"&lt;"&amp;GD617)+1&lt;=25,COUNTIFS($GA$2:$GA$1000,"Y",$J$2:$J$1000,"&gt;"&amp;J617)+COUNTIFS($GA$2:$GA$1000,"Y",$J$2:$J$1000,J617,$GD$2:$GD$1000,"&lt;"&amp;GD617)+1,""))</f>
        <v/>
      </c>
      <c r="GC617" s="0" t="str">
        <f aca="false">IF(AND(_xlfn.ISFORMULA(C617),_xlfn.ISFORMULA(J617)),"Y","N")</f>
        <v>Y</v>
      </c>
      <c r="GD617" s="0" t="n">
        <f aca="false">ROW()-1</f>
        <v>616</v>
      </c>
    </row>
    <row r="618" customFormat="false" ht="15" hidden="false" customHeight="false" outlineLevel="0" collapsed="false">
      <c r="C618" s="0" t="str">
        <f aca="false">IF($A618="","",IF(AW618="Y",BM618&amp;"",AY618&amp;""))</f>
        <v/>
      </c>
      <c r="D618" s="0" t="str">
        <f aca="false">IF($A618="","",IF(AW618="Y",BN618&amp;"",AZ618&amp;""))</f>
        <v/>
      </c>
      <c r="E618" s="0" t="str">
        <f aca="false">IF($A618="","",IF(AW618="Y",BO618&amp;"",BA618&amp;""))</f>
        <v/>
      </c>
      <c r="F618" s="0" t="str">
        <f aca="false">IF($A618="","",IF(AW618="Y",BP618&amp;"",BB618&amp;""))</f>
        <v/>
      </c>
      <c r="G618" s="0" t="str">
        <f aca="false">IF($A618="","",IF(AW618="Y",BQ618&amp;"",BC618&amp;""))</f>
        <v/>
      </c>
      <c r="H618" s="0" t="str">
        <f aca="false">IF($A618="","",IF(AW618="Y",BR618&amp;"",BD618&amp;""))</f>
        <v/>
      </c>
      <c r="I618" s="0" t="str">
        <f aca="false">IF($A618="","",IF(R618="Y","warm-intro",IF(H618="verified","email",IF(C618&lt;&gt;"","linkedin",CB618&amp;""))))</f>
        <v/>
      </c>
      <c r="J618" s="0" t="str">
        <f aca="false">IF($A618="","",IF(CN618="pass",ROUND(N(EM618)+N(EN618)+N(EO618)+N(EP618)+N(EQ618)+N(ER618),1),0))</f>
        <v/>
      </c>
      <c r="K618" s="0" t="str">
        <f aca="false">IF($A618="","",IF(CN618&lt;&gt;"pass",CA618&amp;"",CA618&amp;"; "&amp;IF(AW618="Y",BZ618&amp;"",BL618&amp;"")&amp;IF(R618="Y","; known to the founder (+15)","")&amp;"."))</f>
        <v/>
      </c>
      <c r="R618" s="5"/>
      <c r="U618" s="5"/>
      <c r="Y618" s="0" t="str">
        <f aca="false">IF(FX618&lt;&gt;"Y","",COUNTIFS($FX$2:$FX$1000,"Y",$J$2:$J$1000,"&gt;"&amp;J618)+COUNTIFS($FX$2:$FX$1000,"Y",$J$2:$J$1000,J618,$GD$2:$GD$1000,"&lt;"&amp;GD618)+1)</f>
        <v/>
      </c>
      <c r="AB618" s="0" t="str">
        <f aca="false">IF($A618="","",IF(AW618="Y",BY618&amp;"",BK618&amp;""))</f>
        <v/>
      </c>
      <c r="AC618" s="0" t="str">
        <f aca="false">IF($A618="","",IF(AW618="Y",BS618&amp;"",BE618&amp;""))</f>
        <v/>
      </c>
      <c r="AD618" s="0" t="str">
        <f aca="false">IF($A618="","",IF(AW618="Y",BT618&amp;"",BF618&amp;""))</f>
        <v/>
      </c>
      <c r="AE618" s="0" t="str">
        <f aca="false">IF($A618="","",IF(AW618="Y",BU618&amp;"",BG618&amp;""))</f>
        <v/>
      </c>
      <c r="AF618" s="0" t="str">
        <f aca="false">IF($A618="","",IF(AW618="Y",BV618&amp;"",BH618&amp;""))</f>
        <v/>
      </c>
      <c r="AG618" s="0" t="str">
        <f aca="false">IF($A618="","",IF(AW618="Y",BW618&amp;"",BI618&amp;""))</f>
        <v/>
      </c>
      <c r="AH618" s="0" t="str">
        <f aca="false">IF($A618="","",IF(AW618="Y",BX618&amp;"",BJ618&amp;""))</f>
        <v/>
      </c>
      <c r="AQ618" s="5"/>
      <c r="AT618" s="0" t="str">
        <f aca="false">IF($A618="","",IF(AND(CN618="pass",AQ618&lt;&gt;"Y",C618&lt;&gt;"",OR(AX618&lt;&gt;"Y",AV618="Y")),"Y","N"))</f>
        <v/>
      </c>
      <c r="AU618" s="0" t="str">
        <f aca="false">IF($A618="","",_xlfn.TEXTJOIN("; ",TRUE(),IF(CN618&lt;&gt;"pass","gated out",""),IF(AQ618="Y","on hold: "&amp;AR618,""),IF(C618="","no contact named on an opened page",""),IF(AND(AX618="Y",AV618&lt;&gt;"Y"),"Tuesday estimate band "&amp;L618&amp;": founder's call","")))</f>
        <v/>
      </c>
      <c r="BC618" s="0" t="str">
        <f aca="false">IF($A618="","",IFERROR(INDEX(Enrichment!$A$2:$GZ$2000,MATCH($A618,INDEX(Enrichment!$A$2:$GZ$2000,0,MATCH("row_id",Enrichment!$A$1:$GZ$1,0)),0),MATCH("work_email",Enrichment!$A$1:$GZ$1,0))&amp;"",""))</f>
        <v/>
      </c>
      <c r="BD618" s="0" t="str">
        <f aca="false">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Q618" s="0" t="str">
        <f aca="false">IF($A618="","",IFERROR(INDEX(Enrichment!$A$2:$GZ$2000,MATCH($A618,INDEX(Enrichment!$A$2:$GZ$2000,0,MATCH("row_id",Enrichment!$A$1:$GZ$1,0)),0),MATCH("backup_work_email",Enrichment!$A$1:$GZ$1,0))&amp;"",""))</f>
        <v/>
      </c>
      <c r="BR618" s="0" t="str">
        <f aca="false">IF($A618="","",IF(BQ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EQ618" s="0" t="str">
        <f aca="false">IF($A618="","",IF(AH618="exact",10,IF(AH618="adjacent",5,0)))</f>
        <v/>
      </c>
      <c r="ER618" s="0" t="str">
        <f aca="false">IF($A618="","",IF(R618="Y",15,0))</f>
        <v/>
      </c>
      <c r="FS618" s="0" t="str">
        <f aca="false">IF($A618="","",IF(ISNUMBER(MATCH(U618,{"queued","contacted","replied","call_booked","call_done","yes_in_principle","materials_sent"},0)),"Y","N"))</f>
        <v/>
      </c>
      <c r="FT618" s="0" t="str">
        <f aca="false">IF($A618="","",IF(OR(T618="Y",U618="do_not_contact",AS618&amp;""&lt;&gt;""),"Y","N"))</f>
        <v/>
      </c>
      <c r="FU618" s="0" t="str">
        <f aca="false">IF($A618="","",IF(AP618&amp;""&lt;&gt;"",AP618&amp;"",$A618))</f>
        <v/>
      </c>
      <c r="FV618" s="0" t="str">
        <f aca="false">IF($A618="","",IF(COUNTIFS($FU$2:$FU$1000,FU618,$FS$2:$FS$1000,"Y")+COUNTIFS($FU$2:$FU$1000,FU618,$FT$2:$FT$1000,"Y")&gt;0,"Y","N"))</f>
        <v/>
      </c>
      <c r="FW618" s="0" t="str">
        <f aca="false">IF($A618="","",IF(AND(U618="new",T618="N",FT618="N",AT618="Y",FV618="N"),"Y","N"))</f>
        <v/>
      </c>
      <c r="FX618" s="0" t="str">
        <f aca="false">IF($A618="","",IF(FW618&lt;&gt;"Y","N",IF(COUNTIFS($FU$2:$FU$1000,FU618,$FW$2:$FW$1000,"Y",$J$2:$J$1000,"&gt;"&amp;J618)+COUNTIFS($FU$2:$FU$1000,FU618,$FW$2:$FW$1000,"Y",$J$2:$J$1000,J618,$GD$2:$GD$1000,"&lt;"&amp;GD618)=0,"Y","N")))</f>
        <v/>
      </c>
      <c r="FY618" s="0" t="str">
        <f aca="false">IF($A618="","",IF(AND(FW618="Y",FX618="Y",Y618&amp;""&lt;&gt;""),IF(Y618&lt;=10,"Y","N"),"N"))</f>
        <v/>
      </c>
      <c r="FZ618" s="0" t="str">
        <f aca="false">IF(FY618="Y",Y618,"")</f>
        <v/>
      </c>
      <c r="GA618" s="0" t="str">
        <f aca="false">IF($A618="","",IF(AND(I618="walk-in",CN618="pass",U618="new",FT618="N",FV618="N",AQ618&lt;&gt;"Y"),"Y","N"))</f>
        <v/>
      </c>
      <c r="GB618" s="0" t="str">
        <f aca="false">IF(GA618&lt;&gt;"Y","",IF(COUNTIFS($GA$2:$GA$1000,"Y",$J$2:$J$1000,"&gt;"&amp;J618)+COUNTIFS($GA$2:$GA$1000,"Y",$J$2:$J$1000,J618,$GD$2:$GD$1000,"&lt;"&amp;GD618)+1&lt;=25,COUNTIFS($GA$2:$GA$1000,"Y",$J$2:$J$1000,"&gt;"&amp;J618)+COUNTIFS($GA$2:$GA$1000,"Y",$J$2:$J$1000,J618,$GD$2:$GD$1000,"&lt;"&amp;GD618)+1,""))</f>
        <v/>
      </c>
      <c r="GC618" s="0" t="str">
        <f aca="false">IF(AND(_xlfn.ISFORMULA(C618),_xlfn.ISFORMULA(J618)),"Y","N")</f>
        <v>Y</v>
      </c>
      <c r="GD618" s="0" t="n">
        <f aca="false">ROW()-1</f>
        <v>617</v>
      </c>
    </row>
    <row r="619" customFormat="false" ht="15" hidden="false" customHeight="false" outlineLevel="0" collapsed="false">
      <c r="C619" s="0" t="str">
        <f aca="false">IF($A619="","",IF(AW619="Y",BM619&amp;"",AY619&amp;""))</f>
        <v/>
      </c>
      <c r="D619" s="0" t="str">
        <f aca="false">IF($A619="","",IF(AW619="Y",BN619&amp;"",AZ619&amp;""))</f>
        <v/>
      </c>
      <c r="E619" s="0" t="str">
        <f aca="false">IF($A619="","",IF(AW619="Y",BO619&amp;"",BA619&amp;""))</f>
        <v/>
      </c>
      <c r="F619" s="0" t="str">
        <f aca="false">IF($A619="","",IF(AW619="Y",BP619&amp;"",BB619&amp;""))</f>
        <v/>
      </c>
      <c r="G619" s="0" t="str">
        <f aca="false">IF($A619="","",IF(AW619="Y",BQ619&amp;"",BC619&amp;""))</f>
        <v/>
      </c>
      <c r="H619" s="0" t="str">
        <f aca="false">IF($A619="","",IF(AW619="Y",BR619&amp;"",BD619&amp;""))</f>
        <v/>
      </c>
      <c r="I619" s="0" t="str">
        <f aca="false">IF($A619="","",IF(R619="Y","warm-intro",IF(H619="verified","email",IF(C619&lt;&gt;"","linkedin",CB619&amp;""))))</f>
        <v/>
      </c>
      <c r="J619" s="0" t="str">
        <f aca="false">IF($A619="","",IF(CN619="pass",ROUND(N(EM619)+N(EN619)+N(EO619)+N(EP619)+N(EQ619)+N(ER619),1),0))</f>
        <v/>
      </c>
      <c r="K619" s="0" t="str">
        <f aca="false">IF($A619="","",IF(CN619&lt;&gt;"pass",CA619&amp;"",CA619&amp;"; "&amp;IF(AW619="Y",BZ619&amp;"",BL619&amp;"")&amp;IF(R619="Y","; known to the founder (+15)","")&amp;"."))</f>
        <v/>
      </c>
      <c r="R619" s="5"/>
      <c r="U619" s="5"/>
      <c r="Y619" s="0" t="str">
        <f aca="false">IF(FX619&lt;&gt;"Y","",COUNTIFS($FX$2:$FX$1000,"Y",$J$2:$J$1000,"&gt;"&amp;J619)+COUNTIFS($FX$2:$FX$1000,"Y",$J$2:$J$1000,J619,$GD$2:$GD$1000,"&lt;"&amp;GD619)+1)</f>
        <v/>
      </c>
      <c r="AB619" s="0" t="str">
        <f aca="false">IF($A619="","",IF(AW619="Y",BY619&amp;"",BK619&amp;""))</f>
        <v/>
      </c>
      <c r="AC619" s="0" t="str">
        <f aca="false">IF($A619="","",IF(AW619="Y",BS619&amp;"",BE619&amp;""))</f>
        <v/>
      </c>
      <c r="AD619" s="0" t="str">
        <f aca="false">IF($A619="","",IF(AW619="Y",BT619&amp;"",BF619&amp;""))</f>
        <v/>
      </c>
      <c r="AE619" s="0" t="str">
        <f aca="false">IF($A619="","",IF(AW619="Y",BU619&amp;"",BG619&amp;""))</f>
        <v/>
      </c>
      <c r="AF619" s="0" t="str">
        <f aca="false">IF($A619="","",IF(AW619="Y",BV619&amp;"",BH619&amp;""))</f>
        <v/>
      </c>
      <c r="AG619" s="0" t="str">
        <f aca="false">IF($A619="","",IF(AW619="Y",BW619&amp;"",BI619&amp;""))</f>
        <v/>
      </c>
      <c r="AH619" s="0" t="str">
        <f aca="false">IF($A619="","",IF(AW619="Y",BX619&amp;"",BJ619&amp;""))</f>
        <v/>
      </c>
      <c r="AQ619" s="5"/>
      <c r="AT619" s="0" t="str">
        <f aca="false">IF($A619="","",IF(AND(CN619="pass",AQ619&lt;&gt;"Y",C619&lt;&gt;"",OR(AX619&lt;&gt;"Y",AV619="Y")),"Y","N"))</f>
        <v/>
      </c>
      <c r="AU619" s="0" t="str">
        <f aca="false">IF($A619="","",_xlfn.TEXTJOIN("; ",TRUE(),IF(CN619&lt;&gt;"pass","gated out",""),IF(AQ619="Y","on hold: "&amp;AR619,""),IF(C619="","no contact named on an opened page",""),IF(AND(AX619="Y",AV619&lt;&gt;"Y"),"Tuesday estimate band "&amp;L619&amp;": founder's call","")))</f>
        <v/>
      </c>
      <c r="BC619" s="0" t="str">
        <f aca="false">IF($A619="","",IFERROR(INDEX(Enrichment!$A$2:$GZ$2000,MATCH($A619,INDEX(Enrichment!$A$2:$GZ$2000,0,MATCH("row_id",Enrichment!$A$1:$GZ$1,0)),0),MATCH("work_email",Enrichment!$A$1:$GZ$1,0))&amp;"",""))</f>
        <v/>
      </c>
      <c r="BD619" s="0" t="str">
        <f aca="false">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Q619" s="0" t="str">
        <f aca="false">IF($A619="","",IFERROR(INDEX(Enrichment!$A$2:$GZ$2000,MATCH($A619,INDEX(Enrichment!$A$2:$GZ$2000,0,MATCH("row_id",Enrichment!$A$1:$GZ$1,0)),0),MATCH("backup_work_email",Enrichment!$A$1:$GZ$1,0))&amp;"",""))</f>
        <v/>
      </c>
      <c r="BR619" s="0" t="str">
        <f aca="false">IF($A619="","",IF(BQ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EQ619" s="0" t="str">
        <f aca="false">IF($A619="","",IF(AH619="exact",10,IF(AH619="adjacent",5,0)))</f>
        <v/>
      </c>
      <c r="ER619" s="0" t="str">
        <f aca="false">IF($A619="","",IF(R619="Y",15,0))</f>
        <v/>
      </c>
      <c r="FS619" s="0" t="str">
        <f aca="false">IF($A619="","",IF(ISNUMBER(MATCH(U619,{"queued","contacted","replied","call_booked","call_done","yes_in_principle","materials_sent"},0)),"Y","N"))</f>
        <v/>
      </c>
      <c r="FT619" s="0" t="str">
        <f aca="false">IF($A619="","",IF(OR(T619="Y",U619="do_not_contact",AS619&amp;""&lt;&gt;""),"Y","N"))</f>
        <v/>
      </c>
      <c r="FU619" s="0" t="str">
        <f aca="false">IF($A619="","",IF(AP619&amp;""&lt;&gt;"",AP619&amp;"",$A619))</f>
        <v/>
      </c>
      <c r="FV619" s="0" t="str">
        <f aca="false">IF($A619="","",IF(COUNTIFS($FU$2:$FU$1000,FU619,$FS$2:$FS$1000,"Y")+COUNTIFS($FU$2:$FU$1000,FU619,$FT$2:$FT$1000,"Y")&gt;0,"Y","N"))</f>
        <v/>
      </c>
      <c r="FW619" s="0" t="str">
        <f aca="false">IF($A619="","",IF(AND(U619="new",T619="N",FT619="N",AT619="Y",FV619="N"),"Y","N"))</f>
        <v/>
      </c>
      <c r="FX619" s="0" t="str">
        <f aca="false">IF($A619="","",IF(FW619&lt;&gt;"Y","N",IF(COUNTIFS($FU$2:$FU$1000,FU619,$FW$2:$FW$1000,"Y",$J$2:$J$1000,"&gt;"&amp;J619)+COUNTIFS($FU$2:$FU$1000,FU619,$FW$2:$FW$1000,"Y",$J$2:$J$1000,J619,$GD$2:$GD$1000,"&lt;"&amp;GD619)=0,"Y","N")))</f>
        <v/>
      </c>
      <c r="FY619" s="0" t="str">
        <f aca="false">IF($A619="","",IF(AND(FW619="Y",FX619="Y",Y619&amp;""&lt;&gt;""),IF(Y619&lt;=10,"Y","N"),"N"))</f>
        <v/>
      </c>
      <c r="FZ619" s="0" t="str">
        <f aca="false">IF(FY619="Y",Y619,"")</f>
        <v/>
      </c>
      <c r="GA619" s="0" t="str">
        <f aca="false">IF($A619="","",IF(AND(I619="walk-in",CN619="pass",U619="new",FT619="N",FV619="N",AQ619&lt;&gt;"Y"),"Y","N"))</f>
        <v/>
      </c>
      <c r="GB619" s="0" t="str">
        <f aca="false">IF(GA619&lt;&gt;"Y","",IF(COUNTIFS($GA$2:$GA$1000,"Y",$J$2:$J$1000,"&gt;"&amp;J619)+COUNTIFS($GA$2:$GA$1000,"Y",$J$2:$J$1000,J619,$GD$2:$GD$1000,"&lt;"&amp;GD619)+1&lt;=25,COUNTIFS($GA$2:$GA$1000,"Y",$J$2:$J$1000,"&gt;"&amp;J619)+COUNTIFS($GA$2:$GA$1000,"Y",$J$2:$J$1000,J619,$GD$2:$GD$1000,"&lt;"&amp;GD619)+1,""))</f>
        <v/>
      </c>
      <c r="GC619" s="0" t="str">
        <f aca="false">IF(AND(_xlfn.ISFORMULA(C619),_xlfn.ISFORMULA(J619)),"Y","N")</f>
        <v>Y</v>
      </c>
      <c r="GD619" s="0" t="n">
        <f aca="false">ROW()-1</f>
        <v>618</v>
      </c>
    </row>
    <row r="620" customFormat="false" ht="15" hidden="false" customHeight="false" outlineLevel="0" collapsed="false">
      <c r="C620" s="0" t="str">
        <f aca="false">IF($A620="","",IF(AW620="Y",BM620&amp;"",AY620&amp;""))</f>
        <v/>
      </c>
      <c r="D620" s="0" t="str">
        <f aca="false">IF($A620="","",IF(AW620="Y",BN620&amp;"",AZ620&amp;""))</f>
        <v/>
      </c>
      <c r="E620" s="0" t="str">
        <f aca="false">IF($A620="","",IF(AW620="Y",BO620&amp;"",BA620&amp;""))</f>
        <v/>
      </c>
      <c r="F620" s="0" t="str">
        <f aca="false">IF($A620="","",IF(AW620="Y",BP620&amp;"",BB620&amp;""))</f>
        <v/>
      </c>
      <c r="G620" s="0" t="str">
        <f aca="false">IF($A620="","",IF(AW620="Y",BQ620&amp;"",BC620&amp;""))</f>
        <v/>
      </c>
      <c r="H620" s="0" t="str">
        <f aca="false">IF($A620="","",IF(AW620="Y",BR620&amp;"",BD620&amp;""))</f>
        <v/>
      </c>
      <c r="I620" s="0" t="str">
        <f aca="false">IF($A620="","",IF(R620="Y","warm-intro",IF(H620="verified","email",IF(C620&lt;&gt;"","linkedin",CB620&amp;""))))</f>
        <v/>
      </c>
      <c r="J620" s="0" t="str">
        <f aca="false">IF($A620="","",IF(CN620="pass",ROUND(N(EM620)+N(EN620)+N(EO620)+N(EP620)+N(EQ620)+N(ER620),1),0))</f>
        <v/>
      </c>
      <c r="K620" s="0" t="str">
        <f aca="false">IF($A620="","",IF(CN620&lt;&gt;"pass",CA620&amp;"",CA620&amp;"; "&amp;IF(AW620="Y",BZ620&amp;"",BL620&amp;"")&amp;IF(R620="Y","; known to the founder (+15)","")&amp;"."))</f>
        <v/>
      </c>
      <c r="R620" s="5"/>
      <c r="U620" s="5"/>
      <c r="Y620" s="0" t="str">
        <f aca="false">IF(FX620&lt;&gt;"Y","",COUNTIFS($FX$2:$FX$1000,"Y",$J$2:$J$1000,"&gt;"&amp;J620)+COUNTIFS($FX$2:$FX$1000,"Y",$J$2:$J$1000,J620,$GD$2:$GD$1000,"&lt;"&amp;GD620)+1)</f>
        <v/>
      </c>
      <c r="AB620" s="0" t="str">
        <f aca="false">IF($A620="","",IF(AW620="Y",BY620&amp;"",BK620&amp;""))</f>
        <v/>
      </c>
      <c r="AC620" s="0" t="str">
        <f aca="false">IF($A620="","",IF(AW620="Y",BS620&amp;"",BE620&amp;""))</f>
        <v/>
      </c>
      <c r="AD620" s="0" t="str">
        <f aca="false">IF($A620="","",IF(AW620="Y",BT620&amp;"",BF620&amp;""))</f>
        <v/>
      </c>
      <c r="AE620" s="0" t="str">
        <f aca="false">IF($A620="","",IF(AW620="Y",BU620&amp;"",BG620&amp;""))</f>
        <v/>
      </c>
      <c r="AF620" s="0" t="str">
        <f aca="false">IF($A620="","",IF(AW620="Y",BV620&amp;"",BH620&amp;""))</f>
        <v/>
      </c>
      <c r="AG620" s="0" t="str">
        <f aca="false">IF($A620="","",IF(AW620="Y",BW620&amp;"",BI620&amp;""))</f>
        <v/>
      </c>
      <c r="AH620" s="0" t="str">
        <f aca="false">IF($A620="","",IF(AW620="Y",BX620&amp;"",BJ620&amp;""))</f>
        <v/>
      </c>
      <c r="AQ620" s="5"/>
      <c r="AT620" s="0" t="str">
        <f aca="false">IF($A620="","",IF(AND(CN620="pass",AQ620&lt;&gt;"Y",C620&lt;&gt;"",OR(AX620&lt;&gt;"Y",AV620="Y")),"Y","N"))</f>
        <v/>
      </c>
      <c r="AU620" s="0" t="str">
        <f aca="false">IF($A620="","",_xlfn.TEXTJOIN("; ",TRUE(),IF(CN620&lt;&gt;"pass","gated out",""),IF(AQ620="Y","on hold: "&amp;AR620,""),IF(C620="","no contact named on an opened page",""),IF(AND(AX620="Y",AV620&lt;&gt;"Y"),"Tuesday estimate band "&amp;L620&amp;": founder's call","")))</f>
        <v/>
      </c>
      <c r="BC620" s="0" t="str">
        <f aca="false">IF($A620="","",IFERROR(INDEX(Enrichment!$A$2:$GZ$2000,MATCH($A620,INDEX(Enrichment!$A$2:$GZ$2000,0,MATCH("row_id",Enrichment!$A$1:$GZ$1,0)),0),MATCH("work_email",Enrichment!$A$1:$GZ$1,0))&amp;"",""))</f>
        <v/>
      </c>
      <c r="BD620" s="0" t="str">
        <f aca="false">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Q620" s="0" t="str">
        <f aca="false">IF($A620="","",IFERROR(INDEX(Enrichment!$A$2:$GZ$2000,MATCH($A620,INDEX(Enrichment!$A$2:$GZ$2000,0,MATCH("row_id",Enrichment!$A$1:$GZ$1,0)),0),MATCH("backup_work_email",Enrichment!$A$1:$GZ$1,0))&amp;"",""))</f>
        <v/>
      </c>
      <c r="BR620" s="0" t="str">
        <f aca="false">IF($A620="","",IF(BQ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EQ620" s="0" t="str">
        <f aca="false">IF($A620="","",IF(AH620="exact",10,IF(AH620="adjacent",5,0)))</f>
        <v/>
      </c>
      <c r="ER620" s="0" t="str">
        <f aca="false">IF($A620="","",IF(R620="Y",15,0))</f>
        <v/>
      </c>
      <c r="FS620" s="0" t="str">
        <f aca="false">IF($A620="","",IF(ISNUMBER(MATCH(U620,{"queued","contacted","replied","call_booked","call_done","yes_in_principle","materials_sent"},0)),"Y","N"))</f>
        <v/>
      </c>
      <c r="FT620" s="0" t="str">
        <f aca="false">IF($A620="","",IF(OR(T620="Y",U620="do_not_contact",AS620&amp;""&lt;&gt;""),"Y","N"))</f>
        <v/>
      </c>
      <c r="FU620" s="0" t="str">
        <f aca="false">IF($A620="","",IF(AP620&amp;""&lt;&gt;"",AP620&amp;"",$A620))</f>
        <v/>
      </c>
      <c r="FV620" s="0" t="str">
        <f aca="false">IF($A620="","",IF(COUNTIFS($FU$2:$FU$1000,FU620,$FS$2:$FS$1000,"Y")+COUNTIFS($FU$2:$FU$1000,FU620,$FT$2:$FT$1000,"Y")&gt;0,"Y","N"))</f>
        <v/>
      </c>
      <c r="FW620" s="0" t="str">
        <f aca="false">IF($A620="","",IF(AND(U620="new",T620="N",FT620="N",AT620="Y",FV620="N"),"Y","N"))</f>
        <v/>
      </c>
      <c r="FX620" s="0" t="str">
        <f aca="false">IF($A620="","",IF(FW620&lt;&gt;"Y","N",IF(COUNTIFS($FU$2:$FU$1000,FU620,$FW$2:$FW$1000,"Y",$J$2:$J$1000,"&gt;"&amp;J620)+COUNTIFS($FU$2:$FU$1000,FU620,$FW$2:$FW$1000,"Y",$J$2:$J$1000,J620,$GD$2:$GD$1000,"&lt;"&amp;GD620)=0,"Y","N")))</f>
        <v/>
      </c>
      <c r="FY620" s="0" t="str">
        <f aca="false">IF($A620="","",IF(AND(FW620="Y",FX620="Y",Y620&amp;""&lt;&gt;""),IF(Y620&lt;=10,"Y","N"),"N"))</f>
        <v/>
      </c>
      <c r="FZ620" s="0" t="str">
        <f aca="false">IF(FY620="Y",Y620,"")</f>
        <v/>
      </c>
      <c r="GA620" s="0" t="str">
        <f aca="false">IF($A620="","",IF(AND(I620="walk-in",CN620="pass",U620="new",FT620="N",FV620="N",AQ620&lt;&gt;"Y"),"Y","N"))</f>
        <v/>
      </c>
      <c r="GB620" s="0" t="str">
        <f aca="false">IF(GA620&lt;&gt;"Y","",IF(COUNTIFS($GA$2:$GA$1000,"Y",$J$2:$J$1000,"&gt;"&amp;J620)+COUNTIFS($GA$2:$GA$1000,"Y",$J$2:$J$1000,J620,$GD$2:$GD$1000,"&lt;"&amp;GD620)+1&lt;=25,COUNTIFS($GA$2:$GA$1000,"Y",$J$2:$J$1000,"&gt;"&amp;J620)+COUNTIFS($GA$2:$GA$1000,"Y",$J$2:$J$1000,J620,$GD$2:$GD$1000,"&lt;"&amp;GD620)+1,""))</f>
        <v/>
      </c>
      <c r="GC620" s="0" t="str">
        <f aca="false">IF(AND(_xlfn.ISFORMULA(C620),_xlfn.ISFORMULA(J620)),"Y","N")</f>
        <v>Y</v>
      </c>
      <c r="GD620" s="0" t="n">
        <f aca="false">ROW()-1</f>
        <v>619</v>
      </c>
    </row>
    <row r="621" customFormat="false" ht="15" hidden="false" customHeight="false" outlineLevel="0" collapsed="false">
      <c r="C621" s="0" t="str">
        <f aca="false">IF($A621="","",IF(AW621="Y",BM621&amp;"",AY621&amp;""))</f>
        <v/>
      </c>
      <c r="D621" s="0" t="str">
        <f aca="false">IF($A621="","",IF(AW621="Y",BN621&amp;"",AZ621&amp;""))</f>
        <v/>
      </c>
      <c r="E621" s="0" t="str">
        <f aca="false">IF($A621="","",IF(AW621="Y",BO621&amp;"",BA621&amp;""))</f>
        <v/>
      </c>
      <c r="F621" s="0" t="str">
        <f aca="false">IF($A621="","",IF(AW621="Y",BP621&amp;"",BB621&amp;""))</f>
        <v/>
      </c>
      <c r="G621" s="0" t="str">
        <f aca="false">IF($A621="","",IF(AW621="Y",BQ621&amp;"",BC621&amp;""))</f>
        <v/>
      </c>
      <c r="H621" s="0" t="str">
        <f aca="false">IF($A621="","",IF(AW621="Y",BR621&amp;"",BD621&amp;""))</f>
        <v/>
      </c>
      <c r="I621" s="0" t="str">
        <f aca="false">IF($A621="","",IF(R621="Y","warm-intro",IF(H621="verified","email",IF(C621&lt;&gt;"","linkedin",CB621&amp;""))))</f>
        <v/>
      </c>
      <c r="J621" s="0" t="str">
        <f aca="false">IF($A621="","",IF(CN621="pass",ROUND(N(EM621)+N(EN621)+N(EO621)+N(EP621)+N(EQ621)+N(ER621),1),0))</f>
        <v/>
      </c>
      <c r="K621" s="0" t="str">
        <f aca="false">IF($A621="","",IF(CN621&lt;&gt;"pass",CA621&amp;"",CA621&amp;"; "&amp;IF(AW621="Y",BZ621&amp;"",BL621&amp;"")&amp;IF(R621="Y","; known to the founder (+15)","")&amp;"."))</f>
        <v/>
      </c>
      <c r="R621" s="5"/>
      <c r="U621" s="5"/>
      <c r="Y621" s="0" t="str">
        <f aca="false">IF(FX621&lt;&gt;"Y","",COUNTIFS($FX$2:$FX$1000,"Y",$J$2:$J$1000,"&gt;"&amp;J621)+COUNTIFS($FX$2:$FX$1000,"Y",$J$2:$J$1000,J621,$GD$2:$GD$1000,"&lt;"&amp;GD621)+1)</f>
        <v/>
      </c>
      <c r="AB621" s="0" t="str">
        <f aca="false">IF($A621="","",IF(AW621="Y",BY621&amp;"",BK621&amp;""))</f>
        <v/>
      </c>
      <c r="AC621" s="0" t="str">
        <f aca="false">IF($A621="","",IF(AW621="Y",BS621&amp;"",BE621&amp;""))</f>
        <v/>
      </c>
      <c r="AD621" s="0" t="str">
        <f aca="false">IF($A621="","",IF(AW621="Y",BT621&amp;"",BF621&amp;""))</f>
        <v/>
      </c>
      <c r="AE621" s="0" t="str">
        <f aca="false">IF($A621="","",IF(AW621="Y",BU621&amp;"",BG621&amp;""))</f>
        <v/>
      </c>
      <c r="AF621" s="0" t="str">
        <f aca="false">IF($A621="","",IF(AW621="Y",BV621&amp;"",BH621&amp;""))</f>
        <v/>
      </c>
      <c r="AG621" s="0" t="str">
        <f aca="false">IF($A621="","",IF(AW621="Y",BW621&amp;"",BI621&amp;""))</f>
        <v/>
      </c>
      <c r="AH621" s="0" t="str">
        <f aca="false">IF($A621="","",IF(AW621="Y",BX621&amp;"",BJ621&amp;""))</f>
        <v/>
      </c>
      <c r="AQ621" s="5"/>
      <c r="AT621" s="0" t="str">
        <f aca="false">IF($A621="","",IF(AND(CN621="pass",AQ621&lt;&gt;"Y",C621&lt;&gt;"",OR(AX621&lt;&gt;"Y",AV621="Y")),"Y","N"))</f>
        <v/>
      </c>
      <c r="AU621" s="0" t="str">
        <f aca="false">IF($A621="","",_xlfn.TEXTJOIN("; ",TRUE(),IF(CN621&lt;&gt;"pass","gated out",""),IF(AQ621="Y","on hold: "&amp;AR621,""),IF(C621="","no contact named on an opened page",""),IF(AND(AX621="Y",AV621&lt;&gt;"Y"),"Tuesday estimate band "&amp;L621&amp;": founder's call","")))</f>
        <v/>
      </c>
      <c r="BC621" s="0" t="str">
        <f aca="false">IF($A621="","",IFERROR(INDEX(Enrichment!$A$2:$GZ$2000,MATCH($A621,INDEX(Enrichment!$A$2:$GZ$2000,0,MATCH("row_id",Enrichment!$A$1:$GZ$1,0)),0),MATCH("work_email",Enrichment!$A$1:$GZ$1,0))&amp;"",""))</f>
        <v/>
      </c>
      <c r="BD621" s="0" t="str">
        <f aca="false">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Q621" s="0" t="str">
        <f aca="false">IF($A621="","",IFERROR(INDEX(Enrichment!$A$2:$GZ$2000,MATCH($A621,INDEX(Enrichment!$A$2:$GZ$2000,0,MATCH("row_id",Enrichment!$A$1:$GZ$1,0)),0),MATCH("backup_work_email",Enrichment!$A$1:$GZ$1,0))&amp;"",""))</f>
        <v/>
      </c>
      <c r="BR621" s="0" t="str">
        <f aca="false">IF($A621="","",IF(BQ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EQ621" s="0" t="str">
        <f aca="false">IF($A621="","",IF(AH621="exact",10,IF(AH621="adjacent",5,0)))</f>
        <v/>
      </c>
      <c r="ER621" s="0" t="str">
        <f aca="false">IF($A621="","",IF(R621="Y",15,0))</f>
        <v/>
      </c>
      <c r="FS621" s="0" t="str">
        <f aca="false">IF($A621="","",IF(ISNUMBER(MATCH(U621,{"queued","contacted","replied","call_booked","call_done","yes_in_principle","materials_sent"},0)),"Y","N"))</f>
        <v/>
      </c>
      <c r="FT621" s="0" t="str">
        <f aca="false">IF($A621="","",IF(OR(T621="Y",U621="do_not_contact",AS621&amp;""&lt;&gt;""),"Y","N"))</f>
        <v/>
      </c>
      <c r="FU621" s="0" t="str">
        <f aca="false">IF($A621="","",IF(AP621&amp;""&lt;&gt;"",AP621&amp;"",$A621))</f>
        <v/>
      </c>
      <c r="FV621" s="0" t="str">
        <f aca="false">IF($A621="","",IF(COUNTIFS($FU$2:$FU$1000,FU621,$FS$2:$FS$1000,"Y")+COUNTIFS($FU$2:$FU$1000,FU621,$FT$2:$FT$1000,"Y")&gt;0,"Y","N"))</f>
        <v/>
      </c>
      <c r="FW621" s="0" t="str">
        <f aca="false">IF($A621="","",IF(AND(U621="new",T621="N",FT621="N",AT621="Y",FV621="N"),"Y","N"))</f>
        <v/>
      </c>
      <c r="FX621" s="0" t="str">
        <f aca="false">IF($A621="","",IF(FW621&lt;&gt;"Y","N",IF(COUNTIFS($FU$2:$FU$1000,FU621,$FW$2:$FW$1000,"Y",$J$2:$J$1000,"&gt;"&amp;J621)+COUNTIFS($FU$2:$FU$1000,FU621,$FW$2:$FW$1000,"Y",$J$2:$J$1000,J621,$GD$2:$GD$1000,"&lt;"&amp;GD621)=0,"Y","N")))</f>
        <v/>
      </c>
      <c r="FY621" s="0" t="str">
        <f aca="false">IF($A621="","",IF(AND(FW621="Y",FX621="Y",Y621&amp;""&lt;&gt;""),IF(Y621&lt;=10,"Y","N"),"N"))</f>
        <v/>
      </c>
      <c r="FZ621" s="0" t="str">
        <f aca="false">IF(FY621="Y",Y621,"")</f>
        <v/>
      </c>
      <c r="GA621" s="0" t="str">
        <f aca="false">IF($A621="","",IF(AND(I621="walk-in",CN621="pass",U621="new",FT621="N",FV621="N",AQ621&lt;&gt;"Y"),"Y","N"))</f>
        <v/>
      </c>
      <c r="GB621" s="0" t="str">
        <f aca="false">IF(GA621&lt;&gt;"Y","",IF(COUNTIFS($GA$2:$GA$1000,"Y",$J$2:$J$1000,"&gt;"&amp;J621)+COUNTIFS($GA$2:$GA$1000,"Y",$J$2:$J$1000,J621,$GD$2:$GD$1000,"&lt;"&amp;GD621)+1&lt;=25,COUNTIFS($GA$2:$GA$1000,"Y",$J$2:$J$1000,"&gt;"&amp;J621)+COUNTIFS($GA$2:$GA$1000,"Y",$J$2:$J$1000,J621,$GD$2:$GD$1000,"&lt;"&amp;GD621)+1,""))</f>
        <v/>
      </c>
      <c r="GC621" s="0" t="str">
        <f aca="false">IF(AND(_xlfn.ISFORMULA(C621),_xlfn.ISFORMULA(J621)),"Y","N")</f>
        <v>Y</v>
      </c>
      <c r="GD621" s="0" t="n">
        <f aca="false">ROW()-1</f>
        <v>620</v>
      </c>
    </row>
    <row r="622" customFormat="false" ht="15" hidden="false" customHeight="false" outlineLevel="0" collapsed="false">
      <c r="C622" s="0" t="str">
        <f aca="false">IF($A622="","",IF(AW622="Y",BM622&amp;"",AY622&amp;""))</f>
        <v/>
      </c>
      <c r="D622" s="0" t="str">
        <f aca="false">IF($A622="","",IF(AW622="Y",BN622&amp;"",AZ622&amp;""))</f>
        <v/>
      </c>
      <c r="E622" s="0" t="str">
        <f aca="false">IF($A622="","",IF(AW622="Y",BO622&amp;"",BA622&amp;""))</f>
        <v/>
      </c>
      <c r="F622" s="0" t="str">
        <f aca="false">IF($A622="","",IF(AW622="Y",BP622&amp;"",BB622&amp;""))</f>
        <v/>
      </c>
      <c r="G622" s="0" t="str">
        <f aca="false">IF($A622="","",IF(AW622="Y",BQ622&amp;"",BC622&amp;""))</f>
        <v/>
      </c>
      <c r="H622" s="0" t="str">
        <f aca="false">IF($A622="","",IF(AW622="Y",BR622&amp;"",BD622&amp;""))</f>
        <v/>
      </c>
      <c r="I622" s="0" t="str">
        <f aca="false">IF($A622="","",IF(R622="Y","warm-intro",IF(H622="verified","email",IF(C622&lt;&gt;"","linkedin",CB622&amp;""))))</f>
        <v/>
      </c>
      <c r="J622" s="0" t="str">
        <f aca="false">IF($A622="","",IF(CN622="pass",ROUND(N(EM622)+N(EN622)+N(EO622)+N(EP622)+N(EQ622)+N(ER622),1),0))</f>
        <v/>
      </c>
      <c r="K622" s="0" t="str">
        <f aca="false">IF($A622="","",IF(CN622&lt;&gt;"pass",CA622&amp;"",CA622&amp;"; "&amp;IF(AW622="Y",BZ622&amp;"",BL622&amp;"")&amp;IF(R622="Y","; known to the founder (+15)","")&amp;"."))</f>
        <v/>
      </c>
      <c r="R622" s="5"/>
      <c r="U622" s="5"/>
      <c r="Y622" s="0" t="str">
        <f aca="false">IF(FX622&lt;&gt;"Y","",COUNTIFS($FX$2:$FX$1000,"Y",$J$2:$J$1000,"&gt;"&amp;J622)+COUNTIFS($FX$2:$FX$1000,"Y",$J$2:$J$1000,J622,$GD$2:$GD$1000,"&lt;"&amp;GD622)+1)</f>
        <v/>
      </c>
      <c r="AB622" s="0" t="str">
        <f aca="false">IF($A622="","",IF(AW622="Y",BY622&amp;"",BK622&amp;""))</f>
        <v/>
      </c>
      <c r="AC622" s="0" t="str">
        <f aca="false">IF($A622="","",IF(AW622="Y",BS622&amp;"",BE622&amp;""))</f>
        <v/>
      </c>
      <c r="AD622" s="0" t="str">
        <f aca="false">IF($A622="","",IF(AW622="Y",BT622&amp;"",BF622&amp;""))</f>
        <v/>
      </c>
      <c r="AE622" s="0" t="str">
        <f aca="false">IF($A622="","",IF(AW622="Y",BU622&amp;"",BG622&amp;""))</f>
        <v/>
      </c>
      <c r="AF622" s="0" t="str">
        <f aca="false">IF($A622="","",IF(AW622="Y",BV622&amp;"",BH622&amp;""))</f>
        <v/>
      </c>
      <c r="AG622" s="0" t="str">
        <f aca="false">IF($A622="","",IF(AW622="Y",BW622&amp;"",BI622&amp;""))</f>
        <v/>
      </c>
      <c r="AH622" s="0" t="str">
        <f aca="false">IF($A622="","",IF(AW622="Y",BX622&amp;"",BJ622&amp;""))</f>
        <v/>
      </c>
      <c r="AQ622" s="5"/>
      <c r="AT622" s="0" t="str">
        <f aca="false">IF($A622="","",IF(AND(CN622="pass",AQ622&lt;&gt;"Y",C622&lt;&gt;"",OR(AX622&lt;&gt;"Y",AV622="Y")),"Y","N"))</f>
        <v/>
      </c>
      <c r="AU622" s="0" t="str">
        <f aca="false">IF($A622="","",_xlfn.TEXTJOIN("; ",TRUE(),IF(CN622&lt;&gt;"pass","gated out",""),IF(AQ622="Y","on hold: "&amp;AR622,""),IF(C622="","no contact named on an opened page",""),IF(AND(AX622="Y",AV622&lt;&gt;"Y"),"Tuesday estimate band "&amp;L622&amp;": founder's call","")))</f>
        <v/>
      </c>
      <c r="BC622" s="0" t="str">
        <f aca="false">IF($A622="","",IFERROR(INDEX(Enrichment!$A$2:$GZ$2000,MATCH($A622,INDEX(Enrichment!$A$2:$GZ$2000,0,MATCH("row_id",Enrichment!$A$1:$GZ$1,0)),0),MATCH("work_email",Enrichment!$A$1:$GZ$1,0))&amp;"",""))</f>
        <v/>
      </c>
      <c r="BD622" s="0" t="str">
        <f aca="false">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Q622" s="0" t="str">
        <f aca="false">IF($A622="","",IFERROR(INDEX(Enrichment!$A$2:$GZ$2000,MATCH($A622,INDEX(Enrichment!$A$2:$GZ$2000,0,MATCH("row_id",Enrichment!$A$1:$GZ$1,0)),0),MATCH("backup_work_email",Enrichment!$A$1:$GZ$1,0))&amp;"",""))</f>
        <v/>
      </c>
      <c r="BR622" s="0" t="str">
        <f aca="false">IF($A622="","",IF(BQ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EQ622" s="0" t="str">
        <f aca="false">IF($A622="","",IF(AH622="exact",10,IF(AH622="adjacent",5,0)))</f>
        <v/>
      </c>
      <c r="ER622" s="0" t="str">
        <f aca="false">IF($A622="","",IF(R622="Y",15,0))</f>
        <v/>
      </c>
      <c r="FS622" s="0" t="str">
        <f aca="false">IF($A622="","",IF(ISNUMBER(MATCH(U622,{"queued","contacted","replied","call_booked","call_done","yes_in_principle","materials_sent"},0)),"Y","N"))</f>
        <v/>
      </c>
      <c r="FT622" s="0" t="str">
        <f aca="false">IF($A622="","",IF(OR(T622="Y",U622="do_not_contact",AS622&amp;""&lt;&gt;""),"Y","N"))</f>
        <v/>
      </c>
      <c r="FU622" s="0" t="str">
        <f aca="false">IF($A622="","",IF(AP622&amp;""&lt;&gt;"",AP622&amp;"",$A622))</f>
        <v/>
      </c>
      <c r="FV622" s="0" t="str">
        <f aca="false">IF($A622="","",IF(COUNTIFS($FU$2:$FU$1000,FU622,$FS$2:$FS$1000,"Y")+COUNTIFS($FU$2:$FU$1000,FU622,$FT$2:$FT$1000,"Y")&gt;0,"Y","N"))</f>
        <v/>
      </c>
      <c r="FW622" s="0" t="str">
        <f aca="false">IF($A622="","",IF(AND(U622="new",T622="N",FT622="N",AT622="Y",FV622="N"),"Y","N"))</f>
        <v/>
      </c>
      <c r="FX622" s="0" t="str">
        <f aca="false">IF($A622="","",IF(FW622&lt;&gt;"Y","N",IF(COUNTIFS($FU$2:$FU$1000,FU622,$FW$2:$FW$1000,"Y",$J$2:$J$1000,"&gt;"&amp;J622)+COUNTIFS($FU$2:$FU$1000,FU622,$FW$2:$FW$1000,"Y",$J$2:$J$1000,J622,$GD$2:$GD$1000,"&lt;"&amp;GD622)=0,"Y","N")))</f>
        <v/>
      </c>
      <c r="FY622" s="0" t="str">
        <f aca="false">IF($A622="","",IF(AND(FW622="Y",FX622="Y",Y622&amp;""&lt;&gt;""),IF(Y622&lt;=10,"Y","N"),"N"))</f>
        <v/>
      </c>
      <c r="FZ622" s="0" t="str">
        <f aca="false">IF(FY622="Y",Y622,"")</f>
        <v/>
      </c>
      <c r="GA622" s="0" t="str">
        <f aca="false">IF($A622="","",IF(AND(I622="walk-in",CN622="pass",U622="new",FT622="N",FV622="N",AQ622&lt;&gt;"Y"),"Y","N"))</f>
        <v/>
      </c>
      <c r="GB622" s="0" t="str">
        <f aca="false">IF(GA622&lt;&gt;"Y","",IF(COUNTIFS($GA$2:$GA$1000,"Y",$J$2:$J$1000,"&gt;"&amp;J622)+COUNTIFS($GA$2:$GA$1000,"Y",$J$2:$J$1000,J622,$GD$2:$GD$1000,"&lt;"&amp;GD622)+1&lt;=25,COUNTIFS($GA$2:$GA$1000,"Y",$J$2:$J$1000,"&gt;"&amp;J622)+COUNTIFS($GA$2:$GA$1000,"Y",$J$2:$J$1000,J622,$GD$2:$GD$1000,"&lt;"&amp;GD622)+1,""))</f>
        <v/>
      </c>
      <c r="GC622" s="0" t="str">
        <f aca="false">IF(AND(_xlfn.ISFORMULA(C622),_xlfn.ISFORMULA(J622)),"Y","N")</f>
        <v>Y</v>
      </c>
      <c r="GD622" s="0" t="n">
        <f aca="false">ROW()-1</f>
        <v>621</v>
      </c>
    </row>
    <row r="623" customFormat="false" ht="15" hidden="false" customHeight="false" outlineLevel="0" collapsed="false">
      <c r="C623" s="0" t="str">
        <f aca="false">IF($A623="","",IF(AW623="Y",BM623&amp;"",AY623&amp;""))</f>
        <v/>
      </c>
      <c r="D623" s="0" t="str">
        <f aca="false">IF($A623="","",IF(AW623="Y",BN623&amp;"",AZ623&amp;""))</f>
        <v/>
      </c>
      <c r="E623" s="0" t="str">
        <f aca="false">IF($A623="","",IF(AW623="Y",BO623&amp;"",BA623&amp;""))</f>
        <v/>
      </c>
      <c r="F623" s="0" t="str">
        <f aca="false">IF($A623="","",IF(AW623="Y",BP623&amp;"",BB623&amp;""))</f>
        <v/>
      </c>
      <c r="G623" s="0" t="str">
        <f aca="false">IF($A623="","",IF(AW623="Y",BQ623&amp;"",BC623&amp;""))</f>
        <v/>
      </c>
      <c r="H623" s="0" t="str">
        <f aca="false">IF($A623="","",IF(AW623="Y",BR623&amp;"",BD623&amp;""))</f>
        <v/>
      </c>
      <c r="I623" s="0" t="str">
        <f aca="false">IF($A623="","",IF(R623="Y","warm-intro",IF(H623="verified","email",IF(C623&lt;&gt;"","linkedin",CB623&amp;""))))</f>
        <v/>
      </c>
      <c r="J623" s="0" t="str">
        <f aca="false">IF($A623="","",IF(CN623="pass",ROUND(N(EM623)+N(EN623)+N(EO623)+N(EP623)+N(EQ623)+N(ER623),1),0))</f>
        <v/>
      </c>
      <c r="K623" s="0" t="str">
        <f aca="false">IF($A623="","",IF(CN623&lt;&gt;"pass",CA623&amp;"",CA623&amp;"; "&amp;IF(AW623="Y",BZ623&amp;"",BL623&amp;"")&amp;IF(R623="Y","; known to the founder (+15)","")&amp;"."))</f>
        <v/>
      </c>
      <c r="R623" s="5"/>
      <c r="U623" s="5"/>
      <c r="Y623" s="0" t="str">
        <f aca="false">IF(FX623&lt;&gt;"Y","",COUNTIFS($FX$2:$FX$1000,"Y",$J$2:$J$1000,"&gt;"&amp;J623)+COUNTIFS($FX$2:$FX$1000,"Y",$J$2:$J$1000,J623,$GD$2:$GD$1000,"&lt;"&amp;GD623)+1)</f>
        <v/>
      </c>
      <c r="AB623" s="0" t="str">
        <f aca="false">IF($A623="","",IF(AW623="Y",BY623&amp;"",BK623&amp;""))</f>
        <v/>
      </c>
      <c r="AC623" s="0" t="str">
        <f aca="false">IF($A623="","",IF(AW623="Y",BS623&amp;"",BE623&amp;""))</f>
        <v/>
      </c>
      <c r="AD623" s="0" t="str">
        <f aca="false">IF($A623="","",IF(AW623="Y",BT623&amp;"",BF623&amp;""))</f>
        <v/>
      </c>
      <c r="AE623" s="0" t="str">
        <f aca="false">IF($A623="","",IF(AW623="Y",BU623&amp;"",BG623&amp;""))</f>
        <v/>
      </c>
      <c r="AF623" s="0" t="str">
        <f aca="false">IF($A623="","",IF(AW623="Y",BV623&amp;"",BH623&amp;""))</f>
        <v/>
      </c>
      <c r="AG623" s="0" t="str">
        <f aca="false">IF($A623="","",IF(AW623="Y",BW623&amp;"",BI623&amp;""))</f>
        <v/>
      </c>
      <c r="AH623" s="0" t="str">
        <f aca="false">IF($A623="","",IF(AW623="Y",BX623&amp;"",BJ623&amp;""))</f>
        <v/>
      </c>
      <c r="AQ623" s="5"/>
      <c r="AT623" s="0" t="str">
        <f aca="false">IF($A623="","",IF(AND(CN623="pass",AQ623&lt;&gt;"Y",C623&lt;&gt;"",OR(AX623&lt;&gt;"Y",AV623="Y")),"Y","N"))</f>
        <v/>
      </c>
      <c r="AU623" s="0" t="str">
        <f aca="false">IF($A623="","",_xlfn.TEXTJOIN("; ",TRUE(),IF(CN623&lt;&gt;"pass","gated out",""),IF(AQ623="Y","on hold: "&amp;AR623,""),IF(C623="","no contact named on an opened page",""),IF(AND(AX623="Y",AV623&lt;&gt;"Y"),"Tuesday estimate band "&amp;L623&amp;": founder's call","")))</f>
        <v/>
      </c>
      <c r="BC623" s="0" t="str">
        <f aca="false">IF($A623="","",IFERROR(INDEX(Enrichment!$A$2:$GZ$2000,MATCH($A623,INDEX(Enrichment!$A$2:$GZ$2000,0,MATCH("row_id",Enrichment!$A$1:$GZ$1,0)),0),MATCH("work_email",Enrichment!$A$1:$GZ$1,0))&amp;"",""))</f>
        <v/>
      </c>
      <c r="BD623" s="0" t="str">
        <f aca="false">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Q623" s="0" t="str">
        <f aca="false">IF($A623="","",IFERROR(INDEX(Enrichment!$A$2:$GZ$2000,MATCH($A623,INDEX(Enrichment!$A$2:$GZ$2000,0,MATCH("row_id",Enrichment!$A$1:$GZ$1,0)),0),MATCH("backup_work_email",Enrichment!$A$1:$GZ$1,0))&amp;"",""))</f>
        <v/>
      </c>
      <c r="BR623" s="0" t="str">
        <f aca="false">IF($A623="","",IF(BQ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EQ623" s="0" t="str">
        <f aca="false">IF($A623="","",IF(AH623="exact",10,IF(AH623="adjacent",5,0)))</f>
        <v/>
      </c>
      <c r="ER623" s="0" t="str">
        <f aca="false">IF($A623="","",IF(R623="Y",15,0))</f>
        <v/>
      </c>
      <c r="FS623" s="0" t="str">
        <f aca="false">IF($A623="","",IF(ISNUMBER(MATCH(U623,{"queued","contacted","replied","call_booked","call_done","yes_in_principle","materials_sent"},0)),"Y","N"))</f>
        <v/>
      </c>
      <c r="FT623" s="0" t="str">
        <f aca="false">IF($A623="","",IF(OR(T623="Y",U623="do_not_contact",AS623&amp;""&lt;&gt;""),"Y","N"))</f>
        <v/>
      </c>
      <c r="FU623" s="0" t="str">
        <f aca="false">IF($A623="","",IF(AP623&amp;""&lt;&gt;"",AP623&amp;"",$A623))</f>
        <v/>
      </c>
      <c r="FV623" s="0" t="str">
        <f aca="false">IF($A623="","",IF(COUNTIFS($FU$2:$FU$1000,FU623,$FS$2:$FS$1000,"Y")+COUNTIFS($FU$2:$FU$1000,FU623,$FT$2:$FT$1000,"Y")&gt;0,"Y","N"))</f>
        <v/>
      </c>
      <c r="FW623" s="0" t="str">
        <f aca="false">IF($A623="","",IF(AND(U623="new",T623="N",FT623="N",AT623="Y",FV623="N"),"Y","N"))</f>
        <v/>
      </c>
      <c r="FX623" s="0" t="str">
        <f aca="false">IF($A623="","",IF(FW623&lt;&gt;"Y","N",IF(COUNTIFS($FU$2:$FU$1000,FU623,$FW$2:$FW$1000,"Y",$J$2:$J$1000,"&gt;"&amp;J623)+COUNTIFS($FU$2:$FU$1000,FU623,$FW$2:$FW$1000,"Y",$J$2:$J$1000,J623,$GD$2:$GD$1000,"&lt;"&amp;GD623)=0,"Y","N")))</f>
        <v/>
      </c>
      <c r="FY623" s="0" t="str">
        <f aca="false">IF($A623="","",IF(AND(FW623="Y",FX623="Y",Y623&amp;""&lt;&gt;""),IF(Y623&lt;=10,"Y","N"),"N"))</f>
        <v/>
      </c>
      <c r="FZ623" s="0" t="str">
        <f aca="false">IF(FY623="Y",Y623,"")</f>
        <v/>
      </c>
      <c r="GA623" s="0" t="str">
        <f aca="false">IF($A623="","",IF(AND(I623="walk-in",CN623="pass",U623="new",FT623="N",FV623="N",AQ623&lt;&gt;"Y"),"Y","N"))</f>
        <v/>
      </c>
      <c r="GB623" s="0" t="str">
        <f aca="false">IF(GA623&lt;&gt;"Y","",IF(COUNTIFS($GA$2:$GA$1000,"Y",$J$2:$J$1000,"&gt;"&amp;J623)+COUNTIFS($GA$2:$GA$1000,"Y",$J$2:$J$1000,J623,$GD$2:$GD$1000,"&lt;"&amp;GD623)+1&lt;=25,COUNTIFS($GA$2:$GA$1000,"Y",$J$2:$J$1000,"&gt;"&amp;J623)+COUNTIFS($GA$2:$GA$1000,"Y",$J$2:$J$1000,J623,$GD$2:$GD$1000,"&lt;"&amp;GD623)+1,""))</f>
        <v/>
      </c>
      <c r="GC623" s="0" t="str">
        <f aca="false">IF(AND(_xlfn.ISFORMULA(C623),_xlfn.ISFORMULA(J623)),"Y","N")</f>
        <v>Y</v>
      </c>
      <c r="GD623" s="0" t="n">
        <f aca="false">ROW()-1</f>
        <v>622</v>
      </c>
    </row>
    <row r="624" customFormat="false" ht="15" hidden="false" customHeight="false" outlineLevel="0" collapsed="false">
      <c r="C624" s="0" t="str">
        <f aca="false">IF($A624="","",IF(AW624="Y",BM624&amp;"",AY624&amp;""))</f>
        <v/>
      </c>
      <c r="D624" s="0" t="str">
        <f aca="false">IF($A624="","",IF(AW624="Y",BN624&amp;"",AZ624&amp;""))</f>
        <v/>
      </c>
      <c r="E624" s="0" t="str">
        <f aca="false">IF($A624="","",IF(AW624="Y",BO624&amp;"",BA624&amp;""))</f>
        <v/>
      </c>
      <c r="F624" s="0" t="str">
        <f aca="false">IF($A624="","",IF(AW624="Y",BP624&amp;"",BB624&amp;""))</f>
        <v/>
      </c>
      <c r="G624" s="0" t="str">
        <f aca="false">IF($A624="","",IF(AW624="Y",BQ624&amp;"",BC624&amp;""))</f>
        <v/>
      </c>
      <c r="H624" s="0" t="str">
        <f aca="false">IF($A624="","",IF(AW624="Y",BR624&amp;"",BD624&amp;""))</f>
        <v/>
      </c>
      <c r="I624" s="0" t="str">
        <f aca="false">IF($A624="","",IF(R624="Y","warm-intro",IF(H624="verified","email",IF(C624&lt;&gt;"","linkedin",CB624&amp;""))))</f>
        <v/>
      </c>
      <c r="J624" s="0" t="str">
        <f aca="false">IF($A624="","",IF(CN624="pass",ROUND(N(EM624)+N(EN624)+N(EO624)+N(EP624)+N(EQ624)+N(ER624),1),0))</f>
        <v/>
      </c>
      <c r="K624" s="0" t="str">
        <f aca="false">IF($A624="","",IF(CN624&lt;&gt;"pass",CA624&amp;"",CA624&amp;"; "&amp;IF(AW624="Y",BZ624&amp;"",BL624&amp;"")&amp;IF(R624="Y","; known to the founder (+15)","")&amp;"."))</f>
        <v/>
      </c>
      <c r="R624" s="5"/>
      <c r="U624" s="5"/>
      <c r="Y624" s="0" t="str">
        <f aca="false">IF(FX624&lt;&gt;"Y","",COUNTIFS($FX$2:$FX$1000,"Y",$J$2:$J$1000,"&gt;"&amp;J624)+COUNTIFS($FX$2:$FX$1000,"Y",$J$2:$J$1000,J624,$GD$2:$GD$1000,"&lt;"&amp;GD624)+1)</f>
        <v/>
      </c>
      <c r="AB624" s="0" t="str">
        <f aca="false">IF($A624="","",IF(AW624="Y",BY624&amp;"",BK624&amp;""))</f>
        <v/>
      </c>
      <c r="AC624" s="0" t="str">
        <f aca="false">IF($A624="","",IF(AW624="Y",BS624&amp;"",BE624&amp;""))</f>
        <v/>
      </c>
      <c r="AD624" s="0" t="str">
        <f aca="false">IF($A624="","",IF(AW624="Y",BT624&amp;"",BF624&amp;""))</f>
        <v/>
      </c>
      <c r="AE624" s="0" t="str">
        <f aca="false">IF($A624="","",IF(AW624="Y",BU624&amp;"",BG624&amp;""))</f>
        <v/>
      </c>
      <c r="AF624" s="0" t="str">
        <f aca="false">IF($A624="","",IF(AW624="Y",BV624&amp;"",BH624&amp;""))</f>
        <v/>
      </c>
      <c r="AG624" s="0" t="str">
        <f aca="false">IF($A624="","",IF(AW624="Y",BW624&amp;"",BI624&amp;""))</f>
        <v/>
      </c>
      <c r="AH624" s="0" t="str">
        <f aca="false">IF($A624="","",IF(AW624="Y",BX624&amp;"",BJ624&amp;""))</f>
        <v/>
      </c>
      <c r="AQ624" s="5"/>
      <c r="AT624" s="0" t="str">
        <f aca="false">IF($A624="","",IF(AND(CN624="pass",AQ624&lt;&gt;"Y",C624&lt;&gt;"",OR(AX624&lt;&gt;"Y",AV624="Y")),"Y","N"))</f>
        <v/>
      </c>
      <c r="AU624" s="0" t="str">
        <f aca="false">IF($A624="","",_xlfn.TEXTJOIN("; ",TRUE(),IF(CN624&lt;&gt;"pass","gated out",""),IF(AQ624="Y","on hold: "&amp;AR624,""),IF(C624="","no contact named on an opened page",""),IF(AND(AX624="Y",AV624&lt;&gt;"Y"),"Tuesday estimate band "&amp;L624&amp;": founder's call","")))</f>
        <v/>
      </c>
      <c r="BC624" s="0" t="str">
        <f aca="false">IF($A624="","",IFERROR(INDEX(Enrichment!$A$2:$GZ$2000,MATCH($A624,INDEX(Enrichment!$A$2:$GZ$2000,0,MATCH("row_id",Enrichment!$A$1:$GZ$1,0)),0),MATCH("work_email",Enrichment!$A$1:$GZ$1,0))&amp;"",""))</f>
        <v/>
      </c>
      <c r="BD624" s="0" t="str">
        <f aca="false">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Q624" s="0" t="str">
        <f aca="false">IF($A624="","",IFERROR(INDEX(Enrichment!$A$2:$GZ$2000,MATCH($A624,INDEX(Enrichment!$A$2:$GZ$2000,0,MATCH("row_id",Enrichment!$A$1:$GZ$1,0)),0),MATCH("backup_work_email",Enrichment!$A$1:$GZ$1,0))&amp;"",""))</f>
        <v/>
      </c>
      <c r="BR624" s="0" t="str">
        <f aca="false">IF($A624="","",IF(BQ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EQ624" s="0" t="str">
        <f aca="false">IF($A624="","",IF(AH624="exact",10,IF(AH624="adjacent",5,0)))</f>
        <v/>
      </c>
      <c r="ER624" s="0" t="str">
        <f aca="false">IF($A624="","",IF(R624="Y",15,0))</f>
        <v/>
      </c>
      <c r="FS624" s="0" t="str">
        <f aca="false">IF($A624="","",IF(ISNUMBER(MATCH(U624,{"queued","contacted","replied","call_booked","call_done","yes_in_principle","materials_sent"},0)),"Y","N"))</f>
        <v/>
      </c>
      <c r="FT624" s="0" t="str">
        <f aca="false">IF($A624="","",IF(OR(T624="Y",U624="do_not_contact",AS624&amp;""&lt;&gt;""),"Y","N"))</f>
        <v/>
      </c>
      <c r="FU624" s="0" t="str">
        <f aca="false">IF($A624="","",IF(AP624&amp;""&lt;&gt;"",AP624&amp;"",$A624))</f>
        <v/>
      </c>
      <c r="FV624" s="0" t="str">
        <f aca="false">IF($A624="","",IF(COUNTIFS($FU$2:$FU$1000,FU624,$FS$2:$FS$1000,"Y")+COUNTIFS($FU$2:$FU$1000,FU624,$FT$2:$FT$1000,"Y")&gt;0,"Y","N"))</f>
        <v/>
      </c>
      <c r="FW624" s="0" t="str">
        <f aca="false">IF($A624="","",IF(AND(U624="new",T624="N",FT624="N",AT624="Y",FV624="N"),"Y","N"))</f>
        <v/>
      </c>
      <c r="FX624" s="0" t="str">
        <f aca="false">IF($A624="","",IF(FW624&lt;&gt;"Y","N",IF(COUNTIFS($FU$2:$FU$1000,FU624,$FW$2:$FW$1000,"Y",$J$2:$J$1000,"&gt;"&amp;J624)+COUNTIFS($FU$2:$FU$1000,FU624,$FW$2:$FW$1000,"Y",$J$2:$J$1000,J624,$GD$2:$GD$1000,"&lt;"&amp;GD624)=0,"Y","N")))</f>
        <v/>
      </c>
      <c r="FY624" s="0" t="str">
        <f aca="false">IF($A624="","",IF(AND(FW624="Y",FX624="Y",Y624&amp;""&lt;&gt;""),IF(Y624&lt;=10,"Y","N"),"N"))</f>
        <v/>
      </c>
      <c r="FZ624" s="0" t="str">
        <f aca="false">IF(FY624="Y",Y624,"")</f>
        <v/>
      </c>
      <c r="GA624" s="0" t="str">
        <f aca="false">IF($A624="","",IF(AND(I624="walk-in",CN624="pass",U624="new",FT624="N",FV624="N",AQ624&lt;&gt;"Y"),"Y","N"))</f>
        <v/>
      </c>
      <c r="GB624" s="0" t="str">
        <f aca="false">IF(GA624&lt;&gt;"Y","",IF(COUNTIFS($GA$2:$GA$1000,"Y",$J$2:$J$1000,"&gt;"&amp;J624)+COUNTIFS($GA$2:$GA$1000,"Y",$J$2:$J$1000,J624,$GD$2:$GD$1000,"&lt;"&amp;GD624)+1&lt;=25,COUNTIFS($GA$2:$GA$1000,"Y",$J$2:$J$1000,"&gt;"&amp;J624)+COUNTIFS($GA$2:$GA$1000,"Y",$J$2:$J$1000,J624,$GD$2:$GD$1000,"&lt;"&amp;GD624)+1,""))</f>
        <v/>
      </c>
      <c r="GC624" s="0" t="str">
        <f aca="false">IF(AND(_xlfn.ISFORMULA(C624),_xlfn.ISFORMULA(J624)),"Y","N")</f>
        <v>Y</v>
      </c>
      <c r="GD624" s="0" t="n">
        <f aca="false">ROW()-1</f>
        <v>623</v>
      </c>
    </row>
    <row r="625" customFormat="false" ht="15" hidden="false" customHeight="false" outlineLevel="0" collapsed="false">
      <c r="C625" s="0" t="str">
        <f aca="false">IF($A625="","",IF(AW625="Y",BM625&amp;"",AY625&amp;""))</f>
        <v/>
      </c>
      <c r="D625" s="0" t="str">
        <f aca="false">IF($A625="","",IF(AW625="Y",BN625&amp;"",AZ625&amp;""))</f>
        <v/>
      </c>
      <c r="E625" s="0" t="str">
        <f aca="false">IF($A625="","",IF(AW625="Y",BO625&amp;"",BA625&amp;""))</f>
        <v/>
      </c>
      <c r="F625" s="0" t="str">
        <f aca="false">IF($A625="","",IF(AW625="Y",BP625&amp;"",BB625&amp;""))</f>
        <v/>
      </c>
      <c r="G625" s="0" t="str">
        <f aca="false">IF($A625="","",IF(AW625="Y",BQ625&amp;"",BC625&amp;""))</f>
        <v/>
      </c>
      <c r="H625" s="0" t="str">
        <f aca="false">IF($A625="","",IF(AW625="Y",BR625&amp;"",BD625&amp;""))</f>
        <v/>
      </c>
      <c r="I625" s="0" t="str">
        <f aca="false">IF($A625="","",IF(R625="Y","warm-intro",IF(H625="verified","email",IF(C625&lt;&gt;"","linkedin",CB625&amp;""))))</f>
        <v/>
      </c>
      <c r="J625" s="0" t="str">
        <f aca="false">IF($A625="","",IF(CN625="pass",ROUND(N(EM625)+N(EN625)+N(EO625)+N(EP625)+N(EQ625)+N(ER625),1),0))</f>
        <v/>
      </c>
      <c r="K625" s="0" t="str">
        <f aca="false">IF($A625="","",IF(CN625&lt;&gt;"pass",CA625&amp;"",CA625&amp;"; "&amp;IF(AW625="Y",BZ625&amp;"",BL625&amp;"")&amp;IF(R625="Y","; known to the founder (+15)","")&amp;"."))</f>
        <v/>
      </c>
      <c r="R625" s="5"/>
      <c r="U625" s="5"/>
      <c r="Y625" s="0" t="str">
        <f aca="false">IF(FX625&lt;&gt;"Y","",COUNTIFS($FX$2:$FX$1000,"Y",$J$2:$J$1000,"&gt;"&amp;J625)+COUNTIFS($FX$2:$FX$1000,"Y",$J$2:$J$1000,J625,$GD$2:$GD$1000,"&lt;"&amp;GD625)+1)</f>
        <v/>
      </c>
      <c r="AB625" s="0" t="str">
        <f aca="false">IF($A625="","",IF(AW625="Y",BY625&amp;"",BK625&amp;""))</f>
        <v/>
      </c>
      <c r="AC625" s="0" t="str">
        <f aca="false">IF($A625="","",IF(AW625="Y",BS625&amp;"",BE625&amp;""))</f>
        <v/>
      </c>
      <c r="AD625" s="0" t="str">
        <f aca="false">IF($A625="","",IF(AW625="Y",BT625&amp;"",BF625&amp;""))</f>
        <v/>
      </c>
      <c r="AE625" s="0" t="str">
        <f aca="false">IF($A625="","",IF(AW625="Y",BU625&amp;"",BG625&amp;""))</f>
        <v/>
      </c>
      <c r="AF625" s="0" t="str">
        <f aca="false">IF($A625="","",IF(AW625="Y",BV625&amp;"",BH625&amp;""))</f>
        <v/>
      </c>
      <c r="AG625" s="0" t="str">
        <f aca="false">IF($A625="","",IF(AW625="Y",BW625&amp;"",BI625&amp;""))</f>
        <v/>
      </c>
      <c r="AH625" s="0" t="str">
        <f aca="false">IF($A625="","",IF(AW625="Y",BX625&amp;"",BJ625&amp;""))</f>
        <v/>
      </c>
      <c r="AQ625" s="5"/>
      <c r="AT625" s="0" t="str">
        <f aca="false">IF($A625="","",IF(AND(CN625="pass",AQ625&lt;&gt;"Y",C625&lt;&gt;"",OR(AX625&lt;&gt;"Y",AV625="Y")),"Y","N"))</f>
        <v/>
      </c>
      <c r="AU625" s="0" t="str">
        <f aca="false">IF($A625="","",_xlfn.TEXTJOIN("; ",TRUE(),IF(CN625&lt;&gt;"pass","gated out",""),IF(AQ625="Y","on hold: "&amp;AR625,""),IF(C625="","no contact named on an opened page",""),IF(AND(AX625="Y",AV625&lt;&gt;"Y"),"Tuesday estimate band "&amp;L625&amp;": founder's call","")))</f>
        <v/>
      </c>
      <c r="BC625" s="0" t="str">
        <f aca="false">IF($A625="","",IFERROR(INDEX(Enrichment!$A$2:$GZ$2000,MATCH($A625,INDEX(Enrichment!$A$2:$GZ$2000,0,MATCH("row_id",Enrichment!$A$1:$GZ$1,0)),0),MATCH("work_email",Enrichment!$A$1:$GZ$1,0))&amp;"",""))</f>
        <v/>
      </c>
      <c r="BD625" s="0" t="str">
        <f aca="false">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Q625" s="0" t="str">
        <f aca="false">IF($A625="","",IFERROR(INDEX(Enrichment!$A$2:$GZ$2000,MATCH($A625,INDEX(Enrichment!$A$2:$GZ$2000,0,MATCH("row_id",Enrichment!$A$1:$GZ$1,0)),0),MATCH("backup_work_email",Enrichment!$A$1:$GZ$1,0))&amp;"",""))</f>
        <v/>
      </c>
      <c r="BR625" s="0" t="str">
        <f aca="false">IF($A625="","",IF(BQ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EQ625" s="0" t="str">
        <f aca="false">IF($A625="","",IF(AH625="exact",10,IF(AH625="adjacent",5,0)))</f>
        <v/>
      </c>
      <c r="ER625" s="0" t="str">
        <f aca="false">IF($A625="","",IF(R625="Y",15,0))</f>
        <v/>
      </c>
      <c r="FS625" s="0" t="str">
        <f aca="false">IF($A625="","",IF(ISNUMBER(MATCH(U625,{"queued","contacted","replied","call_booked","call_done","yes_in_principle","materials_sent"},0)),"Y","N"))</f>
        <v/>
      </c>
      <c r="FT625" s="0" t="str">
        <f aca="false">IF($A625="","",IF(OR(T625="Y",U625="do_not_contact",AS625&amp;""&lt;&gt;""),"Y","N"))</f>
        <v/>
      </c>
      <c r="FU625" s="0" t="str">
        <f aca="false">IF($A625="","",IF(AP625&amp;""&lt;&gt;"",AP625&amp;"",$A625))</f>
        <v/>
      </c>
      <c r="FV625" s="0" t="str">
        <f aca="false">IF($A625="","",IF(COUNTIFS($FU$2:$FU$1000,FU625,$FS$2:$FS$1000,"Y")+COUNTIFS($FU$2:$FU$1000,FU625,$FT$2:$FT$1000,"Y")&gt;0,"Y","N"))</f>
        <v/>
      </c>
      <c r="FW625" s="0" t="str">
        <f aca="false">IF($A625="","",IF(AND(U625="new",T625="N",FT625="N",AT625="Y",FV625="N"),"Y","N"))</f>
        <v/>
      </c>
      <c r="FX625" s="0" t="str">
        <f aca="false">IF($A625="","",IF(FW625&lt;&gt;"Y","N",IF(COUNTIFS($FU$2:$FU$1000,FU625,$FW$2:$FW$1000,"Y",$J$2:$J$1000,"&gt;"&amp;J625)+COUNTIFS($FU$2:$FU$1000,FU625,$FW$2:$FW$1000,"Y",$J$2:$J$1000,J625,$GD$2:$GD$1000,"&lt;"&amp;GD625)=0,"Y","N")))</f>
        <v/>
      </c>
      <c r="FY625" s="0" t="str">
        <f aca="false">IF($A625="","",IF(AND(FW625="Y",FX625="Y",Y625&amp;""&lt;&gt;""),IF(Y625&lt;=10,"Y","N"),"N"))</f>
        <v/>
      </c>
      <c r="FZ625" s="0" t="str">
        <f aca="false">IF(FY625="Y",Y625,"")</f>
        <v/>
      </c>
      <c r="GA625" s="0" t="str">
        <f aca="false">IF($A625="","",IF(AND(I625="walk-in",CN625="pass",U625="new",FT625="N",FV625="N",AQ625&lt;&gt;"Y"),"Y","N"))</f>
        <v/>
      </c>
      <c r="GB625" s="0" t="str">
        <f aca="false">IF(GA625&lt;&gt;"Y","",IF(COUNTIFS($GA$2:$GA$1000,"Y",$J$2:$J$1000,"&gt;"&amp;J625)+COUNTIFS($GA$2:$GA$1000,"Y",$J$2:$J$1000,J625,$GD$2:$GD$1000,"&lt;"&amp;GD625)+1&lt;=25,COUNTIFS($GA$2:$GA$1000,"Y",$J$2:$J$1000,"&gt;"&amp;J625)+COUNTIFS($GA$2:$GA$1000,"Y",$J$2:$J$1000,J625,$GD$2:$GD$1000,"&lt;"&amp;GD625)+1,""))</f>
        <v/>
      </c>
      <c r="GC625" s="0" t="str">
        <f aca="false">IF(AND(_xlfn.ISFORMULA(C625),_xlfn.ISFORMULA(J625)),"Y","N")</f>
        <v>Y</v>
      </c>
      <c r="GD625" s="0" t="n">
        <f aca="false">ROW()-1</f>
        <v>624</v>
      </c>
    </row>
    <row r="626" customFormat="false" ht="15" hidden="false" customHeight="false" outlineLevel="0" collapsed="false">
      <c r="C626" s="0" t="str">
        <f aca="false">IF($A626="","",IF(AW626="Y",BM626&amp;"",AY626&amp;""))</f>
        <v/>
      </c>
      <c r="D626" s="0" t="str">
        <f aca="false">IF($A626="","",IF(AW626="Y",BN626&amp;"",AZ626&amp;""))</f>
        <v/>
      </c>
      <c r="E626" s="0" t="str">
        <f aca="false">IF($A626="","",IF(AW626="Y",BO626&amp;"",BA626&amp;""))</f>
        <v/>
      </c>
      <c r="F626" s="0" t="str">
        <f aca="false">IF($A626="","",IF(AW626="Y",BP626&amp;"",BB626&amp;""))</f>
        <v/>
      </c>
      <c r="G626" s="0" t="str">
        <f aca="false">IF($A626="","",IF(AW626="Y",BQ626&amp;"",BC626&amp;""))</f>
        <v/>
      </c>
      <c r="H626" s="0" t="str">
        <f aca="false">IF($A626="","",IF(AW626="Y",BR626&amp;"",BD626&amp;""))</f>
        <v/>
      </c>
      <c r="I626" s="0" t="str">
        <f aca="false">IF($A626="","",IF(R626="Y","warm-intro",IF(H626="verified","email",IF(C626&lt;&gt;"","linkedin",CB626&amp;""))))</f>
        <v/>
      </c>
      <c r="J626" s="0" t="str">
        <f aca="false">IF($A626="","",IF(CN626="pass",ROUND(N(EM626)+N(EN626)+N(EO626)+N(EP626)+N(EQ626)+N(ER626),1),0))</f>
        <v/>
      </c>
      <c r="K626" s="0" t="str">
        <f aca="false">IF($A626="","",IF(CN626&lt;&gt;"pass",CA626&amp;"",CA626&amp;"; "&amp;IF(AW626="Y",BZ626&amp;"",BL626&amp;"")&amp;IF(R626="Y","; known to the founder (+15)","")&amp;"."))</f>
        <v/>
      </c>
      <c r="R626" s="5"/>
      <c r="U626" s="5"/>
      <c r="Y626" s="0" t="str">
        <f aca="false">IF(FX626&lt;&gt;"Y","",COUNTIFS($FX$2:$FX$1000,"Y",$J$2:$J$1000,"&gt;"&amp;J626)+COUNTIFS($FX$2:$FX$1000,"Y",$J$2:$J$1000,J626,$GD$2:$GD$1000,"&lt;"&amp;GD626)+1)</f>
        <v/>
      </c>
      <c r="AB626" s="0" t="str">
        <f aca="false">IF($A626="","",IF(AW626="Y",BY626&amp;"",BK626&amp;""))</f>
        <v/>
      </c>
      <c r="AC626" s="0" t="str">
        <f aca="false">IF($A626="","",IF(AW626="Y",BS626&amp;"",BE626&amp;""))</f>
        <v/>
      </c>
      <c r="AD626" s="0" t="str">
        <f aca="false">IF($A626="","",IF(AW626="Y",BT626&amp;"",BF626&amp;""))</f>
        <v/>
      </c>
      <c r="AE626" s="0" t="str">
        <f aca="false">IF($A626="","",IF(AW626="Y",BU626&amp;"",BG626&amp;""))</f>
        <v/>
      </c>
      <c r="AF626" s="0" t="str">
        <f aca="false">IF($A626="","",IF(AW626="Y",BV626&amp;"",BH626&amp;""))</f>
        <v/>
      </c>
      <c r="AG626" s="0" t="str">
        <f aca="false">IF($A626="","",IF(AW626="Y",BW626&amp;"",BI626&amp;""))</f>
        <v/>
      </c>
      <c r="AH626" s="0" t="str">
        <f aca="false">IF($A626="","",IF(AW626="Y",BX626&amp;"",BJ626&amp;""))</f>
        <v/>
      </c>
      <c r="AQ626" s="5"/>
      <c r="AT626" s="0" t="str">
        <f aca="false">IF($A626="","",IF(AND(CN626="pass",AQ626&lt;&gt;"Y",C626&lt;&gt;"",OR(AX626&lt;&gt;"Y",AV626="Y")),"Y","N"))</f>
        <v/>
      </c>
      <c r="AU626" s="0" t="str">
        <f aca="false">IF($A626="","",_xlfn.TEXTJOIN("; ",TRUE(),IF(CN626&lt;&gt;"pass","gated out",""),IF(AQ626="Y","on hold: "&amp;AR626,""),IF(C626="","no contact named on an opened page",""),IF(AND(AX626="Y",AV626&lt;&gt;"Y"),"Tuesday estimate band "&amp;L626&amp;": founder's call","")))</f>
        <v/>
      </c>
      <c r="BC626" s="0" t="str">
        <f aca="false">IF($A626="","",IFERROR(INDEX(Enrichment!$A$2:$GZ$2000,MATCH($A626,INDEX(Enrichment!$A$2:$GZ$2000,0,MATCH("row_id",Enrichment!$A$1:$GZ$1,0)),0),MATCH("work_email",Enrichment!$A$1:$GZ$1,0))&amp;"",""))</f>
        <v/>
      </c>
      <c r="BD626" s="0" t="str">
        <f aca="false">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Q626" s="0" t="str">
        <f aca="false">IF($A626="","",IFERROR(INDEX(Enrichment!$A$2:$GZ$2000,MATCH($A626,INDEX(Enrichment!$A$2:$GZ$2000,0,MATCH("row_id",Enrichment!$A$1:$GZ$1,0)),0),MATCH("backup_work_email",Enrichment!$A$1:$GZ$1,0))&amp;"",""))</f>
        <v/>
      </c>
      <c r="BR626" s="0" t="str">
        <f aca="false">IF($A626="","",IF(BQ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EQ626" s="0" t="str">
        <f aca="false">IF($A626="","",IF(AH626="exact",10,IF(AH626="adjacent",5,0)))</f>
        <v/>
      </c>
      <c r="ER626" s="0" t="str">
        <f aca="false">IF($A626="","",IF(R626="Y",15,0))</f>
        <v/>
      </c>
      <c r="FS626" s="0" t="str">
        <f aca="false">IF($A626="","",IF(ISNUMBER(MATCH(U626,{"queued","contacted","replied","call_booked","call_done","yes_in_principle","materials_sent"},0)),"Y","N"))</f>
        <v/>
      </c>
      <c r="FT626" s="0" t="str">
        <f aca="false">IF($A626="","",IF(OR(T626="Y",U626="do_not_contact",AS626&amp;""&lt;&gt;""),"Y","N"))</f>
        <v/>
      </c>
      <c r="FU626" s="0" t="str">
        <f aca="false">IF($A626="","",IF(AP626&amp;""&lt;&gt;"",AP626&amp;"",$A626))</f>
        <v/>
      </c>
      <c r="FV626" s="0" t="str">
        <f aca="false">IF($A626="","",IF(COUNTIFS($FU$2:$FU$1000,FU626,$FS$2:$FS$1000,"Y")+COUNTIFS($FU$2:$FU$1000,FU626,$FT$2:$FT$1000,"Y")&gt;0,"Y","N"))</f>
        <v/>
      </c>
      <c r="FW626" s="0" t="str">
        <f aca="false">IF($A626="","",IF(AND(U626="new",T626="N",FT626="N",AT626="Y",FV626="N"),"Y","N"))</f>
        <v/>
      </c>
      <c r="FX626" s="0" t="str">
        <f aca="false">IF($A626="","",IF(FW626&lt;&gt;"Y","N",IF(COUNTIFS($FU$2:$FU$1000,FU626,$FW$2:$FW$1000,"Y",$J$2:$J$1000,"&gt;"&amp;J626)+COUNTIFS($FU$2:$FU$1000,FU626,$FW$2:$FW$1000,"Y",$J$2:$J$1000,J626,$GD$2:$GD$1000,"&lt;"&amp;GD626)=0,"Y","N")))</f>
        <v/>
      </c>
      <c r="FY626" s="0" t="str">
        <f aca="false">IF($A626="","",IF(AND(FW626="Y",FX626="Y",Y626&amp;""&lt;&gt;""),IF(Y626&lt;=10,"Y","N"),"N"))</f>
        <v/>
      </c>
      <c r="FZ626" s="0" t="str">
        <f aca="false">IF(FY626="Y",Y626,"")</f>
        <v/>
      </c>
      <c r="GA626" s="0" t="str">
        <f aca="false">IF($A626="","",IF(AND(I626="walk-in",CN626="pass",U626="new",FT626="N",FV626="N",AQ626&lt;&gt;"Y"),"Y","N"))</f>
        <v/>
      </c>
      <c r="GB626" s="0" t="str">
        <f aca="false">IF(GA626&lt;&gt;"Y","",IF(COUNTIFS($GA$2:$GA$1000,"Y",$J$2:$J$1000,"&gt;"&amp;J626)+COUNTIFS($GA$2:$GA$1000,"Y",$J$2:$J$1000,J626,$GD$2:$GD$1000,"&lt;"&amp;GD626)+1&lt;=25,COUNTIFS($GA$2:$GA$1000,"Y",$J$2:$J$1000,"&gt;"&amp;J626)+COUNTIFS($GA$2:$GA$1000,"Y",$J$2:$J$1000,J626,$GD$2:$GD$1000,"&lt;"&amp;GD626)+1,""))</f>
        <v/>
      </c>
      <c r="GC626" s="0" t="str">
        <f aca="false">IF(AND(_xlfn.ISFORMULA(C626),_xlfn.ISFORMULA(J626)),"Y","N")</f>
        <v>Y</v>
      </c>
      <c r="GD626" s="0" t="n">
        <f aca="false">ROW()-1</f>
        <v>625</v>
      </c>
    </row>
    <row r="627" customFormat="false" ht="15" hidden="false" customHeight="false" outlineLevel="0" collapsed="false">
      <c r="C627" s="0" t="str">
        <f aca="false">IF($A627="","",IF(AW627="Y",BM627&amp;"",AY627&amp;""))</f>
        <v/>
      </c>
      <c r="D627" s="0" t="str">
        <f aca="false">IF($A627="","",IF(AW627="Y",BN627&amp;"",AZ627&amp;""))</f>
        <v/>
      </c>
      <c r="E627" s="0" t="str">
        <f aca="false">IF($A627="","",IF(AW627="Y",BO627&amp;"",BA627&amp;""))</f>
        <v/>
      </c>
      <c r="F627" s="0" t="str">
        <f aca="false">IF($A627="","",IF(AW627="Y",BP627&amp;"",BB627&amp;""))</f>
        <v/>
      </c>
      <c r="G627" s="0" t="str">
        <f aca="false">IF($A627="","",IF(AW627="Y",BQ627&amp;"",BC627&amp;""))</f>
        <v/>
      </c>
      <c r="H627" s="0" t="str">
        <f aca="false">IF($A627="","",IF(AW627="Y",BR627&amp;"",BD627&amp;""))</f>
        <v/>
      </c>
      <c r="I627" s="0" t="str">
        <f aca="false">IF($A627="","",IF(R627="Y","warm-intro",IF(H627="verified","email",IF(C627&lt;&gt;"","linkedin",CB627&amp;""))))</f>
        <v/>
      </c>
      <c r="J627" s="0" t="str">
        <f aca="false">IF($A627="","",IF(CN627="pass",ROUND(N(EM627)+N(EN627)+N(EO627)+N(EP627)+N(EQ627)+N(ER627),1),0))</f>
        <v/>
      </c>
      <c r="K627" s="0" t="str">
        <f aca="false">IF($A627="","",IF(CN627&lt;&gt;"pass",CA627&amp;"",CA627&amp;"; "&amp;IF(AW627="Y",BZ627&amp;"",BL627&amp;"")&amp;IF(R627="Y","; known to the founder (+15)","")&amp;"."))</f>
        <v/>
      </c>
      <c r="R627" s="5"/>
      <c r="U627" s="5"/>
      <c r="Y627" s="0" t="str">
        <f aca="false">IF(FX627&lt;&gt;"Y","",COUNTIFS($FX$2:$FX$1000,"Y",$J$2:$J$1000,"&gt;"&amp;J627)+COUNTIFS($FX$2:$FX$1000,"Y",$J$2:$J$1000,J627,$GD$2:$GD$1000,"&lt;"&amp;GD627)+1)</f>
        <v/>
      </c>
      <c r="AB627" s="0" t="str">
        <f aca="false">IF($A627="","",IF(AW627="Y",BY627&amp;"",BK627&amp;""))</f>
        <v/>
      </c>
      <c r="AC627" s="0" t="str">
        <f aca="false">IF($A627="","",IF(AW627="Y",BS627&amp;"",BE627&amp;""))</f>
        <v/>
      </c>
      <c r="AD627" s="0" t="str">
        <f aca="false">IF($A627="","",IF(AW627="Y",BT627&amp;"",BF627&amp;""))</f>
        <v/>
      </c>
      <c r="AE627" s="0" t="str">
        <f aca="false">IF($A627="","",IF(AW627="Y",BU627&amp;"",BG627&amp;""))</f>
        <v/>
      </c>
      <c r="AF627" s="0" t="str">
        <f aca="false">IF($A627="","",IF(AW627="Y",BV627&amp;"",BH627&amp;""))</f>
        <v/>
      </c>
      <c r="AG627" s="0" t="str">
        <f aca="false">IF($A627="","",IF(AW627="Y",BW627&amp;"",BI627&amp;""))</f>
        <v/>
      </c>
      <c r="AH627" s="0" t="str">
        <f aca="false">IF($A627="","",IF(AW627="Y",BX627&amp;"",BJ627&amp;""))</f>
        <v/>
      </c>
      <c r="AQ627" s="5"/>
      <c r="AT627" s="0" t="str">
        <f aca="false">IF($A627="","",IF(AND(CN627="pass",AQ627&lt;&gt;"Y",C627&lt;&gt;"",OR(AX627&lt;&gt;"Y",AV627="Y")),"Y","N"))</f>
        <v/>
      </c>
      <c r="AU627" s="0" t="str">
        <f aca="false">IF($A627="","",_xlfn.TEXTJOIN("; ",TRUE(),IF(CN627&lt;&gt;"pass","gated out",""),IF(AQ627="Y","on hold: "&amp;AR627,""),IF(C627="","no contact named on an opened page",""),IF(AND(AX627="Y",AV627&lt;&gt;"Y"),"Tuesday estimate band "&amp;L627&amp;": founder's call","")))</f>
        <v/>
      </c>
      <c r="BC627" s="0" t="str">
        <f aca="false">IF($A627="","",IFERROR(INDEX(Enrichment!$A$2:$GZ$2000,MATCH($A627,INDEX(Enrichment!$A$2:$GZ$2000,0,MATCH("row_id",Enrichment!$A$1:$GZ$1,0)),0),MATCH("work_email",Enrichment!$A$1:$GZ$1,0))&amp;"",""))</f>
        <v/>
      </c>
      <c r="BD627" s="0" t="str">
        <f aca="false">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Q627" s="0" t="str">
        <f aca="false">IF($A627="","",IFERROR(INDEX(Enrichment!$A$2:$GZ$2000,MATCH($A627,INDEX(Enrichment!$A$2:$GZ$2000,0,MATCH("row_id",Enrichment!$A$1:$GZ$1,0)),0),MATCH("backup_work_email",Enrichment!$A$1:$GZ$1,0))&amp;"",""))</f>
        <v/>
      </c>
      <c r="BR627" s="0" t="str">
        <f aca="false">IF($A627="","",IF(BQ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EQ627" s="0" t="str">
        <f aca="false">IF($A627="","",IF(AH627="exact",10,IF(AH627="adjacent",5,0)))</f>
        <v/>
      </c>
      <c r="ER627" s="0" t="str">
        <f aca="false">IF($A627="","",IF(R627="Y",15,0))</f>
        <v/>
      </c>
      <c r="FS627" s="0" t="str">
        <f aca="false">IF($A627="","",IF(ISNUMBER(MATCH(U627,{"queued","contacted","replied","call_booked","call_done","yes_in_principle","materials_sent"},0)),"Y","N"))</f>
        <v/>
      </c>
      <c r="FT627" s="0" t="str">
        <f aca="false">IF($A627="","",IF(OR(T627="Y",U627="do_not_contact",AS627&amp;""&lt;&gt;""),"Y","N"))</f>
        <v/>
      </c>
      <c r="FU627" s="0" t="str">
        <f aca="false">IF($A627="","",IF(AP627&amp;""&lt;&gt;"",AP627&amp;"",$A627))</f>
        <v/>
      </c>
      <c r="FV627" s="0" t="str">
        <f aca="false">IF($A627="","",IF(COUNTIFS($FU$2:$FU$1000,FU627,$FS$2:$FS$1000,"Y")+COUNTIFS($FU$2:$FU$1000,FU627,$FT$2:$FT$1000,"Y")&gt;0,"Y","N"))</f>
        <v/>
      </c>
      <c r="FW627" s="0" t="str">
        <f aca="false">IF($A627="","",IF(AND(U627="new",T627="N",FT627="N",AT627="Y",FV627="N"),"Y","N"))</f>
        <v/>
      </c>
      <c r="FX627" s="0" t="str">
        <f aca="false">IF($A627="","",IF(FW627&lt;&gt;"Y","N",IF(COUNTIFS($FU$2:$FU$1000,FU627,$FW$2:$FW$1000,"Y",$J$2:$J$1000,"&gt;"&amp;J627)+COUNTIFS($FU$2:$FU$1000,FU627,$FW$2:$FW$1000,"Y",$J$2:$J$1000,J627,$GD$2:$GD$1000,"&lt;"&amp;GD627)=0,"Y","N")))</f>
        <v/>
      </c>
      <c r="FY627" s="0" t="str">
        <f aca="false">IF($A627="","",IF(AND(FW627="Y",FX627="Y",Y627&amp;""&lt;&gt;""),IF(Y627&lt;=10,"Y","N"),"N"))</f>
        <v/>
      </c>
      <c r="FZ627" s="0" t="str">
        <f aca="false">IF(FY627="Y",Y627,"")</f>
        <v/>
      </c>
      <c r="GA627" s="0" t="str">
        <f aca="false">IF($A627="","",IF(AND(I627="walk-in",CN627="pass",U627="new",FT627="N",FV627="N",AQ627&lt;&gt;"Y"),"Y","N"))</f>
        <v/>
      </c>
      <c r="GB627" s="0" t="str">
        <f aca="false">IF(GA627&lt;&gt;"Y","",IF(COUNTIFS($GA$2:$GA$1000,"Y",$J$2:$J$1000,"&gt;"&amp;J627)+COUNTIFS($GA$2:$GA$1000,"Y",$J$2:$J$1000,J627,$GD$2:$GD$1000,"&lt;"&amp;GD627)+1&lt;=25,COUNTIFS($GA$2:$GA$1000,"Y",$J$2:$J$1000,"&gt;"&amp;J627)+COUNTIFS($GA$2:$GA$1000,"Y",$J$2:$J$1000,J627,$GD$2:$GD$1000,"&lt;"&amp;GD627)+1,""))</f>
        <v/>
      </c>
      <c r="GC627" s="0" t="str">
        <f aca="false">IF(AND(_xlfn.ISFORMULA(C627),_xlfn.ISFORMULA(J627)),"Y","N")</f>
        <v>Y</v>
      </c>
      <c r="GD627" s="0" t="n">
        <f aca="false">ROW()-1</f>
        <v>626</v>
      </c>
    </row>
    <row r="628" customFormat="false" ht="15" hidden="false" customHeight="false" outlineLevel="0" collapsed="false">
      <c r="C628" s="0" t="str">
        <f aca="false">IF($A628="","",IF(AW628="Y",BM628&amp;"",AY628&amp;""))</f>
        <v/>
      </c>
      <c r="D628" s="0" t="str">
        <f aca="false">IF($A628="","",IF(AW628="Y",BN628&amp;"",AZ628&amp;""))</f>
        <v/>
      </c>
      <c r="E628" s="0" t="str">
        <f aca="false">IF($A628="","",IF(AW628="Y",BO628&amp;"",BA628&amp;""))</f>
        <v/>
      </c>
      <c r="F628" s="0" t="str">
        <f aca="false">IF($A628="","",IF(AW628="Y",BP628&amp;"",BB628&amp;""))</f>
        <v/>
      </c>
      <c r="G628" s="0" t="str">
        <f aca="false">IF($A628="","",IF(AW628="Y",BQ628&amp;"",BC628&amp;""))</f>
        <v/>
      </c>
      <c r="H628" s="0" t="str">
        <f aca="false">IF($A628="","",IF(AW628="Y",BR628&amp;"",BD628&amp;""))</f>
        <v/>
      </c>
      <c r="I628" s="0" t="str">
        <f aca="false">IF($A628="","",IF(R628="Y","warm-intro",IF(H628="verified","email",IF(C628&lt;&gt;"","linkedin",CB628&amp;""))))</f>
        <v/>
      </c>
      <c r="J628" s="0" t="str">
        <f aca="false">IF($A628="","",IF(CN628="pass",ROUND(N(EM628)+N(EN628)+N(EO628)+N(EP628)+N(EQ628)+N(ER628),1),0))</f>
        <v/>
      </c>
      <c r="K628" s="0" t="str">
        <f aca="false">IF($A628="","",IF(CN628&lt;&gt;"pass",CA628&amp;"",CA628&amp;"; "&amp;IF(AW628="Y",BZ628&amp;"",BL628&amp;"")&amp;IF(R628="Y","; known to the founder (+15)","")&amp;"."))</f>
        <v/>
      </c>
      <c r="R628" s="5"/>
      <c r="U628" s="5"/>
      <c r="Y628" s="0" t="str">
        <f aca="false">IF(FX628&lt;&gt;"Y","",COUNTIFS($FX$2:$FX$1000,"Y",$J$2:$J$1000,"&gt;"&amp;J628)+COUNTIFS($FX$2:$FX$1000,"Y",$J$2:$J$1000,J628,$GD$2:$GD$1000,"&lt;"&amp;GD628)+1)</f>
        <v/>
      </c>
      <c r="AB628" s="0" t="str">
        <f aca="false">IF($A628="","",IF(AW628="Y",BY628&amp;"",BK628&amp;""))</f>
        <v/>
      </c>
      <c r="AC628" s="0" t="str">
        <f aca="false">IF($A628="","",IF(AW628="Y",BS628&amp;"",BE628&amp;""))</f>
        <v/>
      </c>
      <c r="AD628" s="0" t="str">
        <f aca="false">IF($A628="","",IF(AW628="Y",BT628&amp;"",BF628&amp;""))</f>
        <v/>
      </c>
      <c r="AE628" s="0" t="str">
        <f aca="false">IF($A628="","",IF(AW628="Y",BU628&amp;"",BG628&amp;""))</f>
        <v/>
      </c>
      <c r="AF628" s="0" t="str">
        <f aca="false">IF($A628="","",IF(AW628="Y",BV628&amp;"",BH628&amp;""))</f>
        <v/>
      </c>
      <c r="AG628" s="0" t="str">
        <f aca="false">IF($A628="","",IF(AW628="Y",BW628&amp;"",BI628&amp;""))</f>
        <v/>
      </c>
      <c r="AH628" s="0" t="str">
        <f aca="false">IF($A628="","",IF(AW628="Y",BX628&amp;"",BJ628&amp;""))</f>
        <v/>
      </c>
      <c r="AQ628" s="5"/>
      <c r="AT628" s="0" t="str">
        <f aca="false">IF($A628="","",IF(AND(CN628="pass",AQ628&lt;&gt;"Y",C628&lt;&gt;"",OR(AX628&lt;&gt;"Y",AV628="Y")),"Y","N"))</f>
        <v/>
      </c>
      <c r="AU628" s="0" t="str">
        <f aca="false">IF($A628="","",_xlfn.TEXTJOIN("; ",TRUE(),IF(CN628&lt;&gt;"pass","gated out",""),IF(AQ628="Y","on hold: "&amp;AR628,""),IF(C628="","no contact named on an opened page",""),IF(AND(AX628="Y",AV628&lt;&gt;"Y"),"Tuesday estimate band "&amp;L628&amp;": founder's call","")))</f>
        <v/>
      </c>
      <c r="BC628" s="0" t="str">
        <f aca="false">IF($A628="","",IFERROR(INDEX(Enrichment!$A$2:$GZ$2000,MATCH($A628,INDEX(Enrichment!$A$2:$GZ$2000,0,MATCH("row_id",Enrichment!$A$1:$GZ$1,0)),0),MATCH("work_email",Enrichment!$A$1:$GZ$1,0))&amp;"",""))</f>
        <v/>
      </c>
      <c r="BD628" s="0" t="str">
        <f aca="false">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Q628" s="0" t="str">
        <f aca="false">IF($A628="","",IFERROR(INDEX(Enrichment!$A$2:$GZ$2000,MATCH($A628,INDEX(Enrichment!$A$2:$GZ$2000,0,MATCH("row_id",Enrichment!$A$1:$GZ$1,0)),0),MATCH("backup_work_email",Enrichment!$A$1:$GZ$1,0))&amp;"",""))</f>
        <v/>
      </c>
      <c r="BR628" s="0" t="str">
        <f aca="false">IF($A628="","",IF(BQ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EQ628" s="0" t="str">
        <f aca="false">IF($A628="","",IF(AH628="exact",10,IF(AH628="adjacent",5,0)))</f>
        <v/>
      </c>
      <c r="ER628" s="0" t="str">
        <f aca="false">IF($A628="","",IF(R628="Y",15,0))</f>
        <v/>
      </c>
      <c r="FS628" s="0" t="str">
        <f aca="false">IF($A628="","",IF(ISNUMBER(MATCH(U628,{"queued","contacted","replied","call_booked","call_done","yes_in_principle","materials_sent"},0)),"Y","N"))</f>
        <v/>
      </c>
      <c r="FT628" s="0" t="str">
        <f aca="false">IF($A628="","",IF(OR(T628="Y",U628="do_not_contact",AS628&amp;""&lt;&gt;""),"Y","N"))</f>
        <v/>
      </c>
      <c r="FU628" s="0" t="str">
        <f aca="false">IF($A628="","",IF(AP628&amp;""&lt;&gt;"",AP628&amp;"",$A628))</f>
        <v/>
      </c>
      <c r="FV628" s="0" t="str">
        <f aca="false">IF($A628="","",IF(COUNTIFS($FU$2:$FU$1000,FU628,$FS$2:$FS$1000,"Y")+COUNTIFS($FU$2:$FU$1000,FU628,$FT$2:$FT$1000,"Y")&gt;0,"Y","N"))</f>
        <v/>
      </c>
      <c r="FW628" s="0" t="str">
        <f aca="false">IF($A628="","",IF(AND(U628="new",T628="N",FT628="N",AT628="Y",FV628="N"),"Y","N"))</f>
        <v/>
      </c>
      <c r="FX628" s="0" t="str">
        <f aca="false">IF($A628="","",IF(FW628&lt;&gt;"Y","N",IF(COUNTIFS($FU$2:$FU$1000,FU628,$FW$2:$FW$1000,"Y",$J$2:$J$1000,"&gt;"&amp;J628)+COUNTIFS($FU$2:$FU$1000,FU628,$FW$2:$FW$1000,"Y",$J$2:$J$1000,J628,$GD$2:$GD$1000,"&lt;"&amp;GD628)=0,"Y","N")))</f>
        <v/>
      </c>
      <c r="FY628" s="0" t="str">
        <f aca="false">IF($A628="","",IF(AND(FW628="Y",FX628="Y",Y628&amp;""&lt;&gt;""),IF(Y628&lt;=10,"Y","N"),"N"))</f>
        <v/>
      </c>
      <c r="FZ628" s="0" t="str">
        <f aca="false">IF(FY628="Y",Y628,"")</f>
        <v/>
      </c>
      <c r="GA628" s="0" t="str">
        <f aca="false">IF($A628="","",IF(AND(I628="walk-in",CN628="pass",U628="new",FT628="N",FV628="N",AQ628&lt;&gt;"Y"),"Y","N"))</f>
        <v/>
      </c>
      <c r="GB628" s="0" t="str">
        <f aca="false">IF(GA628&lt;&gt;"Y","",IF(COUNTIFS($GA$2:$GA$1000,"Y",$J$2:$J$1000,"&gt;"&amp;J628)+COUNTIFS($GA$2:$GA$1000,"Y",$J$2:$J$1000,J628,$GD$2:$GD$1000,"&lt;"&amp;GD628)+1&lt;=25,COUNTIFS($GA$2:$GA$1000,"Y",$J$2:$J$1000,"&gt;"&amp;J628)+COUNTIFS($GA$2:$GA$1000,"Y",$J$2:$J$1000,J628,$GD$2:$GD$1000,"&lt;"&amp;GD628)+1,""))</f>
        <v/>
      </c>
      <c r="GC628" s="0" t="str">
        <f aca="false">IF(AND(_xlfn.ISFORMULA(C628),_xlfn.ISFORMULA(J628)),"Y","N")</f>
        <v>Y</v>
      </c>
      <c r="GD628" s="0" t="n">
        <f aca="false">ROW()-1</f>
        <v>627</v>
      </c>
    </row>
    <row r="629" customFormat="false" ht="15" hidden="false" customHeight="false" outlineLevel="0" collapsed="false">
      <c r="C629" s="0" t="str">
        <f aca="false">IF($A629="","",IF(AW629="Y",BM629&amp;"",AY629&amp;""))</f>
        <v/>
      </c>
      <c r="D629" s="0" t="str">
        <f aca="false">IF($A629="","",IF(AW629="Y",BN629&amp;"",AZ629&amp;""))</f>
        <v/>
      </c>
      <c r="E629" s="0" t="str">
        <f aca="false">IF($A629="","",IF(AW629="Y",BO629&amp;"",BA629&amp;""))</f>
        <v/>
      </c>
      <c r="F629" s="0" t="str">
        <f aca="false">IF($A629="","",IF(AW629="Y",BP629&amp;"",BB629&amp;""))</f>
        <v/>
      </c>
      <c r="G629" s="0" t="str">
        <f aca="false">IF($A629="","",IF(AW629="Y",BQ629&amp;"",BC629&amp;""))</f>
        <v/>
      </c>
      <c r="H629" s="0" t="str">
        <f aca="false">IF($A629="","",IF(AW629="Y",BR629&amp;"",BD629&amp;""))</f>
        <v/>
      </c>
      <c r="I629" s="0" t="str">
        <f aca="false">IF($A629="","",IF(R629="Y","warm-intro",IF(H629="verified","email",IF(C629&lt;&gt;"","linkedin",CB629&amp;""))))</f>
        <v/>
      </c>
      <c r="J629" s="0" t="str">
        <f aca="false">IF($A629="","",IF(CN629="pass",ROUND(N(EM629)+N(EN629)+N(EO629)+N(EP629)+N(EQ629)+N(ER629),1),0))</f>
        <v/>
      </c>
      <c r="K629" s="0" t="str">
        <f aca="false">IF($A629="","",IF(CN629&lt;&gt;"pass",CA629&amp;"",CA629&amp;"; "&amp;IF(AW629="Y",BZ629&amp;"",BL629&amp;"")&amp;IF(R629="Y","; known to the founder (+15)","")&amp;"."))</f>
        <v/>
      </c>
      <c r="R629" s="5"/>
      <c r="U629" s="5"/>
      <c r="Y629" s="0" t="str">
        <f aca="false">IF(FX629&lt;&gt;"Y","",COUNTIFS($FX$2:$FX$1000,"Y",$J$2:$J$1000,"&gt;"&amp;J629)+COUNTIFS($FX$2:$FX$1000,"Y",$J$2:$J$1000,J629,$GD$2:$GD$1000,"&lt;"&amp;GD629)+1)</f>
        <v/>
      </c>
      <c r="AB629" s="0" t="str">
        <f aca="false">IF($A629="","",IF(AW629="Y",BY629&amp;"",BK629&amp;""))</f>
        <v/>
      </c>
      <c r="AC629" s="0" t="str">
        <f aca="false">IF($A629="","",IF(AW629="Y",BS629&amp;"",BE629&amp;""))</f>
        <v/>
      </c>
      <c r="AD629" s="0" t="str">
        <f aca="false">IF($A629="","",IF(AW629="Y",BT629&amp;"",BF629&amp;""))</f>
        <v/>
      </c>
      <c r="AE629" s="0" t="str">
        <f aca="false">IF($A629="","",IF(AW629="Y",BU629&amp;"",BG629&amp;""))</f>
        <v/>
      </c>
      <c r="AF629" s="0" t="str">
        <f aca="false">IF($A629="","",IF(AW629="Y",BV629&amp;"",BH629&amp;""))</f>
        <v/>
      </c>
      <c r="AG629" s="0" t="str">
        <f aca="false">IF($A629="","",IF(AW629="Y",BW629&amp;"",BI629&amp;""))</f>
        <v/>
      </c>
      <c r="AH629" s="0" t="str">
        <f aca="false">IF($A629="","",IF(AW629="Y",BX629&amp;"",BJ629&amp;""))</f>
        <v/>
      </c>
      <c r="AQ629" s="5"/>
      <c r="AT629" s="0" t="str">
        <f aca="false">IF($A629="","",IF(AND(CN629="pass",AQ629&lt;&gt;"Y",C629&lt;&gt;"",OR(AX629&lt;&gt;"Y",AV629="Y")),"Y","N"))</f>
        <v/>
      </c>
      <c r="AU629" s="0" t="str">
        <f aca="false">IF($A629="","",_xlfn.TEXTJOIN("; ",TRUE(),IF(CN629&lt;&gt;"pass","gated out",""),IF(AQ629="Y","on hold: "&amp;AR629,""),IF(C629="","no contact named on an opened page",""),IF(AND(AX629="Y",AV629&lt;&gt;"Y"),"Tuesday estimate band "&amp;L629&amp;": founder's call","")))</f>
        <v/>
      </c>
      <c r="BC629" s="0" t="str">
        <f aca="false">IF($A629="","",IFERROR(INDEX(Enrichment!$A$2:$GZ$2000,MATCH($A629,INDEX(Enrichment!$A$2:$GZ$2000,0,MATCH("row_id",Enrichment!$A$1:$GZ$1,0)),0),MATCH("work_email",Enrichment!$A$1:$GZ$1,0))&amp;"",""))</f>
        <v/>
      </c>
      <c r="BD629" s="0" t="str">
        <f aca="false">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Q629" s="0" t="str">
        <f aca="false">IF($A629="","",IFERROR(INDEX(Enrichment!$A$2:$GZ$2000,MATCH($A629,INDEX(Enrichment!$A$2:$GZ$2000,0,MATCH("row_id",Enrichment!$A$1:$GZ$1,0)),0),MATCH("backup_work_email",Enrichment!$A$1:$GZ$1,0))&amp;"",""))</f>
        <v/>
      </c>
      <c r="BR629" s="0" t="str">
        <f aca="false">IF($A629="","",IF(BQ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EQ629" s="0" t="str">
        <f aca="false">IF($A629="","",IF(AH629="exact",10,IF(AH629="adjacent",5,0)))</f>
        <v/>
      </c>
      <c r="ER629" s="0" t="str">
        <f aca="false">IF($A629="","",IF(R629="Y",15,0))</f>
        <v/>
      </c>
      <c r="FS629" s="0" t="str">
        <f aca="false">IF($A629="","",IF(ISNUMBER(MATCH(U629,{"queued","contacted","replied","call_booked","call_done","yes_in_principle","materials_sent"},0)),"Y","N"))</f>
        <v/>
      </c>
      <c r="FT629" s="0" t="str">
        <f aca="false">IF($A629="","",IF(OR(T629="Y",U629="do_not_contact",AS629&amp;""&lt;&gt;""),"Y","N"))</f>
        <v/>
      </c>
      <c r="FU629" s="0" t="str">
        <f aca="false">IF($A629="","",IF(AP629&amp;""&lt;&gt;"",AP629&amp;"",$A629))</f>
        <v/>
      </c>
      <c r="FV629" s="0" t="str">
        <f aca="false">IF($A629="","",IF(COUNTIFS($FU$2:$FU$1000,FU629,$FS$2:$FS$1000,"Y")+COUNTIFS($FU$2:$FU$1000,FU629,$FT$2:$FT$1000,"Y")&gt;0,"Y","N"))</f>
        <v/>
      </c>
      <c r="FW629" s="0" t="str">
        <f aca="false">IF($A629="","",IF(AND(U629="new",T629="N",FT629="N",AT629="Y",FV629="N"),"Y","N"))</f>
        <v/>
      </c>
      <c r="FX629" s="0" t="str">
        <f aca="false">IF($A629="","",IF(FW629&lt;&gt;"Y","N",IF(COUNTIFS($FU$2:$FU$1000,FU629,$FW$2:$FW$1000,"Y",$J$2:$J$1000,"&gt;"&amp;J629)+COUNTIFS($FU$2:$FU$1000,FU629,$FW$2:$FW$1000,"Y",$J$2:$J$1000,J629,$GD$2:$GD$1000,"&lt;"&amp;GD629)=0,"Y","N")))</f>
        <v/>
      </c>
      <c r="FY629" s="0" t="str">
        <f aca="false">IF($A629="","",IF(AND(FW629="Y",FX629="Y",Y629&amp;""&lt;&gt;""),IF(Y629&lt;=10,"Y","N"),"N"))</f>
        <v/>
      </c>
      <c r="FZ629" s="0" t="str">
        <f aca="false">IF(FY629="Y",Y629,"")</f>
        <v/>
      </c>
      <c r="GA629" s="0" t="str">
        <f aca="false">IF($A629="","",IF(AND(I629="walk-in",CN629="pass",U629="new",FT629="N",FV629="N",AQ629&lt;&gt;"Y"),"Y","N"))</f>
        <v/>
      </c>
      <c r="GB629" s="0" t="str">
        <f aca="false">IF(GA629&lt;&gt;"Y","",IF(COUNTIFS($GA$2:$GA$1000,"Y",$J$2:$J$1000,"&gt;"&amp;J629)+COUNTIFS($GA$2:$GA$1000,"Y",$J$2:$J$1000,J629,$GD$2:$GD$1000,"&lt;"&amp;GD629)+1&lt;=25,COUNTIFS($GA$2:$GA$1000,"Y",$J$2:$J$1000,"&gt;"&amp;J629)+COUNTIFS($GA$2:$GA$1000,"Y",$J$2:$J$1000,J629,$GD$2:$GD$1000,"&lt;"&amp;GD629)+1,""))</f>
        <v/>
      </c>
      <c r="GC629" s="0" t="str">
        <f aca="false">IF(AND(_xlfn.ISFORMULA(C629),_xlfn.ISFORMULA(J629)),"Y","N")</f>
        <v>Y</v>
      </c>
      <c r="GD629" s="0" t="n">
        <f aca="false">ROW()-1</f>
        <v>628</v>
      </c>
    </row>
    <row r="630" customFormat="false" ht="15" hidden="false" customHeight="false" outlineLevel="0" collapsed="false">
      <c r="C630" s="0" t="str">
        <f aca="false">IF($A630="","",IF(AW630="Y",BM630&amp;"",AY630&amp;""))</f>
        <v/>
      </c>
      <c r="D630" s="0" t="str">
        <f aca="false">IF($A630="","",IF(AW630="Y",BN630&amp;"",AZ630&amp;""))</f>
        <v/>
      </c>
      <c r="E630" s="0" t="str">
        <f aca="false">IF($A630="","",IF(AW630="Y",BO630&amp;"",BA630&amp;""))</f>
        <v/>
      </c>
      <c r="F630" s="0" t="str">
        <f aca="false">IF($A630="","",IF(AW630="Y",BP630&amp;"",BB630&amp;""))</f>
        <v/>
      </c>
      <c r="G630" s="0" t="str">
        <f aca="false">IF($A630="","",IF(AW630="Y",BQ630&amp;"",BC630&amp;""))</f>
        <v/>
      </c>
      <c r="H630" s="0" t="str">
        <f aca="false">IF($A630="","",IF(AW630="Y",BR630&amp;"",BD630&amp;""))</f>
        <v/>
      </c>
      <c r="I630" s="0" t="str">
        <f aca="false">IF($A630="","",IF(R630="Y","warm-intro",IF(H630="verified","email",IF(C630&lt;&gt;"","linkedin",CB630&amp;""))))</f>
        <v/>
      </c>
      <c r="J630" s="0" t="str">
        <f aca="false">IF($A630="","",IF(CN630="pass",ROUND(N(EM630)+N(EN630)+N(EO630)+N(EP630)+N(EQ630)+N(ER630),1),0))</f>
        <v/>
      </c>
      <c r="K630" s="0" t="str">
        <f aca="false">IF($A630="","",IF(CN630&lt;&gt;"pass",CA630&amp;"",CA630&amp;"; "&amp;IF(AW630="Y",BZ630&amp;"",BL630&amp;"")&amp;IF(R630="Y","; known to the founder (+15)","")&amp;"."))</f>
        <v/>
      </c>
      <c r="R630" s="5"/>
      <c r="U630" s="5"/>
      <c r="Y630" s="0" t="str">
        <f aca="false">IF(FX630&lt;&gt;"Y","",COUNTIFS($FX$2:$FX$1000,"Y",$J$2:$J$1000,"&gt;"&amp;J630)+COUNTIFS($FX$2:$FX$1000,"Y",$J$2:$J$1000,J630,$GD$2:$GD$1000,"&lt;"&amp;GD630)+1)</f>
        <v/>
      </c>
      <c r="AB630" s="0" t="str">
        <f aca="false">IF($A630="","",IF(AW630="Y",BY630&amp;"",BK630&amp;""))</f>
        <v/>
      </c>
      <c r="AC630" s="0" t="str">
        <f aca="false">IF($A630="","",IF(AW630="Y",BS630&amp;"",BE630&amp;""))</f>
        <v/>
      </c>
      <c r="AD630" s="0" t="str">
        <f aca="false">IF($A630="","",IF(AW630="Y",BT630&amp;"",BF630&amp;""))</f>
        <v/>
      </c>
      <c r="AE630" s="0" t="str">
        <f aca="false">IF($A630="","",IF(AW630="Y",BU630&amp;"",BG630&amp;""))</f>
        <v/>
      </c>
      <c r="AF630" s="0" t="str">
        <f aca="false">IF($A630="","",IF(AW630="Y",BV630&amp;"",BH630&amp;""))</f>
        <v/>
      </c>
      <c r="AG630" s="0" t="str">
        <f aca="false">IF($A630="","",IF(AW630="Y",BW630&amp;"",BI630&amp;""))</f>
        <v/>
      </c>
      <c r="AH630" s="0" t="str">
        <f aca="false">IF($A630="","",IF(AW630="Y",BX630&amp;"",BJ630&amp;""))</f>
        <v/>
      </c>
      <c r="AQ630" s="5"/>
      <c r="AT630" s="0" t="str">
        <f aca="false">IF($A630="","",IF(AND(CN630="pass",AQ630&lt;&gt;"Y",C630&lt;&gt;"",OR(AX630&lt;&gt;"Y",AV630="Y")),"Y","N"))</f>
        <v/>
      </c>
      <c r="AU630" s="0" t="str">
        <f aca="false">IF($A630="","",_xlfn.TEXTJOIN("; ",TRUE(),IF(CN630&lt;&gt;"pass","gated out",""),IF(AQ630="Y","on hold: "&amp;AR630,""),IF(C630="","no contact named on an opened page",""),IF(AND(AX630="Y",AV630&lt;&gt;"Y"),"Tuesday estimate band "&amp;L630&amp;": founder's call","")))</f>
        <v/>
      </c>
      <c r="BC630" s="0" t="str">
        <f aca="false">IF($A630="","",IFERROR(INDEX(Enrichment!$A$2:$GZ$2000,MATCH($A630,INDEX(Enrichment!$A$2:$GZ$2000,0,MATCH("row_id",Enrichment!$A$1:$GZ$1,0)),0),MATCH("work_email",Enrichment!$A$1:$GZ$1,0))&amp;"",""))</f>
        <v/>
      </c>
      <c r="BD630" s="0" t="str">
        <f aca="false">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Q630" s="0" t="str">
        <f aca="false">IF($A630="","",IFERROR(INDEX(Enrichment!$A$2:$GZ$2000,MATCH($A630,INDEX(Enrichment!$A$2:$GZ$2000,0,MATCH("row_id",Enrichment!$A$1:$GZ$1,0)),0),MATCH("backup_work_email",Enrichment!$A$1:$GZ$1,0))&amp;"",""))</f>
        <v/>
      </c>
      <c r="BR630" s="0" t="str">
        <f aca="false">IF($A630="","",IF(BQ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EQ630" s="0" t="str">
        <f aca="false">IF($A630="","",IF(AH630="exact",10,IF(AH630="adjacent",5,0)))</f>
        <v/>
      </c>
      <c r="ER630" s="0" t="str">
        <f aca="false">IF($A630="","",IF(R630="Y",15,0))</f>
        <v/>
      </c>
      <c r="FS630" s="0" t="str">
        <f aca="false">IF($A630="","",IF(ISNUMBER(MATCH(U630,{"queued","contacted","replied","call_booked","call_done","yes_in_principle","materials_sent"},0)),"Y","N"))</f>
        <v/>
      </c>
      <c r="FT630" s="0" t="str">
        <f aca="false">IF($A630="","",IF(OR(T630="Y",U630="do_not_contact",AS630&amp;""&lt;&gt;""),"Y","N"))</f>
        <v/>
      </c>
      <c r="FU630" s="0" t="str">
        <f aca="false">IF($A630="","",IF(AP630&amp;""&lt;&gt;"",AP630&amp;"",$A630))</f>
        <v/>
      </c>
      <c r="FV630" s="0" t="str">
        <f aca="false">IF($A630="","",IF(COUNTIFS($FU$2:$FU$1000,FU630,$FS$2:$FS$1000,"Y")+COUNTIFS($FU$2:$FU$1000,FU630,$FT$2:$FT$1000,"Y")&gt;0,"Y","N"))</f>
        <v/>
      </c>
      <c r="FW630" s="0" t="str">
        <f aca="false">IF($A630="","",IF(AND(U630="new",T630="N",FT630="N",AT630="Y",FV630="N"),"Y","N"))</f>
        <v/>
      </c>
      <c r="FX630" s="0" t="str">
        <f aca="false">IF($A630="","",IF(FW630&lt;&gt;"Y","N",IF(COUNTIFS($FU$2:$FU$1000,FU630,$FW$2:$FW$1000,"Y",$J$2:$J$1000,"&gt;"&amp;J630)+COUNTIFS($FU$2:$FU$1000,FU630,$FW$2:$FW$1000,"Y",$J$2:$J$1000,J630,$GD$2:$GD$1000,"&lt;"&amp;GD630)=0,"Y","N")))</f>
        <v/>
      </c>
      <c r="FY630" s="0" t="str">
        <f aca="false">IF($A630="","",IF(AND(FW630="Y",FX630="Y",Y630&amp;""&lt;&gt;""),IF(Y630&lt;=10,"Y","N"),"N"))</f>
        <v/>
      </c>
      <c r="FZ630" s="0" t="str">
        <f aca="false">IF(FY630="Y",Y630,"")</f>
        <v/>
      </c>
      <c r="GA630" s="0" t="str">
        <f aca="false">IF($A630="","",IF(AND(I630="walk-in",CN630="pass",U630="new",FT630="N",FV630="N",AQ630&lt;&gt;"Y"),"Y","N"))</f>
        <v/>
      </c>
      <c r="GB630" s="0" t="str">
        <f aca="false">IF(GA630&lt;&gt;"Y","",IF(COUNTIFS($GA$2:$GA$1000,"Y",$J$2:$J$1000,"&gt;"&amp;J630)+COUNTIFS($GA$2:$GA$1000,"Y",$J$2:$J$1000,J630,$GD$2:$GD$1000,"&lt;"&amp;GD630)+1&lt;=25,COUNTIFS($GA$2:$GA$1000,"Y",$J$2:$J$1000,"&gt;"&amp;J630)+COUNTIFS($GA$2:$GA$1000,"Y",$J$2:$J$1000,J630,$GD$2:$GD$1000,"&lt;"&amp;GD630)+1,""))</f>
        <v/>
      </c>
      <c r="GC630" s="0" t="str">
        <f aca="false">IF(AND(_xlfn.ISFORMULA(C630),_xlfn.ISFORMULA(J630)),"Y","N")</f>
        <v>Y</v>
      </c>
      <c r="GD630" s="0" t="n">
        <f aca="false">ROW()-1</f>
        <v>629</v>
      </c>
    </row>
    <row r="631" customFormat="false" ht="15" hidden="false" customHeight="false" outlineLevel="0" collapsed="false">
      <c r="C631" s="0" t="str">
        <f aca="false">IF($A631="","",IF(AW631="Y",BM631&amp;"",AY631&amp;""))</f>
        <v/>
      </c>
      <c r="D631" s="0" t="str">
        <f aca="false">IF($A631="","",IF(AW631="Y",BN631&amp;"",AZ631&amp;""))</f>
        <v/>
      </c>
      <c r="E631" s="0" t="str">
        <f aca="false">IF($A631="","",IF(AW631="Y",BO631&amp;"",BA631&amp;""))</f>
        <v/>
      </c>
      <c r="F631" s="0" t="str">
        <f aca="false">IF($A631="","",IF(AW631="Y",BP631&amp;"",BB631&amp;""))</f>
        <v/>
      </c>
      <c r="G631" s="0" t="str">
        <f aca="false">IF($A631="","",IF(AW631="Y",BQ631&amp;"",BC631&amp;""))</f>
        <v/>
      </c>
      <c r="H631" s="0" t="str">
        <f aca="false">IF($A631="","",IF(AW631="Y",BR631&amp;"",BD631&amp;""))</f>
        <v/>
      </c>
      <c r="I631" s="0" t="str">
        <f aca="false">IF($A631="","",IF(R631="Y","warm-intro",IF(H631="verified","email",IF(C631&lt;&gt;"","linkedin",CB631&amp;""))))</f>
        <v/>
      </c>
      <c r="J631" s="0" t="str">
        <f aca="false">IF($A631="","",IF(CN631="pass",ROUND(N(EM631)+N(EN631)+N(EO631)+N(EP631)+N(EQ631)+N(ER631),1),0))</f>
        <v/>
      </c>
      <c r="K631" s="0" t="str">
        <f aca="false">IF($A631="","",IF(CN631&lt;&gt;"pass",CA631&amp;"",CA631&amp;"; "&amp;IF(AW631="Y",BZ631&amp;"",BL631&amp;"")&amp;IF(R631="Y","; known to the founder (+15)","")&amp;"."))</f>
        <v/>
      </c>
      <c r="R631" s="5"/>
      <c r="U631" s="5"/>
      <c r="Y631" s="0" t="str">
        <f aca="false">IF(FX631&lt;&gt;"Y","",COUNTIFS($FX$2:$FX$1000,"Y",$J$2:$J$1000,"&gt;"&amp;J631)+COUNTIFS($FX$2:$FX$1000,"Y",$J$2:$J$1000,J631,$GD$2:$GD$1000,"&lt;"&amp;GD631)+1)</f>
        <v/>
      </c>
      <c r="AB631" s="0" t="str">
        <f aca="false">IF($A631="","",IF(AW631="Y",BY631&amp;"",BK631&amp;""))</f>
        <v/>
      </c>
      <c r="AC631" s="0" t="str">
        <f aca="false">IF($A631="","",IF(AW631="Y",BS631&amp;"",BE631&amp;""))</f>
        <v/>
      </c>
      <c r="AD631" s="0" t="str">
        <f aca="false">IF($A631="","",IF(AW631="Y",BT631&amp;"",BF631&amp;""))</f>
        <v/>
      </c>
      <c r="AE631" s="0" t="str">
        <f aca="false">IF($A631="","",IF(AW631="Y",BU631&amp;"",BG631&amp;""))</f>
        <v/>
      </c>
      <c r="AF631" s="0" t="str">
        <f aca="false">IF($A631="","",IF(AW631="Y",BV631&amp;"",BH631&amp;""))</f>
        <v/>
      </c>
      <c r="AG631" s="0" t="str">
        <f aca="false">IF($A631="","",IF(AW631="Y",BW631&amp;"",BI631&amp;""))</f>
        <v/>
      </c>
      <c r="AH631" s="0" t="str">
        <f aca="false">IF($A631="","",IF(AW631="Y",BX631&amp;"",BJ631&amp;""))</f>
        <v/>
      </c>
      <c r="AQ631" s="5"/>
      <c r="AT631" s="0" t="str">
        <f aca="false">IF($A631="","",IF(AND(CN631="pass",AQ631&lt;&gt;"Y",C631&lt;&gt;"",OR(AX631&lt;&gt;"Y",AV631="Y")),"Y","N"))</f>
        <v/>
      </c>
      <c r="AU631" s="0" t="str">
        <f aca="false">IF($A631="","",_xlfn.TEXTJOIN("; ",TRUE(),IF(CN631&lt;&gt;"pass","gated out",""),IF(AQ631="Y","on hold: "&amp;AR631,""),IF(C631="","no contact named on an opened page",""),IF(AND(AX631="Y",AV631&lt;&gt;"Y"),"Tuesday estimate band "&amp;L631&amp;": founder's call","")))</f>
        <v/>
      </c>
      <c r="BC631" s="0" t="str">
        <f aca="false">IF($A631="","",IFERROR(INDEX(Enrichment!$A$2:$GZ$2000,MATCH($A631,INDEX(Enrichment!$A$2:$GZ$2000,0,MATCH("row_id",Enrichment!$A$1:$GZ$1,0)),0),MATCH("work_email",Enrichment!$A$1:$GZ$1,0))&amp;"",""))</f>
        <v/>
      </c>
      <c r="BD631" s="0" t="str">
        <f aca="false">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Q631" s="0" t="str">
        <f aca="false">IF($A631="","",IFERROR(INDEX(Enrichment!$A$2:$GZ$2000,MATCH($A631,INDEX(Enrichment!$A$2:$GZ$2000,0,MATCH("row_id",Enrichment!$A$1:$GZ$1,0)),0),MATCH("backup_work_email",Enrichment!$A$1:$GZ$1,0))&amp;"",""))</f>
        <v/>
      </c>
      <c r="BR631" s="0" t="str">
        <f aca="false">IF($A631="","",IF(BQ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EQ631" s="0" t="str">
        <f aca="false">IF($A631="","",IF(AH631="exact",10,IF(AH631="adjacent",5,0)))</f>
        <v/>
      </c>
      <c r="ER631" s="0" t="str">
        <f aca="false">IF($A631="","",IF(R631="Y",15,0))</f>
        <v/>
      </c>
      <c r="FS631" s="0" t="str">
        <f aca="false">IF($A631="","",IF(ISNUMBER(MATCH(U631,{"queued","contacted","replied","call_booked","call_done","yes_in_principle","materials_sent"},0)),"Y","N"))</f>
        <v/>
      </c>
      <c r="FT631" s="0" t="str">
        <f aca="false">IF($A631="","",IF(OR(T631="Y",U631="do_not_contact",AS631&amp;""&lt;&gt;""),"Y","N"))</f>
        <v/>
      </c>
      <c r="FU631" s="0" t="str">
        <f aca="false">IF($A631="","",IF(AP631&amp;""&lt;&gt;"",AP631&amp;"",$A631))</f>
        <v/>
      </c>
      <c r="FV631" s="0" t="str">
        <f aca="false">IF($A631="","",IF(COUNTIFS($FU$2:$FU$1000,FU631,$FS$2:$FS$1000,"Y")+COUNTIFS($FU$2:$FU$1000,FU631,$FT$2:$FT$1000,"Y")&gt;0,"Y","N"))</f>
        <v/>
      </c>
      <c r="FW631" s="0" t="str">
        <f aca="false">IF($A631="","",IF(AND(U631="new",T631="N",FT631="N",AT631="Y",FV631="N"),"Y","N"))</f>
        <v/>
      </c>
      <c r="FX631" s="0" t="str">
        <f aca="false">IF($A631="","",IF(FW631&lt;&gt;"Y","N",IF(COUNTIFS($FU$2:$FU$1000,FU631,$FW$2:$FW$1000,"Y",$J$2:$J$1000,"&gt;"&amp;J631)+COUNTIFS($FU$2:$FU$1000,FU631,$FW$2:$FW$1000,"Y",$J$2:$J$1000,J631,$GD$2:$GD$1000,"&lt;"&amp;GD631)=0,"Y","N")))</f>
        <v/>
      </c>
      <c r="FY631" s="0" t="str">
        <f aca="false">IF($A631="","",IF(AND(FW631="Y",FX631="Y",Y631&amp;""&lt;&gt;""),IF(Y631&lt;=10,"Y","N"),"N"))</f>
        <v/>
      </c>
      <c r="FZ631" s="0" t="str">
        <f aca="false">IF(FY631="Y",Y631,"")</f>
        <v/>
      </c>
      <c r="GA631" s="0" t="str">
        <f aca="false">IF($A631="","",IF(AND(I631="walk-in",CN631="pass",U631="new",FT631="N",FV631="N",AQ631&lt;&gt;"Y"),"Y","N"))</f>
        <v/>
      </c>
      <c r="GB631" s="0" t="str">
        <f aca="false">IF(GA631&lt;&gt;"Y","",IF(COUNTIFS($GA$2:$GA$1000,"Y",$J$2:$J$1000,"&gt;"&amp;J631)+COUNTIFS($GA$2:$GA$1000,"Y",$J$2:$J$1000,J631,$GD$2:$GD$1000,"&lt;"&amp;GD631)+1&lt;=25,COUNTIFS($GA$2:$GA$1000,"Y",$J$2:$J$1000,"&gt;"&amp;J631)+COUNTIFS($GA$2:$GA$1000,"Y",$J$2:$J$1000,J631,$GD$2:$GD$1000,"&lt;"&amp;GD631)+1,""))</f>
        <v/>
      </c>
      <c r="GC631" s="0" t="str">
        <f aca="false">IF(AND(_xlfn.ISFORMULA(C631),_xlfn.ISFORMULA(J631)),"Y","N")</f>
        <v>Y</v>
      </c>
      <c r="GD631" s="0" t="n">
        <f aca="false">ROW()-1</f>
        <v>630</v>
      </c>
    </row>
    <row r="632" customFormat="false" ht="15" hidden="false" customHeight="false" outlineLevel="0" collapsed="false">
      <c r="C632" s="0" t="str">
        <f aca="false">IF($A632="","",IF(AW632="Y",BM632&amp;"",AY632&amp;""))</f>
        <v/>
      </c>
      <c r="D632" s="0" t="str">
        <f aca="false">IF($A632="","",IF(AW632="Y",BN632&amp;"",AZ632&amp;""))</f>
        <v/>
      </c>
      <c r="E632" s="0" t="str">
        <f aca="false">IF($A632="","",IF(AW632="Y",BO632&amp;"",BA632&amp;""))</f>
        <v/>
      </c>
      <c r="F632" s="0" t="str">
        <f aca="false">IF($A632="","",IF(AW632="Y",BP632&amp;"",BB632&amp;""))</f>
        <v/>
      </c>
      <c r="G632" s="0" t="str">
        <f aca="false">IF($A632="","",IF(AW632="Y",BQ632&amp;"",BC632&amp;""))</f>
        <v/>
      </c>
      <c r="H632" s="0" t="str">
        <f aca="false">IF($A632="","",IF(AW632="Y",BR632&amp;"",BD632&amp;""))</f>
        <v/>
      </c>
      <c r="I632" s="0" t="str">
        <f aca="false">IF($A632="","",IF(R632="Y","warm-intro",IF(H632="verified","email",IF(C632&lt;&gt;"","linkedin",CB632&amp;""))))</f>
        <v/>
      </c>
      <c r="J632" s="0" t="str">
        <f aca="false">IF($A632="","",IF(CN632="pass",ROUND(N(EM632)+N(EN632)+N(EO632)+N(EP632)+N(EQ632)+N(ER632),1),0))</f>
        <v/>
      </c>
      <c r="K632" s="0" t="str">
        <f aca="false">IF($A632="","",IF(CN632&lt;&gt;"pass",CA632&amp;"",CA632&amp;"; "&amp;IF(AW632="Y",BZ632&amp;"",BL632&amp;"")&amp;IF(R632="Y","; known to the founder (+15)","")&amp;"."))</f>
        <v/>
      </c>
      <c r="R632" s="5"/>
      <c r="U632" s="5"/>
      <c r="Y632" s="0" t="str">
        <f aca="false">IF(FX632&lt;&gt;"Y","",COUNTIFS($FX$2:$FX$1000,"Y",$J$2:$J$1000,"&gt;"&amp;J632)+COUNTIFS($FX$2:$FX$1000,"Y",$J$2:$J$1000,J632,$GD$2:$GD$1000,"&lt;"&amp;GD632)+1)</f>
        <v/>
      </c>
      <c r="AB632" s="0" t="str">
        <f aca="false">IF($A632="","",IF(AW632="Y",BY632&amp;"",BK632&amp;""))</f>
        <v/>
      </c>
      <c r="AC632" s="0" t="str">
        <f aca="false">IF($A632="","",IF(AW632="Y",BS632&amp;"",BE632&amp;""))</f>
        <v/>
      </c>
      <c r="AD632" s="0" t="str">
        <f aca="false">IF($A632="","",IF(AW632="Y",BT632&amp;"",BF632&amp;""))</f>
        <v/>
      </c>
      <c r="AE632" s="0" t="str">
        <f aca="false">IF($A632="","",IF(AW632="Y",BU632&amp;"",BG632&amp;""))</f>
        <v/>
      </c>
      <c r="AF632" s="0" t="str">
        <f aca="false">IF($A632="","",IF(AW632="Y",BV632&amp;"",BH632&amp;""))</f>
        <v/>
      </c>
      <c r="AG632" s="0" t="str">
        <f aca="false">IF($A632="","",IF(AW632="Y",BW632&amp;"",BI632&amp;""))</f>
        <v/>
      </c>
      <c r="AH632" s="0" t="str">
        <f aca="false">IF($A632="","",IF(AW632="Y",BX632&amp;"",BJ632&amp;""))</f>
        <v/>
      </c>
      <c r="AQ632" s="5"/>
      <c r="AT632" s="0" t="str">
        <f aca="false">IF($A632="","",IF(AND(CN632="pass",AQ632&lt;&gt;"Y",C632&lt;&gt;"",OR(AX632&lt;&gt;"Y",AV632="Y")),"Y","N"))</f>
        <v/>
      </c>
      <c r="AU632" s="0" t="str">
        <f aca="false">IF($A632="","",_xlfn.TEXTJOIN("; ",TRUE(),IF(CN632&lt;&gt;"pass","gated out",""),IF(AQ632="Y","on hold: "&amp;AR632,""),IF(C632="","no contact named on an opened page",""),IF(AND(AX632="Y",AV632&lt;&gt;"Y"),"Tuesday estimate band "&amp;L632&amp;": founder's call","")))</f>
        <v/>
      </c>
      <c r="BC632" s="0" t="str">
        <f aca="false">IF($A632="","",IFERROR(INDEX(Enrichment!$A$2:$GZ$2000,MATCH($A632,INDEX(Enrichment!$A$2:$GZ$2000,0,MATCH("row_id",Enrichment!$A$1:$GZ$1,0)),0),MATCH("work_email",Enrichment!$A$1:$GZ$1,0))&amp;"",""))</f>
        <v/>
      </c>
      <c r="BD632" s="0" t="str">
        <f aca="false">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Q632" s="0" t="str">
        <f aca="false">IF($A632="","",IFERROR(INDEX(Enrichment!$A$2:$GZ$2000,MATCH($A632,INDEX(Enrichment!$A$2:$GZ$2000,0,MATCH("row_id",Enrichment!$A$1:$GZ$1,0)),0),MATCH("backup_work_email",Enrichment!$A$1:$GZ$1,0))&amp;"",""))</f>
        <v/>
      </c>
      <c r="BR632" s="0" t="str">
        <f aca="false">IF($A632="","",IF(BQ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EQ632" s="0" t="str">
        <f aca="false">IF($A632="","",IF(AH632="exact",10,IF(AH632="adjacent",5,0)))</f>
        <v/>
      </c>
      <c r="ER632" s="0" t="str">
        <f aca="false">IF($A632="","",IF(R632="Y",15,0))</f>
        <v/>
      </c>
      <c r="FS632" s="0" t="str">
        <f aca="false">IF($A632="","",IF(ISNUMBER(MATCH(U632,{"queued","contacted","replied","call_booked","call_done","yes_in_principle","materials_sent"},0)),"Y","N"))</f>
        <v/>
      </c>
      <c r="FT632" s="0" t="str">
        <f aca="false">IF($A632="","",IF(OR(T632="Y",U632="do_not_contact",AS632&amp;""&lt;&gt;""),"Y","N"))</f>
        <v/>
      </c>
      <c r="FU632" s="0" t="str">
        <f aca="false">IF($A632="","",IF(AP632&amp;""&lt;&gt;"",AP632&amp;"",$A632))</f>
        <v/>
      </c>
      <c r="FV632" s="0" t="str">
        <f aca="false">IF($A632="","",IF(COUNTIFS($FU$2:$FU$1000,FU632,$FS$2:$FS$1000,"Y")+COUNTIFS($FU$2:$FU$1000,FU632,$FT$2:$FT$1000,"Y")&gt;0,"Y","N"))</f>
        <v/>
      </c>
      <c r="FW632" s="0" t="str">
        <f aca="false">IF($A632="","",IF(AND(U632="new",T632="N",FT632="N",AT632="Y",FV632="N"),"Y","N"))</f>
        <v/>
      </c>
      <c r="FX632" s="0" t="str">
        <f aca="false">IF($A632="","",IF(FW632&lt;&gt;"Y","N",IF(COUNTIFS($FU$2:$FU$1000,FU632,$FW$2:$FW$1000,"Y",$J$2:$J$1000,"&gt;"&amp;J632)+COUNTIFS($FU$2:$FU$1000,FU632,$FW$2:$FW$1000,"Y",$J$2:$J$1000,J632,$GD$2:$GD$1000,"&lt;"&amp;GD632)=0,"Y","N")))</f>
        <v/>
      </c>
      <c r="FY632" s="0" t="str">
        <f aca="false">IF($A632="","",IF(AND(FW632="Y",FX632="Y",Y632&amp;""&lt;&gt;""),IF(Y632&lt;=10,"Y","N"),"N"))</f>
        <v/>
      </c>
      <c r="FZ632" s="0" t="str">
        <f aca="false">IF(FY632="Y",Y632,"")</f>
        <v/>
      </c>
      <c r="GA632" s="0" t="str">
        <f aca="false">IF($A632="","",IF(AND(I632="walk-in",CN632="pass",U632="new",FT632="N",FV632="N",AQ632&lt;&gt;"Y"),"Y","N"))</f>
        <v/>
      </c>
      <c r="GB632" s="0" t="str">
        <f aca="false">IF(GA632&lt;&gt;"Y","",IF(COUNTIFS($GA$2:$GA$1000,"Y",$J$2:$J$1000,"&gt;"&amp;J632)+COUNTIFS($GA$2:$GA$1000,"Y",$J$2:$J$1000,J632,$GD$2:$GD$1000,"&lt;"&amp;GD632)+1&lt;=25,COUNTIFS($GA$2:$GA$1000,"Y",$J$2:$J$1000,"&gt;"&amp;J632)+COUNTIFS($GA$2:$GA$1000,"Y",$J$2:$J$1000,J632,$GD$2:$GD$1000,"&lt;"&amp;GD632)+1,""))</f>
        <v/>
      </c>
      <c r="GC632" s="0" t="str">
        <f aca="false">IF(AND(_xlfn.ISFORMULA(C632),_xlfn.ISFORMULA(J632)),"Y","N")</f>
        <v>Y</v>
      </c>
      <c r="GD632" s="0" t="n">
        <f aca="false">ROW()-1</f>
        <v>631</v>
      </c>
    </row>
    <row r="633" customFormat="false" ht="15" hidden="false" customHeight="false" outlineLevel="0" collapsed="false">
      <c r="C633" s="0" t="str">
        <f aca="false">IF($A633="","",IF(AW633="Y",BM633&amp;"",AY633&amp;""))</f>
        <v/>
      </c>
      <c r="D633" s="0" t="str">
        <f aca="false">IF($A633="","",IF(AW633="Y",BN633&amp;"",AZ633&amp;""))</f>
        <v/>
      </c>
      <c r="E633" s="0" t="str">
        <f aca="false">IF($A633="","",IF(AW633="Y",BO633&amp;"",BA633&amp;""))</f>
        <v/>
      </c>
      <c r="F633" s="0" t="str">
        <f aca="false">IF($A633="","",IF(AW633="Y",BP633&amp;"",BB633&amp;""))</f>
        <v/>
      </c>
      <c r="G633" s="0" t="str">
        <f aca="false">IF($A633="","",IF(AW633="Y",BQ633&amp;"",BC633&amp;""))</f>
        <v/>
      </c>
      <c r="H633" s="0" t="str">
        <f aca="false">IF($A633="","",IF(AW633="Y",BR633&amp;"",BD633&amp;""))</f>
        <v/>
      </c>
      <c r="I633" s="0" t="str">
        <f aca="false">IF($A633="","",IF(R633="Y","warm-intro",IF(H633="verified","email",IF(C633&lt;&gt;"","linkedin",CB633&amp;""))))</f>
        <v/>
      </c>
      <c r="J633" s="0" t="str">
        <f aca="false">IF($A633="","",IF(CN633="pass",ROUND(N(EM633)+N(EN633)+N(EO633)+N(EP633)+N(EQ633)+N(ER633),1),0))</f>
        <v/>
      </c>
      <c r="K633" s="0" t="str">
        <f aca="false">IF($A633="","",IF(CN633&lt;&gt;"pass",CA633&amp;"",CA633&amp;"; "&amp;IF(AW633="Y",BZ633&amp;"",BL633&amp;"")&amp;IF(R633="Y","; known to the founder (+15)","")&amp;"."))</f>
        <v/>
      </c>
      <c r="R633" s="5"/>
      <c r="U633" s="5"/>
      <c r="Y633" s="0" t="str">
        <f aca="false">IF(FX633&lt;&gt;"Y","",COUNTIFS($FX$2:$FX$1000,"Y",$J$2:$J$1000,"&gt;"&amp;J633)+COUNTIFS($FX$2:$FX$1000,"Y",$J$2:$J$1000,J633,$GD$2:$GD$1000,"&lt;"&amp;GD633)+1)</f>
        <v/>
      </c>
      <c r="AB633" s="0" t="str">
        <f aca="false">IF($A633="","",IF(AW633="Y",BY633&amp;"",BK633&amp;""))</f>
        <v/>
      </c>
      <c r="AC633" s="0" t="str">
        <f aca="false">IF($A633="","",IF(AW633="Y",BS633&amp;"",BE633&amp;""))</f>
        <v/>
      </c>
      <c r="AD633" s="0" t="str">
        <f aca="false">IF($A633="","",IF(AW633="Y",BT633&amp;"",BF633&amp;""))</f>
        <v/>
      </c>
      <c r="AE633" s="0" t="str">
        <f aca="false">IF($A633="","",IF(AW633="Y",BU633&amp;"",BG633&amp;""))</f>
        <v/>
      </c>
      <c r="AF633" s="0" t="str">
        <f aca="false">IF($A633="","",IF(AW633="Y",BV633&amp;"",BH633&amp;""))</f>
        <v/>
      </c>
      <c r="AG633" s="0" t="str">
        <f aca="false">IF($A633="","",IF(AW633="Y",BW633&amp;"",BI633&amp;""))</f>
        <v/>
      </c>
      <c r="AH633" s="0" t="str">
        <f aca="false">IF($A633="","",IF(AW633="Y",BX633&amp;"",BJ633&amp;""))</f>
        <v/>
      </c>
      <c r="AQ633" s="5"/>
      <c r="AT633" s="0" t="str">
        <f aca="false">IF($A633="","",IF(AND(CN633="pass",AQ633&lt;&gt;"Y",C633&lt;&gt;"",OR(AX633&lt;&gt;"Y",AV633="Y")),"Y","N"))</f>
        <v/>
      </c>
      <c r="AU633" s="0" t="str">
        <f aca="false">IF($A633="","",_xlfn.TEXTJOIN("; ",TRUE(),IF(CN633&lt;&gt;"pass","gated out",""),IF(AQ633="Y","on hold: "&amp;AR633,""),IF(C633="","no contact named on an opened page",""),IF(AND(AX633="Y",AV633&lt;&gt;"Y"),"Tuesday estimate band "&amp;L633&amp;": founder's call","")))</f>
        <v/>
      </c>
      <c r="BC633" s="0" t="str">
        <f aca="false">IF($A633="","",IFERROR(INDEX(Enrichment!$A$2:$GZ$2000,MATCH($A633,INDEX(Enrichment!$A$2:$GZ$2000,0,MATCH("row_id",Enrichment!$A$1:$GZ$1,0)),0),MATCH("work_email",Enrichment!$A$1:$GZ$1,0))&amp;"",""))</f>
        <v/>
      </c>
      <c r="BD633" s="0" t="str">
        <f aca="false">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Q633" s="0" t="str">
        <f aca="false">IF($A633="","",IFERROR(INDEX(Enrichment!$A$2:$GZ$2000,MATCH($A633,INDEX(Enrichment!$A$2:$GZ$2000,0,MATCH("row_id",Enrichment!$A$1:$GZ$1,0)),0),MATCH("backup_work_email",Enrichment!$A$1:$GZ$1,0))&amp;"",""))</f>
        <v/>
      </c>
      <c r="BR633" s="0" t="str">
        <f aca="false">IF($A633="","",IF(BQ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EQ633" s="0" t="str">
        <f aca="false">IF($A633="","",IF(AH633="exact",10,IF(AH633="adjacent",5,0)))</f>
        <v/>
      </c>
      <c r="ER633" s="0" t="str">
        <f aca="false">IF($A633="","",IF(R633="Y",15,0))</f>
        <v/>
      </c>
      <c r="FS633" s="0" t="str">
        <f aca="false">IF($A633="","",IF(ISNUMBER(MATCH(U633,{"queued","contacted","replied","call_booked","call_done","yes_in_principle","materials_sent"},0)),"Y","N"))</f>
        <v/>
      </c>
      <c r="FT633" s="0" t="str">
        <f aca="false">IF($A633="","",IF(OR(T633="Y",U633="do_not_contact",AS633&amp;""&lt;&gt;""),"Y","N"))</f>
        <v/>
      </c>
      <c r="FU633" s="0" t="str">
        <f aca="false">IF($A633="","",IF(AP633&amp;""&lt;&gt;"",AP633&amp;"",$A633))</f>
        <v/>
      </c>
      <c r="FV633" s="0" t="str">
        <f aca="false">IF($A633="","",IF(COUNTIFS($FU$2:$FU$1000,FU633,$FS$2:$FS$1000,"Y")+COUNTIFS($FU$2:$FU$1000,FU633,$FT$2:$FT$1000,"Y")&gt;0,"Y","N"))</f>
        <v/>
      </c>
      <c r="FW633" s="0" t="str">
        <f aca="false">IF($A633="","",IF(AND(U633="new",T633="N",FT633="N",AT633="Y",FV633="N"),"Y","N"))</f>
        <v/>
      </c>
      <c r="FX633" s="0" t="str">
        <f aca="false">IF($A633="","",IF(FW633&lt;&gt;"Y","N",IF(COUNTIFS($FU$2:$FU$1000,FU633,$FW$2:$FW$1000,"Y",$J$2:$J$1000,"&gt;"&amp;J633)+COUNTIFS($FU$2:$FU$1000,FU633,$FW$2:$FW$1000,"Y",$J$2:$J$1000,J633,$GD$2:$GD$1000,"&lt;"&amp;GD633)=0,"Y","N")))</f>
        <v/>
      </c>
      <c r="FY633" s="0" t="str">
        <f aca="false">IF($A633="","",IF(AND(FW633="Y",FX633="Y",Y633&amp;""&lt;&gt;""),IF(Y633&lt;=10,"Y","N"),"N"))</f>
        <v/>
      </c>
      <c r="FZ633" s="0" t="str">
        <f aca="false">IF(FY633="Y",Y633,"")</f>
        <v/>
      </c>
      <c r="GA633" s="0" t="str">
        <f aca="false">IF($A633="","",IF(AND(I633="walk-in",CN633="pass",U633="new",FT633="N",FV633="N",AQ633&lt;&gt;"Y"),"Y","N"))</f>
        <v/>
      </c>
      <c r="GB633" s="0" t="str">
        <f aca="false">IF(GA633&lt;&gt;"Y","",IF(COUNTIFS($GA$2:$GA$1000,"Y",$J$2:$J$1000,"&gt;"&amp;J633)+COUNTIFS($GA$2:$GA$1000,"Y",$J$2:$J$1000,J633,$GD$2:$GD$1000,"&lt;"&amp;GD633)+1&lt;=25,COUNTIFS($GA$2:$GA$1000,"Y",$J$2:$J$1000,"&gt;"&amp;J633)+COUNTIFS($GA$2:$GA$1000,"Y",$J$2:$J$1000,J633,$GD$2:$GD$1000,"&lt;"&amp;GD633)+1,""))</f>
        <v/>
      </c>
      <c r="GC633" s="0" t="str">
        <f aca="false">IF(AND(_xlfn.ISFORMULA(C633),_xlfn.ISFORMULA(J633)),"Y","N")</f>
        <v>Y</v>
      </c>
      <c r="GD633" s="0" t="n">
        <f aca="false">ROW()-1</f>
        <v>632</v>
      </c>
    </row>
    <row r="634" customFormat="false" ht="15" hidden="false" customHeight="false" outlineLevel="0" collapsed="false">
      <c r="C634" s="0" t="str">
        <f aca="false">IF($A634="","",IF(AW634="Y",BM634&amp;"",AY634&amp;""))</f>
        <v/>
      </c>
      <c r="D634" s="0" t="str">
        <f aca="false">IF($A634="","",IF(AW634="Y",BN634&amp;"",AZ634&amp;""))</f>
        <v/>
      </c>
      <c r="E634" s="0" t="str">
        <f aca="false">IF($A634="","",IF(AW634="Y",BO634&amp;"",BA634&amp;""))</f>
        <v/>
      </c>
      <c r="F634" s="0" t="str">
        <f aca="false">IF($A634="","",IF(AW634="Y",BP634&amp;"",BB634&amp;""))</f>
        <v/>
      </c>
      <c r="G634" s="0" t="str">
        <f aca="false">IF($A634="","",IF(AW634="Y",BQ634&amp;"",BC634&amp;""))</f>
        <v/>
      </c>
      <c r="H634" s="0" t="str">
        <f aca="false">IF($A634="","",IF(AW634="Y",BR634&amp;"",BD634&amp;""))</f>
        <v/>
      </c>
      <c r="I634" s="0" t="str">
        <f aca="false">IF($A634="","",IF(R634="Y","warm-intro",IF(H634="verified","email",IF(C634&lt;&gt;"","linkedin",CB634&amp;""))))</f>
        <v/>
      </c>
      <c r="J634" s="0" t="str">
        <f aca="false">IF($A634="","",IF(CN634="pass",ROUND(N(EM634)+N(EN634)+N(EO634)+N(EP634)+N(EQ634)+N(ER634),1),0))</f>
        <v/>
      </c>
      <c r="K634" s="0" t="str">
        <f aca="false">IF($A634="","",IF(CN634&lt;&gt;"pass",CA634&amp;"",CA634&amp;"; "&amp;IF(AW634="Y",BZ634&amp;"",BL634&amp;"")&amp;IF(R634="Y","; known to the founder (+15)","")&amp;"."))</f>
        <v/>
      </c>
      <c r="R634" s="5"/>
      <c r="U634" s="5"/>
      <c r="Y634" s="0" t="str">
        <f aca="false">IF(FX634&lt;&gt;"Y","",COUNTIFS($FX$2:$FX$1000,"Y",$J$2:$J$1000,"&gt;"&amp;J634)+COUNTIFS($FX$2:$FX$1000,"Y",$J$2:$J$1000,J634,$GD$2:$GD$1000,"&lt;"&amp;GD634)+1)</f>
        <v/>
      </c>
      <c r="AB634" s="0" t="str">
        <f aca="false">IF($A634="","",IF(AW634="Y",BY634&amp;"",BK634&amp;""))</f>
        <v/>
      </c>
      <c r="AC634" s="0" t="str">
        <f aca="false">IF($A634="","",IF(AW634="Y",BS634&amp;"",BE634&amp;""))</f>
        <v/>
      </c>
      <c r="AD634" s="0" t="str">
        <f aca="false">IF($A634="","",IF(AW634="Y",BT634&amp;"",BF634&amp;""))</f>
        <v/>
      </c>
      <c r="AE634" s="0" t="str">
        <f aca="false">IF($A634="","",IF(AW634="Y",BU634&amp;"",BG634&amp;""))</f>
        <v/>
      </c>
      <c r="AF634" s="0" t="str">
        <f aca="false">IF($A634="","",IF(AW634="Y",BV634&amp;"",BH634&amp;""))</f>
        <v/>
      </c>
      <c r="AG634" s="0" t="str">
        <f aca="false">IF($A634="","",IF(AW634="Y",BW634&amp;"",BI634&amp;""))</f>
        <v/>
      </c>
      <c r="AH634" s="0" t="str">
        <f aca="false">IF($A634="","",IF(AW634="Y",BX634&amp;"",BJ634&amp;""))</f>
        <v/>
      </c>
      <c r="AQ634" s="5"/>
      <c r="AT634" s="0" t="str">
        <f aca="false">IF($A634="","",IF(AND(CN634="pass",AQ634&lt;&gt;"Y",C634&lt;&gt;"",OR(AX634&lt;&gt;"Y",AV634="Y")),"Y","N"))</f>
        <v/>
      </c>
      <c r="AU634" s="0" t="str">
        <f aca="false">IF($A634="","",_xlfn.TEXTJOIN("; ",TRUE(),IF(CN634&lt;&gt;"pass","gated out",""),IF(AQ634="Y","on hold: "&amp;AR634,""),IF(C634="","no contact named on an opened page",""),IF(AND(AX634="Y",AV634&lt;&gt;"Y"),"Tuesday estimate band "&amp;L634&amp;": founder's call","")))</f>
        <v/>
      </c>
      <c r="BC634" s="0" t="str">
        <f aca="false">IF($A634="","",IFERROR(INDEX(Enrichment!$A$2:$GZ$2000,MATCH($A634,INDEX(Enrichment!$A$2:$GZ$2000,0,MATCH("row_id",Enrichment!$A$1:$GZ$1,0)),0),MATCH("work_email",Enrichment!$A$1:$GZ$1,0))&amp;"",""))</f>
        <v/>
      </c>
      <c r="BD634" s="0" t="str">
        <f aca="false">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Q634" s="0" t="str">
        <f aca="false">IF($A634="","",IFERROR(INDEX(Enrichment!$A$2:$GZ$2000,MATCH($A634,INDEX(Enrichment!$A$2:$GZ$2000,0,MATCH("row_id",Enrichment!$A$1:$GZ$1,0)),0),MATCH("backup_work_email",Enrichment!$A$1:$GZ$1,0))&amp;"",""))</f>
        <v/>
      </c>
      <c r="BR634" s="0" t="str">
        <f aca="false">IF($A634="","",IF(BQ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EQ634" s="0" t="str">
        <f aca="false">IF($A634="","",IF(AH634="exact",10,IF(AH634="adjacent",5,0)))</f>
        <v/>
      </c>
      <c r="ER634" s="0" t="str">
        <f aca="false">IF($A634="","",IF(R634="Y",15,0))</f>
        <v/>
      </c>
      <c r="FS634" s="0" t="str">
        <f aca="false">IF($A634="","",IF(ISNUMBER(MATCH(U634,{"queued","contacted","replied","call_booked","call_done","yes_in_principle","materials_sent"},0)),"Y","N"))</f>
        <v/>
      </c>
      <c r="FT634" s="0" t="str">
        <f aca="false">IF($A634="","",IF(OR(T634="Y",U634="do_not_contact",AS634&amp;""&lt;&gt;""),"Y","N"))</f>
        <v/>
      </c>
      <c r="FU634" s="0" t="str">
        <f aca="false">IF($A634="","",IF(AP634&amp;""&lt;&gt;"",AP634&amp;"",$A634))</f>
        <v/>
      </c>
      <c r="FV634" s="0" t="str">
        <f aca="false">IF($A634="","",IF(COUNTIFS($FU$2:$FU$1000,FU634,$FS$2:$FS$1000,"Y")+COUNTIFS($FU$2:$FU$1000,FU634,$FT$2:$FT$1000,"Y")&gt;0,"Y","N"))</f>
        <v/>
      </c>
      <c r="FW634" s="0" t="str">
        <f aca="false">IF($A634="","",IF(AND(U634="new",T634="N",FT634="N",AT634="Y",FV634="N"),"Y","N"))</f>
        <v/>
      </c>
      <c r="FX634" s="0" t="str">
        <f aca="false">IF($A634="","",IF(FW634&lt;&gt;"Y","N",IF(COUNTIFS($FU$2:$FU$1000,FU634,$FW$2:$FW$1000,"Y",$J$2:$J$1000,"&gt;"&amp;J634)+COUNTIFS($FU$2:$FU$1000,FU634,$FW$2:$FW$1000,"Y",$J$2:$J$1000,J634,$GD$2:$GD$1000,"&lt;"&amp;GD634)=0,"Y","N")))</f>
        <v/>
      </c>
      <c r="FY634" s="0" t="str">
        <f aca="false">IF($A634="","",IF(AND(FW634="Y",FX634="Y",Y634&amp;""&lt;&gt;""),IF(Y634&lt;=10,"Y","N"),"N"))</f>
        <v/>
      </c>
      <c r="FZ634" s="0" t="str">
        <f aca="false">IF(FY634="Y",Y634,"")</f>
        <v/>
      </c>
      <c r="GA634" s="0" t="str">
        <f aca="false">IF($A634="","",IF(AND(I634="walk-in",CN634="pass",U634="new",FT634="N",FV634="N",AQ634&lt;&gt;"Y"),"Y","N"))</f>
        <v/>
      </c>
      <c r="GB634" s="0" t="str">
        <f aca="false">IF(GA634&lt;&gt;"Y","",IF(COUNTIFS($GA$2:$GA$1000,"Y",$J$2:$J$1000,"&gt;"&amp;J634)+COUNTIFS($GA$2:$GA$1000,"Y",$J$2:$J$1000,J634,$GD$2:$GD$1000,"&lt;"&amp;GD634)+1&lt;=25,COUNTIFS($GA$2:$GA$1000,"Y",$J$2:$J$1000,"&gt;"&amp;J634)+COUNTIFS($GA$2:$GA$1000,"Y",$J$2:$J$1000,J634,$GD$2:$GD$1000,"&lt;"&amp;GD634)+1,""))</f>
        <v/>
      </c>
      <c r="GC634" s="0" t="str">
        <f aca="false">IF(AND(_xlfn.ISFORMULA(C634),_xlfn.ISFORMULA(J634)),"Y","N")</f>
        <v>Y</v>
      </c>
      <c r="GD634" s="0" t="n">
        <f aca="false">ROW()-1</f>
        <v>633</v>
      </c>
    </row>
    <row r="635" customFormat="false" ht="15" hidden="false" customHeight="false" outlineLevel="0" collapsed="false">
      <c r="C635" s="0" t="str">
        <f aca="false">IF($A635="","",IF(AW635="Y",BM635&amp;"",AY635&amp;""))</f>
        <v/>
      </c>
      <c r="D635" s="0" t="str">
        <f aca="false">IF($A635="","",IF(AW635="Y",BN635&amp;"",AZ635&amp;""))</f>
        <v/>
      </c>
      <c r="E635" s="0" t="str">
        <f aca="false">IF($A635="","",IF(AW635="Y",BO635&amp;"",BA635&amp;""))</f>
        <v/>
      </c>
      <c r="F635" s="0" t="str">
        <f aca="false">IF($A635="","",IF(AW635="Y",BP635&amp;"",BB635&amp;""))</f>
        <v/>
      </c>
      <c r="G635" s="0" t="str">
        <f aca="false">IF($A635="","",IF(AW635="Y",BQ635&amp;"",BC635&amp;""))</f>
        <v/>
      </c>
      <c r="H635" s="0" t="str">
        <f aca="false">IF($A635="","",IF(AW635="Y",BR635&amp;"",BD635&amp;""))</f>
        <v/>
      </c>
      <c r="I635" s="0" t="str">
        <f aca="false">IF($A635="","",IF(R635="Y","warm-intro",IF(H635="verified","email",IF(C635&lt;&gt;"","linkedin",CB635&amp;""))))</f>
        <v/>
      </c>
      <c r="J635" s="0" t="str">
        <f aca="false">IF($A635="","",IF(CN635="pass",ROUND(N(EM635)+N(EN635)+N(EO635)+N(EP635)+N(EQ635)+N(ER635),1),0))</f>
        <v/>
      </c>
      <c r="K635" s="0" t="str">
        <f aca="false">IF($A635="","",IF(CN635&lt;&gt;"pass",CA635&amp;"",CA635&amp;"; "&amp;IF(AW635="Y",BZ635&amp;"",BL635&amp;"")&amp;IF(R635="Y","; known to the founder (+15)","")&amp;"."))</f>
        <v/>
      </c>
      <c r="R635" s="5"/>
      <c r="U635" s="5"/>
      <c r="Y635" s="0" t="str">
        <f aca="false">IF(FX635&lt;&gt;"Y","",COUNTIFS($FX$2:$FX$1000,"Y",$J$2:$J$1000,"&gt;"&amp;J635)+COUNTIFS($FX$2:$FX$1000,"Y",$J$2:$J$1000,J635,$GD$2:$GD$1000,"&lt;"&amp;GD635)+1)</f>
        <v/>
      </c>
      <c r="AB635" s="0" t="str">
        <f aca="false">IF($A635="","",IF(AW635="Y",BY635&amp;"",BK635&amp;""))</f>
        <v/>
      </c>
      <c r="AC635" s="0" t="str">
        <f aca="false">IF($A635="","",IF(AW635="Y",BS635&amp;"",BE635&amp;""))</f>
        <v/>
      </c>
      <c r="AD635" s="0" t="str">
        <f aca="false">IF($A635="","",IF(AW635="Y",BT635&amp;"",BF635&amp;""))</f>
        <v/>
      </c>
      <c r="AE635" s="0" t="str">
        <f aca="false">IF($A635="","",IF(AW635="Y",BU635&amp;"",BG635&amp;""))</f>
        <v/>
      </c>
      <c r="AF635" s="0" t="str">
        <f aca="false">IF($A635="","",IF(AW635="Y",BV635&amp;"",BH635&amp;""))</f>
        <v/>
      </c>
      <c r="AG635" s="0" t="str">
        <f aca="false">IF($A635="","",IF(AW635="Y",BW635&amp;"",BI635&amp;""))</f>
        <v/>
      </c>
      <c r="AH635" s="0" t="str">
        <f aca="false">IF($A635="","",IF(AW635="Y",BX635&amp;"",BJ635&amp;""))</f>
        <v/>
      </c>
      <c r="AQ635" s="5"/>
      <c r="AT635" s="0" t="str">
        <f aca="false">IF($A635="","",IF(AND(CN635="pass",AQ635&lt;&gt;"Y",C635&lt;&gt;"",OR(AX635&lt;&gt;"Y",AV635="Y")),"Y","N"))</f>
        <v/>
      </c>
      <c r="AU635" s="0" t="str">
        <f aca="false">IF($A635="","",_xlfn.TEXTJOIN("; ",TRUE(),IF(CN635&lt;&gt;"pass","gated out",""),IF(AQ635="Y","on hold: "&amp;AR635,""),IF(C635="","no contact named on an opened page",""),IF(AND(AX635="Y",AV635&lt;&gt;"Y"),"Tuesday estimate band "&amp;L635&amp;": founder's call","")))</f>
        <v/>
      </c>
      <c r="BC635" s="0" t="str">
        <f aca="false">IF($A635="","",IFERROR(INDEX(Enrichment!$A$2:$GZ$2000,MATCH($A635,INDEX(Enrichment!$A$2:$GZ$2000,0,MATCH("row_id",Enrichment!$A$1:$GZ$1,0)),0),MATCH("work_email",Enrichment!$A$1:$GZ$1,0))&amp;"",""))</f>
        <v/>
      </c>
      <c r="BD635" s="0" t="str">
        <f aca="false">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Q635" s="0" t="str">
        <f aca="false">IF($A635="","",IFERROR(INDEX(Enrichment!$A$2:$GZ$2000,MATCH($A635,INDEX(Enrichment!$A$2:$GZ$2000,0,MATCH("row_id",Enrichment!$A$1:$GZ$1,0)),0),MATCH("backup_work_email",Enrichment!$A$1:$GZ$1,0))&amp;"",""))</f>
        <v/>
      </c>
      <c r="BR635" s="0" t="str">
        <f aca="false">IF($A635="","",IF(BQ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EQ635" s="0" t="str">
        <f aca="false">IF($A635="","",IF(AH635="exact",10,IF(AH635="adjacent",5,0)))</f>
        <v/>
      </c>
      <c r="ER635" s="0" t="str">
        <f aca="false">IF($A635="","",IF(R635="Y",15,0))</f>
        <v/>
      </c>
      <c r="FS635" s="0" t="str">
        <f aca="false">IF($A635="","",IF(ISNUMBER(MATCH(U635,{"queued","contacted","replied","call_booked","call_done","yes_in_principle","materials_sent"},0)),"Y","N"))</f>
        <v/>
      </c>
      <c r="FT635" s="0" t="str">
        <f aca="false">IF($A635="","",IF(OR(T635="Y",U635="do_not_contact",AS635&amp;""&lt;&gt;""),"Y","N"))</f>
        <v/>
      </c>
      <c r="FU635" s="0" t="str">
        <f aca="false">IF($A635="","",IF(AP635&amp;""&lt;&gt;"",AP635&amp;"",$A635))</f>
        <v/>
      </c>
      <c r="FV635" s="0" t="str">
        <f aca="false">IF($A635="","",IF(COUNTIFS($FU$2:$FU$1000,FU635,$FS$2:$FS$1000,"Y")+COUNTIFS($FU$2:$FU$1000,FU635,$FT$2:$FT$1000,"Y")&gt;0,"Y","N"))</f>
        <v/>
      </c>
      <c r="FW635" s="0" t="str">
        <f aca="false">IF($A635="","",IF(AND(U635="new",T635="N",FT635="N",AT635="Y",FV635="N"),"Y","N"))</f>
        <v/>
      </c>
      <c r="FX635" s="0" t="str">
        <f aca="false">IF($A635="","",IF(FW635&lt;&gt;"Y","N",IF(COUNTIFS($FU$2:$FU$1000,FU635,$FW$2:$FW$1000,"Y",$J$2:$J$1000,"&gt;"&amp;J635)+COUNTIFS($FU$2:$FU$1000,FU635,$FW$2:$FW$1000,"Y",$J$2:$J$1000,J635,$GD$2:$GD$1000,"&lt;"&amp;GD635)=0,"Y","N")))</f>
        <v/>
      </c>
      <c r="FY635" s="0" t="str">
        <f aca="false">IF($A635="","",IF(AND(FW635="Y",FX635="Y",Y635&amp;""&lt;&gt;""),IF(Y635&lt;=10,"Y","N"),"N"))</f>
        <v/>
      </c>
      <c r="FZ635" s="0" t="str">
        <f aca="false">IF(FY635="Y",Y635,"")</f>
        <v/>
      </c>
      <c r="GA635" s="0" t="str">
        <f aca="false">IF($A635="","",IF(AND(I635="walk-in",CN635="pass",U635="new",FT635="N",FV635="N",AQ635&lt;&gt;"Y"),"Y","N"))</f>
        <v/>
      </c>
      <c r="GB635" s="0" t="str">
        <f aca="false">IF(GA635&lt;&gt;"Y","",IF(COUNTIFS($GA$2:$GA$1000,"Y",$J$2:$J$1000,"&gt;"&amp;J635)+COUNTIFS($GA$2:$GA$1000,"Y",$J$2:$J$1000,J635,$GD$2:$GD$1000,"&lt;"&amp;GD635)+1&lt;=25,COUNTIFS($GA$2:$GA$1000,"Y",$J$2:$J$1000,"&gt;"&amp;J635)+COUNTIFS($GA$2:$GA$1000,"Y",$J$2:$J$1000,J635,$GD$2:$GD$1000,"&lt;"&amp;GD635)+1,""))</f>
        <v/>
      </c>
      <c r="GC635" s="0" t="str">
        <f aca="false">IF(AND(_xlfn.ISFORMULA(C635),_xlfn.ISFORMULA(J635)),"Y","N")</f>
        <v>Y</v>
      </c>
      <c r="GD635" s="0" t="n">
        <f aca="false">ROW()-1</f>
        <v>634</v>
      </c>
    </row>
    <row r="636" customFormat="false" ht="15" hidden="false" customHeight="false" outlineLevel="0" collapsed="false">
      <c r="C636" s="0" t="str">
        <f aca="false">IF($A636="","",IF(AW636="Y",BM636&amp;"",AY636&amp;""))</f>
        <v/>
      </c>
      <c r="D636" s="0" t="str">
        <f aca="false">IF($A636="","",IF(AW636="Y",BN636&amp;"",AZ636&amp;""))</f>
        <v/>
      </c>
      <c r="E636" s="0" t="str">
        <f aca="false">IF($A636="","",IF(AW636="Y",BO636&amp;"",BA636&amp;""))</f>
        <v/>
      </c>
      <c r="F636" s="0" t="str">
        <f aca="false">IF($A636="","",IF(AW636="Y",BP636&amp;"",BB636&amp;""))</f>
        <v/>
      </c>
      <c r="G636" s="0" t="str">
        <f aca="false">IF($A636="","",IF(AW636="Y",BQ636&amp;"",BC636&amp;""))</f>
        <v/>
      </c>
      <c r="H636" s="0" t="str">
        <f aca="false">IF($A636="","",IF(AW636="Y",BR636&amp;"",BD636&amp;""))</f>
        <v/>
      </c>
      <c r="I636" s="0" t="str">
        <f aca="false">IF($A636="","",IF(R636="Y","warm-intro",IF(H636="verified","email",IF(C636&lt;&gt;"","linkedin",CB636&amp;""))))</f>
        <v/>
      </c>
      <c r="J636" s="0" t="str">
        <f aca="false">IF($A636="","",IF(CN636="pass",ROUND(N(EM636)+N(EN636)+N(EO636)+N(EP636)+N(EQ636)+N(ER636),1),0))</f>
        <v/>
      </c>
      <c r="K636" s="0" t="str">
        <f aca="false">IF($A636="","",IF(CN636&lt;&gt;"pass",CA636&amp;"",CA636&amp;"; "&amp;IF(AW636="Y",BZ636&amp;"",BL636&amp;"")&amp;IF(R636="Y","; known to the founder (+15)","")&amp;"."))</f>
        <v/>
      </c>
      <c r="R636" s="5"/>
      <c r="U636" s="5"/>
      <c r="Y636" s="0" t="str">
        <f aca="false">IF(FX636&lt;&gt;"Y","",COUNTIFS($FX$2:$FX$1000,"Y",$J$2:$J$1000,"&gt;"&amp;J636)+COUNTIFS($FX$2:$FX$1000,"Y",$J$2:$J$1000,J636,$GD$2:$GD$1000,"&lt;"&amp;GD636)+1)</f>
        <v/>
      </c>
      <c r="AB636" s="0" t="str">
        <f aca="false">IF($A636="","",IF(AW636="Y",BY636&amp;"",BK636&amp;""))</f>
        <v/>
      </c>
      <c r="AC636" s="0" t="str">
        <f aca="false">IF($A636="","",IF(AW636="Y",BS636&amp;"",BE636&amp;""))</f>
        <v/>
      </c>
      <c r="AD636" s="0" t="str">
        <f aca="false">IF($A636="","",IF(AW636="Y",BT636&amp;"",BF636&amp;""))</f>
        <v/>
      </c>
      <c r="AE636" s="0" t="str">
        <f aca="false">IF($A636="","",IF(AW636="Y",BU636&amp;"",BG636&amp;""))</f>
        <v/>
      </c>
      <c r="AF636" s="0" t="str">
        <f aca="false">IF($A636="","",IF(AW636="Y",BV636&amp;"",BH636&amp;""))</f>
        <v/>
      </c>
      <c r="AG636" s="0" t="str">
        <f aca="false">IF($A636="","",IF(AW636="Y",BW636&amp;"",BI636&amp;""))</f>
        <v/>
      </c>
      <c r="AH636" s="0" t="str">
        <f aca="false">IF($A636="","",IF(AW636="Y",BX636&amp;"",BJ636&amp;""))</f>
        <v/>
      </c>
      <c r="AQ636" s="5"/>
      <c r="AT636" s="0" t="str">
        <f aca="false">IF($A636="","",IF(AND(CN636="pass",AQ636&lt;&gt;"Y",C636&lt;&gt;"",OR(AX636&lt;&gt;"Y",AV636="Y")),"Y","N"))</f>
        <v/>
      </c>
      <c r="AU636" s="0" t="str">
        <f aca="false">IF($A636="","",_xlfn.TEXTJOIN("; ",TRUE(),IF(CN636&lt;&gt;"pass","gated out",""),IF(AQ636="Y","on hold: "&amp;AR636,""),IF(C636="","no contact named on an opened page",""),IF(AND(AX636="Y",AV636&lt;&gt;"Y"),"Tuesday estimate band "&amp;L636&amp;": founder's call","")))</f>
        <v/>
      </c>
      <c r="BC636" s="0" t="str">
        <f aca="false">IF($A636="","",IFERROR(INDEX(Enrichment!$A$2:$GZ$2000,MATCH($A636,INDEX(Enrichment!$A$2:$GZ$2000,0,MATCH("row_id",Enrichment!$A$1:$GZ$1,0)),0),MATCH("work_email",Enrichment!$A$1:$GZ$1,0))&amp;"",""))</f>
        <v/>
      </c>
      <c r="BD636" s="0" t="str">
        <f aca="false">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Q636" s="0" t="str">
        <f aca="false">IF($A636="","",IFERROR(INDEX(Enrichment!$A$2:$GZ$2000,MATCH($A636,INDEX(Enrichment!$A$2:$GZ$2000,0,MATCH("row_id",Enrichment!$A$1:$GZ$1,0)),0),MATCH("backup_work_email",Enrichment!$A$1:$GZ$1,0))&amp;"",""))</f>
        <v/>
      </c>
      <c r="BR636" s="0" t="str">
        <f aca="false">IF($A636="","",IF(BQ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EQ636" s="0" t="str">
        <f aca="false">IF($A636="","",IF(AH636="exact",10,IF(AH636="adjacent",5,0)))</f>
        <v/>
      </c>
      <c r="ER636" s="0" t="str">
        <f aca="false">IF($A636="","",IF(R636="Y",15,0))</f>
        <v/>
      </c>
      <c r="FS636" s="0" t="str">
        <f aca="false">IF($A636="","",IF(ISNUMBER(MATCH(U636,{"queued","contacted","replied","call_booked","call_done","yes_in_principle","materials_sent"},0)),"Y","N"))</f>
        <v/>
      </c>
      <c r="FT636" s="0" t="str">
        <f aca="false">IF($A636="","",IF(OR(T636="Y",U636="do_not_contact",AS636&amp;""&lt;&gt;""),"Y","N"))</f>
        <v/>
      </c>
      <c r="FU636" s="0" t="str">
        <f aca="false">IF($A636="","",IF(AP636&amp;""&lt;&gt;"",AP636&amp;"",$A636))</f>
        <v/>
      </c>
      <c r="FV636" s="0" t="str">
        <f aca="false">IF($A636="","",IF(COUNTIFS($FU$2:$FU$1000,FU636,$FS$2:$FS$1000,"Y")+COUNTIFS($FU$2:$FU$1000,FU636,$FT$2:$FT$1000,"Y")&gt;0,"Y","N"))</f>
        <v/>
      </c>
      <c r="FW636" s="0" t="str">
        <f aca="false">IF($A636="","",IF(AND(U636="new",T636="N",FT636="N",AT636="Y",FV636="N"),"Y","N"))</f>
        <v/>
      </c>
      <c r="FX636" s="0" t="str">
        <f aca="false">IF($A636="","",IF(FW636&lt;&gt;"Y","N",IF(COUNTIFS($FU$2:$FU$1000,FU636,$FW$2:$FW$1000,"Y",$J$2:$J$1000,"&gt;"&amp;J636)+COUNTIFS($FU$2:$FU$1000,FU636,$FW$2:$FW$1000,"Y",$J$2:$J$1000,J636,$GD$2:$GD$1000,"&lt;"&amp;GD636)=0,"Y","N")))</f>
        <v/>
      </c>
      <c r="FY636" s="0" t="str">
        <f aca="false">IF($A636="","",IF(AND(FW636="Y",FX636="Y",Y636&amp;""&lt;&gt;""),IF(Y636&lt;=10,"Y","N"),"N"))</f>
        <v/>
      </c>
      <c r="FZ636" s="0" t="str">
        <f aca="false">IF(FY636="Y",Y636,"")</f>
        <v/>
      </c>
      <c r="GA636" s="0" t="str">
        <f aca="false">IF($A636="","",IF(AND(I636="walk-in",CN636="pass",U636="new",FT636="N",FV636="N",AQ636&lt;&gt;"Y"),"Y","N"))</f>
        <v/>
      </c>
      <c r="GB636" s="0" t="str">
        <f aca="false">IF(GA636&lt;&gt;"Y","",IF(COUNTIFS($GA$2:$GA$1000,"Y",$J$2:$J$1000,"&gt;"&amp;J636)+COUNTIFS($GA$2:$GA$1000,"Y",$J$2:$J$1000,J636,$GD$2:$GD$1000,"&lt;"&amp;GD636)+1&lt;=25,COUNTIFS($GA$2:$GA$1000,"Y",$J$2:$J$1000,"&gt;"&amp;J636)+COUNTIFS($GA$2:$GA$1000,"Y",$J$2:$J$1000,J636,$GD$2:$GD$1000,"&lt;"&amp;GD636)+1,""))</f>
        <v/>
      </c>
      <c r="GC636" s="0" t="str">
        <f aca="false">IF(AND(_xlfn.ISFORMULA(C636),_xlfn.ISFORMULA(J636)),"Y","N")</f>
        <v>Y</v>
      </c>
      <c r="GD636" s="0" t="n">
        <f aca="false">ROW()-1</f>
        <v>635</v>
      </c>
    </row>
    <row r="637" customFormat="false" ht="15" hidden="false" customHeight="false" outlineLevel="0" collapsed="false">
      <c r="C637" s="0" t="str">
        <f aca="false">IF($A637="","",IF(AW637="Y",BM637&amp;"",AY637&amp;""))</f>
        <v/>
      </c>
      <c r="D637" s="0" t="str">
        <f aca="false">IF($A637="","",IF(AW637="Y",BN637&amp;"",AZ637&amp;""))</f>
        <v/>
      </c>
      <c r="E637" s="0" t="str">
        <f aca="false">IF($A637="","",IF(AW637="Y",BO637&amp;"",BA637&amp;""))</f>
        <v/>
      </c>
      <c r="F637" s="0" t="str">
        <f aca="false">IF($A637="","",IF(AW637="Y",BP637&amp;"",BB637&amp;""))</f>
        <v/>
      </c>
      <c r="G637" s="0" t="str">
        <f aca="false">IF($A637="","",IF(AW637="Y",BQ637&amp;"",BC637&amp;""))</f>
        <v/>
      </c>
      <c r="H637" s="0" t="str">
        <f aca="false">IF($A637="","",IF(AW637="Y",BR637&amp;"",BD637&amp;""))</f>
        <v/>
      </c>
      <c r="I637" s="0" t="str">
        <f aca="false">IF($A637="","",IF(R637="Y","warm-intro",IF(H637="verified","email",IF(C637&lt;&gt;"","linkedin",CB637&amp;""))))</f>
        <v/>
      </c>
      <c r="J637" s="0" t="str">
        <f aca="false">IF($A637="","",IF(CN637="pass",ROUND(N(EM637)+N(EN637)+N(EO637)+N(EP637)+N(EQ637)+N(ER637),1),0))</f>
        <v/>
      </c>
      <c r="K637" s="0" t="str">
        <f aca="false">IF($A637="","",IF(CN637&lt;&gt;"pass",CA637&amp;"",CA637&amp;"; "&amp;IF(AW637="Y",BZ637&amp;"",BL637&amp;"")&amp;IF(R637="Y","; known to the founder (+15)","")&amp;"."))</f>
        <v/>
      </c>
      <c r="R637" s="5"/>
      <c r="U637" s="5"/>
      <c r="Y637" s="0" t="str">
        <f aca="false">IF(FX637&lt;&gt;"Y","",COUNTIFS($FX$2:$FX$1000,"Y",$J$2:$J$1000,"&gt;"&amp;J637)+COUNTIFS($FX$2:$FX$1000,"Y",$J$2:$J$1000,J637,$GD$2:$GD$1000,"&lt;"&amp;GD637)+1)</f>
        <v/>
      </c>
      <c r="AB637" s="0" t="str">
        <f aca="false">IF($A637="","",IF(AW637="Y",BY637&amp;"",BK637&amp;""))</f>
        <v/>
      </c>
      <c r="AC637" s="0" t="str">
        <f aca="false">IF($A637="","",IF(AW637="Y",BS637&amp;"",BE637&amp;""))</f>
        <v/>
      </c>
      <c r="AD637" s="0" t="str">
        <f aca="false">IF($A637="","",IF(AW637="Y",BT637&amp;"",BF637&amp;""))</f>
        <v/>
      </c>
      <c r="AE637" s="0" t="str">
        <f aca="false">IF($A637="","",IF(AW637="Y",BU637&amp;"",BG637&amp;""))</f>
        <v/>
      </c>
      <c r="AF637" s="0" t="str">
        <f aca="false">IF($A637="","",IF(AW637="Y",BV637&amp;"",BH637&amp;""))</f>
        <v/>
      </c>
      <c r="AG637" s="0" t="str">
        <f aca="false">IF($A637="","",IF(AW637="Y",BW637&amp;"",BI637&amp;""))</f>
        <v/>
      </c>
      <c r="AH637" s="0" t="str">
        <f aca="false">IF($A637="","",IF(AW637="Y",BX637&amp;"",BJ637&amp;""))</f>
        <v/>
      </c>
      <c r="AQ637" s="5"/>
      <c r="AT637" s="0" t="str">
        <f aca="false">IF($A637="","",IF(AND(CN637="pass",AQ637&lt;&gt;"Y",C637&lt;&gt;"",OR(AX637&lt;&gt;"Y",AV637="Y")),"Y","N"))</f>
        <v/>
      </c>
      <c r="AU637" s="0" t="str">
        <f aca="false">IF($A637="","",_xlfn.TEXTJOIN("; ",TRUE(),IF(CN637&lt;&gt;"pass","gated out",""),IF(AQ637="Y","on hold: "&amp;AR637,""),IF(C637="","no contact named on an opened page",""),IF(AND(AX637="Y",AV637&lt;&gt;"Y"),"Tuesday estimate band "&amp;L637&amp;": founder's call","")))</f>
        <v/>
      </c>
      <c r="BC637" s="0" t="str">
        <f aca="false">IF($A637="","",IFERROR(INDEX(Enrichment!$A$2:$GZ$2000,MATCH($A637,INDEX(Enrichment!$A$2:$GZ$2000,0,MATCH("row_id",Enrichment!$A$1:$GZ$1,0)),0),MATCH("work_email",Enrichment!$A$1:$GZ$1,0))&amp;"",""))</f>
        <v/>
      </c>
      <c r="BD637" s="0" t="str">
        <f aca="false">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Q637" s="0" t="str">
        <f aca="false">IF($A637="","",IFERROR(INDEX(Enrichment!$A$2:$GZ$2000,MATCH($A637,INDEX(Enrichment!$A$2:$GZ$2000,0,MATCH("row_id",Enrichment!$A$1:$GZ$1,0)),0),MATCH("backup_work_email",Enrichment!$A$1:$GZ$1,0))&amp;"",""))</f>
        <v/>
      </c>
      <c r="BR637" s="0" t="str">
        <f aca="false">IF($A637="","",IF(BQ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EQ637" s="0" t="str">
        <f aca="false">IF($A637="","",IF(AH637="exact",10,IF(AH637="adjacent",5,0)))</f>
        <v/>
      </c>
      <c r="ER637" s="0" t="str">
        <f aca="false">IF($A637="","",IF(R637="Y",15,0))</f>
        <v/>
      </c>
      <c r="FS637" s="0" t="str">
        <f aca="false">IF($A637="","",IF(ISNUMBER(MATCH(U637,{"queued","contacted","replied","call_booked","call_done","yes_in_principle","materials_sent"},0)),"Y","N"))</f>
        <v/>
      </c>
      <c r="FT637" s="0" t="str">
        <f aca="false">IF($A637="","",IF(OR(T637="Y",U637="do_not_contact",AS637&amp;""&lt;&gt;""),"Y","N"))</f>
        <v/>
      </c>
      <c r="FU637" s="0" t="str">
        <f aca="false">IF($A637="","",IF(AP637&amp;""&lt;&gt;"",AP637&amp;"",$A637))</f>
        <v/>
      </c>
      <c r="FV637" s="0" t="str">
        <f aca="false">IF($A637="","",IF(COUNTIFS($FU$2:$FU$1000,FU637,$FS$2:$FS$1000,"Y")+COUNTIFS($FU$2:$FU$1000,FU637,$FT$2:$FT$1000,"Y")&gt;0,"Y","N"))</f>
        <v/>
      </c>
      <c r="FW637" s="0" t="str">
        <f aca="false">IF($A637="","",IF(AND(U637="new",T637="N",FT637="N",AT637="Y",FV637="N"),"Y","N"))</f>
        <v/>
      </c>
      <c r="FX637" s="0" t="str">
        <f aca="false">IF($A637="","",IF(FW637&lt;&gt;"Y","N",IF(COUNTIFS($FU$2:$FU$1000,FU637,$FW$2:$FW$1000,"Y",$J$2:$J$1000,"&gt;"&amp;J637)+COUNTIFS($FU$2:$FU$1000,FU637,$FW$2:$FW$1000,"Y",$J$2:$J$1000,J637,$GD$2:$GD$1000,"&lt;"&amp;GD637)=0,"Y","N")))</f>
        <v/>
      </c>
      <c r="FY637" s="0" t="str">
        <f aca="false">IF($A637="","",IF(AND(FW637="Y",FX637="Y",Y637&amp;""&lt;&gt;""),IF(Y637&lt;=10,"Y","N"),"N"))</f>
        <v/>
      </c>
      <c r="FZ637" s="0" t="str">
        <f aca="false">IF(FY637="Y",Y637,"")</f>
        <v/>
      </c>
      <c r="GA637" s="0" t="str">
        <f aca="false">IF($A637="","",IF(AND(I637="walk-in",CN637="pass",U637="new",FT637="N",FV637="N",AQ637&lt;&gt;"Y"),"Y","N"))</f>
        <v/>
      </c>
      <c r="GB637" s="0" t="str">
        <f aca="false">IF(GA637&lt;&gt;"Y","",IF(COUNTIFS($GA$2:$GA$1000,"Y",$J$2:$J$1000,"&gt;"&amp;J637)+COUNTIFS($GA$2:$GA$1000,"Y",$J$2:$J$1000,J637,$GD$2:$GD$1000,"&lt;"&amp;GD637)+1&lt;=25,COUNTIFS($GA$2:$GA$1000,"Y",$J$2:$J$1000,"&gt;"&amp;J637)+COUNTIFS($GA$2:$GA$1000,"Y",$J$2:$J$1000,J637,$GD$2:$GD$1000,"&lt;"&amp;GD637)+1,""))</f>
        <v/>
      </c>
      <c r="GC637" s="0" t="str">
        <f aca="false">IF(AND(_xlfn.ISFORMULA(C637),_xlfn.ISFORMULA(J637)),"Y","N")</f>
        <v>Y</v>
      </c>
      <c r="GD637" s="0" t="n">
        <f aca="false">ROW()-1</f>
        <v>636</v>
      </c>
    </row>
    <row r="638" customFormat="false" ht="15" hidden="false" customHeight="false" outlineLevel="0" collapsed="false">
      <c r="C638" s="0" t="str">
        <f aca="false">IF($A638="","",IF(AW638="Y",BM638&amp;"",AY638&amp;""))</f>
        <v/>
      </c>
      <c r="D638" s="0" t="str">
        <f aca="false">IF($A638="","",IF(AW638="Y",BN638&amp;"",AZ638&amp;""))</f>
        <v/>
      </c>
      <c r="E638" s="0" t="str">
        <f aca="false">IF($A638="","",IF(AW638="Y",BO638&amp;"",BA638&amp;""))</f>
        <v/>
      </c>
      <c r="F638" s="0" t="str">
        <f aca="false">IF($A638="","",IF(AW638="Y",BP638&amp;"",BB638&amp;""))</f>
        <v/>
      </c>
      <c r="G638" s="0" t="str">
        <f aca="false">IF($A638="","",IF(AW638="Y",BQ638&amp;"",BC638&amp;""))</f>
        <v/>
      </c>
      <c r="H638" s="0" t="str">
        <f aca="false">IF($A638="","",IF(AW638="Y",BR638&amp;"",BD638&amp;""))</f>
        <v/>
      </c>
      <c r="I638" s="0" t="str">
        <f aca="false">IF($A638="","",IF(R638="Y","warm-intro",IF(H638="verified","email",IF(C638&lt;&gt;"","linkedin",CB638&amp;""))))</f>
        <v/>
      </c>
      <c r="J638" s="0" t="str">
        <f aca="false">IF($A638="","",IF(CN638="pass",ROUND(N(EM638)+N(EN638)+N(EO638)+N(EP638)+N(EQ638)+N(ER638),1),0))</f>
        <v/>
      </c>
      <c r="K638" s="0" t="str">
        <f aca="false">IF($A638="","",IF(CN638&lt;&gt;"pass",CA638&amp;"",CA638&amp;"; "&amp;IF(AW638="Y",BZ638&amp;"",BL638&amp;"")&amp;IF(R638="Y","; known to the founder (+15)","")&amp;"."))</f>
        <v/>
      </c>
      <c r="R638" s="5"/>
      <c r="U638" s="5"/>
      <c r="Y638" s="0" t="str">
        <f aca="false">IF(FX638&lt;&gt;"Y","",COUNTIFS($FX$2:$FX$1000,"Y",$J$2:$J$1000,"&gt;"&amp;J638)+COUNTIFS($FX$2:$FX$1000,"Y",$J$2:$J$1000,J638,$GD$2:$GD$1000,"&lt;"&amp;GD638)+1)</f>
        <v/>
      </c>
      <c r="AB638" s="0" t="str">
        <f aca="false">IF($A638="","",IF(AW638="Y",BY638&amp;"",BK638&amp;""))</f>
        <v/>
      </c>
      <c r="AC638" s="0" t="str">
        <f aca="false">IF($A638="","",IF(AW638="Y",BS638&amp;"",BE638&amp;""))</f>
        <v/>
      </c>
      <c r="AD638" s="0" t="str">
        <f aca="false">IF($A638="","",IF(AW638="Y",BT638&amp;"",BF638&amp;""))</f>
        <v/>
      </c>
      <c r="AE638" s="0" t="str">
        <f aca="false">IF($A638="","",IF(AW638="Y",BU638&amp;"",BG638&amp;""))</f>
        <v/>
      </c>
      <c r="AF638" s="0" t="str">
        <f aca="false">IF($A638="","",IF(AW638="Y",BV638&amp;"",BH638&amp;""))</f>
        <v/>
      </c>
      <c r="AG638" s="0" t="str">
        <f aca="false">IF($A638="","",IF(AW638="Y",BW638&amp;"",BI638&amp;""))</f>
        <v/>
      </c>
      <c r="AH638" s="0" t="str">
        <f aca="false">IF($A638="","",IF(AW638="Y",BX638&amp;"",BJ638&amp;""))</f>
        <v/>
      </c>
      <c r="AQ638" s="5"/>
      <c r="AT638" s="0" t="str">
        <f aca="false">IF($A638="","",IF(AND(CN638="pass",AQ638&lt;&gt;"Y",C638&lt;&gt;"",OR(AX638&lt;&gt;"Y",AV638="Y")),"Y","N"))</f>
        <v/>
      </c>
      <c r="AU638" s="0" t="str">
        <f aca="false">IF($A638="","",_xlfn.TEXTJOIN("; ",TRUE(),IF(CN638&lt;&gt;"pass","gated out",""),IF(AQ638="Y","on hold: "&amp;AR638,""),IF(C638="","no contact named on an opened page",""),IF(AND(AX638="Y",AV638&lt;&gt;"Y"),"Tuesday estimate band "&amp;L638&amp;": founder's call","")))</f>
        <v/>
      </c>
      <c r="BC638" s="0" t="str">
        <f aca="false">IF($A638="","",IFERROR(INDEX(Enrichment!$A$2:$GZ$2000,MATCH($A638,INDEX(Enrichment!$A$2:$GZ$2000,0,MATCH("row_id",Enrichment!$A$1:$GZ$1,0)),0),MATCH("work_email",Enrichment!$A$1:$GZ$1,0))&amp;"",""))</f>
        <v/>
      </c>
      <c r="BD638" s="0" t="str">
        <f aca="false">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Q638" s="0" t="str">
        <f aca="false">IF($A638="","",IFERROR(INDEX(Enrichment!$A$2:$GZ$2000,MATCH($A638,INDEX(Enrichment!$A$2:$GZ$2000,0,MATCH("row_id",Enrichment!$A$1:$GZ$1,0)),0),MATCH("backup_work_email",Enrichment!$A$1:$GZ$1,0))&amp;"",""))</f>
        <v/>
      </c>
      <c r="BR638" s="0" t="str">
        <f aca="false">IF($A638="","",IF(BQ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EQ638" s="0" t="str">
        <f aca="false">IF($A638="","",IF(AH638="exact",10,IF(AH638="adjacent",5,0)))</f>
        <v/>
      </c>
      <c r="ER638" s="0" t="str">
        <f aca="false">IF($A638="","",IF(R638="Y",15,0))</f>
        <v/>
      </c>
      <c r="FS638" s="0" t="str">
        <f aca="false">IF($A638="","",IF(ISNUMBER(MATCH(U638,{"queued","contacted","replied","call_booked","call_done","yes_in_principle","materials_sent"},0)),"Y","N"))</f>
        <v/>
      </c>
      <c r="FT638" s="0" t="str">
        <f aca="false">IF($A638="","",IF(OR(T638="Y",U638="do_not_contact",AS638&amp;""&lt;&gt;""),"Y","N"))</f>
        <v/>
      </c>
      <c r="FU638" s="0" t="str">
        <f aca="false">IF($A638="","",IF(AP638&amp;""&lt;&gt;"",AP638&amp;"",$A638))</f>
        <v/>
      </c>
      <c r="FV638" s="0" t="str">
        <f aca="false">IF($A638="","",IF(COUNTIFS($FU$2:$FU$1000,FU638,$FS$2:$FS$1000,"Y")+COUNTIFS($FU$2:$FU$1000,FU638,$FT$2:$FT$1000,"Y")&gt;0,"Y","N"))</f>
        <v/>
      </c>
      <c r="FW638" s="0" t="str">
        <f aca="false">IF($A638="","",IF(AND(U638="new",T638="N",FT638="N",AT638="Y",FV638="N"),"Y","N"))</f>
        <v/>
      </c>
      <c r="FX638" s="0" t="str">
        <f aca="false">IF($A638="","",IF(FW638&lt;&gt;"Y","N",IF(COUNTIFS($FU$2:$FU$1000,FU638,$FW$2:$FW$1000,"Y",$J$2:$J$1000,"&gt;"&amp;J638)+COUNTIFS($FU$2:$FU$1000,FU638,$FW$2:$FW$1000,"Y",$J$2:$J$1000,J638,$GD$2:$GD$1000,"&lt;"&amp;GD638)=0,"Y","N")))</f>
        <v/>
      </c>
      <c r="FY638" s="0" t="str">
        <f aca="false">IF($A638="","",IF(AND(FW638="Y",FX638="Y",Y638&amp;""&lt;&gt;""),IF(Y638&lt;=10,"Y","N"),"N"))</f>
        <v/>
      </c>
      <c r="FZ638" s="0" t="str">
        <f aca="false">IF(FY638="Y",Y638,"")</f>
        <v/>
      </c>
      <c r="GA638" s="0" t="str">
        <f aca="false">IF($A638="","",IF(AND(I638="walk-in",CN638="pass",U638="new",FT638="N",FV638="N",AQ638&lt;&gt;"Y"),"Y","N"))</f>
        <v/>
      </c>
      <c r="GB638" s="0" t="str">
        <f aca="false">IF(GA638&lt;&gt;"Y","",IF(COUNTIFS($GA$2:$GA$1000,"Y",$J$2:$J$1000,"&gt;"&amp;J638)+COUNTIFS($GA$2:$GA$1000,"Y",$J$2:$J$1000,J638,$GD$2:$GD$1000,"&lt;"&amp;GD638)+1&lt;=25,COUNTIFS($GA$2:$GA$1000,"Y",$J$2:$J$1000,"&gt;"&amp;J638)+COUNTIFS($GA$2:$GA$1000,"Y",$J$2:$J$1000,J638,$GD$2:$GD$1000,"&lt;"&amp;GD638)+1,""))</f>
        <v/>
      </c>
      <c r="GC638" s="0" t="str">
        <f aca="false">IF(AND(_xlfn.ISFORMULA(C638),_xlfn.ISFORMULA(J638)),"Y","N")</f>
        <v>Y</v>
      </c>
      <c r="GD638" s="0" t="n">
        <f aca="false">ROW()-1</f>
        <v>637</v>
      </c>
    </row>
    <row r="639" customFormat="false" ht="15" hidden="false" customHeight="false" outlineLevel="0" collapsed="false">
      <c r="C639" s="0" t="str">
        <f aca="false">IF($A639="","",IF(AW639="Y",BM639&amp;"",AY639&amp;""))</f>
        <v/>
      </c>
      <c r="D639" s="0" t="str">
        <f aca="false">IF($A639="","",IF(AW639="Y",BN639&amp;"",AZ639&amp;""))</f>
        <v/>
      </c>
      <c r="E639" s="0" t="str">
        <f aca="false">IF($A639="","",IF(AW639="Y",BO639&amp;"",BA639&amp;""))</f>
        <v/>
      </c>
      <c r="F639" s="0" t="str">
        <f aca="false">IF($A639="","",IF(AW639="Y",BP639&amp;"",BB639&amp;""))</f>
        <v/>
      </c>
      <c r="G639" s="0" t="str">
        <f aca="false">IF($A639="","",IF(AW639="Y",BQ639&amp;"",BC639&amp;""))</f>
        <v/>
      </c>
      <c r="H639" s="0" t="str">
        <f aca="false">IF($A639="","",IF(AW639="Y",BR639&amp;"",BD639&amp;""))</f>
        <v/>
      </c>
      <c r="I639" s="0" t="str">
        <f aca="false">IF($A639="","",IF(R639="Y","warm-intro",IF(H639="verified","email",IF(C639&lt;&gt;"","linkedin",CB639&amp;""))))</f>
        <v/>
      </c>
      <c r="J639" s="0" t="str">
        <f aca="false">IF($A639="","",IF(CN639="pass",ROUND(N(EM639)+N(EN639)+N(EO639)+N(EP639)+N(EQ639)+N(ER639),1),0))</f>
        <v/>
      </c>
      <c r="K639" s="0" t="str">
        <f aca="false">IF($A639="","",IF(CN639&lt;&gt;"pass",CA639&amp;"",CA639&amp;"; "&amp;IF(AW639="Y",BZ639&amp;"",BL639&amp;"")&amp;IF(R639="Y","; known to the founder (+15)","")&amp;"."))</f>
        <v/>
      </c>
      <c r="R639" s="5"/>
      <c r="U639" s="5"/>
      <c r="Y639" s="0" t="str">
        <f aca="false">IF(FX639&lt;&gt;"Y","",COUNTIFS($FX$2:$FX$1000,"Y",$J$2:$J$1000,"&gt;"&amp;J639)+COUNTIFS($FX$2:$FX$1000,"Y",$J$2:$J$1000,J639,$GD$2:$GD$1000,"&lt;"&amp;GD639)+1)</f>
        <v/>
      </c>
      <c r="AB639" s="0" t="str">
        <f aca="false">IF($A639="","",IF(AW639="Y",BY639&amp;"",BK639&amp;""))</f>
        <v/>
      </c>
      <c r="AC639" s="0" t="str">
        <f aca="false">IF($A639="","",IF(AW639="Y",BS639&amp;"",BE639&amp;""))</f>
        <v/>
      </c>
      <c r="AD639" s="0" t="str">
        <f aca="false">IF($A639="","",IF(AW639="Y",BT639&amp;"",BF639&amp;""))</f>
        <v/>
      </c>
      <c r="AE639" s="0" t="str">
        <f aca="false">IF($A639="","",IF(AW639="Y",BU639&amp;"",BG639&amp;""))</f>
        <v/>
      </c>
      <c r="AF639" s="0" t="str">
        <f aca="false">IF($A639="","",IF(AW639="Y",BV639&amp;"",BH639&amp;""))</f>
        <v/>
      </c>
      <c r="AG639" s="0" t="str">
        <f aca="false">IF($A639="","",IF(AW639="Y",BW639&amp;"",BI639&amp;""))</f>
        <v/>
      </c>
      <c r="AH639" s="0" t="str">
        <f aca="false">IF($A639="","",IF(AW639="Y",BX639&amp;"",BJ639&amp;""))</f>
        <v/>
      </c>
      <c r="AQ639" s="5"/>
      <c r="AT639" s="0" t="str">
        <f aca="false">IF($A639="","",IF(AND(CN639="pass",AQ639&lt;&gt;"Y",C639&lt;&gt;"",OR(AX639&lt;&gt;"Y",AV639="Y")),"Y","N"))</f>
        <v/>
      </c>
      <c r="AU639" s="0" t="str">
        <f aca="false">IF($A639="","",_xlfn.TEXTJOIN("; ",TRUE(),IF(CN639&lt;&gt;"pass","gated out",""),IF(AQ639="Y","on hold: "&amp;AR639,""),IF(C639="","no contact named on an opened page",""),IF(AND(AX639="Y",AV639&lt;&gt;"Y"),"Tuesday estimate band "&amp;L639&amp;": founder's call","")))</f>
        <v/>
      </c>
      <c r="BC639" s="0" t="str">
        <f aca="false">IF($A639="","",IFERROR(INDEX(Enrichment!$A$2:$GZ$2000,MATCH($A639,INDEX(Enrichment!$A$2:$GZ$2000,0,MATCH("row_id",Enrichment!$A$1:$GZ$1,0)),0),MATCH("work_email",Enrichment!$A$1:$GZ$1,0))&amp;"",""))</f>
        <v/>
      </c>
      <c r="BD639" s="0" t="str">
        <f aca="false">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Q639" s="0" t="str">
        <f aca="false">IF($A639="","",IFERROR(INDEX(Enrichment!$A$2:$GZ$2000,MATCH($A639,INDEX(Enrichment!$A$2:$GZ$2000,0,MATCH("row_id",Enrichment!$A$1:$GZ$1,0)),0),MATCH("backup_work_email",Enrichment!$A$1:$GZ$1,0))&amp;"",""))</f>
        <v/>
      </c>
      <c r="BR639" s="0" t="str">
        <f aca="false">IF($A639="","",IF(BQ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EQ639" s="0" t="str">
        <f aca="false">IF($A639="","",IF(AH639="exact",10,IF(AH639="adjacent",5,0)))</f>
        <v/>
      </c>
      <c r="ER639" s="0" t="str">
        <f aca="false">IF($A639="","",IF(R639="Y",15,0))</f>
        <v/>
      </c>
      <c r="FS639" s="0" t="str">
        <f aca="false">IF($A639="","",IF(ISNUMBER(MATCH(U639,{"queued","contacted","replied","call_booked","call_done","yes_in_principle","materials_sent"},0)),"Y","N"))</f>
        <v/>
      </c>
      <c r="FT639" s="0" t="str">
        <f aca="false">IF($A639="","",IF(OR(T639="Y",U639="do_not_contact",AS639&amp;""&lt;&gt;""),"Y","N"))</f>
        <v/>
      </c>
      <c r="FU639" s="0" t="str">
        <f aca="false">IF($A639="","",IF(AP639&amp;""&lt;&gt;"",AP639&amp;"",$A639))</f>
        <v/>
      </c>
      <c r="FV639" s="0" t="str">
        <f aca="false">IF($A639="","",IF(COUNTIFS($FU$2:$FU$1000,FU639,$FS$2:$FS$1000,"Y")+COUNTIFS($FU$2:$FU$1000,FU639,$FT$2:$FT$1000,"Y")&gt;0,"Y","N"))</f>
        <v/>
      </c>
      <c r="FW639" s="0" t="str">
        <f aca="false">IF($A639="","",IF(AND(U639="new",T639="N",FT639="N",AT639="Y",FV639="N"),"Y","N"))</f>
        <v/>
      </c>
      <c r="FX639" s="0" t="str">
        <f aca="false">IF($A639="","",IF(FW639&lt;&gt;"Y","N",IF(COUNTIFS($FU$2:$FU$1000,FU639,$FW$2:$FW$1000,"Y",$J$2:$J$1000,"&gt;"&amp;J639)+COUNTIFS($FU$2:$FU$1000,FU639,$FW$2:$FW$1000,"Y",$J$2:$J$1000,J639,$GD$2:$GD$1000,"&lt;"&amp;GD639)=0,"Y","N")))</f>
        <v/>
      </c>
      <c r="FY639" s="0" t="str">
        <f aca="false">IF($A639="","",IF(AND(FW639="Y",FX639="Y",Y639&amp;""&lt;&gt;""),IF(Y639&lt;=10,"Y","N"),"N"))</f>
        <v/>
      </c>
      <c r="FZ639" s="0" t="str">
        <f aca="false">IF(FY639="Y",Y639,"")</f>
        <v/>
      </c>
      <c r="GA639" s="0" t="str">
        <f aca="false">IF($A639="","",IF(AND(I639="walk-in",CN639="pass",U639="new",FT639="N",FV639="N",AQ639&lt;&gt;"Y"),"Y","N"))</f>
        <v/>
      </c>
      <c r="GB639" s="0" t="str">
        <f aca="false">IF(GA639&lt;&gt;"Y","",IF(COUNTIFS($GA$2:$GA$1000,"Y",$J$2:$J$1000,"&gt;"&amp;J639)+COUNTIFS($GA$2:$GA$1000,"Y",$J$2:$J$1000,J639,$GD$2:$GD$1000,"&lt;"&amp;GD639)+1&lt;=25,COUNTIFS($GA$2:$GA$1000,"Y",$J$2:$J$1000,"&gt;"&amp;J639)+COUNTIFS($GA$2:$GA$1000,"Y",$J$2:$J$1000,J639,$GD$2:$GD$1000,"&lt;"&amp;GD639)+1,""))</f>
        <v/>
      </c>
      <c r="GC639" s="0" t="str">
        <f aca="false">IF(AND(_xlfn.ISFORMULA(C639),_xlfn.ISFORMULA(J639)),"Y","N")</f>
        <v>Y</v>
      </c>
      <c r="GD639" s="0" t="n">
        <f aca="false">ROW()-1</f>
        <v>638</v>
      </c>
    </row>
    <row r="640" customFormat="false" ht="15" hidden="false" customHeight="false" outlineLevel="0" collapsed="false">
      <c r="C640" s="0" t="str">
        <f aca="false">IF($A640="","",IF(AW640="Y",BM640&amp;"",AY640&amp;""))</f>
        <v/>
      </c>
      <c r="D640" s="0" t="str">
        <f aca="false">IF($A640="","",IF(AW640="Y",BN640&amp;"",AZ640&amp;""))</f>
        <v/>
      </c>
      <c r="E640" s="0" t="str">
        <f aca="false">IF($A640="","",IF(AW640="Y",BO640&amp;"",BA640&amp;""))</f>
        <v/>
      </c>
      <c r="F640" s="0" t="str">
        <f aca="false">IF($A640="","",IF(AW640="Y",BP640&amp;"",BB640&amp;""))</f>
        <v/>
      </c>
      <c r="G640" s="0" t="str">
        <f aca="false">IF($A640="","",IF(AW640="Y",BQ640&amp;"",BC640&amp;""))</f>
        <v/>
      </c>
      <c r="H640" s="0" t="str">
        <f aca="false">IF($A640="","",IF(AW640="Y",BR640&amp;"",BD640&amp;""))</f>
        <v/>
      </c>
      <c r="I640" s="0" t="str">
        <f aca="false">IF($A640="","",IF(R640="Y","warm-intro",IF(H640="verified","email",IF(C640&lt;&gt;"","linkedin",CB640&amp;""))))</f>
        <v/>
      </c>
      <c r="J640" s="0" t="str">
        <f aca="false">IF($A640="","",IF(CN640="pass",ROUND(N(EM640)+N(EN640)+N(EO640)+N(EP640)+N(EQ640)+N(ER640),1),0))</f>
        <v/>
      </c>
      <c r="K640" s="0" t="str">
        <f aca="false">IF($A640="","",IF(CN640&lt;&gt;"pass",CA640&amp;"",CA640&amp;"; "&amp;IF(AW640="Y",BZ640&amp;"",BL640&amp;"")&amp;IF(R640="Y","; known to the founder (+15)","")&amp;"."))</f>
        <v/>
      </c>
      <c r="R640" s="5"/>
      <c r="U640" s="5"/>
      <c r="Y640" s="0" t="str">
        <f aca="false">IF(FX640&lt;&gt;"Y","",COUNTIFS($FX$2:$FX$1000,"Y",$J$2:$J$1000,"&gt;"&amp;J640)+COUNTIFS($FX$2:$FX$1000,"Y",$J$2:$J$1000,J640,$GD$2:$GD$1000,"&lt;"&amp;GD640)+1)</f>
        <v/>
      </c>
      <c r="AB640" s="0" t="str">
        <f aca="false">IF($A640="","",IF(AW640="Y",BY640&amp;"",BK640&amp;""))</f>
        <v/>
      </c>
      <c r="AC640" s="0" t="str">
        <f aca="false">IF($A640="","",IF(AW640="Y",BS640&amp;"",BE640&amp;""))</f>
        <v/>
      </c>
      <c r="AD640" s="0" t="str">
        <f aca="false">IF($A640="","",IF(AW640="Y",BT640&amp;"",BF640&amp;""))</f>
        <v/>
      </c>
      <c r="AE640" s="0" t="str">
        <f aca="false">IF($A640="","",IF(AW640="Y",BU640&amp;"",BG640&amp;""))</f>
        <v/>
      </c>
      <c r="AF640" s="0" t="str">
        <f aca="false">IF($A640="","",IF(AW640="Y",BV640&amp;"",BH640&amp;""))</f>
        <v/>
      </c>
      <c r="AG640" s="0" t="str">
        <f aca="false">IF($A640="","",IF(AW640="Y",BW640&amp;"",BI640&amp;""))</f>
        <v/>
      </c>
      <c r="AH640" s="0" t="str">
        <f aca="false">IF($A640="","",IF(AW640="Y",BX640&amp;"",BJ640&amp;""))</f>
        <v/>
      </c>
      <c r="AQ640" s="5"/>
      <c r="AT640" s="0" t="str">
        <f aca="false">IF($A640="","",IF(AND(CN640="pass",AQ640&lt;&gt;"Y",C640&lt;&gt;"",OR(AX640&lt;&gt;"Y",AV640="Y")),"Y","N"))</f>
        <v/>
      </c>
      <c r="AU640" s="0" t="str">
        <f aca="false">IF($A640="","",_xlfn.TEXTJOIN("; ",TRUE(),IF(CN640&lt;&gt;"pass","gated out",""),IF(AQ640="Y","on hold: "&amp;AR640,""),IF(C640="","no contact named on an opened page",""),IF(AND(AX640="Y",AV640&lt;&gt;"Y"),"Tuesday estimate band "&amp;L640&amp;": founder's call","")))</f>
        <v/>
      </c>
      <c r="BC640" s="0" t="str">
        <f aca="false">IF($A640="","",IFERROR(INDEX(Enrichment!$A$2:$GZ$2000,MATCH($A640,INDEX(Enrichment!$A$2:$GZ$2000,0,MATCH("row_id",Enrichment!$A$1:$GZ$1,0)),0),MATCH("work_email",Enrichment!$A$1:$GZ$1,0))&amp;"",""))</f>
        <v/>
      </c>
      <c r="BD640" s="0" t="str">
        <f aca="false">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Q640" s="0" t="str">
        <f aca="false">IF($A640="","",IFERROR(INDEX(Enrichment!$A$2:$GZ$2000,MATCH($A640,INDEX(Enrichment!$A$2:$GZ$2000,0,MATCH("row_id",Enrichment!$A$1:$GZ$1,0)),0),MATCH("backup_work_email",Enrichment!$A$1:$GZ$1,0))&amp;"",""))</f>
        <v/>
      </c>
      <c r="BR640" s="0" t="str">
        <f aca="false">IF($A640="","",IF(BQ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EQ640" s="0" t="str">
        <f aca="false">IF($A640="","",IF(AH640="exact",10,IF(AH640="adjacent",5,0)))</f>
        <v/>
      </c>
      <c r="ER640" s="0" t="str">
        <f aca="false">IF($A640="","",IF(R640="Y",15,0))</f>
        <v/>
      </c>
      <c r="FS640" s="0" t="str">
        <f aca="false">IF($A640="","",IF(ISNUMBER(MATCH(U640,{"queued","contacted","replied","call_booked","call_done","yes_in_principle","materials_sent"},0)),"Y","N"))</f>
        <v/>
      </c>
      <c r="FT640" s="0" t="str">
        <f aca="false">IF($A640="","",IF(OR(T640="Y",U640="do_not_contact",AS640&amp;""&lt;&gt;""),"Y","N"))</f>
        <v/>
      </c>
      <c r="FU640" s="0" t="str">
        <f aca="false">IF($A640="","",IF(AP640&amp;""&lt;&gt;"",AP640&amp;"",$A640))</f>
        <v/>
      </c>
      <c r="FV640" s="0" t="str">
        <f aca="false">IF($A640="","",IF(COUNTIFS($FU$2:$FU$1000,FU640,$FS$2:$FS$1000,"Y")+COUNTIFS($FU$2:$FU$1000,FU640,$FT$2:$FT$1000,"Y")&gt;0,"Y","N"))</f>
        <v/>
      </c>
      <c r="FW640" s="0" t="str">
        <f aca="false">IF($A640="","",IF(AND(U640="new",T640="N",FT640="N",AT640="Y",FV640="N"),"Y","N"))</f>
        <v/>
      </c>
      <c r="FX640" s="0" t="str">
        <f aca="false">IF($A640="","",IF(FW640&lt;&gt;"Y","N",IF(COUNTIFS($FU$2:$FU$1000,FU640,$FW$2:$FW$1000,"Y",$J$2:$J$1000,"&gt;"&amp;J640)+COUNTIFS($FU$2:$FU$1000,FU640,$FW$2:$FW$1000,"Y",$J$2:$J$1000,J640,$GD$2:$GD$1000,"&lt;"&amp;GD640)=0,"Y","N")))</f>
        <v/>
      </c>
      <c r="FY640" s="0" t="str">
        <f aca="false">IF($A640="","",IF(AND(FW640="Y",FX640="Y",Y640&amp;""&lt;&gt;""),IF(Y640&lt;=10,"Y","N"),"N"))</f>
        <v/>
      </c>
      <c r="FZ640" s="0" t="str">
        <f aca="false">IF(FY640="Y",Y640,"")</f>
        <v/>
      </c>
      <c r="GA640" s="0" t="str">
        <f aca="false">IF($A640="","",IF(AND(I640="walk-in",CN640="pass",U640="new",FT640="N",FV640="N",AQ640&lt;&gt;"Y"),"Y","N"))</f>
        <v/>
      </c>
      <c r="GB640" s="0" t="str">
        <f aca="false">IF(GA640&lt;&gt;"Y","",IF(COUNTIFS($GA$2:$GA$1000,"Y",$J$2:$J$1000,"&gt;"&amp;J640)+COUNTIFS($GA$2:$GA$1000,"Y",$J$2:$J$1000,J640,$GD$2:$GD$1000,"&lt;"&amp;GD640)+1&lt;=25,COUNTIFS($GA$2:$GA$1000,"Y",$J$2:$J$1000,"&gt;"&amp;J640)+COUNTIFS($GA$2:$GA$1000,"Y",$J$2:$J$1000,J640,$GD$2:$GD$1000,"&lt;"&amp;GD640)+1,""))</f>
        <v/>
      </c>
      <c r="GC640" s="0" t="str">
        <f aca="false">IF(AND(_xlfn.ISFORMULA(C640),_xlfn.ISFORMULA(J640)),"Y","N")</f>
        <v>Y</v>
      </c>
      <c r="GD640" s="0" t="n">
        <f aca="false">ROW()-1</f>
        <v>639</v>
      </c>
    </row>
    <row r="641" customFormat="false" ht="15" hidden="false" customHeight="false" outlineLevel="0" collapsed="false">
      <c r="C641" s="0" t="str">
        <f aca="false">IF($A641="","",IF(AW641="Y",BM641&amp;"",AY641&amp;""))</f>
        <v/>
      </c>
      <c r="D641" s="0" t="str">
        <f aca="false">IF($A641="","",IF(AW641="Y",BN641&amp;"",AZ641&amp;""))</f>
        <v/>
      </c>
      <c r="E641" s="0" t="str">
        <f aca="false">IF($A641="","",IF(AW641="Y",BO641&amp;"",BA641&amp;""))</f>
        <v/>
      </c>
      <c r="F641" s="0" t="str">
        <f aca="false">IF($A641="","",IF(AW641="Y",BP641&amp;"",BB641&amp;""))</f>
        <v/>
      </c>
      <c r="G641" s="0" t="str">
        <f aca="false">IF($A641="","",IF(AW641="Y",BQ641&amp;"",BC641&amp;""))</f>
        <v/>
      </c>
      <c r="H641" s="0" t="str">
        <f aca="false">IF($A641="","",IF(AW641="Y",BR641&amp;"",BD641&amp;""))</f>
        <v/>
      </c>
      <c r="I641" s="0" t="str">
        <f aca="false">IF($A641="","",IF(R641="Y","warm-intro",IF(H641="verified","email",IF(C641&lt;&gt;"","linkedin",CB641&amp;""))))</f>
        <v/>
      </c>
      <c r="J641" s="0" t="str">
        <f aca="false">IF($A641="","",IF(CN641="pass",ROUND(N(EM641)+N(EN641)+N(EO641)+N(EP641)+N(EQ641)+N(ER641),1),0))</f>
        <v/>
      </c>
      <c r="K641" s="0" t="str">
        <f aca="false">IF($A641="","",IF(CN641&lt;&gt;"pass",CA641&amp;"",CA641&amp;"; "&amp;IF(AW641="Y",BZ641&amp;"",BL641&amp;"")&amp;IF(R641="Y","; known to the founder (+15)","")&amp;"."))</f>
        <v/>
      </c>
      <c r="R641" s="5"/>
      <c r="U641" s="5"/>
      <c r="Y641" s="0" t="str">
        <f aca="false">IF(FX641&lt;&gt;"Y","",COUNTIFS($FX$2:$FX$1000,"Y",$J$2:$J$1000,"&gt;"&amp;J641)+COUNTIFS($FX$2:$FX$1000,"Y",$J$2:$J$1000,J641,$GD$2:$GD$1000,"&lt;"&amp;GD641)+1)</f>
        <v/>
      </c>
      <c r="AB641" s="0" t="str">
        <f aca="false">IF($A641="","",IF(AW641="Y",BY641&amp;"",BK641&amp;""))</f>
        <v/>
      </c>
      <c r="AC641" s="0" t="str">
        <f aca="false">IF($A641="","",IF(AW641="Y",BS641&amp;"",BE641&amp;""))</f>
        <v/>
      </c>
      <c r="AD641" s="0" t="str">
        <f aca="false">IF($A641="","",IF(AW641="Y",BT641&amp;"",BF641&amp;""))</f>
        <v/>
      </c>
      <c r="AE641" s="0" t="str">
        <f aca="false">IF($A641="","",IF(AW641="Y",BU641&amp;"",BG641&amp;""))</f>
        <v/>
      </c>
      <c r="AF641" s="0" t="str">
        <f aca="false">IF($A641="","",IF(AW641="Y",BV641&amp;"",BH641&amp;""))</f>
        <v/>
      </c>
      <c r="AG641" s="0" t="str">
        <f aca="false">IF($A641="","",IF(AW641="Y",BW641&amp;"",BI641&amp;""))</f>
        <v/>
      </c>
      <c r="AH641" s="0" t="str">
        <f aca="false">IF($A641="","",IF(AW641="Y",BX641&amp;"",BJ641&amp;""))</f>
        <v/>
      </c>
      <c r="AQ641" s="5"/>
      <c r="AT641" s="0" t="str">
        <f aca="false">IF($A641="","",IF(AND(CN641="pass",AQ641&lt;&gt;"Y",C641&lt;&gt;"",OR(AX641&lt;&gt;"Y",AV641="Y")),"Y","N"))</f>
        <v/>
      </c>
      <c r="AU641" s="0" t="str">
        <f aca="false">IF($A641="","",_xlfn.TEXTJOIN("; ",TRUE(),IF(CN641&lt;&gt;"pass","gated out",""),IF(AQ641="Y","on hold: "&amp;AR641,""),IF(C641="","no contact named on an opened page",""),IF(AND(AX641="Y",AV641&lt;&gt;"Y"),"Tuesday estimate band "&amp;L641&amp;": founder's call","")))</f>
        <v/>
      </c>
      <c r="BC641" s="0" t="str">
        <f aca="false">IF($A641="","",IFERROR(INDEX(Enrichment!$A$2:$GZ$2000,MATCH($A641,INDEX(Enrichment!$A$2:$GZ$2000,0,MATCH("row_id",Enrichment!$A$1:$GZ$1,0)),0),MATCH("work_email",Enrichment!$A$1:$GZ$1,0))&amp;"",""))</f>
        <v/>
      </c>
      <c r="BD641" s="0" t="str">
        <f aca="false">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Q641" s="0" t="str">
        <f aca="false">IF($A641="","",IFERROR(INDEX(Enrichment!$A$2:$GZ$2000,MATCH($A641,INDEX(Enrichment!$A$2:$GZ$2000,0,MATCH("row_id",Enrichment!$A$1:$GZ$1,0)),0),MATCH("backup_work_email",Enrichment!$A$1:$GZ$1,0))&amp;"",""))</f>
        <v/>
      </c>
      <c r="BR641" s="0" t="str">
        <f aca="false">IF($A641="","",IF(BQ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EQ641" s="0" t="str">
        <f aca="false">IF($A641="","",IF(AH641="exact",10,IF(AH641="adjacent",5,0)))</f>
        <v/>
      </c>
      <c r="ER641" s="0" t="str">
        <f aca="false">IF($A641="","",IF(R641="Y",15,0))</f>
        <v/>
      </c>
      <c r="FS641" s="0" t="str">
        <f aca="false">IF($A641="","",IF(ISNUMBER(MATCH(U641,{"queued","contacted","replied","call_booked","call_done","yes_in_principle","materials_sent"},0)),"Y","N"))</f>
        <v/>
      </c>
      <c r="FT641" s="0" t="str">
        <f aca="false">IF($A641="","",IF(OR(T641="Y",U641="do_not_contact",AS641&amp;""&lt;&gt;""),"Y","N"))</f>
        <v/>
      </c>
      <c r="FU641" s="0" t="str">
        <f aca="false">IF($A641="","",IF(AP641&amp;""&lt;&gt;"",AP641&amp;"",$A641))</f>
        <v/>
      </c>
      <c r="FV641" s="0" t="str">
        <f aca="false">IF($A641="","",IF(COUNTIFS($FU$2:$FU$1000,FU641,$FS$2:$FS$1000,"Y")+COUNTIFS($FU$2:$FU$1000,FU641,$FT$2:$FT$1000,"Y")&gt;0,"Y","N"))</f>
        <v/>
      </c>
      <c r="FW641" s="0" t="str">
        <f aca="false">IF($A641="","",IF(AND(U641="new",T641="N",FT641="N",AT641="Y",FV641="N"),"Y","N"))</f>
        <v/>
      </c>
      <c r="FX641" s="0" t="str">
        <f aca="false">IF($A641="","",IF(FW641&lt;&gt;"Y","N",IF(COUNTIFS($FU$2:$FU$1000,FU641,$FW$2:$FW$1000,"Y",$J$2:$J$1000,"&gt;"&amp;J641)+COUNTIFS($FU$2:$FU$1000,FU641,$FW$2:$FW$1000,"Y",$J$2:$J$1000,J641,$GD$2:$GD$1000,"&lt;"&amp;GD641)=0,"Y","N")))</f>
        <v/>
      </c>
      <c r="FY641" s="0" t="str">
        <f aca="false">IF($A641="","",IF(AND(FW641="Y",FX641="Y",Y641&amp;""&lt;&gt;""),IF(Y641&lt;=10,"Y","N"),"N"))</f>
        <v/>
      </c>
      <c r="FZ641" s="0" t="str">
        <f aca="false">IF(FY641="Y",Y641,"")</f>
        <v/>
      </c>
      <c r="GA641" s="0" t="str">
        <f aca="false">IF($A641="","",IF(AND(I641="walk-in",CN641="pass",U641="new",FT641="N",FV641="N",AQ641&lt;&gt;"Y"),"Y","N"))</f>
        <v/>
      </c>
      <c r="GB641" s="0" t="str">
        <f aca="false">IF(GA641&lt;&gt;"Y","",IF(COUNTIFS($GA$2:$GA$1000,"Y",$J$2:$J$1000,"&gt;"&amp;J641)+COUNTIFS($GA$2:$GA$1000,"Y",$J$2:$J$1000,J641,$GD$2:$GD$1000,"&lt;"&amp;GD641)+1&lt;=25,COUNTIFS($GA$2:$GA$1000,"Y",$J$2:$J$1000,"&gt;"&amp;J641)+COUNTIFS($GA$2:$GA$1000,"Y",$J$2:$J$1000,J641,$GD$2:$GD$1000,"&lt;"&amp;GD641)+1,""))</f>
        <v/>
      </c>
      <c r="GC641" s="0" t="str">
        <f aca="false">IF(AND(_xlfn.ISFORMULA(C641),_xlfn.ISFORMULA(J641)),"Y","N")</f>
        <v>Y</v>
      </c>
      <c r="GD641" s="0" t="n">
        <f aca="false">ROW()-1</f>
        <v>640</v>
      </c>
    </row>
    <row r="642" customFormat="false" ht="15" hidden="false" customHeight="false" outlineLevel="0" collapsed="false">
      <c r="C642" s="0" t="str">
        <f aca="false">IF($A642="","",IF(AW642="Y",BM642&amp;"",AY642&amp;""))</f>
        <v/>
      </c>
      <c r="D642" s="0" t="str">
        <f aca="false">IF($A642="","",IF(AW642="Y",BN642&amp;"",AZ642&amp;""))</f>
        <v/>
      </c>
      <c r="E642" s="0" t="str">
        <f aca="false">IF($A642="","",IF(AW642="Y",BO642&amp;"",BA642&amp;""))</f>
        <v/>
      </c>
      <c r="F642" s="0" t="str">
        <f aca="false">IF($A642="","",IF(AW642="Y",BP642&amp;"",BB642&amp;""))</f>
        <v/>
      </c>
      <c r="G642" s="0" t="str">
        <f aca="false">IF($A642="","",IF(AW642="Y",BQ642&amp;"",BC642&amp;""))</f>
        <v/>
      </c>
      <c r="H642" s="0" t="str">
        <f aca="false">IF($A642="","",IF(AW642="Y",BR642&amp;"",BD642&amp;""))</f>
        <v/>
      </c>
      <c r="I642" s="0" t="str">
        <f aca="false">IF($A642="","",IF(R642="Y","warm-intro",IF(H642="verified","email",IF(C642&lt;&gt;"","linkedin",CB642&amp;""))))</f>
        <v/>
      </c>
      <c r="J642" s="0" t="str">
        <f aca="false">IF($A642="","",IF(CN642="pass",ROUND(N(EM642)+N(EN642)+N(EO642)+N(EP642)+N(EQ642)+N(ER642),1),0))</f>
        <v/>
      </c>
      <c r="K642" s="0" t="str">
        <f aca="false">IF($A642="","",IF(CN642&lt;&gt;"pass",CA642&amp;"",CA642&amp;"; "&amp;IF(AW642="Y",BZ642&amp;"",BL642&amp;"")&amp;IF(R642="Y","; known to the founder (+15)","")&amp;"."))</f>
        <v/>
      </c>
      <c r="R642" s="5"/>
      <c r="U642" s="5"/>
      <c r="Y642" s="0" t="str">
        <f aca="false">IF(FX642&lt;&gt;"Y","",COUNTIFS($FX$2:$FX$1000,"Y",$J$2:$J$1000,"&gt;"&amp;J642)+COUNTIFS($FX$2:$FX$1000,"Y",$J$2:$J$1000,J642,$GD$2:$GD$1000,"&lt;"&amp;GD642)+1)</f>
        <v/>
      </c>
      <c r="AB642" s="0" t="str">
        <f aca="false">IF($A642="","",IF(AW642="Y",BY642&amp;"",BK642&amp;""))</f>
        <v/>
      </c>
      <c r="AC642" s="0" t="str">
        <f aca="false">IF($A642="","",IF(AW642="Y",BS642&amp;"",BE642&amp;""))</f>
        <v/>
      </c>
      <c r="AD642" s="0" t="str">
        <f aca="false">IF($A642="","",IF(AW642="Y",BT642&amp;"",BF642&amp;""))</f>
        <v/>
      </c>
      <c r="AE642" s="0" t="str">
        <f aca="false">IF($A642="","",IF(AW642="Y",BU642&amp;"",BG642&amp;""))</f>
        <v/>
      </c>
      <c r="AF642" s="0" t="str">
        <f aca="false">IF($A642="","",IF(AW642="Y",BV642&amp;"",BH642&amp;""))</f>
        <v/>
      </c>
      <c r="AG642" s="0" t="str">
        <f aca="false">IF($A642="","",IF(AW642="Y",BW642&amp;"",BI642&amp;""))</f>
        <v/>
      </c>
      <c r="AH642" s="0" t="str">
        <f aca="false">IF($A642="","",IF(AW642="Y",BX642&amp;"",BJ642&amp;""))</f>
        <v/>
      </c>
      <c r="AQ642" s="5"/>
      <c r="AT642" s="0" t="str">
        <f aca="false">IF($A642="","",IF(AND(CN642="pass",AQ642&lt;&gt;"Y",C642&lt;&gt;"",OR(AX642&lt;&gt;"Y",AV642="Y")),"Y","N"))</f>
        <v/>
      </c>
      <c r="AU642" s="0" t="str">
        <f aca="false">IF($A642="","",_xlfn.TEXTJOIN("; ",TRUE(),IF(CN642&lt;&gt;"pass","gated out",""),IF(AQ642="Y","on hold: "&amp;AR642,""),IF(C642="","no contact named on an opened page",""),IF(AND(AX642="Y",AV642&lt;&gt;"Y"),"Tuesday estimate band "&amp;L642&amp;": founder's call","")))</f>
        <v/>
      </c>
      <c r="BC642" s="0" t="str">
        <f aca="false">IF($A642="","",IFERROR(INDEX(Enrichment!$A$2:$GZ$2000,MATCH($A642,INDEX(Enrichment!$A$2:$GZ$2000,0,MATCH("row_id",Enrichment!$A$1:$GZ$1,0)),0),MATCH("work_email",Enrichment!$A$1:$GZ$1,0))&amp;"",""))</f>
        <v/>
      </c>
      <c r="BD642" s="0" t="str">
        <f aca="false">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Q642" s="0" t="str">
        <f aca="false">IF($A642="","",IFERROR(INDEX(Enrichment!$A$2:$GZ$2000,MATCH($A642,INDEX(Enrichment!$A$2:$GZ$2000,0,MATCH("row_id",Enrichment!$A$1:$GZ$1,0)),0),MATCH("backup_work_email",Enrichment!$A$1:$GZ$1,0))&amp;"",""))</f>
        <v/>
      </c>
      <c r="BR642" s="0" t="str">
        <f aca="false">IF($A642="","",IF(BQ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EQ642" s="0" t="str">
        <f aca="false">IF($A642="","",IF(AH642="exact",10,IF(AH642="adjacent",5,0)))</f>
        <v/>
      </c>
      <c r="ER642" s="0" t="str">
        <f aca="false">IF($A642="","",IF(R642="Y",15,0))</f>
        <v/>
      </c>
      <c r="FS642" s="0" t="str">
        <f aca="false">IF($A642="","",IF(ISNUMBER(MATCH(U642,{"queued","contacted","replied","call_booked","call_done","yes_in_principle","materials_sent"},0)),"Y","N"))</f>
        <v/>
      </c>
      <c r="FT642" s="0" t="str">
        <f aca="false">IF($A642="","",IF(OR(T642="Y",U642="do_not_contact",AS642&amp;""&lt;&gt;""),"Y","N"))</f>
        <v/>
      </c>
      <c r="FU642" s="0" t="str">
        <f aca="false">IF($A642="","",IF(AP642&amp;""&lt;&gt;"",AP642&amp;"",$A642))</f>
        <v/>
      </c>
      <c r="FV642" s="0" t="str">
        <f aca="false">IF($A642="","",IF(COUNTIFS($FU$2:$FU$1000,FU642,$FS$2:$FS$1000,"Y")+COUNTIFS($FU$2:$FU$1000,FU642,$FT$2:$FT$1000,"Y")&gt;0,"Y","N"))</f>
        <v/>
      </c>
      <c r="FW642" s="0" t="str">
        <f aca="false">IF($A642="","",IF(AND(U642="new",T642="N",FT642="N",AT642="Y",FV642="N"),"Y","N"))</f>
        <v/>
      </c>
      <c r="FX642" s="0" t="str">
        <f aca="false">IF($A642="","",IF(FW642&lt;&gt;"Y","N",IF(COUNTIFS($FU$2:$FU$1000,FU642,$FW$2:$FW$1000,"Y",$J$2:$J$1000,"&gt;"&amp;J642)+COUNTIFS($FU$2:$FU$1000,FU642,$FW$2:$FW$1000,"Y",$J$2:$J$1000,J642,$GD$2:$GD$1000,"&lt;"&amp;GD642)=0,"Y","N")))</f>
        <v/>
      </c>
      <c r="FY642" s="0" t="str">
        <f aca="false">IF($A642="","",IF(AND(FW642="Y",FX642="Y",Y642&amp;""&lt;&gt;""),IF(Y642&lt;=10,"Y","N"),"N"))</f>
        <v/>
      </c>
      <c r="FZ642" s="0" t="str">
        <f aca="false">IF(FY642="Y",Y642,"")</f>
        <v/>
      </c>
      <c r="GA642" s="0" t="str">
        <f aca="false">IF($A642="","",IF(AND(I642="walk-in",CN642="pass",U642="new",FT642="N",FV642="N",AQ642&lt;&gt;"Y"),"Y","N"))</f>
        <v/>
      </c>
      <c r="GB642" s="0" t="str">
        <f aca="false">IF(GA642&lt;&gt;"Y","",IF(COUNTIFS($GA$2:$GA$1000,"Y",$J$2:$J$1000,"&gt;"&amp;J642)+COUNTIFS($GA$2:$GA$1000,"Y",$J$2:$J$1000,J642,$GD$2:$GD$1000,"&lt;"&amp;GD642)+1&lt;=25,COUNTIFS($GA$2:$GA$1000,"Y",$J$2:$J$1000,"&gt;"&amp;J642)+COUNTIFS($GA$2:$GA$1000,"Y",$J$2:$J$1000,J642,$GD$2:$GD$1000,"&lt;"&amp;GD642)+1,""))</f>
        <v/>
      </c>
      <c r="GC642" s="0" t="str">
        <f aca="false">IF(AND(_xlfn.ISFORMULA(C642),_xlfn.ISFORMULA(J642)),"Y","N")</f>
        <v>Y</v>
      </c>
      <c r="GD642" s="0" t="n">
        <f aca="false">ROW()-1</f>
        <v>641</v>
      </c>
    </row>
    <row r="643" customFormat="false" ht="15" hidden="false" customHeight="false" outlineLevel="0" collapsed="false">
      <c r="C643" s="0" t="str">
        <f aca="false">IF($A643="","",IF(AW643="Y",BM643&amp;"",AY643&amp;""))</f>
        <v/>
      </c>
      <c r="D643" s="0" t="str">
        <f aca="false">IF($A643="","",IF(AW643="Y",BN643&amp;"",AZ643&amp;""))</f>
        <v/>
      </c>
      <c r="E643" s="0" t="str">
        <f aca="false">IF($A643="","",IF(AW643="Y",BO643&amp;"",BA643&amp;""))</f>
        <v/>
      </c>
      <c r="F643" s="0" t="str">
        <f aca="false">IF($A643="","",IF(AW643="Y",BP643&amp;"",BB643&amp;""))</f>
        <v/>
      </c>
      <c r="G643" s="0" t="str">
        <f aca="false">IF($A643="","",IF(AW643="Y",BQ643&amp;"",BC643&amp;""))</f>
        <v/>
      </c>
      <c r="H643" s="0" t="str">
        <f aca="false">IF($A643="","",IF(AW643="Y",BR643&amp;"",BD643&amp;""))</f>
        <v/>
      </c>
      <c r="I643" s="0" t="str">
        <f aca="false">IF($A643="","",IF(R643="Y","warm-intro",IF(H643="verified","email",IF(C643&lt;&gt;"","linkedin",CB643&amp;""))))</f>
        <v/>
      </c>
      <c r="J643" s="0" t="str">
        <f aca="false">IF($A643="","",IF(CN643="pass",ROUND(N(EM643)+N(EN643)+N(EO643)+N(EP643)+N(EQ643)+N(ER643),1),0))</f>
        <v/>
      </c>
      <c r="K643" s="0" t="str">
        <f aca="false">IF($A643="","",IF(CN643&lt;&gt;"pass",CA643&amp;"",CA643&amp;"; "&amp;IF(AW643="Y",BZ643&amp;"",BL643&amp;"")&amp;IF(R643="Y","; known to the founder (+15)","")&amp;"."))</f>
        <v/>
      </c>
      <c r="R643" s="5"/>
      <c r="U643" s="5"/>
      <c r="Y643" s="0" t="str">
        <f aca="false">IF(FX643&lt;&gt;"Y","",COUNTIFS($FX$2:$FX$1000,"Y",$J$2:$J$1000,"&gt;"&amp;J643)+COUNTIFS($FX$2:$FX$1000,"Y",$J$2:$J$1000,J643,$GD$2:$GD$1000,"&lt;"&amp;GD643)+1)</f>
        <v/>
      </c>
      <c r="AB643" s="0" t="str">
        <f aca="false">IF($A643="","",IF(AW643="Y",BY643&amp;"",BK643&amp;""))</f>
        <v/>
      </c>
      <c r="AC643" s="0" t="str">
        <f aca="false">IF($A643="","",IF(AW643="Y",BS643&amp;"",BE643&amp;""))</f>
        <v/>
      </c>
      <c r="AD643" s="0" t="str">
        <f aca="false">IF($A643="","",IF(AW643="Y",BT643&amp;"",BF643&amp;""))</f>
        <v/>
      </c>
      <c r="AE643" s="0" t="str">
        <f aca="false">IF($A643="","",IF(AW643="Y",BU643&amp;"",BG643&amp;""))</f>
        <v/>
      </c>
      <c r="AF643" s="0" t="str">
        <f aca="false">IF($A643="","",IF(AW643="Y",BV643&amp;"",BH643&amp;""))</f>
        <v/>
      </c>
      <c r="AG643" s="0" t="str">
        <f aca="false">IF($A643="","",IF(AW643="Y",BW643&amp;"",BI643&amp;""))</f>
        <v/>
      </c>
      <c r="AH643" s="0" t="str">
        <f aca="false">IF($A643="","",IF(AW643="Y",BX643&amp;"",BJ643&amp;""))</f>
        <v/>
      </c>
      <c r="AQ643" s="5"/>
      <c r="AT643" s="0" t="str">
        <f aca="false">IF($A643="","",IF(AND(CN643="pass",AQ643&lt;&gt;"Y",C643&lt;&gt;"",OR(AX643&lt;&gt;"Y",AV643="Y")),"Y","N"))</f>
        <v/>
      </c>
      <c r="AU643" s="0" t="str">
        <f aca="false">IF($A643="","",_xlfn.TEXTJOIN("; ",TRUE(),IF(CN643&lt;&gt;"pass","gated out",""),IF(AQ643="Y","on hold: "&amp;AR643,""),IF(C643="","no contact named on an opened page",""),IF(AND(AX643="Y",AV643&lt;&gt;"Y"),"Tuesday estimate band "&amp;L643&amp;": founder's call","")))</f>
        <v/>
      </c>
      <c r="BC643" s="0" t="str">
        <f aca="false">IF($A643="","",IFERROR(INDEX(Enrichment!$A$2:$GZ$2000,MATCH($A643,INDEX(Enrichment!$A$2:$GZ$2000,0,MATCH("row_id",Enrichment!$A$1:$GZ$1,0)),0),MATCH("work_email",Enrichment!$A$1:$GZ$1,0))&amp;"",""))</f>
        <v/>
      </c>
      <c r="BD643" s="0" t="str">
        <f aca="false">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Q643" s="0" t="str">
        <f aca="false">IF($A643="","",IFERROR(INDEX(Enrichment!$A$2:$GZ$2000,MATCH($A643,INDEX(Enrichment!$A$2:$GZ$2000,0,MATCH("row_id",Enrichment!$A$1:$GZ$1,0)),0),MATCH("backup_work_email",Enrichment!$A$1:$GZ$1,0))&amp;"",""))</f>
        <v/>
      </c>
      <c r="BR643" s="0" t="str">
        <f aca="false">IF($A643="","",IF(BQ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EQ643" s="0" t="str">
        <f aca="false">IF($A643="","",IF(AH643="exact",10,IF(AH643="adjacent",5,0)))</f>
        <v/>
      </c>
      <c r="ER643" s="0" t="str">
        <f aca="false">IF($A643="","",IF(R643="Y",15,0))</f>
        <v/>
      </c>
      <c r="FS643" s="0" t="str">
        <f aca="false">IF($A643="","",IF(ISNUMBER(MATCH(U643,{"queued","contacted","replied","call_booked","call_done","yes_in_principle","materials_sent"},0)),"Y","N"))</f>
        <v/>
      </c>
      <c r="FT643" s="0" t="str">
        <f aca="false">IF($A643="","",IF(OR(T643="Y",U643="do_not_contact",AS643&amp;""&lt;&gt;""),"Y","N"))</f>
        <v/>
      </c>
      <c r="FU643" s="0" t="str">
        <f aca="false">IF($A643="","",IF(AP643&amp;""&lt;&gt;"",AP643&amp;"",$A643))</f>
        <v/>
      </c>
      <c r="FV643" s="0" t="str">
        <f aca="false">IF($A643="","",IF(COUNTIFS($FU$2:$FU$1000,FU643,$FS$2:$FS$1000,"Y")+COUNTIFS($FU$2:$FU$1000,FU643,$FT$2:$FT$1000,"Y")&gt;0,"Y","N"))</f>
        <v/>
      </c>
      <c r="FW643" s="0" t="str">
        <f aca="false">IF($A643="","",IF(AND(U643="new",T643="N",FT643="N",AT643="Y",FV643="N"),"Y","N"))</f>
        <v/>
      </c>
      <c r="FX643" s="0" t="str">
        <f aca="false">IF($A643="","",IF(FW643&lt;&gt;"Y","N",IF(COUNTIFS($FU$2:$FU$1000,FU643,$FW$2:$FW$1000,"Y",$J$2:$J$1000,"&gt;"&amp;J643)+COUNTIFS($FU$2:$FU$1000,FU643,$FW$2:$FW$1000,"Y",$J$2:$J$1000,J643,$GD$2:$GD$1000,"&lt;"&amp;GD643)=0,"Y","N")))</f>
        <v/>
      </c>
      <c r="FY643" s="0" t="str">
        <f aca="false">IF($A643="","",IF(AND(FW643="Y",FX643="Y",Y643&amp;""&lt;&gt;""),IF(Y643&lt;=10,"Y","N"),"N"))</f>
        <v/>
      </c>
      <c r="FZ643" s="0" t="str">
        <f aca="false">IF(FY643="Y",Y643,"")</f>
        <v/>
      </c>
      <c r="GA643" s="0" t="str">
        <f aca="false">IF($A643="","",IF(AND(I643="walk-in",CN643="pass",U643="new",FT643="N",FV643="N",AQ643&lt;&gt;"Y"),"Y","N"))</f>
        <v/>
      </c>
      <c r="GB643" s="0" t="str">
        <f aca="false">IF(GA643&lt;&gt;"Y","",IF(COUNTIFS($GA$2:$GA$1000,"Y",$J$2:$J$1000,"&gt;"&amp;J643)+COUNTIFS($GA$2:$GA$1000,"Y",$J$2:$J$1000,J643,$GD$2:$GD$1000,"&lt;"&amp;GD643)+1&lt;=25,COUNTIFS($GA$2:$GA$1000,"Y",$J$2:$J$1000,"&gt;"&amp;J643)+COUNTIFS($GA$2:$GA$1000,"Y",$J$2:$J$1000,J643,$GD$2:$GD$1000,"&lt;"&amp;GD643)+1,""))</f>
        <v/>
      </c>
      <c r="GC643" s="0" t="str">
        <f aca="false">IF(AND(_xlfn.ISFORMULA(C643),_xlfn.ISFORMULA(J643)),"Y","N")</f>
        <v>Y</v>
      </c>
      <c r="GD643" s="0" t="n">
        <f aca="false">ROW()-1</f>
        <v>642</v>
      </c>
    </row>
    <row r="644" customFormat="false" ht="15" hidden="false" customHeight="false" outlineLevel="0" collapsed="false">
      <c r="C644" s="0" t="str">
        <f aca="false">IF($A644="","",IF(AW644="Y",BM644&amp;"",AY644&amp;""))</f>
        <v/>
      </c>
      <c r="D644" s="0" t="str">
        <f aca="false">IF($A644="","",IF(AW644="Y",BN644&amp;"",AZ644&amp;""))</f>
        <v/>
      </c>
      <c r="E644" s="0" t="str">
        <f aca="false">IF($A644="","",IF(AW644="Y",BO644&amp;"",BA644&amp;""))</f>
        <v/>
      </c>
      <c r="F644" s="0" t="str">
        <f aca="false">IF($A644="","",IF(AW644="Y",BP644&amp;"",BB644&amp;""))</f>
        <v/>
      </c>
      <c r="G644" s="0" t="str">
        <f aca="false">IF($A644="","",IF(AW644="Y",BQ644&amp;"",BC644&amp;""))</f>
        <v/>
      </c>
      <c r="H644" s="0" t="str">
        <f aca="false">IF($A644="","",IF(AW644="Y",BR644&amp;"",BD644&amp;""))</f>
        <v/>
      </c>
      <c r="I644" s="0" t="str">
        <f aca="false">IF($A644="","",IF(R644="Y","warm-intro",IF(H644="verified","email",IF(C644&lt;&gt;"","linkedin",CB644&amp;""))))</f>
        <v/>
      </c>
      <c r="J644" s="0" t="str">
        <f aca="false">IF($A644="","",IF(CN644="pass",ROUND(N(EM644)+N(EN644)+N(EO644)+N(EP644)+N(EQ644)+N(ER644),1),0))</f>
        <v/>
      </c>
      <c r="K644" s="0" t="str">
        <f aca="false">IF($A644="","",IF(CN644&lt;&gt;"pass",CA644&amp;"",CA644&amp;"; "&amp;IF(AW644="Y",BZ644&amp;"",BL644&amp;"")&amp;IF(R644="Y","; known to the founder (+15)","")&amp;"."))</f>
        <v/>
      </c>
      <c r="R644" s="5"/>
      <c r="U644" s="5"/>
      <c r="Y644" s="0" t="str">
        <f aca="false">IF(FX644&lt;&gt;"Y","",COUNTIFS($FX$2:$FX$1000,"Y",$J$2:$J$1000,"&gt;"&amp;J644)+COUNTIFS($FX$2:$FX$1000,"Y",$J$2:$J$1000,J644,$GD$2:$GD$1000,"&lt;"&amp;GD644)+1)</f>
        <v/>
      </c>
      <c r="AB644" s="0" t="str">
        <f aca="false">IF($A644="","",IF(AW644="Y",BY644&amp;"",BK644&amp;""))</f>
        <v/>
      </c>
      <c r="AC644" s="0" t="str">
        <f aca="false">IF($A644="","",IF(AW644="Y",BS644&amp;"",BE644&amp;""))</f>
        <v/>
      </c>
      <c r="AD644" s="0" t="str">
        <f aca="false">IF($A644="","",IF(AW644="Y",BT644&amp;"",BF644&amp;""))</f>
        <v/>
      </c>
      <c r="AE644" s="0" t="str">
        <f aca="false">IF($A644="","",IF(AW644="Y",BU644&amp;"",BG644&amp;""))</f>
        <v/>
      </c>
      <c r="AF644" s="0" t="str">
        <f aca="false">IF($A644="","",IF(AW644="Y",BV644&amp;"",BH644&amp;""))</f>
        <v/>
      </c>
      <c r="AG644" s="0" t="str">
        <f aca="false">IF($A644="","",IF(AW644="Y",BW644&amp;"",BI644&amp;""))</f>
        <v/>
      </c>
      <c r="AH644" s="0" t="str">
        <f aca="false">IF($A644="","",IF(AW644="Y",BX644&amp;"",BJ644&amp;""))</f>
        <v/>
      </c>
      <c r="AQ644" s="5"/>
      <c r="AT644" s="0" t="str">
        <f aca="false">IF($A644="","",IF(AND(CN644="pass",AQ644&lt;&gt;"Y",C644&lt;&gt;"",OR(AX644&lt;&gt;"Y",AV644="Y")),"Y","N"))</f>
        <v/>
      </c>
      <c r="AU644" s="0" t="str">
        <f aca="false">IF($A644="","",_xlfn.TEXTJOIN("; ",TRUE(),IF(CN644&lt;&gt;"pass","gated out",""),IF(AQ644="Y","on hold: "&amp;AR644,""),IF(C644="","no contact named on an opened page",""),IF(AND(AX644="Y",AV644&lt;&gt;"Y"),"Tuesday estimate band "&amp;L644&amp;": founder's call","")))</f>
        <v/>
      </c>
      <c r="BC644" s="0" t="str">
        <f aca="false">IF($A644="","",IFERROR(INDEX(Enrichment!$A$2:$GZ$2000,MATCH($A644,INDEX(Enrichment!$A$2:$GZ$2000,0,MATCH("row_id",Enrichment!$A$1:$GZ$1,0)),0),MATCH("work_email",Enrichment!$A$1:$GZ$1,0))&amp;"",""))</f>
        <v/>
      </c>
      <c r="BD644" s="0" t="str">
        <f aca="false">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Q644" s="0" t="str">
        <f aca="false">IF($A644="","",IFERROR(INDEX(Enrichment!$A$2:$GZ$2000,MATCH($A644,INDEX(Enrichment!$A$2:$GZ$2000,0,MATCH("row_id",Enrichment!$A$1:$GZ$1,0)),0),MATCH("backup_work_email",Enrichment!$A$1:$GZ$1,0))&amp;"",""))</f>
        <v/>
      </c>
      <c r="BR644" s="0" t="str">
        <f aca="false">IF($A644="","",IF(BQ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EQ644" s="0" t="str">
        <f aca="false">IF($A644="","",IF(AH644="exact",10,IF(AH644="adjacent",5,0)))</f>
        <v/>
      </c>
      <c r="ER644" s="0" t="str">
        <f aca="false">IF($A644="","",IF(R644="Y",15,0))</f>
        <v/>
      </c>
      <c r="FS644" s="0" t="str">
        <f aca="false">IF($A644="","",IF(ISNUMBER(MATCH(U644,{"queued","contacted","replied","call_booked","call_done","yes_in_principle","materials_sent"},0)),"Y","N"))</f>
        <v/>
      </c>
      <c r="FT644" s="0" t="str">
        <f aca="false">IF($A644="","",IF(OR(T644="Y",U644="do_not_contact",AS644&amp;""&lt;&gt;""),"Y","N"))</f>
        <v/>
      </c>
      <c r="FU644" s="0" t="str">
        <f aca="false">IF($A644="","",IF(AP644&amp;""&lt;&gt;"",AP644&amp;"",$A644))</f>
        <v/>
      </c>
      <c r="FV644" s="0" t="str">
        <f aca="false">IF($A644="","",IF(COUNTIFS($FU$2:$FU$1000,FU644,$FS$2:$FS$1000,"Y")+COUNTIFS($FU$2:$FU$1000,FU644,$FT$2:$FT$1000,"Y")&gt;0,"Y","N"))</f>
        <v/>
      </c>
      <c r="FW644" s="0" t="str">
        <f aca="false">IF($A644="","",IF(AND(U644="new",T644="N",FT644="N",AT644="Y",FV644="N"),"Y","N"))</f>
        <v/>
      </c>
      <c r="FX644" s="0" t="str">
        <f aca="false">IF($A644="","",IF(FW644&lt;&gt;"Y","N",IF(COUNTIFS($FU$2:$FU$1000,FU644,$FW$2:$FW$1000,"Y",$J$2:$J$1000,"&gt;"&amp;J644)+COUNTIFS($FU$2:$FU$1000,FU644,$FW$2:$FW$1000,"Y",$J$2:$J$1000,J644,$GD$2:$GD$1000,"&lt;"&amp;GD644)=0,"Y","N")))</f>
        <v/>
      </c>
      <c r="FY644" s="0" t="str">
        <f aca="false">IF($A644="","",IF(AND(FW644="Y",FX644="Y",Y644&amp;""&lt;&gt;""),IF(Y644&lt;=10,"Y","N"),"N"))</f>
        <v/>
      </c>
      <c r="FZ644" s="0" t="str">
        <f aca="false">IF(FY644="Y",Y644,"")</f>
        <v/>
      </c>
      <c r="GA644" s="0" t="str">
        <f aca="false">IF($A644="","",IF(AND(I644="walk-in",CN644="pass",U644="new",FT644="N",FV644="N",AQ644&lt;&gt;"Y"),"Y","N"))</f>
        <v/>
      </c>
      <c r="GB644" s="0" t="str">
        <f aca="false">IF(GA644&lt;&gt;"Y","",IF(COUNTIFS($GA$2:$GA$1000,"Y",$J$2:$J$1000,"&gt;"&amp;J644)+COUNTIFS($GA$2:$GA$1000,"Y",$J$2:$J$1000,J644,$GD$2:$GD$1000,"&lt;"&amp;GD644)+1&lt;=25,COUNTIFS($GA$2:$GA$1000,"Y",$J$2:$J$1000,"&gt;"&amp;J644)+COUNTIFS($GA$2:$GA$1000,"Y",$J$2:$J$1000,J644,$GD$2:$GD$1000,"&lt;"&amp;GD644)+1,""))</f>
        <v/>
      </c>
      <c r="GC644" s="0" t="str">
        <f aca="false">IF(AND(_xlfn.ISFORMULA(C644),_xlfn.ISFORMULA(J644)),"Y","N")</f>
        <v>Y</v>
      </c>
      <c r="GD644" s="0" t="n">
        <f aca="false">ROW()-1</f>
        <v>643</v>
      </c>
    </row>
    <row r="645" customFormat="false" ht="15" hidden="false" customHeight="false" outlineLevel="0" collapsed="false">
      <c r="C645" s="0" t="str">
        <f aca="false">IF($A645="","",IF(AW645="Y",BM645&amp;"",AY645&amp;""))</f>
        <v/>
      </c>
      <c r="D645" s="0" t="str">
        <f aca="false">IF($A645="","",IF(AW645="Y",BN645&amp;"",AZ645&amp;""))</f>
        <v/>
      </c>
      <c r="E645" s="0" t="str">
        <f aca="false">IF($A645="","",IF(AW645="Y",BO645&amp;"",BA645&amp;""))</f>
        <v/>
      </c>
      <c r="F645" s="0" t="str">
        <f aca="false">IF($A645="","",IF(AW645="Y",BP645&amp;"",BB645&amp;""))</f>
        <v/>
      </c>
      <c r="G645" s="0" t="str">
        <f aca="false">IF($A645="","",IF(AW645="Y",BQ645&amp;"",BC645&amp;""))</f>
        <v/>
      </c>
      <c r="H645" s="0" t="str">
        <f aca="false">IF($A645="","",IF(AW645="Y",BR645&amp;"",BD645&amp;""))</f>
        <v/>
      </c>
      <c r="I645" s="0" t="str">
        <f aca="false">IF($A645="","",IF(R645="Y","warm-intro",IF(H645="verified","email",IF(C645&lt;&gt;"","linkedin",CB645&amp;""))))</f>
        <v/>
      </c>
      <c r="J645" s="0" t="str">
        <f aca="false">IF($A645="","",IF(CN645="pass",ROUND(N(EM645)+N(EN645)+N(EO645)+N(EP645)+N(EQ645)+N(ER645),1),0))</f>
        <v/>
      </c>
      <c r="K645" s="0" t="str">
        <f aca="false">IF($A645="","",IF(CN645&lt;&gt;"pass",CA645&amp;"",CA645&amp;"; "&amp;IF(AW645="Y",BZ645&amp;"",BL645&amp;"")&amp;IF(R645="Y","; known to the founder (+15)","")&amp;"."))</f>
        <v/>
      </c>
      <c r="R645" s="5"/>
      <c r="U645" s="5"/>
      <c r="Y645" s="0" t="str">
        <f aca="false">IF(FX645&lt;&gt;"Y","",COUNTIFS($FX$2:$FX$1000,"Y",$J$2:$J$1000,"&gt;"&amp;J645)+COUNTIFS($FX$2:$FX$1000,"Y",$J$2:$J$1000,J645,$GD$2:$GD$1000,"&lt;"&amp;GD645)+1)</f>
        <v/>
      </c>
      <c r="AB645" s="0" t="str">
        <f aca="false">IF($A645="","",IF(AW645="Y",BY645&amp;"",BK645&amp;""))</f>
        <v/>
      </c>
      <c r="AC645" s="0" t="str">
        <f aca="false">IF($A645="","",IF(AW645="Y",BS645&amp;"",BE645&amp;""))</f>
        <v/>
      </c>
      <c r="AD645" s="0" t="str">
        <f aca="false">IF($A645="","",IF(AW645="Y",BT645&amp;"",BF645&amp;""))</f>
        <v/>
      </c>
      <c r="AE645" s="0" t="str">
        <f aca="false">IF($A645="","",IF(AW645="Y",BU645&amp;"",BG645&amp;""))</f>
        <v/>
      </c>
      <c r="AF645" s="0" t="str">
        <f aca="false">IF($A645="","",IF(AW645="Y",BV645&amp;"",BH645&amp;""))</f>
        <v/>
      </c>
      <c r="AG645" s="0" t="str">
        <f aca="false">IF($A645="","",IF(AW645="Y",BW645&amp;"",BI645&amp;""))</f>
        <v/>
      </c>
      <c r="AH645" s="0" t="str">
        <f aca="false">IF($A645="","",IF(AW645="Y",BX645&amp;"",BJ645&amp;""))</f>
        <v/>
      </c>
      <c r="AQ645" s="5"/>
      <c r="AT645" s="0" t="str">
        <f aca="false">IF($A645="","",IF(AND(CN645="pass",AQ645&lt;&gt;"Y",C645&lt;&gt;"",OR(AX645&lt;&gt;"Y",AV645="Y")),"Y","N"))</f>
        <v/>
      </c>
      <c r="AU645" s="0" t="str">
        <f aca="false">IF($A645="","",_xlfn.TEXTJOIN("; ",TRUE(),IF(CN645&lt;&gt;"pass","gated out",""),IF(AQ645="Y","on hold: "&amp;AR645,""),IF(C645="","no contact named on an opened page",""),IF(AND(AX645="Y",AV645&lt;&gt;"Y"),"Tuesday estimate band "&amp;L645&amp;": founder's call","")))</f>
        <v/>
      </c>
      <c r="BC645" s="0" t="str">
        <f aca="false">IF($A645="","",IFERROR(INDEX(Enrichment!$A$2:$GZ$2000,MATCH($A645,INDEX(Enrichment!$A$2:$GZ$2000,0,MATCH("row_id",Enrichment!$A$1:$GZ$1,0)),0),MATCH("work_email",Enrichment!$A$1:$GZ$1,0))&amp;"",""))</f>
        <v/>
      </c>
      <c r="BD645" s="0" t="str">
        <f aca="false">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Q645" s="0" t="str">
        <f aca="false">IF($A645="","",IFERROR(INDEX(Enrichment!$A$2:$GZ$2000,MATCH($A645,INDEX(Enrichment!$A$2:$GZ$2000,0,MATCH("row_id",Enrichment!$A$1:$GZ$1,0)),0),MATCH("backup_work_email",Enrichment!$A$1:$GZ$1,0))&amp;"",""))</f>
        <v/>
      </c>
      <c r="BR645" s="0" t="str">
        <f aca="false">IF($A645="","",IF(BQ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EQ645" s="0" t="str">
        <f aca="false">IF($A645="","",IF(AH645="exact",10,IF(AH645="adjacent",5,0)))</f>
        <v/>
      </c>
      <c r="ER645" s="0" t="str">
        <f aca="false">IF($A645="","",IF(R645="Y",15,0))</f>
        <v/>
      </c>
      <c r="FS645" s="0" t="str">
        <f aca="false">IF($A645="","",IF(ISNUMBER(MATCH(U645,{"queued","contacted","replied","call_booked","call_done","yes_in_principle","materials_sent"},0)),"Y","N"))</f>
        <v/>
      </c>
      <c r="FT645" s="0" t="str">
        <f aca="false">IF($A645="","",IF(OR(T645="Y",U645="do_not_contact",AS645&amp;""&lt;&gt;""),"Y","N"))</f>
        <v/>
      </c>
      <c r="FU645" s="0" t="str">
        <f aca="false">IF($A645="","",IF(AP645&amp;""&lt;&gt;"",AP645&amp;"",$A645))</f>
        <v/>
      </c>
      <c r="FV645" s="0" t="str">
        <f aca="false">IF($A645="","",IF(COUNTIFS($FU$2:$FU$1000,FU645,$FS$2:$FS$1000,"Y")+COUNTIFS($FU$2:$FU$1000,FU645,$FT$2:$FT$1000,"Y")&gt;0,"Y","N"))</f>
        <v/>
      </c>
      <c r="FW645" s="0" t="str">
        <f aca="false">IF($A645="","",IF(AND(U645="new",T645="N",FT645="N",AT645="Y",FV645="N"),"Y","N"))</f>
        <v/>
      </c>
      <c r="FX645" s="0" t="str">
        <f aca="false">IF($A645="","",IF(FW645&lt;&gt;"Y","N",IF(COUNTIFS($FU$2:$FU$1000,FU645,$FW$2:$FW$1000,"Y",$J$2:$J$1000,"&gt;"&amp;J645)+COUNTIFS($FU$2:$FU$1000,FU645,$FW$2:$FW$1000,"Y",$J$2:$J$1000,J645,$GD$2:$GD$1000,"&lt;"&amp;GD645)=0,"Y","N")))</f>
        <v/>
      </c>
      <c r="FY645" s="0" t="str">
        <f aca="false">IF($A645="","",IF(AND(FW645="Y",FX645="Y",Y645&amp;""&lt;&gt;""),IF(Y645&lt;=10,"Y","N"),"N"))</f>
        <v/>
      </c>
      <c r="FZ645" s="0" t="str">
        <f aca="false">IF(FY645="Y",Y645,"")</f>
        <v/>
      </c>
      <c r="GA645" s="0" t="str">
        <f aca="false">IF($A645="","",IF(AND(I645="walk-in",CN645="pass",U645="new",FT645="N",FV645="N",AQ645&lt;&gt;"Y"),"Y","N"))</f>
        <v/>
      </c>
      <c r="GB645" s="0" t="str">
        <f aca="false">IF(GA645&lt;&gt;"Y","",IF(COUNTIFS($GA$2:$GA$1000,"Y",$J$2:$J$1000,"&gt;"&amp;J645)+COUNTIFS($GA$2:$GA$1000,"Y",$J$2:$J$1000,J645,$GD$2:$GD$1000,"&lt;"&amp;GD645)+1&lt;=25,COUNTIFS($GA$2:$GA$1000,"Y",$J$2:$J$1000,"&gt;"&amp;J645)+COUNTIFS($GA$2:$GA$1000,"Y",$J$2:$J$1000,J645,$GD$2:$GD$1000,"&lt;"&amp;GD645)+1,""))</f>
        <v/>
      </c>
      <c r="GC645" s="0" t="str">
        <f aca="false">IF(AND(_xlfn.ISFORMULA(C645),_xlfn.ISFORMULA(J645)),"Y","N")</f>
        <v>Y</v>
      </c>
      <c r="GD645" s="0" t="n">
        <f aca="false">ROW()-1</f>
        <v>644</v>
      </c>
    </row>
    <row r="646" customFormat="false" ht="15" hidden="false" customHeight="false" outlineLevel="0" collapsed="false">
      <c r="C646" s="0" t="str">
        <f aca="false">IF($A646="","",IF(AW646="Y",BM646&amp;"",AY646&amp;""))</f>
        <v/>
      </c>
      <c r="D646" s="0" t="str">
        <f aca="false">IF($A646="","",IF(AW646="Y",BN646&amp;"",AZ646&amp;""))</f>
        <v/>
      </c>
      <c r="E646" s="0" t="str">
        <f aca="false">IF($A646="","",IF(AW646="Y",BO646&amp;"",BA646&amp;""))</f>
        <v/>
      </c>
      <c r="F646" s="0" t="str">
        <f aca="false">IF($A646="","",IF(AW646="Y",BP646&amp;"",BB646&amp;""))</f>
        <v/>
      </c>
      <c r="G646" s="0" t="str">
        <f aca="false">IF($A646="","",IF(AW646="Y",BQ646&amp;"",BC646&amp;""))</f>
        <v/>
      </c>
      <c r="H646" s="0" t="str">
        <f aca="false">IF($A646="","",IF(AW646="Y",BR646&amp;"",BD646&amp;""))</f>
        <v/>
      </c>
      <c r="I646" s="0" t="str">
        <f aca="false">IF($A646="","",IF(R646="Y","warm-intro",IF(H646="verified","email",IF(C646&lt;&gt;"","linkedin",CB646&amp;""))))</f>
        <v/>
      </c>
      <c r="J646" s="0" t="str">
        <f aca="false">IF($A646="","",IF(CN646="pass",ROUND(N(EM646)+N(EN646)+N(EO646)+N(EP646)+N(EQ646)+N(ER646),1),0))</f>
        <v/>
      </c>
      <c r="K646" s="0" t="str">
        <f aca="false">IF($A646="","",IF(CN646&lt;&gt;"pass",CA646&amp;"",CA646&amp;"; "&amp;IF(AW646="Y",BZ646&amp;"",BL646&amp;"")&amp;IF(R646="Y","; known to the founder (+15)","")&amp;"."))</f>
        <v/>
      </c>
      <c r="R646" s="5"/>
      <c r="U646" s="5"/>
      <c r="Y646" s="0" t="str">
        <f aca="false">IF(FX646&lt;&gt;"Y","",COUNTIFS($FX$2:$FX$1000,"Y",$J$2:$J$1000,"&gt;"&amp;J646)+COUNTIFS($FX$2:$FX$1000,"Y",$J$2:$J$1000,J646,$GD$2:$GD$1000,"&lt;"&amp;GD646)+1)</f>
        <v/>
      </c>
      <c r="AB646" s="0" t="str">
        <f aca="false">IF($A646="","",IF(AW646="Y",BY646&amp;"",BK646&amp;""))</f>
        <v/>
      </c>
      <c r="AC646" s="0" t="str">
        <f aca="false">IF($A646="","",IF(AW646="Y",BS646&amp;"",BE646&amp;""))</f>
        <v/>
      </c>
      <c r="AD646" s="0" t="str">
        <f aca="false">IF($A646="","",IF(AW646="Y",BT646&amp;"",BF646&amp;""))</f>
        <v/>
      </c>
      <c r="AE646" s="0" t="str">
        <f aca="false">IF($A646="","",IF(AW646="Y",BU646&amp;"",BG646&amp;""))</f>
        <v/>
      </c>
      <c r="AF646" s="0" t="str">
        <f aca="false">IF($A646="","",IF(AW646="Y",BV646&amp;"",BH646&amp;""))</f>
        <v/>
      </c>
      <c r="AG646" s="0" t="str">
        <f aca="false">IF($A646="","",IF(AW646="Y",BW646&amp;"",BI646&amp;""))</f>
        <v/>
      </c>
      <c r="AH646" s="0" t="str">
        <f aca="false">IF($A646="","",IF(AW646="Y",BX646&amp;"",BJ646&amp;""))</f>
        <v/>
      </c>
      <c r="AQ646" s="5"/>
      <c r="AT646" s="0" t="str">
        <f aca="false">IF($A646="","",IF(AND(CN646="pass",AQ646&lt;&gt;"Y",C646&lt;&gt;"",OR(AX646&lt;&gt;"Y",AV646="Y")),"Y","N"))</f>
        <v/>
      </c>
      <c r="AU646" s="0" t="str">
        <f aca="false">IF($A646="","",_xlfn.TEXTJOIN("; ",TRUE(),IF(CN646&lt;&gt;"pass","gated out",""),IF(AQ646="Y","on hold: "&amp;AR646,""),IF(C646="","no contact named on an opened page",""),IF(AND(AX646="Y",AV646&lt;&gt;"Y"),"Tuesday estimate band "&amp;L646&amp;": founder's call","")))</f>
        <v/>
      </c>
      <c r="BC646" s="0" t="str">
        <f aca="false">IF($A646="","",IFERROR(INDEX(Enrichment!$A$2:$GZ$2000,MATCH($A646,INDEX(Enrichment!$A$2:$GZ$2000,0,MATCH("row_id",Enrichment!$A$1:$GZ$1,0)),0),MATCH("work_email",Enrichment!$A$1:$GZ$1,0))&amp;"",""))</f>
        <v/>
      </c>
      <c r="BD646" s="0" t="str">
        <f aca="false">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Q646" s="0" t="str">
        <f aca="false">IF($A646="","",IFERROR(INDEX(Enrichment!$A$2:$GZ$2000,MATCH($A646,INDEX(Enrichment!$A$2:$GZ$2000,0,MATCH("row_id",Enrichment!$A$1:$GZ$1,0)),0),MATCH("backup_work_email",Enrichment!$A$1:$GZ$1,0))&amp;"",""))</f>
        <v/>
      </c>
      <c r="BR646" s="0" t="str">
        <f aca="false">IF($A646="","",IF(BQ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EQ646" s="0" t="str">
        <f aca="false">IF($A646="","",IF(AH646="exact",10,IF(AH646="adjacent",5,0)))</f>
        <v/>
      </c>
      <c r="ER646" s="0" t="str">
        <f aca="false">IF($A646="","",IF(R646="Y",15,0))</f>
        <v/>
      </c>
      <c r="FS646" s="0" t="str">
        <f aca="false">IF($A646="","",IF(ISNUMBER(MATCH(U646,{"queued","contacted","replied","call_booked","call_done","yes_in_principle","materials_sent"},0)),"Y","N"))</f>
        <v/>
      </c>
      <c r="FT646" s="0" t="str">
        <f aca="false">IF($A646="","",IF(OR(T646="Y",U646="do_not_contact",AS646&amp;""&lt;&gt;""),"Y","N"))</f>
        <v/>
      </c>
      <c r="FU646" s="0" t="str">
        <f aca="false">IF($A646="","",IF(AP646&amp;""&lt;&gt;"",AP646&amp;"",$A646))</f>
        <v/>
      </c>
      <c r="FV646" s="0" t="str">
        <f aca="false">IF($A646="","",IF(COUNTIFS($FU$2:$FU$1000,FU646,$FS$2:$FS$1000,"Y")+COUNTIFS($FU$2:$FU$1000,FU646,$FT$2:$FT$1000,"Y")&gt;0,"Y","N"))</f>
        <v/>
      </c>
      <c r="FW646" s="0" t="str">
        <f aca="false">IF($A646="","",IF(AND(U646="new",T646="N",FT646="N",AT646="Y",FV646="N"),"Y","N"))</f>
        <v/>
      </c>
      <c r="FX646" s="0" t="str">
        <f aca="false">IF($A646="","",IF(FW646&lt;&gt;"Y","N",IF(COUNTIFS($FU$2:$FU$1000,FU646,$FW$2:$FW$1000,"Y",$J$2:$J$1000,"&gt;"&amp;J646)+COUNTIFS($FU$2:$FU$1000,FU646,$FW$2:$FW$1000,"Y",$J$2:$J$1000,J646,$GD$2:$GD$1000,"&lt;"&amp;GD646)=0,"Y","N")))</f>
        <v/>
      </c>
      <c r="FY646" s="0" t="str">
        <f aca="false">IF($A646="","",IF(AND(FW646="Y",FX646="Y",Y646&amp;""&lt;&gt;""),IF(Y646&lt;=10,"Y","N"),"N"))</f>
        <v/>
      </c>
      <c r="FZ646" s="0" t="str">
        <f aca="false">IF(FY646="Y",Y646,"")</f>
        <v/>
      </c>
      <c r="GA646" s="0" t="str">
        <f aca="false">IF($A646="","",IF(AND(I646="walk-in",CN646="pass",U646="new",FT646="N",FV646="N",AQ646&lt;&gt;"Y"),"Y","N"))</f>
        <v/>
      </c>
      <c r="GB646" s="0" t="str">
        <f aca="false">IF(GA646&lt;&gt;"Y","",IF(COUNTIFS($GA$2:$GA$1000,"Y",$J$2:$J$1000,"&gt;"&amp;J646)+COUNTIFS($GA$2:$GA$1000,"Y",$J$2:$J$1000,J646,$GD$2:$GD$1000,"&lt;"&amp;GD646)+1&lt;=25,COUNTIFS($GA$2:$GA$1000,"Y",$J$2:$J$1000,"&gt;"&amp;J646)+COUNTIFS($GA$2:$GA$1000,"Y",$J$2:$J$1000,J646,$GD$2:$GD$1000,"&lt;"&amp;GD646)+1,""))</f>
        <v/>
      </c>
      <c r="GC646" s="0" t="str">
        <f aca="false">IF(AND(_xlfn.ISFORMULA(C646),_xlfn.ISFORMULA(J646)),"Y","N")</f>
        <v>Y</v>
      </c>
      <c r="GD646" s="0" t="n">
        <f aca="false">ROW()-1</f>
        <v>645</v>
      </c>
    </row>
    <row r="647" customFormat="false" ht="15" hidden="false" customHeight="false" outlineLevel="0" collapsed="false">
      <c r="C647" s="0" t="str">
        <f aca="false">IF($A647="","",IF(AW647="Y",BM647&amp;"",AY647&amp;""))</f>
        <v/>
      </c>
      <c r="D647" s="0" t="str">
        <f aca="false">IF($A647="","",IF(AW647="Y",BN647&amp;"",AZ647&amp;""))</f>
        <v/>
      </c>
      <c r="E647" s="0" t="str">
        <f aca="false">IF($A647="","",IF(AW647="Y",BO647&amp;"",BA647&amp;""))</f>
        <v/>
      </c>
      <c r="F647" s="0" t="str">
        <f aca="false">IF($A647="","",IF(AW647="Y",BP647&amp;"",BB647&amp;""))</f>
        <v/>
      </c>
      <c r="G647" s="0" t="str">
        <f aca="false">IF($A647="","",IF(AW647="Y",BQ647&amp;"",BC647&amp;""))</f>
        <v/>
      </c>
      <c r="H647" s="0" t="str">
        <f aca="false">IF($A647="","",IF(AW647="Y",BR647&amp;"",BD647&amp;""))</f>
        <v/>
      </c>
      <c r="I647" s="0" t="str">
        <f aca="false">IF($A647="","",IF(R647="Y","warm-intro",IF(H647="verified","email",IF(C647&lt;&gt;"","linkedin",CB647&amp;""))))</f>
        <v/>
      </c>
      <c r="J647" s="0" t="str">
        <f aca="false">IF($A647="","",IF(CN647="pass",ROUND(N(EM647)+N(EN647)+N(EO647)+N(EP647)+N(EQ647)+N(ER647),1),0))</f>
        <v/>
      </c>
      <c r="K647" s="0" t="str">
        <f aca="false">IF($A647="","",IF(CN647&lt;&gt;"pass",CA647&amp;"",CA647&amp;"; "&amp;IF(AW647="Y",BZ647&amp;"",BL647&amp;"")&amp;IF(R647="Y","; known to the founder (+15)","")&amp;"."))</f>
        <v/>
      </c>
      <c r="R647" s="5"/>
      <c r="U647" s="5"/>
      <c r="Y647" s="0" t="str">
        <f aca="false">IF(FX647&lt;&gt;"Y","",COUNTIFS($FX$2:$FX$1000,"Y",$J$2:$J$1000,"&gt;"&amp;J647)+COUNTIFS($FX$2:$FX$1000,"Y",$J$2:$J$1000,J647,$GD$2:$GD$1000,"&lt;"&amp;GD647)+1)</f>
        <v/>
      </c>
      <c r="AB647" s="0" t="str">
        <f aca="false">IF($A647="","",IF(AW647="Y",BY647&amp;"",BK647&amp;""))</f>
        <v/>
      </c>
      <c r="AC647" s="0" t="str">
        <f aca="false">IF($A647="","",IF(AW647="Y",BS647&amp;"",BE647&amp;""))</f>
        <v/>
      </c>
      <c r="AD647" s="0" t="str">
        <f aca="false">IF($A647="","",IF(AW647="Y",BT647&amp;"",BF647&amp;""))</f>
        <v/>
      </c>
      <c r="AE647" s="0" t="str">
        <f aca="false">IF($A647="","",IF(AW647="Y",BU647&amp;"",BG647&amp;""))</f>
        <v/>
      </c>
      <c r="AF647" s="0" t="str">
        <f aca="false">IF($A647="","",IF(AW647="Y",BV647&amp;"",BH647&amp;""))</f>
        <v/>
      </c>
      <c r="AG647" s="0" t="str">
        <f aca="false">IF($A647="","",IF(AW647="Y",BW647&amp;"",BI647&amp;""))</f>
        <v/>
      </c>
      <c r="AH647" s="0" t="str">
        <f aca="false">IF($A647="","",IF(AW647="Y",BX647&amp;"",BJ647&amp;""))</f>
        <v/>
      </c>
      <c r="AQ647" s="5"/>
      <c r="AT647" s="0" t="str">
        <f aca="false">IF($A647="","",IF(AND(CN647="pass",AQ647&lt;&gt;"Y",C647&lt;&gt;"",OR(AX647&lt;&gt;"Y",AV647="Y")),"Y","N"))</f>
        <v/>
      </c>
      <c r="AU647" s="0" t="str">
        <f aca="false">IF($A647="","",_xlfn.TEXTJOIN("; ",TRUE(),IF(CN647&lt;&gt;"pass","gated out",""),IF(AQ647="Y","on hold: "&amp;AR647,""),IF(C647="","no contact named on an opened page",""),IF(AND(AX647="Y",AV647&lt;&gt;"Y"),"Tuesday estimate band "&amp;L647&amp;": founder's call","")))</f>
        <v/>
      </c>
      <c r="BC647" s="0" t="str">
        <f aca="false">IF($A647="","",IFERROR(INDEX(Enrichment!$A$2:$GZ$2000,MATCH($A647,INDEX(Enrichment!$A$2:$GZ$2000,0,MATCH("row_id",Enrichment!$A$1:$GZ$1,0)),0),MATCH("work_email",Enrichment!$A$1:$GZ$1,0))&amp;"",""))</f>
        <v/>
      </c>
      <c r="BD647" s="0" t="str">
        <f aca="false">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Q647" s="0" t="str">
        <f aca="false">IF($A647="","",IFERROR(INDEX(Enrichment!$A$2:$GZ$2000,MATCH($A647,INDEX(Enrichment!$A$2:$GZ$2000,0,MATCH("row_id",Enrichment!$A$1:$GZ$1,0)),0),MATCH("backup_work_email",Enrichment!$A$1:$GZ$1,0))&amp;"",""))</f>
        <v/>
      </c>
      <c r="BR647" s="0" t="str">
        <f aca="false">IF($A647="","",IF(BQ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EQ647" s="0" t="str">
        <f aca="false">IF($A647="","",IF(AH647="exact",10,IF(AH647="adjacent",5,0)))</f>
        <v/>
      </c>
      <c r="ER647" s="0" t="str">
        <f aca="false">IF($A647="","",IF(R647="Y",15,0))</f>
        <v/>
      </c>
      <c r="FS647" s="0" t="str">
        <f aca="false">IF($A647="","",IF(ISNUMBER(MATCH(U647,{"queued","contacted","replied","call_booked","call_done","yes_in_principle","materials_sent"},0)),"Y","N"))</f>
        <v/>
      </c>
      <c r="FT647" s="0" t="str">
        <f aca="false">IF($A647="","",IF(OR(T647="Y",U647="do_not_contact",AS647&amp;""&lt;&gt;""),"Y","N"))</f>
        <v/>
      </c>
      <c r="FU647" s="0" t="str">
        <f aca="false">IF($A647="","",IF(AP647&amp;""&lt;&gt;"",AP647&amp;"",$A647))</f>
        <v/>
      </c>
      <c r="FV647" s="0" t="str">
        <f aca="false">IF($A647="","",IF(COUNTIFS($FU$2:$FU$1000,FU647,$FS$2:$FS$1000,"Y")+COUNTIFS($FU$2:$FU$1000,FU647,$FT$2:$FT$1000,"Y")&gt;0,"Y","N"))</f>
        <v/>
      </c>
      <c r="FW647" s="0" t="str">
        <f aca="false">IF($A647="","",IF(AND(U647="new",T647="N",FT647="N",AT647="Y",FV647="N"),"Y","N"))</f>
        <v/>
      </c>
      <c r="FX647" s="0" t="str">
        <f aca="false">IF($A647="","",IF(FW647&lt;&gt;"Y","N",IF(COUNTIFS($FU$2:$FU$1000,FU647,$FW$2:$FW$1000,"Y",$J$2:$J$1000,"&gt;"&amp;J647)+COUNTIFS($FU$2:$FU$1000,FU647,$FW$2:$FW$1000,"Y",$J$2:$J$1000,J647,$GD$2:$GD$1000,"&lt;"&amp;GD647)=0,"Y","N")))</f>
        <v/>
      </c>
      <c r="FY647" s="0" t="str">
        <f aca="false">IF($A647="","",IF(AND(FW647="Y",FX647="Y",Y647&amp;""&lt;&gt;""),IF(Y647&lt;=10,"Y","N"),"N"))</f>
        <v/>
      </c>
      <c r="FZ647" s="0" t="str">
        <f aca="false">IF(FY647="Y",Y647,"")</f>
        <v/>
      </c>
      <c r="GA647" s="0" t="str">
        <f aca="false">IF($A647="","",IF(AND(I647="walk-in",CN647="pass",U647="new",FT647="N",FV647="N",AQ647&lt;&gt;"Y"),"Y","N"))</f>
        <v/>
      </c>
      <c r="GB647" s="0" t="str">
        <f aca="false">IF(GA647&lt;&gt;"Y","",IF(COUNTIFS($GA$2:$GA$1000,"Y",$J$2:$J$1000,"&gt;"&amp;J647)+COUNTIFS($GA$2:$GA$1000,"Y",$J$2:$J$1000,J647,$GD$2:$GD$1000,"&lt;"&amp;GD647)+1&lt;=25,COUNTIFS($GA$2:$GA$1000,"Y",$J$2:$J$1000,"&gt;"&amp;J647)+COUNTIFS($GA$2:$GA$1000,"Y",$J$2:$J$1000,J647,$GD$2:$GD$1000,"&lt;"&amp;GD647)+1,""))</f>
        <v/>
      </c>
      <c r="GC647" s="0" t="str">
        <f aca="false">IF(AND(_xlfn.ISFORMULA(C647),_xlfn.ISFORMULA(J647)),"Y","N")</f>
        <v>Y</v>
      </c>
      <c r="GD647" s="0" t="n">
        <f aca="false">ROW()-1</f>
        <v>646</v>
      </c>
    </row>
    <row r="648" customFormat="false" ht="15" hidden="false" customHeight="false" outlineLevel="0" collapsed="false">
      <c r="C648" s="0" t="str">
        <f aca="false">IF($A648="","",IF(AW648="Y",BM648&amp;"",AY648&amp;""))</f>
        <v/>
      </c>
      <c r="D648" s="0" t="str">
        <f aca="false">IF($A648="","",IF(AW648="Y",BN648&amp;"",AZ648&amp;""))</f>
        <v/>
      </c>
      <c r="E648" s="0" t="str">
        <f aca="false">IF($A648="","",IF(AW648="Y",BO648&amp;"",BA648&amp;""))</f>
        <v/>
      </c>
      <c r="F648" s="0" t="str">
        <f aca="false">IF($A648="","",IF(AW648="Y",BP648&amp;"",BB648&amp;""))</f>
        <v/>
      </c>
      <c r="G648" s="0" t="str">
        <f aca="false">IF($A648="","",IF(AW648="Y",BQ648&amp;"",BC648&amp;""))</f>
        <v/>
      </c>
      <c r="H648" s="0" t="str">
        <f aca="false">IF($A648="","",IF(AW648="Y",BR648&amp;"",BD648&amp;""))</f>
        <v/>
      </c>
      <c r="I648" s="0" t="str">
        <f aca="false">IF($A648="","",IF(R648="Y","warm-intro",IF(H648="verified","email",IF(C648&lt;&gt;"","linkedin",CB648&amp;""))))</f>
        <v/>
      </c>
      <c r="J648" s="0" t="str">
        <f aca="false">IF($A648="","",IF(CN648="pass",ROUND(N(EM648)+N(EN648)+N(EO648)+N(EP648)+N(EQ648)+N(ER648),1),0))</f>
        <v/>
      </c>
      <c r="K648" s="0" t="str">
        <f aca="false">IF($A648="","",IF(CN648&lt;&gt;"pass",CA648&amp;"",CA648&amp;"; "&amp;IF(AW648="Y",BZ648&amp;"",BL648&amp;"")&amp;IF(R648="Y","; known to the founder (+15)","")&amp;"."))</f>
        <v/>
      </c>
      <c r="R648" s="5"/>
      <c r="U648" s="5"/>
      <c r="Y648" s="0" t="str">
        <f aca="false">IF(FX648&lt;&gt;"Y","",COUNTIFS($FX$2:$FX$1000,"Y",$J$2:$J$1000,"&gt;"&amp;J648)+COUNTIFS($FX$2:$FX$1000,"Y",$J$2:$J$1000,J648,$GD$2:$GD$1000,"&lt;"&amp;GD648)+1)</f>
        <v/>
      </c>
      <c r="AB648" s="0" t="str">
        <f aca="false">IF($A648="","",IF(AW648="Y",BY648&amp;"",BK648&amp;""))</f>
        <v/>
      </c>
      <c r="AC648" s="0" t="str">
        <f aca="false">IF($A648="","",IF(AW648="Y",BS648&amp;"",BE648&amp;""))</f>
        <v/>
      </c>
      <c r="AD648" s="0" t="str">
        <f aca="false">IF($A648="","",IF(AW648="Y",BT648&amp;"",BF648&amp;""))</f>
        <v/>
      </c>
      <c r="AE648" s="0" t="str">
        <f aca="false">IF($A648="","",IF(AW648="Y",BU648&amp;"",BG648&amp;""))</f>
        <v/>
      </c>
      <c r="AF648" s="0" t="str">
        <f aca="false">IF($A648="","",IF(AW648="Y",BV648&amp;"",BH648&amp;""))</f>
        <v/>
      </c>
      <c r="AG648" s="0" t="str">
        <f aca="false">IF($A648="","",IF(AW648="Y",BW648&amp;"",BI648&amp;""))</f>
        <v/>
      </c>
      <c r="AH648" s="0" t="str">
        <f aca="false">IF($A648="","",IF(AW648="Y",BX648&amp;"",BJ648&amp;""))</f>
        <v/>
      </c>
      <c r="AQ648" s="5"/>
      <c r="AT648" s="0" t="str">
        <f aca="false">IF($A648="","",IF(AND(CN648="pass",AQ648&lt;&gt;"Y",C648&lt;&gt;"",OR(AX648&lt;&gt;"Y",AV648="Y")),"Y","N"))</f>
        <v/>
      </c>
      <c r="AU648" s="0" t="str">
        <f aca="false">IF($A648="","",_xlfn.TEXTJOIN("; ",TRUE(),IF(CN648&lt;&gt;"pass","gated out",""),IF(AQ648="Y","on hold: "&amp;AR648,""),IF(C648="","no contact named on an opened page",""),IF(AND(AX648="Y",AV648&lt;&gt;"Y"),"Tuesday estimate band "&amp;L648&amp;": founder's call","")))</f>
        <v/>
      </c>
      <c r="BC648" s="0" t="str">
        <f aca="false">IF($A648="","",IFERROR(INDEX(Enrichment!$A$2:$GZ$2000,MATCH($A648,INDEX(Enrichment!$A$2:$GZ$2000,0,MATCH("row_id",Enrichment!$A$1:$GZ$1,0)),0),MATCH("work_email",Enrichment!$A$1:$GZ$1,0))&amp;"",""))</f>
        <v/>
      </c>
      <c r="BD648" s="0" t="str">
        <f aca="false">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Q648" s="0" t="str">
        <f aca="false">IF($A648="","",IFERROR(INDEX(Enrichment!$A$2:$GZ$2000,MATCH($A648,INDEX(Enrichment!$A$2:$GZ$2000,0,MATCH("row_id",Enrichment!$A$1:$GZ$1,0)),0),MATCH("backup_work_email",Enrichment!$A$1:$GZ$1,0))&amp;"",""))</f>
        <v/>
      </c>
      <c r="BR648" s="0" t="str">
        <f aca="false">IF($A648="","",IF(BQ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EQ648" s="0" t="str">
        <f aca="false">IF($A648="","",IF(AH648="exact",10,IF(AH648="adjacent",5,0)))</f>
        <v/>
      </c>
      <c r="ER648" s="0" t="str">
        <f aca="false">IF($A648="","",IF(R648="Y",15,0))</f>
        <v/>
      </c>
      <c r="FS648" s="0" t="str">
        <f aca="false">IF($A648="","",IF(ISNUMBER(MATCH(U648,{"queued","contacted","replied","call_booked","call_done","yes_in_principle","materials_sent"},0)),"Y","N"))</f>
        <v/>
      </c>
      <c r="FT648" s="0" t="str">
        <f aca="false">IF($A648="","",IF(OR(T648="Y",U648="do_not_contact",AS648&amp;""&lt;&gt;""),"Y","N"))</f>
        <v/>
      </c>
      <c r="FU648" s="0" t="str">
        <f aca="false">IF($A648="","",IF(AP648&amp;""&lt;&gt;"",AP648&amp;"",$A648))</f>
        <v/>
      </c>
      <c r="FV648" s="0" t="str">
        <f aca="false">IF($A648="","",IF(COUNTIFS($FU$2:$FU$1000,FU648,$FS$2:$FS$1000,"Y")+COUNTIFS($FU$2:$FU$1000,FU648,$FT$2:$FT$1000,"Y")&gt;0,"Y","N"))</f>
        <v/>
      </c>
      <c r="FW648" s="0" t="str">
        <f aca="false">IF($A648="","",IF(AND(U648="new",T648="N",FT648="N",AT648="Y",FV648="N"),"Y","N"))</f>
        <v/>
      </c>
      <c r="FX648" s="0" t="str">
        <f aca="false">IF($A648="","",IF(FW648&lt;&gt;"Y","N",IF(COUNTIFS($FU$2:$FU$1000,FU648,$FW$2:$FW$1000,"Y",$J$2:$J$1000,"&gt;"&amp;J648)+COUNTIFS($FU$2:$FU$1000,FU648,$FW$2:$FW$1000,"Y",$J$2:$J$1000,J648,$GD$2:$GD$1000,"&lt;"&amp;GD648)=0,"Y","N")))</f>
        <v/>
      </c>
      <c r="FY648" s="0" t="str">
        <f aca="false">IF($A648="","",IF(AND(FW648="Y",FX648="Y",Y648&amp;""&lt;&gt;""),IF(Y648&lt;=10,"Y","N"),"N"))</f>
        <v/>
      </c>
      <c r="FZ648" s="0" t="str">
        <f aca="false">IF(FY648="Y",Y648,"")</f>
        <v/>
      </c>
      <c r="GA648" s="0" t="str">
        <f aca="false">IF($A648="","",IF(AND(I648="walk-in",CN648="pass",U648="new",FT648="N",FV648="N",AQ648&lt;&gt;"Y"),"Y","N"))</f>
        <v/>
      </c>
      <c r="GB648" s="0" t="str">
        <f aca="false">IF(GA648&lt;&gt;"Y","",IF(COUNTIFS($GA$2:$GA$1000,"Y",$J$2:$J$1000,"&gt;"&amp;J648)+COUNTIFS($GA$2:$GA$1000,"Y",$J$2:$J$1000,J648,$GD$2:$GD$1000,"&lt;"&amp;GD648)+1&lt;=25,COUNTIFS($GA$2:$GA$1000,"Y",$J$2:$J$1000,"&gt;"&amp;J648)+COUNTIFS($GA$2:$GA$1000,"Y",$J$2:$J$1000,J648,$GD$2:$GD$1000,"&lt;"&amp;GD648)+1,""))</f>
        <v/>
      </c>
      <c r="GC648" s="0" t="str">
        <f aca="false">IF(AND(_xlfn.ISFORMULA(C648),_xlfn.ISFORMULA(J648)),"Y","N")</f>
        <v>Y</v>
      </c>
      <c r="GD648" s="0" t="n">
        <f aca="false">ROW()-1</f>
        <v>647</v>
      </c>
    </row>
    <row r="649" customFormat="false" ht="15" hidden="false" customHeight="false" outlineLevel="0" collapsed="false">
      <c r="C649" s="0" t="str">
        <f aca="false">IF($A649="","",IF(AW649="Y",BM649&amp;"",AY649&amp;""))</f>
        <v/>
      </c>
      <c r="D649" s="0" t="str">
        <f aca="false">IF($A649="","",IF(AW649="Y",BN649&amp;"",AZ649&amp;""))</f>
        <v/>
      </c>
      <c r="E649" s="0" t="str">
        <f aca="false">IF($A649="","",IF(AW649="Y",BO649&amp;"",BA649&amp;""))</f>
        <v/>
      </c>
      <c r="F649" s="0" t="str">
        <f aca="false">IF($A649="","",IF(AW649="Y",BP649&amp;"",BB649&amp;""))</f>
        <v/>
      </c>
      <c r="G649" s="0" t="str">
        <f aca="false">IF($A649="","",IF(AW649="Y",BQ649&amp;"",BC649&amp;""))</f>
        <v/>
      </c>
      <c r="H649" s="0" t="str">
        <f aca="false">IF($A649="","",IF(AW649="Y",BR649&amp;"",BD649&amp;""))</f>
        <v/>
      </c>
      <c r="I649" s="0" t="str">
        <f aca="false">IF($A649="","",IF(R649="Y","warm-intro",IF(H649="verified","email",IF(C649&lt;&gt;"","linkedin",CB649&amp;""))))</f>
        <v/>
      </c>
      <c r="J649" s="0" t="str">
        <f aca="false">IF($A649="","",IF(CN649="pass",ROUND(N(EM649)+N(EN649)+N(EO649)+N(EP649)+N(EQ649)+N(ER649),1),0))</f>
        <v/>
      </c>
      <c r="K649" s="0" t="str">
        <f aca="false">IF($A649="","",IF(CN649&lt;&gt;"pass",CA649&amp;"",CA649&amp;"; "&amp;IF(AW649="Y",BZ649&amp;"",BL649&amp;"")&amp;IF(R649="Y","; known to the founder (+15)","")&amp;"."))</f>
        <v/>
      </c>
      <c r="R649" s="5"/>
      <c r="U649" s="5"/>
      <c r="Y649" s="0" t="str">
        <f aca="false">IF(FX649&lt;&gt;"Y","",COUNTIFS($FX$2:$FX$1000,"Y",$J$2:$J$1000,"&gt;"&amp;J649)+COUNTIFS($FX$2:$FX$1000,"Y",$J$2:$J$1000,J649,$GD$2:$GD$1000,"&lt;"&amp;GD649)+1)</f>
        <v/>
      </c>
      <c r="AB649" s="0" t="str">
        <f aca="false">IF($A649="","",IF(AW649="Y",BY649&amp;"",BK649&amp;""))</f>
        <v/>
      </c>
      <c r="AC649" s="0" t="str">
        <f aca="false">IF($A649="","",IF(AW649="Y",BS649&amp;"",BE649&amp;""))</f>
        <v/>
      </c>
      <c r="AD649" s="0" t="str">
        <f aca="false">IF($A649="","",IF(AW649="Y",BT649&amp;"",BF649&amp;""))</f>
        <v/>
      </c>
      <c r="AE649" s="0" t="str">
        <f aca="false">IF($A649="","",IF(AW649="Y",BU649&amp;"",BG649&amp;""))</f>
        <v/>
      </c>
      <c r="AF649" s="0" t="str">
        <f aca="false">IF($A649="","",IF(AW649="Y",BV649&amp;"",BH649&amp;""))</f>
        <v/>
      </c>
      <c r="AG649" s="0" t="str">
        <f aca="false">IF($A649="","",IF(AW649="Y",BW649&amp;"",BI649&amp;""))</f>
        <v/>
      </c>
      <c r="AH649" s="0" t="str">
        <f aca="false">IF($A649="","",IF(AW649="Y",BX649&amp;"",BJ649&amp;""))</f>
        <v/>
      </c>
      <c r="AQ649" s="5"/>
      <c r="AT649" s="0" t="str">
        <f aca="false">IF($A649="","",IF(AND(CN649="pass",AQ649&lt;&gt;"Y",C649&lt;&gt;"",OR(AX649&lt;&gt;"Y",AV649="Y")),"Y","N"))</f>
        <v/>
      </c>
      <c r="AU649" s="0" t="str">
        <f aca="false">IF($A649="","",_xlfn.TEXTJOIN("; ",TRUE(),IF(CN649&lt;&gt;"pass","gated out",""),IF(AQ649="Y","on hold: "&amp;AR649,""),IF(C649="","no contact named on an opened page",""),IF(AND(AX649="Y",AV649&lt;&gt;"Y"),"Tuesday estimate band "&amp;L649&amp;": founder's call","")))</f>
        <v/>
      </c>
      <c r="BC649" s="0" t="str">
        <f aca="false">IF($A649="","",IFERROR(INDEX(Enrichment!$A$2:$GZ$2000,MATCH($A649,INDEX(Enrichment!$A$2:$GZ$2000,0,MATCH("row_id",Enrichment!$A$1:$GZ$1,0)),0),MATCH("work_email",Enrichment!$A$1:$GZ$1,0))&amp;"",""))</f>
        <v/>
      </c>
      <c r="BD649" s="0" t="str">
        <f aca="false">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Q649" s="0" t="str">
        <f aca="false">IF($A649="","",IFERROR(INDEX(Enrichment!$A$2:$GZ$2000,MATCH($A649,INDEX(Enrichment!$A$2:$GZ$2000,0,MATCH("row_id",Enrichment!$A$1:$GZ$1,0)),0),MATCH("backup_work_email",Enrichment!$A$1:$GZ$1,0))&amp;"",""))</f>
        <v/>
      </c>
      <c r="BR649" s="0" t="str">
        <f aca="false">IF($A649="","",IF(BQ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EQ649" s="0" t="str">
        <f aca="false">IF($A649="","",IF(AH649="exact",10,IF(AH649="adjacent",5,0)))</f>
        <v/>
      </c>
      <c r="ER649" s="0" t="str">
        <f aca="false">IF($A649="","",IF(R649="Y",15,0))</f>
        <v/>
      </c>
      <c r="FS649" s="0" t="str">
        <f aca="false">IF($A649="","",IF(ISNUMBER(MATCH(U649,{"queued","contacted","replied","call_booked","call_done","yes_in_principle","materials_sent"},0)),"Y","N"))</f>
        <v/>
      </c>
      <c r="FT649" s="0" t="str">
        <f aca="false">IF($A649="","",IF(OR(T649="Y",U649="do_not_contact",AS649&amp;""&lt;&gt;""),"Y","N"))</f>
        <v/>
      </c>
      <c r="FU649" s="0" t="str">
        <f aca="false">IF($A649="","",IF(AP649&amp;""&lt;&gt;"",AP649&amp;"",$A649))</f>
        <v/>
      </c>
      <c r="FV649" s="0" t="str">
        <f aca="false">IF($A649="","",IF(COUNTIFS($FU$2:$FU$1000,FU649,$FS$2:$FS$1000,"Y")+COUNTIFS($FU$2:$FU$1000,FU649,$FT$2:$FT$1000,"Y")&gt;0,"Y","N"))</f>
        <v/>
      </c>
      <c r="FW649" s="0" t="str">
        <f aca="false">IF($A649="","",IF(AND(U649="new",T649="N",FT649="N",AT649="Y",FV649="N"),"Y","N"))</f>
        <v/>
      </c>
      <c r="FX649" s="0" t="str">
        <f aca="false">IF($A649="","",IF(FW649&lt;&gt;"Y","N",IF(COUNTIFS($FU$2:$FU$1000,FU649,$FW$2:$FW$1000,"Y",$J$2:$J$1000,"&gt;"&amp;J649)+COUNTIFS($FU$2:$FU$1000,FU649,$FW$2:$FW$1000,"Y",$J$2:$J$1000,J649,$GD$2:$GD$1000,"&lt;"&amp;GD649)=0,"Y","N")))</f>
        <v/>
      </c>
      <c r="FY649" s="0" t="str">
        <f aca="false">IF($A649="","",IF(AND(FW649="Y",FX649="Y",Y649&amp;""&lt;&gt;""),IF(Y649&lt;=10,"Y","N"),"N"))</f>
        <v/>
      </c>
      <c r="FZ649" s="0" t="str">
        <f aca="false">IF(FY649="Y",Y649,"")</f>
        <v/>
      </c>
      <c r="GA649" s="0" t="str">
        <f aca="false">IF($A649="","",IF(AND(I649="walk-in",CN649="pass",U649="new",FT649="N",FV649="N",AQ649&lt;&gt;"Y"),"Y","N"))</f>
        <v/>
      </c>
      <c r="GB649" s="0" t="str">
        <f aca="false">IF(GA649&lt;&gt;"Y","",IF(COUNTIFS($GA$2:$GA$1000,"Y",$J$2:$J$1000,"&gt;"&amp;J649)+COUNTIFS($GA$2:$GA$1000,"Y",$J$2:$J$1000,J649,$GD$2:$GD$1000,"&lt;"&amp;GD649)+1&lt;=25,COUNTIFS($GA$2:$GA$1000,"Y",$J$2:$J$1000,"&gt;"&amp;J649)+COUNTIFS($GA$2:$GA$1000,"Y",$J$2:$J$1000,J649,$GD$2:$GD$1000,"&lt;"&amp;GD649)+1,""))</f>
        <v/>
      </c>
      <c r="GC649" s="0" t="str">
        <f aca="false">IF(AND(_xlfn.ISFORMULA(C649),_xlfn.ISFORMULA(J649)),"Y","N")</f>
        <v>Y</v>
      </c>
      <c r="GD649" s="0" t="n">
        <f aca="false">ROW()-1</f>
        <v>648</v>
      </c>
    </row>
    <row r="650" customFormat="false" ht="15" hidden="false" customHeight="false" outlineLevel="0" collapsed="false">
      <c r="C650" s="0" t="str">
        <f aca="false">IF($A650="","",IF(AW650="Y",BM650&amp;"",AY650&amp;""))</f>
        <v/>
      </c>
      <c r="D650" s="0" t="str">
        <f aca="false">IF($A650="","",IF(AW650="Y",BN650&amp;"",AZ650&amp;""))</f>
        <v/>
      </c>
      <c r="E650" s="0" t="str">
        <f aca="false">IF($A650="","",IF(AW650="Y",BO650&amp;"",BA650&amp;""))</f>
        <v/>
      </c>
      <c r="F650" s="0" t="str">
        <f aca="false">IF($A650="","",IF(AW650="Y",BP650&amp;"",BB650&amp;""))</f>
        <v/>
      </c>
      <c r="G650" s="0" t="str">
        <f aca="false">IF($A650="","",IF(AW650="Y",BQ650&amp;"",BC650&amp;""))</f>
        <v/>
      </c>
      <c r="H650" s="0" t="str">
        <f aca="false">IF($A650="","",IF(AW650="Y",BR650&amp;"",BD650&amp;""))</f>
        <v/>
      </c>
      <c r="I650" s="0" t="str">
        <f aca="false">IF($A650="","",IF(R650="Y","warm-intro",IF(H650="verified","email",IF(C650&lt;&gt;"","linkedin",CB650&amp;""))))</f>
        <v/>
      </c>
      <c r="J650" s="0" t="str">
        <f aca="false">IF($A650="","",IF(CN650="pass",ROUND(N(EM650)+N(EN650)+N(EO650)+N(EP650)+N(EQ650)+N(ER650),1),0))</f>
        <v/>
      </c>
      <c r="K650" s="0" t="str">
        <f aca="false">IF($A650="","",IF(CN650&lt;&gt;"pass",CA650&amp;"",CA650&amp;"; "&amp;IF(AW650="Y",BZ650&amp;"",BL650&amp;"")&amp;IF(R650="Y","; known to the founder (+15)","")&amp;"."))</f>
        <v/>
      </c>
      <c r="R650" s="5"/>
      <c r="U650" s="5"/>
      <c r="Y650" s="0" t="str">
        <f aca="false">IF(FX650&lt;&gt;"Y","",COUNTIFS($FX$2:$FX$1000,"Y",$J$2:$J$1000,"&gt;"&amp;J650)+COUNTIFS($FX$2:$FX$1000,"Y",$J$2:$J$1000,J650,$GD$2:$GD$1000,"&lt;"&amp;GD650)+1)</f>
        <v/>
      </c>
      <c r="AB650" s="0" t="str">
        <f aca="false">IF($A650="","",IF(AW650="Y",BY650&amp;"",BK650&amp;""))</f>
        <v/>
      </c>
      <c r="AC650" s="0" t="str">
        <f aca="false">IF($A650="","",IF(AW650="Y",BS650&amp;"",BE650&amp;""))</f>
        <v/>
      </c>
      <c r="AD650" s="0" t="str">
        <f aca="false">IF($A650="","",IF(AW650="Y",BT650&amp;"",BF650&amp;""))</f>
        <v/>
      </c>
      <c r="AE650" s="0" t="str">
        <f aca="false">IF($A650="","",IF(AW650="Y",BU650&amp;"",BG650&amp;""))</f>
        <v/>
      </c>
      <c r="AF650" s="0" t="str">
        <f aca="false">IF($A650="","",IF(AW650="Y",BV650&amp;"",BH650&amp;""))</f>
        <v/>
      </c>
      <c r="AG650" s="0" t="str">
        <f aca="false">IF($A650="","",IF(AW650="Y",BW650&amp;"",BI650&amp;""))</f>
        <v/>
      </c>
      <c r="AH650" s="0" t="str">
        <f aca="false">IF($A650="","",IF(AW650="Y",BX650&amp;"",BJ650&amp;""))</f>
        <v/>
      </c>
      <c r="AQ650" s="5"/>
      <c r="AT650" s="0" t="str">
        <f aca="false">IF($A650="","",IF(AND(CN650="pass",AQ650&lt;&gt;"Y",C650&lt;&gt;"",OR(AX650&lt;&gt;"Y",AV650="Y")),"Y","N"))</f>
        <v/>
      </c>
      <c r="AU650" s="0" t="str">
        <f aca="false">IF($A650="","",_xlfn.TEXTJOIN("; ",TRUE(),IF(CN650&lt;&gt;"pass","gated out",""),IF(AQ650="Y","on hold: "&amp;AR650,""),IF(C650="","no contact named on an opened page",""),IF(AND(AX650="Y",AV650&lt;&gt;"Y"),"Tuesday estimate band "&amp;L650&amp;": founder's call","")))</f>
        <v/>
      </c>
      <c r="BC650" s="0" t="str">
        <f aca="false">IF($A650="","",IFERROR(INDEX(Enrichment!$A$2:$GZ$2000,MATCH($A650,INDEX(Enrichment!$A$2:$GZ$2000,0,MATCH("row_id",Enrichment!$A$1:$GZ$1,0)),0),MATCH("work_email",Enrichment!$A$1:$GZ$1,0))&amp;"",""))</f>
        <v/>
      </c>
      <c r="BD650" s="0" t="str">
        <f aca="false">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Q650" s="0" t="str">
        <f aca="false">IF($A650="","",IFERROR(INDEX(Enrichment!$A$2:$GZ$2000,MATCH($A650,INDEX(Enrichment!$A$2:$GZ$2000,0,MATCH("row_id",Enrichment!$A$1:$GZ$1,0)),0),MATCH("backup_work_email",Enrichment!$A$1:$GZ$1,0))&amp;"",""))</f>
        <v/>
      </c>
      <c r="BR650" s="0" t="str">
        <f aca="false">IF($A650="","",IF(BQ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EQ650" s="0" t="str">
        <f aca="false">IF($A650="","",IF(AH650="exact",10,IF(AH650="adjacent",5,0)))</f>
        <v/>
      </c>
      <c r="ER650" s="0" t="str">
        <f aca="false">IF($A650="","",IF(R650="Y",15,0))</f>
        <v/>
      </c>
      <c r="FS650" s="0" t="str">
        <f aca="false">IF($A650="","",IF(ISNUMBER(MATCH(U650,{"queued","contacted","replied","call_booked","call_done","yes_in_principle","materials_sent"},0)),"Y","N"))</f>
        <v/>
      </c>
      <c r="FT650" s="0" t="str">
        <f aca="false">IF($A650="","",IF(OR(T650="Y",U650="do_not_contact",AS650&amp;""&lt;&gt;""),"Y","N"))</f>
        <v/>
      </c>
      <c r="FU650" s="0" t="str">
        <f aca="false">IF($A650="","",IF(AP650&amp;""&lt;&gt;"",AP650&amp;"",$A650))</f>
        <v/>
      </c>
      <c r="FV650" s="0" t="str">
        <f aca="false">IF($A650="","",IF(COUNTIFS($FU$2:$FU$1000,FU650,$FS$2:$FS$1000,"Y")+COUNTIFS($FU$2:$FU$1000,FU650,$FT$2:$FT$1000,"Y")&gt;0,"Y","N"))</f>
        <v/>
      </c>
      <c r="FW650" s="0" t="str">
        <f aca="false">IF($A650="","",IF(AND(U650="new",T650="N",FT650="N",AT650="Y",FV650="N"),"Y","N"))</f>
        <v/>
      </c>
      <c r="FX650" s="0" t="str">
        <f aca="false">IF($A650="","",IF(FW650&lt;&gt;"Y","N",IF(COUNTIFS($FU$2:$FU$1000,FU650,$FW$2:$FW$1000,"Y",$J$2:$J$1000,"&gt;"&amp;J650)+COUNTIFS($FU$2:$FU$1000,FU650,$FW$2:$FW$1000,"Y",$J$2:$J$1000,J650,$GD$2:$GD$1000,"&lt;"&amp;GD650)=0,"Y","N")))</f>
        <v/>
      </c>
      <c r="FY650" s="0" t="str">
        <f aca="false">IF($A650="","",IF(AND(FW650="Y",FX650="Y",Y650&amp;""&lt;&gt;""),IF(Y650&lt;=10,"Y","N"),"N"))</f>
        <v/>
      </c>
      <c r="FZ650" s="0" t="str">
        <f aca="false">IF(FY650="Y",Y650,"")</f>
        <v/>
      </c>
      <c r="GA650" s="0" t="str">
        <f aca="false">IF($A650="","",IF(AND(I650="walk-in",CN650="pass",U650="new",FT650="N",FV650="N",AQ650&lt;&gt;"Y"),"Y","N"))</f>
        <v/>
      </c>
      <c r="GB650" s="0" t="str">
        <f aca="false">IF(GA650&lt;&gt;"Y","",IF(COUNTIFS($GA$2:$GA$1000,"Y",$J$2:$J$1000,"&gt;"&amp;J650)+COUNTIFS($GA$2:$GA$1000,"Y",$J$2:$J$1000,J650,$GD$2:$GD$1000,"&lt;"&amp;GD650)+1&lt;=25,COUNTIFS($GA$2:$GA$1000,"Y",$J$2:$J$1000,"&gt;"&amp;J650)+COUNTIFS($GA$2:$GA$1000,"Y",$J$2:$J$1000,J650,$GD$2:$GD$1000,"&lt;"&amp;GD650)+1,""))</f>
        <v/>
      </c>
      <c r="GC650" s="0" t="str">
        <f aca="false">IF(AND(_xlfn.ISFORMULA(C650),_xlfn.ISFORMULA(J650)),"Y","N")</f>
        <v>Y</v>
      </c>
      <c r="GD650" s="0" t="n">
        <f aca="false">ROW()-1</f>
        <v>649</v>
      </c>
    </row>
    <row r="651" customFormat="false" ht="15" hidden="false" customHeight="false" outlineLevel="0" collapsed="false">
      <c r="C651" s="0" t="str">
        <f aca="false">IF($A651="","",IF(AW651="Y",BM651&amp;"",AY651&amp;""))</f>
        <v/>
      </c>
      <c r="D651" s="0" t="str">
        <f aca="false">IF($A651="","",IF(AW651="Y",BN651&amp;"",AZ651&amp;""))</f>
        <v/>
      </c>
      <c r="E651" s="0" t="str">
        <f aca="false">IF($A651="","",IF(AW651="Y",BO651&amp;"",BA651&amp;""))</f>
        <v/>
      </c>
      <c r="F651" s="0" t="str">
        <f aca="false">IF($A651="","",IF(AW651="Y",BP651&amp;"",BB651&amp;""))</f>
        <v/>
      </c>
      <c r="G651" s="0" t="str">
        <f aca="false">IF($A651="","",IF(AW651="Y",BQ651&amp;"",BC651&amp;""))</f>
        <v/>
      </c>
      <c r="H651" s="0" t="str">
        <f aca="false">IF($A651="","",IF(AW651="Y",BR651&amp;"",BD651&amp;""))</f>
        <v/>
      </c>
      <c r="I651" s="0" t="str">
        <f aca="false">IF($A651="","",IF(R651="Y","warm-intro",IF(H651="verified","email",IF(C651&lt;&gt;"","linkedin",CB651&amp;""))))</f>
        <v/>
      </c>
      <c r="J651" s="0" t="str">
        <f aca="false">IF($A651="","",IF(CN651="pass",ROUND(N(EM651)+N(EN651)+N(EO651)+N(EP651)+N(EQ651)+N(ER651),1),0))</f>
        <v/>
      </c>
      <c r="K651" s="0" t="str">
        <f aca="false">IF($A651="","",IF(CN651&lt;&gt;"pass",CA651&amp;"",CA651&amp;"; "&amp;IF(AW651="Y",BZ651&amp;"",BL651&amp;"")&amp;IF(R651="Y","; known to the founder (+15)","")&amp;"."))</f>
        <v/>
      </c>
      <c r="R651" s="5"/>
      <c r="U651" s="5"/>
      <c r="Y651" s="0" t="str">
        <f aca="false">IF(FX651&lt;&gt;"Y","",COUNTIFS($FX$2:$FX$1000,"Y",$J$2:$J$1000,"&gt;"&amp;J651)+COUNTIFS($FX$2:$FX$1000,"Y",$J$2:$J$1000,J651,$GD$2:$GD$1000,"&lt;"&amp;GD651)+1)</f>
        <v/>
      </c>
      <c r="AB651" s="0" t="str">
        <f aca="false">IF($A651="","",IF(AW651="Y",BY651&amp;"",BK651&amp;""))</f>
        <v/>
      </c>
      <c r="AC651" s="0" t="str">
        <f aca="false">IF($A651="","",IF(AW651="Y",BS651&amp;"",BE651&amp;""))</f>
        <v/>
      </c>
      <c r="AD651" s="0" t="str">
        <f aca="false">IF($A651="","",IF(AW651="Y",BT651&amp;"",BF651&amp;""))</f>
        <v/>
      </c>
      <c r="AE651" s="0" t="str">
        <f aca="false">IF($A651="","",IF(AW651="Y",BU651&amp;"",BG651&amp;""))</f>
        <v/>
      </c>
      <c r="AF651" s="0" t="str">
        <f aca="false">IF($A651="","",IF(AW651="Y",BV651&amp;"",BH651&amp;""))</f>
        <v/>
      </c>
      <c r="AG651" s="0" t="str">
        <f aca="false">IF($A651="","",IF(AW651="Y",BW651&amp;"",BI651&amp;""))</f>
        <v/>
      </c>
      <c r="AH651" s="0" t="str">
        <f aca="false">IF($A651="","",IF(AW651="Y",BX651&amp;"",BJ651&amp;""))</f>
        <v/>
      </c>
      <c r="AQ651" s="5"/>
      <c r="AT651" s="0" t="str">
        <f aca="false">IF($A651="","",IF(AND(CN651="pass",AQ651&lt;&gt;"Y",C651&lt;&gt;"",OR(AX651&lt;&gt;"Y",AV651="Y")),"Y","N"))</f>
        <v/>
      </c>
      <c r="AU651" s="0" t="str">
        <f aca="false">IF($A651="","",_xlfn.TEXTJOIN("; ",TRUE(),IF(CN651&lt;&gt;"pass","gated out",""),IF(AQ651="Y","on hold: "&amp;AR651,""),IF(C651="","no contact named on an opened page",""),IF(AND(AX651="Y",AV651&lt;&gt;"Y"),"Tuesday estimate band "&amp;L651&amp;": founder's call","")))</f>
        <v/>
      </c>
      <c r="BC651" s="0" t="str">
        <f aca="false">IF($A651="","",IFERROR(INDEX(Enrichment!$A$2:$GZ$2000,MATCH($A651,INDEX(Enrichment!$A$2:$GZ$2000,0,MATCH("row_id",Enrichment!$A$1:$GZ$1,0)),0),MATCH("work_email",Enrichment!$A$1:$GZ$1,0))&amp;"",""))</f>
        <v/>
      </c>
      <c r="BD651" s="0" t="str">
        <f aca="false">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Q651" s="0" t="str">
        <f aca="false">IF($A651="","",IFERROR(INDEX(Enrichment!$A$2:$GZ$2000,MATCH($A651,INDEX(Enrichment!$A$2:$GZ$2000,0,MATCH("row_id",Enrichment!$A$1:$GZ$1,0)),0),MATCH("backup_work_email",Enrichment!$A$1:$GZ$1,0))&amp;"",""))</f>
        <v/>
      </c>
      <c r="BR651" s="0" t="str">
        <f aca="false">IF($A651="","",IF(BQ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EQ651" s="0" t="str">
        <f aca="false">IF($A651="","",IF(AH651="exact",10,IF(AH651="adjacent",5,0)))</f>
        <v/>
      </c>
      <c r="ER651" s="0" t="str">
        <f aca="false">IF($A651="","",IF(R651="Y",15,0))</f>
        <v/>
      </c>
      <c r="FS651" s="0" t="str">
        <f aca="false">IF($A651="","",IF(ISNUMBER(MATCH(U651,{"queued","contacted","replied","call_booked","call_done","yes_in_principle","materials_sent"},0)),"Y","N"))</f>
        <v/>
      </c>
      <c r="FT651" s="0" t="str">
        <f aca="false">IF($A651="","",IF(OR(T651="Y",U651="do_not_contact",AS651&amp;""&lt;&gt;""),"Y","N"))</f>
        <v/>
      </c>
      <c r="FU651" s="0" t="str">
        <f aca="false">IF($A651="","",IF(AP651&amp;""&lt;&gt;"",AP651&amp;"",$A651))</f>
        <v/>
      </c>
      <c r="FV651" s="0" t="str">
        <f aca="false">IF($A651="","",IF(COUNTIFS($FU$2:$FU$1000,FU651,$FS$2:$FS$1000,"Y")+COUNTIFS($FU$2:$FU$1000,FU651,$FT$2:$FT$1000,"Y")&gt;0,"Y","N"))</f>
        <v/>
      </c>
      <c r="FW651" s="0" t="str">
        <f aca="false">IF($A651="","",IF(AND(U651="new",T651="N",FT651="N",AT651="Y",FV651="N"),"Y","N"))</f>
        <v/>
      </c>
      <c r="FX651" s="0" t="str">
        <f aca="false">IF($A651="","",IF(FW651&lt;&gt;"Y","N",IF(COUNTIFS($FU$2:$FU$1000,FU651,$FW$2:$FW$1000,"Y",$J$2:$J$1000,"&gt;"&amp;J651)+COUNTIFS($FU$2:$FU$1000,FU651,$FW$2:$FW$1000,"Y",$J$2:$J$1000,J651,$GD$2:$GD$1000,"&lt;"&amp;GD651)=0,"Y","N")))</f>
        <v/>
      </c>
      <c r="FY651" s="0" t="str">
        <f aca="false">IF($A651="","",IF(AND(FW651="Y",FX651="Y",Y651&amp;""&lt;&gt;""),IF(Y651&lt;=10,"Y","N"),"N"))</f>
        <v/>
      </c>
      <c r="FZ651" s="0" t="str">
        <f aca="false">IF(FY651="Y",Y651,"")</f>
        <v/>
      </c>
      <c r="GA651" s="0" t="str">
        <f aca="false">IF($A651="","",IF(AND(I651="walk-in",CN651="pass",U651="new",FT651="N",FV651="N",AQ651&lt;&gt;"Y"),"Y","N"))</f>
        <v/>
      </c>
      <c r="GB651" s="0" t="str">
        <f aca="false">IF(GA651&lt;&gt;"Y","",IF(COUNTIFS($GA$2:$GA$1000,"Y",$J$2:$J$1000,"&gt;"&amp;J651)+COUNTIFS($GA$2:$GA$1000,"Y",$J$2:$J$1000,J651,$GD$2:$GD$1000,"&lt;"&amp;GD651)+1&lt;=25,COUNTIFS($GA$2:$GA$1000,"Y",$J$2:$J$1000,"&gt;"&amp;J651)+COUNTIFS($GA$2:$GA$1000,"Y",$J$2:$J$1000,J651,$GD$2:$GD$1000,"&lt;"&amp;GD651)+1,""))</f>
        <v/>
      </c>
      <c r="GC651" s="0" t="str">
        <f aca="false">IF(AND(_xlfn.ISFORMULA(C651),_xlfn.ISFORMULA(J651)),"Y","N")</f>
        <v>Y</v>
      </c>
      <c r="GD651" s="0" t="n">
        <f aca="false">ROW()-1</f>
        <v>650</v>
      </c>
    </row>
    <row r="652" customFormat="false" ht="15" hidden="false" customHeight="false" outlineLevel="0" collapsed="false">
      <c r="C652" s="0" t="str">
        <f aca="false">IF($A652="","",IF(AW652="Y",BM652&amp;"",AY652&amp;""))</f>
        <v/>
      </c>
      <c r="D652" s="0" t="str">
        <f aca="false">IF($A652="","",IF(AW652="Y",BN652&amp;"",AZ652&amp;""))</f>
        <v/>
      </c>
      <c r="E652" s="0" t="str">
        <f aca="false">IF($A652="","",IF(AW652="Y",BO652&amp;"",BA652&amp;""))</f>
        <v/>
      </c>
      <c r="F652" s="0" t="str">
        <f aca="false">IF($A652="","",IF(AW652="Y",BP652&amp;"",BB652&amp;""))</f>
        <v/>
      </c>
      <c r="G652" s="0" t="str">
        <f aca="false">IF($A652="","",IF(AW652="Y",BQ652&amp;"",BC652&amp;""))</f>
        <v/>
      </c>
      <c r="H652" s="0" t="str">
        <f aca="false">IF($A652="","",IF(AW652="Y",BR652&amp;"",BD652&amp;""))</f>
        <v/>
      </c>
      <c r="I652" s="0" t="str">
        <f aca="false">IF($A652="","",IF(R652="Y","warm-intro",IF(H652="verified","email",IF(C652&lt;&gt;"","linkedin",CB652&amp;""))))</f>
        <v/>
      </c>
      <c r="J652" s="0" t="str">
        <f aca="false">IF($A652="","",IF(CN652="pass",ROUND(N(EM652)+N(EN652)+N(EO652)+N(EP652)+N(EQ652)+N(ER652),1),0))</f>
        <v/>
      </c>
      <c r="K652" s="0" t="str">
        <f aca="false">IF($A652="","",IF(CN652&lt;&gt;"pass",CA652&amp;"",CA652&amp;"; "&amp;IF(AW652="Y",BZ652&amp;"",BL652&amp;"")&amp;IF(R652="Y","; known to the founder (+15)","")&amp;"."))</f>
        <v/>
      </c>
      <c r="R652" s="5"/>
      <c r="U652" s="5"/>
      <c r="Y652" s="0" t="str">
        <f aca="false">IF(FX652&lt;&gt;"Y","",COUNTIFS($FX$2:$FX$1000,"Y",$J$2:$J$1000,"&gt;"&amp;J652)+COUNTIFS($FX$2:$FX$1000,"Y",$J$2:$J$1000,J652,$GD$2:$GD$1000,"&lt;"&amp;GD652)+1)</f>
        <v/>
      </c>
      <c r="AB652" s="0" t="str">
        <f aca="false">IF($A652="","",IF(AW652="Y",BY652&amp;"",BK652&amp;""))</f>
        <v/>
      </c>
      <c r="AC652" s="0" t="str">
        <f aca="false">IF($A652="","",IF(AW652="Y",BS652&amp;"",BE652&amp;""))</f>
        <v/>
      </c>
      <c r="AD652" s="0" t="str">
        <f aca="false">IF($A652="","",IF(AW652="Y",BT652&amp;"",BF652&amp;""))</f>
        <v/>
      </c>
      <c r="AE652" s="0" t="str">
        <f aca="false">IF($A652="","",IF(AW652="Y",BU652&amp;"",BG652&amp;""))</f>
        <v/>
      </c>
      <c r="AF652" s="0" t="str">
        <f aca="false">IF($A652="","",IF(AW652="Y",BV652&amp;"",BH652&amp;""))</f>
        <v/>
      </c>
      <c r="AG652" s="0" t="str">
        <f aca="false">IF($A652="","",IF(AW652="Y",BW652&amp;"",BI652&amp;""))</f>
        <v/>
      </c>
      <c r="AH652" s="0" t="str">
        <f aca="false">IF($A652="","",IF(AW652="Y",BX652&amp;"",BJ652&amp;""))</f>
        <v/>
      </c>
      <c r="AQ652" s="5"/>
      <c r="AT652" s="0" t="str">
        <f aca="false">IF($A652="","",IF(AND(CN652="pass",AQ652&lt;&gt;"Y",C652&lt;&gt;"",OR(AX652&lt;&gt;"Y",AV652="Y")),"Y","N"))</f>
        <v/>
      </c>
      <c r="AU652" s="0" t="str">
        <f aca="false">IF($A652="","",_xlfn.TEXTJOIN("; ",TRUE(),IF(CN652&lt;&gt;"pass","gated out",""),IF(AQ652="Y","on hold: "&amp;AR652,""),IF(C652="","no contact named on an opened page",""),IF(AND(AX652="Y",AV652&lt;&gt;"Y"),"Tuesday estimate band "&amp;L652&amp;": founder's call","")))</f>
        <v/>
      </c>
      <c r="BC652" s="0" t="str">
        <f aca="false">IF($A652="","",IFERROR(INDEX(Enrichment!$A$2:$GZ$2000,MATCH($A652,INDEX(Enrichment!$A$2:$GZ$2000,0,MATCH("row_id",Enrichment!$A$1:$GZ$1,0)),0),MATCH("work_email",Enrichment!$A$1:$GZ$1,0))&amp;"",""))</f>
        <v/>
      </c>
      <c r="BD652" s="0" t="str">
        <f aca="false">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Q652" s="0" t="str">
        <f aca="false">IF($A652="","",IFERROR(INDEX(Enrichment!$A$2:$GZ$2000,MATCH($A652,INDEX(Enrichment!$A$2:$GZ$2000,0,MATCH("row_id",Enrichment!$A$1:$GZ$1,0)),0),MATCH("backup_work_email",Enrichment!$A$1:$GZ$1,0))&amp;"",""))</f>
        <v/>
      </c>
      <c r="BR652" s="0" t="str">
        <f aca="false">IF($A652="","",IF(BQ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EQ652" s="0" t="str">
        <f aca="false">IF($A652="","",IF(AH652="exact",10,IF(AH652="adjacent",5,0)))</f>
        <v/>
      </c>
      <c r="ER652" s="0" t="str">
        <f aca="false">IF($A652="","",IF(R652="Y",15,0))</f>
        <v/>
      </c>
      <c r="FS652" s="0" t="str">
        <f aca="false">IF($A652="","",IF(ISNUMBER(MATCH(U652,{"queued","contacted","replied","call_booked","call_done","yes_in_principle","materials_sent"},0)),"Y","N"))</f>
        <v/>
      </c>
      <c r="FT652" s="0" t="str">
        <f aca="false">IF($A652="","",IF(OR(T652="Y",U652="do_not_contact",AS652&amp;""&lt;&gt;""),"Y","N"))</f>
        <v/>
      </c>
      <c r="FU652" s="0" t="str">
        <f aca="false">IF($A652="","",IF(AP652&amp;""&lt;&gt;"",AP652&amp;"",$A652))</f>
        <v/>
      </c>
      <c r="FV652" s="0" t="str">
        <f aca="false">IF($A652="","",IF(COUNTIFS($FU$2:$FU$1000,FU652,$FS$2:$FS$1000,"Y")+COUNTIFS($FU$2:$FU$1000,FU652,$FT$2:$FT$1000,"Y")&gt;0,"Y","N"))</f>
        <v/>
      </c>
      <c r="FW652" s="0" t="str">
        <f aca="false">IF($A652="","",IF(AND(U652="new",T652="N",FT652="N",AT652="Y",FV652="N"),"Y","N"))</f>
        <v/>
      </c>
      <c r="FX652" s="0" t="str">
        <f aca="false">IF($A652="","",IF(FW652&lt;&gt;"Y","N",IF(COUNTIFS($FU$2:$FU$1000,FU652,$FW$2:$FW$1000,"Y",$J$2:$J$1000,"&gt;"&amp;J652)+COUNTIFS($FU$2:$FU$1000,FU652,$FW$2:$FW$1000,"Y",$J$2:$J$1000,J652,$GD$2:$GD$1000,"&lt;"&amp;GD652)=0,"Y","N")))</f>
        <v/>
      </c>
      <c r="FY652" s="0" t="str">
        <f aca="false">IF($A652="","",IF(AND(FW652="Y",FX652="Y",Y652&amp;""&lt;&gt;""),IF(Y652&lt;=10,"Y","N"),"N"))</f>
        <v/>
      </c>
      <c r="FZ652" s="0" t="str">
        <f aca="false">IF(FY652="Y",Y652,"")</f>
        <v/>
      </c>
      <c r="GA652" s="0" t="str">
        <f aca="false">IF($A652="","",IF(AND(I652="walk-in",CN652="pass",U652="new",FT652="N",FV652="N",AQ652&lt;&gt;"Y"),"Y","N"))</f>
        <v/>
      </c>
      <c r="GB652" s="0" t="str">
        <f aca="false">IF(GA652&lt;&gt;"Y","",IF(COUNTIFS($GA$2:$GA$1000,"Y",$J$2:$J$1000,"&gt;"&amp;J652)+COUNTIFS($GA$2:$GA$1000,"Y",$J$2:$J$1000,J652,$GD$2:$GD$1000,"&lt;"&amp;GD652)+1&lt;=25,COUNTIFS($GA$2:$GA$1000,"Y",$J$2:$J$1000,"&gt;"&amp;J652)+COUNTIFS($GA$2:$GA$1000,"Y",$J$2:$J$1000,J652,$GD$2:$GD$1000,"&lt;"&amp;GD652)+1,""))</f>
        <v/>
      </c>
      <c r="GC652" s="0" t="str">
        <f aca="false">IF(AND(_xlfn.ISFORMULA(C652),_xlfn.ISFORMULA(J652)),"Y","N")</f>
        <v>Y</v>
      </c>
      <c r="GD652" s="0" t="n">
        <f aca="false">ROW()-1</f>
        <v>651</v>
      </c>
    </row>
    <row r="653" customFormat="false" ht="15" hidden="false" customHeight="false" outlineLevel="0" collapsed="false">
      <c r="C653" s="0" t="str">
        <f aca="false">IF($A653="","",IF(AW653="Y",BM653&amp;"",AY653&amp;""))</f>
        <v/>
      </c>
      <c r="D653" s="0" t="str">
        <f aca="false">IF($A653="","",IF(AW653="Y",BN653&amp;"",AZ653&amp;""))</f>
        <v/>
      </c>
      <c r="E653" s="0" t="str">
        <f aca="false">IF($A653="","",IF(AW653="Y",BO653&amp;"",BA653&amp;""))</f>
        <v/>
      </c>
      <c r="F653" s="0" t="str">
        <f aca="false">IF($A653="","",IF(AW653="Y",BP653&amp;"",BB653&amp;""))</f>
        <v/>
      </c>
      <c r="G653" s="0" t="str">
        <f aca="false">IF($A653="","",IF(AW653="Y",BQ653&amp;"",BC653&amp;""))</f>
        <v/>
      </c>
      <c r="H653" s="0" t="str">
        <f aca="false">IF($A653="","",IF(AW653="Y",BR653&amp;"",BD653&amp;""))</f>
        <v/>
      </c>
      <c r="I653" s="0" t="str">
        <f aca="false">IF($A653="","",IF(R653="Y","warm-intro",IF(H653="verified","email",IF(C653&lt;&gt;"","linkedin",CB653&amp;""))))</f>
        <v/>
      </c>
      <c r="J653" s="0" t="str">
        <f aca="false">IF($A653="","",IF(CN653="pass",ROUND(N(EM653)+N(EN653)+N(EO653)+N(EP653)+N(EQ653)+N(ER653),1),0))</f>
        <v/>
      </c>
      <c r="K653" s="0" t="str">
        <f aca="false">IF($A653="","",IF(CN653&lt;&gt;"pass",CA653&amp;"",CA653&amp;"; "&amp;IF(AW653="Y",BZ653&amp;"",BL653&amp;"")&amp;IF(R653="Y","; known to the founder (+15)","")&amp;"."))</f>
        <v/>
      </c>
      <c r="R653" s="5"/>
      <c r="U653" s="5"/>
      <c r="Y653" s="0" t="str">
        <f aca="false">IF(FX653&lt;&gt;"Y","",COUNTIFS($FX$2:$FX$1000,"Y",$J$2:$J$1000,"&gt;"&amp;J653)+COUNTIFS($FX$2:$FX$1000,"Y",$J$2:$J$1000,J653,$GD$2:$GD$1000,"&lt;"&amp;GD653)+1)</f>
        <v/>
      </c>
      <c r="AB653" s="0" t="str">
        <f aca="false">IF($A653="","",IF(AW653="Y",BY653&amp;"",BK653&amp;""))</f>
        <v/>
      </c>
      <c r="AC653" s="0" t="str">
        <f aca="false">IF($A653="","",IF(AW653="Y",BS653&amp;"",BE653&amp;""))</f>
        <v/>
      </c>
      <c r="AD653" s="0" t="str">
        <f aca="false">IF($A653="","",IF(AW653="Y",BT653&amp;"",BF653&amp;""))</f>
        <v/>
      </c>
      <c r="AE653" s="0" t="str">
        <f aca="false">IF($A653="","",IF(AW653="Y",BU653&amp;"",BG653&amp;""))</f>
        <v/>
      </c>
      <c r="AF653" s="0" t="str">
        <f aca="false">IF($A653="","",IF(AW653="Y",BV653&amp;"",BH653&amp;""))</f>
        <v/>
      </c>
      <c r="AG653" s="0" t="str">
        <f aca="false">IF($A653="","",IF(AW653="Y",BW653&amp;"",BI653&amp;""))</f>
        <v/>
      </c>
      <c r="AH653" s="0" t="str">
        <f aca="false">IF($A653="","",IF(AW653="Y",BX653&amp;"",BJ653&amp;""))</f>
        <v/>
      </c>
      <c r="AQ653" s="5"/>
      <c r="AT653" s="0" t="str">
        <f aca="false">IF($A653="","",IF(AND(CN653="pass",AQ653&lt;&gt;"Y",C653&lt;&gt;"",OR(AX653&lt;&gt;"Y",AV653="Y")),"Y","N"))</f>
        <v/>
      </c>
      <c r="AU653" s="0" t="str">
        <f aca="false">IF($A653="","",_xlfn.TEXTJOIN("; ",TRUE(),IF(CN653&lt;&gt;"pass","gated out",""),IF(AQ653="Y","on hold: "&amp;AR653,""),IF(C653="","no contact named on an opened page",""),IF(AND(AX653="Y",AV653&lt;&gt;"Y"),"Tuesday estimate band "&amp;L653&amp;": founder's call","")))</f>
        <v/>
      </c>
      <c r="BC653" s="0" t="str">
        <f aca="false">IF($A653="","",IFERROR(INDEX(Enrichment!$A$2:$GZ$2000,MATCH($A653,INDEX(Enrichment!$A$2:$GZ$2000,0,MATCH("row_id",Enrichment!$A$1:$GZ$1,0)),0),MATCH("work_email",Enrichment!$A$1:$GZ$1,0))&amp;"",""))</f>
        <v/>
      </c>
      <c r="BD653" s="0" t="str">
        <f aca="false">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Q653" s="0" t="str">
        <f aca="false">IF($A653="","",IFERROR(INDEX(Enrichment!$A$2:$GZ$2000,MATCH($A653,INDEX(Enrichment!$A$2:$GZ$2000,0,MATCH("row_id",Enrichment!$A$1:$GZ$1,0)),0),MATCH("backup_work_email",Enrichment!$A$1:$GZ$1,0))&amp;"",""))</f>
        <v/>
      </c>
      <c r="BR653" s="0" t="str">
        <f aca="false">IF($A653="","",IF(BQ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EQ653" s="0" t="str">
        <f aca="false">IF($A653="","",IF(AH653="exact",10,IF(AH653="adjacent",5,0)))</f>
        <v/>
      </c>
      <c r="ER653" s="0" t="str">
        <f aca="false">IF($A653="","",IF(R653="Y",15,0))</f>
        <v/>
      </c>
      <c r="FS653" s="0" t="str">
        <f aca="false">IF($A653="","",IF(ISNUMBER(MATCH(U653,{"queued","contacted","replied","call_booked","call_done","yes_in_principle","materials_sent"},0)),"Y","N"))</f>
        <v/>
      </c>
      <c r="FT653" s="0" t="str">
        <f aca="false">IF($A653="","",IF(OR(T653="Y",U653="do_not_contact",AS653&amp;""&lt;&gt;""),"Y","N"))</f>
        <v/>
      </c>
      <c r="FU653" s="0" t="str">
        <f aca="false">IF($A653="","",IF(AP653&amp;""&lt;&gt;"",AP653&amp;"",$A653))</f>
        <v/>
      </c>
      <c r="FV653" s="0" t="str">
        <f aca="false">IF($A653="","",IF(COUNTIFS($FU$2:$FU$1000,FU653,$FS$2:$FS$1000,"Y")+COUNTIFS($FU$2:$FU$1000,FU653,$FT$2:$FT$1000,"Y")&gt;0,"Y","N"))</f>
        <v/>
      </c>
      <c r="FW653" s="0" t="str">
        <f aca="false">IF($A653="","",IF(AND(U653="new",T653="N",FT653="N",AT653="Y",FV653="N"),"Y","N"))</f>
        <v/>
      </c>
      <c r="FX653" s="0" t="str">
        <f aca="false">IF($A653="","",IF(FW653&lt;&gt;"Y","N",IF(COUNTIFS($FU$2:$FU$1000,FU653,$FW$2:$FW$1000,"Y",$J$2:$J$1000,"&gt;"&amp;J653)+COUNTIFS($FU$2:$FU$1000,FU653,$FW$2:$FW$1000,"Y",$J$2:$J$1000,J653,$GD$2:$GD$1000,"&lt;"&amp;GD653)=0,"Y","N")))</f>
        <v/>
      </c>
      <c r="FY653" s="0" t="str">
        <f aca="false">IF($A653="","",IF(AND(FW653="Y",FX653="Y",Y653&amp;""&lt;&gt;""),IF(Y653&lt;=10,"Y","N"),"N"))</f>
        <v/>
      </c>
      <c r="FZ653" s="0" t="str">
        <f aca="false">IF(FY653="Y",Y653,"")</f>
        <v/>
      </c>
      <c r="GA653" s="0" t="str">
        <f aca="false">IF($A653="","",IF(AND(I653="walk-in",CN653="pass",U653="new",FT653="N",FV653="N",AQ653&lt;&gt;"Y"),"Y","N"))</f>
        <v/>
      </c>
      <c r="GB653" s="0" t="str">
        <f aca="false">IF(GA653&lt;&gt;"Y","",IF(COUNTIFS($GA$2:$GA$1000,"Y",$J$2:$J$1000,"&gt;"&amp;J653)+COUNTIFS($GA$2:$GA$1000,"Y",$J$2:$J$1000,J653,$GD$2:$GD$1000,"&lt;"&amp;GD653)+1&lt;=25,COUNTIFS($GA$2:$GA$1000,"Y",$J$2:$J$1000,"&gt;"&amp;J653)+COUNTIFS($GA$2:$GA$1000,"Y",$J$2:$J$1000,J653,$GD$2:$GD$1000,"&lt;"&amp;GD653)+1,""))</f>
        <v/>
      </c>
      <c r="GC653" s="0" t="str">
        <f aca="false">IF(AND(_xlfn.ISFORMULA(C653),_xlfn.ISFORMULA(J653)),"Y","N")</f>
        <v>Y</v>
      </c>
      <c r="GD653" s="0" t="n">
        <f aca="false">ROW()-1</f>
        <v>652</v>
      </c>
    </row>
    <row r="654" customFormat="false" ht="15" hidden="false" customHeight="false" outlineLevel="0" collapsed="false">
      <c r="C654" s="0" t="str">
        <f aca="false">IF($A654="","",IF(AW654="Y",BM654&amp;"",AY654&amp;""))</f>
        <v/>
      </c>
      <c r="D654" s="0" t="str">
        <f aca="false">IF($A654="","",IF(AW654="Y",BN654&amp;"",AZ654&amp;""))</f>
        <v/>
      </c>
      <c r="E654" s="0" t="str">
        <f aca="false">IF($A654="","",IF(AW654="Y",BO654&amp;"",BA654&amp;""))</f>
        <v/>
      </c>
      <c r="F654" s="0" t="str">
        <f aca="false">IF($A654="","",IF(AW654="Y",BP654&amp;"",BB654&amp;""))</f>
        <v/>
      </c>
      <c r="G654" s="0" t="str">
        <f aca="false">IF($A654="","",IF(AW654="Y",BQ654&amp;"",BC654&amp;""))</f>
        <v/>
      </c>
      <c r="H654" s="0" t="str">
        <f aca="false">IF($A654="","",IF(AW654="Y",BR654&amp;"",BD654&amp;""))</f>
        <v/>
      </c>
      <c r="I654" s="0" t="str">
        <f aca="false">IF($A654="","",IF(R654="Y","warm-intro",IF(H654="verified","email",IF(C654&lt;&gt;"","linkedin",CB654&amp;""))))</f>
        <v/>
      </c>
      <c r="J654" s="0" t="str">
        <f aca="false">IF($A654="","",IF(CN654="pass",ROUND(N(EM654)+N(EN654)+N(EO654)+N(EP654)+N(EQ654)+N(ER654),1),0))</f>
        <v/>
      </c>
      <c r="K654" s="0" t="str">
        <f aca="false">IF($A654="","",IF(CN654&lt;&gt;"pass",CA654&amp;"",CA654&amp;"; "&amp;IF(AW654="Y",BZ654&amp;"",BL654&amp;"")&amp;IF(R654="Y","; known to the founder (+15)","")&amp;"."))</f>
        <v/>
      </c>
      <c r="R654" s="5"/>
      <c r="U654" s="5"/>
      <c r="Y654" s="0" t="str">
        <f aca="false">IF(FX654&lt;&gt;"Y","",COUNTIFS($FX$2:$FX$1000,"Y",$J$2:$J$1000,"&gt;"&amp;J654)+COUNTIFS($FX$2:$FX$1000,"Y",$J$2:$J$1000,J654,$GD$2:$GD$1000,"&lt;"&amp;GD654)+1)</f>
        <v/>
      </c>
      <c r="AB654" s="0" t="str">
        <f aca="false">IF($A654="","",IF(AW654="Y",BY654&amp;"",BK654&amp;""))</f>
        <v/>
      </c>
      <c r="AC654" s="0" t="str">
        <f aca="false">IF($A654="","",IF(AW654="Y",BS654&amp;"",BE654&amp;""))</f>
        <v/>
      </c>
      <c r="AD654" s="0" t="str">
        <f aca="false">IF($A654="","",IF(AW654="Y",BT654&amp;"",BF654&amp;""))</f>
        <v/>
      </c>
      <c r="AE654" s="0" t="str">
        <f aca="false">IF($A654="","",IF(AW654="Y",BU654&amp;"",BG654&amp;""))</f>
        <v/>
      </c>
      <c r="AF654" s="0" t="str">
        <f aca="false">IF($A654="","",IF(AW654="Y",BV654&amp;"",BH654&amp;""))</f>
        <v/>
      </c>
      <c r="AG654" s="0" t="str">
        <f aca="false">IF($A654="","",IF(AW654="Y",BW654&amp;"",BI654&amp;""))</f>
        <v/>
      </c>
      <c r="AH654" s="0" t="str">
        <f aca="false">IF($A654="","",IF(AW654="Y",BX654&amp;"",BJ654&amp;""))</f>
        <v/>
      </c>
      <c r="AQ654" s="5"/>
      <c r="AT654" s="0" t="str">
        <f aca="false">IF($A654="","",IF(AND(CN654="pass",AQ654&lt;&gt;"Y",C654&lt;&gt;"",OR(AX654&lt;&gt;"Y",AV654="Y")),"Y","N"))</f>
        <v/>
      </c>
      <c r="AU654" s="0" t="str">
        <f aca="false">IF($A654="","",_xlfn.TEXTJOIN("; ",TRUE(),IF(CN654&lt;&gt;"pass","gated out",""),IF(AQ654="Y","on hold: "&amp;AR654,""),IF(C654="","no contact named on an opened page",""),IF(AND(AX654="Y",AV654&lt;&gt;"Y"),"Tuesday estimate band "&amp;L654&amp;": founder's call","")))</f>
        <v/>
      </c>
      <c r="BC654" s="0" t="str">
        <f aca="false">IF($A654="","",IFERROR(INDEX(Enrichment!$A$2:$GZ$2000,MATCH($A654,INDEX(Enrichment!$A$2:$GZ$2000,0,MATCH("row_id",Enrichment!$A$1:$GZ$1,0)),0),MATCH("work_email",Enrichment!$A$1:$GZ$1,0))&amp;"",""))</f>
        <v/>
      </c>
      <c r="BD654" s="0" t="str">
        <f aca="false">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Q654" s="0" t="str">
        <f aca="false">IF($A654="","",IFERROR(INDEX(Enrichment!$A$2:$GZ$2000,MATCH($A654,INDEX(Enrichment!$A$2:$GZ$2000,0,MATCH("row_id",Enrichment!$A$1:$GZ$1,0)),0),MATCH("backup_work_email",Enrichment!$A$1:$GZ$1,0))&amp;"",""))</f>
        <v/>
      </c>
      <c r="BR654" s="0" t="str">
        <f aca="false">IF($A654="","",IF(BQ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EQ654" s="0" t="str">
        <f aca="false">IF($A654="","",IF(AH654="exact",10,IF(AH654="adjacent",5,0)))</f>
        <v/>
      </c>
      <c r="ER654" s="0" t="str">
        <f aca="false">IF($A654="","",IF(R654="Y",15,0))</f>
        <v/>
      </c>
      <c r="FS654" s="0" t="str">
        <f aca="false">IF($A654="","",IF(ISNUMBER(MATCH(U654,{"queued","contacted","replied","call_booked","call_done","yes_in_principle","materials_sent"},0)),"Y","N"))</f>
        <v/>
      </c>
      <c r="FT654" s="0" t="str">
        <f aca="false">IF($A654="","",IF(OR(T654="Y",U654="do_not_contact",AS654&amp;""&lt;&gt;""),"Y","N"))</f>
        <v/>
      </c>
      <c r="FU654" s="0" t="str">
        <f aca="false">IF($A654="","",IF(AP654&amp;""&lt;&gt;"",AP654&amp;"",$A654))</f>
        <v/>
      </c>
      <c r="FV654" s="0" t="str">
        <f aca="false">IF($A654="","",IF(COUNTIFS($FU$2:$FU$1000,FU654,$FS$2:$FS$1000,"Y")+COUNTIFS($FU$2:$FU$1000,FU654,$FT$2:$FT$1000,"Y")&gt;0,"Y","N"))</f>
        <v/>
      </c>
      <c r="FW654" s="0" t="str">
        <f aca="false">IF($A654="","",IF(AND(U654="new",T654="N",FT654="N",AT654="Y",FV654="N"),"Y","N"))</f>
        <v/>
      </c>
      <c r="FX654" s="0" t="str">
        <f aca="false">IF($A654="","",IF(FW654&lt;&gt;"Y","N",IF(COUNTIFS($FU$2:$FU$1000,FU654,$FW$2:$FW$1000,"Y",$J$2:$J$1000,"&gt;"&amp;J654)+COUNTIFS($FU$2:$FU$1000,FU654,$FW$2:$FW$1000,"Y",$J$2:$J$1000,J654,$GD$2:$GD$1000,"&lt;"&amp;GD654)=0,"Y","N")))</f>
        <v/>
      </c>
      <c r="FY654" s="0" t="str">
        <f aca="false">IF($A654="","",IF(AND(FW654="Y",FX654="Y",Y654&amp;""&lt;&gt;""),IF(Y654&lt;=10,"Y","N"),"N"))</f>
        <v/>
      </c>
      <c r="FZ654" s="0" t="str">
        <f aca="false">IF(FY654="Y",Y654,"")</f>
        <v/>
      </c>
      <c r="GA654" s="0" t="str">
        <f aca="false">IF($A654="","",IF(AND(I654="walk-in",CN654="pass",U654="new",FT654="N",FV654="N",AQ654&lt;&gt;"Y"),"Y","N"))</f>
        <v/>
      </c>
      <c r="GB654" s="0" t="str">
        <f aca="false">IF(GA654&lt;&gt;"Y","",IF(COUNTIFS($GA$2:$GA$1000,"Y",$J$2:$J$1000,"&gt;"&amp;J654)+COUNTIFS($GA$2:$GA$1000,"Y",$J$2:$J$1000,J654,$GD$2:$GD$1000,"&lt;"&amp;GD654)+1&lt;=25,COUNTIFS($GA$2:$GA$1000,"Y",$J$2:$J$1000,"&gt;"&amp;J654)+COUNTIFS($GA$2:$GA$1000,"Y",$J$2:$J$1000,J654,$GD$2:$GD$1000,"&lt;"&amp;GD654)+1,""))</f>
        <v/>
      </c>
      <c r="GC654" s="0" t="str">
        <f aca="false">IF(AND(_xlfn.ISFORMULA(C654),_xlfn.ISFORMULA(J654)),"Y","N")</f>
        <v>Y</v>
      </c>
      <c r="GD654" s="0" t="n">
        <f aca="false">ROW()-1</f>
        <v>653</v>
      </c>
    </row>
    <row r="655" customFormat="false" ht="15" hidden="false" customHeight="false" outlineLevel="0" collapsed="false">
      <c r="C655" s="0" t="str">
        <f aca="false">IF($A655="","",IF(AW655="Y",BM655&amp;"",AY655&amp;""))</f>
        <v/>
      </c>
      <c r="D655" s="0" t="str">
        <f aca="false">IF($A655="","",IF(AW655="Y",BN655&amp;"",AZ655&amp;""))</f>
        <v/>
      </c>
      <c r="E655" s="0" t="str">
        <f aca="false">IF($A655="","",IF(AW655="Y",BO655&amp;"",BA655&amp;""))</f>
        <v/>
      </c>
      <c r="F655" s="0" t="str">
        <f aca="false">IF($A655="","",IF(AW655="Y",BP655&amp;"",BB655&amp;""))</f>
        <v/>
      </c>
      <c r="G655" s="0" t="str">
        <f aca="false">IF($A655="","",IF(AW655="Y",BQ655&amp;"",BC655&amp;""))</f>
        <v/>
      </c>
      <c r="H655" s="0" t="str">
        <f aca="false">IF($A655="","",IF(AW655="Y",BR655&amp;"",BD655&amp;""))</f>
        <v/>
      </c>
      <c r="I655" s="0" t="str">
        <f aca="false">IF($A655="","",IF(R655="Y","warm-intro",IF(H655="verified","email",IF(C655&lt;&gt;"","linkedin",CB655&amp;""))))</f>
        <v/>
      </c>
      <c r="J655" s="0" t="str">
        <f aca="false">IF($A655="","",IF(CN655="pass",ROUND(N(EM655)+N(EN655)+N(EO655)+N(EP655)+N(EQ655)+N(ER655),1),0))</f>
        <v/>
      </c>
      <c r="K655" s="0" t="str">
        <f aca="false">IF($A655="","",IF(CN655&lt;&gt;"pass",CA655&amp;"",CA655&amp;"; "&amp;IF(AW655="Y",BZ655&amp;"",BL655&amp;"")&amp;IF(R655="Y","; known to the founder (+15)","")&amp;"."))</f>
        <v/>
      </c>
      <c r="R655" s="5"/>
      <c r="U655" s="5"/>
      <c r="Y655" s="0" t="str">
        <f aca="false">IF(FX655&lt;&gt;"Y","",COUNTIFS($FX$2:$FX$1000,"Y",$J$2:$J$1000,"&gt;"&amp;J655)+COUNTIFS($FX$2:$FX$1000,"Y",$J$2:$J$1000,J655,$GD$2:$GD$1000,"&lt;"&amp;GD655)+1)</f>
        <v/>
      </c>
      <c r="AB655" s="0" t="str">
        <f aca="false">IF($A655="","",IF(AW655="Y",BY655&amp;"",BK655&amp;""))</f>
        <v/>
      </c>
      <c r="AC655" s="0" t="str">
        <f aca="false">IF($A655="","",IF(AW655="Y",BS655&amp;"",BE655&amp;""))</f>
        <v/>
      </c>
      <c r="AD655" s="0" t="str">
        <f aca="false">IF($A655="","",IF(AW655="Y",BT655&amp;"",BF655&amp;""))</f>
        <v/>
      </c>
      <c r="AE655" s="0" t="str">
        <f aca="false">IF($A655="","",IF(AW655="Y",BU655&amp;"",BG655&amp;""))</f>
        <v/>
      </c>
      <c r="AF655" s="0" t="str">
        <f aca="false">IF($A655="","",IF(AW655="Y",BV655&amp;"",BH655&amp;""))</f>
        <v/>
      </c>
      <c r="AG655" s="0" t="str">
        <f aca="false">IF($A655="","",IF(AW655="Y",BW655&amp;"",BI655&amp;""))</f>
        <v/>
      </c>
      <c r="AH655" s="0" t="str">
        <f aca="false">IF($A655="","",IF(AW655="Y",BX655&amp;"",BJ655&amp;""))</f>
        <v/>
      </c>
      <c r="AQ655" s="5"/>
      <c r="AT655" s="0" t="str">
        <f aca="false">IF($A655="","",IF(AND(CN655="pass",AQ655&lt;&gt;"Y",C655&lt;&gt;"",OR(AX655&lt;&gt;"Y",AV655="Y")),"Y","N"))</f>
        <v/>
      </c>
      <c r="AU655" s="0" t="str">
        <f aca="false">IF($A655="","",_xlfn.TEXTJOIN("; ",TRUE(),IF(CN655&lt;&gt;"pass","gated out",""),IF(AQ655="Y","on hold: "&amp;AR655,""),IF(C655="","no contact named on an opened page",""),IF(AND(AX655="Y",AV655&lt;&gt;"Y"),"Tuesday estimate band "&amp;L655&amp;": founder's call","")))</f>
        <v/>
      </c>
      <c r="BC655" s="0" t="str">
        <f aca="false">IF($A655="","",IFERROR(INDEX(Enrichment!$A$2:$GZ$2000,MATCH($A655,INDEX(Enrichment!$A$2:$GZ$2000,0,MATCH("row_id",Enrichment!$A$1:$GZ$1,0)),0),MATCH("work_email",Enrichment!$A$1:$GZ$1,0))&amp;"",""))</f>
        <v/>
      </c>
      <c r="BD655" s="0" t="str">
        <f aca="false">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Q655" s="0" t="str">
        <f aca="false">IF($A655="","",IFERROR(INDEX(Enrichment!$A$2:$GZ$2000,MATCH($A655,INDEX(Enrichment!$A$2:$GZ$2000,0,MATCH("row_id",Enrichment!$A$1:$GZ$1,0)),0),MATCH("backup_work_email",Enrichment!$A$1:$GZ$1,0))&amp;"",""))</f>
        <v/>
      </c>
      <c r="BR655" s="0" t="str">
        <f aca="false">IF($A655="","",IF(BQ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EQ655" s="0" t="str">
        <f aca="false">IF($A655="","",IF(AH655="exact",10,IF(AH655="adjacent",5,0)))</f>
        <v/>
      </c>
      <c r="ER655" s="0" t="str">
        <f aca="false">IF($A655="","",IF(R655="Y",15,0))</f>
        <v/>
      </c>
      <c r="FS655" s="0" t="str">
        <f aca="false">IF($A655="","",IF(ISNUMBER(MATCH(U655,{"queued","contacted","replied","call_booked","call_done","yes_in_principle","materials_sent"},0)),"Y","N"))</f>
        <v/>
      </c>
      <c r="FT655" s="0" t="str">
        <f aca="false">IF($A655="","",IF(OR(T655="Y",U655="do_not_contact",AS655&amp;""&lt;&gt;""),"Y","N"))</f>
        <v/>
      </c>
      <c r="FU655" s="0" t="str">
        <f aca="false">IF($A655="","",IF(AP655&amp;""&lt;&gt;"",AP655&amp;"",$A655))</f>
        <v/>
      </c>
      <c r="FV655" s="0" t="str">
        <f aca="false">IF($A655="","",IF(COUNTIFS($FU$2:$FU$1000,FU655,$FS$2:$FS$1000,"Y")+COUNTIFS($FU$2:$FU$1000,FU655,$FT$2:$FT$1000,"Y")&gt;0,"Y","N"))</f>
        <v/>
      </c>
      <c r="FW655" s="0" t="str">
        <f aca="false">IF($A655="","",IF(AND(U655="new",T655="N",FT655="N",AT655="Y",FV655="N"),"Y","N"))</f>
        <v/>
      </c>
      <c r="FX655" s="0" t="str">
        <f aca="false">IF($A655="","",IF(FW655&lt;&gt;"Y","N",IF(COUNTIFS($FU$2:$FU$1000,FU655,$FW$2:$FW$1000,"Y",$J$2:$J$1000,"&gt;"&amp;J655)+COUNTIFS($FU$2:$FU$1000,FU655,$FW$2:$FW$1000,"Y",$J$2:$J$1000,J655,$GD$2:$GD$1000,"&lt;"&amp;GD655)=0,"Y","N")))</f>
        <v/>
      </c>
      <c r="FY655" s="0" t="str">
        <f aca="false">IF($A655="","",IF(AND(FW655="Y",FX655="Y",Y655&amp;""&lt;&gt;""),IF(Y655&lt;=10,"Y","N"),"N"))</f>
        <v/>
      </c>
      <c r="FZ655" s="0" t="str">
        <f aca="false">IF(FY655="Y",Y655,"")</f>
        <v/>
      </c>
      <c r="GA655" s="0" t="str">
        <f aca="false">IF($A655="","",IF(AND(I655="walk-in",CN655="pass",U655="new",FT655="N",FV655="N",AQ655&lt;&gt;"Y"),"Y","N"))</f>
        <v/>
      </c>
      <c r="GB655" s="0" t="str">
        <f aca="false">IF(GA655&lt;&gt;"Y","",IF(COUNTIFS($GA$2:$GA$1000,"Y",$J$2:$J$1000,"&gt;"&amp;J655)+COUNTIFS($GA$2:$GA$1000,"Y",$J$2:$J$1000,J655,$GD$2:$GD$1000,"&lt;"&amp;GD655)+1&lt;=25,COUNTIFS($GA$2:$GA$1000,"Y",$J$2:$J$1000,"&gt;"&amp;J655)+COUNTIFS($GA$2:$GA$1000,"Y",$J$2:$J$1000,J655,$GD$2:$GD$1000,"&lt;"&amp;GD655)+1,""))</f>
        <v/>
      </c>
      <c r="GC655" s="0" t="str">
        <f aca="false">IF(AND(_xlfn.ISFORMULA(C655),_xlfn.ISFORMULA(J655)),"Y","N")</f>
        <v>Y</v>
      </c>
      <c r="GD655" s="0" t="n">
        <f aca="false">ROW()-1</f>
        <v>654</v>
      </c>
    </row>
    <row r="656" customFormat="false" ht="15" hidden="false" customHeight="false" outlineLevel="0" collapsed="false">
      <c r="C656" s="0" t="str">
        <f aca="false">IF($A656="","",IF(AW656="Y",BM656&amp;"",AY656&amp;""))</f>
        <v/>
      </c>
      <c r="D656" s="0" t="str">
        <f aca="false">IF($A656="","",IF(AW656="Y",BN656&amp;"",AZ656&amp;""))</f>
        <v/>
      </c>
      <c r="E656" s="0" t="str">
        <f aca="false">IF($A656="","",IF(AW656="Y",BO656&amp;"",BA656&amp;""))</f>
        <v/>
      </c>
      <c r="F656" s="0" t="str">
        <f aca="false">IF($A656="","",IF(AW656="Y",BP656&amp;"",BB656&amp;""))</f>
        <v/>
      </c>
      <c r="G656" s="0" t="str">
        <f aca="false">IF($A656="","",IF(AW656="Y",BQ656&amp;"",BC656&amp;""))</f>
        <v/>
      </c>
      <c r="H656" s="0" t="str">
        <f aca="false">IF($A656="","",IF(AW656="Y",BR656&amp;"",BD656&amp;""))</f>
        <v/>
      </c>
      <c r="I656" s="0" t="str">
        <f aca="false">IF($A656="","",IF(R656="Y","warm-intro",IF(H656="verified","email",IF(C656&lt;&gt;"","linkedin",CB656&amp;""))))</f>
        <v/>
      </c>
      <c r="J656" s="0" t="str">
        <f aca="false">IF($A656="","",IF(CN656="pass",ROUND(N(EM656)+N(EN656)+N(EO656)+N(EP656)+N(EQ656)+N(ER656),1),0))</f>
        <v/>
      </c>
      <c r="K656" s="0" t="str">
        <f aca="false">IF($A656="","",IF(CN656&lt;&gt;"pass",CA656&amp;"",CA656&amp;"; "&amp;IF(AW656="Y",BZ656&amp;"",BL656&amp;"")&amp;IF(R656="Y","; known to the founder (+15)","")&amp;"."))</f>
        <v/>
      </c>
      <c r="R656" s="5"/>
      <c r="U656" s="5"/>
      <c r="Y656" s="0" t="str">
        <f aca="false">IF(FX656&lt;&gt;"Y","",COUNTIFS($FX$2:$FX$1000,"Y",$J$2:$J$1000,"&gt;"&amp;J656)+COUNTIFS($FX$2:$FX$1000,"Y",$J$2:$J$1000,J656,$GD$2:$GD$1000,"&lt;"&amp;GD656)+1)</f>
        <v/>
      </c>
      <c r="AB656" s="0" t="str">
        <f aca="false">IF($A656="","",IF(AW656="Y",BY656&amp;"",BK656&amp;""))</f>
        <v/>
      </c>
      <c r="AC656" s="0" t="str">
        <f aca="false">IF($A656="","",IF(AW656="Y",BS656&amp;"",BE656&amp;""))</f>
        <v/>
      </c>
      <c r="AD656" s="0" t="str">
        <f aca="false">IF($A656="","",IF(AW656="Y",BT656&amp;"",BF656&amp;""))</f>
        <v/>
      </c>
      <c r="AE656" s="0" t="str">
        <f aca="false">IF($A656="","",IF(AW656="Y",BU656&amp;"",BG656&amp;""))</f>
        <v/>
      </c>
      <c r="AF656" s="0" t="str">
        <f aca="false">IF($A656="","",IF(AW656="Y",BV656&amp;"",BH656&amp;""))</f>
        <v/>
      </c>
      <c r="AG656" s="0" t="str">
        <f aca="false">IF($A656="","",IF(AW656="Y",BW656&amp;"",BI656&amp;""))</f>
        <v/>
      </c>
      <c r="AH656" s="0" t="str">
        <f aca="false">IF($A656="","",IF(AW656="Y",BX656&amp;"",BJ656&amp;""))</f>
        <v/>
      </c>
      <c r="AQ656" s="5"/>
      <c r="AT656" s="0" t="str">
        <f aca="false">IF($A656="","",IF(AND(CN656="pass",AQ656&lt;&gt;"Y",C656&lt;&gt;"",OR(AX656&lt;&gt;"Y",AV656="Y")),"Y","N"))</f>
        <v/>
      </c>
      <c r="AU656" s="0" t="str">
        <f aca="false">IF($A656="","",_xlfn.TEXTJOIN("; ",TRUE(),IF(CN656&lt;&gt;"pass","gated out",""),IF(AQ656="Y","on hold: "&amp;AR656,""),IF(C656="","no contact named on an opened page",""),IF(AND(AX656="Y",AV656&lt;&gt;"Y"),"Tuesday estimate band "&amp;L656&amp;": founder's call","")))</f>
        <v/>
      </c>
      <c r="BC656" s="0" t="str">
        <f aca="false">IF($A656="","",IFERROR(INDEX(Enrichment!$A$2:$GZ$2000,MATCH($A656,INDEX(Enrichment!$A$2:$GZ$2000,0,MATCH("row_id",Enrichment!$A$1:$GZ$1,0)),0),MATCH("work_email",Enrichment!$A$1:$GZ$1,0))&amp;"",""))</f>
        <v/>
      </c>
      <c r="BD656" s="0" t="str">
        <f aca="false">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Q656" s="0" t="str">
        <f aca="false">IF($A656="","",IFERROR(INDEX(Enrichment!$A$2:$GZ$2000,MATCH($A656,INDEX(Enrichment!$A$2:$GZ$2000,0,MATCH("row_id",Enrichment!$A$1:$GZ$1,0)),0),MATCH("backup_work_email",Enrichment!$A$1:$GZ$1,0))&amp;"",""))</f>
        <v/>
      </c>
      <c r="BR656" s="0" t="str">
        <f aca="false">IF($A656="","",IF(BQ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EQ656" s="0" t="str">
        <f aca="false">IF($A656="","",IF(AH656="exact",10,IF(AH656="adjacent",5,0)))</f>
        <v/>
      </c>
      <c r="ER656" s="0" t="str">
        <f aca="false">IF($A656="","",IF(R656="Y",15,0))</f>
        <v/>
      </c>
      <c r="FS656" s="0" t="str">
        <f aca="false">IF($A656="","",IF(ISNUMBER(MATCH(U656,{"queued","contacted","replied","call_booked","call_done","yes_in_principle","materials_sent"},0)),"Y","N"))</f>
        <v/>
      </c>
      <c r="FT656" s="0" t="str">
        <f aca="false">IF($A656="","",IF(OR(T656="Y",U656="do_not_contact",AS656&amp;""&lt;&gt;""),"Y","N"))</f>
        <v/>
      </c>
      <c r="FU656" s="0" t="str">
        <f aca="false">IF($A656="","",IF(AP656&amp;""&lt;&gt;"",AP656&amp;"",$A656))</f>
        <v/>
      </c>
      <c r="FV656" s="0" t="str">
        <f aca="false">IF($A656="","",IF(COUNTIFS($FU$2:$FU$1000,FU656,$FS$2:$FS$1000,"Y")+COUNTIFS($FU$2:$FU$1000,FU656,$FT$2:$FT$1000,"Y")&gt;0,"Y","N"))</f>
        <v/>
      </c>
      <c r="FW656" s="0" t="str">
        <f aca="false">IF($A656="","",IF(AND(U656="new",T656="N",FT656="N",AT656="Y",FV656="N"),"Y","N"))</f>
        <v/>
      </c>
      <c r="FX656" s="0" t="str">
        <f aca="false">IF($A656="","",IF(FW656&lt;&gt;"Y","N",IF(COUNTIFS($FU$2:$FU$1000,FU656,$FW$2:$FW$1000,"Y",$J$2:$J$1000,"&gt;"&amp;J656)+COUNTIFS($FU$2:$FU$1000,FU656,$FW$2:$FW$1000,"Y",$J$2:$J$1000,J656,$GD$2:$GD$1000,"&lt;"&amp;GD656)=0,"Y","N")))</f>
        <v/>
      </c>
      <c r="FY656" s="0" t="str">
        <f aca="false">IF($A656="","",IF(AND(FW656="Y",FX656="Y",Y656&amp;""&lt;&gt;""),IF(Y656&lt;=10,"Y","N"),"N"))</f>
        <v/>
      </c>
      <c r="FZ656" s="0" t="str">
        <f aca="false">IF(FY656="Y",Y656,"")</f>
        <v/>
      </c>
      <c r="GA656" s="0" t="str">
        <f aca="false">IF($A656="","",IF(AND(I656="walk-in",CN656="pass",U656="new",FT656="N",FV656="N",AQ656&lt;&gt;"Y"),"Y","N"))</f>
        <v/>
      </c>
      <c r="GB656" s="0" t="str">
        <f aca="false">IF(GA656&lt;&gt;"Y","",IF(COUNTIFS($GA$2:$GA$1000,"Y",$J$2:$J$1000,"&gt;"&amp;J656)+COUNTIFS($GA$2:$GA$1000,"Y",$J$2:$J$1000,J656,$GD$2:$GD$1000,"&lt;"&amp;GD656)+1&lt;=25,COUNTIFS($GA$2:$GA$1000,"Y",$J$2:$J$1000,"&gt;"&amp;J656)+COUNTIFS($GA$2:$GA$1000,"Y",$J$2:$J$1000,J656,$GD$2:$GD$1000,"&lt;"&amp;GD656)+1,""))</f>
        <v/>
      </c>
      <c r="GC656" s="0" t="str">
        <f aca="false">IF(AND(_xlfn.ISFORMULA(C656),_xlfn.ISFORMULA(J656)),"Y","N")</f>
        <v>Y</v>
      </c>
      <c r="GD656" s="0" t="n">
        <f aca="false">ROW()-1</f>
        <v>655</v>
      </c>
    </row>
    <row r="657" customFormat="false" ht="15" hidden="false" customHeight="false" outlineLevel="0" collapsed="false">
      <c r="C657" s="0" t="str">
        <f aca="false">IF($A657="","",IF(AW657="Y",BM657&amp;"",AY657&amp;""))</f>
        <v/>
      </c>
      <c r="D657" s="0" t="str">
        <f aca="false">IF($A657="","",IF(AW657="Y",BN657&amp;"",AZ657&amp;""))</f>
        <v/>
      </c>
      <c r="E657" s="0" t="str">
        <f aca="false">IF($A657="","",IF(AW657="Y",BO657&amp;"",BA657&amp;""))</f>
        <v/>
      </c>
      <c r="F657" s="0" t="str">
        <f aca="false">IF($A657="","",IF(AW657="Y",BP657&amp;"",BB657&amp;""))</f>
        <v/>
      </c>
      <c r="G657" s="0" t="str">
        <f aca="false">IF($A657="","",IF(AW657="Y",BQ657&amp;"",BC657&amp;""))</f>
        <v/>
      </c>
      <c r="H657" s="0" t="str">
        <f aca="false">IF($A657="","",IF(AW657="Y",BR657&amp;"",BD657&amp;""))</f>
        <v/>
      </c>
      <c r="I657" s="0" t="str">
        <f aca="false">IF($A657="","",IF(R657="Y","warm-intro",IF(H657="verified","email",IF(C657&lt;&gt;"","linkedin",CB657&amp;""))))</f>
        <v/>
      </c>
      <c r="J657" s="0" t="str">
        <f aca="false">IF($A657="","",IF(CN657="pass",ROUND(N(EM657)+N(EN657)+N(EO657)+N(EP657)+N(EQ657)+N(ER657),1),0))</f>
        <v/>
      </c>
      <c r="K657" s="0" t="str">
        <f aca="false">IF($A657="","",IF(CN657&lt;&gt;"pass",CA657&amp;"",CA657&amp;"; "&amp;IF(AW657="Y",BZ657&amp;"",BL657&amp;"")&amp;IF(R657="Y","; known to the founder (+15)","")&amp;"."))</f>
        <v/>
      </c>
      <c r="R657" s="5"/>
      <c r="U657" s="5"/>
      <c r="Y657" s="0" t="str">
        <f aca="false">IF(FX657&lt;&gt;"Y","",COUNTIFS($FX$2:$FX$1000,"Y",$J$2:$J$1000,"&gt;"&amp;J657)+COUNTIFS($FX$2:$FX$1000,"Y",$J$2:$J$1000,J657,$GD$2:$GD$1000,"&lt;"&amp;GD657)+1)</f>
        <v/>
      </c>
      <c r="AB657" s="0" t="str">
        <f aca="false">IF($A657="","",IF(AW657="Y",BY657&amp;"",BK657&amp;""))</f>
        <v/>
      </c>
      <c r="AC657" s="0" t="str">
        <f aca="false">IF($A657="","",IF(AW657="Y",BS657&amp;"",BE657&amp;""))</f>
        <v/>
      </c>
      <c r="AD657" s="0" t="str">
        <f aca="false">IF($A657="","",IF(AW657="Y",BT657&amp;"",BF657&amp;""))</f>
        <v/>
      </c>
      <c r="AE657" s="0" t="str">
        <f aca="false">IF($A657="","",IF(AW657="Y",BU657&amp;"",BG657&amp;""))</f>
        <v/>
      </c>
      <c r="AF657" s="0" t="str">
        <f aca="false">IF($A657="","",IF(AW657="Y",BV657&amp;"",BH657&amp;""))</f>
        <v/>
      </c>
      <c r="AG657" s="0" t="str">
        <f aca="false">IF($A657="","",IF(AW657="Y",BW657&amp;"",BI657&amp;""))</f>
        <v/>
      </c>
      <c r="AH657" s="0" t="str">
        <f aca="false">IF($A657="","",IF(AW657="Y",BX657&amp;"",BJ657&amp;""))</f>
        <v/>
      </c>
      <c r="AQ657" s="5"/>
      <c r="AT657" s="0" t="str">
        <f aca="false">IF($A657="","",IF(AND(CN657="pass",AQ657&lt;&gt;"Y",C657&lt;&gt;"",OR(AX657&lt;&gt;"Y",AV657="Y")),"Y","N"))</f>
        <v/>
      </c>
      <c r="AU657" s="0" t="str">
        <f aca="false">IF($A657="","",_xlfn.TEXTJOIN("; ",TRUE(),IF(CN657&lt;&gt;"pass","gated out",""),IF(AQ657="Y","on hold: "&amp;AR657,""),IF(C657="","no contact named on an opened page",""),IF(AND(AX657="Y",AV657&lt;&gt;"Y"),"Tuesday estimate band "&amp;L657&amp;": founder's call","")))</f>
        <v/>
      </c>
      <c r="BC657" s="0" t="str">
        <f aca="false">IF($A657="","",IFERROR(INDEX(Enrichment!$A$2:$GZ$2000,MATCH($A657,INDEX(Enrichment!$A$2:$GZ$2000,0,MATCH("row_id",Enrichment!$A$1:$GZ$1,0)),0),MATCH("work_email",Enrichment!$A$1:$GZ$1,0))&amp;"",""))</f>
        <v/>
      </c>
      <c r="BD657" s="0" t="str">
        <f aca="false">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Q657" s="0" t="str">
        <f aca="false">IF($A657="","",IFERROR(INDEX(Enrichment!$A$2:$GZ$2000,MATCH($A657,INDEX(Enrichment!$A$2:$GZ$2000,0,MATCH("row_id",Enrichment!$A$1:$GZ$1,0)),0),MATCH("backup_work_email",Enrichment!$A$1:$GZ$1,0))&amp;"",""))</f>
        <v/>
      </c>
      <c r="BR657" s="0" t="str">
        <f aca="false">IF($A657="","",IF(BQ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EQ657" s="0" t="str">
        <f aca="false">IF($A657="","",IF(AH657="exact",10,IF(AH657="adjacent",5,0)))</f>
        <v/>
      </c>
      <c r="ER657" s="0" t="str">
        <f aca="false">IF($A657="","",IF(R657="Y",15,0))</f>
        <v/>
      </c>
      <c r="FS657" s="0" t="str">
        <f aca="false">IF($A657="","",IF(ISNUMBER(MATCH(U657,{"queued","contacted","replied","call_booked","call_done","yes_in_principle","materials_sent"},0)),"Y","N"))</f>
        <v/>
      </c>
      <c r="FT657" s="0" t="str">
        <f aca="false">IF($A657="","",IF(OR(T657="Y",U657="do_not_contact",AS657&amp;""&lt;&gt;""),"Y","N"))</f>
        <v/>
      </c>
      <c r="FU657" s="0" t="str">
        <f aca="false">IF($A657="","",IF(AP657&amp;""&lt;&gt;"",AP657&amp;"",$A657))</f>
        <v/>
      </c>
      <c r="FV657" s="0" t="str">
        <f aca="false">IF($A657="","",IF(COUNTIFS($FU$2:$FU$1000,FU657,$FS$2:$FS$1000,"Y")+COUNTIFS($FU$2:$FU$1000,FU657,$FT$2:$FT$1000,"Y")&gt;0,"Y","N"))</f>
        <v/>
      </c>
      <c r="FW657" s="0" t="str">
        <f aca="false">IF($A657="","",IF(AND(U657="new",T657="N",FT657="N",AT657="Y",FV657="N"),"Y","N"))</f>
        <v/>
      </c>
      <c r="FX657" s="0" t="str">
        <f aca="false">IF($A657="","",IF(FW657&lt;&gt;"Y","N",IF(COUNTIFS($FU$2:$FU$1000,FU657,$FW$2:$FW$1000,"Y",$J$2:$J$1000,"&gt;"&amp;J657)+COUNTIFS($FU$2:$FU$1000,FU657,$FW$2:$FW$1000,"Y",$J$2:$J$1000,J657,$GD$2:$GD$1000,"&lt;"&amp;GD657)=0,"Y","N")))</f>
        <v/>
      </c>
      <c r="FY657" s="0" t="str">
        <f aca="false">IF($A657="","",IF(AND(FW657="Y",FX657="Y",Y657&amp;""&lt;&gt;""),IF(Y657&lt;=10,"Y","N"),"N"))</f>
        <v/>
      </c>
      <c r="FZ657" s="0" t="str">
        <f aca="false">IF(FY657="Y",Y657,"")</f>
        <v/>
      </c>
      <c r="GA657" s="0" t="str">
        <f aca="false">IF($A657="","",IF(AND(I657="walk-in",CN657="pass",U657="new",FT657="N",FV657="N",AQ657&lt;&gt;"Y"),"Y","N"))</f>
        <v/>
      </c>
      <c r="GB657" s="0" t="str">
        <f aca="false">IF(GA657&lt;&gt;"Y","",IF(COUNTIFS($GA$2:$GA$1000,"Y",$J$2:$J$1000,"&gt;"&amp;J657)+COUNTIFS($GA$2:$GA$1000,"Y",$J$2:$J$1000,J657,$GD$2:$GD$1000,"&lt;"&amp;GD657)+1&lt;=25,COUNTIFS($GA$2:$GA$1000,"Y",$J$2:$J$1000,"&gt;"&amp;J657)+COUNTIFS($GA$2:$GA$1000,"Y",$J$2:$J$1000,J657,$GD$2:$GD$1000,"&lt;"&amp;GD657)+1,""))</f>
        <v/>
      </c>
      <c r="GC657" s="0" t="str">
        <f aca="false">IF(AND(_xlfn.ISFORMULA(C657),_xlfn.ISFORMULA(J657)),"Y","N")</f>
        <v>Y</v>
      </c>
      <c r="GD657" s="0" t="n">
        <f aca="false">ROW()-1</f>
        <v>656</v>
      </c>
    </row>
    <row r="658" customFormat="false" ht="15" hidden="false" customHeight="false" outlineLevel="0" collapsed="false">
      <c r="C658" s="0" t="str">
        <f aca="false">IF($A658="","",IF(AW658="Y",BM658&amp;"",AY658&amp;""))</f>
        <v/>
      </c>
      <c r="D658" s="0" t="str">
        <f aca="false">IF($A658="","",IF(AW658="Y",BN658&amp;"",AZ658&amp;""))</f>
        <v/>
      </c>
      <c r="E658" s="0" t="str">
        <f aca="false">IF($A658="","",IF(AW658="Y",BO658&amp;"",BA658&amp;""))</f>
        <v/>
      </c>
      <c r="F658" s="0" t="str">
        <f aca="false">IF($A658="","",IF(AW658="Y",BP658&amp;"",BB658&amp;""))</f>
        <v/>
      </c>
      <c r="G658" s="0" t="str">
        <f aca="false">IF($A658="","",IF(AW658="Y",BQ658&amp;"",BC658&amp;""))</f>
        <v/>
      </c>
      <c r="H658" s="0" t="str">
        <f aca="false">IF($A658="","",IF(AW658="Y",BR658&amp;"",BD658&amp;""))</f>
        <v/>
      </c>
      <c r="I658" s="0" t="str">
        <f aca="false">IF($A658="","",IF(R658="Y","warm-intro",IF(H658="verified","email",IF(C658&lt;&gt;"","linkedin",CB658&amp;""))))</f>
        <v/>
      </c>
      <c r="J658" s="0" t="str">
        <f aca="false">IF($A658="","",IF(CN658="pass",ROUND(N(EM658)+N(EN658)+N(EO658)+N(EP658)+N(EQ658)+N(ER658),1),0))</f>
        <v/>
      </c>
      <c r="K658" s="0" t="str">
        <f aca="false">IF($A658="","",IF(CN658&lt;&gt;"pass",CA658&amp;"",CA658&amp;"; "&amp;IF(AW658="Y",BZ658&amp;"",BL658&amp;"")&amp;IF(R658="Y","; known to the founder (+15)","")&amp;"."))</f>
        <v/>
      </c>
      <c r="R658" s="5"/>
      <c r="U658" s="5"/>
      <c r="Y658" s="0" t="str">
        <f aca="false">IF(FX658&lt;&gt;"Y","",COUNTIFS($FX$2:$FX$1000,"Y",$J$2:$J$1000,"&gt;"&amp;J658)+COUNTIFS($FX$2:$FX$1000,"Y",$J$2:$J$1000,J658,$GD$2:$GD$1000,"&lt;"&amp;GD658)+1)</f>
        <v/>
      </c>
      <c r="AB658" s="0" t="str">
        <f aca="false">IF($A658="","",IF(AW658="Y",BY658&amp;"",BK658&amp;""))</f>
        <v/>
      </c>
      <c r="AC658" s="0" t="str">
        <f aca="false">IF($A658="","",IF(AW658="Y",BS658&amp;"",BE658&amp;""))</f>
        <v/>
      </c>
      <c r="AD658" s="0" t="str">
        <f aca="false">IF($A658="","",IF(AW658="Y",BT658&amp;"",BF658&amp;""))</f>
        <v/>
      </c>
      <c r="AE658" s="0" t="str">
        <f aca="false">IF($A658="","",IF(AW658="Y",BU658&amp;"",BG658&amp;""))</f>
        <v/>
      </c>
      <c r="AF658" s="0" t="str">
        <f aca="false">IF($A658="","",IF(AW658="Y",BV658&amp;"",BH658&amp;""))</f>
        <v/>
      </c>
      <c r="AG658" s="0" t="str">
        <f aca="false">IF($A658="","",IF(AW658="Y",BW658&amp;"",BI658&amp;""))</f>
        <v/>
      </c>
      <c r="AH658" s="0" t="str">
        <f aca="false">IF($A658="","",IF(AW658="Y",BX658&amp;"",BJ658&amp;""))</f>
        <v/>
      </c>
      <c r="AQ658" s="5"/>
      <c r="AT658" s="0" t="str">
        <f aca="false">IF($A658="","",IF(AND(CN658="pass",AQ658&lt;&gt;"Y",C658&lt;&gt;"",OR(AX658&lt;&gt;"Y",AV658="Y")),"Y","N"))</f>
        <v/>
      </c>
      <c r="AU658" s="0" t="str">
        <f aca="false">IF($A658="","",_xlfn.TEXTJOIN("; ",TRUE(),IF(CN658&lt;&gt;"pass","gated out",""),IF(AQ658="Y","on hold: "&amp;AR658,""),IF(C658="","no contact named on an opened page",""),IF(AND(AX658="Y",AV658&lt;&gt;"Y"),"Tuesday estimate band "&amp;L658&amp;": founder's call","")))</f>
        <v/>
      </c>
      <c r="BC658" s="0" t="str">
        <f aca="false">IF($A658="","",IFERROR(INDEX(Enrichment!$A$2:$GZ$2000,MATCH($A658,INDEX(Enrichment!$A$2:$GZ$2000,0,MATCH("row_id",Enrichment!$A$1:$GZ$1,0)),0),MATCH("work_email",Enrichment!$A$1:$GZ$1,0))&amp;"",""))</f>
        <v/>
      </c>
      <c r="BD658" s="0" t="str">
        <f aca="false">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Q658" s="0" t="str">
        <f aca="false">IF($A658="","",IFERROR(INDEX(Enrichment!$A$2:$GZ$2000,MATCH($A658,INDEX(Enrichment!$A$2:$GZ$2000,0,MATCH("row_id",Enrichment!$A$1:$GZ$1,0)),0),MATCH("backup_work_email",Enrichment!$A$1:$GZ$1,0))&amp;"",""))</f>
        <v/>
      </c>
      <c r="BR658" s="0" t="str">
        <f aca="false">IF($A658="","",IF(BQ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EQ658" s="0" t="str">
        <f aca="false">IF($A658="","",IF(AH658="exact",10,IF(AH658="adjacent",5,0)))</f>
        <v/>
      </c>
      <c r="ER658" s="0" t="str">
        <f aca="false">IF($A658="","",IF(R658="Y",15,0))</f>
        <v/>
      </c>
      <c r="FS658" s="0" t="str">
        <f aca="false">IF($A658="","",IF(ISNUMBER(MATCH(U658,{"queued","contacted","replied","call_booked","call_done","yes_in_principle","materials_sent"},0)),"Y","N"))</f>
        <v/>
      </c>
      <c r="FT658" s="0" t="str">
        <f aca="false">IF($A658="","",IF(OR(T658="Y",U658="do_not_contact",AS658&amp;""&lt;&gt;""),"Y","N"))</f>
        <v/>
      </c>
      <c r="FU658" s="0" t="str">
        <f aca="false">IF($A658="","",IF(AP658&amp;""&lt;&gt;"",AP658&amp;"",$A658))</f>
        <v/>
      </c>
      <c r="FV658" s="0" t="str">
        <f aca="false">IF($A658="","",IF(COUNTIFS($FU$2:$FU$1000,FU658,$FS$2:$FS$1000,"Y")+COUNTIFS($FU$2:$FU$1000,FU658,$FT$2:$FT$1000,"Y")&gt;0,"Y","N"))</f>
        <v/>
      </c>
      <c r="FW658" s="0" t="str">
        <f aca="false">IF($A658="","",IF(AND(U658="new",T658="N",FT658="N",AT658="Y",FV658="N"),"Y","N"))</f>
        <v/>
      </c>
      <c r="FX658" s="0" t="str">
        <f aca="false">IF($A658="","",IF(FW658&lt;&gt;"Y","N",IF(COUNTIFS($FU$2:$FU$1000,FU658,$FW$2:$FW$1000,"Y",$J$2:$J$1000,"&gt;"&amp;J658)+COUNTIFS($FU$2:$FU$1000,FU658,$FW$2:$FW$1000,"Y",$J$2:$J$1000,J658,$GD$2:$GD$1000,"&lt;"&amp;GD658)=0,"Y","N")))</f>
        <v/>
      </c>
      <c r="FY658" s="0" t="str">
        <f aca="false">IF($A658="","",IF(AND(FW658="Y",FX658="Y",Y658&amp;""&lt;&gt;""),IF(Y658&lt;=10,"Y","N"),"N"))</f>
        <v/>
      </c>
      <c r="FZ658" s="0" t="str">
        <f aca="false">IF(FY658="Y",Y658,"")</f>
        <v/>
      </c>
      <c r="GA658" s="0" t="str">
        <f aca="false">IF($A658="","",IF(AND(I658="walk-in",CN658="pass",U658="new",FT658="N",FV658="N",AQ658&lt;&gt;"Y"),"Y","N"))</f>
        <v/>
      </c>
      <c r="GB658" s="0" t="str">
        <f aca="false">IF(GA658&lt;&gt;"Y","",IF(COUNTIFS($GA$2:$GA$1000,"Y",$J$2:$J$1000,"&gt;"&amp;J658)+COUNTIFS($GA$2:$GA$1000,"Y",$J$2:$J$1000,J658,$GD$2:$GD$1000,"&lt;"&amp;GD658)+1&lt;=25,COUNTIFS($GA$2:$GA$1000,"Y",$J$2:$J$1000,"&gt;"&amp;J658)+COUNTIFS($GA$2:$GA$1000,"Y",$J$2:$J$1000,J658,$GD$2:$GD$1000,"&lt;"&amp;GD658)+1,""))</f>
        <v/>
      </c>
      <c r="GC658" s="0" t="str">
        <f aca="false">IF(AND(_xlfn.ISFORMULA(C658),_xlfn.ISFORMULA(J658)),"Y","N")</f>
        <v>Y</v>
      </c>
      <c r="GD658" s="0" t="n">
        <f aca="false">ROW()-1</f>
        <v>657</v>
      </c>
    </row>
    <row r="659" customFormat="false" ht="15" hidden="false" customHeight="false" outlineLevel="0" collapsed="false">
      <c r="C659" s="0" t="str">
        <f aca="false">IF($A659="","",IF(AW659="Y",BM659&amp;"",AY659&amp;""))</f>
        <v/>
      </c>
      <c r="D659" s="0" t="str">
        <f aca="false">IF($A659="","",IF(AW659="Y",BN659&amp;"",AZ659&amp;""))</f>
        <v/>
      </c>
      <c r="E659" s="0" t="str">
        <f aca="false">IF($A659="","",IF(AW659="Y",BO659&amp;"",BA659&amp;""))</f>
        <v/>
      </c>
      <c r="F659" s="0" t="str">
        <f aca="false">IF($A659="","",IF(AW659="Y",BP659&amp;"",BB659&amp;""))</f>
        <v/>
      </c>
      <c r="G659" s="0" t="str">
        <f aca="false">IF($A659="","",IF(AW659="Y",BQ659&amp;"",BC659&amp;""))</f>
        <v/>
      </c>
      <c r="H659" s="0" t="str">
        <f aca="false">IF($A659="","",IF(AW659="Y",BR659&amp;"",BD659&amp;""))</f>
        <v/>
      </c>
      <c r="I659" s="0" t="str">
        <f aca="false">IF($A659="","",IF(R659="Y","warm-intro",IF(H659="verified","email",IF(C659&lt;&gt;"","linkedin",CB659&amp;""))))</f>
        <v/>
      </c>
      <c r="J659" s="0" t="str">
        <f aca="false">IF($A659="","",IF(CN659="pass",ROUND(N(EM659)+N(EN659)+N(EO659)+N(EP659)+N(EQ659)+N(ER659),1),0))</f>
        <v/>
      </c>
      <c r="K659" s="0" t="str">
        <f aca="false">IF($A659="","",IF(CN659&lt;&gt;"pass",CA659&amp;"",CA659&amp;"; "&amp;IF(AW659="Y",BZ659&amp;"",BL659&amp;"")&amp;IF(R659="Y","; known to the founder (+15)","")&amp;"."))</f>
        <v/>
      </c>
      <c r="R659" s="5"/>
      <c r="U659" s="5"/>
      <c r="Y659" s="0" t="str">
        <f aca="false">IF(FX659&lt;&gt;"Y","",COUNTIFS($FX$2:$FX$1000,"Y",$J$2:$J$1000,"&gt;"&amp;J659)+COUNTIFS($FX$2:$FX$1000,"Y",$J$2:$J$1000,J659,$GD$2:$GD$1000,"&lt;"&amp;GD659)+1)</f>
        <v/>
      </c>
      <c r="AB659" s="0" t="str">
        <f aca="false">IF($A659="","",IF(AW659="Y",BY659&amp;"",BK659&amp;""))</f>
        <v/>
      </c>
      <c r="AC659" s="0" t="str">
        <f aca="false">IF($A659="","",IF(AW659="Y",BS659&amp;"",BE659&amp;""))</f>
        <v/>
      </c>
      <c r="AD659" s="0" t="str">
        <f aca="false">IF($A659="","",IF(AW659="Y",BT659&amp;"",BF659&amp;""))</f>
        <v/>
      </c>
      <c r="AE659" s="0" t="str">
        <f aca="false">IF($A659="","",IF(AW659="Y",BU659&amp;"",BG659&amp;""))</f>
        <v/>
      </c>
      <c r="AF659" s="0" t="str">
        <f aca="false">IF($A659="","",IF(AW659="Y",BV659&amp;"",BH659&amp;""))</f>
        <v/>
      </c>
      <c r="AG659" s="0" t="str">
        <f aca="false">IF($A659="","",IF(AW659="Y",BW659&amp;"",BI659&amp;""))</f>
        <v/>
      </c>
      <c r="AH659" s="0" t="str">
        <f aca="false">IF($A659="","",IF(AW659="Y",BX659&amp;"",BJ659&amp;""))</f>
        <v/>
      </c>
      <c r="AQ659" s="5"/>
      <c r="AT659" s="0" t="str">
        <f aca="false">IF($A659="","",IF(AND(CN659="pass",AQ659&lt;&gt;"Y",C659&lt;&gt;"",OR(AX659&lt;&gt;"Y",AV659="Y")),"Y","N"))</f>
        <v/>
      </c>
      <c r="AU659" s="0" t="str">
        <f aca="false">IF($A659="","",_xlfn.TEXTJOIN("; ",TRUE(),IF(CN659&lt;&gt;"pass","gated out",""),IF(AQ659="Y","on hold: "&amp;AR659,""),IF(C659="","no contact named on an opened page",""),IF(AND(AX659="Y",AV659&lt;&gt;"Y"),"Tuesday estimate band "&amp;L659&amp;": founder's call","")))</f>
        <v/>
      </c>
      <c r="BC659" s="0" t="str">
        <f aca="false">IF($A659="","",IFERROR(INDEX(Enrichment!$A$2:$GZ$2000,MATCH($A659,INDEX(Enrichment!$A$2:$GZ$2000,0,MATCH("row_id",Enrichment!$A$1:$GZ$1,0)),0),MATCH("work_email",Enrichment!$A$1:$GZ$1,0))&amp;"",""))</f>
        <v/>
      </c>
      <c r="BD659" s="0" t="str">
        <f aca="false">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Q659" s="0" t="str">
        <f aca="false">IF($A659="","",IFERROR(INDEX(Enrichment!$A$2:$GZ$2000,MATCH($A659,INDEX(Enrichment!$A$2:$GZ$2000,0,MATCH("row_id",Enrichment!$A$1:$GZ$1,0)),0),MATCH("backup_work_email",Enrichment!$A$1:$GZ$1,0))&amp;"",""))</f>
        <v/>
      </c>
      <c r="BR659" s="0" t="str">
        <f aca="false">IF($A659="","",IF(BQ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EQ659" s="0" t="str">
        <f aca="false">IF($A659="","",IF(AH659="exact",10,IF(AH659="adjacent",5,0)))</f>
        <v/>
      </c>
      <c r="ER659" s="0" t="str">
        <f aca="false">IF($A659="","",IF(R659="Y",15,0))</f>
        <v/>
      </c>
      <c r="FS659" s="0" t="str">
        <f aca="false">IF($A659="","",IF(ISNUMBER(MATCH(U659,{"queued","contacted","replied","call_booked","call_done","yes_in_principle","materials_sent"},0)),"Y","N"))</f>
        <v/>
      </c>
      <c r="FT659" s="0" t="str">
        <f aca="false">IF($A659="","",IF(OR(T659="Y",U659="do_not_contact",AS659&amp;""&lt;&gt;""),"Y","N"))</f>
        <v/>
      </c>
      <c r="FU659" s="0" t="str">
        <f aca="false">IF($A659="","",IF(AP659&amp;""&lt;&gt;"",AP659&amp;"",$A659))</f>
        <v/>
      </c>
      <c r="FV659" s="0" t="str">
        <f aca="false">IF($A659="","",IF(COUNTIFS($FU$2:$FU$1000,FU659,$FS$2:$FS$1000,"Y")+COUNTIFS($FU$2:$FU$1000,FU659,$FT$2:$FT$1000,"Y")&gt;0,"Y","N"))</f>
        <v/>
      </c>
      <c r="FW659" s="0" t="str">
        <f aca="false">IF($A659="","",IF(AND(U659="new",T659="N",FT659="N",AT659="Y",FV659="N"),"Y","N"))</f>
        <v/>
      </c>
      <c r="FX659" s="0" t="str">
        <f aca="false">IF($A659="","",IF(FW659&lt;&gt;"Y","N",IF(COUNTIFS($FU$2:$FU$1000,FU659,$FW$2:$FW$1000,"Y",$J$2:$J$1000,"&gt;"&amp;J659)+COUNTIFS($FU$2:$FU$1000,FU659,$FW$2:$FW$1000,"Y",$J$2:$J$1000,J659,$GD$2:$GD$1000,"&lt;"&amp;GD659)=0,"Y","N")))</f>
        <v/>
      </c>
      <c r="FY659" s="0" t="str">
        <f aca="false">IF($A659="","",IF(AND(FW659="Y",FX659="Y",Y659&amp;""&lt;&gt;""),IF(Y659&lt;=10,"Y","N"),"N"))</f>
        <v/>
      </c>
      <c r="FZ659" s="0" t="str">
        <f aca="false">IF(FY659="Y",Y659,"")</f>
        <v/>
      </c>
      <c r="GA659" s="0" t="str">
        <f aca="false">IF($A659="","",IF(AND(I659="walk-in",CN659="pass",U659="new",FT659="N",FV659="N",AQ659&lt;&gt;"Y"),"Y","N"))</f>
        <v/>
      </c>
      <c r="GB659" s="0" t="str">
        <f aca="false">IF(GA659&lt;&gt;"Y","",IF(COUNTIFS($GA$2:$GA$1000,"Y",$J$2:$J$1000,"&gt;"&amp;J659)+COUNTIFS($GA$2:$GA$1000,"Y",$J$2:$J$1000,J659,$GD$2:$GD$1000,"&lt;"&amp;GD659)+1&lt;=25,COUNTIFS($GA$2:$GA$1000,"Y",$J$2:$J$1000,"&gt;"&amp;J659)+COUNTIFS($GA$2:$GA$1000,"Y",$J$2:$J$1000,J659,$GD$2:$GD$1000,"&lt;"&amp;GD659)+1,""))</f>
        <v/>
      </c>
      <c r="GC659" s="0" t="str">
        <f aca="false">IF(AND(_xlfn.ISFORMULA(C659),_xlfn.ISFORMULA(J659)),"Y","N")</f>
        <v>Y</v>
      </c>
      <c r="GD659" s="0" t="n">
        <f aca="false">ROW()-1</f>
        <v>658</v>
      </c>
    </row>
    <row r="660" customFormat="false" ht="15" hidden="false" customHeight="false" outlineLevel="0" collapsed="false">
      <c r="C660" s="0" t="str">
        <f aca="false">IF($A660="","",IF(AW660="Y",BM660&amp;"",AY660&amp;""))</f>
        <v/>
      </c>
      <c r="D660" s="0" t="str">
        <f aca="false">IF($A660="","",IF(AW660="Y",BN660&amp;"",AZ660&amp;""))</f>
        <v/>
      </c>
      <c r="E660" s="0" t="str">
        <f aca="false">IF($A660="","",IF(AW660="Y",BO660&amp;"",BA660&amp;""))</f>
        <v/>
      </c>
      <c r="F660" s="0" t="str">
        <f aca="false">IF($A660="","",IF(AW660="Y",BP660&amp;"",BB660&amp;""))</f>
        <v/>
      </c>
      <c r="G660" s="0" t="str">
        <f aca="false">IF($A660="","",IF(AW660="Y",BQ660&amp;"",BC660&amp;""))</f>
        <v/>
      </c>
      <c r="H660" s="0" t="str">
        <f aca="false">IF($A660="","",IF(AW660="Y",BR660&amp;"",BD660&amp;""))</f>
        <v/>
      </c>
      <c r="I660" s="0" t="str">
        <f aca="false">IF($A660="","",IF(R660="Y","warm-intro",IF(H660="verified","email",IF(C660&lt;&gt;"","linkedin",CB660&amp;""))))</f>
        <v/>
      </c>
      <c r="J660" s="0" t="str">
        <f aca="false">IF($A660="","",IF(CN660="pass",ROUND(N(EM660)+N(EN660)+N(EO660)+N(EP660)+N(EQ660)+N(ER660),1),0))</f>
        <v/>
      </c>
      <c r="K660" s="0" t="str">
        <f aca="false">IF($A660="","",IF(CN660&lt;&gt;"pass",CA660&amp;"",CA660&amp;"; "&amp;IF(AW660="Y",BZ660&amp;"",BL660&amp;"")&amp;IF(R660="Y","; known to the founder (+15)","")&amp;"."))</f>
        <v/>
      </c>
      <c r="R660" s="5"/>
      <c r="U660" s="5"/>
      <c r="Y660" s="0" t="str">
        <f aca="false">IF(FX660&lt;&gt;"Y","",COUNTIFS($FX$2:$FX$1000,"Y",$J$2:$J$1000,"&gt;"&amp;J660)+COUNTIFS($FX$2:$FX$1000,"Y",$J$2:$J$1000,J660,$GD$2:$GD$1000,"&lt;"&amp;GD660)+1)</f>
        <v/>
      </c>
      <c r="AB660" s="0" t="str">
        <f aca="false">IF($A660="","",IF(AW660="Y",BY660&amp;"",BK660&amp;""))</f>
        <v/>
      </c>
      <c r="AC660" s="0" t="str">
        <f aca="false">IF($A660="","",IF(AW660="Y",BS660&amp;"",BE660&amp;""))</f>
        <v/>
      </c>
      <c r="AD660" s="0" t="str">
        <f aca="false">IF($A660="","",IF(AW660="Y",BT660&amp;"",BF660&amp;""))</f>
        <v/>
      </c>
      <c r="AE660" s="0" t="str">
        <f aca="false">IF($A660="","",IF(AW660="Y",BU660&amp;"",BG660&amp;""))</f>
        <v/>
      </c>
      <c r="AF660" s="0" t="str">
        <f aca="false">IF($A660="","",IF(AW660="Y",BV660&amp;"",BH660&amp;""))</f>
        <v/>
      </c>
      <c r="AG660" s="0" t="str">
        <f aca="false">IF($A660="","",IF(AW660="Y",BW660&amp;"",BI660&amp;""))</f>
        <v/>
      </c>
      <c r="AH660" s="0" t="str">
        <f aca="false">IF($A660="","",IF(AW660="Y",BX660&amp;"",BJ660&amp;""))</f>
        <v/>
      </c>
      <c r="AQ660" s="5"/>
      <c r="AT660" s="0" t="str">
        <f aca="false">IF($A660="","",IF(AND(CN660="pass",AQ660&lt;&gt;"Y",C660&lt;&gt;"",OR(AX660&lt;&gt;"Y",AV660="Y")),"Y","N"))</f>
        <v/>
      </c>
      <c r="AU660" s="0" t="str">
        <f aca="false">IF($A660="","",_xlfn.TEXTJOIN("; ",TRUE(),IF(CN660&lt;&gt;"pass","gated out",""),IF(AQ660="Y","on hold: "&amp;AR660,""),IF(C660="","no contact named on an opened page",""),IF(AND(AX660="Y",AV660&lt;&gt;"Y"),"Tuesday estimate band "&amp;L660&amp;": founder's call","")))</f>
        <v/>
      </c>
      <c r="BC660" s="0" t="str">
        <f aca="false">IF($A660="","",IFERROR(INDEX(Enrichment!$A$2:$GZ$2000,MATCH($A660,INDEX(Enrichment!$A$2:$GZ$2000,0,MATCH("row_id",Enrichment!$A$1:$GZ$1,0)),0),MATCH("work_email",Enrichment!$A$1:$GZ$1,0))&amp;"",""))</f>
        <v/>
      </c>
      <c r="BD660" s="0" t="str">
        <f aca="false">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Q660" s="0" t="str">
        <f aca="false">IF($A660="","",IFERROR(INDEX(Enrichment!$A$2:$GZ$2000,MATCH($A660,INDEX(Enrichment!$A$2:$GZ$2000,0,MATCH("row_id",Enrichment!$A$1:$GZ$1,0)),0),MATCH("backup_work_email",Enrichment!$A$1:$GZ$1,0))&amp;"",""))</f>
        <v/>
      </c>
      <c r="BR660" s="0" t="str">
        <f aca="false">IF($A660="","",IF(BQ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EQ660" s="0" t="str">
        <f aca="false">IF($A660="","",IF(AH660="exact",10,IF(AH660="adjacent",5,0)))</f>
        <v/>
      </c>
      <c r="ER660" s="0" t="str">
        <f aca="false">IF($A660="","",IF(R660="Y",15,0))</f>
        <v/>
      </c>
      <c r="FS660" s="0" t="str">
        <f aca="false">IF($A660="","",IF(ISNUMBER(MATCH(U660,{"queued","contacted","replied","call_booked","call_done","yes_in_principle","materials_sent"},0)),"Y","N"))</f>
        <v/>
      </c>
      <c r="FT660" s="0" t="str">
        <f aca="false">IF($A660="","",IF(OR(T660="Y",U660="do_not_contact",AS660&amp;""&lt;&gt;""),"Y","N"))</f>
        <v/>
      </c>
      <c r="FU660" s="0" t="str">
        <f aca="false">IF($A660="","",IF(AP660&amp;""&lt;&gt;"",AP660&amp;"",$A660))</f>
        <v/>
      </c>
      <c r="FV660" s="0" t="str">
        <f aca="false">IF($A660="","",IF(COUNTIFS($FU$2:$FU$1000,FU660,$FS$2:$FS$1000,"Y")+COUNTIFS($FU$2:$FU$1000,FU660,$FT$2:$FT$1000,"Y")&gt;0,"Y","N"))</f>
        <v/>
      </c>
      <c r="FW660" s="0" t="str">
        <f aca="false">IF($A660="","",IF(AND(U660="new",T660="N",FT660="N",AT660="Y",FV660="N"),"Y","N"))</f>
        <v/>
      </c>
      <c r="FX660" s="0" t="str">
        <f aca="false">IF($A660="","",IF(FW660&lt;&gt;"Y","N",IF(COUNTIFS($FU$2:$FU$1000,FU660,$FW$2:$FW$1000,"Y",$J$2:$J$1000,"&gt;"&amp;J660)+COUNTIFS($FU$2:$FU$1000,FU660,$FW$2:$FW$1000,"Y",$J$2:$J$1000,J660,$GD$2:$GD$1000,"&lt;"&amp;GD660)=0,"Y","N")))</f>
        <v/>
      </c>
      <c r="FY660" s="0" t="str">
        <f aca="false">IF($A660="","",IF(AND(FW660="Y",FX660="Y",Y660&amp;""&lt;&gt;""),IF(Y660&lt;=10,"Y","N"),"N"))</f>
        <v/>
      </c>
      <c r="FZ660" s="0" t="str">
        <f aca="false">IF(FY660="Y",Y660,"")</f>
        <v/>
      </c>
      <c r="GA660" s="0" t="str">
        <f aca="false">IF($A660="","",IF(AND(I660="walk-in",CN660="pass",U660="new",FT660="N",FV660="N",AQ660&lt;&gt;"Y"),"Y","N"))</f>
        <v/>
      </c>
      <c r="GB660" s="0" t="str">
        <f aca="false">IF(GA660&lt;&gt;"Y","",IF(COUNTIFS($GA$2:$GA$1000,"Y",$J$2:$J$1000,"&gt;"&amp;J660)+COUNTIFS($GA$2:$GA$1000,"Y",$J$2:$J$1000,J660,$GD$2:$GD$1000,"&lt;"&amp;GD660)+1&lt;=25,COUNTIFS($GA$2:$GA$1000,"Y",$J$2:$J$1000,"&gt;"&amp;J660)+COUNTIFS($GA$2:$GA$1000,"Y",$J$2:$J$1000,J660,$GD$2:$GD$1000,"&lt;"&amp;GD660)+1,""))</f>
        <v/>
      </c>
      <c r="GC660" s="0" t="str">
        <f aca="false">IF(AND(_xlfn.ISFORMULA(C660),_xlfn.ISFORMULA(J660)),"Y","N")</f>
        <v>Y</v>
      </c>
      <c r="GD660" s="0" t="n">
        <f aca="false">ROW()-1</f>
        <v>659</v>
      </c>
    </row>
    <row r="661" customFormat="false" ht="15" hidden="false" customHeight="false" outlineLevel="0" collapsed="false">
      <c r="C661" s="0" t="str">
        <f aca="false">IF($A661="","",IF(AW661="Y",BM661&amp;"",AY661&amp;""))</f>
        <v/>
      </c>
      <c r="D661" s="0" t="str">
        <f aca="false">IF($A661="","",IF(AW661="Y",BN661&amp;"",AZ661&amp;""))</f>
        <v/>
      </c>
      <c r="E661" s="0" t="str">
        <f aca="false">IF($A661="","",IF(AW661="Y",BO661&amp;"",BA661&amp;""))</f>
        <v/>
      </c>
      <c r="F661" s="0" t="str">
        <f aca="false">IF($A661="","",IF(AW661="Y",BP661&amp;"",BB661&amp;""))</f>
        <v/>
      </c>
      <c r="G661" s="0" t="str">
        <f aca="false">IF($A661="","",IF(AW661="Y",BQ661&amp;"",BC661&amp;""))</f>
        <v/>
      </c>
      <c r="H661" s="0" t="str">
        <f aca="false">IF($A661="","",IF(AW661="Y",BR661&amp;"",BD661&amp;""))</f>
        <v/>
      </c>
      <c r="I661" s="0" t="str">
        <f aca="false">IF($A661="","",IF(R661="Y","warm-intro",IF(H661="verified","email",IF(C661&lt;&gt;"","linkedin",CB661&amp;""))))</f>
        <v/>
      </c>
      <c r="J661" s="0" t="str">
        <f aca="false">IF($A661="","",IF(CN661="pass",ROUND(N(EM661)+N(EN661)+N(EO661)+N(EP661)+N(EQ661)+N(ER661),1),0))</f>
        <v/>
      </c>
      <c r="K661" s="0" t="str">
        <f aca="false">IF($A661="","",IF(CN661&lt;&gt;"pass",CA661&amp;"",CA661&amp;"; "&amp;IF(AW661="Y",BZ661&amp;"",BL661&amp;"")&amp;IF(R661="Y","; known to the founder (+15)","")&amp;"."))</f>
        <v/>
      </c>
      <c r="R661" s="5"/>
      <c r="U661" s="5"/>
      <c r="Y661" s="0" t="str">
        <f aca="false">IF(FX661&lt;&gt;"Y","",COUNTIFS($FX$2:$FX$1000,"Y",$J$2:$J$1000,"&gt;"&amp;J661)+COUNTIFS($FX$2:$FX$1000,"Y",$J$2:$J$1000,J661,$GD$2:$GD$1000,"&lt;"&amp;GD661)+1)</f>
        <v/>
      </c>
      <c r="AB661" s="0" t="str">
        <f aca="false">IF($A661="","",IF(AW661="Y",BY661&amp;"",BK661&amp;""))</f>
        <v/>
      </c>
      <c r="AC661" s="0" t="str">
        <f aca="false">IF($A661="","",IF(AW661="Y",BS661&amp;"",BE661&amp;""))</f>
        <v/>
      </c>
      <c r="AD661" s="0" t="str">
        <f aca="false">IF($A661="","",IF(AW661="Y",BT661&amp;"",BF661&amp;""))</f>
        <v/>
      </c>
      <c r="AE661" s="0" t="str">
        <f aca="false">IF($A661="","",IF(AW661="Y",BU661&amp;"",BG661&amp;""))</f>
        <v/>
      </c>
      <c r="AF661" s="0" t="str">
        <f aca="false">IF($A661="","",IF(AW661="Y",BV661&amp;"",BH661&amp;""))</f>
        <v/>
      </c>
      <c r="AG661" s="0" t="str">
        <f aca="false">IF($A661="","",IF(AW661="Y",BW661&amp;"",BI661&amp;""))</f>
        <v/>
      </c>
      <c r="AH661" s="0" t="str">
        <f aca="false">IF($A661="","",IF(AW661="Y",BX661&amp;"",BJ661&amp;""))</f>
        <v/>
      </c>
      <c r="AQ661" s="5"/>
      <c r="AT661" s="0" t="str">
        <f aca="false">IF($A661="","",IF(AND(CN661="pass",AQ661&lt;&gt;"Y",C661&lt;&gt;"",OR(AX661&lt;&gt;"Y",AV661="Y")),"Y","N"))</f>
        <v/>
      </c>
      <c r="AU661" s="0" t="str">
        <f aca="false">IF($A661="","",_xlfn.TEXTJOIN("; ",TRUE(),IF(CN661&lt;&gt;"pass","gated out",""),IF(AQ661="Y","on hold: "&amp;AR661,""),IF(C661="","no contact named on an opened page",""),IF(AND(AX661="Y",AV661&lt;&gt;"Y"),"Tuesday estimate band "&amp;L661&amp;": founder's call","")))</f>
        <v/>
      </c>
      <c r="BC661" s="0" t="str">
        <f aca="false">IF($A661="","",IFERROR(INDEX(Enrichment!$A$2:$GZ$2000,MATCH($A661,INDEX(Enrichment!$A$2:$GZ$2000,0,MATCH("row_id",Enrichment!$A$1:$GZ$1,0)),0),MATCH("work_email",Enrichment!$A$1:$GZ$1,0))&amp;"",""))</f>
        <v/>
      </c>
      <c r="BD661" s="0" t="str">
        <f aca="false">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Q661" s="0" t="str">
        <f aca="false">IF($A661="","",IFERROR(INDEX(Enrichment!$A$2:$GZ$2000,MATCH($A661,INDEX(Enrichment!$A$2:$GZ$2000,0,MATCH("row_id",Enrichment!$A$1:$GZ$1,0)),0),MATCH("backup_work_email",Enrichment!$A$1:$GZ$1,0))&amp;"",""))</f>
        <v/>
      </c>
      <c r="BR661" s="0" t="str">
        <f aca="false">IF($A661="","",IF(BQ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EQ661" s="0" t="str">
        <f aca="false">IF($A661="","",IF(AH661="exact",10,IF(AH661="adjacent",5,0)))</f>
        <v/>
      </c>
      <c r="ER661" s="0" t="str">
        <f aca="false">IF($A661="","",IF(R661="Y",15,0))</f>
        <v/>
      </c>
      <c r="FS661" s="0" t="str">
        <f aca="false">IF($A661="","",IF(ISNUMBER(MATCH(U661,{"queued","contacted","replied","call_booked","call_done","yes_in_principle","materials_sent"},0)),"Y","N"))</f>
        <v/>
      </c>
      <c r="FT661" s="0" t="str">
        <f aca="false">IF($A661="","",IF(OR(T661="Y",U661="do_not_contact",AS661&amp;""&lt;&gt;""),"Y","N"))</f>
        <v/>
      </c>
      <c r="FU661" s="0" t="str">
        <f aca="false">IF($A661="","",IF(AP661&amp;""&lt;&gt;"",AP661&amp;"",$A661))</f>
        <v/>
      </c>
      <c r="FV661" s="0" t="str">
        <f aca="false">IF($A661="","",IF(COUNTIFS($FU$2:$FU$1000,FU661,$FS$2:$FS$1000,"Y")+COUNTIFS($FU$2:$FU$1000,FU661,$FT$2:$FT$1000,"Y")&gt;0,"Y","N"))</f>
        <v/>
      </c>
      <c r="FW661" s="0" t="str">
        <f aca="false">IF($A661="","",IF(AND(U661="new",T661="N",FT661="N",AT661="Y",FV661="N"),"Y","N"))</f>
        <v/>
      </c>
      <c r="FX661" s="0" t="str">
        <f aca="false">IF($A661="","",IF(FW661&lt;&gt;"Y","N",IF(COUNTIFS($FU$2:$FU$1000,FU661,$FW$2:$FW$1000,"Y",$J$2:$J$1000,"&gt;"&amp;J661)+COUNTIFS($FU$2:$FU$1000,FU661,$FW$2:$FW$1000,"Y",$J$2:$J$1000,J661,$GD$2:$GD$1000,"&lt;"&amp;GD661)=0,"Y","N")))</f>
        <v/>
      </c>
      <c r="FY661" s="0" t="str">
        <f aca="false">IF($A661="","",IF(AND(FW661="Y",FX661="Y",Y661&amp;""&lt;&gt;""),IF(Y661&lt;=10,"Y","N"),"N"))</f>
        <v/>
      </c>
      <c r="FZ661" s="0" t="str">
        <f aca="false">IF(FY661="Y",Y661,"")</f>
        <v/>
      </c>
      <c r="GA661" s="0" t="str">
        <f aca="false">IF($A661="","",IF(AND(I661="walk-in",CN661="pass",U661="new",FT661="N",FV661="N",AQ661&lt;&gt;"Y"),"Y","N"))</f>
        <v/>
      </c>
      <c r="GB661" s="0" t="str">
        <f aca="false">IF(GA661&lt;&gt;"Y","",IF(COUNTIFS($GA$2:$GA$1000,"Y",$J$2:$J$1000,"&gt;"&amp;J661)+COUNTIFS($GA$2:$GA$1000,"Y",$J$2:$J$1000,J661,$GD$2:$GD$1000,"&lt;"&amp;GD661)+1&lt;=25,COUNTIFS($GA$2:$GA$1000,"Y",$J$2:$J$1000,"&gt;"&amp;J661)+COUNTIFS($GA$2:$GA$1000,"Y",$J$2:$J$1000,J661,$GD$2:$GD$1000,"&lt;"&amp;GD661)+1,""))</f>
        <v/>
      </c>
      <c r="GC661" s="0" t="str">
        <f aca="false">IF(AND(_xlfn.ISFORMULA(C661),_xlfn.ISFORMULA(J661)),"Y","N")</f>
        <v>Y</v>
      </c>
      <c r="GD661" s="0" t="n">
        <f aca="false">ROW()-1</f>
        <v>660</v>
      </c>
    </row>
    <row r="662" customFormat="false" ht="15" hidden="false" customHeight="false" outlineLevel="0" collapsed="false">
      <c r="C662" s="0" t="str">
        <f aca="false">IF($A662="","",IF(AW662="Y",BM662&amp;"",AY662&amp;""))</f>
        <v/>
      </c>
      <c r="D662" s="0" t="str">
        <f aca="false">IF($A662="","",IF(AW662="Y",BN662&amp;"",AZ662&amp;""))</f>
        <v/>
      </c>
      <c r="E662" s="0" t="str">
        <f aca="false">IF($A662="","",IF(AW662="Y",BO662&amp;"",BA662&amp;""))</f>
        <v/>
      </c>
      <c r="F662" s="0" t="str">
        <f aca="false">IF($A662="","",IF(AW662="Y",BP662&amp;"",BB662&amp;""))</f>
        <v/>
      </c>
      <c r="G662" s="0" t="str">
        <f aca="false">IF($A662="","",IF(AW662="Y",BQ662&amp;"",BC662&amp;""))</f>
        <v/>
      </c>
      <c r="H662" s="0" t="str">
        <f aca="false">IF($A662="","",IF(AW662="Y",BR662&amp;"",BD662&amp;""))</f>
        <v/>
      </c>
      <c r="I662" s="0" t="str">
        <f aca="false">IF($A662="","",IF(R662="Y","warm-intro",IF(H662="verified","email",IF(C662&lt;&gt;"","linkedin",CB662&amp;""))))</f>
        <v/>
      </c>
      <c r="J662" s="0" t="str">
        <f aca="false">IF($A662="","",IF(CN662="pass",ROUND(N(EM662)+N(EN662)+N(EO662)+N(EP662)+N(EQ662)+N(ER662),1),0))</f>
        <v/>
      </c>
      <c r="K662" s="0" t="str">
        <f aca="false">IF($A662="","",IF(CN662&lt;&gt;"pass",CA662&amp;"",CA662&amp;"; "&amp;IF(AW662="Y",BZ662&amp;"",BL662&amp;"")&amp;IF(R662="Y","; known to the founder (+15)","")&amp;"."))</f>
        <v/>
      </c>
      <c r="R662" s="5"/>
      <c r="U662" s="5"/>
      <c r="Y662" s="0" t="str">
        <f aca="false">IF(FX662&lt;&gt;"Y","",COUNTIFS($FX$2:$FX$1000,"Y",$J$2:$J$1000,"&gt;"&amp;J662)+COUNTIFS($FX$2:$FX$1000,"Y",$J$2:$J$1000,J662,$GD$2:$GD$1000,"&lt;"&amp;GD662)+1)</f>
        <v/>
      </c>
      <c r="AB662" s="0" t="str">
        <f aca="false">IF($A662="","",IF(AW662="Y",BY662&amp;"",BK662&amp;""))</f>
        <v/>
      </c>
      <c r="AC662" s="0" t="str">
        <f aca="false">IF($A662="","",IF(AW662="Y",BS662&amp;"",BE662&amp;""))</f>
        <v/>
      </c>
      <c r="AD662" s="0" t="str">
        <f aca="false">IF($A662="","",IF(AW662="Y",BT662&amp;"",BF662&amp;""))</f>
        <v/>
      </c>
      <c r="AE662" s="0" t="str">
        <f aca="false">IF($A662="","",IF(AW662="Y",BU662&amp;"",BG662&amp;""))</f>
        <v/>
      </c>
      <c r="AF662" s="0" t="str">
        <f aca="false">IF($A662="","",IF(AW662="Y",BV662&amp;"",BH662&amp;""))</f>
        <v/>
      </c>
      <c r="AG662" s="0" t="str">
        <f aca="false">IF($A662="","",IF(AW662="Y",BW662&amp;"",BI662&amp;""))</f>
        <v/>
      </c>
      <c r="AH662" s="0" t="str">
        <f aca="false">IF($A662="","",IF(AW662="Y",BX662&amp;"",BJ662&amp;""))</f>
        <v/>
      </c>
      <c r="AQ662" s="5"/>
      <c r="AT662" s="0" t="str">
        <f aca="false">IF($A662="","",IF(AND(CN662="pass",AQ662&lt;&gt;"Y",C662&lt;&gt;"",OR(AX662&lt;&gt;"Y",AV662="Y")),"Y","N"))</f>
        <v/>
      </c>
      <c r="AU662" s="0" t="str">
        <f aca="false">IF($A662="","",_xlfn.TEXTJOIN("; ",TRUE(),IF(CN662&lt;&gt;"pass","gated out",""),IF(AQ662="Y","on hold: "&amp;AR662,""),IF(C662="","no contact named on an opened page",""),IF(AND(AX662="Y",AV662&lt;&gt;"Y"),"Tuesday estimate band "&amp;L662&amp;": founder's call","")))</f>
        <v/>
      </c>
      <c r="BC662" s="0" t="str">
        <f aca="false">IF($A662="","",IFERROR(INDEX(Enrichment!$A$2:$GZ$2000,MATCH($A662,INDEX(Enrichment!$A$2:$GZ$2000,0,MATCH("row_id",Enrichment!$A$1:$GZ$1,0)),0),MATCH("work_email",Enrichment!$A$1:$GZ$1,0))&amp;"",""))</f>
        <v/>
      </c>
      <c r="BD662" s="0" t="str">
        <f aca="false">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Q662" s="0" t="str">
        <f aca="false">IF($A662="","",IFERROR(INDEX(Enrichment!$A$2:$GZ$2000,MATCH($A662,INDEX(Enrichment!$A$2:$GZ$2000,0,MATCH("row_id",Enrichment!$A$1:$GZ$1,0)),0),MATCH("backup_work_email",Enrichment!$A$1:$GZ$1,0))&amp;"",""))</f>
        <v/>
      </c>
      <c r="BR662" s="0" t="str">
        <f aca="false">IF($A662="","",IF(BQ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EQ662" s="0" t="str">
        <f aca="false">IF($A662="","",IF(AH662="exact",10,IF(AH662="adjacent",5,0)))</f>
        <v/>
      </c>
      <c r="ER662" s="0" t="str">
        <f aca="false">IF($A662="","",IF(R662="Y",15,0))</f>
        <v/>
      </c>
      <c r="FS662" s="0" t="str">
        <f aca="false">IF($A662="","",IF(ISNUMBER(MATCH(U662,{"queued","contacted","replied","call_booked","call_done","yes_in_principle","materials_sent"},0)),"Y","N"))</f>
        <v/>
      </c>
      <c r="FT662" s="0" t="str">
        <f aca="false">IF($A662="","",IF(OR(T662="Y",U662="do_not_contact",AS662&amp;""&lt;&gt;""),"Y","N"))</f>
        <v/>
      </c>
      <c r="FU662" s="0" t="str">
        <f aca="false">IF($A662="","",IF(AP662&amp;""&lt;&gt;"",AP662&amp;"",$A662))</f>
        <v/>
      </c>
      <c r="FV662" s="0" t="str">
        <f aca="false">IF($A662="","",IF(COUNTIFS($FU$2:$FU$1000,FU662,$FS$2:$FS$1000,"Y")+COUNTIFS($FU$2:$FU$1000,FU662,$FT$2:$FT$1000,"Y")&gt;0,"Y","N"))</f>
        <v/>
      </c>
      <c r="FW662" s="0" t="str">
        <f aca="false">IF($A662="","",IF(AND(U662="new",T662="N",FT662="N",AT662="Y",FV662="N"),"Y","N"))</f>
        <v/>
      </c>
      <c r="FX662" s="0" t="str">
        <f aca="false">IF($A662="","",IF(FW662&lt;&gt;"Y","N",IF(COUNTIFS($FU$2:$FU$1000,FU662,$FW$2:$FW$1000,"Y",$J$2:$J$1000,"&gt;"&amp;J662)+COUNTIFS($FU$2:$FU$1000,FU662,$FW$2:$FW$1000,"Y",$J$2:$J$1000,J662,$GD$2:$GD$1000,"&lt;"&amp;GD662)=0,"Y","N")))</f>
        <v/>
      </c>
      <c r="FY662" s="0" t="str">
        <f aca="false">IF($A662="","",IF(AND(FW662="Y",FX662="Y",Y662&amp;""&lt;&gt;""),IF(Y662&lt;=10,"Y","N"),"N"))</f>
        <v/>
      </c>
      <c r="FZ662" s="0" t="str">
        <f aca="false">IF(FY662="Y",Y662,"")</f>
        <v/>
      </c>
      <c r="GA662" s="0" t="str">
        <f aca="false">IF($A662="","",IF(AND(I662="walk-in",CN662="pass",U662="new",FT662="N",FV662="N",AQ662&lt;&gt;"Y"),"Y","N"))</f>
        <v/>
      </c>
      <c r="GB662" s="0" t="str">
        <f aca="false">IF(GA662&lt;&gt;"Y","",IF(COUNTIFS($GA$2:$GA$1000,"Y",$J$2:$J$1000,"&gt;"&amp;J662)+COUNTIFS($GA$2:$GA$1000,"Y",$J$2:$J$1000,J662,$GD$2:$GD$1000,"&lt;"&amp;GD662)+1&lt;=25,COUNTIFS($GA$2:$GA$1000,"Y",$J$2:$J$1000,"&gt;"&amp;J662)+COUNTIFS($GA$2:$GA$1000,"Y",$J$2:$J$1000,J662,$GD$2:$GD$1000,"&lt;"&amp;GD662)+1,""))</f>
        <v/>
      </c>
      <c r="GC662" s="0" t="str">
        <f aca="false">IF(AND(_xlfn.ISFORMULA(C662),_xlfn.ISFORMULA(J662)),"Y","N")</f>
        <v>Y</v>
      </c>
      <c r="GD662" s="0" t="n">
        <f aca="false">ROW()-1</f>
        <v>661</v>
      </c>
    </row>
    <row r="663" customFormat="false" ht="15" hidden="false" customHeight="false" outlineLevel="0" collapsed="false">
      <c r="C663" s="0" t="str">
        <f aca="false">IF($A663="","",IF(AW663="Y",BM663&amp;"",AY663&amp;""))</f>
        <v/>
      </c>
      <c r="D663" s="0" t="str">
        <f aca="false">IF($A663="","",IF(AW663="Y",BN663&amp;"",AZ663&amp;""))</f>
        <v/>
      </c>
      <c r="E663" s="0" t="str">
        <f aca="false">IF($A663="","",IF(AW663="Y",BO663&amp;"",BA663&amp;""))</f>
        <v/>
      </c>
      <c r="F663" s="0" t="str">
        <f aca="false">IF($A663="","",IF(AW663="Y",BP663&amp;"",BB663&amp;""))</f>
        <v/>
      </c>
      <c r="G663" s="0" t="str">
        <f aca="false">IF($A663="","",IF(AW663="Y",BQ663&amp;"",BC663&amp;""))</f>
        <v/>
      </c>
      <c r="H663" s="0" t="str">
        <f aca="false">IF($A663="","",IF(AW663="Y",BR663&amp;"",BD663&amp;""))</f>
        <v/>
      </c>
      <c r="I663" s="0" t="str">
        <f aca="false">IF($A663="","",IF(R663="Y","warm-intro",IF(H663="verified","email",IF(C663&lt;&gt;"","linkedin",CB663&amp;""))))</f>
        <v/>
      </c>
      <c r="J663" s="0" t="str">
        <f aca="false">IF($A663="","",IF(CN663="pass",ROUND(N(EM663)+N(EN663)+N(EO663)+N(EP663)+N(EQ663)+N(ER663),1),0))</f>
        <v/>
      </c>
      <c r="K663" s="0" t="str">
        <f aca="false">IF($A663="","",IF(CN663&lt;&gt;"pass",CA663&amp;"",CA663&amp;"; "&amp;IF(AW663="Y",BZ663&amp;"",BL663&amp;"")&amp;IF(R663="Y","; known to the founder (+15)","")&amp;"."))</f>
        <v/>
      </c>
      <c r="R663" s="5"/>
      <c r="U663" s="5"/>
      <c r="Y663" s="0" t="str">
        <f aca="false">IF(FX663&lt;&gt;"Y","",COUNTIFS($FX$2:$FX$1000,"Y",$J$2:$J$1000,"&gt;"&amp;J663)+COUNTIFS($FX$2:$FX$1000,"Y",$J$2:$J$1000,J663,$GD$2:$GD$1000,"&lt;"&amp;GD663)+1)</f>
        <v/>
      </c>
      <c r="AB663" s="0" t="str">
        <f aca="false">IF($A663="","",IF(AW663="Y",BY663&amp;"",BK663&amp;""))</f>
        <v/>
      </c>
      <c r="AC663" s="0" t="str">
        <f aca="false">IF($A663="","",IF(AW663="Y",BS663&amp;"",BE663&amp;""))</f>
        <v/>
      </c>
      <c r="AD663" s="0" t="str">
        <f aca="false">IF($A663="","",IF(AW663="Y",BT663&amp;"",BF663&amp;""))</f>
        <v/>
      </c>
      <c r="AE663" s="0" t="str">
        <f aca="false">IF($A663="","",IF(AW663="Y",BU663&amp;"",BG663&amp;""))</f>
        <v/>
      </c>
      <c r="AF663" s="0" t="str">
        <f aca="false">IF($A663="","",IF(AW663="Y",BV663&amp;"",BH663&amp;""))</f>
        <v/>
      </c>
      <c r="AG663" s="0" t="str">
        <f aca="false">IF($A663="","",IF(AW663="Y",BW663&amp;"",BI663&amp;""))</f>
        <v/>
      </c>
      <c r="AH663" s="0" t="str">
        <f aca="false">IF($A663="","",IF(AW663="Y",BX663&amp;"",BJ663&amp;""))</f>
        <v/>
      </c>
      <c r="AQ663" s="5"/>
      <c r="AT663" s="0" t="str">
        <f aca="false">IF($A663="","",IF(AND(CN663="pass",AQ663&lt;&gt;"Y",C663&lt;&gt;"",OR(AX663&lt;&gt;"Y",AV663="Y")),"Y","N"))</f>
        <v/>
      </c>
      <c r="AU663" s="0" t="str">
        <f aca="false">IF($A663="","",_xlfn.TEXTJOIN("; ",TRUE(),IF(CN663&lt;&gt;"pass","gated out",""),IF(AQ663="Y","on hold: "&amp;AR663,""),IF(C663="","no contact named on an opened page",""),IF(AND(AX663="Y",AV663&lt;&gt;"Y"),"Tuesday estimate band "&amp;L663&amp;": founder's call","")))</f>
        <v/>
      </c>
      <c r="BC663" s="0" t="str">
        <f aca="false">IF($A663="","",IFERROR(INDEX(Enrichment!$A$2:$GZ$2000,MATCH($A663,INDEX(Enrichment!$A$2:$GZ$2000,0,MATCH("row_id",Enrichment!$A$1:$GZ$1,0)),0),MATCH("work_email",Enrichment!$A$1:$GZ$1,0))&amp;"",""))</f>
        <v/>
      </c>
      <c r="BD663" s="0" t="str">
        <f aca="false">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Q663" s="0" t="str">
        <f aca="false">IF($A663="","",IFERROR(INDEX(Enrichment!$A$2:$GZ$2000,MATCH($A663,INDEX(Enrichment!$A$2:$GZ$2000,0,MATCH("row_id",Enrichment!$A$1:$GZ$1,0)),0),MATCH("backup_work_email",Enrichment!$A$1:$GZ$1,0))&amp;"",""))</f>
        <v/>
      </c>
      <c r="BR663" s="0" t="str">
        <f aca="false">IF($A663="","",IF(BQ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EQ663" s="0" t="str">
        <f aca="false">IF($A663="","",IF(AH663="exact",10,IF(AH663="adjacent",5,0)))</f>
        <v/>
      </c>
      <c r="ER663" s="0" t="str">
        <f aca="false">IF($A663="","",IF(R663="Y",15,0))</f>
        <v/>
      </c>
      <c r="FS663" s="0" t="str">
        <f aca="false">IF($A663="","",IF(ISNUMBER(MATCH(U663,{"queued","contacted","replied","call_booked","call_done","yes_in_principle","materials_sent"},0)),"Y","N"))</f>
        <v/>
      </c>
      <c r="FT663" s="0" t="str">
        <f aca="false">IF($A663="","",IF(OR(T663="Y",U663="do_not_contact",AS663&amp;""&lt;&gt;""),"Y","N"))</f>
        <v/>
      </c>
      <c r="FU663" s="0" t="str">
        <f aca="false">IF($A663="","",IF(AP663&amp;""&lt;&gt;"",AP663&amp;"",$A663))</f>
        <v/>
      </c>
      <c r="FV663" s="0" t="str">
        <f aca="false">IF($A663="","",IF(COUNTIFS($FU$2:$FU$1000,FU663,$FS$2:$FS$1000,"Y")+COUNTIFS($FU$2:$FU$1000,FU663,$FT$2:$FT$1000,"Y")&gt;0,"Y","N"))</f>
        <v/>
      </c>
      <c r="FW663" s="0" t="str">
        <f aca="false">IF($A663="","",IF(AND(U663="new",T663="N",FT663="N",AT663="Y",FV663="N"),"Y","N"))</f>
        <v/>
      </c>
      <c r="FX663" s="0" t="str">
        <f aca="false">IF($A663="","",IF(FW663&lt;&gt;"Y","N",IF(COUNTIFS($FU$2:$FU$1000,FU663,$FW$2:$FW$1000,"Y",$J$2:$J$1000,"&gt;"&amp;J663)+COUNTIFS($FU$2:$FU$1000,FU663,$FW$2:$FW$1000,"Y",$J$2:$J$1000,J663,$GD$2:$GD$1000,"&lt;"&amp;GD663)=0,"Y","N")))</f>
        <v/>
      </c>
      <c r="FY663" s="0" t="str">
        <f aca="false">IF($A663="","",IF(AND(FW663="Y",FX663="Y",Y663&amp;""&lt;&gt;""),IF(Y663&lt;=10,"Y","N"),"N"))</f>
        <v/>
      </c>
      <c r="FZ663" s="0" t="str">
        <f aca="false">IF(FY663="Y",Y663,"")</f>
        <v/>
      </c>
      <c r="GA663" s="0" t="str">
        <f aca="false">IF($A663="","",IF(AND(I663="walk-in",CN663="pass",U663="new",FT663="N",FV663="N",AQ663&lt;&gt;"Y"),"Y","N"))</f>
        <v/>
      </c>
      <c r="GB663" s="0" t="str">
        <f aca="false">IF(GA663&lt;&gt;"Y","",IF(COUNTIFS($GA$2:$GA$1000,"Y",$J$2:$J$1000,"&gt;"&amp;J663)+COUNTIFS($GA$2:$GA$1000,"Y",$J$2:$J$1000,J663,$GD$2:$GD$1000,"&lt;"&amp;GD663)+1&lt;=25,COUNTIFS($GA$2:$GA$1000,"Y",$J$2:$J$1000,"&gt;"&amp;J663)+COUNTIFS($GA$2:$GA$1000,"Y",$J$2:$J$1000,J663,$GD$2:$GD$1000,"&lt;"&amp;GD663)+1,""))</f>
        <v/>
      </c>
      <c r="GC663" s="0" t="str">
        <f aca="false">IF(AND(_xlfn.ISFORMULA(C663),_xlfn.ISFORMULA(J663)),"Y","N")</f>
        <v>Y</v>
      </c>
      <c r="GD663" s="0" t="n">
        <f aca="false">ROW()-1</f>
        <v>662</v>
      </c>
    </row>
    <row r="664" customFormat="false" ht="15" hidden="false" customHeight="false" outlineLevel="0" collapsed="false">
      <c r="C664" s="0" t="str">
        <f aca="false">IF($A664="","",IF(AW664="Y",BM664&amp;"",AY664&amp;""))</f>
        <v/>
      </c>
      <c r="D664" s="0" t="str">
        <f aca="false">IF($A664="","",IF(AW664="Y",BN664&amp;"",AZ664&amp;""))</f>
        <v/>
      </c>
      <c r="E664" s="0" t="str">
        <f aca="false">IF($A664="","",IF(AW664="Y",BO664&amp;"",BA664&amp;""))</f>
        <v/>
      </c>
      <c r="F664" s="0" t="str">
        <f aca="false">IF($A664="","",IF(AW664="Y",BP664&amp;"",BB664&amp;""))</f>
        <v/>
      </c>
      <c r="G664" s="0" t="str">
        <f aca="false">IF($A664="","",IF(AW664="Y",BQ664&amp;"",BC664&amp;""))</f>
        <v/>
      </c>
      <c r="H664" s="0" t="str">
        <f aca="false">IF($A664="","",IF(AW664="Y",BR664&amp;"",BD664&amp;""))</f>
        <v/>
      </c>
      <c r="I664" s="0" t="str">
        <f aca="false">IF($A664="","",IF(R664="Y","warm-intro",IF(H664="verified","email",IF(C664&lt;&gt;"","linkedin",CB664&amp;""))))</f>
        <v/>
      </c>
      <c r="J664" s="0" t="str">
        <f aca="false">IF($A664="","",IF(CN664="pass",ROUND(N(EM664)+N(EN664)+N(EO664)+N(EP664)+N(EQ664)+N(ER664),1),0))</f>
        <v/>
      </c>
      <c r="K664" s="0" t="str">
        <f aca="false">IF($A664="","",IF(CN664&lt;&gt;"pass",CA664&amp;"",CA664&amp;"; "&amp;IF(AW664="Y",BZ664&amp;"",BL664&amp;"")&amp;IF(R664="Y","; known to the founder (+15)","")&amp;"."))</f>
        <v/>
      </c>
      <c r="R664" s="5"/>
      <c r="U664" s="5"/>
      <c r="Y664" s="0" t="str">
        <f aca="false">IF(FX664&lt;&gt;"Y","",COUNTIFS($FX$2:$FX$1000,"Y",$J$2:$J$1000,"&gt;"&amp;J664)+COUNTIFS($FX$2:$FX$1000,"Y",$J$2:$J$1000,J664,$GD$2:$GD$1000,"&lt;"&amp;GD664)+1)</f>
        <v/>
      </c>
      <c r="AB664" s="0" t="str">
        <f aca="false">IF($A664="","",IF(AW664="Y",BY664&amp;"",BK664&amp;""))</f>
        <v/>
      </c>
      <c r="AC664" s="0" t="str">
        <f aca="false">IF($A664="","",IF(AW664="Y",BS664&amp;"",BE664&amp;""))</f>
        <v/>
      </c>
      <c r="AD664" s="0" t="str">
        <f aca="false">IF($A664="","",IF(AW664="Y",BT664&amp;"",BF664&amp;""))</f>
        <v/>
      </c>
      <c r="AE664" s="0" t="str">
        <f aca="false">IF($A664="","",IF(AW664="Y",BU664&amp;"",BG664&amp;""))</f>
        <v/>
      </c>
      <c r="AF664" s="0" t="str">
        <f aca="false">IF($A664="","",IF(AW664="Y",BV664&amp;"",BH664&amp;""))</f>
        <v/>
      </c>
      <c r="AG664" s="0" t="str">
        <f aca="false">IF($A664="","",IF(AW664="Y",BW664&amp;"",BI664&amp;""))</f>
        <v/>
      </c>
      <c r="AH664" s="0" t="str">
        <f aca="false">IF($A664="","",IF(AW664="Y",BX664&amp;"",BJ664&amp;""))</f>
        <v/>
      </c>
      <c r="AQ664" s="5"/>
      <c r="AT664" s="0" t="str">
        <f aca="false">IF($A664="","",IF(AND(CN664="pass",AQ664&lt;&gt;"Y",C664&lt;&gt;"",OR(AX664&lt;&gt;"Y",AV664="Y")),"Y","N"))</f>
        <v/>
      </c>
      <c r="AU664" s="0" t="str">
        <f aca="false">IF($A664="","",_xlfn.TEXTJOIN("; ",TRUE(),IF(CN664&lt;&gt;"pass","gated out",""),IF(AQ664="Y","on hold: "&amp;AR664,""),IF(C664="","no contact named on an opened page",""),IF(AND(AX664="Y",AV664&lt;&gt;"Y"),"Tuesday estimate band "&amp;L664&amp;": founder's call","")))</f>
        <v/>
      </c>
      <c r="BC664" s="0" t="str">
        <f aca="false">IF($A664="","",IFERROR(INDEX(Enrichment!$A$2:$GZ$2000,MATCH($A664,INDEX(Enrichment!$A$2:$GZ$2000,0,MATCH("row_id",Enrichment!$A$1:$GZ$1,0)),0),MATCH("work_email",Enrichment!$A$1:$GZ$1,0))&amp;"",""))</f>
        <v/>
      </c>
      <c r="BD664" s="0" t="str">
        <f aca="false">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Q664" s="0" t="str">
        <f aca="false">IF($A664="","",IFERROR(INDEX(Enrichment!$A$2:$GZ$2000,MATCH($A664,INDEX(Enrichment!$A$2:$GZ$2000,0,MATCH("row_id",Enrichment!$A$1:$GZ$1,0)),0),MATCH("backup_work_email",Enrichment!$A$1:$GZ$1,0))&amp;"",""))</f>
        <v/>
      </c>
      <c r="BR664" s="0" t="str">
        <f aca="false">IF($A664="","",IF(BQ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EQ664" s="0" t="str">
        <f aca="false">IF($A664="","",IF(AH664="exact",10,IF(AH664="adjacent",5,0)))</f>
        <v/>
      </c>
      <c r="ER664" s="0" t="str">
        <f aca="false">IF($A664="","",IF(R664="Y",15,0))</f>
        <v/>
      </c>
      <c r="FS664" s="0" t="str">
        <f aca="false">IF($A664="","",IF(ISNUMBER(MATCH(U664,{"queued","contacted","replied","call_booked","call_done","yes_in_principle","materials_sent"},0)),"Y","N"))</f>
        <v/>
      </c>
      <c r="FT664" s="0" t="str">
        <f aca="false">IF($A664="","",IF(OR(T664="Y",U664="do_not_contact",AS664&amp;""&lt;&gt;""),"Y","N"))</f>
        <v/>
      </c>
      <c r="FU664" s="0" t="str">
        <f aca="false">IF($A664="","",IF(AP664&amp;""&lt;&gt;"",AP664&amp;"",$A664))</f>
        <v/>
      </c>
      <c r="FV664" s="0" t="str">
        <f aca="false">IF($A664="","",IF(COUNTIFS($FU$2:$FU$1000,FU664,$FS$2:$FS$1000,"Y")+COUNTIFS($FU$2:$FU$1000,FU664,$FT$2:$FT$1000,"Y")&gt;0,"Y","N"))</f>
        <v/>
      </c>
      <c r="FW664" s="0" t="str">
        <f aca="false">IF($A664="","",IF(AND(U664="new",T664="N",FT664="N",AT664="Y",FV664="N"),"Y","N"))</f>
        <v/>
      </c>
      <c r="FX664" s="0" t="str">
        <f aca="false">IF($A664="","",IF(FW664&lt;&gt;"Y","N",IF(COUNTIFS($FU$2:$FU$1000,FU664,$FW$2:$FW$1000,"Y",$J$2:$J$1000,"&gt;"&amp;J664)+COUNTIFS($FU$2:$FU$1000,FU664,$FW$2:$FW$1000,"Y",$J$2:$J$1000,J664,$GD$2:$GD$1000,"&lt;"&amp;GD664)=0,"Y","N")))</f>
        <v/>
      </c>
      <c r="FY664" s="0" t="str">
        <f aca="false">IF($A664="","",IF(AND(FW664="Y",FX664="Y",Y664&amp;""&lt;&gt;""),IF(Y664&lt;=10,"Y","N"),"N"))</f>
        <v/>
      </c>
      <c r="FZ664" s="0" t="str">
        <f aca="false">IF(FY664="Y",Y664,"")</f>
        <v/>
      </c>
      <c r="GA664" s="0" t="str">
        <f aca="false">IF($A664="","",IF(AND(I664="walk-in",CN664="pass",U664="new",FT664="N",FV664="N",AQ664&lt;&gt;"Y"),"Y","N"))</f>
        <v/>
      </c>
      <c r="GB664" s="0" t="str">
        <f aca="false">IF(GA664&lt;&gt;"Y","",IF(COUNTIFS($GA$2:$GA$1000,"Y",$J$2:$J$1000,"&gt;"&amp;J664)+COUNTIFS($GA$2:$GA$1000,"Y",$J$2:$J$1000,J664,$GD$2:$GD$1000,"&lt;"&amp;GD664)+1&lt;=25,COUNTIFS($GA$2:$GA$1000,"Y",$J$2:$J$1000,"&gt;"&amp;J664)+COUNTIFS($GA$2:$GA$1000,"Y",$J$2:$J$1000,J664,$GD$2:$GD$1000,"&lt;"&amp;GD664)+1,""))</f>
        <v/>
      </c>
      <c r="GC664" s="0" t="str">
        <f aca="false">IF(AND(_xlfn.ISFORMULA(C664),_xlfn.ISFORMULA(J664)),"Y","N")</f>
        <v>Y</v>
      </c>
      <c r="GD664" s="0" t="n">
        <f aca="false">ROW()-1</f>
        <v>663</v>
      </c>
    </row>
    <row r="665" customFormat="false" ht="15" hidden="false" customHeight="false" outlineLevel="0" collapsed="false">
      <c r="C665" s="0" t="str">
        <f aca="false">IF($A665="","",IF(AW665="Y",BM665&amp;"",AY665&amp;""))</f>
        <v/>
      </c>
      <c r="D665" s="0" t="str">
        <f aca="false">IF($A665="","",IF(AW665="Y",BN665&amp;"",AZ665&amp;""))</f>
        <v/>
      </c>
      <c r="E665" s="0" t="str">
        <f aca="false">IF($A665="","",IF(AW665="Y",BO665&amp;"",BA665&amp;""))</f>
        <v/>
      </c>
      <c r="F665" s="0" t="str">
        <f aca="false">IF($A665="","",IF(AW665="Y",BP665&amp;"",BB665&amp;""))</f>
        <v/>
      </c>
      <c r="G665" s="0" t="str">
        <f aca="false">IF($A665="","",IF(AW665="Y",BQ665&amp;"",BC665&amp;""))</f>
        <v/>
      </c>
      <c r="H665" s="0" t="str">
        <f aca="false">IF($A665="","",IF(AW665="Y",BR665&amp;"",BD665&amp;""))</f>
        <v/>
      </c>
      <c r="I665" s="0" t="str">
        <f aca="false">IF($A665="","",IF(R665="Y","warm-intro",IF(H665="verified","email",IF(C665&lt;&gt;"","linkedin",CB665&amp;""))))</f>
        <v/>
      </c>
      <c r="J665" s="0" t="str">
        <f aca="false">IF($A665="","",IF(CN665="pass",ROUND(N(EM665)+N(EN665)+N(EO665)+N(EP665)+N(EQ665)+N(ER665),1),0))</f>
        <v/>
      </c>
      <c r="K665" s="0" t="str">
        <f aca="false">IF($A665="","",IF(CN665&lt;&gt;"pass",CA665&amp;"",CA665&amp;"; "&amp;IF(AW665="Y",BZ665&amp;"",BL665&amp;"")&amp;IF(R665="Y","; known to the founder (+15)","")&amp;"."))</f>
        <v/>
      </c>
      <c r="R665" s="5"/>
      <c r="U665" s="5"/>
      <c r="Y665" s="0" t="str">
        <f aca="false">IF(FX665&lt;&gt;"Y","",COUNTIFS($FX$2:$FX$1000,"Y",$J$2:$J$1000,"&gt;"&amp;J665)+COUNTIFS($FX$2:$FX$1000,"Y",$J$2:$J$1000,J665,$GD$2:$GD$1000,"&lt;"&amp;GD665)+1)</f>
        <v/>
      </c>
      <c r="AB665" s="0" t="str">
        <f aca="false">IF($A665="","",IF(AW665="Y",BY665&amp;"",BK665&amp;""))</f>
        <v/>
      </c>
      <c r="AC665" s="0" t="str">
        <f aca="false">IF($A665="","",IF(AW665="Y",BS665&amp;"",BE665&amp;""))</f>
        <v/>
      </c>
      <c r="AD665" s="0" t="str">
        <f aca="false">IF($A665="","",IF(AW665="Y",BT665&amp;"",BF665&amp;""))</f>
        <v/>
      </c>
      <c r="AE665" s="0" t="str">
        <f aca="false">IF($A665="","",IF(AW665="Y",BU665&amp;"",BG665&amp;""))</f>
        <v/>
      </c>
      <c r="AF665" s="0" t="str">
        <f aca="false">IF($A665="","",IF(AW665="Y",BV665&amp;"",BH665&amp;""))</f>
        <v/>
      </c>
      <c r="AG665" s="0" t="str">
        <f aca="false">IF($A665="","",IF(AW665="Y",BW665&amp;"",BI665&amp;""))</f>
        <v/>
      </c>
      <c r="AH665" s="0" t="str">
        <f aca="false">IF($A665="","",IF(AW665="Y",BX665&amp;"",BJ665&amp;""))</f>
        <v/>
      </c>
      <c r="AQ665" s="5"/>
      <c r="AT665" s="0" t="str">
        <f aca="false">IF($A665="","",IF(AND(CN665="pass",AQ665&lt;&gt;"Y",C665&lt;&gt;"",OR(AX665&lt;&gt;"Y",AV665="Y")),"Y","N"))</f>
        <v/>
      </c>
      <c r="AU665" s="0" t="str">
        <f aca="false">IF($A665="","",_xlfn.TEXTJOIN("; ",TRUE(),IF(CN665&lt;&gt;"pass","gated out",""),IF(AQ665="Y","on hold: "&amp;AR665,""),IF(C665="","no contact named on an opened page",""),IF(AND(AX665="Y",AV665&lt;&gt;"Y"),"Tuesday estimate band "&amp;L665&amp;": founder's call","")))</f>
        <v/>
      </c>
      <c r="BC665" s="0" t="str">
        <f aca="false">IF($A665="","",IFERROR(INDEX(Enrichment!$A$2:$GZ$2000,MATCH($A665,INDEX(Enrichment!$A$2:$GZ$2000,0,MATCH("row_id",Enrichment!$A$1:$GZ$1,0)),0),MATCH("work_email",Enrichment!$A$1:$GZ$1,0))&amp;"",""))</f>
        <v/>
      </c>
      <c r="BD665" s="0" t="str">
        <f aca="false">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Q665" s="0" t="str">
        <f aca="false">IF($A665="","",IFERROR(INDEX(Enrichment!$A$2:$GZ$2000,MATCH($A665,INDEX(Enrichment!$A$2:$GZ$2000,0,MATCH("row_id",Enrichment!$A$1:$GZ$1,0)),0),MATCH("backup_work_email",Enrichment!$A$1:$GZ$1,0))&amp;"",""))</f>
        <v/>
      </c>
      <c r="BR665" s="0" t="str">
        <f aca="false">IF($A665="","",IF(BQ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EQ665" s="0" t="str">
        <f aca="false">IF($A665="","",IF(AH665="exact",10,IF(AH665="adjacent",5,0)))</f>
        <v/>
      </c>
      <c r="ER665" s="0" t="str">
        <f aca="false">IF($A665="","",IF(R665="Y",15,0))</f>
        <v/>
      </c>
      <c r="FS665" s="0" t="str">
        <f aca="false">IF($A665="","",IF(ISNUMBER(MATCH(U665,{"queued","contacted","replied","call_booked","call_done","yes_in_principle","materials_sent"},0)),"Y","N"))</f>
        <v/>
      </c>
      <c r="FT665" s="0" t="str">
        <f aca="false">IF($A665="","",IF(OR(T665="Y",U665="do_not_contact",AS665&amp;""&lt;&gt;""),"Y","N"))</f>
        <v/>
      </c>
      <c r="FU665" s="0" t="str">
        <f aca="false">IF($A665="","",IF(AP665&amp;""&lt;&gt;"",AP665&amp;"",$A665))</f>
        <v/>
      </c>
      <c r="FV665" s="0" t="str">
        <f aca="false">IF($A665="","",IF(COUNTIFS($FU$2:$FU$1000,FU665,$FS$2:$FS$1000,"Y")+COUNTIFS($FU$2:$FU$1000,FU665,$FT$2:$FT$1000,"Y")&gt;0,"Y","N"))</f>
        <v/>
      </c>
      <c r="FW665" s="0" t="str">
        <f aca="false">IF($A665="","",IF(AND(U665="new",T665="N",FT665="N",AT665="Y",FV665="N"),"Y","N"))</f>
        <v/>
      </c>
      <c r="FX665" s="0" t="str">
        <f aca="false">IF($A665="","",IF(FW665&lt;&gt;"Y","N",IF(COUNTIFS($FU$2:$FU$1000,FU665,$FW$2:$FW$1000,"Y",$J$2:$J$1000,"&gt;"&amp;J665)+COUNTIFS($FU$2:$FU$1000,FU665,$FW$2:$FW$1000,"Y",$J$2:$J$1000,J665,$GD$2:$GD$1000,"&lt;"&amp;GD665)=0,"Y","N")))</f>
        <v/>
      </c>
      <c r="FY665" s="0" t="str">
        <f aca="false">IF($A665="","",IF(AND(FW665="Y",FX665="Y",Y665&amp;""&lt;&gt;""),IF(Y665&lt;=10,"Y","N"),"N"))</f>
        <v/>
      </c>
      <c r="FZ665" s="0" t="str">
        <f aca="false">IF(FY665="Y",Y665,"")</f>
        <v/>
      </c>
      <c r="GA665" s="0" t="str">
        <f aca="false">IF($A665="","",IF(AND(I665="walk-in",CN665="pass",U665="new",FT665="N",FV665="N",AQ665&lt;&gt;"Y"),"Y","N"))</f>
        <v/>
      </c>
      <c r="GB665" s="0" t="str">
        <f aca="false">IF(GA665&lt;&gt;"Y","",IF(COUNTIFS($GA$2:$GA$1000,"Y",$J$2:$J$1000,"&gt;"&amp;J665)+COUNTIFS($GA$2:$GA$1000,"Y",$J$2:$J$1000,J665,$GD$2:$GD$1000,"&lt;"&amp;GD665)+1&lt;=25,COUNTIFS($GA$2:$GA$1000,"Y",$J$2:$J$1000,"&gt;"&amp;J665)+COUNTIFS($GA$2:$GA$1000,"Y",$J$2:$J$1000,J665,$GD$2:$GD$1000,"&lt;"&amp;GD665)+1,""))</f>
        <v/>
      </c>
      <c r="GC665" s="0" t="str">
        <f aca="false">IF(AND(_xlfn.ISFORMULA(C665),_xlfn.ISFORMULA(J665)),"Y","N")</f>
        <v>Y</v>
      </c>
      <c r="GD665" s="0" t="n">
        <f aca="false">ROW()-1</f>
        <v>664</v>
      </c>
    </row>
    <row r="666" customFormat="false" ht="15" hidden="false" customHeight="false" outlineLevel="0" collapsed="false">
      <c r="C666" s="0" t="str">
        <f aca="false">IF($A666="","",IF(AW666="Y",BM666&amp;"",AY666&amp;""))</f>
        <v/>
      </c>
      <c r="D666" s="0" t="str">
        <f aca="false">IF($A666="","",IF(AW666="Y",BN666&amp;"",AZ666&amp;""))</f>
        <v/>
      </c>
      <c r="E666" s="0" t="str">
        <f aca="false">IF($A666="","",IF(AW666="Y",BO666&amp;"",BA666&amp;""))</f>
        <v/>
      </c>
      <c r="F666" s="0" t="str">
        <f aca="false">IF($A666="","",IF(AW666="Y",BP666&amp;"",BB666&amp;""))</f>
        <v/>
      </c>
      <c r="G666" s="0" t="str">
        <f aca="false">IF($A666="","",IF(AW666="Y",BQ666&amp;"",BC666&amp;""))</f>
        <v/>
      </c>
      <c r="H666" s="0" t="str">
        <f aca="false">IF($A666="","",IF(AW666="Y",BR666&amp;"",BD666&amp;""))</f>
        <v/>
      </c>
      <c r="I666" s="0" t="str">
        <f aca="false">IF($A666="","",IF(R666="Y","warm-intro",IF(H666="verified","email",IF(C666&lt;&gt;"","linkedin",CB666&amp;""))))</f>
        <v/>
      </c>
      <c r="J666" s="0" t="str">
        <f aca="false">IF($A666="","",IF(CN666="pass",ROUND(N(EM666)+N(EN666)+N(EO666)+N(EP666)+N(EQ666)+N(ER666),1),0))</f>
        <v/>
      </c>
      <c r="K666" s="0" t="str">
        <f aca="false">IF($A666="","",IF(CN666&lt;&gt;"pass",CA666&amp;"",CA666&amp;"; "&amp;IF(AW666="Y",BZ666&amp;"",BL666&amp;"")&amp;IF(R666="Y","; known to the founder (+15)","")&amp;"."))</f>
        <v/>
      </c>
      <c r="R666" s="5"/>
      <c r="U666" s="5"/>
      <c r="Y666" s="0" t="str">
        <f aca="false">IF(FX666&lt;&gt;"Y","",COUNTIFS($FX$2:$FX$1000,"Y",$J$2:$J$1000,"&gt;"&amp;J666)+COUNTIFS($FX$2:$FX$1000,"Y",$J$2:$J$1000,J666,$GD$2:$GD$1000,"&lt;"&amp;GD666)+1)</f>
        <v/>
      </c>
      <c r="AB666" s="0" t="str">
        <f aca="false">IF($A666="","",IF(AW666="Y",BY666&amp;"",BK666&amp;""))</f>
        <v/>
      </c>
      <c r="AC666" s="0" t="str">
        <f aca="false">IF($A666="","",IF(AW666="Y",BS666&amp;"",BE666&amp;""))</f>
        <v/>
      </c>
      <c r="AD666" s="0" t="str">
        <f aca="false">IF($A666="","",IF(AW666="Y",BT666&amp;"",BF666&amp;""))</f>
        <v/>
      </c>
      <c r="AE666" s="0" t="str">
        <f aca="false">IF($A666="","",IF(AW666="Y",BU666&amp;"",BG666&amp;""))</f>
        <v/>
      </c>
      <c r="AF666" s="0" t="str">
        <f aca="false">IF($A666="","",IF(AW666="Y",BV666&amp;"",BH666&amp;""))</f>
        <v/>
      </c>
      <c r="AG666" s="0" t="str">
        <f aca="false">IF($A666="","",IF(AW666="Y",BW666&amp;"",BI666&amp;""))</f>
        <v/>
      </c>
      <c r="AH666" s="0" t="str">
        <f aca="false">IF($A666="","",IF(AW666="Y",BX666&amp;"",BJ666&amp;""))</f>
        <v/>
      </c>
      <c r="AQ666" s="5"/>
      <c r="AT666" s="0" t="str">
        <f aca="false">IF($A666="","",IF(AND(CN666="pass",AQ666&lt;&gt;"Y",C666&lt;&gt;"",OR(AX666&lt;&gt;"Y",AV666="Y")),"Y","N"))</f>
        <v/>
      </c>
      <c r="AU666" s="0" t="str">
        <f aca="false">IF($A666="","",_xlfn.TEXTJOIN("; ",TRUE(),IF(CN666&lt;&gt;"pass","gated out",""),IF(AQ666="Y","on hold: "&amp;AR666,""),IF(C666="","no contact named on an opened page",""),IF(AND(AX666="Y",AV666&lt;&gt;"Y"),"Tuesday estimate band "&amp;L666&amp;": founder's call","")))</f>
        <v/>
      </c>
      <c r="BC666" s="0" t="str">
        <f aca="false">IF($A666="","",IFERROR(INDEX(Enrichment!$A$2:$GZ$2000,MATCH($A666,INDEX(Enrichment!$A$2:$GZ$2000,0,MATCH("row_id",Enrichment!$A$1:$GZ$1,0)),0),MATCH("work_email",Enrichment!$A$1:$GZ$1,0))&amp;"",""))</f>
        <v/>
      </c>
      <c r="BD666" s="0" t="str">
        <f aca="false">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Q666" s="0" t="str">
        <f aca="false">IF($A666="","",IFERROR(INDEX(Enrichment!$A$2:$GZ$2000,MATCH($A666,INDEX(Enrichment!$A$2:$GZ$2000,0,MATCH("row_id",Enrichment!$A$1:$GZ$1,0)),0),MATCH("backup_work_email",Enrichment!$A$1:$GZ$1,0))&amp;"",""))</f>
        <v/>
      </c>
      <c r="BR666" s="0" t="str">
        <f aca="false">IF($A666="","",IF(BQ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EQ666" s="0" t="str">
        <f aca="false">IF($A666="","",IF(AH666="exact",10,IF(AH666="adjacent",5,0)))</f>
        <v/>
      </c>
      <c r="ER666" s="0" t="str">
        <f aca="false">IF($A666="","",IF(R666="Y",15,0))</f>
        <v/>
      </c>
      <c r="FS666" s="0" t="str">
        <f aca="false">IF($A666="","",IF(ISNUMBER(MATCH(U666,{"queued","contacted","replied","call_booked","call_done","yes_in_principle","materials_sent"},0)),"Y","N"))</f>
        <v/>
      </c>
      <c r="FT666" s="0" t="str">
        <f aca="false">IF($A666="","",IF(OR(T666="Y",U666="do_not_contact",AS666&amp;""&lt;&gt;""),"Y","N"))</f>
        <v/>
      </c>
      <c r="FU666" s="0" t="str">
        <f aca="false">IF($A666="","",IF(AP666&amp;""&lt;&gt;"",AP666&amp;"",$A666))</f>
        <v/>
      </c>
      <c r="FV666" s="0" t="str">
        <f aca="false">IF($A666="","",IF(COUNTIFS($FU$2:$FU$1000,FU666,$FS$2:$FS$1000,"Y")+COUNTIFS($FU$2:$FU$1000,FU666,$FT$2:$FT$1000,"Y")&gt;0,"Y","N"))</f>
        <v/>
      </c>
      <c r="FW666" s="0" t="str">
        <f aca="false">IF($A666="","",IF(AND(U666="new",T666="N",FT666="N",AT666="Y",FV666="N"),"Y","N"))</f>
        <v/>
      </c>
      <c r="FX666" s="0" t="str">
        <f aca="false">IF($A666="","",IF(FW666&lt;&gt;"Y","N",IF(COUNTIFS($FU$2:$FU$1000,FU666,$FW$2:$FW$1000,"Y",$J$2:$J$1000,"&gt;"&amp;J666)+COUNTIFS($FU$2:$FU$1000,FU666,$FW$2:$FW$1000,"Y",$J$2:$J$1000,J666,$GD$2:$GD$1000,"&lt;"&amp;GD666)=0,"Y","N")))</f>
        <v/>
      </c>
      <c r="FY666" s="0" t="str">
        <f aca="false">IF($A666="","",IF(AND(FW666="Y",FX666="Y",Y666&amp;""&lt;&gt;""),IF(Y666&lt;=10,"Y","N"),"N"))</f>
        <v/>
      </c>
      <c r="FZ666" s="0" t="str">
        <f aca="false">IF(FY666="Y",Y666,"")</f>
        <v/>
      </c>
      <c r="GA666" s="0" t="str">
        <f aca="false">IF($A666="","",IF(AND(I666="walk-in",CN666="pass",U666="new",FT666="N",FV666="N",AQ666&lt;&gt;"Y"),"Y","N"))</f>
        <v/>
      </c>
      <c r="GB666" s="0" t="str">
        <f aca="false">IF(GA666&lt;&gt;"Y","",IF(COUNTIFS($GA$2:$GA$1000,"Y",$J$2:$J$1000,"&gt;"&amp;J666)+COUNTIFS($GA$2:$GA$1000,"Y",$J$2:$J$1000,J666,$GD$2:$GD$1000,"&lt;"&amp;GD666)+1&lt;=25,COUNTIFS($GA$2:$GA$1000,"Y",$J$2:$J$1000,"&gt;"&amp;J666)+COUNTIFS($GA$2:$GA$1000,"Y",$J$2:$J$1000,J666,$GD$2:$GD$1000,"&lt;"&amp;GD666)+1,""))</f>
        <v/>
      </c>
      <c r="GC666" s="0" t="str">
        <f aca="false">IF(AND(_xlfn.ISFORMULA(C666),_xlfn.ISFORMULA(J666)),"Y","N")</f>
        <v>Y</v>
      </c>
      <c r="GD666" s="0" t="n">
        <f aca="false">ROW()-1</f>
        <v>665</v>
      </c>
    </row>
    <row r="667" customFormat="false" ht="15" hidden="false" customHeight="false" outlineLevel="0" collapsed="false">
      <c r="C667" s="0" t="str">
        <f aca="false">IF($A667="","",IF(AW667="Y",BM667&amp;"",AY667&amp;""))</f>
        <v/>
      </c>
      <c r="D667" s="0" t="str">
        <f aca="false">IF($A667="","",IF(AW667="Y",BN667&amp;"",AZ667&amp;""))</f>
        <v/>
      </c>
      <c r="E667" s="0" t="str">
        <f aca="false">IF($A667="","",IF(AW667="Y",BO667&amp;"",BA667&amp;""))</f>
        <v/>
      </c>
      <c r="F667" s="0" t="str">
        <f aca="false">IF($A667="","",IF(AW667="Y",BP667&amp;"",BB667&amp;""))</f>
        <v/>
      </c>
      <c r="G667" s="0" t="str">
        <f aca="false">IF($A667="","",IF(AW667="Y",BQ667&amp;"",BC667&amp;""))</f>
        <v/>
      </c>
      <c r="H667" s="0" t="str">
        <f aca="false">IF($A667="","",IF(AW667="Y",BR667&amp;"",BD667&amp;""))</f>
        <v/>
      </c>
      <c r="I667" s="0" t="str">
        <f aca="false">IF($A667="","",IF(R667="Y","warm-intro",IF(H667="verified","email",IF(C667&lt;&gt;"","linkedin",CB667&amp;""))))</f>
        <v/>
      </c>
      <c r="J667" s="0" t="str">
        <f aca="false">IF($A667="","",IF(CN667="pass",ROUND(N(EM667)+N(EN667)+N(EO667)+N(EP667)+N(EQ667)+N(ER667),1),0))</f>
        <v/>
      </c>
      <c r="K667" s="0" t="str">
        <f aca="false">IF($A667="","",IF(CN667&lt;&gt;"pass",CA667&amp;"",CA667&amp;"; "&amp;IF(AW667="Y",BZ667&amp;"",BL667&amp;"")&amp;IF(R667="Y","; known to the founder (+15)","")&amp;"."))</f>
        <v/>
      </c>
      <c r="R667" s="5"/>
      <c r="U667" s="5"/>
      <c r="Y667" s="0" t="str">
        <f aca="false">IF(FX667&lt;&gt;"Y","",COUNTIFS($FX$2:$FX$1000,"Y",$J$2:$J$1000,"&gt;"&amp;J667)+COUNTIFS($FX$2:$FX$1000,"Y",$J$2:$J$1000,J667,$GD$2:$GD$1000,"&lt;"&amp;GD667)+1)</f>
        <v/>
      </c>
      <c r="AB667" s="0" t="str">
        <f aca="false">IF($A667="","",IF(AW667="Y",BY667&amp;"",BK667&amp;""))</f>
        <v/>
      </c>
      <c r="AC667" s="0" t="str">
        <f aca="false">IF($A667="","",IF(AW667="Y",BS667&amp;"",BE667&amp;""))</f>
        <v/>
      </c>
      <c r="AD667" s="0" t="str">
        <f aca="false">IF($A667="","",IF(AW667="Y",BT667&amp;"",BF667&amp;""))</f>
        <v/>
      </c>
      <c r="AE667" s="0" t="str">
        <f aca="false">IF($A667="","",IF(AW667="Y",BU667&amp;"",BG667&amp;""))</f>
        <v/>
      </c>
      <c r="AF667" s="0" t="str">
        <f aca="false">IF($A667="","",IF(AW667="Y",BV667&amp;"",BH667&amp;""))</f>
        <v/>
      </c>
      <c r="AG667" s="0" t="str">
        <f aca="false">IF($A667="","",IF(AW667="Y",BW667&amp;"",BI667&amp;""))</f>
        <v/>
      </c>
      <c r="AH667" s="0" t="str">
        <f aca="false">IF($A667="","",IF(AW667="Y",BX667&amp;"",BJ667&amp;""))</f>
        <v/>
      </c>
      <c r="AQ667" s="5"/>
      <c r="AT667" s="0" t="str">
        <f aca="false">IF($A667="","",IF(AND(CN667="pass",AQ667&lt;&gt;"Y",C667&lt;&gt;"",OR(AX667&lt;&gt;"Y",AV667="Y")),"Y","N"))</f>
        <v/>
      </c>
      <c r="AU667" s="0" t="str">
        <f aca="false">IF($A667="","",_xlfn.TEXTJOIN("; ",TRUE(),IF(CN667&lt;&gt;"pass","gated out",""),IF(AQ667="Y","on hold: "&amp;AR667,""),IF(C667="","no contact named on an opened page",""),IF(AND(AX667="Y",AV667&lt;&gt;"Y"),"Tuesday estimate band "&amp;L667&amp;": founder's call","")))</f>
        <v/>
      </c>
      <c r="BC667" s="0" t="str">
        <f aca="false">IF($A667="","",IFERROR(INDEX(Enrichment!$A$2:$GZ$2000,MATCH($A667,INDEX(Enrichment!$A$2:$GZ$2000,0,MATCH("row_id",Enrichment!$A$1:$GZ$1,0)),0),MATCH("work_email",Enrichment!$A$1:$GZ$1,0))&amp;"",""))</f>
        <v/>
      </c>
      <c r="BD667" s="0" t="str">
        <f aca="false">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Q667" s="0" t="str">
        <f aca="false">IF($A667="","",IFERROR(INDEX(Enrichment!$A$2:$GZ$2000,MATCH($A667,INDEX(Enrichment!$A$2:$GZ$2000,0,MATCH("row_id",Enrichment!$A$1:$GZ$1,0)),0),MATCH("backup_work_email",Enrichment!$A$1:$GZ$1,0))&amp;"",""))</f>
        <v/>
      </c>
      <c r="BR667" s="0" t="str">
        <f aca="false">IF($A667="","",IF(BQ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EQ667" s="0" t="str">
        <f aca="false">IF($A667="","",IF(AH667="exact",10,IF(AH667="adjacent",5,0)))</f>
        <v/>
      </c>
      <c r="ER667" s="0" t="str">
        <f aca="false">IF($A667="","",IF(R667="Y",15,0))</f>
        <v/>
      </c>
      <c r="FS667" s="0" t="str">
        <f aca="false">IF($A667="","",IF(ISNUMBER(MATCH(U667,{"queued","contacted","replied","call_booked","call_done","yes_in_principle","materials_sent"},0)),"Y","N"))</f>
        <v/>
      </c>
      <c r="FT667" s="0" t="str">
        <f aca="false">IF($A667="","",IF(OR(T667="Y",U667="do_not_contact",AS667&amp;""&lt;&gt;""),"Y","N"))</f>
        <v/>
      </c>
      <c r="FU667" s="0" t="str">
        <f aca="false">IF($A667="","",IF(AP667&amp;""&lt;&gt;"",AP667&amp;"",$A667))</f>
        <v/>
      </c>
      <c r="FV667" s="0" t="str">
        <f aca="false">IF($A667="","",IF(COUNTIFS($FU$2:$FU$1000,FU667,$FS$2:$FS$1000,"Y")+COUNTIFS($FU$2:$FU$1000,FU667,$FT$2:$FT$1000,"Y")&gt;0,"Y","N"))</f>
        <v/>
      </c>
      <c r="FW667" s="0" t="str">
        <f aca="false">IF($A667="","",IF(AND(U667="new",T667="N",FT667="N",AT667="Y",FV667="N"),"Y","N"))</f>
        <v/>
      </c>
      <c r="FX667" s="0" t="str">
        <f aca="false">IF($A667="","",IF(FW667&lt;&gt;"Y","N",IF(COUNTIFS($FU$2:$FU$1000,FU667,$FW$2:$FW$1000,"Y",$J$2:$J$1000,"&gt;"&amp;J667)+COUNTIFS($FU$2:$FU$1000,FU667,$FW$2:$FW$1000,"Y",$J$2:$J$1000,J667,$GD$2:$GD$1000,"&lt;"&amp;GD667)=0,"Y","N")))</f>
        <v/>
      </c>
      <c r="FY667" s="0" t="str">
        <f aca="false">IF($A667="","",IF(AND(FW667="Y",FX667="Y",Y667&amp;""&lt;&gt;""),IF(Y667&lt;=10,"Y","N"),"N"))</f>
        <v/>
      </c>
      <c r="FZ667" s="0" t="str">
        <f aca="false">IF(FY667="Y",Y667,"")</f>
        <v/>
      </c>
      <c r="GA667" s="0" t="str">
        <f aca="false">IF($A667="","",IF(AND(I667="walk-in",CN667="pass",U667="new",FT667="N",FV667="N",AQ667&lt;&gt;"Y"),"Y","N"))</f>
        <v/>
      </c>
      <c r="GB667" s="0" t="str">
        <f aca="false">IF(GA667&lt;&gt;"Y","",IF(COUNTIFS($GA$2:$GA$1000,"Y",$J$2:$J$1000,"&gt;"&amp;J667)+COUNTIFS($GA$2:$GA$1000,"Y",$J$2:$J$1000,J667,$GD$2:$GD$1000,"&lt;"&amp;GD667)+1&lt;=25,COUNTIFS($GA$2:$GA$1000,"Y",$J$2:$J$1000,"&gt;"&amp;J667)+COUNTIFS($GA$2:$GA$1000,"Y",$J$2:$J$1000,J667,$GD$2:$GD$1000,"&lt;"&amp;GD667)+1,""))</f>
        <v/>
      </c>
      <c r="GC667" s="0" t="str">
        <f aca="false">IF(AND(_xlfn.ISFORMULA(C667),_xlfn.ISFORMULA(J667)),"Y","N")</f>
        <v>Y</v>
      </c>
      <c r="GD667" s="0" t="n">
        <f aca="false">ROW()-1</f>
        <v>666</v>
      </c>
    </row>
    <row r="668" customFormat="false" ht="15" hidden="false" customHeight="false" outlineLevel="0" collapsed="false">
      <c r="C668" s="0" t="str">
        <f aca="false">IF($A668="","",IF(AW668="Y",BM668&amp;"",AY668&amp;""))</f>
        <v/>
      </c>
      <c r="D668" s="0" t="str">
        <f aca="false">IF($A668="","",IF(AW668="Y",BN668&amp;"",AZ668&amp;""))</f>
        <v/>
      </c>
      <c r="E668" s="0" t="str">
        <f aca="false">IF($A668="","",IF(AW668="Y",BO668&amp;"",BA668&amp;""))</f>
        <v/>
      </c>
      <c r="F668" s="0" t="str">
        <f aca="false">IF($A668="","",IF(AW668="Y",BP668&amp;"",BB668&amp;""))</f>
        <v/>
      </c>
      <c r="G668" s="0" t="str">
        <f aca="false">IF($A668="","",IF(AW668="Y",BQ668&amp;"",BC668&amp;""))</f>
        <v/>
      </c>
      <c r="H668" s="0" t="str">
        <f aca="false">IF($A668="","",IF(AW668="Y",BR668&amp;"",BD668&amp;""))</f>
        <v/>
      </c>
      <c r="I668" s="0" t="str">
        <f aca="false">IF($A668="","",IF(R668="Y","warm-intro",IF(H668="verified","email",IF(C668&lt;&gt;"","linkedin",CB668&amp;""))))</f>
        <v/>
      </c>
      <c r="J668" s="0" t="str">
        <f aca="false">IF($A668="","",IF(CN668="pass",ROUND(N(EM668)+N(EN668)+N(EO668)+N(EP668)+N(EQ668)+N(ER668),1),0))</f>
        <v/>
      </c>
      <c r="K668" s="0" t="str">
        <f aca="false">IF($A668="","",IF(CN668&lt;&gt;"pass",CA668&amp;"",CA668&amp;"; "&amp;IF(AW668="Y",BZ668&amp;"",BL668&amp;"")&amp;IF(R668="Y","; known to the founder (+15)","")&amp;"."))</f>
        <v/>
      </c>
      <c r="R668" s="5"/>
      <c r="U668" s="5"/>
      <c r="Y668" s="0" t="str">
        <f aca="false">IF(FX668&lt;&gt;"Y","",COUNTIFS($FX$2:$FX$1000,"Y",$J$2:$J$1000,"&gt;"&amp;J668)+COUNTIFS($FX$2:$FX$1000,"Y",$J$2:$J$1000,J668,$GD$2:$GD$1000,"&lt;"&amp;GD668)+1)</f>
        <v/>
      </c>
      <c r="AB668" s="0" t="str">
        <f aca="false">IF($A668="","",IF(AW668="Y",BY668&amp;"",BK668&amp;""))</f>
        <v/>
      </c>
      <c r="AC668" s="0" t="str">
        <f aca="false">IF($A668="","",IF(AW668="Y",BS668&amp;"",BE668&amp;""))</f>
        <v/>
      </c>
      <c r="AD668" s="0" t="str">
        <f aca="false">IF($A668="","",IF(AW668="Y",BT668&amp;"",BF668&amp;""))</f>
        <v/>
      </c>
      <c r="AE668" s="0" t="str">
        <f aca="false">IF($A668="","",IF(AW668="Y",BU668&amp;"",BG668&amp;""))</f>
        <v/>
      </c>
      <c r="AF668" s="0" t="str">
        <f aca="false">IF($A668="","",IF(AW668="Y",BV668&amp;"",BH668&amp;""))</f>
        <v/>
      </c>
      <c r="AG668" s="0" t="str">
        <f aca="false">IF($A668="","",IF(AW668="Y",BW668&amp;"",BI668&amp;""))</f>
        <v/>
      </c>
      <c r="AH668" s="0" t="str">
        <f aca="false">IF($A668="","",IF(AW668="Y",BX668&amp;"",BJ668&amp;""))</f>
        <v/>
      </c>
      <c r="AQ668" s="5"/>
      <c r="AT668" s="0" t="str">
        <f aca="false">IF($A668="","",IF(AND(CN668="pass",AQ668&lt;&gt;"Y",C668&lt;&gt;"",OR(AX668&lt;&gt;"Y",AV668="Y")),"Y","N"))</f>
        <v/>
      </c>
      <c r="AU668" s="0" t="str">
        <f aca="false">IF($A668="","",_xlfn.TEXTJOIN("; ",TRUE(),IF(CN668&lt;&gt;"pass","gated out",""),IF(AQ668="Y","on hold: "&amp;AR668,""),IF(C668="","no contact named on an opened page",""),IF(AND(AX668="Y",AV668&lt;&gt;"Y"),"Tuesday estimate band "&amp;L668&amp;": founder's call","")))</f>
        <v/>
      </c>
      <c r="BC668" s="0" t="str">
        <f aca="false">IF($A668="","",IFERROR(INDEX(Enrichment!$A$2:$GZ$2000,MATCH($A668,INDEX(Enrichment!$A$2:$GZ$2000,0,MATCH("row_id",Enrichment!$A$1:$GZ$1,0)),0),MATCH("work_email",Enrichment!$A$1:$GZ$1,0))&amp;"",""))</f>
        <v/>
      </c>
      <c r="BD668" s="0" t="str">
        <f aca="false">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Q668" s="0" t="str">
        <f aca="false">IF($A668="","",IFERROR(INDEX(Enrichment!$A$2:$GZ$2000,MATCH($A668,INDEX(Enrichment!$A$2:$GZ$2000,0,MATCH("row_id",Enrichment!$A$1:$GZ$1,0)),0),MATCH("backup_work_email",Enrichment!$A$1:$GZ$1,0))&amp;"",""))</f>
        <v/>
      </c>
      <c r="BR668" s="0" t="str">
        <f aca="false">IF($A668="","",IF(BQ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EQ668" s="0" t="str">
        <f aca="false">IF($A668="","",IF(AH668="exact",10,IF(AH668="adjacent",5,0)))</f>
        <v/>
      </c>
      <c r="ER668" s="0" t="str">
        <f aca="false">IF($A668="","",IF(R668="Y",15,0))</f>
        <v/>
      </c>
      <c r="FS668" s="0" t="str">
        <f aca="false">IF($A668="","",IF(ISNUMBER(MATCH(U668,{"queued","contacted","replied","call_booked","call_done","yes_in_principle","materials_sent"},0)),"Y","N"))</f>
        <v/>
      </c>
      <c r="FT668" s="0" t="str">
        <f aca="false">IF($A668="","",IF(OR(T668="Y",U668="do_not_contact",AS668&amp;""&lt;&gt;""),"Y","N"))</f>
        <v/>
      </c>
      <c r="FU668" s="0" t="str">
        <f aca="false">IF($A668="","",IF(AP668&amp;""&lt;&gt;"",AP668&amp;"",$A668))</f>
        <v/>
      </c>
      <c r="FV668" s="0" t="str">
        <f aca="false">IF($A668="","",IF(COUNTIFS($FU$2:$FU$1000,FU668,$FS$2:$FS$1000,"Y")+COUNTIFS($FU$2:$FU$1000,FU668,$FT$2:$FT$1000,"Y")&gt;0,"Y","N"))</f>
        <v/>
      </c>
      <c r="FW668" s="0" t="str">
        <f aca="false">IF($A668="","",IF(AND(U668="new",T668="N",FT668="N",AT668="Y",FV668="N"),"Y","N"))</f>
        <v/>
      </c>
      <c r="FX668" s="0" t="str">
        <f aca="false">IF($A668="","",IF(FW668&lt;&gt;"Y","N",IF(COUNTIFS($FU$2:$FU$1000,FU668,$FW$2:$FW$1000,"Y",$J$2:$J$1000,"&gt;"&amp;J668)+COUNTIFS($FU$2:$FU$1000,FU668,$FW$2:$FW$1000,"Y",$J$2:$J$1000,J668,$GD$2:$GD$1000,"&lt;"&amp;GD668)=0,"Y","N")))</f>
        <v/>
      </c>
      <c r="FY668" s="0" t="str">
        <f aca="false">IF($A668="","",IF(AND(FW668="Y",FX668="Y",Y668&amp;""&lt;&gt;""),IF(Y668&lt;=10,"Y","N"),"N"))</f>
        <v/>
      </c>
      <c r="FZ668" s="0" t="str">
        <f aca="false">IF(FY668="Y",Y668,"")</f>
        <v/>
      </c>
      <c r="GA668" s="0" t="str">
        <f aca="false">IF($A668="","",IF(AND(I668="walk-in",CN668="pass",U668="new",FT668="N",FV668="N",AQ668&lt;&gt;"Y"),"Y","N"))</f>
        <v/>
      </c>
      <c r="GB668" s="0" t="str">
        <f aca="false">IF(GA668&lt;&gt;"Y","",IF(COUNTIFS($GA$2:$GA$1000,"Y",$J$2:$J$1000,"&gt;"&amp;J668)+COUNTIFS($GA$2:$GA$1000,"Y",$J$2:$J$1000,J668,$GD$2:$GD$1000,"&lt;"&amp;GD668)+1&lt;=25,COUNTIFS($GA$2:$GA$1000,"Y",$J$2:$J$1000,"&gt;"&amp;J668)+COUNTIFS($GA$2:$GA$1000,"Y",$J$2:$J$1000,J668,$GD$2:$GD$1000,"&lt;"&amp;GD668)+1,""))</f>
        <v/>
      </c>
      <c r="GC668" s="0" t="str">
        <f aca="false">IF(AND(_xlfn.ISFORMULA(C668),_xlfn.ISFORMULA(J668)),"Y","N")</f>
        <v>Y</v>
      </c>
      <c r="GD668" s="0" t="n">
        <f aca="false">ROW()-1</f>
        <v>667</v>
      </c>
    </row>
    <row r="669" customFormat="false" ht="15" hidden="false" customHeight="false" outlineLevel="0" collapsed="false">
      <c r="C669" s="0" t="str">
        <f aca="false">IF($A669="","",IF(AW669="Y",BM669&amp;"",AY669&amp;""))</f>
        <v/>
      </c>
      <c r="D669" s="0" t="str">
        <f aca="false">IF($A669="","",IF(AW669="Y",BN669&amp;"",AZ669&amp;""))</f>
        <v/>
      </c>
      <c r="E669" s="0" t="str">
        <f aca="false">IF($A669="","",IF(AW669="Y",BO669&amp;"",BA669&amp;""))</f>
        <v/>
      </c>
      <c r="F669" s="0" t="str">
        <f aca="false">IF($A669="","",IF(AW669="Y",BP669&amp;"",BB669&amp;""))</f>
        <v/>
      </c>
      <c r="G669" s="0" t="str">
        <f aca="false">IF($A669="","",IF(AW669="Y",BQ669&amp;"",BC669&amp;""))</f>
        <v/>
      </c>
      <c r="H669" s="0" t="str">
        <f aca="false">IF($A669="","",IF(AW669="Y",BR669&amp;"",BD669&amp;""))</f>
        <v/>
      </c>
      <c r="I669" s="0" t="str">
        <f aca="false">IF($A669="","",IF(R669="Y","warm-intro",IF(H669="verified","email",IF(C669&lt;&gt;"","linkedin",CB669&amp;""))))</f>
        <v/>
      </c>
      <c r="J669" s="0" t="str">
        <f aca="false">IF($A669="","",IF(CN669="pass",ROUND(N(EM669)+N(EN669)+N(EO669)+N(EP669)+N(EQ669)+N(ER669),1),0))</f>
        <v/>
      </c>
      <c r="K669" s="0" t="str">
        <f aca="false">IF($A669="","",IF(CN669&lt;&gt;"pass",CA669&amp;"",CA669&amp;"; "&amp;IF(AW669="Y",BZ669&amp;"",BL669&amp;"")&amp;IF(R669="Y","; known to the founder (+15)","")&amp;"."))</f>
        <v/>
      </c>
      <c r="R669" s="5"/>
      <c r="U669" s="5"/>
      <c r="Y669" s="0" t="str">
        <f aca="false">IF(FX669&lt;&gt;"Y","",COUNTIFS($FX$2:$FX$1000,"Y",$J$2:$J$1000,"&gt;"&amp;J669)+COUNTIFS($FX$2:$FX$1000,"Y",$J$2:$J$1000,J669,$GD$2:$GD$1000,"&lt;"&amp;GD669)+1)</f>
        <v/>
      </c>
      <c r="AB669" s="0" t="str">
        <f aca="false">IF($A669="","",IF(AW669="Y",BY669&amp;"",BK669&amp;""))</f>
        <v/>
      </c>
      <c r="AC669" s="0" t="str">
        <f aca="false">IF($A669="","",IF(AW669="Y",BS669&amp;"",BE669&amp;""))</f>
        <v/>
      </c>
      <c r="AD669" s="0" t="str">
        <f aca="false">IF($A669="","",IF(AW669="Y",BT669&amp;"",BF669&amp;""))</f>
        <v/>
      </c>
      <c r="AE669" s="0" t="str">
        <f aca="false">IF($A669="","",IF(AW669="Y",BU669&amp;"",BG669&amp;""))</f>
        <v/>
      </c>
      <c r="AF669" s="0" t="str">
        <f aca="false">IF($A669="","",IF(AW669="Y",BV669&amp;"",BH669&amp;""))</f>
        <v/>
      </c>
      <c r="AG669" s="0" t="str">
        <f aca="false">IF($A669="","",IF(AW669="Y",BW669&amp;"",BI669&amp;""))</f>
        <v/>
      </c>
      <c r="AH669" s="0" t="str">
        <f aca="false">IF($A669="","",IF(AW669="Y",BX669&amp;"",BJ669&amp;""))</f>
        <v/>
      </c>
      <c r="AQ669" s="5"/>
      <c r="AT669" s="0" t="str">
        <f aca="false">IF($A669="","",IF(AND(CN669="pass",AQ669&lt;&gt;"Y",C669&lt;&gt;"",OR(AX669&lt;&gt;"Y",AV669="Y")),"Y","N"))</f>
        <v/>
      </c>
      <c r="AU669" s="0" t="str">
        <f aca="false">IF($A669="","",_xlfn.TEXTJOIN("; ",TRUE(),IF(CN669&lt;&gt;"pass","gated out",""),IF(AQ669="Y","on hold: "&amp;AR669,""),IF(C669="","no contact named on an opened page",""),IF(AND(AX669="Y",AV669&lt;&gt;"Y"),"Tuesday estimate band "&amp;L669&amp;": founder's call","")))</f>
        <v/>
      </c>
      <c r="BC669" s="0" t="str">
        <f aca="false">IF($A669="","",IFERROR(INDEX(Enrichment!$A$2:$GZ$2000,MATCH($A669,INDEX(Enrichment!$A$2:$GZ$2000,0,MATCH("row_id",Enrichment!$A$1:$GZ$1,0)),0),MATCH("work_email",Enrichment!$A$1:$GZ$1,0))&amp;"",""))</f>
        <v/>
      </c>
      <c r="BD669" s="0" t="str">
        <f aca="false">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Q669" s="0" t="str">
        <f aca="false">IF($A669="","",IFERROR(INDEX(Enrichment!$A$2:$GZ$2000,MATCH($A669,INDEX(Enrichment!$A$2:$GZ$2000,0,MATCH("row_id",Enrichment!$A$1:$GZ$1,0)),0),MATCH("backup_work_email",Enrichment!$A$1:$GZ$1,0))&amp;"",""))</f>
        <v/>
      </c>
      <c r="BR669" s="0" t="str">
        <f aca="false">IF($A669="","",IF(BQ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EQ669" s="0" t="str">
        <f aca="false">IF($A669="","",IF(AH669="exact",10,IF(AH669="adjacent",5,0)))</f>
        <v/>
      </c>
      <c r="ER669" s="0" t="str">
        <f aca="false">IF($A669="","",IF(R669="Y",15,0))</f>
        <v/>
      </c>
      <c r="FS669" s="0" t="str">
        <f aca="false">IF($A669="","",IF(ISNUMBER(MATCH(U669,{"queued","contacted","replied","call_booked","call_done","yes_in_principle","materials_sent"},0)),"Y","N"))</f>
        <v/>
      </c>
      <c r="FT669" s="0" t="str">
        <f aca="false">IF($A669="","",IF(OR(T669="Y",U669="do_not_contact",AS669&amp;""&lt;&gt;""),"Y","N"))</f>
        <v/>
      </c>
      <c r="FU669" s="0" t="str">
        <f aca="false">IF($A669="","",IF(AP669&amp;""&lt;&gt;"",AP669&amp;"",$A669))</f>
        <v/>
      </c>
      <c r="FV669" s="0" t="str">
        <f aca="false">IF($A669="","",IF(COUNTIFS($FU$2:$FU$1000,FU669,$FS$2:$FS$1000,"Y")+COUNTIFS($FU$2:$FU$1000,FU669,$FT$2:$FT$1000,"Y")&gt;0,"Y","N"))</f>
        <v/>
      </c>
      <c r="FW669" s="0" t="str">
        <f aca="false">IF($A669="","",IF(AND(U669="new",T669="N",FT669="N",AT669="Y",FV669="N"),"Y","N"))</f>
        <v/>
      </c>
      <c r="FX669" s="0" t="str">
        <f aca="false">IF($A669="","",IF(FW669&lt;&gt;"Y","N",IF(COUNTIFS($FU$2:$FU$1000,FU669,$FW$2:$FW$1000,"Y",$J$2:$J$1000,"&gt;"&amp;J669)+COUNTIFS($FU$2:$FU$1000,FU669,$FW$2:$FW$1000,"Y",$J$2:$J$1000,J669,$GD$2:$GD$1000,"&lt;"&amp;GD669)=0,"Y","N")))</f>
        <v/>
      </c>
      <c r="FY669" s="0" t="str">
        <f aca="false">IF($A669="","",IF(AND(FW669="Y",FX669="Y",Y669&amp;""&lt;&gt;""),IF(Y669&lt;=10,"Y","N"),"N"))</f>
        <v/>
      </c>
      <c r="FZ669" s="0" t="str">
        <f aca="false">IF(FY669="Y",Y669,"")</f>
        <v/>
      </c>
      <c r="GA669" s="0" t="str">
        <f aca="false">IF($A669="","",IF(AND(I669="walk-in",CN669="pass",U669="new",FT669="N",FV669="N",AQ669&lt;&gt;"Y"),"Y","N"))</f>
        <v/>
      </c>
      <c r="GB669" s="0" t="str">
        <f aca="false">IF(GA669&lt;&gt;"Y","",IF(COUNTIFS($GA$2:$GA$1000,"Y",$J$2:$J$1000,"&gt;"&amp;J669)+COUNTIFS($GA$2:$GA$1000,"Y",$J$2:$J$1000,J669,$GD$2:$GD$1000,"&lt;"&amp;GD669)+1&lt;=25,COUNTIFS($GA$2:$GA$1000,"Y",$J$2:$J$1000,"&gt;"&amp;J669)+COUNTIFS($GA$2:$GA$1000,"Y",$J$2:$J$1000,J669,$GD$2:$GD$1000,"&lt;"&amp;GD669)+1,""))</f>
        <v/>
      </c>
      <c r="GC669" s="0" t="str">
        <f aca="false">IF(AND(_xlfn.ISFORMULA(C669),_xlfn.ISFORMULA(J669)),"Y","N")</f>
        <v>Y</v>
      </c>
      <c r="GD669" s="0" t="n">
        <f aca="false">ROW()-1</f>
        <v>668</v>
      </c>
    </row>
    <row r="670" customFormat="false" ht="15" hidden="false" customHeight="false" outlineLevel="0" collapsed="false">
      <c r="C670" s="0" t="str">
        <f aca="false">IF($A670="","",IF(AW670="Y",BM670&amp;"",AY670&amp;""))</f>
        <v/>
      </c>
      <c r="D670" s="0" t="str">
        <f aca="false">IF($A670="","",IF(AW670="Y",BN670&amp;"",AZ670&amp;""))</f>
        <v/>
      </c>
      <c r="E670" s="0" t="str">
        <f aca="false">IF($A670="","",IF(AW670="Y",BO670&amp;"",BA670&amp;""))</f>
        <v/>
      </c>
      <c r="F670" s="0" t="str">
        <f aca="false">IF($A670="","",IF(AW670="Y",BP670&amp;"",BB670&amp;""))</f>
        <v/>
      </c>
      <c r="G670" s="0" t="str">
        <f aca="false">IF($A670="","",IF(AW670="Y",BQ670&amp;"",BC670&amp;""))</f>
        <v/>
      </c>
      <c r="H670" s="0" t="str">
        <f aca="false">IF($A670="","",IF(AW670="Y",BR670&amp;"",BD670&amp;""))</f>
        <v/>
      </c>
      <c r="I670" s="0" t="str">
        <f aca="false">IF($A670="","",IF(R670="Y","warm-intro",IF(H670="verified","email",IF(C670&lt;&gt;"","linkedin",CB670&amp;""))))</f>
        <v/>
      </c>
      <c r="J670" s="0" t="str">
        <f aca="false">IF($A670="","",IF(CN670="pass",ROUND(N(EM670)+N(EN670)+N(EO670)+N(EP670)+N(EQ670)+N(ER670),1),0))</f>
        <v/>
      </c>
      <c r="K670" s="0" t="str">
        <f aca="false">IF($A670="","",IF(CN670&lt;&gt;"pass",CA670&amp;"",CA670&amp;"; "&amp;IF(AW670="Y",BZ670&amp;"",BL670&amp;"")&amp;IF(R670="Y","; known to the founder (+15)","")&amp;"."))</f>
        <v/>
      </c>
      <c r="R670" s="5"/>
      <c r="U670" s="5"/>
      <c r="Y670" s="0" t="str">
        <f aca="false">IF(FX670&lt;&gt;"Y","",COUNTIFS($FX$2:$FX$1000,"Y",$J$2:$J$1000,"&gt;"&amp;J670)+COUNTIFS($FX$2:$FX$1000,"Y",$J$2:$J$1000,J670,$GD$2:$GD$1000,"&lt;"&amp;GD670)+1)</f>
        <v/>
      </c>
      <c r="AB670" s="0" t="str">
        <f aca="false">IF($A670="","",IF(AW670="Y",BY670&amp;"",BK670&amp;""))</f>
        <v/>
      </c>
      <c r="AC670" s="0" t="str">
        <f aca="false">IF($A670="","",IF(AW670="Y",BS670&amp;"",BE670&amp;""))</f>
        <v/>
      </c>
      <c r="AD670" s="0" t="str">
        <f aca="false">IF($A670="","",IF(AW670="Y",BT670&amp;"",BF670&amp;""))</f>
        <v/>
      </c>
      <c r="AE670" s="0" t="str">
        <f aca="false">IF($A670="","",IF(AW670="Y",BU670&amp;"",BG670&amp;""))</f>
        <v/>
      </c>
      <c r="AF670" s="0" t="str">
        <f aca="false">IF($A670="","",IF(AW670="Y",BV670&amp;"",BH670&amp;""))</f>
        <v/>
      </c>
      <c r="AG670" s="0" t="str">
        <f aca="false">IF($A670="","",IF(AW670="Y",BW670&amp;"",BI670&amp;""))</f>
        <v/>
      </c>
      <c r="AH670" s="0" t="str">
        <f aca="false">IF($A670="","",IF(AW670="Y",BX670&amp;"",BJ670&amp;""))</f>
        <v/>
      </c>
      <c r="AQ670" s="5"/>
      <c r="AT670" s="0" t="str">
        <f aca="false">IF($A670="","",IF(AND(CN670="pass",AQ670&lt;&gt;"Y",C670&lt;&gt;"",OR(AX670&lt;&gt;"Y",AV670="Y")),"Y","N"))</f>
        <v/>
      </c>
      <c r="AU670" s="0" t="str">
        <f aca="false">IF($A670="","",_xlfn.TEXTJOIN("; ",TRUE(),IF(CN670&lt;&gt;"pass","gated out",""),IF(AQ670="Y","on hold: "&amp;AR670,""),IF(C670="","no contact named on an opened page",""),IF(AND(AX670="Y",AV670&lt;&gt;"Y"),"Tuesday estimate band "&amp;L670&amp;": founder's call","")))</f>
        <v/>
      </c>
      <c r="BC670" s="0" t="str">
        <f aca="false">IF($A670="","",IFERROR(INDEX(Enrichment!$A$2:$GZ$2000,MATCH($A670,INDEX(Enrichment!$A$2:$GZ$2000,0,MATCH("row_id",Enrichment!$A$1:$GZ$1,0)),0),MATCH("work_email",Enrichment!$A$1:$GZ$1,0))&amp;"",""))</f>
        <v/>
      </c>
      <c r="BD670" s="0" t="str">
        <f aca="false">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Q670" s="0" t="str">
        <f aca="false">IF($A670="","",IFERROR(INDEX(Enrichment!$A$2:$GZ$2000,MATCH($A670,INDEX(Enrichment!$A$2:$GZ$2000,0,MATCH("row_id",Enrichment!$A$1:$GZ$1,0)),0),MATCH("backup_work_email",Enrichment!$A$1:$GZ$1,0))&amp;"",""))</f>
        <v/>
      </c>
      <c r="BR670" s="0" t="str">
        <f aca="false">IF($A670="","",IF(BQ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EQ670" s="0" t="str">
        <f aca="false">IF($A670="","",IF(AH670="exact",10,IF(AH670="adjacent",5,0)))</f>
        <v/>
      </c>
      <c r="ER670" s="0" t="str">
        <f aca="false">IF($A670="","",IF(R670="Y",15,0))</f>
        <v/>
      </c>
      <c r="FS670" s="0" t="str">
        <f aca="false">IF($A670="","",IF(ISNUMBER(MATCH(U670,{"queued","contacted","replied","call_booked","call_done","yes_in_principle","materials_sent"},0)),"Y","N"))</f>
        <v/>
      </c>
      <c r="FT670" s="0" t="str">
        <f aca="false">IF($A670="","",IF(OR(T670="Y",U670="do_not_contact",AS670&amp;""&lt;&gt;""),"Y","N"))</f>
        <v/>
      </c>
      <c r="FU670" s="0" t="str">
        <f aca="false">IF($A670="","",IF(AP670&amp;""&lt;&gt;"",AP670&amp;"",$A670))</f>
        <v/>
      </c>
      <c r="FV670" s="0" t="str">
        <f aca="false">IF($A670="","",IF(COUNTIFS($FU$2:$FU$1000,FU670,$FS$2:$FS$1000,"Y")+COUNTIFS($FU$2:$FU$1000,FU670,$FT$2:$FT$1000,"Y")&gt;0,"Y","N"))</f>
        <v/>
      </c>
      <c r="FW670" s="0" t="str">
        <f aca="false">IF($A670="","",IF(AND(U670="new",T670="N",FT670="N",AT670="Y",FV670="N"),"Y","N"))</f>
        <v/>
      </c>
      <c r="FX670" s="0" t="str">
        <f aca="false">IF($A670="","",IF(FW670&lt;&gt;"Y","N",IF(COUNTIFS($FU$2:$FU$1000,FU670,$FW$2:$FW$1000,"Y",$J$2:$J$1000,"&gt;"&amp;J670)+COUNTIFS($FU$2:$FU$1000,FU670,$FW$2:$FW$1000,"Y",$J$2:$J$1000,J670,$GD$2:$GD$1000,"&lt;"&amp;GD670)=0,"Y","N")))</f>
        <v/>
      </c>
      <c r="FY670" s="0" t="str">
        <f aca="false">IF($A670="","",IF(AND(FW670="Y",FX670="Y",Y670&amp;""&lt;&gt;""),IF(Y670&lt;=10,"Y","N"),"N"))</f>
        <v/>
      </c>
      <c r="FZ670" s="0" t="str">
        <f aca="false">IF(FY670="Y",Y670,"")</f>
        <v/>
      </c>
      <c r="GA670" s="0" t="str">
        <f aca="false">IF($A670="","",IF(AND(I670="walk-in",CN670="pass",U670="new",FT670="N",FV670="N",AQ670&lt;&gt;"Y"),"Y","N"))</f>
        <v/>
      </c>
      <c r="GB670" s="0" t="str">
        <f aca="false">IF(GA670&lt;&gt;"Y","",IF(COUNTIFS($GA$2:$GA$1000,"Y",$J$2:$J$1000,"&gt;"&amp;J670)+COUNTIFS($GA$2:$GA$1000,"Y",$J$2:$J$1000,J670,$GD$2:$GD$1000,"&lt;"&amp;GD670)+1&lt;=25,COUNTIFS($GA$2:$GA$1000,"Y",$J$2:$J$1000,"&gt;"&amp;J670)+COUNTIFS($GA$2:$GA$1000,"Y",$J$2:$J$1000,J670,$GD$2:$GD$1000,"&lt;"&amp;GD670)+1,""))</f>
        <v/>
      </c>
      <c r="GC670" s="0" t="str">
        <f aca="false">IF(AND(_xlfn.ISFORMULA(C670),_xlfn.ISFORMULA(J670)),"Y","N")</f>
        <v>Y</v>
      </c>
      <c r="GD670" s="0" t="n">
        <f aca="false">ROW()-1</f>
        <v>669</v>
      </c>
    </row>
    <row r="671" customFormat="false" ht="15" hidden="false" customHeight="false" outlineLevel="0" collapsed="false">
      <c r="C671" s="0" t="str">
        <f aca="false">IF($A671="","",IF(AW671="Y",BM671&amp;"",AY671&amp;""))</f>
        <v/>
      </c>
      <c r="D671" s="0" t="str">
        <f aca="false">IF($A671="","",IF(AW671="Y",BN671&amp;"",AZ671&amp;""))</f>
        <v/>
      </c>
      <c r="E671" s="0" t="str">
        <f aca="false">IF($A671="","",IF(AW671="Y",BO671&amp;"",BA671&amp;""))</f>
        <v/>
      </c>
      <c r="F671" s="0" t="str">
        <f aca="false">IF($A671="","",IF(AW671="Y",BP671&amp;"",BB671&amp;""))</f>
        <v/>
      </c>
      <c r="G671" s="0" t="str">
        <f aca="false">IF($A671="","",IF(AW671="Y",BQ671&amp;"",BC671&amp;""))</f>
        <v/>
      </c>
      <c r="H671" s="0" t="str">
        <f aca="false">IF($A671="","",IF(AW671="Y",BR671&amp;"",BD671&amp;""))</f>
        <v/>
      </c>
      <c r="I671" s="0" t="str">
        <f aca="false">IF($A671="","",IF(R671="Y","warm-intro",IF(H671="verified","email",IF(C671&lt;&gt;"","linkedin",CB671&amp;""))))</f>
        <v/>
      </c>
      <c r="J671" s="0" t="str">
        <f aca="false">IF($A671="","",IF(CN671="pass",ROUND(N(EM671)+N(EN671)+N(EO671)+N(EP671)+N(EQ671)+N(ER671),1),0))</f>
        <v/>
      </c>
      <c r="K671" s="0" t="str">
        <f aca="false">IF($A671="","",IF(CN671&lt;&gt;"pass",CA671&amp;"",CA671&amp;"; "&amp;IF(AW671="Y",BZ671&amp;"",BL671&amp;"")&amp;IF(R671="Y","; known to the founder (+15)","")&amp;"."))</f>
        <v/>
      </c>
      <c r="R671" s="5"/>
      <c r="U671" s="5"/>
      <c r="Y671" s="0" t="str">
        <f aca="false">IF(FX671&lt;&gt;"Y","",COUNTIFS($FX$2:$FX$1000,"Y",$J$2:$J$1000,"&gt;"&amp;J671)+COUNTIFS($FX$2:$FX$1000,"Y",$J$2:$J$1000,J671,$GD$2:$GD$1000,"&lt;"&amp;GD671)+1)</f>
        <v/>
      </c>
      <c r="AB671" s="0" t="str">
        <f aca="false">IF($A671="","",IF(AW671="Y",BY671&amp;"",BK671&amp;""))</f>
        <v/>
      </c>
      <c r="AC671" s="0" t="str">
        <f aca="false">IF($A671="","",IF(AW671="Y",BS671&amp;"",BE671&amp;""))</f>
        <v/>
      </c>
      <c r="AD671" s="0" t="str">
        <f aca="false">IF($A671="","",IF(AW671="Y",BT671&amp;"",BF671&amp;""))</f>
        <v/>
      </c>
      <c r="AE671" s="0" t="str">
        <f aca="false">IF($A671="","",IF(AW671="Y",BU671&amp;"",BG671&amp;""))</f>
        <v/>
      </c>
      <c r="AF671" s="0" t="str">
        <f aca="false">IF($A671="","",IF(AW671="Y",BV671&amp;"",BH671&amp;""))</f>
        <v/>
      </c>
      <c r="AG671" s="0" t="str">
        <f aca="false">IF($A671="","",IF(AW671="Y",BW671&amp;"",BI671&amp;""))</f>
        <v/>
      </c>
      <c r="AH671" s="0" t="str">
        <f aca="false">IF($A671="","",IF(AW671="Y",BX671&amp;"",BJ671&amp;""))</f>
        <v/>
      </c>
      <c r="AQ671" s="5"/>
      <c r="AT671" s="0" t="str">
        <f aca="false">IF($A671="","",IF(AND(CN671="pass",AQ671&lt;&gt;"Y",C671&lt;&gt;"",OR(AX671&lt;&gt;"Y",AV671="Y")),"Y","N"))</f>
        <v/>
      </c>
      <c r="AU671" s="0" t="str">
        <f aca="false">IF($A671="","",_xlfn.TEXTJOIN("; ",TRUE(),IF(CN671&lt;&gt;"pass","gated out",""),IF(AQ671="Y","on hold: "&amp;AR671,""),IF(C671="","no contact named on an opened page",""),IF(AND(AX671="Y",AV671&lt;&gt;"Y"),"Tuesday estimate band "&amp;L671&amp;": founder's call","")))</f>
        <v/>
      </c>
      <c r="BC671" s="0" t="str">
        <f aca="false">IF($A671="","",IFERROR(INDEX(Enrichment!$A$2:$GZ$2000,MATCH($A671,INDEX(Enrichment!$A$2:$GZ$2000,0,MATCH("row_id",Enrichment!$A$1:$GZ$1,0)),0),MATCH("work_email",Enrichment!$A$1:$GZ$1,0))&amp;"",""))</f>
        <v/>
      </c>
      <c r="BD671" s="0" t="str">
        <f aca="false">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Q671" s="0" t="str">
        <f aca="false">IF($A671="","",IFERROR(INDEX(Enrichment!$A$2:$GZ$2000,MATCH($A671,INDEX(Enrichment!$A$2:$GZ$2000,0,MATCH("row_id",Enrichment!$A$1:$GZ$1,0)),0),MATCH("backup_work_email",Enrichment!$A$1:$GZ$1,0))&amp;"",""))</f>
        <v/>
      </c>
      <c r="BR671" s="0" t="str">
        <f aca="false">IF($A671="","",IF(BQ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EQ671" s="0" t="str">
        <f aca="false">IF($A671="","",IF(AH671="exact",10,IF(AH671="adjacent",5,0)))</f>
        <v/>
      </c>
      <c r="ER671" s="0" t="str">
        <f aca="false">IF($A671="","",IF(R671="Y",15,0))</f>
        <v/>
      </c>
      <c r="FS671" s="0" t="str">
        <f aca="false">IF($A671="","",IF(ISNUMBER(MATCH(U671,{"queued","contacted","replied","call_booked","call_done","yes_in_principle","materials_sent"},0)),"Y","N"))</f>
        <v/>
      </c>
      <c r="FT671" s="0" t="str">
        <f aca="false">IF($A671="","",IF(OR(T671="Y",U671="do_not_contact",AS671&amp;""&lt;&gt;""),"Y","N"))</f>
        <v/>
      </c>
      <c r="FU671" s="0" t="str">
        <f aca="false">IF($A671="","",IF(AP671&amp;""&lt;&gt;"",AP671&amp;"",$A671))</f>
        <v/>
      </c>
      <c r="FV671" s="0" t="str">
        <f aca="false">IF($A671="","",IF(COUNTIFS($FU$2:$FU$1000,FU671,$FS$2:$FS$1000,"Y")+COUNTIFS($FU$2:$FU$1000,FU671,$FT$2:$FT$1000,"Y")&gt;0,"Y","N"))</f>
        <v/>
      </c>
      <c r="FW671" s="0" t="str">
        <f aca="false">IF($A671="","",IF(AND(U671="new",T671="N",FT671="N",AT671="Y",FV671="N"),"Y","N"))</f>
        <v/>
      </c>
      <c r="FX671" s="0" t="str">
        <f aca="false">IF($A671="","",IF(FW671&lt;&gt;"Y","N",IF(COUNTIFS($FU$2:$FU$1000,FU671,$FW$2:$FW$1000,"Y",$J$2:$J$1000,"&gt;"&amp;J671)+COUNTIFS($FU$2:$FU$1000,FU671,$FW$2:$FW$1000,"Y",$J$2:$J$1000,J671,$GD$2:$GD$1000,"&lt;"&amp;GD671)=0,"Y","N")))</f>
        <v/>
      </c>
      <c r="FY671" s="0" t="str">
        <f aca="false">IF($A671="","",IF(AND(FW671="Y",FX671="Y",Y671&amp;""&lt;&gt;""),IF(Y671&lt;=10,"Y","N"),"N"))</f>
        <v/>
      </c>
      <c r="FZ671" s="0" t="str">
        <f aca="false">IF(FY671="Y",Y671,"")</f>
        <v/>
      </c>
      <c r="GA671" s="0" t="str">
        <f aca="false">IF($A671="","",IF(AND(I671="walk-in",CN671="pass",U671="new",FT671="N",FV671="N",AQ671&lt;&gt;"Y"),"Y","N"))</f>
        <v/>
      </c>
      <c r="GB671" s="0" t="str">
        <f aca="false">IF(GA671&lt;&gt;"Y","",IF(COUNTIFS($GA$2:$GA$1000,"Y",$J$2:$J$1000,"&gt;"&amp;J671)+COUNTIFS($GA$2:$GA$1000,"Y",$J$2:$J$1000,J671,$GD$2:$GD$1000,"&lt;"&amp;GD671)+1&lt;=25,COUNTIFS($GA$2:$GA$1000,"Y",$J$2:$J$1000,"&gt;"&amp;J671)+COUNTIFS($GA$2:$GA$1000,"Y",$J$2:$J$1000,J671,$GD$2:$GD$1000,"&lt;"&amp;GD671)+1,""))</f>
        <v/>
      </c>
      <c r="GC671" s="0" t="str">
        <f aca="false">IF(AND(_xlfn.ISFORMULA(C671),_xlfn.ISFORMULA(J671)),"Y","N")</f>
        <v>Y</v>
      </c>
      <c r="GD671" s="0" t="n">
        <f aca="false">ROW()-1</f>
        <v>670</v>
      </c>
    </row>
    <row r="672" customFormat="false" ht="15" hidden="false" customHeight="false" outlineLevel="0" collapsed="false">
      <c r="C672" s="0" t="str">
        <f aca="false">IF($A672="","",IF(AW672="Y",BM672&amp;"",AY672&amp;""))</f>
        <v/>
      </c>
      <c r="D672" s="0" t="str">
        <f aca="false">IF($A672="","",IF(AW672="Y",BN672&amp;"",AZ672&amp;""))</f>
        <v/>
      </c>
      <c r="E672" s="0" t="str">
        <f aca="false">IF($A672="","",IF(AW672="Y",BO672&amp;"",BA672&amp;""))</f>
        <v/>
      </c>
      <c r="F672" s="0" t="str">
        <f aca="false">IF($A672="","",IF(AW672="Y",BP672&amp;"",BB672&amp;""))</f>
        <v/>
      </c>
      <c r="G672" s="0" t="str">
        <f aca="false">IF($A672="","",IF(AW672="Y",BQ672&amp;"",BC672&amp;""))</f>
        <v/>
      </c>
      <c r="H672" s="0" t="str">
        <f aca="false">IF($A672="","",IF(AW672="Y",BR672&amp;"",BD672&amp;""))</f>
        <v/>
      </c>
      <c r="I672" s="0" t="str">
        <f aca="false">IF($A672="","",IF(R672="Y","warm-intro",IF(H672="verified","email",IF(C672&lt;&gt;"","linkedin",CB672&amp;""))))</f>
        <v/>
      </c>
      <c r="J672" s="0" t="str">
        <f aca="false">IF($A672="","",IF(CN672="pass",ROUND(N(EM672)+N(EN672)+N(EO672)+N(EP672)+N(EQ672)+N(ER672),1),0))</f>
        <v/>
      </c>
      <c r="K672" s="0" t="str">
        <f aca="false">IF($A672="","",IF(CN672&lt;&gt;"pass",CA672&amp;"",CA672&amp;"; "&amp;IF(AW672="Y",BZ672&amp;"",BL672&amp;"")&amp;IF(R672="Y","; known to the founder (+15)","")&amp;"."))</f>
        <v/>
      </c>
      <c r="R672" s="5"/>
      <c r="U672" s="5"/>
      <c r="Y672" s="0" t="str">
        <f aca="false">IF(FX672&lt;&gt;"Y","",COUNTIFS($FX$2:$FX$1000,"Y",$J$2:$J$1000,"&gt;"&amp;J672)+COUNTIFS($FX$2:$FX$1000,"Y",$J$2:$J$1000,J672,$GD$2:$GD$1000,"&lt;"&amp;GD672)+1)</f>
        <v/>
      </c>
      <c r="AB672" s="0" t="str">
        <f aca="false">IF($A672="","",IF(AW672="Y",BY672&amp;"",BK672&amp;""))</f>
        <v/>
      </c>
      <c r="AC672" s="0" t="str">
        <f aca="false">IF($A672="","",IF(AW672="Y",BS672&amp;"",BE672&amp;""))</f>
        <v/>
      </c>
      <c r="AD672" s="0" t="str">
        <f aca="false">IF($A672="","",IF(AW672="Y",BT672&amp;"",BF672&amp;""))</f>
        <v/>
      </c>
      <c r="AE672" s="0" t="str">
        <f aca="false">IF($A672="","",IF(AW672="Y",BU672&amp;"",BG672&amp;""))</f>
        <v/>
      </c>
      <c r="AF672" s="0" t="str">
        <f aca="false">IF($A672="","",IF(AW672="Y",BV672&amp;"",BH672&amp;""))</f>
        <v/>
      </c>
      <c r="AG672" s="0" t="str">
        <f aca="false">IF($A672="","",IF(AW672="Y",BW672&amp;"",BI672&amp;""))</f>
        <v/>
      </c>
      <c r="AH672" s="0" t="str">
        <f aca="false">IF($A672="","",IF(AW672="Y",BX672&amp;"",BJ672&amp;""))</f>
        <v/>
      </c>
      <c r="AQ672" s="5"/>
      <c r="AT672" s="0" t="str">
        <f aca="false">IF($A672="","",IF(AND(CN672="pass",AQ672&lt;&gt;"Y",C672&lt;&gt;"",OR(AX672&lt;&gt;"Y",AV672="Y")),"Y","N"))</f>
        <v/>
      </c>
      <c r="AU672" s="0" t="str">
        <f aca="false">IF($A672="","",_xlfn.TEXTJOIN("; ",TRUE(),IF(CN672&lt;&gt;"pass","gated out",""),IF(AQ672="Y","on hold: "&amp;AR672,""),IF(C672="","no contact named on an opened page",""),IF(AND(AX672="Y",AV672&lt;&gt;"Y"),"Tuesday estimate band "&amp;L672&amp;": founder's call","")))</f>
        <v/>
      </c>
      <c r="BC672" s="0" t="str">
        <f aca="false">IF($A672="","",IFERROR(INDEX(Enrichment!$A$2:$GZ$2000,MATCH($A672,INDEX(Enrichment!$A$2:$GZ$2000,0,MATCH("row_id",Enrichment!$A$1:$GZ$1,0)),0),MATCH("work_email",Enrichment!$A$1:$GZ$1,0))&amp;"",""))</f>
        <v/>
      </c>
      <c r="BD672" s="0" t="str">
        <f aca="false">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Q672" s="0" t="str">
        <f aca="false">IF($A672="","",IFERROR(INDEX(Enrichment!$A$2:$GZ$2000,MATCH($A672,INDEX(Enrichment!$A$2:$GZ$2000,0,MATCH("row_id",Enrichment!$A$1:$GZ$1,0)),0),MATCH("backup_work_email",Enrichment!$A$1:$GZ$1,0))&amp;"",""))</f>
        <v/>
      </c>
      <c r="BR672" s="0" t="str">
        <f aca="false">IF($A672="","",IF(BQ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EQ672" s="0" t="str">
        <f aca="false">IF($A672="","",IF(AH672="exact",10,IF(AH672="adjacent",5,0)))</f>
        <v/>
      </c>
      <c r="ER672" s="0" t="str">
        <f aca="false">IF($A672="","",IF(R672="Y",15,0))</f>
        <v/>
      </c>
      <c r="FS672" s="0" t="str">
        <f aca="false">IF($A672="","",IF(ISNUMBER(MATCH(U672,{"queued","contacted","replied","call_booked","call_done","yes_in_principle","materials_sent"},0)),"Y","N"))</f>
        <v/>
      </c>
      <c r="FT672" s="0" t="str">
        <f aca="false">IF($A672="","",IF(OR(T672="Y",U672="do_not_contact",AS672&amp;""&lt;&gt;""),"Y","N"))</f>
        <v/>
      </c>
      <c r="FU672" s="0" t="str">
        <f aca="false">IF($A672="","",IF(AP672&amp;""&lt;&gt;"",AP672&amp;"",$A672))</f>
        <v/>
      </c>
      <c r="FV672" s="0" t="str">
        <f aca="false">IF($A672="","",IF(COUNTIFS($FU$2:$FU$1000,FU672,$FS$2:$FS$1000,"Y")+COUNTIFS($FU$2:$FU$1000,FU672,$FT$2:$FT$1000,"Y")&gt;0,"Y","N"))</f>
        <v/>
      </c>
      <c r="FW672" s="0" t="str">
        <f aca="false">IF($A672="","",IF(AND(U672="new",T672="N",FT672="N",AT672="Y",FV672="N"),"Y","N"))</f>
        <v/>
      </c>
      <c r="FX672" s="0" t="str">
        <f aca="false">IF($A672="","",IF(FW672&lt;&gt;"Y","N",IF(COUNTIFS($FU$2:$FU$1000,FU672,$FW$2:$FW$1000,"Y",$J$2:$J$1000,"&gt;"&amp;J672)+COUNTIFS($FU$2:$FU$1000,FU672,$FW$2:$FW$1000,"Y",$J$2:$J$1000,J672,$GD$2:$GD$1000,"&lt;"&amp;GD672)=0,"Y","N")))</f>
        <v/>
      </c>
      <c r="FY672" s="0" t="str">
        <f aca="false">IF($A672="","",IF(AND(FW672="Y",FX672="Y",Y672&amp;""&lt;&gt;""),IF(Y672&lt;=10,"Y","N"),"N"))</f>
        <v/>
      </c>
      <c r="FZ672" s="0" t="str">
        <f aca="false">IF(FY672="Y",Y672,"")</f>
        <v/>
      </c>
      <c r="GA672" s="0" t="str">
        <f aca="false">IF($A672="","",IF(AND(I672="walk-in",CN672="pass",U672="new",FT672="N",FV672="N",AQ672&lt;&gt;"Y"),"Y","N"))</f>
        <v/>
      </c>
      <c r="GB672" s="0" t="str">
        <f aca="false">IF(GA672&lt;&gt;"Y","",IF(COUNTIFS($GA$2:$GA$1000,"Y",$J$2:$J$1000,"&gt;"&amp;J672)+COUNTIFS($GA$2:$GA$1000,"Y",$J$2:$J$1000,J672,$GD$2:$GD$1000,"&lt;"&amp;GD672)+1&lt;=25,COUNTIFS($GA$2:$GA$1000,"Y",$J$2:$J$1000,"&gt;"&amp;J672)+COUNTIFS($GA$2:$GA$1000,"Y",$J$2:$J$1000,J672,$GD$2:$GD$1000,"&lt;"&amp;GD672)+1,""))</f>
        <v/>
      </c>
      <c r="GC672" s="0" t="str">
        <f aca="false">IF(AND(_xlfn.ISFORMULA(C672),_xlfn.ISFORMULA(J672)),"Y","N")</f>
        <v>Y</v>
      </c>
      <c r="GD672" s="0" t="n">
        <f aca="false">ROW()-1</f>
        <v>671</v>
      </c>
    </row>
    <row r="673" customFormat="false" ht="15" hidden="false" customHeight="false" outlineLevel="0" collapsed="false">
      <c r="C673" s="0" t="str">
        <f aca="false">IF($A673="","",IF(AW673="Y",BM673&amp;"",AY673&amp;""))</f>
        <v/>
      </c>
      <c r="D673" s="0" t="str">
        <f aca="false">IF($A673="","",IF(AW673="Y",BN673&amp;"",AZ673&amp;""))</f>
        <v/>
      </c>
      <c r="E673" s="0" t="str">
        <f aca="false">IF($A673="","",IF(AW673="Y",BO673&amp;"",BA673&amp;""))</f>
        <v/>
      </c>
      <c r="F673" s="0" t="str">
        <f aca="false">IF($A673="","",IF(AW673="Y",BP673&amp;"",BB673&amp;""))</f>
        <v/>
      </c>
      <c r="G673" s="0" t="str">
        <f aca="false">IF($A673="","",IF(AW673="Y",BQ673&amp;"",BC673&amp;""))</f>
        <v/>
      </c>
      <c r="H673" s="0" t="str">
        <f aca="false">IF($A673="","",IF(AW673="Y",BR673&amp;"",BD673&amp;""))</f>
        <v/>
      </c>
      <c r="I673" s="0" t="str">
        <f aca="false">IF($A673="","",IF(R673="Y","warm-intro",IF(H673="verified","email",IF(C673&lt;&gt;"","linkedin",CB673&amp;""))))</f>
        <v/>
      </c>
      <c r="J673" s="0" t="str">
        <f aca="false">IF($A673="","",IF(CN673="pass",ROUND(N(EM673)+N(EN673)+N(EO673)+N(EP673)+N(EQ673)+N(ER673),1),0))</f>
        <v/>
      </c>
      <c r="K673" s="0" t="str">
        <f aca="false">IF($A673="","",IF(CN673&lt;&gt;"pass",CA673&amp;"",CA673&amp;"; "&amp;IF(AW673="Y",BZ673&amp;"",BL673&amp;"")&amp;IF(R673="Y","; known to the founder (+15)","")&amp;"."))</f>
        <v/>
      </c>
      <c r="R673" s="5"/>
      <c r="U673" s="5"/>
      <c r="Y673" s="0" t="str">
        <f aca="false">IF(FX673&lt;&gt;"Y","",COUNTIFS($FX$2:$FX$1000,"Y",$J$2:$J$1000,"&gt;"&amp;J673)+COUNTIFS($FX$2:$FX$1000,"Y",$J$2:$J$1000,J673,$GD$2:$GD$1000,"&lt;"&amp;GD673)+1)</f>
        <v/>
      </c>
      <c r="AB673" s="0" t="str">
        <f aca="false">IF($A673="","",IF(AW673="Y",BY673&amp;"",BK673&amp;""))</f>
        <v/>
      </c>
      <c r="AC673" s="0" t="str">
        <f aca="false">IF($A673="","",IF(AW673="Y",BS673&amp;"",BE673&amp;""))</f>
        <v/>
      </c>
      <c r="AD673" s="0" t="str">
        <f aca="false">IF($A673="","",IF(AW673="Y",BT673&amp;"",BF673&amp;""))</f>
        <v/>
      </c>
      <c r="AE673" s="0" t="str">
        <f aca="false">IF($A673="","",IF(AW673="Y",BU673&amp;"",BG673&amp;""))</f>
        <v/>
      </c>
      <c r="AF673" s="0" t="str">
        <f aca="false">IF($A673="","",IF(AW673="Y",BV673&amp;"",BH673&amp;""))</f>
        <v/>
      </c>
      <c r="AG673" s="0" t="str">
        <f aca="false">IF($A673="","",IF(AW673="Y",BW673&amp;"",BI673&amp;""))</f>
        <v/>
      </c>
      <c r="AH673" s="0" t="str">
        <f aca="false">IF($A673="","",IF(AW673="Y",BX673&amp;"",BJ673&amp;""))</f>
        <v/>
      </c>
      <c r="AQ673" s="5"/>
      <c r="AT673" s="0" t="str">
        <f aca="false">IF($A673="","",IF(AND(CN673="pass",AQ673&lt;&gt;"Y",C673&lt;&gt;"",OR(AX673&lt;&gt;"Y",AV673="Y")),"Y","N"))</f>
        <v/>
      </c>
      <c r="AU673" s="0" t="str">
        <f aca="false">IF($A673="","",_xlfn.TEXTJOIN("; ",TRUE(),IF(CN673&lt;&gt;"pass","gated out",""),IF(AQ673="Y","on hold: "&amp;AR673,""),IF(C673="","no contact named on an opened page",""),IF(AND(AX673="Y",AV673&lt;&gt;"Y"),"Tuesday estimate band "&amp;L673&amp;": founder's call","")))</f>
        <v/>
      </c>
      <c r="BC673" s="0" t="str">
        <f aca="false">IF($A673="","",IFERROR(INDEX(Enrichment!$A$2:$GZ$2000,MATCH($A673,INDEX(Enrichment!$A$2:$GZ$2000,0,MATCH("row_id",Enrichment!$A$1:$GZ$1,0)),0),MATCH("work_email",Enrichment!$A$1:$GZ$1,0))&amp;"",""))</f>
        <v/>
      </c>
      <c r="BD673" s="0" t="str">
        <f aca="false">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Q673" s="0" t="str">
        <f aca="false">IF($A673="","",IFERROR(INDEX(Enrichment!$A$2:$GZ$2000,MATCH($A673,INDEX(Enrichment!$A$2:$GZ$2000,0,MATCH("row_id",Enrichment!$A$1:$GZ$1,0)),0),MATCH("backup_work_email",Enrichment!$A$1:$GZ$1,0))&amp;"",""))</f>
        <v/>
      </c>
      <c r="BR673" s="0" t="str">
        <f aca="false">IF($A673="","",IF(BQ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EQ673" s="0" t="str">
        <f aca="false">IF($A673="","",IF(AH673="exact",10,IF(AH673="adjacent",5,0)))</f>
        <v/>
      </c>
      <c r="ER673" s="0" t="str">
        <f aca="false">IF($A673="","",IF(R673="Y",15,0))</f>
        <v/>
      </c>
      <c r="FS673" s="0" t="str">
        <f aca="false">IF($A673="","",IF(ISNUMBER(MATCH(U673,{"queued","contacted","replied","call_booked","call_done","yes_in_principle","materials_sent"},0)),"Y","N"))</f>
        <v/>
      </c>
      <c r="FT673" s="0" t="str">
        <f aca="false">IF($A673="","",IF(OR(T673="Y",U673="do_not_contact",AS673&amp;""&lt;&gt;""),"Y","N"))</f>
        <v/>
      </c>
      <c r="FU673" s="0" t="str">
        <f aca="false">IF($A673="","",IF(AP673&amp;""&lt;&gt;"",AP673&amp;"",$A673))</f>
        <v/>
      </c>
      <c r="FV673" s="0" t="str">
        <f aca="false">IF($A673="","",IF(COUNTIFS($FU$2:$FU$1000,FU673,$FS$2:$FS$1000,"Y")+COUNTIFS($FU$2:$FU$1000,FU673,$FT$2:$FT$1000,"Y")&gt;0,"Y","N"))</f>
        <v/>
      </c>
      <c r="FW673" s="0" t="str">
        <f aca="false">IF($A673="","",IF(AND(U673="new",T673="N",FT673="N",AT673="Y",FV673="N"),"Y","N"))</f>
        <v/>
      </c>
      <c r="FX673" s="0" t="str">
        <f aca="false">IF($A673="","",IF(FW673&lt;&gt;"Y","N",IF(COUNTIFS($FU$2:$FU$1000,FU673,$FW$2:$FW$1000,"Y",$J$2:$J$1000,"&gt;"&amp;J673)+COUNTIFS($FU$2:$FU$1000,FU673,$FW$2:$FW$1000,"Y",$J$2:$J$1000,J673,$GD$2:$GD$1000,"&lt;"&amp;GD673)=0,"Y","N")))</f>
        <v/>
      </c>
      <c r="FY673" s="0" t="str">
        <f aca="false">IF($A673="","",IF(AND(FW673="Y",FX673="Y",Y673&amp;""&lt;&gt;""),IF(Y673&lt;=10,"Y","N"),"N"))</f>
        <v/>
      </c>
      <c r="FZ673" s="0" t="str">
        <f aca="false">IF(FY673="Y",Y673,"")</f>
        <v/>
      </c>
      <c r="GA673" s="0" t="str">
        <f aca="false">IF($A673="","",IF(AND(I673="walk-in",CN673="pass",U673="new",FT673="N",FV673="N",AQ673&lt;&gt;"Y"),"Y","N"))</f>
        <v/>
      </c>
      <c r="GB673" s="0" t="str">
        <f aca="false">IF(GA673&lt;&gt;"Y","",IF(COUNTIFS($GA$2:$GA$1000,"Y",$J$2:$J$1000,"&gt;"&amp;J673)+COUNTIFS($GA$2:$GA$1000,"Y",$J$2:$J$1000,J673,$GD$2:$GD$1000,"&lt;"&amp;GD673)+1&lt;=25,COUNTIFS($GA$2:$GA$1000,"Y",$J$2:$J$1000,"&gt;"&amp;J673)+COUNTIFS($GA$2:$GA$1000,"Y",$J$2:$J$1000,J673,$GD$2:$GD$1000,"&lt;"&amp;GD673)+1,""))</f>
        <v/>
      </c>
      <c r="GC673" s="0" t="str">
        <f aca="false">IF(AND(_xlfn.ISFORMULA(C673),_xlfn.ISFORMULA(J673)),"Y","N")</f>
        <v>Y</v>
      </c>
      <c r="GD673" s="0" t="n">
        <f aca="false">ROW()-1</f>
        <v>672</v>
      </c>
    </row>
    <row r="674" customFormat="false" ht="15" hidden="false" customHeight="false" outlineLevel="0" collapsed="false">
      <c r="C674" s="0" t="str">
        <f aca="false">IF($A674="","",IF(AW674="Y",BM674&amp;"",AY674&amp;""))</f>
        <v/>
      </c>
      <c r="D674" s="0" t="str">
        <f aca="false">IF($A674="","",IF(AW674="Y",BN674&amp;"",AZ674&amp;""))</f>
        <v/>
      </c>
      <c r="E674" s="0" t="str">
        <f aca="false">IF($A674="","",IF(AW674="Y",BO674&amp;"",BA674&amp;""))</f>
        <v/>
      </c>
      <c r="F674" s="0" t="str">
        <f aca="false">IF($A674="","",IF(AW674="Y",BP674&amp;"",BB674&amp;""))</f>
        <v/>
      </c>
      <c r="G674" s="0" t="str">
        <f aca="false">IF($A674="","",IF(AW674="Y",BQ674&amp;"",BC674&amp;""))</f>
        <v/>
      </c>
      <c r="H674" s="0" t="str">
        <f aca="false">IF($A674="","",IF(AW674="Y",BR674&amp;"",BD674&amp;""))</f>
        <v/>
      </c>
      <c r="I674" s="0" t="str">
        <f aca="false">IF($A674="","",IF(R674="Y","warm-intro",IF(H674="verified","email",IF(C674&lt;&gt;"","linkedin",CB674&amp;""))))</f>
        <v/>
      </c>
      <c r="J674" s="0" t="str">
        <f aca="false">IF($A674="","",IF(CN674="pass",ROUND(N(EM674)+N(EN674)+N(EO674)+N(EP674)+N(EQ674)+N(ER674),1),0))</f>
        <v/>
      </c>
      <c r="K674" s="0" t="str">
        <f aca="false">IF($A674="","",IF(CN674&lt;&gt;"pass",CA674&amp;"",CA674&amp;"; "&amp;IF(AW674="Y",BZ674&amp;"",BL674&amp;"")&amp;IF(R674="Y","; known to the founder (+15)","")&amp;"."))</f>
        <v/>
      </c>
      <c r="R674" s="5"/>
      <c r="U674" s="5"/>
      <c r="Y674" s="0" t="str">
        <f aca="false">IF(FX674&lt;&gt;"Y","",COUNTIFS($FX$2:$FX$1000,"Y",$J$2:$J$1000,"&gt;"&amp;J674)+COUNTIFS($FX$2:$FX$1000,"Y",$J$2:$J$1000,J674,$GD$2:$GD$1000,"&lt;"&amp;GD674)+1)</f>
        <v/>
      </c>
      <c r="AB674" s="0" t="str">
        <f aca="false">IF($A674="","",IF(AW674="Y",BY674&amp;"",BK674&amp;""))</f>
        <v/>
      </c>
      <c r="AC674" s="0" t="str">
        <f aca="false">IF($A674="","",IF(AW674="Y",BS674&amp;"",BE674&amp;""))</f>
        <v/>
      </c>
      <c r="AD674" s="0" t="str">
        <f aca="false">IF($A674="","",IF(AW674="Y",BT674&amp;"",BF674&amp;""))</f>
        <v/>
      </c>
      <c r="AE674" s="0" t="str">
        <f aca="false">IF($A674="","",IF(AW674="Y",BU674&amp;"",BG674&amp;""))</f>
        <v/>
      </c>
      <c r="AF674" s="0" t="str">
        <f aca="false">IF($A674="","",IF(AW674="Y",BV674&amp;"",BH674&amp;""))</f>
        <v/>
      </c>
      <c r="AG674" s="0" t="str">
        <f aca="false">IF($A674="","",IF(AW674="Y",BW674&amp;"",BI674&amp;""))</f>
        <v/>
      </c>
      <c r="AH674" s="0" t="str">
        <f aca="false">IF($A674="","",IF(AW674="Y",BX674&amp;"",BJ674&amp;""))</f>
        <v/>
      </c>
      <c r="AQ674" s="5"/>
      <c r="AT674" s="0" t="str">
        <f aca="false">IF($A674="","",IF(AND(CN674="pass",AQ674&lt;&gt;"Y",C674&lt;&gt;"",OR(AX674&lt;&gt;"Y",AV674="Y")),"Y","N"))</f>
        <v/>
      </c>
      <c r="AU674" s="0" t="str">
        <f aca="false">IF($A674="","",_xlfn.TEXTJOIN("; ",TRUE(),IF(CN674&lt;&gt;"pass","gated out",""),IF(AQ674="Y","on hold: "&amp;AR674,""),IF(C674="","no contact named on an opened page",""),IF(AND(AX674="Y",AV674&lt;&gt;"Y"),"Tuesday estimate band "&amp;L674&amp;": founder's call","")))</f>
        <v/>
      </c>
      <c r="BC674" s="0" t="str">
        <f aca="false">IF($A674="","",IFERROR(INDEX(Enrichment!$A$2:$GZ$2000,MATCH($A674,INDEX(Enrichment!$A$2:$GZ$2000,0,MATCH("row_id",Enrichment!$A$1:$GZ$1,0)),0),MATCH("work_email",Enrichment!$A$1:$GZ$1,0))&amp;"",""))</f>
        <v/>
      </c>
      <c r="BD674" s="0" t="str">
        <f aca="false">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Q674" s="0" t="str">
        <f aca="false">IF($A674="","",IFERROR(INDEX(Enrichment!$A$2:$GZ$2000,MATCH($A674,INDEX(Enrichment!$A$2:$GZ$2000,0,MATCH("row_id",Enrichment!$A$1:$GZ$1,0)),0),MATCH("backup_work_email",Enrichment!$A$1:$GZ$1,0))&amp;"",""))</f>
        <v/>
      </c>
      <c r="BR674" s="0" t="str">
        <f aca="false">IF($A674="","",IF(BQ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EQ674" s="0" t="str">
        <f aca="false">IF($A674="","",IF(AH674="exact",10,IF(AH674="adjacent",5,0)))</f>
        <v/>
      </c>
      <c r="ER674" s="0" t="str">
        <f aca="false">IF($A674="","",IF(R674="Y",15,0))</f>
        <v/>
      </c>
      <c r="FS674" s="0" t="str">
        <f aca="false">IF($A674="","",IF(ISNUMBER(MATCH(U674,{"queued","contacted","replied","call_booked","call_done","yes_in_principle","materials_sent"},0)),"Y","N"))</f>
        <v/>
      </c>
      <c r="FT674" s="0" t="str">
        <f aca="false">IF($A674="","",IF(OR(T674="Y",U674="do_not_contact",AS674&amp;""&lt;&gt;""),"Y","N"))</f>
        <v/>
      </c>
      <c r="FU674" s="0" t="str">
        <f aca="false">IF($A674="","",IF(AP674&amp;""&lt;&gt;"",AP674&amp;"",$A674))</f>
        <v/>
      </c>
      <c r="FV674" s="0" t="str">
        <f aca="false">IF($A674="","",IF(COUNTIFS($FU$2:$FU$1000,FU674,$FS$2:$FS$1000,"Y")+COUNTIFS($FU$2:$FU$1000,FU674,$FT$2:$FT$1000,"Y")&gt;0,"Y","N"))</f>
        <v/>
      </c>
      <c r="FW674" s="0" t="str">
        <f aca="false">IF($A674="","",IF(AND(U674="new",T674="N",FT674="N",AT674="Y",FV674="N"),"Y","N"))</f>
        <v/>
      </c>
      <c r="FX674" s="0" t="str">
        <f aca="false">IF($A674="","",IF(FW674&lt;&gt;"Y","N",IF(COUNTIFS($FU$2:$FU$1000,FU674,$FW$2:$FW$1000,"Y",$J$2:$J$1000,"&gt;"&amp;J674)+COUNTIFS($FU$2:$FU$1000,FU674,$FW$2:$FW$1000,"Y",$J$2:$J$1000,J674,$GD$2:$GD$1000,"&lt;"&amp;GD674)=0,"Y","N")))</f>
        <v/>
      </c>
      <c r="FY674" s="0" t="str">
        <f aca="false">IF($A674="","",IF(AND(FW674="Y",FX674="Y",Y674&amp;""&lt;&gt;""),IF(Y674&lt;=10,"Y","N"),"N"))</f>
        <v/>
      </c>
      <c r="FZ674" s="0" t="str">
        <f aca="false">IF(FY674="Y",Y674,"")</f>
        <v/>
      </c>
      <c r="GA674" s="0" t="str">
        <f aca="false">IF($A674="","",IF(AND(I674="walk-in",CN674="pass",U674="new",FT674="N",FV674="N",AQ674&lt;&gt;"Y"),"Y","N"))</f>
        <v/>
      </c>
      <c r="GB674" s="0" t="str">
        <f aca="false">IF(GA674&lt;&gt;"Y","",IF(COUNTIFS($GA$2:$GA$1000,"Y",$J$2:$J$1000,"&gt;"&amp;J674)+COUNTIFS($GA$2:$GA$1000,"Y",$J$2:$J$1000,J674,$GD$2:$GD$1000,"&lt;"&amp;GD674)+1&lt;=25,COUNTIFS($GA$2:$GA$1000,"Y",$J$2:$J$1000,"&gt;"&amp;J674)+COUNTIFS($GA$2:$GA$1000,"Y",$J$2:$J$1000,J674,$GD$2:$GD$1000,"&lt;"&amp;GD674)+1,""))</f>
        <v/>
      </c>
      <c r="GC674" s="0" t="str">
        <f aca="false">IF(AND(_xlfn.ISFORMULA(C674),_xlfn.ISFORMULA(J674)),"Y","N")</f>
        <v>Y</v>
      </c>
      <c r="GD674" s="0" t="n">
        <f aca="false">ROW()-1</f>
        <v>673</v>
      </c>
    </row>
    <row r="675" customFormat="false" ht="15" hidden="false" customHeight="false" outlineLevel="0" collapsed="false">
      <c r="C675" s="0" t="str">
        <f aca="false">IF($A675="","",IF(AW675="Y",BM675&amp;"",AY675&amp;""))</f>
        <v/>
      </c>
      <c r="D675" s="0" t="str">
        <f aca="false">IF($A675="","",IF(AW675="Y",BN675&amp;"",AZ675&amp;""))</f>
        <v/>
      </c>
      <c r="E675" s="0" t="str">
        <f aca="false">IF($A675="","",IF(AW675="Y",BO675&amp;"",BA675&amp;""))</f>
        <v/>
      </c>
      <c r="F675" s="0" t="str">
        <f aca="false">IF($A675="","",IF(AW675="Y",BP675&amp;"",BB675&amp;""))</f>
        <v/>
      </c>
      <c r="G675" s="0" t="str">
        <f aca="false">IF($A675="","",IF(AW675="Y",BQ675&amp;"",BC675&amp;""))</f>
        <v/>
      </c>
      <c r="H675" s="0" t="str">
        <f aca="false">IF($A675="","",IF(AW675="Y",BR675&amp;"",BD675&amp;""))</f>
        <v/>
      </c>
      <c r="I675" s="0" t="str">
        <f aca="false">IF($A675="","",IF(R675="Y","warm-intro",IF(H675="verified","email",IF(C675&lt;&gt;"","linkedin",CB675&amp;""))))</f>
        <v/>
      </c>
      <c r="J675" s="0" t="str">
        <f aca="false">IF($A675="","",IF(CN675="pass",ROUND(N(EM675)+N(EN675)+N(EO675)+N(EP675)+N(EQ675)+N(ER675),1),0))</f>
        <v/>
      </c>
      <c r="K675" s="0" t="str">
        <f aca="false">IF($A675="","",IF(CN675&lt;&gt;"pass",CA675&amp;"",CA675&amp;"; "&amp;IF(AW675="Y",BZ675&amp;"",BL675&amp;"")&amp;IF(R675="Y","; known to the founder (+15)","")&amp;"."))</f>
        <v/>
      </c>
      <c r="R675" s="5"/>
      <c r="U675" s="5"/>
      <c r="Y675" s="0" t="str">
        <f aca="false">IF(FX675&lt;&gt;"Y","",COUNTIFS($FX$2:$FX$1000,"Y",$J$2:$J$1000,"&gt;"&amp;J675)+COUNTIFS($FX$2:$FX$1000,"Y",$J$2:$J$1000,J675,$GD$2:$GD$1000,"&lt;"&amp;GD675)+1)</f>
        <v/>
      </c>
      <c r="AB675" s="0" t="str">
        <f aca="false">IF($A675="","",IF(AW675="Y",BY675&amp;"",BK675&amp;""))</f>
        <v/>
      </c>
      <c r="AC675" s="0" t="str">
        <f aca="false">IF($A675="","",IF(AW675="Y",BS675&amp;"",BE675&amp;""))</f>
        <v/>
      </c>
      <c r="AD675" s="0" t="str">
        <f aca="false">IF($A675="","",IF(AW675="Y",BT675&amp;"",BF675&amp;""))</f>
        <v/>
      </c>
      <c r="AE675" s="0" t="str">
        <f aca="false">IF($A675="","",IF(AW675="Y",BU675&amp;"",BG675&amp;""))</f>
        <v/>
      </c>
      <c r="AF675" s="0" t="str">
        <f aca="false">IF($A675="","",IF(AW675="Y",BV675&amp;"",BH675&amp;""))</f>
        <v/>
      </c>
      <c r="AG675" s="0" t="str">
        <f aca="false">IF($A675="","",IF(AW675="Y",BW675&amp;"",BI675&amp;""))</f>
        <v/>
      </c>
      <c r="AH675" s="0" t="str">
        <f aca="false">IF($A675="","",IF(AW675="Y",BX675&amp;"",BJ675&amp;""))</f>
        <v/>
      </c>
      <c r="AQ675" s="5"/>
      <c r="AT675" s="0" t="str">
        <f aca="false">IF($A675="","",IF(AND(CN675="pass",AQ675&lt;&gt;"Y",C675&lt;&gt;"",OR(AX675&lt;&gt;"Y",AV675="Y")),"Y","N"))</f>
        <v/>
      </c>
      <c r="AU675" s="0" t="str">
        <f aca="false">IF($A675="","",_xlfn.TEXTJOIN("; ",TRUE(),IF(CN675&lt;&gt;"pass","gated out",""),IF(AQ675="Y","on hold: "&amp;AR675,""),IF(C675="","no contact named on an opened page",""),IF(AND(AX675="Y",AV675&lt;&gt;"Y"),"Tuesday estimate band "&amp;L675&amp;": founder's call","")))</f>
        <v/>
      </c>
      <c r="BC675" s="0" t="str">
        <f aca="false">IF($A675="","",IFERROR(INDEX(Enrichment!$A$2:$GZ$2000,MATCH($A675,INDEX(Enrichment!$A$2:$GZ$2000,0,MATCH("row_id",Enrichment!$A$1:$GZ$1,0)),0),MATCH("work_email",Enrichment!$A$1:$GZ$1,0))&amp;"",""))</f>
        <v/>
      </c>
      <c r="BD675" s="0" t="str">
        <f aca="false">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Q675" s="0" t="str">
        <f aca="false">IF($A675="","",IFERROR(INDEX(Enrichment!$A$2:$GZ$2000,MATCH($A675,INDEX(Enrichment!$A$2:$GZ$2000,0,MATCH("row_id",Enrichment!$A$1:$GZ$1,0)),0),MATCH("backup_work_email",Enrichment!$A$1:$GZ$1,0))&amp;"",""))</f>
        <v/>
      </c>
      <c r="BR675" s="0" t="str">
        <f aca="false">IF($A675="","",IF(BQ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EQ675" s="0" t="str">
        <f aca="false">IF($A675="","",IF(AH675="exact",10,IF(AH675="adjacent",5,0)))</f>
        <v/>
      </c>
      <c r="ER675" s="0" t="str">
        <f aca="false">IF($A675="","",IF(R675="Y",15,0))</f>
        <v/>
      </c>
      <c r="FS675" s="0" t="str">
        <f aca="false">IF($A675="","",IF(ISNUMBER(MATCH(U675,{"queued","contacted","replied","call_booked","call_done","yes_in_principle","materials_sent"},0)),"Y","N"))</f>
        <v/>
      </c>
      <c r="FT675" s="0" t="str">
        <f aca="false">IF($A675="","",IF(OR(T675="Y",U675="do_not_contact",AS675&amp;""&lt;&gt;""),"Y","N"))</f>
        <v/>
      </c>
      <c r="FU675" s="0" t="str">
        <f aca="false">IF($A675="","",IF(AP675&amp;""&lt;&gt;"",AP675&amp;"",$A675))</f>
        <v/>
      </c>
      <c r="FV675" s="0" t="str">
        <f aca="false">IF($A675="","",IF(COUNTIFS($FU$2:$FU$1000,FU675,$FS$2:$FS$1000,"Y")+COUNTIFS($FU$2:$FU$1000,FU675,$FT$2:$FT$1000,"Y")&gt;0,"Y","N"))</f>
        <v/>
      </c>
      <c r="FW675" s="0" t="str">
        <f aca="false">IF($A675="","",IF(AND(U675="new",T675="N",FT675="N",AT675="Y",FV675="N"),"Y","N"))</f>
        <v/>
      </c>
      <c r="FX675" s="0" t="str">
        <f aca="false">IF($A675="","",IF(FW675&lt;&gt;"Y","N",IF(COUNTIFS($FU$2:$FU$1000,FU675,$FW$2:$FW$1000,"Y",$J$2:$J$1000,"&gt;"&amp;J675)+COUNTIFS($FU$2:$FU$1000,FU675,$FW$2:$FW$1000,"Y",$J$2:$J$1000,J675,$GD$2:$GD$1000,"&lt;"&amp;GD675)=0,"Y","N")))</f>
        <v/>
      </c>
      <c r="FY675" s="0" t="str">
        <f aca="false">IF($A675="","",IF(AND(FW675="Y",FX675="Y",Y675&amp;""&lt;&gt;""),IF(Y675&lt;=10,"Y","N"),"N"))</f>
        <v/>
      </c>
      <c r="FZ675" s="0" t="str">
        <f aca="false">IF(FY675="Y",Y675,"")</f>
        <v/>
      </c>
      <c r="GA675" s="0" t="str">
        <f aca="false">IF($A675="","",IF(AND(I675="walk-in",CN675="pass",U675="new",FT675="N",FV675="N",AQ675&lt;&gt;"Y"),"Y","N"))</f>
        <v/>
      </c>
      <c r="GB675" s="0" t="str">
        <f aca="false">IF(GA675&lt;&gt;"Y","",IF(COUNTIFS($GA$2:$GA$1000,"Y",$J$2:$J$1000,"&gt;"&amp;J675)+COUNTIFS($GA$2:$GA$1000,"Y",$J$2:$J$1000,J675,$GD$2:$GD$1000,"&lt;"&amp;GD675)+1&lt;=25,COUNTIFS($GA$2:$GA$1000,"Y",$J$2:$J$1000,"&gt;"&amp;J675)+COUNTIFS($GA$2:$GA$1000,"Y",$J$2:$J$1000,J675,$GD$2:$GD$1000,"&lt;"&amp;GD675)+1,""))</f>
        <v/>
      </c>
      <c r="GC675" s="0" t="str">
        <f aca="false">IF(AND(_xlfn.ISFORMULA(C675),_xlfn.ISFORMULA(J675)),"Y","N")</f>
        <v>Y</v>
      </c>
      <c r="GD675" s="0" t="n">
        <f aca="false">ROW()-1</f>
        <v>674</v>
      </c>
    </row>
    <row r="676" customFormat="false" ht="15" hidden="false" customHeight="false" outlineLevel="0" collapsed="false">
      <c r="C676" s="0" t="str">
        <f aca="false">IF($A676="","",IF(AW676="Y",BM676&amp;"",AY676&amp;""))</f>
        <v/>
      </c>
      <c r="D676" s="0" t="str">
        <f aca="false">IF($A676="","",IF(AW676="Y",BN676&amp;"",AZ676&amp;""))</f>
        <v/>
      </c>
      <c r="E676" s="0" t="str">
        <f aca="false">IF($A676="","",IF(AW676="Y",BO676&amp;"",BA676&amp;""))</f>
        <v/>
      </c>
      <c r="F676" s="0" t="str">
        <f aca="false">IF($A676="","",IF(AW676="Y",BP676&amp;"",BB676&amp;""))</f>
        <v/>
      </c>
      <c r="G676" s="0" t="str">
        <f aca="false">IF($A676="","",IF(AW676="Y",BQ676&amp;"",BC676&amp;""))</f>
        <v/>
      </c>
      <c r="H676" s="0" t="str">
        <f aca="false">IF($A676="","",IF(AW676="Y",BR676&amp;"",BD676&amp;""))</f>
        <v/>
      </c>
      <c r="I676" s="0" t="str">
        <f aca="false">IF($A676="","",IF(R676="Y","warm-intro",IF(H676="verified","email",IF(C676&lt;&gt;"","linkedin",CB676&amp;""))))</f>
        <v/>
      </c>
      <c r="J676" s="0" t="str">
        <f aca="false">IF($A676="","",IF(CN676="pass",ROUND(N(EM676)+N(EN676)+N(EO676)+N(EP676)+N(EQ676)+N(ER676),1),0))</f>
        <v/>
      </c>
      <c r="K676" s="0" t="str">
        <f aca="false">IF($A676="","",IF(CN676&lt;&gt;"pass",CA676&amp;"",CA676&amp;"; "&amp;IF(AW676="Y",BZ676&amp;"",BL676&amp;"")&amp;IF(R676="Y","; known to the founder (+15)","")&amp;"."))</f>
        <v/>
      </c>
      <c r="R676" s="5"/>
      <c r="U676" s="5"/>
      <c r="Y676" s="0" t="str">
        <f aca="false">IF(FX676&lt;&gt;"Y","",COUNTIFS($FX$2:$FX$1000,"Y",$J$2:$J$1000,"&gt;"&amp;J676)+COUNTIFS($FX$2:$FX$1000,"Y",$J$2:$J$1000,J676,$GD$2:$GD$1000,"&lt;"&amp;GD676)+1)</f>
        <v/>
      </c>
      <c r="AB676" s="0" t="str">
        <f aca="false">IF($A676="","",IF(AW676="Y",BY676&amp;"",BK676&amp;""))</f>
        <v/>
      </c>
      <c r="AC676" s="0" t="str">
        <f aca="false">IF($A676="","",IF(AW676="Y",BS676&amp;"",BE676&amp;""))</f>
        <v/>
      </c>
      <c r="AD676" s="0" t="str">
        <f aca="false">IF($A676="","",IF(AW676="Y",BT676&amp;"",BF676&amp;""))</f>
        <v/>
      </c>
      <c r="AE676" s="0" t="str">
        <f aca="false">IF($A676="","",IF(AW676="Y",BU676&amp;"",BG676&amp;""))</f>
        <v/>
      </c>
      <c r="AF676" s="0" t="str">
        <f aca="false">IF($A676="","",IF(AW676="Y",BV676&amp;"",BH676&amp;""))</f>
        <v/>
      </c>
      <c r="AG676" s="0" t="str">
        <f aca="false">IF($A676="","",IF(AW676="Y",BW676&amp;"",BI676&amp;""))</f>
        <v/>
      </c>
      <c r="AH676" s="0" t="str">
        <f aca="false">IF($A676="","",IF(AW676="Y",BX676&amp;"",BJ676&amp;""))</f>
        <v/>
      </c>
      <c r="AQ676" s="5"/>
      <c r="AT676" s="0" t="str">
        <f aca="false">IF($A676="","",IF(AND(CN676="pass",AQ676&lt;&gt;"Y",C676&lt;&gt;"",OR(AX676&lt;&gt;"Y",AV676="Y")),"Y","N"))</f>
        <v/>
      </c>
      <c r="AU676" s="0" t="str">
        <f aca="false">IF($A676="","",_xlfn.TEXTJOIN("; ",TRUE(),IF(CN676&lt;&gt;"pass","gated out",""),IF(AQ676="Y","on hold: "&amp;AR676,""),IF(C676="","no contact named on an opened page",""),IF(AND(AX676="Y",AV676&lt;&gt;"Y"),"Tuesday estimate band "&amp;L676&amp;": founder's call","")))</f>
        <v/>
      </c>
      <c r="BC676" s="0" t="str">
        <f aca="false">IF($A676="","",IFERROR(INDEX(Enrichment!$A$2:$GZ$2000,MATCH($A676,INDEX(Enrichment!$A$2:$GZ$2000,0,MATCH("row_id",Enrichment!$A$1:$GZ$1,0)),0),MATCH("work_email",Enrichment!$A$1:$GZ$1,0))&amp;"",""))</f>
        <v/>
      </c>
      <c r="BD676" s="0" t="str">
        <f aca="false">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Q676" s="0" t="str">
        <f aca="false">IF($A676="","",IFERROR(INDEX(Enrichment!$A$2:$GZ$2000,MATCH($A676,INDEX(Enrichment!$A$2:$GZ$2000,0,MATCH("row_id",Enrichment!$A$1:$GZ$1,0)),0),MATCH("backup_work_email",Enrichment!$A$1:$GZ$1,0))&amp;"",""))</f>
        <v/>
      </c>
      <c r="BR676" s="0" t="str">
        <f aca="false">IF($A676="","",IF(BQ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EQ676" s="0" t="str">
        <f aca="false">IF($A676="","",IF(AH676="exact",10,IF(AH676="adjacent",5,0)))</f>
        <v/>
      </c>
      <c r="ER676" s="0" t="str">
        <f aca="false">IF($A676="","",IF(R676="Y",15,0))</f>
        <v/>
      </c>
      <c r="FS676" s="0" t="str">
        <f aca="false">IF($A676="","",IF(ISNUMBER(MATCH(U676,{"queued","contacted","replied","call_booked","call_done","yes_in_principle","materials_sent"},0)),"Y","N"))</f>
        <v/>
      </c>
      <c r="FT676" s="0" t="str">
        <f aca="false">IF($A676="","",IF(OR(T676="Y",U676="do_not_contact",AS676&amp;""&lt;&gt;""),"Y","N"))</f>
        <v/>
      </c>
      <c r="FU676" s="0" t="str">
        <f aca="false">IF($A676="","",IF(AP676&amp;""&lt;&gt;"",AP676&amp;"",$A676))</f>
        <v/>
      </c>
      <c r="FV676" s="0" t="str">
        <f aca="false">IF($A676="","",IF(COUNTIFS($FU$2:$FU$1000,FU676,$FS$2:$FS$1000,"Y")+COUNTIFS($FU$2:$FU$1000,FU676,$FT$2:$FT$1000,"Y")&gt;0,"Y","N"))</f>
        <v/>
      </c>
      <c r="FW676" s="0" t="str">
        <f aca="false">IF($A676="","",IF(AND(U676="new",T676="N",FT676="N",AT676="Y",FV676="N"),"Y","N"))</f>
        <v/>
      </c>
      <c r="FX676" s="0" t="str">
        <f aca="false">IF($A676="","",IF(FW676&lt;&gt;"Y","N",IF(COUNTIFS($FU$2:$FU$1000,FU676,$FW$2:$FW$1000,"Y",$J$2:$J$1000,"&gt;"&amp;J676)+COUNTIFS($FU$2:$FU$1000,FU676,$FW$2:$FW$1000,"Y",$J$2:$J$1000,J676,$GD$2:$GD$1000,"&lt;"&amp;GD676)=0,"Y","N")))</f>
        <v/>
      </c>
      <c r="FY676" s="0" t="str">
        <f aca="false">IF($A676="","",IF(AND(FW676="Y",FX676="Y",Y676&amp;""&lt;&gt;""),IF(Y676&lt;=10,"Y","N"),"N"))</f>
        <v/>
      </c>
      <c r="FZ676" s="0" t="str">
        <f aca="false">IF(FY676="Y",Y676,"")</f>
        <v/>
      </c>
      <c r="GA676" s="0" t="str">
        <f aca="false">IF($A676="","",IF(AND(I676="walk-in",CN676="pass",U676="new",FT676="N",FV676="N",AQ676&lt;&gt;"Y"),"Y","N"))</f>
        <v/>
      </c>
      <c r="GB676" s="0" t="str">
        <f aca="false">IF(GA676&lt;&gt;"Y","",IF(COUNTIFS($GA$2:$GA$1000,"Y",$J$2:$J$1000,"&gt;"&amp;J676)+COUNTIFS($GA$2:$GA$1000,"Y",$J$2:$J$1000,J676,$GD$2:$GD$1000,"&lt;"&amp;GD676)+1&lt;=25,COUNTIFS($GA$2:$GA$1000,"Y",$J$2:$J$1000,"&gt;"&amp;J676)+COUNTIFS($GA$2:$GA$1000,"Y",$J$2:$J$1000,J676,$GD$2:$GD$1000,"&lt;"&amp;GD676)+1,""))</f>
        <v/>
      </c>
      <c r="GC676" s="0" t="str">
        <f aca="false">IF(AND(_xlfn.ISFORMULA(C676),_xlfn.ISFORMULA(J676)),"Y","N")</f>
        <v>Y</v>
      </c>
      <c r="GD676" s="0" t="n">
        <f aca="false">ROW()-1</f>
        <v>675</v>
      </c>
    </row>
    <row r="677" customFormat="false" ht="15" hidden="false" customHeight="false" outlineLevel="0" collapsed="false">
      <c r="C677" s="0" t="str">
        <f aca="false">IF($A677="","",IF(AW677="Y",BM677&amp;"",AY677&amp;""))</f>
        <v/>
      </c>
      <c r="D677" s="0" t="str">
        <f aca="false">IF($A677="","",IF(AW677="Y",BN677&amp;"",AZ677&amp;""))</f>
        <v/>
      </c>
      <c r="E677" s="0" t="str">
        <f aca="false">IF($A677="","",IF(AW677="Y",BO677&amp;"",BA677&amp;""))</f>
        <v/>
      </c>
      <c r="F677" s="0" t="str">
        <f aca="false">IF($A677="","",IF(AW677="Y",BP677&amp;"",BB677&amp;""))</f>
        <v/>
      </c>
      <c r="G677" s="0" t="str">
        <f aca="false">IF($A677="","",IF(AW677="Y",BQ677&amp;"",BC677&amp;""))</f>
        <v/>
      </c>
      <c r="H677" s="0" t="str">
        <f aca="false">IF($A677="","",IF(AW677="Y",BR677&amp;"",BD677&amp;""))</f>
        <v/>
      </c>
      <c r="I677" s="0" t="str">
        <f aca="false">IF($A677="","",IF(R677="Y","warm-intro",IF(H677="verified","email",IF(C677&lt;&gt;"","linkedin",CB677&amp;""))))</f>
        <v/>
      </c>
      <c r="J677" s="0" t="str">
        <f aca="false">IF($A677="","",IF(CN677="pass",ROUND(N(EM677)+N(EN677)+N(EO677)+N(EP677)+N(EQ677)+N(ER677),1),0))</f>
        <v/>
      </c>
      <c r="K677" s="0" t="str">
        <f aca="false">IF($A677="","",IF(CN677&lt;&gt;"pass",CA677&amp;"",CA677&amp;"; "&amp;IF(AW677="Y",BZ677&amp;"",BL677&amp;"")&amp;IF(R677="Y","; known to the founder (+15)","")&amp;"."))</f>
        <v/>
      </c>
      <c r="R677" s="5"/>
      <c r="U677" s="5"/>
      <c r="Y677" s="0" t="str">
        <f aca="false">IF(FX677&lt;&gt;"Y","",COUNTIFS($FX$2:$FX$1000,"Y",$J$2:$J$1000,"&gt;"&amp;J677)+COUNTIFS($FX$2:$FX$1000,"Y",$J$2:$J$1000,J677,$GD$2:$GD$1000,"&lt;"&amp;GD677)+1)</f>
        <v/>
      </c>
      <c r="AB677" s="0" t="str">
        <f aca="false">IF($A677="","",IF(AW677="Y",BY677&amp;"",BK677&amp;""))</f>
        <v/>
      </c>
      <c r="AC677" s="0" t="str">
        <f aca="false">IF($A677="","",IF(AW677="Y",BS677&amp;"",BE677&amp;""))</f>
        <v/>
      </c>
      <c r="AD677" s="0" t="str">
        <f aca="false">IF($A677="","",IF(AW677="Y",BT677&amp;"",BF677&amp;""))</f>
        <v/>
      </c>
      <c r="AE677" s="0" t="str">
        <f aca="false">IF($A677="","",IF(AW677="Y",BU677&amp;"",BG677&amp;""))</f>
        <v/>
      </c>
      <c r="AF677" s="0" t="str">
        <f aca="false">IF($A677="","",IF(AW677="Y",BV677&amp;"",BH677&amp;""))</f>
        <v/>
      </c>
      <c r="AG677" s="0" t="str">
        <f aca="false">IF($A677="","",IF(AW677="Y",BW677&amp;"",BI677&amp;""))</f>
        <v/>
      </c>
      <c r="AH677" s="0" t="str">
        <f aca="false">IF($A677="","",IF(AW677="Y",BX677&amp;"",BJ677&amp;""))</f>
        <v/>
      </c>
      <c r="AQ677" s="5"/>
      <c r="AT677" s="0" t="str">
        <f aca="false">IF($A677="","",IF(AND(CN677="pass",AQ677&lt;&gt;"Y",C677&lt;&gt;"",OR(AX677&lt;&gt;"Y",AV677="Y")),"Y","N"))</f>
        <v/>
      </c>
      <c r="AU677" s="0" t="str">
        <f aca="false">IF($A677="","",_xlfn.TEXTJOIN("; ",TRUE(),IF(CN677&lt;&gt;"pass","gated out",""),IF(AQ677="Y","on hold: "&amp;AR677,""),IF(C677="","no contact named on an opened page",""),IF(AND(AX677="Y",AV677&lt;&gt;"Y"),"Tuesday estimate band "&amp;L677&amp;": founder's call","")))</f>
        <v/>
      </c>
      <c r="BC677" s="0" t="str">
        <f aca="false">IF($A677="","",IFERROR(INDEX(Enrichment!$A$2:$GZ$2000,MATCH($A677,INDEX(Enrichment!$A$2:$GZ$2000,0,MATCH("row_id",Enrichment!$A$1:$GZ$1,0)),0),MATCH("work_email",Enrichment!$A$1:$GZ$1,0))&amp;"",""))</f>
        <v/>
      </c>
      <c r="BD677" s="0" t="str">
        <f aca="false">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Q677" s="0" t="str">
        <f aca="false">IF($A677="","",IFERROR(INDEX(Enrichment!$A$2:$GZ$2000,MATCH($A677,INDEX(Enrichment!$A$2:$GZ$2000,0,MATCH("row_id",Enrichment!$A$1:$GZ$1,0)),0),MATCH("backup_work_email",Enrichment!$A$1:$GZ$1,0))&amp;"",""))</f>
        <v/>
      </c>
      <c r="BR677" s="0" t="str">
        <f aca="false">IF($A677="","",IF(BQ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EQ677" s="0" t="str">
        <f aca="false">IF($A677="","",IF(AH677="exact",10,IF(AH677="adjacent",5,0)))</f>
        <v/>
      </c>
      <c r="ER677" s="0" t="str">
        <f aca="false">IF($A677="","",IF(R677="Y",15,0))</f>
        <v/>
      </c>
      <c r="FS677" s="0" t="str">
        <f aca="false">IF($A677="","",IF(ISNUMBER(MATCH(U677,{"queued","contacted","replied","call_booked","call_done","yes_in_principle","materials_sent"},0)),"Y","N"))</f>
        <v/>
      </c>
      <c r="FT677" s="0" t="str">
        <f aca="false">IF($A677="","",IF(OR(T677="Y",U677="do_not_contact",AS677&amp;""&lt;&gt;""),"Y","N"))</f>
        <v/>
      </c>
      <c r="FU677" s="0" t="str">
        <f aca="false">IF($A677="","",IF(AP677&amp;""&lt;&gt;"",AP677&amp;"",$A677))</f>
        <v/>
      </c>
      <c r="FV677" s="0" t="str">
        <f aca="false">IF($A677="","",IF(COUNTIFS($FU$2:$FU$1000,FU677,$FS$2:$FS$1000,"Y")+COUNTIFS($FU$2:$FU$1000,FU677,$FT$2:$FT$1000,"Y")&gt;0,"Y","N"))</f>
        <v/>
      </c>
      <c r="FW677" s="0" t="str">
        <f aca="false">IF($A677="","",IF(AND(U677="new",T677="N",FT677="N",AT677="Y",FV677="N"),"Y","N"))</f>
        <v/>
      </c>
      <c r="FX677" s="0" t="str">
        <f aca="false">IF($A677="","",IF(FW677&lt;&gt;"Y","N",IF(COUNTIFS($FU$2:$FU$1000,FU677,$FW$2:$FW$1000,"Y",$J$2:$J$1000,"&gt;"&amp;J677)+COUNTIFS($FU$2:$FU$1000,FU677,$FW$2:$FW$1000,"Y",$J$2:$J$1000,J677,$GD$2:$GD$1000,"&lt;"&amp;GD677)=0,"Y","N")))</f>
        <v/>
      </c>
      <c r="FY677" s="0" t="str">
        <f aca="false">IF($A677="","",IF(AND(FW677="Y",FX677="Y",Y677&amp;""&lt;&gt;""),IF(Y677&lt;=10,"Y","N"),"N"))</f>
        <v/>
      </c>
      <c r="FZ677" s="0" t="str">
        <f aca="false">IF(FY677="Y",Y677,"")</f>
        <v/>
      </c>
      <c r="GA677" s="0" t="str">
        <f aca="false">IF($A677="","",IF(AND(I677="walk-in",CN677="pass",U677="new",FT677="N",FV677="N",AQ677&lt;&gt;"Y"),"Y","N"))</f>
        <v/>
      </c>
      <c r="GB677" s="0" t="str">
        <f aca="false">IF(GA677&lt;&gt;"Y","",IF(COUNTIFS($GA$2:$GA$1000,"Y",$J$2:$J$1000,"&gt;"&amp;J677)+COUNTIFS($GA$2:$GA$1000,"Y",$J$2:$J$1000,J677,$GD$2:$GD$1000,"&lt;"&amp;GD677)+1&lt;=25,COUNTIFS($GA$2:$GA$1000,"Y",$J$2:$J$1000,"&gt;"&amp;J677)+COUNTIFS($GA$2:$GA$1000,"Y",$J$2:$J$1000,J677,$GD$2:$GD$1000,"&lt;"&amp;GD677)+1,""))</f>
        <v/>
      </c>
      <c r="GC677" s="0" t="str">
        <f aca="false">IF(AND(_xlfn.ISFORMULA(C677),_xlfn.ISFORMULA(J677)),"Y","N")</f>
        <v>Y</v>
      </c>
      <c r="GD677" s="0" t="n">
        <f aca="false">ROW()-1</f>
        <v>676</v>
      </c>
    </row>
    <row r="678" customFormat="false" ht="15" hidden="false" customHeight="false" outlineLevel="0" collapsed="false">
      <c r="C678" s="0" t="str">
        <f aca="false">IF($A678="","",IF(AW678="Y",BM678&amp;"",AY678&amp;""))</f>
        <v/>
      </c>
      <c r="D678" s="0" t="str">
        <f aca="false">IF($A678="","",IF(AW678="Y",BN678&amp;"",AZ678&amp;""))</f>
        <v/>
      </c>
      <c r="E678" s="0" t="str">
        <f aca="false">IF($A678="","",IF(AW678="Y",BO678&amp;"",BA678&amp;""))</f>
        <v/>
      </c>
      <c r="F678" s="0" t="str">
        <f aca="false">IF($A678="","",IF(AW678="Y",BP678&amp;"",BB678&amp;""))</f>
        <v/>
      </c>
      <c r="G678" s="0" t="str">
        <f aca="false">IF($A678="","",IF(AW678="Y",BQ678&amp;"",BC678&amp;""))</f>
        <v/>
      </c>
      <c r="H678" s="0" t="str">
        <f aca="false">IF($A678="","",IF(AW678="Y",BR678&amp;"",BD678&amp;""))</f>
        <v/>
      </c>
      <c r="I678" s="0" t="str">
        <f aca="false">IF($A678="","",IF(R678="Y","warm-intro",IF(H678="verified","email",IF(C678&lt;&gt;"","linkedin",CB678&amp;""))))</f>
        <v/>
      </c>
      <c r="J678" s="0" t="str">
        <f aca="false">IF($A678="","",IF(CN678="pass",ROUND(N(EM678)+N(EN678)+N(EO678)+N(EP678)+N(EQ678)+N(ER678),1),0))</f>
        <v/>
      </c>
      <c r="K678" s="0" t="str">
        <f aca="false">IF($A678="","",IF(CN678&lt;&gt;"pass",CA678&amp;"",CA678&amp;"; "&amp;IF(AW678="Y",BZ678&amp;"",BL678&amp;"")&amp;IF(R678="Y","; known to the founder (+15)","")&amp;"."))</f>
        <v/>
      </c>
      <c r="R678" s="5"/>
      <c r="U678" s="5"/>
      <c r="Y678" s="0" t="str">
        <f aca="false">IF(FX678&lt;&gt;"Y","",COUNTIFS($FX$2:$FX$1000,"Y",$J$2:$J$1000,"&gt;"&amp;J678)+COUNTIFS($FX$2:$FX$1000,"Y",$J$2:$J$1000,J678,$GD$2:$GD$1000,"&lt;"&amp;GD678)+1)</f>
        <v/>
      </c>
      <c r="AB678" s="0" t="str">
        <f aca="false">IF($A678="","",IF(AW678="Y",BY678&amp;"",BK678&amp;""))</f>
        <v/>
      </c>
      <c r="AC678" s="0" t="str">
        <f aca="false">IF($A678="","",IF(AW678="Y",BS678&amp;"",BE678&amp;""))</f>
        <v/>
      </c>
      <c r="AD678" s="0" t="str">
        <f aca="false">IF($A678="","",IF(AW678="Y",BT678&amp;"",BF678&amp;""))</f>
        <v/>
      </c>
      <c r="AE678" s="0" t="str">
        <f aca="false">IF($A678="","",IF(AW678="Y",BU678&amp;"",BG678&amp;""))</f>
        <v/>
      </c>
      <c r="AF678" s="0" t="str">
        <f aca="false">IF($A678="","",IF(AW678="Y",BV678&amp;"",BH678&amp;""))</f>
        <v/>
      </c>
      <c r="AG678" s="0" t="str">
        <f aca="false">IF($A678="","",IF(AW678="Y",BW678&amp;"",BI678&amp;""))</f>
        <v/>
      </c>
      <c r="AH678" s="0" t="str">
        <f aca="false">IF($A678="","",IF(AW678="Y",BX678&amp;"",BJ678&amp;""))</f>
        <v/>
      </c>
      <c r="AQ678" s="5"/>
      <c r="AT678" s="0" t="str">
        <f aca="false">IF($A678="","",IF(AND(CN678="pass",AQ678&lt;&gt;"Y",C678&lt;&gt;"",OR(AX678&lt;&gt;"Y",AV678="Y")),"Y","N"))</f>
        <v/>
      </c>
      <c r="AU678" s="0" t="str">
        <f aca="false">IF($A678="","",_xlfn.TEXTJOIN("; ",TRUE(),IF(CN678&lt;&gt;"pass","gated out",""),IF(AQ678="Y","on hold: "&amp;AR678,""),IF(C678="","no contact named on an opened page",""),IF(AND(AX678="Y",AV678&lt;&gt;"Y"),"Tuesday estimate band "&amp;L678&amp;": founder's call","")))</f>
        <v/>
      </c>
      <c r="BC678" s="0" t="str">
        <f aca="false">IF($A678="","",IFERROR(INDEX(Enrichment!$A$2:$GZ$2000,MATCH($A678,INDEX(Enrichment!$A$2:$GZ$2000,0,MATCH("row_id",Enrichment!$A$1:$GZ$1,0)),0),MATCH("work_email",Enrichment!$A$1:$GZ$1,0))&amp;"",""))</f>
        <v/>
      </c>
      <c r="BD678" s="0" t="str">
        <f aca="false">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Q678" s="0" t="str">
        <f aca="false">IF($A678="","",IFERROR(INDEX(Enrichment!$A$2:$GZ$2000,MATCH($A678,INDEX(Enrichment!$A$2:$GZ$2000,0,MATCH("row_id",Enrichment!$A$1:$GZ$1,0)),0),MATCH("backup_work_email",Enrichment!$A$1:$GZ$1,0))&amp;"",""))</f>
        <v/>
      </c>
      <c r="BR678" s="0" t="str">
        <f aca="false">IF($A678="","",IF(BQ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EQ678" s="0" t="str">
        <f aca="false">IF($A678="","",IF(AH678="exact",10,IF(AH678="adjacent",5,0)))</f>
        <v/>
      </c>
      <c r="ER678" s="0" t="str">
        <f aca="false">IF($A678="","",IF(R678="Y",15,0))</f>
        <v/>
      </c>
      <c r="FS678" s="0" t="str">
        <f aca="false">IF($A678="","",IF(ISNUMBER(MATCH(U678,{"queued","contacted","replied","call_booked","call_done","yes_in_principle","materials_sent"},0)),"Y","N"))</f>
        <v/>
      </c>
      <c r="FT678" s="0" t="str">
        <f aca="false">IF($A678="","",IF(OR(T678="Y",U678="do_not_contact",AS678&amp;""&lt;&gt;""),"Y","N"))</f>
        <v/>
      </c>
      <c r="FU678" s="0" t="str">
        <f aca="false">IF($A678="","",IF(AP678&amp;""&lt;&gt;"",AP678&amp;"",$A678))</f>
        <v/>
      </c>
      <c r="FV678" s="0" t="str">
        <f aca="false">IF($A678="","",IF(COUNTIFS($FU$2:$FU$1000,FU678,$FS$2:$FS$1000,"Y")+COUNTIFS($FU$2:$FU$1000,FU678,$FT$2:$FT$1000,"Y")&gt;0,"Y","N"))</f>
        <v/>
      </c>
      <c r="FW678" s="0" t="str">
        <f aca="false">IF($A678="","",IF(AND(U678="new",T678="N",FT678="N",AT678="Y",FV678="N"),"Y","N"))</f>
        <v/>
      </c>
      <c r="FX678" s="0" t="str">
        <f aca="false">IF($A678="","",IF(FW678&lt;&gt;"Y","N",IF(COUNTIFS($FU$2:$FU$1000,FU678,$FW$2:$FW$1000,"Y",$J$2:$J$1000,"&gt;"&amp;J678)+COUNTIFS($FU$2:$FU$1000,FU678,$FW$2:$FW$1000,"Y",$J$2:$J$1000,J678,$GD$2:$GD$1000,"&lt;"&amp;GD678)=0,"Y","N")))</f>
        <v/>
      </c>
      <c r="FY678" s="0" t="str">
        <f aca="false">IF($A678="","",IF(AND(FW678="Y",FX678="Y",Y678&amp;""&lt;&gt;""),IF(Y678&lt;=10,"Y","N"),"N"))</f>
        <v/>
      </c>
      <c r="FZ678" s="0" t="str">
        <f aca="false">IF(FY678="Y",Y678,"")</f>
        <v/>
      </c>
      <c r="GA678" s="0" t="str">
        <f aca="false">IF($A678="","",IF(AND(I678="walk-in",CN678="pass",U678="new",FT678="N",FV678="N",AQ678&lt;&gt;"Y"),"Y","N"))</f>
        <v/>
      </c>
      <c r="GB678" s="0" t="str">
        <f aca="false">IF(GA678&lt;&gt;"Y","",IF(COUNTIFS($GA$2:$GA$1000,"Y",$J$2:$J$1000,"&gt;"&amp;J678)+COUNTIFS($GA$2:$GA$1000,"Y",$J$2:$J$1000,J678,$GD$2:$GD$1000,"&lt;"&amp;GD678)+1&lt;=25,COUNTIFS($GA$2:$GA$1000,"Y",$J$2:$J$1000,"&gt;"&amp;J678)+COUNTIFS($GA$2:$GA$1000,"Y",$J$2:$J$1000,J678,$GD$2:$GD$1000,"&lt;"&amp;GD678)+1,""))</f>
        <v/>
      </c>
      <c r="GC678" s="0" t="str">
        <f aca="false">IF(AND(_xlfn.ISFORMULA(C678),_xlfn.ISFORMULA(J678)),"Y","N")</f>
        <v>Y</v>
      </c>
      <c r="GD678" s="0" t="n">
        <f aca="false">ROW()-1</f>
        <v>677</v>
      </c>
    </row>
    <row r="679" customFormat="false" ht="15" hidden="false" customHeight="false" outlineLevel="0" collapsed="false">
      <c r="C679" s="0" t="str">
        <f aca="false">IF($A679="","",IF(AW679="Y",BM679&amp;"",AY679&amp;""))</f>
        <v/>
      </c>
      <c r="D679" s="0" t="str">
        <f aca="false">IF($A679="","",IF(AW679="Y",BN679&amp;"",AZ679&amp;""))</f>
        <v/>
      </c>
      <c r="E679" s="0" t="str">
        <f aca="false">IF($A679="","",IF(AW679="Y",BO679&amp;"",BA679&amp;""))</f>
        <v/>
      </c>
      <c r="F679" s="0" t="str">
        <f aca="false">IF($A679="","",IF(AW679="Y",BP679&amp;"",BB679&amp;""))</f>
        <v/>
      </c>
      <c r="G679" s="0" t="str">
        <f aca="false">IF($A679="","",IF(AW679="Y",BQ679&amp;"",BC679&amp;""))</f>
        <v/>
      </c>
      <c r="H679" s="0" t="str">
        <f aca="false">IF($A679="","",IF(AW679="Y",BR679&amp;"",BD679&amp;""))</f>
        <v/>
      </c>
      <c r="I679" s="0" t="str">
        <f aca="false">IF($A679="","",IF(R679="Y","warm-intro",IF(H679="verified","email",IF(C679&lt;&gt;"","linkedin",CB679&amp;""))))</f>
        <v/>
      </c>
      <c r="J679" s="0" t="str">
        <f aca="false">IF($A679="","",IF(CN679="pass",ROUND(N(EM679)+N(EN679)+N(EO679)+N(EP679)+N(EQ679)+N(ER679),1),0))</f>
        <v/>
      </c>
      <c r="K679" s="0" t="str">
        <f aca="false">IF($A679="","",IF(CN679&lt;&gt;"pass",CA679&amp;"",CA679&amp;"; "&amp;IF(AW679="Y",BZ679&amp;"",BL679&amp;"")&amp;IF(R679="Y","; known to the founder (+15)","")&amp;"."))</f>
        <v/>
      </c>
      <c r="R679" s="5"/>
      <c r="U679" s="5"/>
      <c r="Y679" s="0" t="str">
        <f aca="false">IF(FX679&lt;&gt;"Y","",COUNTIFS($FX$2:$FX$1000,"Y",$J$2:$J$1000,"&gt;"&amp;J679)+COUNTIFS($FX$2:$FX$1000,"Y",$J$2:$J$1000,J679,$GD$2:$GD$1000,"&lt;"&amp;GD679)+1)</f>
        <v/>
      </c>
      <c r="AB679" s="0" t="str">
        <f aca="false">IF($A679="","",IF(AW679="Y",BY679&amp;"",BK679&amp;""))</f>
        <v/>
      </c>
      <c r="AC679" s="0" t="str">
        <f aca="false">IF($A679="","",IF(AW679="Y",BS679&amp;"",BE679&amp;""))</f>
        <v/>
      </c>
      <c r="AD679" s="0" t="str">
        <f aca="false">IF($A679="","",IF(AW679="Y",BT679&amp;"",BF679&amp;""))</f>
        <v/>
      </c>
      <c r="AE679" s="0" t="str">
        <f aca="false">IF($A679="","",IF(AW679="Y",BU679&amp;"",BG679&amp;""))</f>
        <v/>
      </c>
      <c r="AF679" s="0" t="str">
        <f aca="false">IF($A679="","",IF(AW679="Y",BV679&amp;"",BH679&amp;""))</f>
        <v/>
      </c>
      <c r="AG679" s="0" t="str">
        <f aca="false">IF($A679="","",IF(AW679="Y",BW679&amp;"",BI679&amp;""))</f>
        <v/>
      </c>
      <c r="AH679" s="0" t="str">
        <f aca="false">IF($A679="","",IF(AW679="Y",BX679&amp;"",BJ679&amp;""))</f>
        <v/>
      </c>
      <c r="AQ679" s="5"/>
      <c r="AT679" s="0" t="str">
        <f aca="false">IF($A679="","",IF(AND(CN679="pass",AQ679&lt;&gt;"Y",C679&lt;&gt;"",OR(AX679&lt;&gt;"Y",AV679="Y")),"Y","N"))</f>
        <v/>
      </c>
      <c r="AU679" s="0" t="str">
        <f aca="false">IF($A679="","",_xlfn.TEXTJOIN("; ",TRUE(),IF(CN679&lt;&gt;"pass","gated out",""),IF(AQ679="Y","on hold: "&amp;AR679,""),IF(C679="","no contact named on an opened page",""),IF(AND(AX679="Y",AV679&lt;&gt;"Y"),"Tuesday estimate band "&amp;L679&amp;": founder's call","")))</f>
        <v/>
      </c>
      <c r="BC679" s="0" t="str">
        <f aca="false">IF($A679="","",IFERROR(INDEX(Enrichment!$A$2:$GZ$2000,MATCH($A679,INDEX(Enrichment!$A$2:$GZ$2000,0,MATCH("row_id",Enrichment!$A$1:$GZ$1,0)),0),MATCH("work_email",Enrichment!$A$1:$GZ$1,0))&amp;"",""))</f>
        <v/>
      </c>
      <c r="BD679" s="0" t="str">
        <f aca="false">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Q679" s="0" t="str">
        <f aca="false">IF($A679="","",IFERROR(INDEX(Enrichment!$A$2:$GZ$2000,MATCH($A679,INDEX(Enrichment!$A$2:$GZ$2000,0,MATCH("row_id",Enrichment!$A$1:$GZ$1,0)),0),MATCH("backup_work_email",Enrichment!$A$1:$GZ$1,0))&amp;"",""))</f>
        <v/>
      </c>
      <c r="BR679" s="0" t="str">
        <f aca="false">IF($A679="","",IF(BQ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EQ679" s="0" t="str">
        <f aca="false">IF($A679="","",IF(AH679="exact",10,IF(AH679="adjacent",5,0)))</f>
        <v/>
      </c>
      <c r="ER679" s="0" t="str">
        <f aca="false">IF($A679="","",IF(R679="Y",15,0))</f>
        <v/>
      </c>
      <c r="FS679" s="0" t="str">
        <f aca="false">IF($A679="","",IF(ISNUMBER(MATCH(U679,{"queued","contacted","replied","call_booked","call_done","yes_in_principle","materials_sent"},0)),"Y","N"))</f>
        <v/>
      </c>
      <c r="FT679" s="0" t="str">
        <f aca="false">IF($A679="","",IF(OR(T679="Y",U679="do_not_contact",AS679&amp;""&lt;&gt;""),"Y","N"))</f>
        <v/>
      </c>
      <c r="FU679" s="0" t="str">
        <f aca="false">IF($A679="","",IF(AP679&amp;""&lt;&gt;"",AP679&amp;"",$A679))</f>
        <v/>
      </c>
      <c r="FV679" s="0" t="str">
        <f aca="false">IF($A679="","",IF(COUNTIFS($FU$2:$FU$1000,FU679,$FS$2:$FS$1000,"Y")+COUNTIFS($FU$2:$FU$1000,FU679,$FT$2:$FT$1000,"Y")&gt;0,"Y","N"))</f>
        <v/>
      </c>
      <c r="FW679" s="0" t="str">
        <f aca="false">IF($A679="","",IF(AND(U679="new",T679="N",FT679="N",AT679="Y",FV679="N"),"Y","N"))</f>
        <v/>
      </c>
      <c r="FX679" s="0" t="str">
        <f aca="false">IF($A679="","",IF(FW679&lt;&gt;"Y","N",IF(COUNTIFS($FU$2:$FU$1000,FU679,$FW$2:$FW$1000,"Y",$J$2:$J$1000,"&gt;"&amp;J679)+COUNTIFS($FU$2:$FU$1000,FU679,$FW$2:$FW$1000,"Y",$J$2:$J$1000,J679,$GD$2:$GD$1000,"&lt;"&amp;GD679)=0,"Y","N")))</f>
        <v/>
      </c>
      <c r="FY679" s="0" t="str">
        <f aca="false">IF($A679="","",IF(AND(FW679="Y",FX679="Y",Y679&amp;""&lt;&gt;""),IF(Y679&lt;=10,"Y","N"),"N"))</f>
        <v/>
      </c>
      <c r="FZ679" s="0" t="str">
        <f aca="false">IF(FY679="Y",Y679,"")</f>
        <v/>
      </c>
      <c r="GA679" s="0" t="str">
        <f aca="false">IF($A679="","",IF(AND(I679="walk-in",CN679="pass",U679="new",FT679="N",FV679="N",AQ679&lt;&gt;"Y"),"Y","N"))</f>
        <v/>
      </c>
      <c r="GB679" s="0" t="str">
        <f aca="false">IF(GA679&lt;&gt;"Y","",IF(COUNTIFS($GA$2:$GA$1000,"Y",$J$2:$J$1000,"&gt;"&amp;J679)+COUNTIFS($GA$2:$GA$1000,"Y",$J$2:$J$1000,J679,$GD$2:$GD$1000,"&lt;"&amp;GD679)+1&lt;=25,COUNTIFS($GA$2:$GA$1000,"Y",$J$2:$J$1000,"&gt;"&amp;J679)+COUNTIFS($GA$2:$GA$1000,"Y",$J$2:$J$1000,J679,$GD$2:$GD$1000,"&lt;"&amp;GD679)+1,""))</f>
        <v/>
      </c>
      <c r="GC679" s="0" t="str">
        <f aca="false">IF(AND(_xlfn.ISFORMULA(C679),_xlfn.ISFORMULA(J679)),"Y","N")</f>
        <v>Y</v>
      </c>
      <c r="GD679" s="0" t="n">
        <f aca="false">ROW()-1</f>
        <v>678</v>
      </c>
    </row>
    <row r="680" customFormat="false" ht="15" hidden="false" customHeight="false" outlineLevel="0" collapsed="false">
      <c r="C680" s="0" t="str">
        <f aca="false">IF($A680="","",IF(AW680="Y",BM680&amp;"",AY680&amp;""))</f>
        <v/>
      </c>
      <c r="D680" s="0" t="str">
        <f aca="false">IF($A680="","",IF(AW680="Y",BN680&amp;"",AZ680&amp;""))</f>
        <v/>
      </c>
      <c r="E680" s="0" t="str">
        <f aca="false">IF($A680="","",IF(AW680="Y",BO680&amp;"",BA680&amp;""))</f>
        <v/>
      </c>
      <c r="F680" s="0" t="str">
        <f aca="false">IF($A680="","",IF(AW680="Y",BP680&amp;"",BB680&amp;""))</f>
        <v/>
      </c>
      <c r="G680" s="0" t="str">
        <f aca="false">IF($A680="","",IF(AW680="Y",BQ680&amp;"",BC680&amp;""))</f>
        <v/>
      </c>
      <c r="H680" s="0" t="str">
        <f aca="false">IF($A680="","",IF(AW680="Y",BR680&amp;"",BD680&amp;""))</f>
        <v/>
      </c>
      <c r="I680" s="0" t="str">
        <f aca="false">IF($A680="","",IF(R680="Y","warm-intro",IF(H680="verified","email",IF(C680&lt;&gt;"","linkedin",CB680&amp;""))))</f>
        <v/>
      </c>
      <c r="J680" s="0" t="str">
        <f aca="false">IF($A680="","",IF(CN680="pass",ROUND(N(EM680)+N(EN680)+N(EO680)+N(EP680)+N(EQ680)+N(ER680),1),0))</f>
        <v/>
      </c>
      <c r="K680" s="0" t="str">
        <f aca="false">IF($A680="","",IF(CN680&lt;&gt;"pass",CA680&amp;"",CA680&amp;"; "&amp;IF(AW680="Y",BZ680&amp;"",BL680&amp;"")&amp;IF(R680="Y","; known to the founder (+15)","")&amp;"."))</f>
        <v/>
      </c>
      <c r="R680" s="5"/>
      <c r="U680" s="5"/>
      <c r="Y680" s="0" t="str">
        <f aca="false">IF(FX680&lt;&gt;"Y","",COUNTIFS($FX$2:$FX$1000,"Y",$J$2:$J$1000,"&gt;"&amp;J680)+COUNTIFS($FX$2:$FX$1000,"Y",$J$2:$J$1000,J680,$GD$2:$GD$1000,"&lt;"&amp;GD680)+1)</f>
        <v/>
      </c>
      <c r="AB680" s="0" t="str">
        <f aca="false">IF($A680="","",IF(AW680="Y",BY680&amp;"",BK680&amp;""))</f>
        <v/>
      </c>
      <c r="AC680" s="0" t="str">
        <f aca="false">IF($A680="","",IF(AW680="Y",BS680&amp;"",BE680&amp;""))</f>
        <v/>
      </c>
      <c r="AD680" s="0" t="str">
        <f aca="false">IF($A680="","",IF(AW680="Y",BT680&amp;"",BF680&amp;""))</f>
        <v/>
      </c>
      <c r="AE680" s="0" t="str">
        <f aca="false">IF($A680="","",IF(AW680="Y",BU680&amp;"",BG680&amp;""))</f>
        <v/>
      </c>
      <c r="AF680" s="0" t="str">
        <f aca="false">IF($A680="","",IF(AW680="Y",BV680&amp;"",BH680&amp;""))</f>
        <v/>
      </c>
      <c r="AG680" s="0" t="str">
        <f aca="false">IF($A680="","",IF(AW680="Y",BW680&amp;"",BI680&amp;""))</f>
        <v/>
      </c>
      <c r="AH680" s="0" t="str">
        <f aca="false">IF($A680="","",IF(AW680="Y",BX680&amp;"",BJ680&amp;""))</f>
        <v/>
      </c>
      <c r="AQ680" s="5"/>
      <c r="AT680" s="0" t="str">
        <f aca="false">IF($A680="","",IF(AND(CN680="pass",AQ680&lt;&gt;"Y",C680&lt;&gt;"",OR(AX680&lt;&gt;"Y",AV680="Y")),"Y","N"))</f>
        <v/>
      </c>
      <c r="AU680" s="0" t="str">
        <f aca="false">IF($A680="","",_xlfn.TEXTJOIN("; ",TRUE(),IF(CN680&lt;&gt;"pass","gated out",""),IF(AQ680="Y","on hold: "&amp;AR680,""),IF(C680="","no contact named on an opened page",""),IF(AND(AX680="Y",AV680&lt;&gt;"Y"),"Tuesday estimate band "&amp;L680&amp;": founder's call","")))</f>
        <v/>
      </c>
      <c r="BC680" s="0" t="str">
        <f aca="false">IF($A680="","",IFERROR(INDEX(Enrichment!$A$2:$GZ$2000,MATCH($A680,INDEX(Enrichment!$A$2:$GZ$2000,0,MATCH("row_id",Enrichment!$A$1:$GZ$1,0)),0),MATCH("work_email",Enrichment!$A$1:$GZ$1,0))&amp;"",""))</f>
        <v/>
      </c>
      <c r="BD680" s="0" t="str">
        <f aca="false">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Q680" s="0" t="str">
        <f aca="false">IF($A680="","",IFERROR(INDEX(Enrichment!$A$2:$GZ$2000,MATCH($A680,INDEX(Enrichment!$A$2:$GZ$2000,0,MATCH("row_id",Enrichment!$A$1:$GZ$1,0)),0),MATCH("backup_work_email",Enrichment!$A$1:$GZ$1,0))&amp;"",""))</f>
        <v/>
      </c>
      <c r="BR680" s="0" t="str">
        <f aca="false">IF($A680="","",IF(BQ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EQ680" s="0" t="str">
        <f aca="false">IF($A680="","",IF(AH680="exact",10,IF(AH680="adjacent",5,0)))</f>
        <v/>
      </c>
      <c r="ER680" s="0" t="str">
        <f aca="false">IF($A680="","",IF(R680="Y",15,0))</f>
        <v/>
      </c>
      <c r="FS680" s="0" t="str">
        <f aca="false">IF($A680="","",IF(ISNUMBER(MATCH(U680,{"queued","contacted","replied","call_booked","call_done","yes_in_principle","materials_sent"},0)),"Y","N"))</f>
        <v/>
      </c>
      <c r="FT680" s="0" t="str">
        <f aca="false">IF($A680="","",IF(OR(T680="Y",U680="do_not_contact",AS680&amp;""&lt;&gt;""),"Y","N"))</f>
        <v/>
      </c>
      <c r="FU680" s="0" t="str">
        <f aca="false">IF($A680="","",IF(AP680&amp;""&lt;&gt;"",AP680&amp;"",$A680))</f>
        <v/>
      </c>
      <c r="FV680" s="0" t="str">
        <f aca="false">IF($A680="","",IF(COUNTIFS($FU$2:$FU$1000,FU680,$FS$2:$FS$1000,"Y")+COUNTIFS($FU$2:$FU$1000,FU680,$FT$2:$FT$1000,"Y")&gt;0,"Y","N"))</f>
        <v/>
      </c>
      <c r="FW680" s="0" t="str">
        <f aca="false">IF($A680="","",IF(AND(U680="new",T680="N",FT680="N",AT680="Y",FV680="N"),"Y","N"))</f>
        <v/>
      </c>
      <c r="FX680" s="0" t="str">
        <f aca="false">IF($A680="","",IF(FW680&lt;&gt;"Y","N",IF(COUNTIFS($FU$2:$FU$1000,FU680,$FW$2:$FW$1000,"Y",$J$2:$J$1000,"&gt;"&amp;J680)+COUNTIFS($FU$2:$FU$1000,FU680,$FW$2:$FW$1000,"Y",$J$2:$J$1000,J680,$GD$2:$GD$1000,"&lt;"&amp;GD680)=0,"Y","N")))</f>
        <v/>
      </c>
      <c r="FY680" s="0" t="str">
        <f aca="false">IF($A680="","",IF(AND(FW680="Y",FX680="Y",Y680&amp;""&lt;&gt;""),IF(Y680&lt;=10,"Y","N"),"N"))</f>
        <v/>
      </c>
      <c r="FZ680" s="0" t="str">
        <f aca="false">IF(FY680="Y",Y680,"")</f>
        <v/>
      </c>
      <c r="GA680" s="0" t="str">
        <f aca="false">IF($A680="","",IF(AND(I680="walk-in",CN680="pass",U680="new",FT680="N",FV680="N",AQ680&lt;&gt;"Y"),"Y","N"))</f>
        <v/>
      </c>
      <c r="GB680" s="0" t="str">
        <f aca="false">IF(GA680&lt;&gt;"Y","",IF(COUNTIFS($GA$2:$GA$1000,"Y",$J$2:$J$1000,"&gt;"&amp;J680)+COUNTIFS($GA$2:$GA$1000,"Y",$J$2:$J$1000,J680,$GD$2:$GD$1000,"&lt;"&amp;GD680)+1&lt;=25,COUNTIFS($GA$2:$GA$1000,"Y",$J$2:$J$1000,"&gt;"&amp;J680)+COUNTIFS($GA$2:$GA$1000,"Y",$J$2:$J$1000,J680,$GD$2:$GD$1000,"&lt;"&amp;GD680)+1,""))</f>
        <v/>
      </c>
      <c r="GC680" s="0" t="str">
        <f aca="false">IF(AND(_xlfn.ISFORMULA(C680),_xlfn.ISFORMULA(J680)),"Y","N")</f>
        <v>Y</v>
      </c>
      <c r="GD680" s="0" t="n">
        <f aca="false">ROW()-1</f>
        <v>679</v>
      </c>
    </row>
    <row r="681" customFormat="false" ht="15" hidden="false" customHeight="false" outlineLevel="0" collapsed="false">
      <c r="C681" s="0" t="str">
        <f aca="false">IF($A681="","",IF(AW681="Y",BM681&amp;"",AY681&amp;""))</f>
        <v/>
      </c>
      <c r="D681" s="0" t="str">
        <f aca="false">IF($A681="","",IF(AW681="Y",BN681&amp;"",AZ681&amp;""))</f>
        <v/>
      </c>
      <c r="E681" s="0" t="str">
        <f aca="false">IF($A681="","",IF(AW681="Y",BO681&amp;"",BA681&amp;""))</f>
        <v/>
      </c>
      <c r="F681" s="0" t="str">
        <f aca="false">IF($A681="","",IF(AW681="Y",BP681&amp;"",BB681&amp;""))</f>
        <v/>
      </c>
      <c r="G681" s="0" t="str">
        <f aca="false">IF($A681="","",IF(AW681="Y",BQ681&amp;"",BC681&amp;""))</f>
        <v/>
      </c>
      <c r="H681" s="0" t="str">
        <f aca="false">IF($A681="","",IF(AW681="Y",BR681&amp;"",BD681&amp;""))</f>
        <v/>
      </c>
      <c r="I681" s="0" t="str">
        <f aca="false">IF($A681="","",IF(R681="Y","warm-intro",IF(H681="verified","email",IF(C681&lt;&gt;"","linkedin",CB681&amp;""))))</f>
        <v/>
      </c>
      <c r="J681" s="0" t="str">
        <f aca="false">IF($A681="","",IF(CN681="pass",ROUND(N(EM681)+N(EN681)+N(EO681)+N(EP681)+N(EQ681)+N(ER681),1),0))</f>
        <v/>
      </c>
      <c r="K681" s="0" t="str">
        <f aca="false">IF($A681="","",IF(CN681&lt;&gt;"pass",CA681&amp;"",CA681&amp;"; "&amp;IF(AW681="Y",BZ681&amp;"",BL681&amp;"")&amp;IF(R681="Y","; known to the founder (+15)","")&amp;"."))</f>
        <v/>
      </c>
      <c r="R681" s="5"/>
      <c r="U681" s="5"/>
      <c r="Y681" s="0" t="str">
        <f aca="false">IF(FX681&lt;&gt;"Y","",COUNTIFS($FX$2:$FX$1000,"Y",$J$2:$J$1000,"&gt;"&amp;J681)+COUNTIFS($FX$2:$FX$1000,"Y",$J$2:$J$1000,J681,$GD$2:$GD$1000,"&lt;"&amp;GD681)+1)</f>
        <v/>
      </c>
      <c r="AB681" s="0" t="str">
        <f aca="false">IF($A681="","",IF(AW681="Y",BY681&amp;"",BK681&amp;""))</f>
        <v/>
      </c>
      <c r="AC681" s="0" t="str">
        <f aca="false">IF($A681="","",IF(AW681="Y",BS681&amp;"",BE681&amp;""))</f>
        <v/>
      </c>
      <c r="AD681" s="0" t="str">
        <f aca="false">IF($A681="","",IF(AW681="Y",BT681&amp;"",BF681&amp;""))</f>
        <v/>
      </c>
      <c r="AE681" s="0" t="str">
        <f aca="false">IF($A681="","",IF(AW681="Y",BU681&amp;"",BG681&amp;""))</f>
        <v/>
      </c>
      <c r="AF681" s="0" t="str">
        <f aca="false">IF($A681="","",IF(AW681="Y",BV681&amp;"",BH681&amp;""))</f>
        <v/>
      </c>
      <c r="AG681" s="0" t="str">
        <f aca="false">IF($A681="","",IF(AW681="Y",BW681&amp;"",BI681&amp;""))</f>
        <v/>
      </c>
      <c r="AH681" s="0" t="str">
        <f aca="false">IF($A681="","",IF(AW681="Y",BX681&amp;"",BJ681&amp;""))</f>
        <v/>
      </c>
      <c r="AQ681" s="5"/>
      <c r="AT681" s="0" t="str">
        <f aca="false">IF($A681="","",IF(AND(CN681="pass",AQ681&lt;&gt;"Y",C681&lt;&gt;"",OR(AX681&lt;&gt;"Y",AV681="Y")),"Y","N"))</f>
        <v/>
      </c>
      <c r="AU681" s="0" t="str">
        <f aca="false">IF($A681="","",_xlfn.TEXTJOIN("; ",TRUE(),IF(CN681&lt;&gt;"pass","gated out",""),IF(AQ681="Y","on hold: "&amp;AR681,""),IF(C681="","no contact named on an opened page",""),IF(AND(AX681="Y",AV681&lt;&gt;"Y"),"Tuesday estimate band "&amp;L681&amp;": founder's call","")))</f>
        <v/>
      </c>
      <c r="BC681" s="0" t="str">
        <f aca="false">IF($A681="","",IFERROR(INDEX(Enrichment!$A$2:$GZ$2000,MATCH($A681,INDEX(Enrichment!$A$2:$GZ$2000,0,MATCH("row_id",Enrichment!$A$1:$GZ$1,0)),0),MATCH("work_email",Enrichment!$A$1:$GZ$1,0))&amp;"",""))</f>
        <v/>
      </c>
      <c r="BD681" s="0" t="str">
        <f aca="false">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Q681" s="0" t="str">
        <f aca="false">IF($A681="","",IFERROR(INDEX(Enrichment!$A$2:$GZ$2000,MATCH($A681,INDEX(Enrichment!$A$2:$GZ$2000,0,MATCH("row_id",Enrichment!$A$1:$GZ$1,0)),0),MATCH("backup_work_email",Enrichment!$A$1:$GZ$1,0))&amp;"",""))</f>
        <v/>
      </c>
      <c r="BR681" s="0" t="str">
        <f aca="false">IF($A681="","",IF(BQ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EQ681" s="0" t="str">
        <f aca="false">IF($A681="","",IF(AH681="exact",10,IF(AH681="adjacent",5,0)))</f>
        <v/>
      </c>
      <c r="ER681" s="0" t="str">
        <f aca="false">IF($A681="","",IF(R681="Y",15,0))</f>
        <v/>
      </c>
      <c r="FS681" s="0" t="str">
        <f aca="false">IF($A681="","",IF(ISNUMBER(MATCH(U681,{"queued","contacted","replied","call_booked","call_done","yes_in_principle","materials_sent"},0)),"Y","N"))</f>
        <v/>
      </c>
      <c r="FT681" s="0" t="str">
        <f aca="false">IF($A681="","",IF(OR(T681="Y",U681="do_not_contact",AS681&amp;""&lt;&gt;""),"Y","N"))</f>
        <v/>
      </c>
      <c r="FU681" s="0" t="str">
        <f aca="false">IF($A681="","",IF(AP681&amp;""&lt;&gt;"",AP681&amp;"",$A681))</f>
        <v/>
      </c>
      <c r="FV681" s="0" t="str">
        <f aca="false">IF($A681="","",IF(COUNTIFS($FU$2:$FU$1000,FU681,$FS$2:$FS$1000,"Y")+COUNTIFS($FU$2:$FU$1000,FU681,$FT$2:$FT$1000,"Y")&gt;0,"Y","N"))</f>
        <v/>
      </c>
      <c r="FW681" s="0" t="str">
        <f aca="false">IF($A681="","",IF(AND(U681="new",T681="N",FT681="N",AT681="Y",FV681="N"),"Y","N"))</f>
        <v/>
      </c>
      <c r="FX681" s="0" t="str">
        <f aca="false">IF($A681="","",IF(FW681&lt;&gt;"Y","N",IF(COUNTIFS($FU$2:$FU$1000,FU681,$FW$2:$FW$1000,"Y",$J$2:$J$1000,"&gt;"&amp;J681)+COUNTIFS($FU$2:$FU$1000,FU681,$FW$2:$FW$1000,"Y",$J$2:$J$1000,J681,$GD$2:$GD$1000,"&lt;"&amp;GD681)=0,"Y","N")))</f>
        <v/>
      </c>
      <c r="FY681" s="0" t="str">
        <f aca="false">IF($A681="","",IF(AND(FW681="Y",FX681="Y",Y681&amp;""&lt;&gt;""),IF(Y681&lt;=10,"Y","N"),"N"))</f>
        <v/>
      </c>
      <c r="FZ681" s="0" t="str">
        <f aca="false">IF(FY681="Y",Y681,"")</f>
        <v/>
      </c>
      <c r="GA681" s="0" t="str">
        <f aca="false">IF($A681="","",IF(AND(I681="walk-in",CN681="pass",U681="new",FT681="N",FV681="N",AQ681&lt;&gt;"Y"),"Y","N"))</f>
        <v/>
      </c>
      <c r="GB681" s="0" t="str">
        <f aca="false">IF(GA681&lt;&gt;"Y","",IF(COUNTIFS($GA$2:$GA$1000,"Y",$J$2:$J$1000,"&gt;"&amp;J681)+COUNTIFS($GA$2:$GA$1000,"Y",$J$2:$J$1000,J681,$GD$2:$GD$1000,"&lt;"&amp;GD681)+1&lt;=25,COUNTIFS($GA$2:$GA$1000,"Y",$J$2:$J$1000,"&gt;"&amp;J681)+COUNTIFS($GA$2:$GA$1000,"Y",$J$2:$J$1000,J681,$GD$2:$GD$1000,"&lt;"&amp;GD681)+1,""))</f>
        <v/>
      </c>
      <c r="GC681" s="0" t="str">
        <f aca="false">IF(AND(_xlfn.ISFORMULA(C681),_xlfn.ISFORMULA(J681)),"Y","N")</f>
        <v>Y</v>
      </c>
      <c r="GD681" s="0" t="n">
        <f aca="false">ROW()-1</f>
        <v>680</v>
      </c>
    </row>
    <row r="682" customFormat="false" ht="15" hidden="false" customHeight="false" outlineLevel="0" collapsed="false">
      <c r="C682" s="0" t="str">
        <f aca="false">IF($A682="","",IF(AW682="Y",BM682&amp;"",AY682&amp;""))</f>
        <v/>
      </c>
      <c r="D682" s="0" t="str">
        <f aca="false">IF($A682="","",IF(AW682="Y",BN682&amp;"",AZ682&amp;""))</f>
        <v/>
      </c>
      <c r="E682" s="0" t="str">
        <f aca="false">IF($A682="","",IF(AW682="Y",BO682&amp;"",BA682&amp;""))</f>
        <v/>
      </c>
      <c r="F682" s="0" t="str">
        <f aca="false">IF($A682="","",IF(AW682="Y",BP682&amp;"",BB682&amp;""))</f>
        <v/>
      </c>
      <c r="G682" s="0" t="str">
        <f aca="false">IF($A682="","",IF(AW682="Y",BQ682&amp;"",BC682&amp;""))</f>
        <v/>
      </c>
      <c r="H682" s="0" t="str">
        <f aca="false">IF($A682="","",IF(AW682="Y",BR682&amp;"",BD682&amp;""))</f>
        <v/>
      </c>
      <c r="I682" s="0" t="str">
        <f aca="false">IF($A682="","",IF(R682="Y","warm-intro",IF(H682="verified","email",IF(C682&lt;&gt;"","linkedin",CB682&amp;""))))</f>
        <v/>
      </c>
      <c r="J682" s="0" t="str">
        <f aca="false">IF($A682="","",IF(CN682="pass",ROUND(N(EM682)+N(EN682)+N(EO682)+N(EP682)+N(EQ682)+N(ER682),1),0))</f>
        <v/>
      </c>
      <c r="K682" s="0" t="str">
        <f aca="false">IF($A682="","",IF(CN682&lt;&gt;"pass",CA682&amp;"",CA682&amp;"; "&amp;IF(AW682="Y",BZ682&amp;"",BL682&amp;"")&amp;IF(R682="Y","; known to the founder (+15)","")&amp;"."))</f>
        <v/>
      </c>
      <c r="R682" s="5"/>
      <c r="U682" s="5"/>
      <c r="Y682" s="0" t="str">
        <f aca="false">IF(FX682&lt;&gt;"Y","",COUNTIFS($FX$2:$FX$1000,"Y",$J$2:$J$1000,"&gt;"&amp;J682)+COUNTIFS($FX$2:$FX$1000,"Y",$J$2:$J$1000,J682,$GD$2:$GD$1000,"&lt;"&amp;GD682)+1)</f>
        <v/>
      </c>
      <c r="AB682" s="0" t="str">
        <f aca="false">IF($A682="","",IF(AW682="Y",BY682&amp;"",BK682&amp;""))</f>
        <v/>
      </c>
      <c r="AC682" s="0" t="str">
        <f aca="false">IF($A682="","",IF(AW682="Y",BS682&amp;"",BE682&amp;""))</f>
        <v/>
      </c>
      <c r="AD682" s="0" t="str">
        <f aca="false">IF($A682="","",IF(AW682="Y",BT682&amp;"",BF682&amp;""))</f>
        <v/>
      </c>
      <c r="AE682" s="0" t="str">
        <f aca="false">IF($A682="","",IF(AW682="Y",BU682&amp;"",BG682&amp;""))</f>
        <v/>
      </c>
      <c r="AF682" s="0" t="str">
        <f aca="false">IF($A682="","",IF(AW682="Y",BV682&amp;"",BH682&amp;""))</f>
        <v/>
      </c>
      <c r="AG682" s="0" t="str">
        <f aca="false">IF($A682="","",IF(AW682="Y",BW682&amp;"",BI682&amp;""))</f>
        <v/>
      </c>
      <c r="AH682" s="0" t="str">
        <f aca="false">IF($A682="","",IF(AW682="Y",BX682&amp;"",BJ682&amp;""))</f>
        <v/>
      </c>
      <c r="AQ682" s="5"/>
      <c r="AT682" s="0" t="str">
        <f aca="false">IF($A682="","",IF(AND(CN682="pass",AQ682&lt;&gt;"Y",C682&lt;&gt;"",OR(AX682&lt;&gt;"Y",AV682="Y")),"Y","N"))</f>
        <v/>
      </c>
      <c r="AU682" s="0" t="str">
        <f aca="false">IF($A682="","",_xlfn.TEXTJOIN("; ",TRUE(),IF(CN682&lt;&gt;"pass","gated out",""),IF(AQ682="Y","on hold: "&amp;AR682,""),IF(C682="","no contact named on an opened page",""),IF(AND(AX682="Y",AV682&lt;&gt;"Y"),"Tuesday estimate band "&amp;L682&amp;": founder's call","")))</f>
        <v/>
      </c>
      <c r="BC682" s="0" t="str">
        <f aca="false">IF($A682="","",IFERROR(INDEX(Enrichment!$A$2:$GZ$2000,MATCH($A682,INDEX(Enrichment!$A$2:$GZ$2000,0,MATCH("row_id",Enrichment!$A$1:$GZ$1,0)),0),MATCH("work_email",Enrichment!$A$1:$GZ$1,0))&amp;"",""))</f>
        <v/>
      </c>
      <c r="BD682" s="0" t="str">
        <f aca="false">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Q682" s="0" t="str">
        <f aca="false">IF($A682="","",IFERROR(INDEX(Enrichment!$A$2:$GZ$2000,MATCH($A682,INDEX(Enrichment!$A$2:$GZ$2000,0,MATCH("row_id",Enrichment!$A$1:$GZ$1,0)),0),MATCH("backup_work_email",Enrichment!$A$1:$GZ$1,0))&amp;"",""))</f>
        <v/>
      </c>
      <c r="BR682" s="0" t="str">
        <f aca="false">IF($A682="","",IF(BQ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EQ682" s="0" t="str">
        <f aca="false">IF($A682="","",IF(AH682="exact",10,IF(AH682="adjacent",5,0)))</f>
        <v/>
      </c>
      <c r="ER682" s="0" t="str">
        <f aca="false">IF($A682="","",IF(R682="Y",15,0))</f>
        <v/>
      </c>
      <c r="FS682" s="0" t="str">
        <f aca="false">IF($A682="","",IF(ISNUMBER(MATCH(U682,{"queued","contacted","replied","call_booked","call_done","yes_in_principle","materials_sent"},0)),"Y","N"))</f>
        <v/>
      </c>
      <c r="FT682" s="0" t="str">
        <f aca="false">IF($A682="","",IF(OR(T682="Y",U682="do_not_contact",AS682&amp;""&lt;&gt;""),"Y","N"))</f>
        <v/>
      </c>
      <c r="FU682" s="0" t="str">
        <f aca="false">IF($A682="","",IF(AP682&amp;""&lt;&gt;"",AP682&amp;"",$A682))</f>
        <v/>
      </c>
      <c r="FV682" s="0" t="str">
        <f aca="false">IF($A682="","",IF(COUNTIFS($FU$2:$FU$1000,FU682,$FS$2:$FS$1000,"Y")+COUNTIFS($FU$2:$FU$1000,FU682,$FT$2:$FT$1000,"Y")&gt;0,"Y","N"))</f>
        <v/>
      </c>
      <c r="FW682" s="0" t="str">
        <f aca="false">IF($A682="","",IF(AND(U682="new",T682="N",FT682="N",AT682="Y",FV682="N"),"Y","N"))</f>
        <v/>
      </c>
      <c r="FX682" s="0" t="str">
        <f aca="false">IF($A682="","",IF(FW682&lt;&gt;"Y","N",IF(COUNTIFS($FU$2:$FU$1000,FU682,$FW$2:$FW$1000,"Y",$J$2:$J$1000,"&gt;"&amp;J682)+COUNTIFS($FU$2:$FU$1000,FU682,$FW$2:$FW$1000,"Y",$J$2:$J$1000,J682,$GD$2:$GD$1000,"&lt;"&amp;GD682)=0,"Y","N")))</f>
        <v/>
      </c>
      <c r="FY682" s="0" t="str">
        <f aca="false">IF($A682="","",IF(AND(FW682="Y",FX682="Y",Y682&amp;""&lt;&gt;""),IF(Y682&lt;=10,"Y","N"),"N"))</f>
        <v/>
      </c>
      <c r="FZ682" s="0" t="str">
        <f aca="false">IF(FY682="Y",Y682,"")</f>
        <v/>
      </c>
      <c r="GA682" s="0" t="str">
        <f aca="false">IF($A682="","",IF(AND(I682="walk-in",CN682="pass",U682="new",FT682="N",FV682="N",AQ682&lt;&gt;"Y"),"Y","N"))</f>
        <v/>
      </c>
      <c r="GB682" s="0" t="str">
        <f aca="false">IF(GA682&lt;&gt;"Y","",IF(COUNTIFS($GA$2:$GA$1000,"Y",$J$2:$J$1000,"&gt;"&amp;J682)+COUNTIFS($GA$2:$GA$1000,"Y",$J$2:$J$1000,J682,$GD$2:$GD$1000,"&lt;"&amp;GD682)+1&lt;=25,COUNTIFS($GA$2:$GA$1000,"Y",$J$2:$J$1000,"&gt;"&amp;J682)+COUNTIFS($GA$2:$GA$1000,"Y",$J$2:$J$1000,J682,$GD$2:$GD$1000,"&lt;"&amp;GD682)+1,""))</f>
        <v/>
      </c>
      <c r="GC682" s="0" t="str">
        <f aca="false">IF(AND(_xlfn.ISFORMULA(C682),_xlfn.ISFORMULA(J682)),"Y","N")</f>
        <v>Y</v>
      </c>
      <c r="GD682" s="0" t="n">
        <f aca="false">ROW()-1</f>
        <v>681</v>
      </c>
    </row>
    <row r="683" customFormat="false" ht="15" hidden="false" customHeight="false" outlineLevel="0" collapsed="false">
      <c r="C683" s="0" t="str">
        <f aca="false">IF($A683="","",IF(AW683="Y",BM683&amp;"",AY683&amp;""))</f>
        <v/>
      </c>
      <c r="D683" s="0" t="str">
        <f aca="false">IF($A683="","",IF(AW683="Y",BN683&amp;"",AZ683&amp;""))</f>
        <v/>
      </c>
      <c r="E683" s="0" t="str">
        <f aca="false">IF($A683="","",IF(AW683="Y",BO683&amp;"",BA683&amp;""))</f>
        <v/>
      </c>
      <c r="F683" s="0" t="str">
        <f aca="false">IF($A683="","",IF(AW683="Y",BP683&amp;"",BB683&amp;""))</f>
        <v/>
      </c>
      <c r="G683" s="0" t="str">
        <f aca="false">IF($A683="","",IF(AW683="Y",BQ683&amp;"",BC683&amp;""))</f>
        <v/>
      </c>
      <c r="H683" s="0" t="str">
        <f aca="false">IF($A683="","",IF(AW683="Y",BR683&amp;"",BD683&amp;""))</f>
        <v/>
      </c>
      <c r="I683" s="0" t="str">
        <f aca="false">IF($A683="","",IF(R683="Y","warm-intro",IF(H683="verified","email",IF(C683&lt;&gt;"","linkedin",CB683&amp;""))))</f>
        <v/>
      </c>
      <c r="J683" s="0" t="str">
        <f aca="false">IF($A683="","",IF(CN683="pass",ROUND(N(EM683)+N(EN683)+N(EO683)+N(EP683)+N(EQ683)+N(ER683),1),0))</f>
        <v/>
      </c>
      <c r="K683" s="0" t="str">
        <f aca="false">IF($A683="","",IF(CN683&lt;&gt;"pass",CA683&amp;"",CA683&amp;"; "&amp;IF(AW683="Y",BZ683&amp;"",BL683&amp;"")&amp;IF(R683="Y","; known to the founder (+15)","")&amp;"."))</f>
        <v/>
      </c>
      <c r="R683" s="5"/>
      <c r="U683" s="5"/>
      <c r="Y683" s="0" t="str">
        <f aca="false">IF(FX683&lt;&gt;"Y","",COUNTIFS($FX$2:$FX$1000,"Y",$J$2:$J$1000,"&gt;"&amp;J683)+COUNTIFS($FX$2:$FX$1000,"Y",$J$2:$J$1000,J683,$GD$2:$GD$1000,"&lt;"&amp;GD683)+1)</f>
        <v/>
      </c>
      <c r="AB683" s="0" t="str">
        <f aca="false">IF($A683="","",IF(AW683="Y",BY683&amp;"",BK683&amp;""))</f>
        <v/>
      </c>
      <c r="AC683" s="0" t="str">
        <f aca="false">IF($A683="","",IF(AW683="Y",BS683&amp;"",BE683&amp;""))</f>
        <v/>
      </c>
      <c r="AD683" s="0" t="str">
        <f aca="false">IF($A683="","",IF(AW683="Y",BT683&amp;"",BF683&amp;""))</f>
        <v/>
      </c>
      <c r="AE683" s="0" t="str">
        <f aca="false">IF($A683="","",IF(AW683="Y",BU683&amp;"",BG683&amp;""))</f>
        <v/>
      </c>
      <c r="AF683" s="0" t="str">
        <f aca="false">IF($A683="","",IF(AW683="Y",BV683&amp;"",BH683&amp;""))</f>
        <v/>
      </c>
      <c r="AG683" s="0" t="str">
        <f aca="false">IF($A683="","",IF(AW683="Y",BW683&amp;"",BI683&amp;""))</f>
        <v/>
      </c>
      <c r="AH683" s="0" t="str">
        <f aca="false">IF($A683="","",IF(AW683="Y",BX683&amp;"",BJ683&amp;""))</f>
        <v/>
      </c>
      <c r="AQ683" s="5"/>
      <c r="AT683" s="0" t="str">
        <f aca="false">IF($A683="","",IF(AND(CN683="pass",AQ683&lt;&gt;"Y",C683&lt;&gt;"",OR(AX683&lt;&gt;"Y",AV683="Y")),"Y","N"))</f>
        <v/>
      </c>
      <c r="AU683" s="0" t="str">
        <f aca="false">IF($A683="","",_xlfn.TEXTJOIN("; ",TRUE(),IF(CN683&lt;&gt;"pass","gated out",""),IF(AQ683="Y","on hold: "&amp;AR683,""),IF(C683="","no contact named on an opened page",""),IF(AND(AX683="Y",AV683&lt;&gt;"Y"),"Tuesday estimate band "&amp;L683&amp;": founder's call","")))</f>
        <v/>
      </c>
      <c r="BC683" s="0" t="str">
        <f aca="false">IF($A683="","",IFERROR(INDEX(Enrichment!$A$2:$GZ$2000,MATCH($A683,INDEX(Enrichment!$A$2:$GZ$2000,0,MATCH("row_id",Enrichment!$A$1:$GZ$1,0)),0),MATCH("work_email",Enrichment!$A$1:$GZ$1,0))&amp;"",""))</f>
        <v/>
      </c>
      <c r="BD683" s="0" t="str">
        <f aca="false">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Q683" s="0" t="str">
        <f aca="false">IF($A683="","",IFERROR(INDEX(Enrichment!$A$2:$GZ$2000,MATCH($A683,INDEX(Enrichment!$A$2:$GZ$2000,0,MATCH("row_id",Enrichment!$A$1:$GZ$1,0)),0),MATCH("backup_work_email",Enrichment!$A$1:$GZ$1,0))&amp;"",""))</f>
        <v/>
      </c>
      <c r="BR683" s="0" t="str">
        <f aca="false">IF($A683="","",IF(BQ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EQ683" s="0" t="str">
        <f aca="false">IF($A683="","",IF(AH683="exact",10,IF(AH683="adjacent",5,0)))</f>
        <v/>
      </c>
      <c r="ER683" s="0" t="str">
        <f aca="false">IF($A683="","",IF(R683="Y",15,0))</f>
        <v/>
      </c>
      <c r="FS683" s="0" t="str">
        <f aca="false">IF($A683="","",IF(ISNUMBER(MATCH(U683,{"queued","contacted","replied","call_booked","call_done","yes_in_principle","materials_sent"},0)),"Y","N"))</f>
        <v/>
      </c>
      <c r="FT683" s="0" t="str">
        <f aca="false">IF($A683="","",IF(OR(T683="Y",U683="do_not_contact",AS683&amp;""&lt;&gt;""),"Y","N"))</f>
        <v/>
      </c>
      <c r="FU683" s="0" t="str">
        <f aca="false">IF($A683="","",IF(AP683&amp;""&lt;&gt;"",AP683&amp;"",$A683))</f>
        <v/>
      </c>
      <c r="FV683" s="0" t="str">
        <f aca="false">IF($A683="","",IF(COUNTIFS($FU$2:$FU$1000,FU683,$FS$2:$FS$1000,"Y")+COUNTIFS($FU$2:$FU$1000,FU683,$FT$2:$FT$1000,"Y")&gt;0,"Y","N"))</f>
        <v/>
      </c>
      <c r="FW683" s="0" t="str">
        <f aca="false">IF($A683="","",IF(AND(U683="new",T683="N",FT683="N",AT683="Y",FV683="N"),"Y","N"))</f>
        <v/>
      </c>
      <c r="FX683" s="0" t="str">
        <f aca="false">IF($A683="","",IF(FW683&lt;&gt;"Y","N",IF(COUNTIFS($FU$2:$FU$1000,FU683,$FW$2:$FW$1000,"Y",$J$2:$J$1000,"&gt;"&amp;J683)+COUNTIFS($FU$2:$FU$1000,FU683,$FW$2:$FW$1000,"Y",$J$2:$J$1000,J683,$GD$2:$GD$1000,"&lt;"&amp;GD683)=0,"Y","N")))</f>
        <v/>
      </c>
      <c r="FY683" s="0" t="str">
        <f aca="false">IF($A683="","",IF(AND(FW683="Y",FX683="Y",Y683&amp;""&lt;&gt;""),IF(Y683&lt;=10,"Y","N"),"N"))</f>
        <v/>
      </c>
      <c r="FZ683" s="0" t="str">
        <f aca="false">IF(FY683="Y",Y683,"")</f>
        <v/>
      </c>
      <c r="GA683" s="0" t="str">
        <f aca="false">IF($A683="","",IF(AND(I683="walk-in",CN683="pass",U683="new",FT683="N",FV683="N",AQ683&lt;&gt;"Y"),"Y","N"))</f>
        <v/>
      </c>
      <c r="GB683" s="0" t="str">
        <f aca="false">IF(GA683&lt;&gt;"Y","",IF(COUNTIFS($GA$2:$GA$1000,"Y",$J$2:$J$1000,"&gt;"&amp;J683)+COUNTIFS($GA$2:$GA$1000,"Y",$J$2:$J$1000,J683,$GD$2:$GD$1000,"&lt;"&amp;GD683)+1&lt;=25,COUNTIFS($GA$2:$GA$1000,"Y",$J$2:$J$1000,"&gt;"&amp;J683)+COUNTIFS($GA$2:$GA$1000,"Y",$J$2:$J$1000,J683,$GD$2:$GD$1000,"&lt;"&amp;GD683)+1,""))</f>
        <v/>
      </c>
      <c r="GC683" s="0" t="str">
        <f aca="false">IF(AND(_xlfn.ISFORMULA(C683),_xlfn.ISFORMULA(J683)),"Y","N")</f>
        <v>Y</v>
      </c>
      <c r="GD683" s="0" t="n">
        <f aca="false">ROW()-1</f>
        <v>682</v>
      </c>
    </row>
    <row r="684" customFormat="false" ht="15" hidden="false" customHeight="false" outlineLevel="0" collapsed="false">
      <c r="C684" s="0" t="str">
        <f aca="false">IF($A684="","",IF(AW684="Y",BM684&amp;"",AY684&amp;""))</f>
        <v/>
      </c>
      <c r="D684" s="0" t="str">
        <f aca="false">IF($A684="","",IF(AW684="Y",BN684&amp;"",AZ684&amp;""))</f>
        <v/>
      </c>
      <c r="E684" s="0" t="str">
        <f aca="false">IF($A684="","",IF(AW684="Y",BO684&amp;"",BA684&amp;""))</f>
        <v/>
      </c>
      <c r="F684" s="0" t="str">
        <f aca="false">IF($A684="","",IF(AW684="Y",BP684&amp;"",BB684&amp;""))</f>
        <v/>
      </c>
      <c r="G684" s="0" t="str">
        <f aca="false">IF($A684="","",IF(AW684="Y",BQ684&amp;"",BC684&amp;""))</f>
        <v/>
      </c>
      <c r="H684" s="0" t="str">
        <f aca="false">IF($A684="","",IF(AW684="Y",BR684&amp;"",BD684&amp;""))</f>
        <v/>
      </c>
      <c r="I684" s="0" t="str">
        <f aca="false">IF($A684="","",IF(R684="Y","warm-intro",IF(H684="verified","email",IF(C684&lt;&gt;"","linkedin",CB684&amp;""))))</f>
        <v/>
      </c>
      <c r="J684" s="0" t="str">
        <f aca="false">IF($A684="","",IF(CN684="pass",ROUND(N(EM684)+N(EN684)+N(EO684)+N(EP684)+N(EQ684)+N(ER684),1),0))</f>
        <v/>
      </c>
      <c r="K684" s="0" t="str">
        <f aca="false">IF($A684="","",IF(CN684&lt;&gt;"pass",CA684&amp;"",CA684&amp;"; "&amp;IF(AW684="Y",BZ684&amp;"",BL684&amp;"")&amp;IF(R684="Y","; known to the founder (+15)","")&amp;"."))</f>
        <v/>
      </c>
      <c r="R684" s="5"/>
      <c r="U684" s="5"/>
      <c r="Y684" s="0" t="str">
        <f aca="false">IF(FX684&lt;&gt;"Y","",COUNTIFS($FX$2:$FX$1000,"Y",$J$2:$J$1000,"&gt;"&amp;J684)+COUNTIFS($FX$2:$FX$1000,"Y",$J$2:$J$1000,J684,$GD$2:$GD$1000,"&lt;"&amp;GD684)+1)</f>
        <v/>
      </c>
      <c r="AB684" s="0" t="str">
        <f aca="false">IF($A684="","",IF(AW684="Y",BY684&amp;"",BK684&amp;""))</f>
        <v/>
      </c>
      <c r="AC684" s="0" t="str">
        <f aca="false">IF($A684="","",IF(AW684="Y",BS684&amp;"",BE684&amp;""))</f>
        <v/>
      </c>
      <c r="AD684" s="0" t="str">
        <f aca="false">IF($A684="","",IF(AW684="Y",BT684&amp;"",BF684&amp;""))</f>
        <v/>
      </c>
      <c r="AE684" s="0" t="str">
        <f aca="false">IF($A684="","",IF(AW684="Y",BU684&amp;"",BG684&amp;""))</f>
        <v/>
      </c>
      <c r="AF684" s="0" t="str">
        <f aca="false">IF($A684="","",IF(AW684="Y",BV684&amp;"",BH684&amp;""))</f>
        <v/>
      </c>
      <c r="AG684" s="0" t="str">
        <f aca="false">IF($A684="","",IF(AW684="Y",BW684&amp;"",BI684&amp;""))</f>
        <v/>
      </c>
      <c r="AH684" s="0" t="str">
        <f aca="false">IF($A684="","",IF(AW684="Y",BX684&amp;"",BJ684&amp;""))</f>
        <v/>
      </c>
      <c r="AQ684" s="5"/>
      <c r="AT684" s="0" t="str">
        <f aca="false">IF($A684="","",IF(AND(CN684="pass",AQ684&lt;&gt;"Y",C684&lt;&gt;"",OR(AX684&lt;&gt;"Y",AV684="Y")),"Y","N"))</f>
        <v/>
      </c>
      <c r="AU684" s="0" t="str">
        <f aca="false">IF($A684="","",_xlfn.TEXTJOIN("; ",TRUE(),IF(CN684&lt;&gt;"pass","gated out",""),IF(AQ684="Y","on hold: "&amp;AR684,""),IF(C684="","no contact named on an opened page",""),IF(AND(AX684="Y",AV684&lt;&gt;"Y"),"Tuesday estimate band "&amp;L684&amp;": founder's call","")))</f>
        <v/>
      </c>
      <c r="BC684" s="0" t="str">
        <f aca="false">IF($A684="","",IFERROR(INDEX(Enrichment!$A$2:$GZ$2000,MATCH($A684,INDEX(Enrichment!$A$2:$GZ$2000,0,MATCH("row_id",Enrichment!$A$1:$GZ$1,0)),0),MATCH("work_email",Enrichment!$A$1:$GZ$1,0))&amp;"",""))</f>
        <v/>
      </c>
      <c r="BD684" s="0" t="str">
        <f aca="false">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Q684" s="0" t="str">
        <f aca="false">IF($A684="","",IFERROR(INDEX(Enrichment!$A$2:$GZ$2000,MATCH($A684,INDEX(Enrichment!$A$2:$GZ$2000,0,MATCH("row_id",Enrichment!$A$1:$GZ$1,0)),0),MATCH("backup_work_email",Enrichment!$A$1:$GZ$1,0))&amp;"",""))</f>
        <v/>
      </c>
      <c r="BR684" s="0" t="str">
        <f aca="false">IF($A684="","",IF(BQ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EQ684" s="0" t="str">
        <f aca="false">IF($A684="","",IF(AH684="exact",10,IF(AH684="adjacent",5,0)))</f>
        <v/>
      </c>
      <c r="ER684" s="0" t="str">
        <f aca="false">IF($A684="","",IF(R684="Y",15,0))</f>
        <v/>
      </c>
      <c r="FS684" s="0" t="str">
        <f aca="false">IF($A684="","",IF(ISNUMBER(MATCH(U684,{"queued","contacted","replied","call_booked","call_done","yes_in_principle","materials_sent"},0)),"Y","N"))</f>
        <v/>
      </c>
      <c r="FT684" s="0" t="str">
        <f aca="false">IF($A684="","",IF(OR(T684="Y",U684="do_not_contact",AS684&amp;""&lt;&gt;""),"Y","N"))</f>
        <v/>
      </c>
      <c r="FU684" s="0" t="str">
        <f aca="false">IF($A684="","",IF(AP684&amp;""&lt;&gt;"",AP684&amp;"",$A684))</f>
        <v/>
      </c>
      <c r="FV684" s="0" t="str">
        <f aca="false">IF($A684="","",IF(COUNTIFS($FU$2:$FU$1000,FU684,$FS$2:$FS$1000,"Y")+COUNTIFS($FU$2:$FU$1000,FU684,$FT$2:$FT$1000,"Y")&gt;0,"Y","N"))</f>
        <v/>
      </c>
      <c r="FW684" s="0" t="str">
        <f aca="false">IF($A684="","",IF(AND(U684="new",T684="N",FT684="N",AT684="Y",FV684="N"),"Y","N"))</f>
        <v/>
      </c>
      <c r="FX684" s="0" t="str">
        <f aca="false">IF($A684="","",IF(FW684&lt;&gt;"Y","N",IF(COUNTIFS($FU$2:$FU$1000,FU684,$FW$2:$FW$1000,"Y",$J$2:$J$1000,"&gt;"&amp;J684)+COUNTIFS($FU$2:$FU$1000,FU684,$FW$2:$FW$1000,"Y",$J$2:$J$1000,J684,$GD$2:$GD$1000,"&lt;"&amp;GD684)=0,"Y","N")))</f>
        <v/>
      </c>
      <c r="FY684" s="0" t="str">
        <f aca="false">IF($A684="","",IF(AND(FW684="Y",FX684="Y",Y684&amp;""&lt;&gt;""),IF(Y684&lt;=10,"Y","N"),"N"))</f>
        <v/>
      </c>
      <c r="FZ684" s="0" t="str">
        <f aca="false">IF(FY684="Y",Y684,"")</f>
        <v/>
      </c>
      <c r="GA684" s="0" t="str">
        <f aca="false">IF($A684="","",IF(AND(I684="walk-in",CN684="pass",U684="new",FT684="N",FV684="N",AQ684&lt;&gt;"Y"),"Y","N"))</f>
        <v/>
      </c>
      <c r="GB684" s="0" t="str">
        <f aca="false">IF(GA684&lt;&gt;"Y","",IF(COUNTIFS($GA$2:$GA$1000,"Y",$J$2:$J$1000,"&gt;"&amp;J684)+COUNTIFS($GA$2:$GA$1000,"Y",$J$2:$J$1000,J684,$GD$2:$GD$1000,"&lt;"&amp;GD684)+1&lt;=25,COUNTIFS($GA$2:$GA$1000,"Y",$J$2:$J$1000,"&gt;"&amp;J684)+COUNTIFS($GA$2:$GA$1000,"Y",$J$2:$J$1000,J684,$GD$2:$GD$1000,"&lt;"&amp;GD684)+1,""))</f>
        <v/>
      </c>
      <c r="GC684" s="0" t="str">
        <f aca="false">IF(AND(_xlfn.ISFORMULA(C684),_xlfn.ISFORMULA(J684)),"Y","N")</f>
        <v>Y</v>
      </c>
      <c r="GD684" s="0" t="n">
        <f aca="false">ROW()-1</f>
        <v>683</v>
      </c>
    </row>
    <row r="685" customFormat="false" ht="15" hidden="false" customHeight="false" outlineLevel="0" collapsed="false">
      <c r="C685" s="0" t="str">
        <f aca="false">IF($A685="","",IF(AW685="Y",BM685&amp;"",AY685&amp;""))</f>
        <v/>
      </c>
      <c r="D685" s="0" t="str">
        <f aca="false">IF($A685="","",IF(AW685="Y",BN685&amp;"",AZ685&amp;""))</f>
        <v/>
      </c>
      <c r="E685" s="0" t="str">
        <f aca="false">IF($A685="","",IF(AW685="Y",BO685&amp;"",BA685&amp;""))</f>
        <v/>
      </c>
      <c r="F685" s="0" t="str">
        <f aca="false">IF($A685="","",IF(AW685="Y",BP685&amp;"",BB685&amp;""))</f>
        <v/>
      </c>
      <c r="G685" s="0" t="str">
        <f aca="false">IF($A685="","",IF(AW685="Y",BQ685&amp;"",BC685&amp;""))</f>
        <v/>
      </c>
      <c r="H685" s="0" t="str">
        <f aca="false">IF($A685="","",IF(AW685="Y",BR685&amp;"",BD685&amp;""))</f>
        <v/>
      </c>
      <c r="I685" s="0" t="str">
        <f aca="false">IF($A685="","",IF(R685="Y","warm-intro",IF(H685="verified","email",IF(C685&lt;&gt;"","linkedin",CB685&amp;""))))</f>
        <v/>
      </c>
      <c r="J685" s="0" t="str">
        <f aca="false">IF($A685="","",IF(CN685="pass",ROUND(N(EM685)+N(EN685)+N(EO685)+N(EP685)+N(EQ685)+N(ER685),1),0))</f>
        <v/>
      </c>
      <c r="K685" s="0" t="str">
        <f aca="false">IF($A685="","",IF(CN685&lt;&gt;"pass",CA685&amp;"",CA685&amp;"; "&amp;IF(AW685="Y",BZ685&amp;"",BL685&amp;"")&amp;IF(R685="Y","; known to the founder (+15)","")&amp;"."))</f>
        <v/>
      </c>
      <c r="R685" s="5"/>
      <c r="U685" s="5"/>
      <c r="Y685" s="0" t="str">
        <f aca="false">IF(FX685&lt;&gt;"Y","",COUNTIFS($FX$2:$FX$1000,"Y",$J$2:$J$1000,"&gt;"&amp;J685)+COUNTIFS($FX$2:$FX$1000,"Y",$J$2:$J$1000,J685,$GD$2:$GD$1000,"&lt;"&amp;GD685)+1)</f>
        <v/>
      </c>
      <c r="AB685" s="0" t="str">
        <f aca="false">IF($A685="","",IF(AW685="Y",BY685&amp;"",BK685&amp;""))</f>
        <v/>
      </c>
      <c r="AC685" s="0" t="str">
        <f aca="false">IF($A685="","",IF(AW685="Y",BS685&amp;"",BE685&amp;""))</f>
        <v/>
      </c>
      <c r="AD685" s="0" t="str">
        <f aca="false">IF($A685="","",IF(AW685="Y",BT685&amp;"",BF685&amp;""))</f>
        <v/>
      </c>
      <c r="AE685" s="0" t="str">
        <f aca="false">IF($A685="","",IF(AW685="Y",BU685&amp;"",BG685&amp;""))</f>
        <v/>
      </c>
      <c r="AF685" s="0" t="str">
        <f aca="false">IF($A685="","",IF(AW685="Y",BV685&amp;"",BH685&amp;""))</f>
        <v/>
      </c>
      <c r="AG685" s="0" t="str">
        <f aca="false">IF($A685="","",IF(AW685="Y",BW685&amp;"",BI685&amp;""))</f>
        <v/>
      </c>
      <c r="AH685" s="0" t="str">
        <f aca="false">IF($A685="","",IF(AW685="Y",BX685&amp;"",BJ685&amp;""))</f>
        <v/>
      </c>
      <c r="AQ685" s="5"/>
      <c r="AT685" s="0" t="str">
        <f aca="false">IF($A685="","",IF(AND(CN685="pass",AQ685&lt;&gt;"Y",C685&lt;&gt;"",OR(AX685&lt;&gt;"Y",AV685="Y")),"Y","N"))</f>
        <v/>
      </c>
      <c r="AU685" s="0" t="str">
        <f aca="false">IF($A685="","",_xlfn.TEXTJOIN("; ",TRUE(),IF(CN685&lt;&gt;"pass","gated out",""),IF(AQ685="Y","on hold: "&amp;AR685,""),IF(C685="","no contact named on an opened page",""),IF(AND(AX685="Y",AV685&lt;&gt;"Y"),"Tuesday estimate band "&amp;L685&amp;": founder's call","")))</f>
        <v/>
      </c>
      <c r="BC685" s="0" t="str">
        <f aca="false">IF($A685="","",IFERROR(INDEX(Enrichment!$A$2:$GZ$2000,MATCH($A685,INDEX(Enrichment!$A$2:$GZ$2000,0,MATCH("row_id",Enrichment!$A$1:$GZ$1,0)),0),MATCH("work_email",Enrichment!$A$1:$GZ$1,0))&amp;"",""))</f>
        <v/>
      </c>
      <c r="BD685" s="0" t="str">
        <f aca="false">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Q685" s="0" t="str">
        <f aca="false">IF($A685="","",IFERROR(INDEX(Enrichment!$A$2:$GZ$2000,MATCH($A685,INDEX(Enrichment!$A$2:$GZ$2000,0,MATCH("row_id",Enrichment!$A$1:$GZ$1,0)),0),MATCH("backup_work_email",Enrichment!$A$1:$GZ$1,0))&amp;"",""))</f>
        <v/>
      </c>
      <c r="BR685" s="0" t="str">
        <f aca="false">IF($A685="","",IF(BQ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EQ685" s="0" t="str">
        <f aca="false">IF($A685="","",IF(AH685="exact",10,IF(AH685="adjacent",5,0)))</f>
        <v/>
      </c>
      <c r="ER685" s="0" t="str">
        <f aca="false">IF($A685="","",IF(R685="Y",15,0))</f>
        <v/>
      </c>
      <c r="FS685" s="0" t="str">
        <f aca="false">IF($A685="","",IF(ISNUMBER(MATCH(U685,{"queued","contacted","replied","call_booked","call_done","yes_in_principle","materials_sent"},0)),"Y","N"))</f>
        <v/>
      </c>
      <c r="FT685" s="0" t="str">
        <f aca="false">IF($A685="","",IF(OR(T685="Y",U685="do_not_contact",AS685&amp;""&lt;&gt;""),"Y","N"))</f>
        <v/>
      </c>
      <c r="FU685" s="0" t="str">
        <f aca="false">IF($A685="","",IF(AP685&amp;""&lt;&gt;"",AP685&amp;"",$A685))</f>
        <v/>
      </c>
      <c r="FV685" s="0" t="str">
        <f aca="false">IF($A685="","",IF(COUNTIFS($FU$2:$FU$1000,FU685,$FS$2:$FS$1000,"Y")+COUNTIFS($FU$2:$FU$1000,FU685,$FT$2:$FT$1000,"Y")&gt;0,"Y","N"))</f>
        <v/>
      </c>
      <c r="FW685" s="0" t="str">
        <f aca="false">IF($A685="","",IF(AND(U685="new",T685="N",FT685="N",AT685="Y",FV685="N"),"Y","N"))</f>
        <v/>
      </c>
      <c r="FX685" s="0" t="str">
        <f aca="false">IF($A685="","",IF(FW685&lt;&gt;"Y","N",IF(COUNTIFS($FU$2:$FU$1000,FU685,$FW$2:$FW$1000,"Y",$J$2:$J$1000,"&gt;"&amp;J685)+COUNTIFS($FU$2:$FU$1000,FU685,$FW$2:$FW$1000,"Y",$J$2:$J$1000,J685,$GD$2:$GD$1000,"&lt;"&amp;GD685)=0,"Y","N")))</f>
        <v/>
      </c>
      <c r="FY685" s="0" t="str">
        <f aca="false">IF($A685="","",IF(AND(FW685="Y",FX685="Y",Y685&amp;""&lt;&gt;""),IF(Y685&lt;=10,"Y","N"),"N"))</f>
        <v/>
      </c>
      <c r="FZ685" s="0" t="str">
        <f aca="false">IF(FY685="Y",Y685,"")</f>
        <v/>
      </c>
      <c r="GA685" s="0" t="str">
        <f aca="false">IF($A685="","",IF(AND(I685="walk-in",CN685="pass",U685="new",FT685="N",FV685="N",AQ685&lt;&gt;"Y"),"Y","N"))</f>
        <v/>
      </c>
      <c r="GB685" s="0" t="str">
        <f aca="false">IF(GA685&lt;&gt;"Y","",IF(COUNTIFS($GA$2:$GA$1000,"Y",$J$2:$J$1000,"&gt;"&amp;J685)+COUNTIFS($GA$2:$GA$1000,"Y",$J$2:$J$1000,J685,$GD$2:$GD$1000,"&lt;"&amp;GD685)+1&lt;=25,COUNTIFS($GA$2:$GA$1000,"Y",$J$2:$J$1000,"&gt;"&amp;J685)+COUNTIFS($GA$2:$GA$1000,"Y",$J$2:$J$1000,J685,$GD$2:$GD$1000,"&lt;"&amp;GD685)+1,""))</f>
        <v/>
      </c>
      <c r="GC685" s="0" t="str">
        <f aca="false">IF(AND(_xlfn.ISFORMULA(C685),_xlfn.ISFORMULA(J685)),"Y","N")</f>
        <v>Y</v>
      </c>
      <c r="GD685" s="0" t="n">
        <f aca="false">ROW()-1</f>
        <v>684</v>
      </c>
    </row>
    <row r="686" customFormat="false" ht="15" hidden="false" customHeight="false" outlineLevel="0" collapsed="false">
      <c r="C686" s="0" t="str">
        <f aca="false">IF($A686="","",IF(AW686="Y",BM686&amp;"",AY686&amp;""))</f>
        <v/>
      </c>
      <c r="D686" s="0" t="str">
        <f aca="false">IF($A686="","",IF(AW686="Y",BN686&amp;"",AZ686&amp;""))</f>
        <v/>
      </c>
      <c r="E686" s="0" t="str">
        <f aca="false">IF($A686="","",IF(AW686="Y",BO686&amp;"",BA686&amp;""))</f>
        <v/>
      </c>
      <c r="F686" s="0" t="str">
        <f aca="false">IF($A686="","",IF(AW686="Y",BP686&amp;"",BB686&amp;""))</f>
        <v/>
      </c>
      <c r="G686" s="0" t="str">
        <f aca="false">IF($A686="","",IF(AW686="Y",BQ686&amp;"",BC686&amp;""))</f>
        <v/>
      </c>
      <c r="H686" s="0" t="str">
        <f aca="false">IF($A686="","",IF(AW686="Y",BR686&amp;"",BD686&amp;""))</f>
        <v/>
      </c>
      <c r="I686" s="0" t="str">
        <f aca="false">IF($A686="","",IF(R686="Y","warm-intro",IF(H686="verified","email",IF(C686&lt;&gt;"","linkedin",CB686&amp;""))))</f>
        <v/>
      </c>
      <c r="J686" s="0" t="str">
        <f aca="false">IF($A686="","",IF(CN686="pass",ROUND(N(EM686)+N(EN686)+N(EO686)+N(EP686)+N(EQ686)+N(ER686),1),0))</f>
        <v/>
      </c>
      <c r="K686" s="0" t="str">
        <f aca="false">IF($A686="","",IF(CN686&lt;&gt;"pass",CA686&amp;"",CA686&amp;"; "&amp;IF(AW686="Y",BZ686&amp;"",BL686&amp;"")&amp;IF(R686="Y","; known to the founder (+15)","")&amp;"."))</f>
        <v/>
      </c>
      <c r="R686" s="5"/>
      <c r="U686" s="5"/>
      <c r="Y686" s="0" t="str">
        <f aca="false">IF(FX686&lt;&gt;"Y","",COUNTIFS($FX$2:$FX$1000,"Y",$J$2:$J$1000,"&gt;"&amp;J686)+COUNTIFS($FX$2:$FX$1000,"Y",$J$2:$J$1000,J686,$GD$2:$GD$1000,"&lt;"&amp;GD686)+1)</f>
        <v/>
      </c>
      <c r="AB686" s="0" t="str">
        <f aca="false">IF($A686="","",IF(AW686="Y",BY686&amp;"",BK686&amp;""))</f>
        <v/>
      </c>
      <c r="AC686" s="0" t="str">
        <f aca="false">IF($A686="","",IF(AW686="Y",BS686&amp;"",BE686&amp;""))</f>
        <v/>
      </c>
      <c r="AD686" s="0" t="str">
        <f aca="false">IF($A686="","",IF(AW686="Y",BT686&amp;"",BF686&amp;""))</f>
        <v/>
      </c>
      <c r="AE686" s="0" t="str">
        <f aca="false">IF($A686="","",IF(AW686="Y",BU686&amp;"",BG686&amp;""))</f>
        <v/>
      </c>
      <c r="AF686" s="0" t="str">
        <f aca="false">IF($A686="","",IF(AW686="Y",BV686&amp;"",BH686&amp;""))</f>
        <v/>
      </c>
      <c r="AG686" s="0" t="str">
        <f aca="false">IF($A686="","",IF(AW686="Y",BW686&amp;"",BI686&amp;""))</f>
        <v/>
      </c>
      <c r="AH686" s="0" t="str">
        <f aca="false">IF($A686="","",IF(AW686="Y",BX686&amp;"",BJ686&amp;""))</f>
        <v/>
      </c>
      <c r="AQ686" s="5"/>
      <c r="AT686" s="0" t="str">
        <f aca="false">IF($A686="","",IF(AND(CN686="pass",AQ686&lt;&gt;"Y",C686&lt;&gt;"",OR(AX686&lt;&gt;"Y",AV686="Y")),"Y","N"))</f>
        <v/>
      </c>
      <c r="AU686" s="0" t="str">
        <f aca="false">IF($A686="","",_xlfn.TEXTJOIN("; ",TRUE(),IF(CN686&lt;&gt;"pass","gated out",""),IF(AQ686="Y","on hold: "&amp;AR686,""),IF(C686="","no contact named on an opened page",""),IF(AND(AX686="Y",AV686&lt;&gt;"Y"),"Tuesday estimate band "&amp;L686&amp;": founder's call","")))</f>
        <v/>
      </c>
      <c r="BC686" s="0" t="str">
        <f aca="false">IF($A686="","",IFERROR(INDEX(Enrichment!$A$2:$GZ$2000,MATCH($A686,INDEX(Enrichment!$A$2:$GZ$2000,0,MATCH("row_id",Enrichment!$A$1:$GZ$1,0)),0),MATCH("work_email",Enrichment!$A$1:$GZ$1,0))&amp;"",""))</f>
        <v/>
      </c>
      <c r="BD686" s="0" t="str">
        <f aca="false">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Q686" s="0" t="str">
        <f aca="false">IF($A686="","",IFERROR(INDEX(Enrichment!$A$2:$GZ$2000,MATCH($A686,INDEX(Enrichment!$A$2:$GZ$2000,0,MATCH("row_id",Enrichment!$A$1:$GZ$1,0)),0),MATCH("backup_work_email",Enrichment!$A$1:$GZ$1,0))&amp;"",""))</f>
        <v/>
      </c>
      <c r="BR686" s="0" t="str">
        <f aca="false">IF($A686="","",IF(BQ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EQ686" s="0" t="str">
        <f aca="false">IF($A686="","",IF(AH686="exact",10,IF(AH686="adjacent",5,0)))</f>
        <v/>
      </c>
      <c r="ER686" s="0" t="str">
        <f aca="false">IF($A686="","",IF(R686="Y",15,0))</f>
        <v/>
      </c>
      <c r="FS686" s="0" t="str">
        <f aca="false">IF($A686="","",IF(ISNUMBER(MATCH(U686,{"queued","contacted","replied","call_booked","call_done","yes_in_principle","materials_sent"},0)),"Y","N"))</f>
        <v/>
      </c>
      <c r="FT686" s="0" t="str">
        <f aca="false">IF($A686="","",IF(OR(T686="Y",U686="do_not_contact",AS686&amp;""&lt;&gt;""),"Y","N"))</f>
        <v/>
      </c>
      <c r="FU686" s="0" t="str">
        <f aca="false">IF($A686="","",IF(AP686&amp;""&lt;&gt;"",AP686&amp;"",$A686))</f>
        <v/>
      </c>
      <c r="FV686" s="0" t="str">
        <f aca="false">IF($A686="","",IF(COUNTIFS($FU$2:$FU$1000,FU686,$FS$2:$FS$1000,"Y")+COUNTIFS($FU$2:$FU$1000,FU686,$FT$2:$FT$1000,"Y")&gt;0,"Y","N"))</f>
        <v/>
      </c>
      <c r="FW686" s="0" t="str">
        <f aca="false">IF($A686="","",IF(AND(U686="new",T686="N",FT686="N",AT686="Y",FV686="N"),"Y","N"))</f>
        <v/>
      </c>
      <c r="FX686" s="0" t="str">
        <f aca="false">IF($A686="","",IF(FW686&lt;&gt;"Y","N",IF(COUNTIFS($FU$2:$FU$1000,FU686,$FW$2:$FW$1000,"Y",$J$2:$J$1000,"&gt;"&amp;J686)+COUNTIFS($FU$2:$FU$1000,FU686,$FW$2:$FW$1000,"Y",$J$2:$J$1000,J686,$GD$2:$GD$1000,"&lt;"&amp;GD686)=0,"Y","N")))</f>
        <v/>
      </c>
      <c r="FY686" s="0" t="str">
        <f aca="false">IF($A686="","",IF(AND(FW686="Y",FX686="Y",Y686&amp;""&lt;&gt;""),IF(Y686&lt;=10,"Y","N"),"N"))</f>
        <v/>
      </c>
      <c r="FZ686" s="0" t="str">
        <f aca="false">IF(FY686="Y",Y686,"")</f>
        <v/>
      </c>
      <c r="GA686" s="0" t="str">
        <f aca="false">IF($A686="","",IF(AND(I686="walk-in",CN686="pass",U686="new",FT686="N",FV686="N",AQ686&lt;&gt;"Y"),"Y","N"))</f>
        <v/>
      </c>
      <c r="GB686" s="0" t="str">
        <f aca="false">IF(GA686&lt;&gt;"Y","",IF(COUNTIFS($GA$2:$GA$1000,"Y",$J$2:$J$1000,"&gt;"&amp;J686)+COUNTIFS($GA$2:$GA$1000,"Y",$J$2:$J$1000,J686,$GD$2:$GD$1000,"&lt;"&amp;GD686)+1&lt;=25,COUNTIFS($GA$2:$GA$1000,"Y",$J$2:$J$1000,"&gt;"&amp;J686)+COUNTIFS($GA$2:$GA$1000,"Y",$J$2:$J$1000,J686,$GD$2:$GD$1000,"&lt;"&amp;GD686)+1,""))</f>
        <v/>
      </c>
      <c r="GC686" s="0" t="str">
        <f aca="false">IF(AND(_xlfn.ISFORMULA(C686),_xlfn.ISFORMULA(J686)),"Y","N")</f>
        <v>Y</v>
      </c>
      <c r="GD686" s="0" t="n">
        <f aca="false">ROW()-1</f>
        <v>685</v>
      </c>
    </row>
    <row r="687" customFormat="false" ht="15" hidden="false" customHeight="false" outlineLevel="0" collapsed="false">
      <c r="C687" s="0" t="str">
        <f aca="false">IF($A687="","",IF(AW687="Y",BM687&amp;"",AY687&amp;""))</f>
        <v/>
      </c>
      <c r="D687" s="0" t="str">
        <f aca="false">IF($A687="","",IF(AW687="Y",BN687&amp;"",AZ687&amp;""))</f>
        <v/>
      </c>
      <c r="E687" s="0" t="str">
        <f aca="false">IF($A687="","",IF(AW687="Y",BO687&amp;"",BA687&amp;""))</f>
        <v/>
      </c>
      <c r="F687" s="0" t="str">
        <f aca="false">IF($A687="","",IF(AW687="Y",BP687&amp;"",BB687&amp;""))</f>
        <v/>
      </c>
      <c r="G687" s="0" t="str">
        <f aca="false">IF($A687="","",IF(AW687="Y",BQ687&amp;"",BC687&amp;""))</f>
        <v/>
      </c>
      <c r="H687" s="0" t="str">
        <f aca="false">IF($A687="","",IF(AW687="Y",BR687&amp;"",BD687&amp;""))</f>
        <v/>
      </c>
      <c r="I687" s="0" t="str">
        <f aca="false">IF($A687="","",IF(R687="Y","warm-intro",IF(H687="verified","email",IF(C687&lt;&gt;"","linkedin",CB687&amp;""))))</f>
        <v/>
      </c>
      <c r="J687" s="0" t="str">
        <f aca="false">IF($A687="","",IF(CN687="pass",ROUND(N(EM687)+N(EN687)+N(EO687)+N(EP687)+N(EQ687)+N(ER687),1),0))</f>
        <v/>
      </c>
      <c r="K687" s="0" t="str">
        <f aca="false">IF($A687="","",IF(CN687&lt;&gt;"pass",CA687&amp;"",CA687&amp;"; "&amp;IF(AW687="Y",BZ687&amp;"",BL687&amp;"")&amp;IF(R687="Y","; known to the founder (+15)","")&amp;"."))</f>
        <v/>
      </c>
      <c r="R687" s="5"/>
      <c r="U687" s="5"/>
      <c r="Y687" s="0" t="str">
        <f aca="false">IF(FX687&lt;&gt;"Y","",COUNTIFS($FX$2:$FX$1000,"Y",$J$2:$J$1000,"&gt;"&amp;J687)+COUNTIFS($FX$2:$FX$1000,"Y",$J$2:$J$1000,J687,$GD$2:$GD$1000,"&lt;"&amp;GD687)+1)</f>
        <v/>
      </c>
      <c r="AB687" s="0" t="str">
        <f aca="false">IF($A687="","",IF(AW687="Y",BY687&amp;"",BK687&amp;""))</f>
        <v/>
      </c>
      <c r="AC687" s="0" t="str">
        <f aca="false">IF($A687="","",IF(AW687="Y",BS687&amp;"",BE687&amp;""))</f>
        <v/>
      </c>
      <c r="AD687" s="0" t="str">
        <f aca="false">IF($A687="","",IF(AW687="Y",BT687&amp;"",BF687&amp;""))</f>
        <v/>
      </c>
      <c r="AE687" s="0" t="str">
        <f aca="false">IF($A687="","",IF(AW687="Y",BU687&amp;"",BG687&amp;""))</f>
        <v/>
      </c>
      <c r="AF687" s="0" t="str">
        <f aca="false">IF($A687="","",IF(AW687="Y",BV687&amp;"",BH687&amp;""))</f>
        <v/>
      </c>
      <c r="AG687" s="0" t="str">
        <f aca="false">IF($A687="","",IF(AW687="Y",BW687&amp;"",BI687&amp;""))</f>
        <v/>
      </c>
      <c r="AH687" s="0" t="str">
        <f aca="false">IF($A687="","",IF(AW687="Y",BX687&amp;"",BJ687&amp;""))</f>
        <v/>
      </c>
      <c r="AQ687" s="5"/>
      <c r="AT687" s="0" t="str">
        <f aca="false">IF($A687="","",IF(AND(CN687="pass",AQ687&lt;&gt;"Y",C687&lt;&gt;"",OR(AX687&lt;&gt;"Y",AV687="Y")),"Y","N"))</f>
        <v/>
      </c>
      <c r="AU687" s="0" t="str">
        <f aca="false">IF($A687="","",_xlfn.TEXTJOIN("; ",TRUE(),IF(CN687&lt;&gt;"pass","gated out",""),IF(AQ687="Y","on hold: "&amp;AR687,""),IF(C687="","no contact named on an opened page",""),IF(AND(AX687="Y",AV687&lt;&gt;"Y"),"Tuesday estimate band "&amp;L687&amp;": founder's call","")))</f>
        <v/>
      </c>
      <c r="BC687" s="0" t="str">
        <f aca="false">IF($A687="","",IFERROR(INDEX(Enrichment!$A$2:$GZ$2000,MATCH($A687,INDEX(Enrichment!$A$2:$GZ$2000,0,MATCH("row_id",Enrichment!$A$1:$GZ$1,0)),0),MATCH("work_email",Enrichment!$A$1:$GZ$1,0))&amp;"",""))</f>
        <v/>
      </c>
      <c r="BD687" s="0" t="str">
        <f aca="false">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Q687" s="0" t="str">
        <f aca="false">IF($A687="","",IFERROR(INDEX(Enrichment!$A$2:$GZ$2000,MATCH($A687,INDEX(Enrichment!$A$2:$GZ$2000,0,MATCH("row_id",Enrichment!$A$1:$GZ$1,0)),0),MATCH("backup_work_email",Enrichment!$A$1:$GZ$1,0))&amp;"",""))</f>
        <v/>
      </c>
      <c r="BR687" s="0" t="str">
        <f aca="false">IF($A687="","",IF(BQ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EQ687" s="0" t="str">
        <f aca="false">IF($A687="","",IF(AH687="exact",10,IF(AH687="adjacent",5,0)))</f>
        <v/>
      </c>
      <c r="ER687" s="0" t="str">
        <f aca="false">IF($A687="","",IF(R687="Y",15,0))</f>
        <v/>
      </c>
      <c r="FS687" s="0" t="str">
        <f aca="false">IF($A687="","",IF(ISNUMBER(MATCH(U687,{"queued","contacted","replied","call_booked","call_done","yes_in_principle","materials_sent"},0)),"Y","N"))</f>
        <v/>
      </c>
      <c r="FT687" s="0" t="str">
        <f aca="false">IF($A687="","",IF(OR(T687="Y",U687="do_not_contact",AS687&amp;""&lt;&gt;""),"Y","N"))</f>
        <v/>
      </c>
      <c r="FU687" s="0" t="str">
        <f aca="false">IF($A687="","",IF(AP687&amp;""&lt;&gt;"",AP687&amp;"",$A687))</f>
        <v/>
      </c>
      <c r="FV687" s="0" t="str">
        <f aca="false">IF($A687="","",IF(COUNTIFS($FU$2:$FU$1000,FU687,$FS$2:$FS$1000,"Y")+COUNTIFS($FU$2:$FU$1000,FU687,$FT$2:$FT$1000,"Y")&gt;0,"Y","N"))</f>
        <v/>
      </c>
      <c r="FW687" s="0" t="str">
        <f aca="false">IF($A687="","",IF(AND(U687="new",T687="N",FT687="N",AT687="Y",FV687="N"),"Y","N"))</f>
        <v/>
      </c>
      <c r="FX687" s="0" t="str">
        <f aca="false">IF($A687="","",IF(FW687&lt;&gt;"Y","N",IF(COUNTIFS($FU$2:$FU$1000,FU687,$FW$2:$FW$1000,"Y",$J$2:$J$1000,"&gt;"&amp;J687)+COUNTIFS($FU$2:$FU$1000,FU687,$FW$2:$FW$1000,"Y",$J$2:$J$1000,J687,$GD$2:$GD$1000,"&lt;"&amp;GD687)=0,"Y","N")))</f>
        <v/>
      </c>
      <c r="FY687" s="0" t="str">
        <f aca="false">IF($A687="","",IF(AND(FW687="Y",FX687="Y",Y687&amp;""&lt;&gt;""),IF(Y687&lt;=10,"Y","N"),"N"))</f>
        <v/>
      </c>
      <c r="FZ687" s="0" t="str">
        <f aca="false">IF(FY687="Y",Y687,"")</f>
        <v/>
      </c>
      <c r="GA687" s="0" t="str">
        <f aca="false">IF($A687="","",IF(AND(I687="walk-in",CN687="pass",U687="new",FT687="N",FV687="N",AQ687&lt;&gt;"Y"),"Y","N"))</f>
        <v/>
      </c>
      <c r="GB687" s="0" t="str">
        <f aca="false">IF(GA687&lt;&gt;"Y","",IF(COUNTIFS($GA$2:$GA$1000,"Y",$J$2:$J$1000,"&gt;"&amp;J687)+COUNTIFS($GA$2:$GA$1000,"Y",$J$2:$J$1000,J687,$GD$2:$GD$1000,"&lt;"&amp;GD687)+1&lt;=25,COUNTIFS($GA$2:$GA$1000,"Y",$J$2:$J$1000,"&gt;"&amp;J687)+COUNTIFS($GA$2:$GA$1000,"Y",$J$2:$J$1000,J687,$GD$2:$GD$1000,"&lt;"&amp;GD687)+1,""))</f>
        <v/>
      </c>
      <c r="GC687" s="0" t="str">
        <f aca="false">IF(AND(_xlfn.ISFORMULA(C687),_xlfn.ISFORMULA(J687)),"Y","N")</f>
        <v>Y</v>
      </c>
      <c r="GD687" s="0" t="n">
        <f aca="false">ROW()-1</f>
        <v>686</v>
      </c>
    </row>
    <row r="688" customFormat="false" ht="15" hidden="false" customHeight="false" outlineLevel="0" collapsed="false">
      <c r="C688" s="0" t="str">
        <f aca="false">IF($A688="","",IF(AW688="Y",BM688&amp;"",AY688&amp;""))</f>
        <v/>
      </c>
      <c r="D688" s="0" t="str">
        <f aca="false">IF($A688="","",IF(AW688="Y",BN688&amp;"",AZ688&amp;""))</f>
        <v/>
      </c>
      <c r="E688" s="0" t="str">
        <f aca="false">IF($A688="","",IF(AW688="Y",BO688&amp;"",BA688&amp;""))</f>
        <v/>
      </c>
      <c r="F688" s="0" t="str">
        <f aca="false">IF($A688="","",IF(AW688="Y",BP688&amp;"",BB688&amp;""))</f>
        <v/>
      </c>
      <c r="G688" s="0" t="str">
        <f aca="false">IF($A688="","",IF(AW688="Y",BQ688&amp;"",BC688&amp;""))</f>
        <v/>
      </c>
      <c r="H688" s="0" t="str">
        <f aca="false">IF($A688="","",IF(AW688="Y",BR688&amp;"",BD688&amp;""))</f>
        <v/>
      </c>
      <c r="I688" s="0" t="str">
        <f aca="false">IF($A688="","",IF(R688="Y","warm-intro",IF(H688="verified","email",IF(C688&lt;&gt;"","linkedin",CB688&amp;""))))</f>
        <v/>
      </c>
      <c r="J688" s="0" t="str">
        <f aca="false">IF($A688="","",IF(CN688="pass",ROUND(N(EM688)+N(EN688)+N(EO688)+N(EP688)+N(EQ688)+N(ER688),1),0))</f>
        <v/>
      </c>
      <c r="K688" s="0" t="str">
        <f aca="false">IF($A688="","",IF(CN688&lt;&gt;"pass",CA688&amp;"",CA688&amp;"; "&amp;IF(AW688="Y",BZ688&amp;"",BL688&amp;"")&amp;IF(R688="Y","; known to the founder (+15)","")&amp;"."))</f>
        <v/>
      </c>
      <c r="R688" s="5"/>
      <c r="U688" s="5"/>
      <c r="Y688" s="0" t="str">
        <f aca="false">IF(FX688&lt;&gt;"Y","",COUNTIFS($FX$2:$FX$1000,"Y",$J$2:$J$1000,"&gt;"&amp;J688)+COUNTIFS($FX$2:$FX$1000,"Y",$J$2:$J$1000,J688,$GD$2:$GD$1000,"&lt;"&amp;GD688)+1)</f>
        <v/>
      </c>
      <c r="AB688" s="0" t="str">
        <f aca="false">IF($A688="","",IF(AW688="Y",BY688&amp;"",BK688&amp;""))</f>
        <v/>
      </c>
      <c r="AC688" s="0" t="str">
        <f aca="false">IF($A688="","",IF(AW688="Y",BS688&amp;"",BE688&amp;""))</f>
        <v/>
      </c>
      <c r="AD688" s="0" t="str">
        <f aca="false">IF($A688="","",IF(AW688="Y",BT688&amp;"",BF688&amp;""))</f>
        <v/>
      </c>
      <c r="AE688" s="0" t="str">
        <f aca="false">IF($A688="","",IF(AW688="Y",BU688&amp;"",BG688&amp;""))</f>
        <v/>
      </c>
      <c r="AF688" s="0" t="str">
        <f aca="false">IF($A688="","",IF(AW688="Y",BV688&amp;"",BH688&amp;""))</f>
        <v/>
      </c>
      <c r="AG688" s="0" t="str">
        <f aca="false">IF($A688="","",IF(AW688="Y",BW688&amp;"",BI688&amp;""))</f>
        <v/>
      </c>
      <c r="AH688" s="0" t="str">
        <f aca="false">IF($A688="","",IF(AW688="Y",BX688&amp;"",BJ688&amp;""))</f>
        <v/>
      </c>
      <c r="AQ688" s="5"/>
      <c r="AT688" s="0" t="str">
        <f aca="false">IF($A688="","",IF(AND(CN688="pass",AQ688&lt;&gt;"Y",C688&lt;&gt;"",OR(AX688&lt;&gt;"Y",AV688="Y")),"Y","N"))</f>
        <v/>
      </c>
      <c r="AU688" s="0" t="str">
        <f aca="false">IF($A688="","",_xlfn.TEXTJOIN("; ",TRUE(),IF(CN688&lt;&gt;"pass","gated out",""),IF(AQ688="Y","on hold: "&amp;AR688,""),IF(C688="","no contact named on an opened page",""),IF(AND(AX688="Y",AV688&lt;&gt;"Y"),"Tuesday estimate band "&amp;L688&amp;": founder's call","")))</f>
        <v/>
      </c>
      <c r="BC688" s="0" t="str">
        <f aca="false">IF($A688="","",IFERROR(INDEX(Enrichment!$A$2:$GZ$2000,MATCH($A688,INDEX(Enrichment!$A$2:$GZ$2000,0,MATCH("row_id",Enrichment!$A$1:$GZ$1,0)),0),MATCH("work_email",Enrichment!$A$1:$GZ$1,0))&amp;"",""))</f>
        <v/>
      </c>
      <c r="BD688" s="0" t="str">
        <f aca="false">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Q688" s="0" t="str">
        <f aca="false">IF($A688="","",IFERROR(INDEX(Enrichment!$A$2:$GZ$2000,MATCH($A688,INDEX(Enrichment!$A$2:$GZ$2000,0,MATCH("row_id",Enrichment!$A$1:$GZ$1,0)),0),MATCH("backup_work_email",Enrichment!$A$1:$GZ$1,0))&amp;"",""))</f>
        <v/>
      </c>
      <c r="BR688" s="0" t="str">
        <f aca="false">IF($A688="","",IF(BQ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EQ688" s="0" t="str">
        <f aca="false">IF($A688="","",IF(AH688="exact",10,IF(AH688="adjacent",5,0)))</f>
        <v/>
      </c>
      <c r="ER688" s="0" t="str">
        <f aca="false">IF($A688="","",IF(R688="Y",15,0))</f>
        <v/>
      </c>
      <c r="FS688" s="0" t="str">
        <f aca="false">IF($A688="","",IF(ISNUMBER(MATCH(U688,{"queued","contacted","replied","call_booked","call_done","yes_in_principle","materials_sent"},0)),"Y","N"))</f>
        <v/>
      </c>
      <c r="FT688" s="0" t="str">
        <f aca="false">IF($A688="","",IF(OR(T688="Y",U688="do_not_contact",AS688&amp;""&lt;&gt;""),"Y","N"))</f>
        <v/>
      </c>
      <c r="FU688" s="0" t="str">
        <f aca="false">IF($A688="","",IF(AP688&amp;""&lt;&gt;"",AP688&amp;"",$A688))</f>
        <v/>
      </c>
      <c r="FV688" s="0" t="str">
        <f aca="false">IF($A688="","",IF(COUNTIFS($FU$2:$FU$1000,FU688,$FS$2:$FS$1000,"Y")+COUNTIFS($FU$2:$FU$1000,FU688,$FT$2:$FT$1000,"Y")&gt;0,"Y","N"))</f>
        <v/>
      </c>
      <c r="FW688" s="0" t="str">
        <f aca="false">IF($A688="","",IF(AND(U688="new",T688="N",FT688="N",AT688="Y",FV688="N"),"Y","N"))</f>
        <v/>
      </c>
      <c r="FX688" s="0" t="str">
        <f aca="false">IF($A688="","",IF(FW688&lt;&gt;"Y","N",IF(COUNTIFS($FU$2:$FU$1000,FU688,$FW$2:$FW$1000,"Y",$J$2:$J$1000,"&gt;"&amp;J688)+COUNTIFS($FU$2:$FU$1000,FU688,$FW$2:$FW$1000,"Y",$J$2:$J$1000,J688,$GD$2:$GD$1000,"&lt;"&amp;GD688)=0,"Y","N")))</f>
        <v/>
      </c>
      <c r="FY688" s="0" t="str">
        <f aca="false">IF($A688="","",IF(AND(FW688="Y",FX688="Y",Y688&amp;""&lt;&gt;""),IF(Y688&lt;=10,"Y","N"),"N"))</f>
        <v/>
      </c>
      <c r="FZ688" s="0" t="str">
        <f aca="false">IF(FY688="Y",Y688,"")</f>
        <v/>
      </c>
      <c r="GA688" s="0" t="str">
        <f aca="false">IF($A688="","",IF(AND(I688="walk-in",CN688="pass",U688="new",FT688="N",FV688="N",AQ688&lt;&gt;"Y"),"Y","N"))</f>
        <v/>
      </c>
      <c r="GB688" s="0" t="str">
        <f aca="false">IF(GA688&lt;&gt;"Y","",IF(COUNTIFS($GA$2:$GA$1000,"Y",$J$2:$J$1000,"&gt;"&amp;J688)+COUNTIFS($GA$2:$GA$1000,"Y",$J$2:$J$1000,J688,$GD$2:$GD$1000,"&lt;"&amp;GD688)+1&lt;=25,COUNTIFS($GA$2:$GA$1000,"Y",$J$2:$J$1000,"&gt;"&amp;J688)+COUNTIFS($GA$2:$GA$1000,"Y",$J$2:$J$1000,J688,$GD$2:$GD$1000,"&lt;"&amp;GD688)+1,""))</f>
        <v/>
      </c>
      <c r="GC688" s="0" t="str">
        <f aca="false">IF(AND(_xlfn.ISFORMULA(C688),_xlfn.ISFORMULA(J688)),"Y","N")</f>
        <v>Y</v>
      </c>
      <c r="GD688" s="0" t="n">
        <f aca="false">ROW()-1</f>
        <v>687</v>
      </c>
    </row>
    <row r="689" customFormat="false" ht="15" hidden="false" customHeight="false" outlineLevel="0" collapsed="false">
      <c r="C689" s="0" t="str">
        <f aca="false">IF($A689="","",IF(AW689="Y",BM689&amp;"",AY689&amp;""))</f>
        <v/>
      </c>
      <c r="D689" s="0" t="str">
        <f aca="false">IF($A689="","",IF(AW689="Y",BN689&amp;"",AZ689&amp;""))</f>
        <v/>
      </c>
      <c r="E689" s="0" t="str">
        <f aca="false">IF($A689="","",IF(AW689="Y",BO689&amp;"",BA689&amp;""))</f>
        <v/>
      </c>
      <c r="F689" s="0" t="str">
        <f aca="false">IF($A689="","",IF(AW689="Y",BP689&amp;"",BB689&amp;""))</f>
        <v/>
      </c>
      <c r="G689" s="0" t="str">
        <f aca="false">IF($A689="","",IF(AW689="Y",BQ689&amp;"",BC689&amp;""))</f>
        <v/>
      </c>
      <c r="H689" s="0" t="str">
        <f aca="false">IF($A689="","",IF(AW689="Y",BR689&amp;"",BD689&amp;""))</f>
        <v/>
      </c>
      <c r="I689" s="0" t="str">
        <f aca="false">IF($A689="","",IF(R689="Y","warm-intro",IF(H689="verified","email",IF(C689&lt;&gt;"","linkedin",CB689&amp;""))))</f>
        <v/>
      </c>
      <c r="J689" s="0" t="str">
        <f aca="false">IF($A689="","",IF(CN689="pass",ROUND(N(EM689)+N(EN689)+N(EO689)+N(EP689)+N(EQ689)+N(ER689),1),0))</f>
        <v/>
      </c>
      <c r="K689" s="0" t="str">
        <f aca="false">IF($A689="","",IF(CN689&lt;&gt;"pass",CA689&amp;"",CA689&amp;"; "&amp;IF(AW689="Y",BZ689&amp;"",BL689&amp;"")&amp;IF(R689="Y","; known to the founder (+15)","")&amp;"."))</f>
        <v/>
      </c>
      <c r="R689" s="5"/>
      <c r="U689" s="5"/>
      <c r="Y689" s="0" t="str">
        <f aca="false">IF(FX689&lt;&gt;"Y","",COUNTIFS($FX$2:$FX$1000,"Y",$J$2:$J$1000,"&gt;"&amp;J689)+COUNTIFS($FX$2:$FX$1000,"Y",$J$2:$J$1000,J689,$GD$2:$GD$1000,"&lt;"&amp;GD689)+1)</f>
        <v/>
      </c>
      <c r="AB689" s="0" t="str">
        <f aca="false">IF($A689="","",IF(AW689="Y",BY689&amp;"",BK689&amp;""))</f>
        <v/>
      </c>
      <c r="AC689" s="0" t="str">
        <f aca="false">IF($A689="","",IF(AW689="Y",BS689&amp;"",BE689&amp;""))</f>
        <v/>
      </c>
      <c r="AD689" s="0" t="str">
        <f aca="false">IF($A689="","",IF(AW689="Y",BT689&amp;"",BF689&amp;""))</f>
        <v/>
      </c>
      <c r="AE689" s="0" t="str">
        <f aca="false">IF($A689="","",IF(AW689="Y",BU689&amp;"",BG689&amp;""))</f>
        <v/>
      </c>
      <c r="AF689" s="0" t="str">
        <f aca="false">IF($A689="","",IF(AW689="Y",BV689&amp;"",BH689&amp;""))</f>
        <v/>
      </c>
      <c r="AG689" s="0" t="str">
        <f aca="false">IF($A689="","",IF(AW689="Y",BW689&amp;"",BI689&amp;""))</f>
        <v/>
      </c>
      <c r="AH689" s="0" t="str">
        <f aca="false">IF($A689="","",IF(AW689="Y",BX689&amp;"",BJ689&amp;""))</f>
        <v/>
      </c>
      <c r="AQ689" s="5"/>
      <c r="AT689" s="0" t="str">
        <f aca="false">IF($A689="","",IF(AND(CN689="pass",AQ689&lt;&gt;"Y",C689&lt;&gt;"",OR(AX689&lt;&gt;"Y",AV689="Y")),"Y","N"))</f>
        <v/>
      </c>
      <c r="AU689" s="0" t="str">
        <f aca="false">IF($A689="","",_xlfn.TEXTJOIN("; ",TRUE(),IF(CN689&lt;&gt;"pass","gated out",""),IF(AQ689="Y","on hold: "&amp;AR689,""),IF(C689="","no contact named on an opened page",""),IF(AND(AX689="Y",AV689&lt;&gt;"Y"),"Tuesday estimate band "&amp;L689&amp;": founder's call","")))</f>
        <v/>
      </c>
      <c r="BC689" s="0" t="str">
        <f aca="false">IF($A689="","",IFERROR(INDEX(Enrichment!$A$2:$GZ$2000,MATCH($A689,INDEX(Enrichment!$A$2:$GZ$2000,0,MATCH("row_id",Enrichment!$A$1:$GZ$1,0)),0),MATCH("work_email",Enrichment!$A$1:$GZ$1,0))&amp;"",""))</f>
        <v/>
      </c>
      <c r="BD689" s="0" t="str">
        <f aca="false">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Q689" s="0" t="str">
        <f aca="false">IF($A689="","",IFERROR(INDEX(Enrichment!$A$2:$GZ$2000,MATCH($A689,INDEX(Enrichment!$A$2:$GZ$2000,0,MATCH("row_id",Enrichment!$A$1:$GZ$1,0)),0),MATCH("backup_work_email",Enrichment!$A$1:$GZ$1,0))&amp;"",""))</f>
        <v/>
      </c>
      <c r="BR689" s="0" t="str">
        <f aca="false">IF($A689="","",IF(BQ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EQ689" s="0" t="str">
        <f aca="false">IF($A689="","",IF(AH689="exact",10,IF(AH689="adjacent",5,0)))</f>
        <v/>
      </c>
      <c r="ER689" s="0" t="str">
        <f aca="false">IF($A689="","",IF(R689="Y",15,0))</f>
        <v/>
      </c>
      <c r="FS689" s="0" t="str">
        <f aca="false">IF($A689="","",IF(ISNUMBER(MATCH(U689,{"queued","contacted","replied","call_booked","call_done","yes_in_principle","materials_sent"},0)),"Y","N"))</f>
        <v/>
      </c>
      <c r="FT689" s="0" t="str">
        <f aca="false">IF($A689="","",IF(OR(T689="Y",U689="do_not_contact",AS689&amp;""&lt;&gt;""),"Y","N"))</f>
        <v/>
      </c>
      <c r="FU689" s="0" t="str">
        <f aca="false">IF($A689="","",IF(AP689&amp;""&lt;&gt;"",AP689&amp;"",$A689))</f>
        <v/>
      </c>
      <c r="FV689" s="0" t="str">
        <f aca="false">IF($A689="","",IF(COUNTIFS($FU$2:$FU$1000,FU689,$FS$2:$FS$1000,"Y")+COUNTIFS($FU$2:$FU$1000,FU689,$FT$2:$FT$1000,"Y")&gt;0,"Y","N"))</f>
        <v/>
      </c>
      <c r="FW689" s="0" t="str">
        <f aca="false">IF($A689="","",IF(AND(U689="new",T689="N",FT689="N",AT689="Y",FV689="N"),"Y","N"))</f>
        <v/>
      </c>
      <c r="FX689" s="0" t="str">
        <f aca="false">IF($A689="","",IF(FW689&lt;&gt;"Y","N",IF(COUNTIFS($FU$2:$FU$1000,FU689,$FW$2:$FW$1000,"Y",$J$2:$J$1000,"&gt;"&amp;J689)+COUNTIFS($FU$2:$FU$1000,FU689,$FW$2:$FW$1000,"Y",$J$2:$J$1000,J689,$GD$2:$GD$1000,"&lt;"&amp;GD689)=0,"Y","N")))</f>
        <v/>
      </c>
      <c r="FY689" s="0" t="str">
        <f aca="false">IF($A689="","",IF(AND(FW689="Y",FX689="Y",Y689&amp;""&lt;&gt;""),IF(Y689&lt;=10,"Y","N"),"N"))</f>
        <v/>
      </c>
      <c r="FZ689" s="0" t="str">
        <f aca="false">IF(FY689="Y",Y689,"")</f>
        <v/>
      </c>
      <c r="GA689" s="0" t="str">
        <f aca="false">IF($A689="","",IF(AND(I689="walk-in",CN689="pass",U689="new",FT689="N",FV689="N",AQ689&lt;&gt;"Y"),"Y","N"))</f>
        <v/>
      </c>
      <c r="GB689" s="0" t="str">
        <f aca="false">IF(GA689&lt;&gt;"Y","",IF(COUNTIFS($GA$2:$GA$1000,"Y",$J$2:$J$1000,"&gt;"&amp;J689)+COUNTIFS($GA$2:$GA$1000,"Y",$J$2:$J$1000,J689,$GD$2:$GD$1000,"&lt;"&amp;GD689)+1&lt;=25,COUNTIFS($GA$2:$GA$1000,"Y",$J$2:$J$1000,"&gt;"&amp;J689)+COUNTIFS($GA$2:$GA$1000,"Y",$J$2:$J$1000,J689,$GD$2:$GD$1000,"&lt;"&amp;GD689)+1,""))</f>
        <v/>
      </c>
      <c r="GC689" s="0" t="str">
        <f aca="false">IF(AND(_xlfn.ISFORMULA(C689),_xlfn.ISFORMULA(J689)),"Y","N")</f>
        <v>Y</v>
      </c>
      <c r="GD689" s="0" t="n">
        <f aca="false">ROW()-1</f>
        <v>688</v>
      </c>
    </row>
    <row r="690" customFormat="false" ht="15" hidden="false" customHeight="false" outlineLevel="0" collapsed="false">
      <c r="C690" s="0" t="str">
        <f aca="false">IF($A690="","",IF(AW690="Y",BM690&amp;"",AY690&amp;""))</f>
        <v/>
      </c>
      <c r="D690" s="0" t="str">
        <f aca="false">IF($A690="","",IF(AW690="Y",BN690&amp;"",AZ690&amp;""))</f>
        <v/>
      </c>
      <c r="E690" s="0" t="str">
        <f aca="false">IF($A690="","",IF(AW690="Y",BO690&amp;"",BA690&amp;""))</f>
        <v/>
      </c>
      <c r="F690" s="0" t="str">
        <f aca="false">IF($A690="","",IF(AW690="Y",BP690&amp;"",BB690&amp;""))</f>
        <v/>
      </c>
      <c r="G690" s="0" t="str">
        <f aca="false">IF($A690="","",IF(AW690="Y",BQ690&amp;"",BC690&amp;""))</f>
        <v/>
      </c>
      <c r="H690" s="0" t="str">
        <f aca="false">IF($A690="","",IF(AW690="Y",BR690&amp;"",BD690&amp;""))</f>
        <v/>
      </c>
      <c r="I690" s="0" t="str">
        <f aca="false">IF($A690="","",IF(R690="Y","warm-intro",IF(H690="verified","email",IF(C690&lt;&gt;"","linkedin",CB690&amp;""))))</f>
        <v/>
      </c>
      <c r="J690" s="0" t="str">
        <f aca="false">IF($A690="","",IF(CN690="pass",ROUND(N(EM690)+N(EN690)+N(EO690)+N(EP690)+N(EQ690)+N(ER690),1),0))</f>
        <v/>
      </c>
      <c r="K690" s="0" t="str">
        <f aca="false">IF($A690="","",IF(CN690&lt;&gt;"pass",CA690&amp;"",CA690&amp;"; "&amp;IF(AW690="Y",BZ690&amp;"",BL690&amp;"")&amp;IF(R690="Y","; known to the founder (+15)","")&amp;"."))</f>
        <v/>
      </c>
      <c r="R690" s="5"/>
      <c r="U690" s="5"/>
      <c r="Y690" s="0" t="str">
        <f aca="false">IF(FX690&lt;&gt;"Y","",COUNTIFS($FX$2:$FX$1000,"Y",$J$2:$J$1000,"&gt;"&amp;J690)+COUNTIFS($FX$2:$FX$1000,"Y",$J$2:$J$1000,J690,$GD$2:$GD$1000,"&lt;"&amp;GD690)+1)</f>
        <v/>
      </c>
      <c r="AB690" s="0" t="str">
        <f aca="false">IF($A690="","",IF(AW690="Y",BY690&amp;"",BK690&amp;""))</f>
        <v/>
      </c>
      <c r="AC690" s="0" t="str">
        <f aca="false">IF($A690="","",IF(AW690="Y",BS690&amp;"",BE690&amp;""))</f>
        <v/>
      </c>
      <c r="AD690" s="0" t="str">
        <f aca="false">IF($A690="","",IF(AW690="Y",BT690&amp;"",BF690&amp;""))</f>
        <v/>
      </c>
      <c r="AE690" s="0" t="str">
        <f aca="false">IF($A690="","",IF(AW690="Y",BU690&amp;"",BG690&amp;""))</f>
        <v/>
      </c>
      <c r="AF690" s="0" t="str">
        <f aca="false">IF($A690="","",IF(AW690="Y",BV690&amp;"",BH690&amp;""))</f>
        <v/>
      </c>
      <c r="AG690" s="0" t="str">
        <f aca="false">IF($A690="","",IF(AW690="Y",BW690&amp;"",BI690&amp;""))</f>
        <v/>
      </c>
      <c r="AH690" s="0" t="str">
        <f aca="false">IF($A690="","",IF(AW690="Y",BX690&amp;"",BJ690&amp;""))</f>
        <v/>
      </c>
      <c r="AQ690" s="5"/>
      <c r="AT690" s="0" t="str">
        <f aca="false">IF($A690="","",IF(AND(CN690="pass",AQ690&lt;&gt;"Y",C690&lt;&gt;"",OR(AX690&lt;&gt;"Y",AV690="Y")),"Y","N"))</f>
        <v/>
      </c>
      <c r="AU690" s="0" t="str">
        <f aca="false">IF($A690="","",_xlfn.TEXTJOIN("; ",TRUE(),IF(CN690&lt;&gt;"pass","gated out",""),IF(AQ690="Y","on hold: "&amp;AR690,""),IF(C690="","no contact named on an opened page",""),IF(AND(AX690="Y",AV690&lt;&gt;"Y"),"Tuesday estimate band "&amp;L690&amp;": founder's call","")))</f>
        <v/>
      </c>
      <c r="BC690" s="0" t="str">
        <f aca="false">IF($A690="","",IFERROR(INDEX(Enrichment!$A$2:$GZ$2000,MATCH($A690,INDEX(Enrichment!$A$2:$GZ$2000,0,MATCH("row_id",Enrichment!$A$1:$GZ$1,0)),0),MATCH("work_email",Enrichment!$A$1:$GZ$1,0))&amp;"",""))</f>
        <v/>
      </c>
      <c r="BD690" s="0" t="str">
        <f aca="false">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Q690" s="0" t="str">
        <f aca="false">IF($A690="","",IFERROR(INDEX(Enrichment!$A$2:$GZ$2000,MATCH($A690,INDEX(Enrichment!$A$2:$GZ$2000,0,MATCH("row_id",Enrichment!$A$1:$GZ$1,0)),0),MATCH("backup_work_email",Enrichment!$A$1:$GZ$1,0))&amp;"",""))</f>
        <v/>
      </c>
      <c r="BR690" s="0" t="str">
        <f aca="false">IF($A690="","",IF(BQ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EQ690" s="0" t="str">
        <f aca="false">IF($A690="","",IF(AH690="exact",10,IF(AH690="adjacent",5,0)))</f>
        <v/>
      </c>
      <c r="ER690" s="0" t="str">
        <f aca="false">IF($A690="","",IF(R690="Y",15,0))</f>
        <v/>
      </c>
      <c r="FS690" s="0" t="str">
        <f aca="false">IF($A690="","",IF(ISNUMBER(MATCH(U690,{"queued","contacted","replied","call_booked","call_done","yes_in_principle","materials_sent"},0)),"Y","N"))</f>
        <v/>
      </c>
      <c r="FT690" s="0" t="str">
        <f aca="false">IF($A690="","",IF(OR(T690="Y",U690="do_not_contact",AS690&amp;""&lt;&gt;""),"Y","N"))</f>
        <v/>
      </c>
      <c r="FU690" s="0" t="str">
        <f aca="false">IF($A690="","",IF(AP690&amp;""&lt;&gt;"",AP690&amp;"",$A690))</f>
        <v/>
      </c>
      <c r="FV690" s="0" t="str">
        <f aca="false">IF($A690="","",IF(COUNTIFS($FU$2:$FU$1000,FU690,$FS$2:$FS$1000,"Y")+COUNTIFS($FU$2:$FU$1000,FU690,$FT$2:$FT$1000,"Y")&gt;0,"Y","N"))</f>
        <v/>
      </c>
      <c r="FW690" s="0" t="str">
        <f aca="false">IF($A690="","",IF(AND(U690="new",T690="N",FT690="N",AT690="Y",FV690="N"),"Y","N"))</f>
        <v/>
      </c>
      <c r="FX690" s="0" t="str">
        <f aca="false">IF($A690="","",IF(FW690&lt;&gt;"Y","N",IF(COUNTIFS($FU$2:$FU$1000,FU690,$FW$2:$FW$1000,"Y",$J$2:$J$1000,"&gt;"&amp;J690)+COUNTIFS($FU$2:$FU$1000,FU690,$FW$2:$FW$1000,"Y",$J$2:$J$1000,J690,$GD$2:$GD$1000,"&lt;"&amp;GD690)=0,"Y","N")))</f>
        <v/>
      </c>
      <c r="FY690" s="0" t="str">
        <f aca="false">IF($A690="","",IF(AND(FW690="Y",FX690="Y",Y690&amp;""&lt;&gt;""),IF(Y690&lt;=10,"Y","N"),"N"))</f>
        <v/>
      </c>
      <c r="FZ690" s="0" t="str">
        <f aca="false">IF(FY690="Y",Y690,"")</f>
        <v/>
      </c>
      <c r="GA690" s="0" t="str">
        <f aca="false">IF($A690="","",IF(AND(I690="walk-in",CN690="pass",U690="new",FT690="N",FV690="N",AQ690&lt;&gt;"Y"),"Y","N"))</f>
        <v/>
      </c>
      <c r="GB690" s="0" t="str">
        <f aca="false">IF(GA690&lt;&gt;"Y","",IF(COUNTIFS($GA$2:$GA$1000,"Y",$J$2:$J$1000,"&gt;"&amp;J690)+COUNTIFS($GA$2:$GA$1000,"Y",$J$2:$J$1000,J690,$GD$2:$GD$1000,"&lt;"&amp;GD690)+1&lt;=25,COUNTIFS($GA$2:$GA$1000,"Y",$J$2:$J$1000,"&gt;"&amp;J690)+COUNTIFS($GA$2:$GA$1000,"Y",$J$2:$J$1000,J690,$GD$2:$GD$1000,"&lt;"&amp;GD690)+1,""))</f>
        <v/>
      </c>
      <c r="GC690" s="0" t="str">
        <f aca="false">IF(AND(_xlfn.ISFORMULA(C690),_xlfn.ISFORMULA(J690)),"Y","N")</f>
        <v>Y</v>
      </c>
      <c r="GD690" s="0" t="n">
        <f aca="false">ROW()-1</f>
        <v>689</v>
      </c>
    </row>
    <row r="691" customFormat="false" ht="15" hidden="false" customHeight="false" outlineLevel="0" collapsed="false">
      <c r="C691" s="0" t="str">
        <f aca="false">IF($A691="","",IF(AW691="Y",BM691&amp;"",AY691&amp;""))</f>
        <v/>
      </c>
      <c r="D691" s="0" t="str">
        <f aca="false">IF($A691="","",IF(AW691="Y",BN691&amp;"",AZ691&amp;""))</f>
        <v/>
      </c>
      <c r="E691" s="0" t="str">
        <f aca="false">IF($A691="","",IF(AW691="Y",BO691&amp;"",BA691&amp;""))</f>
        <v/>
      </c>
      <c r="F691" s="0" t="str">
        <f aca="false">IF($A691="","",IF(AW691="Y",BP691&amp;"",BB691&amp;""))</f>
        <v/>
      </c>
      <c r="G691" s="0" t="str">
        <f aca="false">IF($A691="","",IF(AW691="Y",BQ691&amp;"",BC691&amp;""))</f>
        <v/>
      </c>
      <c r="H691" s="0" t="str">
        <f aca="false">IF($A691="","",IF(AW691="Y",BR691&amp;"",BD691&amp;""))</f>
        <v/>
      </c>
      <c r="I691" s="0" t="str">
        <f aca="false">IF($A691="","",IF(R691="Y","warm-intro",IF(H691="verified","email",IF(C691&lt;&gt;"","linkedin",CB691&amp;""))))</f>
        <v/>
      </c>
      <c r="J691" s="0" t="str">
        <f aca="false">IF($A691="","",IF(CN691="pass",ROUND(N(EM691)+N(EN691)+N(EO691)+N(EP691)+N(EQ691)+N(ER691),1),0))</f>
        <v/>
      </c>
      <c r="K691" s="0" t="str">
        <f aca="false">IF($A691="","",IF(CN691&lt;&gt;"pass",CA691&amp;"",CA691&amp;"; "&amp;IF(AW691="Y",BZ691&amp;"",BL691&amp;"")&amp;IF(R691="Y","; known to the founder (+15)","")&amp;"."))</f>
        <v/>
      </c>
      <c r="R691" s="5"/>
      <c r="U691" s="5"/>
      <c r="Y691" s="0" t="str">
        <f aca="false">IF(FX691&lt;&gt;"Y","",COUNTIFS($FX$2:$FX$1000,"Y",$J$2:$J$1000,"&gt;"&amp;J691)+COUNTIFS($FX$2:$FX$1000,"Y",$J$2:$J$1000,J691,$GD$2:$GD$1000,"&lt;"&amp;GD691)+1)</f>
        <v/>
      </c>
      <c r="AB691" s="0" t="str">
        <f aca="false">IF($A691="","",IF(AW691="Y",BY691&amp;"",BK691&amp;""))</f>
        <v/>
      </c>
      <c r="AC691" s="0" t="str">
        <f aca="false">IF($A691="","",IF(AW691="Y",BS691&amp;"",BE691&amp;""))</f>
        <v/>
      </c>
      <c r="AD691" s="0" t="str">
        <f aca="false">IF($A691="","",IF(AW691="Y",BT691&amp;"",BF691&amp;""))</f>
        <v/>
      </c>
      <c r="AE691" s="0" t="str">
        <f aca="false">IF($A691="","",IF(AW691="Y",BU691&amp;"",BG691&amp;""))</f>
        <v/>
      </c>
      <c r="AF691" s="0" t="str">
        <f aca="false">IF($A691="","",IF(AW691="Y",BV691&amp;"",BH691&amp;""))</f>
        <v/>
      </c>
      <c r="AG691" s="0" t="str">
        <f aca="false">IF($A691="","",IF(AW691="Y",BW691&amp;"",BI691&amp;""))</f>
        <v/>
      </c>
      <c r="AH691" s="0" t="str">
        <f aca="false">IF($A691="","",IF(AW691="Y",BX691&amp;"",BJ691&amp;""))</f>
        <v/>
      </c>
      <c r="AQ691" s="5"/>
      <c r="AT691" s="0" t="str">
        <f aca="false">IF($A691="","",IF(AND(CN691="pass",AQ691&lt;&gt;"Y",C691&lt;&gt;"",OR(AX691&lt;&gt;"Y",AV691="Y")),"Y","N"))</f>
        <v/>
      </c>
      <c r="AU691" s="0" t="str">
        <f aca="false">IF($A691="","",_xlfn.TEXTJOIN("; ",TRUE(),IF(CN691&lt;&gt;"pass","gated out",""),IF(AQ691="Y","on hold: "&amp;AR691,""),IF(C691="","no contact named on an opened page",""),IF(AND(AX691="Y",AV691&lt;&gt;"Y"),"Tuesday estimate band "&amp;L691&amp;": founder's call","")))</f>
        <v/>
      </c>
      <c r="BC691" s="0" t="str">
        <f aca="false">IF($A691="","",IFERROR(INDEX(Enrichment!$A$2:$GZ$2000,MATCH($A691,INDEX(Enrichment!$A$2:$GZ$2000,0,MATCH("row_id",Enrichment!$A$1:$GZ$1,0)),0),MATCH("work_email",Enrichment!$A$1:$GZ$1,0))&amp;"",""))</f>
        <v/>
      </c>
      <c r="BD691" s="0" t="str">
        <f aca="false">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Q691" s="0" t="str">
        <f aca="false">IF($A691="","",IFERROR(INDEX(Enrichment!$A$2:$GZ$2000,MATCH($A691,INDEX(Enrichment!$A$2:$GZ$2000,0,MATCH("row_id",Enrichment!$A$1:$GZ$1,0)),0),MATCH("backup_work_email",Enrichment!$A$1:$GZ$1,0))&amp;"",""))</f>
        <v/>
      </c>
      <c r="BR691" s="0" t="str">
        <f aca="false">IF($A691="","",IF(BQ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EQ691" s="0" t="str">
        <f aca="false">IF($A691="","",IF(AH691="exact",10,IF(AH691="adjacent",5,0)))</f>
        <v/>
      </c>
      <c r="ER691" s="0" t="str">
        <f aca="false">IF($A691="","",IF(R691="Y",15,0))</f>
        <v/>
      </c>
      <c r="FS691" s="0" t="str">
        <f aca="false">IF($A691="","",IF(ISNUMBER(MATCH(U691,{"queued","contacted","replied","call_booked","call_done","yes_in_principle","materials_sent"},0)),"Y","N"))</f>
        <v/>
      </c>
      <c r="FT691" s="0" t="str">
        <f aca="false">IF($A691="","",IF(OR(T691="Y",U691="do_not_contact",AS691&amp;""&lt;&gt;""),"Y","N"))</f>
        <v/>
      </c>
      <c r="FU691" s="0" t="str">
        <f aca="false">IF($A691="","",IF(AP691&amp;""&lt;&gt;"",AP691&amp;"",$A691))</f>
        <v/>
      </c>
      <c r="FV691" s="0" t="str">
        <f aca="false">IF($A691="","",IF(COUNTIFS($FU$2:$FU$1000,FU691,$FS$2:$FS$1000,"Y")+COUNTIFS($FU$2:$FU$1000,FU691,$FT$2:$FT$1000,"Y")&gt;0,"Y","N"))</f>
        <v/>
      </c>
      <c r="FW691" s="0" t="str">
        <f aca="false">IF($A691="","",IF(AND(U691="new",T691="N",FT691="N",AT691="Y",FV691="N"),"Y","N"))</f>
        <v/>
      </c>
      <c r="FX691" s="0" t="str">
        <f aca="false">IF($A691="","",IF(FW691&lt;&gt;"Y","N",IF(COUNTIFS($FU$2:$FU$1000,FU691,$FW$2:$FW$1000,"Y",$J$2:$J$1000,"&gt;"&amp;J691)+COUNTIFS($FU$2:$FU$1000,FU691,$FW$2:$FW$1000,"Y",$J$2:$J$1000,J691,$GD$2:$GD$1000,"&lt;"&amp;GD691)=0,"Y","N")))</f>
        <v/>
      </c>
      <c r="FY691" s="0" t="str">
        <f aca="false">IF($A691="","",IF(AND(FW691="Y",FX691="Y",Y691&amp;""&lt;&gt;""),IF(Y691&lt;=10,"Y","N"),"N"))</f>
        <v/>
      </c>
      <c r="FZ691" s="0" t="str">
        <f aca="false">IF(FY691="Y",Y691,"")</f>
        <v/>
      </c>
      <c r="GA691" s="0" t="str">
        <f aca="false">IF($A691="","",IF(AND(I691="walk-in",CN691="pass",U691="new",FT691="N",FV691="N",AQ691&lt;&gt;"Y"),"Y","N"))</f>
        <v/>
      </c>
      <c r="GB691" s="0" t="str">
        <f aca="false">IF(GA691&lt;&gt;"Y","",IF(COUNTIFS($GA$2:$GA$1000,"Y",$J$2:$J$1000,"&gt;"&amp;J691)+COUNTIFS($GA$2:$GA$1000,"Y",$J$2:$J$1000,J691,$GD$2:$GD$1000,"&lt;"&amp;GD691)+1&lt;=25,COUNTIFS($GA$2:$GA$1000,"Y",$J$2:$J$1000,"&gt;"&amp;J691)+COUNTIFS($GA$2:$GA$1000,"Y",$J$2:$J$1000,J691,$GD$2:$GD$1000,"&lt;"&amp;GD691)+1,""))</f>
        <v/>
      </c>
      <c r="GC691" s="0" t="str">
        <f aca="false">IF(AND(_xlfn.ISFORMULA(C691),_xlfn.ISFORMULA(J691)),"Y","N")</f>
        <v>Y</v>
      </c>
      <c r="GD691" s="0" t="n">
        <f aca="false">ROW()-1</f>
        <v>690</v>
      </c>
    </row>
    <row r="692" customFormat="false" ht="15" hidden="false" customHeight="false" outlineLevel="0" collapsed="false">
      <c r="C692" s="0" t="str">
        <f aca="false">IF($A692="","",IF(AW692="Y",BM692&amp;"",AY692&amp;""))</f>
        <v/>
      </c>
      <c r="D692" s="0" t="str">
        <f aca="false">IF($A692="","",IF(AW692="Y",BN692&amp;"",AZ692&amp;""))</f>
        <v/>
      </c>
      <c r="E692" s="0" t="str">
        <f aca="false">IF($A692="","",IF(AW692="Y",BO692&amp;"",BA692&amp;""))</f>
        <v/>
      </c>
      <c r="F692" s="0" t="str">
        <f aca="false">IF($A692="","",IF(AW692="Y",BP692&amp;"",BB692&amp;""))</f>
        <v/>
      </c>
      <c r="G692" s="0" t="str">
        <f aca="false">IF($A692="","",IF(AW692="Y",BQ692&amp;"",BC692&amp;""))</f>
        <v/>
      </c>
      <c r="H692" s="0" t="str">
        <f aca="false">IF($A692="","",IF(AW692="Y",BR692&amp;"",BD692&amp;""))</f>
        <v/>
      </c>
      <c r="I692" s="0" t="str">
        <f aca="false">IF($A692="","",IF(R692="Y","warm-intro",IF(H692="verified","email",IF(C692&lt;&gt;"","linkedin",CB692&amp;""))))</f>
        <v/>
      </c>
      <c r="J692" s="0" t="str">
        <f aca="false">IF($A692="","",IF(CN692="pass",ROUND(N(EM692)+N(EN692)+N(EO692)+N(EP692)+N(EQ692)+N(ER692),1),0))</f>
        <v/>
      </c>
      <c r="K692" s="0" t="str">
        <f aca="false">IF($A692="","",IF(CN692&lt;&gt;"pass",CA692&amp;"",CA692&amp;"; "&amp;IF(AW692="Y",BZ692&amp;"",BL692&amp;"")&amp;IF(R692="Y","; known to the founder (+15)","")&amp;"."))</f>
        <v/>
      </c>
      <c r="R692" s="5"/>
      <c r="U692" s="5"/>
      <c r="Y692" s="0" t="str">
        <f aca="false">IF(FX692&lt;&gt;"Y","",COUNTIFS($FX$2:$FX$1000,"Y",$J$2:$J$1000,"&gt;"&amp;J692)+COUNTIFS($FX$2:$FX$1000,"Y",$J$2:$J$1000,J692,$GD$2:$GD$1000,"&lt;"&amp;GD692)+1)</f>
        <v/>
      </c>
      <c r="AB692" s="0" t="str">
        <f aca="false">IF($A692="","",IF(AW692="Y",BY692&amp;"",BK692&amp;""))</f>
        <v/>
      </c>
      <c r="AC692" s="0" t="str">
        <f aca="false">IF($A692="","",IF(AW692="Y",BS692&amp;"",BE692&amp;""))</f>
        <v/>
      </c>
      <c r="AD692" s="0" t="str">
        <f aca="false">IF($A692="","",IF(AW692="Y",BT692&amp;"",BF692&amp;""))</f>
        <v/>
      </c>
      <c r="AE692" s="0" t="str">
        <f aca="false">IF($A692="","",IF(AW692="Y",BU692&amp;"",BG692&amp;""))</f>
        <v/>
      </c>
      <c r="AF692" s="0" t="str">
        <f aca="false">IF($A692="","",IF(AW692="Y",BV692&amp;"",BH692&amp;""))</f>
        <v/>
      </c>
      <c r="AG692" s="0" t="str">
        <f aca="false">IF($A692="","",IF(AW692="Y",BW692&amp;"",BI692&amp;""))</f>
        <v/>
      </c>
      <c r="AH692" s="0" t="str">
        <f aca="false">IF($A692="","",IF(AW692="Y",BX692&amp;"",BJ692&amp;""))</f>
        <v/>
      </c>
      <c r="AQ692" s="5"/>
      <c r="AT692" s="0" t="str">
        <f aca="false">IF($A692="","",IF(AND(CN692="pass",AQ692&lt;&gt;"Y",C692&lt;&gt;"",OR(AX692&lt;&gt;"Y",AV692="Y")),"Y","N"))</f>
        <v/>
      </c>
      <c r="AU692" s="0" t="str">
        <f aca="false">IF($A692="","",_xlfn.TEXTJOIN("; ",TRUE(),IF(CN692&lt;&gt;"pass","gated out",""),IF(AQ692="Y","on hold: "&amp;AR692,""),IF(C692="","no contact named on an opened page",""),IF(AND(AX692="Y",AV692&lt;&gt;"Y"),"Tuesday estimate band "&amp;L692&amp;": founder's call","")))</f>
        <v/>
      </c>
      <c r="BC692" s="0" t="str">
        <f aca="false">IF($A692="","",IFERROR(INDEX(Enrichment!$A$2:$GZ$2000,MATCH($A692,INDEX(Enrichment!$A$2:$GZ$2000,0,MATCH("row_id",Enrichment!$A$1:$GZ$1,0)),0),MATCH("work_email",Enrichment!$A$1:$GZ$1,0))&amp;"",""))</f>
        <v/>
      </c>
      <c r="BD692" s="0" t="str">
        <f aca="false">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Q692" s="0" t="str">
        <f aca="false">IF($A692="","",IFERROR(INDEX(Enrichment!$A$2:$GZ$2000,MATCH($A692,INDEX(Enrichment!$A$2:$GZ$2000,0,MATCH("row_id",Enrichment!$A$1:$GZ$1,0)),0),MATCH("backup_work_email",Enrichment!$A$1:$GZ$1,0))&amp;"",""))</f>
        <v/>
      </c>
      <c r="BR692" s="0" t="str">
        <f aca="false">IF($A692="","",IF(BQ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EQ692" s="0" t="str">
        <f aca="false">IF($A692="","",IF(AH692="exact",10,IF(AH692="adjacent",5,0)))</f>
        <v/>
      </c>
      <c r="ER692" s="0" t="str">
        <f aca="false">IF($A692="","",IF(R692="Y",15,0))</f>
        <v/>
      </c>
      <c r="FS692" s="0" t="str">
        <f aca="false">IF($A692="","",IF(ISNUMBER(MATCH(U692,{"queued","contacted","replied","call_booked","call_done","yes_in_principle","materials_sent"},0)),"Y","N"))</f>
        <v/>
      </c>
      <c r="FT692" s="0" t="str">
        <f aca="false">IF($A692="","",IF(OR(T692="Y",U692="do_not_contact",AS692&amp;""&lt;&gt;""),"Y","N"))</f>
        <v/>
      </c>
      <c r="FU692" s="0" t="str">
        <f aca="false">IF($A692="","",IF(AP692&amp;""&lt;&gt;"",AP692&amp;"",$A692))</f>
        <v/>
      </c>
      <c r="FV692" s="0" t="str">
        <f aca="false">IF($A692="","",IF(COUNTIFS($FU$2:$FU$1000,FU692,$FS$2:$FS$1000,"Y")+COUNTIFS($FU$2:$FU$1000,FU692,$FT$2:$FT$1000,"Y")&gt;0,"Y","N"))</f>
        <v/>
      </c>
      <c r="FW692" s="0" t="str">
        <f aca="false">IF($A692="","",IF(AND(U692="new",T692="N",FT692="N",AT692="Y",FV692="N"),"Y","N"))</f>
        <v/>
      </c>
      <c r="FX692" s="0" t="str">
        <f aca="false">IF($A692="","",IF(FW692&lt;&gt;"Y","N",IF(COUNTIFS($FU$2:$FU$1000,FU692,$FW$2:$FW$1000,"Y",$J$2:$J$1000,"&gt;"&amp;J692)+COUNTIFS($FU$2:$FU$1000,FU692,$FW$2:$FW$1000,"Y",$J$2:$J$1000,J692,$GD$2:$GD$1000,"&lt;"&amp;GD692)=0,"Y","N")))</f>
        <v/>
      </c>
      <c r="FY692" s="0" t="str">
        <f aca="false">IF($A692="","",IF(AND(FW692="Y",FX692="Y",Y692&amp;""&lt;&gt;""),IF(Y692&lt;=10,"Y","N"),"N"))</f>
        <v/>
      </c>
      <c r="FZ692" s="0" t="str">
        <f aca="false">IF(FY692="Y",Y692,"")</f>
        <v/>
      </c>
      <c r="GA692" s="0" t="str">
        <f aca="false">IF($A692="","",IF(AND(I692="walk-in",CN692="pass",U692="new",FT692="N",FV692="N",AQ692&lt;&gt;"Y"),"Y","N"))</f>
        <v/>
      </c>
      <c r="GB692" s="0" t="str">
        <f aca="false">IF(GA692&lt;&gt;"Y","",IF(COUNTIFS($GA$2:$GA$1000,"Y",$J$2:$J$1000,"&gt;"&amp;J692)+COUNTIFS($GA$2:$GA$1000,"Y",$J$2:$J$1000,J692,$GD$2:$GD$1000,"&lt;"&amp;GD692)+1&lt;=25,COUNTIFS($GA$2:$GA$1000,"Y",$J$2:$J$1000,"&gt;"&amp;J692)+COUNTIFS($GA$2:$GA$1000,"Y",$J$2:$J$1000,J692,$GD$2:$GD$1000,"&lt;"&amp;GD692)+1,""))</f>
        <v/>
      </c>
      <c r="GC692" s="0" t="str">
        <f aca="false">IF(AND(_xlfn.ISFORMULA(C692),_xlfn.ISFORMULA(J692)),"Y","N")</f>
        <v>Y</v>
      </c>
      <c r="GD692" s="0" t="n">
        <f aca="false">ROW()-1</f>
        <v>691</v>
      </c>
    </row>
    <row r="693" customFormat="false" ht="15" hidden="false" customHeight="false" outlineLevel="0" collapsed="false">
      <c r="C693" s="0" t="str">
        <f aca="false">IF($A693="","",IF(AW693="Y",BM693&amp;"",AY693&amp;""))</f>
        <v/>
      </c>
      <c r="D693" s="0" t="str">
        <f aca="false">IF($A693="","",IF(AW693="Y",BN693&amp;"",AZ693&amp;""))</f>
        <v/>
      </c>
      <c r="E693" s="0" t="str">
        <f aca="false">IF($A693="","",IF(AW693="Y",BO693&amp;"",BA693&amp;""))</f>
        <v/>
      </c>
      <c r="F693" s="0" t="str">
        <f aca="false">IF($A693="","",IF(AW693="Y",BP693&amp;"",BB693&amp;""))</f>
        <v/>
      </c>
      <c r="G693" s="0" t="str">
        <f aca="false">IF($A693="","",IF(AW693="Y",BQ693&amp;"",BC693&amp;""))</f>
        <v/>
      </c>
      <c r="H693" s="0" t="str">
        <f aca="false">IF($A693="","",IF(AW693="Y",BR693&amp;"",BD693&amp;""))</f>
        <v/>
      </c>
      <c r="I693" s="0" t="str">
        <f aca="false">IF($A693="","",IF(R693="Y","warm-intro",IF(H693="verified","email",IF(C693&lt;&gt;"","linkedin",CB693&amp;""))))</f>
        <v/>
      </c>
      <c r="J693" s="0" t="str">
        <f aca="false">IF($A693="","",IF(CN693="pass",ROUND(N(EM693)+N(EN693)+N(EO693)+N(EP693)+N(EQ693)+N(ER693),1),0))</f>
        <v/>
      </c>
      <c r="K693" s="0" t="str">
        <f aca="false">IF($A693="","",IF(CN693&lt;&gt;"pass",CA693&amp;"",CA693&amp;"; "&amp;IF(AW693="Y",BZ693&amp;"",BL693&amp;"")&amp;IF(R693="Y","; known to the founder (+15)","")&amp;"."))</f>
        <v/>
      </c>
      <c r="R693" s="5"/>
      <c r="U693" s="5"/>
      <c r="Y693" s="0" t="str">
        <f aca="false">IF(FX693&lt;&gt;"Y","",COUNTIFS($FX$2:$FX$1000,"Y",$J$2:$J$1000,"&gt;"&amp;J693)+COUNTIFS($FX$2:$FX$1000,"Y",$J$2:$J$1000,J693,$GD$2:$GD$1000,"&lt;"&amp;GD693)+1)</f>
        <v/>
      </c>
      <c r="AB693" s="0" t="str">
        <f aca="false">IF($A693="","",IF(AW693="Y",BY693&amp;"",BK693&amp;""))</f>
        <v/>
      </c>
      <c r="AC693" s="0" t="str">
        <f aca="false">IF($A693="","",IF(AW693="Y",BS693&amp;"",BE693&amp;""))</f>
        <v/>
      </c>
      <c r="AD693" s="0" t="str">
        <f aca="false">IF($A693="","",IF(AW693="Y",BT693&amp;"",BF693&amp;""))</f>
        <v/>
      </c>
      <c r="AE693" s="0" t="str">
        <f aca="false">IF($A693="","",IF(AW693="Y",BU693&amp;"",BG693&amp;""))</f>
        <v/>
      </c>
      <c r="AF693" s="0" t="str">
        <f aca="false">IF($A693="","",IF(AW693="Y",BV693&amp;"",BH693&amp;""))</f>
        <v/>
      </c>
      <c r="AG693" s="0" t="str">
        <f aca="false">IF($A693="","",IF(AW693="Y",BW693&amp;"",BI693&amp;""))</f>
        <v/>
      </c>
      <c r="AH693" s="0" t="str">
        <f aca="false">IF($A693="","",IF(AW693="Y",BX693&amp;"",BJ693&amp;""))</f>
        <v/>
      </c>
      <c r="AQ693" s="5"/>
      <c r="AT693" s="0" t="str">
        <f aca="false">IF($A693="","",IF(AND(CN693="pass",AQ693&lt;&gt;"Y",C693&lt;&gt;"",OR(AX693&lt;&gt;"Y",AV693="Y")),"Y","N"))</f>
        <v/>
      </c>
      <c r="AU693" s="0" t="str">
        <f aca="false">IF($A693="","",_xlfn.TEXTJOIN("; ",TRUE(),IF(CN693&lt;&gt;"pass","gated out",""),IF(AQ693="Y","on hold: "&amp;AR693,""),IF(C693="","no contact named on an opened page",""),IF(AND(AX693="Y",AV693&lt;&gt;"Y"),"Tuesday estimate band "&amp;L693&amp;": founder's call","")))</f>
        <v/>
      </c>
      <c r="BC693" s="0" t="str">
        <f aca="false">IF($A693="","",IFERROR(INDEX(Enrichment!$A$2:$GZ$2000,MATCH($A693,INDEX(Enrichment!$A$2:$GZ$2000,0,MATCH("row_id",Enrichment!$A$1:$GZ$1,0)),0),MATCH("work_email",Enrichment!$A$1:$GZ$1,0))&amp;"",""))</f>
        <v/>
      </c>
      <c r="BD693" s="0" t="str">
        <f aca="false">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Q693" s="0" t="str">
        <f aca="false">IF($A693="","",IFERROR(INDEX(Enrichment!$A$2:$GZ$2000,MATCH($A693,INDEX(Enrichment!$A$2:$GZ$2000,0,MATCH("row_id",Enrichment!$A$1:$GZ$1,0)),0),MATCH("backup_work_email",Enrichment!$A$1:$GZ$1,0))&amp;"",""))</f>
        <v/>
      </c>
      <c r="BR693" s="0" t="str">
        <f aca="false">IF($A693="","",IF(BQ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EQ693" s="0" t="str">
        <f aca="false">IF($A693="","",IF(AH693="exact",10,IF(AH693="adjacent",5,0)))</f>
        <v/>
      </c>
      <c r="ER693" s="0" t="str">
        <f aca="false">IF($A693="","",IF(R693="Y",15,0))</f>
        <v/>
      </c>
      <c r="FS693" s="0" t="str">
        <f aca="false">IF($A693="","",IF(ISNUMBER(MATCH(U693,{"queued","contacted","replied","call_booked","call_done","yes_in_principle","materials_sent"},0)),"Y","N"))</f>
        <v/>
      </c>
      <c r="FT693" s="0" t="str">
        <f aca="false">IF($A693="","",IF(OR(T693="Y",U693="do_not_contact",AS693&amp;""&lt;&gt;""),"Y","N"))</f>
        <v/>
      </c>
      <c r="FU693" s="0" t="str">
        <f aca="false">IF($A693="","",IF(AP693&amp;""&lt;&gt;"",AP693&amp;"",$A693))</f>
        <v/>
      </c>
      <c r="FV693" s="0" t="str">
        <f aca="false">IF($A693="","",IF(COUNTIFS($FU$2:$FU$1000,FU693,$FS$2:$FS$1000,"Y")+COUNTIFS($FU$2:$FU$1000,FU693,$FT$2:$FT$1000,"Y")&gt;0,"Y","N"))</f>
        <v/>
      </c>
      <c r="FW693" s="0" t="str">
        <f aca="false">IF($A693="","",IF(AND(U693="new",T693="N",FT693="N",AT693="Y",FV693="N"),"Y","N"))</f>
        <v/>
      </c>
      <c r="FX693" s="0" t="str">
        <f aca="false">IF($A693="","",IF(FW693&lt;&gt;"Y","N",IF(COUNTIFS($FU$2:$FU$1000,FU693,$FW$2:$FW$1000,"Y",$J$2:$J$1000,"&gt;"&amp;J693)+COUNTIFS($FU$2:$FU$1000,FU693,$FW$2:$FW$1000,"Y",$J$2:$J$1000,J693,$GD$2:$GD$1000,"&lt;"&amp;GD693)=0,"Y","N")))</f>
        <v/>
      </c>
      <c r="FY693" s="0" t="str">
        <f aca="false">IF($A693="","",IF(AND(FW693="Y",FX693="Y",Y693&amp;""&lt;&gt;""),IF(Y693&lt;=10,"Y","N"),"N"))</f>
        <v/>
      </c>
      <c r="FZ693" s="0" t="str">
        <f aca="false">IF(FY693="Y",Y693,"")</f>
        <v/>
      </c>
      <c r="GA693" s="0" t="str">
        <f aca="false">IF($A693="","",IF(AND(I693="walk-in",CN693="pass",U693="new",FT693="N",FV693="N",AQ693&lt;&gt;"Y"),"Y","N"))</f>
        <v/>
      </c>
      <c r="GB693" s="0" t="str">
        <f aca="false">IF(GA693&lt;&gt;"Y","",IF(COUNTIFS($GA$2:$GA$1000,"Y",$J$2:$J$1000,"&gt;"&amp;J693)+COUNTIFS($GA$2:$GA$1000,"Y",$J$2:$J$1000,J693,$GD$2:$GD$1000,"&lt;"&amp;GD693)+1&lt;=25,COUNTIFS($GA$2:$GA$1000,"Y",$J$2:$J$1000,"&gt;"&amp;J693)+COUNTIFS($GA$2:$GA$1000,"Y",$J$2:$J$1000,J693,$GD$2:$GD$1000,"&lt;"&amp;GD693)+1,""))</f>
        <v/>
      </c>
      <c r="GC693" s="0" t="str">
        <f aca="false">IF(AND(_xlfn.ISFORMULA(C693),_xlfn.ISFORMULA(J693)),"Y","N")</f>
        <v>Y</v>
      </c>
      <c r="GD693" s="0" t="n">
        <f aca="false">ROW()-1</f>
        <v>692</v>
      </c>
    </row>
    <row r="694" customFormat="false" ht="15" hidden="false" customHeight="false" outlineLevel="0" collapsed="false">
      <c r="C694" s="0" t="str">
        <f aca="false">IF($A694="","",IF(AW694="Y",BM694&amp;"",AY694&amp;""))</f>
        <v/>
      </c>
      <c r="D694" s="0" t="str">
        <f aca="false">IF($A694="","",IF(AW694="Y",BN694&amp;"",AZ694&amp;""))</f>
        <v/>
      </c>
      <c r="E694" s="0" t="str">
        <f aca="false">IF($A694="","",IF(AW694="Y",BO694&amp;"",BA694&amp;""))</f>
        <v/>
      </c>
      <c r="F694" s="0" t="str">
        <f aca="false">IF($A694="","",IF(AW694="Y",BP694&amp;"",BB694&amp;""))</f>
        <v/>
      </c>
      <c r="G694" s="0" t="str">
        <f aca="false">IF($A694="","",IF(AW694="Y",BQ694&amp;"",BC694&amp;""))</f>
        <v/>
      </c>
      <c r="H694" s="0" t="str">
        <f aca="false">IF($A694="","",IF(AW694="Y",BR694&amp;"",BD694&amp;""))</f>
        <v/>
      </c>
      <c r="I694" s="0" t="str">
        <f aca="false">IF($A694="","",IF(R694="Y","warm-intro",IF(H694="verified","email",IF(C694&lt;&gt;"","linkedin",CB694&amp;""))))</f>
        <v/>
      </c>
      <c r="J694" s="0" t="str">
        <f aca="false">IF($A694="","",IF(CN694="pass",ROUND(N(EM694)+N(EN694)+N(EO694)+N(EP694)+N(EQ694)+N(ER694),1),0))</f>
        <v/>
      </c>
      <c r="K694" s="0" t="str">
        <f aca="false">IF($A694="","",IF(CN694&lt;&gt;"pass",CA694&amp;"",CA694&amp;"; "&amp;IF(AW694="Y",BZ694&amp;"",BL694&amp;"")&amp;IF(R694="Y","; known to the founder (+15)","")&amp;"."))</f>
        <v/>
      </c>
      <c r="R694" s="5"/>
      <c r="U694" s="5"/>
      <c r="Y694" s="0" t="str">
        <f aca="false">IF(FX694&lt;&gt;"Y","",COUNTIFS($FX$2:$FX$1000,"Y",$J$2:$J$1000,"&gt;"&amp;J694)+COUNTIFS($FX$2:$FX$1000,"Y",$J$2:$J$1000,J694,$GD$2:$GD$1000,"&lt;"&amp;GD694)+1)</f>
        <v/>
      </c>
      <c r="AB694" s="0" t="str">
        <f aca="false">IF($A694="","",IF(AW694="Y",BY694&amp;"",BK694&amp;""))</f>
        <v/>
      </c>
      <c r="AC694" s="0" t="str">
        <f aca="false">IF($A694="","",IF(AW694="Y",BS694&amp;"",BE694&amp;""))</f>
        <v/>
      </c>
      <c r="AD694" s="0" t="str">
        <f aca="false">IF($A694="","",IF(AW694="Y",BT694&amp;"",BF694&amp;""))</f>
        <v/>
      </c>
      <c r="AE694" s="0" t="str">
        <f aca="false">IF($A694="","",IF(AW694="Y",BU694&amp;"",BG694&amp;""))</f>
        <v/>
      </c>
      <c r="AF694" s="0" t="str">
        <f aca="false">IF($A694="","",IF(AW694="Y",BV694&amp;"",BH694&amp;""))</f>
        <v/>
      </c>
      <c r="AG694" s="0" t="str">
        <f aca="false">IF($A694="","",IF(AW694="Y",BW694&amp;"",BI694&amp;""))</f>
        <v/>
      </c>
      <c r="AH694" s="0" t="str">
        <f aca="false">IF($A694="","",IF(AW694="Y",BX694&amp;"",BJ694&amp;""))</f>
        <v/>
      </c>
      <c r="AQ694" s="5"/>
      <c r="AT694" s="0" t="str">
        <f aca="false">IF($A694="","",IF(AND(CN694="pass",AQ694&lt;&gt;"Y",C694&lt;&gt;"",OR(AX694&lt;&gt;"Y",AV694="Y")),"Y","N"))</f>
        <v/>
      </c>
      <c r="AU694" s="0" t="str">
        <f aca="false">IF($A694="","",_xlfn.TEXTJOIN("; ",TRUE(),IF(CN694&lt;&gt;"pass","gated out",""),IF(AQ694="Y","on hold: "&amp;AR694,""),IF(C694="","no contact named on an opened page",""),IF(AND(AX694="Y",AV694&lt;&gt;"Y"),"Tuesday estimate band "&amp;L694&amp;": founder's call","")))</f>
        <v/>
      </c>
      <c r="BC694" s="0" t="str">
        <f aca="false">IF($A694="","",IFERROR(INDEX(Enrichment!$A$2:$GZ$2000,MATCH($A694,INDEX(Enrichment!$A$2:$GZ$2000,0,MATCH("row_id",Enrichment!$A$1:$GZ$1,0)),0),MATCH("work_email",Enrichment!$A$1:$GZ$1,0))&amp;"",""))</f>
        <v/>
      </c>
      <c r="BD694" s="0" t="str">
        <f aca="false">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Q694" s="0" t="str">
        <f aca="false">IF($A694="","",IFERROR(INDEX(Enrichment!$A$2:$GZ$2000,MATCH($A694,INDEX(Enrichment!$A$2:$GZ$2000,0,MATCH("row_id",Enrichment!$A$1:$GZ$1,0)),0),MATCH("backup_work_email",Enrichment!$A$1:$GZ$1,0))&amp;"",""))</f>
        <v/>
      </c>
      <c r="BR694" s="0" t="str">
        <f aca="false">IF($A694="","",IF(BQ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EQ694" s="0" t="str">
        <f aca="false">IF($A694="","",IF(AH694="exact",10,IF(AH694="adjacent",5,0)))</f>
        <v/>
      </c>
      <c r="ER694" s="0" t="str">
        <f aca="false">IF($A694="","",IF(R694="Y",15,0))</f>
        <v/>
      </c>
      <c r="FS694" s="0" t="str">
        <f aca="false">IF($A694="","",IF(ISNUMBER(MATCH(U694,{"queued","contacted","replied","call_booked","call_done","yes_in_principle","materials_sent"},0)),"Y","N"))</f>
        <v/>
      </c>
      <c r="FT694" s="0" t="str">
        <f aca="false">IF($A694="","",IF(OR(T694="Y",U694="do_not_contact",AS694&amp;""&lt;&gt;""),"Y","N"))</f>
        <v/>
      </c>
      <c r="FU694" s="0" t="str">
        <f aca="false">IF($A694="","",IF(AP694&amp;""&lt;&gt;"",AP694&amp;"",$A694))</f>
        <v/>
      </c>
      <c r="FV694" s="0" t="str">
        <f aca="false">IF($A694="","",IF(COUNTIFS($FU$2:$FU$1000,FU694,$FS$2:$FS$1000,"Y")+COUNTIFS($FU$2:$FU$1000,FU694,$FT$2:$FT$1000,"Y")&gt;0,"Y","N"))</f>
        <v/>
      </c>
      <c r="FW694" s="0" t="str">
        <f aca="false">IF($A694="","",IF(AND(U694="new",T694="N",FT694="N",AT694="Y",FV694="N"),"Y","N"))</f>
        <v/>
      </c>
      <c r="FX694" s="0" t="str">
        <f aca="false">IF($A694="","",IF(FW694&lt;&gt;"Y","N",IF(COUNTIFS($FU$2:$FU$1000,FU694,$FW$2:$FW$1000,"Y",$J$2:$J$1000,"&gt;"&amp;J694)+COUNTIFS($FU$2:$FU$1000,FU694,$FW$2:$FW$1000,"Y",$J$2:$J$1000,J694,$GD$2:$GD$1000,"&lt;"&amp;GD694)=0,"Y","N")))</f>
        <v/>
      </c>
      <c r="FY694" s="0" t="str">
        <f aca="false">IF($A694="","",IF(AND(FW694="Y",FX694="Y",Y694&amp;""&lt;&gt;""),IF(Y694&lt;=10,"Y","N"),"N"))</f>
        <v/>
      </c>
      <c r="FZ694" s="0" t="str">
        <f aca="false">IF(FY694="Y",Y694,"")</f>
        <v/>
      </c>
      <c r="GA694" s="0" t="str">
        <f aca="false">IF($A694="","",IF(AND(I694="walk-in",CN694="pass",U694="new",FT694="N",FV694="N",AQ694&lt;&gt;"Y"),"Y","N"))</f>
        <v/>
      </c>
      <c r="GB694" s="0" t="str">
        <f aca="false">IF(GA694&lt;&gt;"Y","",IF(COUNTIFS($GA$2:$GA$1000,"Y",$J$2:$J$1000,"&gt;"&amp;J694)+COUNTIFS($GA$2:$GA$1000,"Y",$J$2:$J$1000,J694,$GD$2:$GD$1000,"&lt;"&amp;GD694)+1&lt;=25,COUNTIFS($GA$2:$GA$1000,"Y",$J$2:$J$1000,"&gt;"&amp;J694)+COUNTIFS($GA$2:$GA$1000,"Y",$J$2:$J$1000,J694,$GD$2:$GD$1000,"&lt;"&amp;GD694)+1,""))</f>
        <v/>
      </c>
      <c r="GC694" s="0" t="str">
        <f aca="false">IF(AND(_xlfn.ISFORMULA(C694),_xlfn.ISFORMULA(J694)),"Y","N")</f>
        <v>Y</v>
      </c>
      <c r="GD694" s="0" t="n">
        <f aca="false">ROW()-1</f>
        <v>693</v>
      </c>
    </row>
    <row r="695" customFormat="false" ht="15" hidden="false" customHeight="false" outlineLevel="0" collapsed="false">
      <c r="C695" s="0" t="str">
        <f aca="false">IF($A695="","",IF(AW695="Y",BM695&amp;"",AY695&amp;""))</f>
        <v/>
      </c>
      <c r="D695" s="0" t="str">
        <f aca="false">IF($A695="","",IF(AW695="Y",BN695&amp;"",AZ695&amp;""))</f>
        <v/>
      </c>
      <c r="E695" s="0" t="str">
        <f aca="false">IF($A695="","",IF(AW695="Y",BO695&amp;"",BA695&amp;""))</f>
        <v/>
      </c>
      <c r="F695" s="0" t="str">
        <f aca="false">IF($A695="","",IF(AW695="Y",BP695&amp;"",BB695&amp;""))</f>
        <v/>
      </c>
      <c r="G695" s="0" t="str">
        <f aca="false">IF($A695="","",IF(AW695="Y",BQ695&amp;"",BC695&amp;""))</f>
        <v/>
      </c>
      <c r="H695" s="0" t="str">
        <f aca="false">IF($A695="","",IF(AW695="Y",BR695&amp;"",BD695&amp;""))</f>
        <v/>
      </c>
      <c r="I695" s="0" t="str">
        <f aca="false">IF($A695="","",IF(R695="Y","warm-intro",IF(H695="verified","email",IF(C695&lt;&gt;"","linkedin",CB695&amp;""))))</f>
        <v/>
      </c>
      <c r="J695" s="0" t="str">
        <f aca="false">IF($A695="","",IF(CN695="pass",ROUND(N(EM695)+N(EN695)+N(EO695)+N(EP695)+N(EQ695)+N(ER695),1),0))</f>
        <v/>
      </c>
      <c r="K695" s="0" t="str">
        <f aca="false">IF($A695="","",IF(CN695&lt;&gt;"pass",CA695&amp;"",CA695&amp;"; "&amp;IF(AW695="Y",BZ695&amp;"",BL695&amp;"")&amp;IF(R695="Y","; known to the founder (+15)","")&amp;"."))</f>
        <v/>
      </c>
      <c r="R695" s="5"/>
      <c r="U695" s="5"/>
      <c r="Y695" s="0" t="str">
        <f aca="false">IF(FX695&lt;&gt;"Y","",COUNTIFS($FX$2:$FX$1000,"Y",$J$2:$J$1000,"&gt;"&amp;J695)+COUNTIFS($FX$2:$FX$1000,"Y",$J$2:$J$1000,J695,$GD$2:$GD$1000,"&lt;"&amp;GD695)+1)</f>
        <v/>
      </c>
      <c r="AB695" s="0" t="str">
        <f aca="false">IF($A695="","",IF(AW695="Y",BY695&amp;"",BK695&amp;""))</f>
        <v/>
      </c>
      <c r="AC695" s="0" t="str">
        <f aca="false">IF($A695="","",IF(AW695="Y",BS695&amp;"",BE695&amp;""))</f>
        <v/>
      </c>
      <c r="AD695" s="0" t="str">
        <f aca="false">IF($A695="","",IF(AW695="Y",BT695&amp;"",BF695&amp;""))</f>
        <v/>
      </c>
      <c r="AE695" s="0" t="str">
        <f aca="false">IF($A695="","",IF(AW695="Y",BU695&amp;"",BG695&amp;""))</f>
        <v/>
      </c>
      <c r="AF695" s="0" t="str">
        <f aca="false">IF($A695="","",IF(AW695="Y",BV695&amp;"",BH695&amp;""))</f>
        <v/>
      </c>
      <c r="AG695" s="0" t="str">
        <f aca="false">IF($A695="","",IF(AW695="Y",BW695&amp;"",BI695&amp;""))</f>
        <v/>
      </c>
      <c r="AH695" s="0" t="str">
        <f aca="false">IF($A695="","",IF(AW695="Y",BX695&amp;"",BJ695&amp;""))</f>
        <v/>
      </c>
      <c r="AQ695" s="5"/>
      <c r="AT695" s="0" t="str">
        <f aca="false">IF($A695="","",IF(AND(CN695="pass",AQ695&lt;&gt;"Y",C695&lt;&gt;"",OR(AX695&lt;&gt;"Y",AV695="Y")),"Y","N"))</f>
        <v/>
      </c>
      <c r="AU695" s="0" t="str">
        <f aca="false">IF($A695="","",_xlfn.TEXTJOIN("; ",TRUE(),IF(CN695&lt;&gt;"pass","gated out",""),IF(AQ695="Y","on hold: "&amp;AR695,""),IF(C695="","no contact named on an opened page",""),IF(AND(AX695="Y",AV695&lt;&gt;"Y"),"Tuesday estimate band "&amp;L695&amp;": founder's call","")))</f>
        <v/>
      </c>
      <c r="BC695" s="0" t="str">
        <f aca="false">IF($A695="","",IFERROR(INDEX(Enrichment!$A$2:$GZ$2000,MATCH($A695,INDEX(Enrichment!$A$2:$GZ$2000,0,MATCH("row_id",Enrichment!$A$1:$GZ$1,0)),0),MATCH("work_email",Enrichment!$A$1:$GZ$1,0))&amp;"",""))</f>
        <v/>
      </c>
      <c r="BD695" s="0" t="str">
        <f aca="false">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Q695" s="0" t="str">
        <f aca="false">IF($A695="","",IFERROR(INDEX(Enrichment!$A$2:$GZ$2000,MATCH($A695,INDEX(Enrichment!$A$2:$GZ$2000,0,MATCH("row_id",Enrichment!$A$1:$GZ$1,0)),0),MATCH("backup_work_email",Enrichment!$A$1:$GZ$1,0))&amp;"",""))</f>
        <v/>
      </c>
      <c r="BR695" s="0" t="str">
        <f aca="false">IF($A695="","",IF(BQ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EQ695" s="0" t="str">
        <f aca="false">IF($A695="","",IF(AH695="exact",10,IF(AH695="adjacent",5,0)))</f>
        <v/>
      </c>
      <c r="ER695" s="0" t="str">
        <f aca="false">IF($A695="","",IF(R695="Y",15,0))</f>
        <v/>
      </c>
      <c r="FS695" s="0" t="str">
        <f aca="false">IF($A695="","",IF(ISNUMBER(MATCH(U695,{"queued","contacted","replied","call_booked","call_done","yes_in_principle","materials_sent"},0)),"Y","N"))</f>
        <v/>
      </c>
      <c r="FT695" s="0" t="str">
        <f aca="false">IF($A695="","",IF(OR(T695="Y",U695="do_not_contact",AS695&amp;""&lt;&gt;""),"Y","N"))</f>
        <v/>
      </c>
      <c r="FU695" s="0" t="str">
        <f aca="false">IF($A695="","",IF(AP695&amp;""&lt;&gt;"",AP695&amp;"",$A695))</f>
        <v/>
      </c>
      <c r="FV695" s="0" t="str">
        <f aca="false">IF($A695="","",IF(COUNTIFS($FU$2:$FU$1000,FU695,$FS$2:$FS$1000,"Y")+COUNTIFS($FU$2:$FU$1000,FU695,$FT$2:$FT$1000,"Y")&gt;0,"Y","N"))</f>
        <v/>
      </c>
      <c r="FW695" s="0" t="str">
        <f aca="false">IF($A695="","",IF(AND(U695="new",T695="N",FT695="N",AT695="Y",FV695="N"),"Y","N"))</f>
        <v/>
      </c>
      <c r="FX695" s="0" t="str">
        <f aca="false">IF($A695="","",IF(FW695&lt;&gt;"Y","N",IF(COUNTIFS($FU$2:$FU$1000,FU695,$FW$2:$FW$1000,"Y",$J$2:$J$1000,"&gt;"&amp;J695)+COUNTIFS($FU$2:$FU$1000,FU695,$FW$2:$FW$1000,"Y",$J$2:$J$1000,J695,$GD$2:$GD$1000,"&lt;"&amp;GD695)=0,"Y","N")))</f>
        <v/>
      </c>
      <c r="FY695" s="0" t="str">
        <f aca="false">IF($A695="","",IF(AND(FW695="Y",FX695="Y",Y695&amp;""&lt;&gt;""),IF(Y695&lt;=10,"Y","N"),"N"))</f>
        <v/>
      </c>
      <c r="FZ695" s="0" t="str">
        <f aca="false">IF(FY695="Y",Y695,"")</f>
        <v/>
      </c>
      <c r="GA695" s="0" t="str">
        <f aca="false">IF($A695="","",IF(AND(I695="walk-in",CN695="pass",U695="new",FT695="N",FV695="N",AQ695&lt;&gt;"Y"),"Y","N"))</f>
        <v/>
      </c>
      <c r="GB695" s="0" t="str">
        <f aca="false">IF(GA695&lt;&gt;"Y","",IF(COUNTIFS($GA$2:$GA$1000,"Y",$J$2:$J$1000,"&gt;"&amp;J695)+COUNTIFS($GA$2:$GA$1000,"Y",$J$2:$J$1000,J695,$GD$2:$GD$1000,"&lt;"&amp;GD695)+1&lt;=25,COUNTIFS($GA$2:$GA$1000,"Y",$J$2:$J$1000,"&gt;"&amp;J695)+COUNTIFS($GA$2:$GA$1000,"Y",$J$2:$J$1000,J695,$GD$2:$GD$1000,"&lt;"&amp;GD695)+1,""))</f>
        <v/>
      </c>
      <c r="GC695" s="0" t="str">
        <f aca="false">IF(AND(_xlfn.ISFORMULA(C695),_xlfn.ISFORMULA(J695)),"Y","N")</f>
        <v>Y</v>
      </c>
      <c r="GD695" s="0" t="n">
        <f aca="false">ROW()-1</f>
        <v>694</v>
      </c>
    </row>
    <row r="696" customFormat="false" ht="15" hidden="false" customHeight="false" outlineLevel="0" collapsed="false">
      <c r="C696" s="0" t="str">
        <f aca="false">IF($A696="","",IF(AW696="Y",BM696&amp;"",AY696&amp;""))</f>
        <v/>
      </c>
      <c r="D696" s="0" t="str">
        <f aca="false">IF($A696="","",IF(AW696="Y",BN696&amp;"",AZ696&amp;""))</f>
        <v/>
      </c>
      <c r="E696" s="0" t="str">
        <f aca="false">IF($A696="","",IF(AW696="Y",BO696&amp;"",BA696&amp;""))</f>
        <v/>
      </c>
      <c r="F696" s="0" t="str">
        <f aca="false">IF($A696="","",IF(AW696="Y",BP696&amp;"",BB696&amp;""))</f>
        <v/>
      </c>
      <c r="G696" s="0" t="str">
        <f aca="false">IF($A696="","",IF(AW696="Y",BQ696&amp;"",BC696&amp;""))</f>
        <v/>
      </c>
      <c r="H696" s="0" t="str">
        <f aca="false">IF($A696="","",IF(AW696="Y",BR696&amp;"",BD696&amp;""))</f>
        <v/>
      </c>
      <c r="I696" s="0" t="str">
        <f aca="false">IF($A696="","",IF(R696="Y","warm-intro",IF(H696="verified","email",IF(C696&lt;&gt;"","linkedin",CB696&amp;""))))</f>
        <v/>
      </c>
      <c r="J696" s="0" t="str">
        <f aca="false">IF($A696="","",IF(CN696="pass",ROUND(N(EM696)+N(EN696)+N(EO696)+N(EP696)+N(EQ696)+N(ER696),1),0))</f>
        <v/>
      </c>
      <c r="K696" s="0" t="str">
        <f aca="false">IF($A696="","",IF(CN696&lt;&gt;"pass",CA696&amp;"",CA696&amp;"; "&amp;IF(AW696="Y",BZ696&amp;"",BL696&amp;"")&amp;IF(R696="Y","; known to the founder (+15)","")&amp;"."))</f>
        <v/>
      </c>
      <c r="R696" s="5"/>
      <c r="U696" s="5"/>
      <c r="Y696" s="0" t="str">
        <f aca="false">IF(FX696&lt;&gt;"Y","",COUNTIFS($FX$2:$FX$1000,"Y",$J$2:$J$1000,"&gt;"&amp;J696)+COUNTIFS($FX$2:$FX$1000,"Y",$J$2:$J$1000,J696,$GD$2:$GD$1000,"&lt;"&amp;GD696)+1)</f>
        <v/>
      </c>
      <c r="AB696" s="0" t="str">
        <f aca="false">IF($A696="","",IF(AW696="Y",BY696&amp;"",BK696&amp;""))</f>
        <v/>
      </c>
      <c r="AC696" s="0" t="str">
        <f aca="false">IF($A696="","",IF(AW696="Y",BS696&amp;"",BE696&amp;""))</f>
        <v/>
      </c>
      <c r="AD696" s="0" t="str">
        <f aca="false">IF($A696="","",IF(AW696="Y",BT696&amp;"",BF696&amp;""))</f>
        <v/>
      </c>
      <c r="AE696" s="0" t="str">
        <f aca="false">IF($A696="","",IF(AW696="Y",BU696&amp;"",BG696&amp;""))</f>
        <v/>
      </c>
      <c r="AF696" s="0" t="str">
        <f aca="false">IF($A696="","",IF(AW696="Y",BV696&amp;"",BH696&amp;""))</f>
        <v/>
      </c>
      <c r="AG696" s="0" t="str">
        <f aca="false">IF($A696="","",IF(AW696="Y",BW696&amp;"",BI696&amp;""))</f>
        <v/>
      </c>
      <c r="AH696" s="0" t="str">
        <f aca="false">IF($A696="","",IF(AW696="Y",BX696&amp;"",BJ696&amp;""))</f>
        <v/>
      </c>
      <c r="AQ696" s="5"/>
      <c r="AT696" s="0" t="str">
        <f aca="false">IF($A696="","",IF(AND(CN696="pass",AQ696&lt;&gt;"Y",C696&lt;&gt;"",OR(AX696&lt;&gt;"Y",AV696="Y")),"Y","N"))</f>
        <v/>
      </c>
      <c r="AU696" s="0" t="str">
        <f aca="false">IF($A696="","",_xlfn.TEXTJOIN("; ",TRUE(),IF(CN696&lt;&gt;"pass","gated out",""),IF(AQ696="Y","on hold: "&amp;AR696,""),IF(C696="","no contact named on an opened page",""),IF(AND(AX696="Y",AV696&lt;&gt;"Y"),"Tuesday estimate band "&amp;L696&amp;": founder's call","")))</f>
        <v/>
      </c>
      <c r="BC696" s="0" t="str">
        <f aca="false">IF($A696="","",IFERROR(INDEX(Enrichment!$A$2:$GZ$2000,MATCH($A696,INDEX(Enrichment!$A$2:$GZ$2000,0,MATCH("row_id",Enrichment!$A$1:$GZ$1,0)),0),MATCH("work_email",Enrichment!$A$1:$GZ$1,0))&amp;"",""))</f>
        <v/>
      </c>
      <c r="BD696" s="0" t="str">
        <f aca="false">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Q696" s="0" t="str">
        <f aca="false">IF($A696="","",IFERROR(INDEX(Enrichment!$A$2:$GZ$2000,MATCH($A696,INDEX(Enrichment!$A$2:$GZ$2000,0,MATCH("row_id",Enrichment!$A$1:$GZ$1,0)),0),MATCH("backup_work_email",Enrichment!$A$1:$GZ$1,0))&amp;"",""))</f>
        <v/>
      </c>
      <c r="BR696" s="0" t="str">
        <f aca="false">IF($A696="","",IF(BQ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EQ696" s="0" t="str">
        <f aca="false">IF($A696="","",IF(AH696="exact",10,IF(AH696="adjacent",5,0)))</f>
        <v/>
      </c>
      <c r="ER696" s="0" t="str">
        <f aca="false">IF($A696="","",IF(R696="Y",15,0))</f>
        <v/>
      </c>
      <c r="FS696" s="0" t="str">
        <f aca="false">IF($A696="","",IF(ISNUMBER(MATCH(U696,{"queued","contacted","replied","call_booked","call_done","yes_in_principle","materials_sent"},0)),"Y","N"))</f>
        <v/>
      </c>
      <c r="FT696" s="0" t="str">
        <f aca="false">IF($A696="","",IF(OR(T696="Y",U696="do_not_contact",AS696&amp;""&lt;&gt;""),"Y","N"))</f>
        <v/>
      </c>
      <c r="FU696" s="0" t="str">
        <f aca="false">IF($A696="","",IF(AP696&amp;""&lt;&gt;"",AP696&amp;"",$A696))</f>
        <v/>
      </c>
      <c r="FV696" s="0" t="str">
        <f aca="false">IF($A696="","",IF(COUNTIFS($FU$2:$FU$1000,FU696,$FS$2:$FS$1000,"Y")+COUNTIFS($FU$2:$FU$1000,FU696,$FT$2:$FT$1000,"Y")&gt;0,"Y","N"))</f>
        <v/>
      </c>
      <c r="FW696" s="0" t="str">
        <f aca="false">IF($A696="","",IF(AND(U696="new",T696="N",FT696="N",AT696="Y",FV696="N"),"Y","N"))</f>
        <v/>
      </c>
      <c r="FX696" s="0" t="str">
        <f aca="false">IF($A696="","",IF(FW696&lt;&gt;"Y","N",IF(COUNTIFS($FU$2:$FU$1000,FU696,$FW$2:$FW$1000,"Y",$J$2:$J$1000,"&gt;"&amp;J696)+COUNTIFS($FU$2:$FU$1000,FU696,$FW$2:$FW$1000,"Y",$J$2:$J$1000,J696,$GD$2:$GD$1000,"&lt;"&amp;GD696)=0,"Y","N")))</f>
        <v/>
      </c>
      <c r="FY696" s="0" t="str">
        <f aca="false">IF($A696="","",IF(AND(FW696="Y",FX696="Y",Y696&amp;""&lt;&gt;""),IF(Y696&lt;=10,"Y","N"),"N"))</f>
        <v/>
      </c>
      <c r="FZ696" s="0" t="str">
        <f aca="false">IF(FY696="Y",Y696,"")</f>
        <v/>
      </c>
      <c r="GA696" s="0" t="str">
        <f aca="false">IF($A696="","",IF(AND(I696="walk-in",CN696="pass",U696="new",FT696="N",FV696="N",AQ696&lt;&gt;"Y"),"Y","N"))</f>
        <v/>
      </c>
      <c r="GB696" s="0" t="str">
        <f aca="false">IF(GA696&lt;&gt;"Y","",IF(COUNTIFS($GA$2:$GA$1000,"Y",$J$2:$J$1000,"&gt;"&amp;J696)+COUNTIFS($GA$2:$GA$1000,"Y",$J$2:$J$1000,J696,$GD$2:$GD$1000,"&lt;"&amp;GD696)+1&lt;=25,COUNTIFS($GA$2:$GA$1000,"Y",$J$2:$J$1000,"&gt;"&amp;J696)+COUNTIFS($GA$2:$GA$1000,"Y",$J$2:$J$1000,J696,$GD$2:$GD$1000,"&lt;"&amp;GD696)+1,""))</f>
        <v/>
      </c>
      <c r="GC696" s="0" t="str">
        <f aca="false">IF(AND(_xlfn.ISFORMULA(C696),_xlfn.ISFORMULA(J696)),"Y","N")</f>
        <v>Y</v>
      </c>
      <c r="GD696" s="0" t="n">
        <f aca="false">ROW()-1</f>
        <v>695</v>
      </c>
    </row>
    <row r="697" customFormat="false" ht="15" hidden="false" customHeight="false" outlineLevel="0" collapsed="false">
      <c r="C697" s="0" t="str">
        <f aca="false">IF($A697="","",IF(AW697="Y",BM697&amp;"",AY697&amp;""))</f>
        <v/>
      </c>
      <c r="D697" s="0" t="str">
        <f aca="false">IF($A697="","",IF(AW697="Y",BN697&amp;"",AZ697&amp;""))</f>
        <v/>
      </c>
      <c r="E697" s="0" t="str">
        <f aca="false">IF($A697="","",IF(AW697="Y",BO697&amp;"",BA697&amp;""))</f>
        <v/>
      </c>
      <c r="F697" s="0" t="str">
        <f aca="false">IF($A697="","",IF(AW697="Y",BP697&amp;"",BB697&amp;""))</f>
        <v/>
      </c>
      <c r="G697" s="0" t="str">
        <f aca="false">IF($A697="","",IF(AW697="Y",BQ697&amp;"",BC697&amp;""))</f>
        <v/>
      </c>
      <c r="H697" s="0" t="str">
        <f aca="false">IF($A697="","",IF(AW697="Y",BR697&amp;"",BD697&amp;""))</f>
        <v/>
      </c>
      <c r="I697" s="0" t="str">
        <f aca="false">IF($A697="","",IF(R697="Y","warm-intro",IF(H697="verified","email",IF(C697&lt;&gt;"","linkedin",CB697&amp;""))))</f>
        <v/>
      </c>
      <c r="J697" s="0" t="str">
        <f aca="false">IF($A697="","",IF(CN697="pass",ROUND(N(EM697)+N(EN697)+N(EO697)+N(EP697)+N(EQ697)+N(ER697),1),0))</f>
        <v/>
      </c>
      <c r="K697" s="0" t="str">
        <f aca="false">IF($A697="","",IF(CN697&lt;&gt;"pass",CA697&amp;"",CA697&amp;"; "&amp;IF(AW697="Y",BZ697&amp;"",BL697&amp;"")&amp;IF(R697="Y","; known to the founder (+15)","")&amp;"."))</f>
        <v/>
      </c>
      <c r="R697" s="5"/>
      <c r="U697" s="5"/>
      <c r="Y697" s="0" t="str">
        <f aca="false">IF(FX697&lt;&gt;"Y","",COUNTIFS($FX$2:$FX$1000,"Y",$J$2:$J$1000,"&gt;"&amp;J697)+COUNTIFS($FX$2:$FX$1000,"Y",$J$2:$J$1000,J697,$GD$2:$GD$1000,"&lt;"&amp;GD697)+1)</f>
        <v/>
      </c>
      <c r="AB697" s="0" t="str">
        <f aca="false">IF($A697="","",IF(AW697="Y",BY697&amp;"",BK697&amp;""))</f>
        <v/>
      </c>
      <c r="AC697" s="0" t="str">
        <f aca="false">IF($A697="","",IF(AW697="Y",BS697&amp;"",BE697&amp;""))</f>
        <v/>
      </c>
      <c r="AD697" s="0" t="str">
        <f aca="false">IF($A697="","",IF(AW697="Y",BT697&amp;"",BF697&amp;""))</f>
        <v/>
      </c>
      <c r="AE697" s="0" t="str">
        <f aca="false">IF($A697="","",IF(AW697="Y",BU697&amp;"",BG697&amp;""))</f>
        <v/>
      </c>
      <c r="AF697" s="0" t="str">
        <f aca="false">IF($A697="","",IF(AW697="Y",BV697&amp;"",BH697&amp;""))</f>
        <v/>
      </c>
      <c r="AG697" s="0" t="str">
        <f aca="false">IF($A697="","",IF(AW697="Y",BW697&amp;"",BI697&amp;""))</f>
        <v/>
      </c>
      <c r="AH697" s="0" t="str">
        <f aca="false">IF($A697="","",IF(AW697="Y",BX697&amp;"",BJ697&amp;""))</f>
        <v/>
      </c>
      <c r="AQ697" s="5"/>
      <c r="AT697" s="0" t="str">
        <f aca="false">IF($A697="","",IF(AND(CN697="pass",AQ697&lt;&gt;"Y",C697&lt;&gt;"",OR(AX697&lt;&gt;"Y",AV697="Y")),"Y","N"))</f>
        <v/>
      </c>
      <c r="AU697" s="0" t="str">
        <f aca="false">IF($A697="","",_xlfn.TEXTJOIN("; ",TRUE(),IF(CN697&lt;&gt;"pass","gated out",""),IF(AQ697="Y","on hold: "&amp;AR697,""),IF(C697="","no contact named on an opened page",""),IF(AND(AX697="Y",AV697&lt;&gt;"Y"),"Tuesday estimate band "&amp;L697&amp;": founder's call","")))</f>
        <v/>
      </c>
      <c r="BC697" s="0" t="str">
        <f aca="false">IF($A697="","",IFERROR(INDEX(Enrichment!$A$2:$GZ$2000,MATCH($A697,INDEX(Enrichment!$A$2:$GZ$2000,0,MATCH("row_id",Enrichment!$A$1:$GZ$1,0)),0),MATCH("work_email",Enrichment!$A$1:$GZ$1,0))&amp;"",""))</f>
        <v/>
      </c>
      <c r="BD697" s="0" t="str">
        <f aca="false">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Q697" s="0" t="str">
        <f aca="false">IF($A697="","",IFERROR(INDEX(Enrichment!$A$2:$GZ$2000,MATCH($A697,INDEX(Enrichment!$A$2:$GZ$2000,0,MATCH("row_id",Enrichment!$A$1:$GZ$1,0)),0),MATCH("backup_work_email",Enrichment!$A$1:$GZ$1,0))&amp;"",""))</f>
        <v/>
      </c>
      <c r="BR697" s="0" t="str">
        <f aca="false">IF($A697="","",IF(BQ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EQ697" s="0" t="str">
        <f aca="false">IF($A697="","",IF(AH697="exact",10,IF(AH697="adjacent",5,0)))</f>
        <v/>
      </c>
      <c r="ER697" s="0" t="str">
        <f aca="false">IF($A697="","",IF(R697="Y",15,0))</f>
        <v/>
      </c>
      <c r="FS697" s="0" t="str">
        <f aca="false">IF($A697="","",IF(ISNUMBER(MATCH(U697,{"queued","contacted","replied","call_booked","call_done","yes_in_principle","materials_sent"},0)),"Y","N"))</f>
        <v/>
      </c>
      <c r="FT697" s="0" t="str">
        <f aca="false">IF($A697="","",IF(OR(T697="Y",U697="do_not_contact",AS697&amp;""&lt;&gt;""),"Y","N"))</f>
        <v/>
      </c>
      <c r="FU697" s="0" t="str">
        <f aca="false">IF($A697="","",IF(AP697&amp;""&lt;&gt;"",AP697&amp;"",$A697))</f>
        <v/>
      </c>
      <c r="FV697" s="0" t="str">
        <f aca="false">IF($A697="","",IF(COUNTIFS($FU$2:$FU$1000,FU697,$FS$2:$FS$1000,"Y")+COUNTIFS($FU$2:$FU$1000,FU697,$FT$2:$FT$1000,"Y")&gt;0,"Y","N"))</f>
        <v/>
      </c>
      <c r="FW697" s="0" t="str">
        <f aca="false">IF($A697="","",IF(AND(U697="new",T697="N",FT697="N",AT697="Y",FV697="N"),"Y","N"))</f>
        <v/>
      </c>
      <c r="FX697" s="0" t="str">
        <f aca="false">IF($A697="","",IF(FW697&lt;&gt;"Y","N",IF(COUNTIFS($FU$2:$FU$1000,FU697,$FW$2:$FW$1000,"Y",$J$2:$J$1000,"&gt;"&amp;J697)+COUNTIFS($FU$2:$FU$1000,FU697,$FW$2:$FW$1000,"Y",$J$2:$J$1000,J697,$GD$2:$GD$1000,"&lt;"&amp;GD697)=0,"Y","N")))</f>
        <v/>
      </c>
      <c r="FY697" s="0" t="str">
        <f aca="false">IF($A697="","",IF(AND(FW697="Y",FX697="Y",Y697&amp;""&lt;&gt;""),IF(Y697&lt;=10,"Y","N"),"N"))</f>
        <v/>
      </c>
      <c r="FZ697" s="0" t="str">
        <f aca="false">IF(FY697="Y",Y697,"")</f>
        <v/>
      </c>
      <c r="GA697" s="0" t="str">
        <f aca="false">IF($A697="","",IF(AND(I697="walk-in",CN697="pass",U697="new",FT697="N",FV697="N",AQ697&lt;&gt;"Y"),"Y","N"))</f>
        <v/>
      </c>
      <c r="GB697" s="0" t="str">
        <f aca="false">IF(GA697&lt;&gt;"Y","",IF(COUNTIFS($GA$2:$GA$1000,"Y",$J$2:$J$1000,"&gt;"&amp;J697)+COUNTIFS($GA$2:$GA$1000,"Y",$J$2:$J$1000,J697,$GD$2:$GD$1000,"&lt;"&amp;GD697)+1&lt;=25,COUNTIFS($GA$2:$GA$1000,"Y",$J$2:$J$1000,"&gt;"&amp;J697)+COUNTIFS($GA$2:$GA$1000,"Y",$J$2:$J$1000,J697,$GD$2:$GD$1000,"&lt;"&amp;GD697)+1,""))</f>
        <v/>
      </c>
      <c r="GC697" s="0" t="str">
        <f aca="false">IF(AND(_xlfn.ISFORMULA(C697),_xlfn.ISFORMULA(J697)),"Y","N")</f>
        <v>Y</v>
      </c>
      <c r="GD697" s="0" t="n">
        <f aca="false">ROW()-1</f>
        <v>696</v>
      </c>
    </row>
    <row r="698" customFormat="false" ht="15" hidden="false" customHeight="false" outlineLevel="0" collapsed="false">
      <c r="C698" s="0" t="str">
        <f aca="false">IF($A698="","",IF(AW698="Y",BM698&amp;"",AY698&amp;""))</f>
        <v/>
      </c>
      <c r="D698" s="0" t="str">
        <f aca="false">IF($A698="","",IF(AW698="Y",BN698&amp;"",AZ698&amp;""))</f>
        <v/>
      </c>
      <c r="E698" s="0" t="str">
        <f aca="false">IF($A698="","",IF(AW698="Y",BO698&amp;"",BA698&amp;""))</f>
        <v/>
      </c>
      <c r="F698" s="0" t="str">
        <f aca="false">IF($A698="","",IF(AW698="Y",BP698&amp;"",BB698&amp;""))</f>
        <v/>
      </c>
      <c r="G698" s="0" t="str">
        <f aca="false">IF($A698="","",IF(AW698="Y",BQ698&amp;"",BC698&amp;""))</f>
        <v/>
      </c>
      <c r="H698" s="0" t="str">
        <f aca="false">IF($A698="","",IF(AW698="Y",BR698&amp;"",BD698&amp;""))</f>
        <v/>
      </c>
      <c r="I698" s="0" t="str">
        <f aca="false">IF($A698="","",IF(R698="Y","warm-intro",IF(H698="verified","email",IF(C698&lt;&gt;"","linkedin",CB698&amp;""))))</f>
        <v/>
      </c>
      <c r="J698" s="0" t="str">
        <f aca="false">IF($A698="","",IF(CN698="pass",ROUND(N(EM698)+N(EN698)+N(EO698)+N(EP698)+N(EQ698)+N(ER698),1),0))</f>
        <v/>
      </c>
      <c r="K698" s="0" t="str">
        <f aca="false">IF($A698="","",IF(CN698&lt;&gt;"pass",CA698&amp;"",CA698&amp;"; "&amp;IF(AW698="Y",BZ698&amp;"",BL698&amp;"")&amp;IF(R698="Y","; known to the founder (+15)","")&amp;"."))</f>
        <v/>
      </c>
      <c r="R698" s="5"/>
      <c r="U698" s="5"/>
      <c r="Y698" s="0" t="str">
        <f aca="false">IF(FX698&lt;&gt;"Y","",COUNTIFS($FX$2:$FX$1000,"Y",$J$2:$J$1000,"&gt;"&amp;J698)+COUNTIFS($FX$2:$FX$1000,"Y",$J$2:$J$1000,J698,$GD$2:$GD$1000,"&lt;"&amp;GD698)+1)</f>
        <v/>
      </c>
      <c r="AB698" s="0" t="str">
        <f aca="false">IF($A698="","",IF(AW698="Y",BY698&amp;"",BK698&amp;""))</f>
        <v/>
      </c>
      <c r="AC698" s="0" t="str">
        <f aca="false">IF($A698="","",IF(AW698="Y",BS698&amp;"",BE698&amp;""))</f>
        <v/>
      </c>
      <c r="AD698" s="0" t="str">
        <f aca="false">IF($A698="","",IF(AW698="Y",BT698&amp;"",BF698&amp;""))</f>
        <v/>
      </c>
      <c r="AE698" s="0" t="str">
        <f aca="false">IF($A698="","",IF(AW698="Y",BU698&amp;"",BG698&amp;""))</f>
        <v/>
      </c>
      <c r="AF698" s="0" t="str">
        <f aca="false">IF($A698="","",IF(AW698="Y",BV698&amp;"",BH698&amp;""))</f>
        <v/>
      </c>
      <c r="AG698" s="0" t="str">
        <f aca="false">IF($A698="","",IF(AW698="Y",BW698&amp;"",BI698&amp;""))</f>
        <v/>
      </c>
      <c r="AH698" s="0" t="str">
        <f aca="false">IF($A698="","",IF(AW698="Y",BX698&amp;"",BJ698&amp;""))</f>
        <v/>
      </c>
      <c r="AQ698" s="5"/>
      <c r="AT698" s="0" t="str">
        <f aca="false">IF($A698="","",IF(AND(CN698="pass",AQ698&lt;&gt;"Y",C698&lt;&gt;"",OR(AX698&lt;&gt;"Y",AV698="Y")),"Y","N"))</f>
        <v/>
      </c>
      <c r="AU698" s="0" t="str">
        <f aca="false">IF($A698="","",_xlfn.TEXTJOIN("; ",TRUE(),IF(CN698&lt;&gt;"pass","gated out",""),IF(AQ698="Y","on hold: "&amp;AR698,""),IF(C698="","no contact named on an opened page",""),IF(AND(AX698="Y",AV698&lt;&gt;"Y"),"Tuesday estimate band "&amp;L698&amp;": founder's call","")))</f>
        <v/>
      </c>
      <c r="BC698" s="0" t="str">
        <f aca="false">IF($A698="","",IFERROR(INDEX(Enrichment!$A$2:$GZ$2000,MATCH($A698,INDEX(Enrichment!$A$2:$GZ$2000,0,MATCH("row_id",Enrichment!$A$1:$GZ$1,0)),0),MATCH("work_email",Enrichment!$A$1:$GZ$1,0))&amp;"",""))</f>
        <v/>
      </c>
      <c r="BD698" s="0" t="str">
        <f aca="false">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Q698" s="0" t="str">
        <f aca="false">IF($A698="","",IFERROR(INDEX(Enrichment!$A$2:$GZ$2000,MATCH($A698,INDEX(Enrichment!$A$2:$GZ$2000,0,MATCH("row_id",Enrichment!$A$1:$GZ$1,0)),0),MATCH("backup_work_email",Enrichment!$A$1:$GZ$1,0))&amp;"",""))</f>
        <v/>
      </c>
      <c r="BR698" s="0" t="str">
        <f aca="false">IF($A698="","",IF(BQ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EQ698" s="0" t="str">
        <f aca="false">IF($A698="","",IF(AH698="exact",10,IF(AH698="adjacent",5,0)))</f>
        <v/>
      </c>
      <c r="ER698" s="0" t="str">
        <f aca="false">IF($A698="","",IF(R698="Y",15,0))</f>
        <v/>
      </c>
      <c r="FS698" s="0" t="str">
        <f aca="false">IF($A698="","",IF(ISNUMBER(MATCH(U698,{"queued","contacted","replied","call_booked","call_done","yes_in_principle","materials_sent"},0)),"Y","N"))</f>
        <v/>
      </c>
      <c r="FT698" s="0" t="str">
        <f aca="false">IF($A698="","",IF(OR(T698="Y",U698="do_not_contact",AS698&amp;""&lt;&gt;""),"Y","N"))</f>
        <v/>
      </c>
      <c r="FU698" s="0" t="str">
        <f aca="false">IF($A698="","",IF(AP698&amp;""&lt;&gt;"",AP698&amp;"",$A698))</f>
        <v/>
      </c>
      <c r="FV698" s="0" t="str">
        <f aca="false">IF($A698="","",IF(COUNTIFS($FU$2:$FU$1000,FU698,$FS$2:$FS$1000,"Y")+COUNTIFS($FU$2:$FU$1000,FU698,$FT$2:$FT$1000,"Y")&gt;0,"Y","N"))</f>
        <v/>
      </c>
      <c r="FW698" s="0" t="str">
        <f aca="false">IF($A698="","",IF(AND(U698="new",T698="N",FT698="N",AT698="Y",FV698="N"),"Y","N"))</f>
        <v/>
      </c>
      <c r="FX698" s="0" t="str">
        <f aca="false">IF($A698="","",IF(FW698&lt;&gt;"Y","N",IF(COUNTIFS($FU$2:$FU$1000,FU698,$FW$2:$FW$1000,"Y",$J$2:$J$1000,"&gt;"&amp;J698)+COUNTIFS($FU$2:$FU$1000,FU698,$FW$2:$FW$1000,"Y",$J$2:$J$1000,J698,$GD$2:$GD$1000,"&lt;"&amp;GD698)=0,"Y","N")))</f>
        <v/>
      </c>
      <c r="FY698" s="0" t="str">
        <f aca="false">IF($A698="","",IF(AND(FW698="Y",FX698="Y",Y698&amp;""&lt;&gt;""),IF(Y698&lt;=10,"Y","N"),"N"))</f>
        <v/>
      </c>
      <c r="FZ698" s="0" t="str">
        <f aca="false">IF(FY698="Y",Y698,"")</f>
        <v/>
      </c>
      <c r="GA698" s="0" t="str">
        <f aca="false">IF($A698="","",IF(AND(I698="walk-in",CN698="pass",U698="new",FT698="N",FV698="N",AQ698&lt;&gt;"Y"),"Y","N"))</f>
        <v/>
      </c>
      <c r="GB698" s="0" t="str">
        <f aca="false">IF(GA698&lt;&gt;"Y","",IF(COUNTIFS($GA$2:$GA$1000,"Y",$J$2:$J$1000,"&gt;"&amp;J698)+COUNTIFS($GA$2:$GA$1000,"Y",$J$2:$J$1000,J698,$GD$2:$GD$1000,"&lt;"&amp;GD698)+1&lt;=25,COUNTIFS($GA$2:$GA$1000,"Y",$J$2:$J$1000,"&gt;"&amp;J698)+COUNTIFS($GA$2:$GA$1000,"Y",$J$2:$J$1000,J698,$GD$2:$GD$1000,"&lt;"&amp;GD698)+1,""))</f>
        <v/>
      </c>
      <c r="GC698" s="0" t="str">
        <f aca="false">IF(AND(_xlfn.ISFORMULA(C698),_xlfn.ISFORMULA(J698)),"Y","N")</f>
        <v>Y</v>
      </c>
      <c r="GD698" s="0" t="n">
        <f aca="false">ROW()-1</f>
        <v>697</v>
      </c>
    </row>
    <row r="699" customFormat="false" ht="15" hidden="false" customHeight="false" outlineLevel="0" collapsed="false">
      <c r="C699" s="0" t="str">
        <f aca="false">IF($A699="","",IF(AW699="Y",BM699&amp;"",AY699&amp;""))</f>
        <v/>
      </c>
      <c r="D699" s="0" t="str">
        <f aca="false">IF($A699="","",IF(AW699="Y",BN699&amp;"",AZ699&amp;""))</f>
        <v/>
      </c>
      <c r="E699" s="0" t="str">
        <f aca="false">IF($A699="","",IF(AW699="Y",BO699&amp;"",BA699&amp;""))</f>
        <v/>
      </c>
      <c r="F699" s="0" t="str">
        <f aca="false">IF($A699="","",IF(AW699="Y",BP699&amp;"",BB699&amp;""))</f>
        <v/>
      </c>
      <c r="G699" s="0" t="str">
        <f aca="false">IF($A699="","",IF(AW699="Y",BQ699&amp;"",BC699&amp;""))</f>
        <v/>
      </c>
      <c r="H699" s="0" t="str">
        <f aca="false">IF($A699="","",IF(AW699="Y",BR699&amp;"",BD699&amp;""))</f>
        <v/>
      </c>
      <c r="I699" s="0" t="str">
        <f aca="false">IF($A699="","",IF(R699="Y","warm-intro",IF(H699="verified","email",IF(C699&lt;&gt;"","linkedin",CB699&amp;""))))</f>
        <v/>
      </c>
      <c r="J699" s="0" t="str">
        <f aca="false">IF($A699="","",IF(CN699="pass",ROUND(N(EM699)+N(EN699)+N(EO699)+N(EP699)+N(EQ699)+N(ER699),1),0))</f>
        <v/>
      </c>
      <c r="K699" s="0" t="str">
        <f aca="false">IF($A699="","",IF(CN699&lt;&gt;"pass",CA699&amp;"",CA699&amp;"; "&amp;IF(AW699="Y",BZ699&amp;"",BL699&amp;"")&amp;IF(R699="Y","; known to the founder (+15)","")&amp;"."))</f>
        <v/>
      </c>
      <c r="R699" s="5"/>
      <c r="U699" s="5"/>
      <c r="Y699" s="0" t="str">
        <f aca="false">IF(FX699&lt;&gt;"Y","",COUNTIFS($FX$2:$FX$1000,"Y",$J$2:$J$1000,"&gt;"&amp;J699)+COUNTIFS($FX$2:$FX$1000,"Y",$J$2:$J$1000,J699,$GD$2:$GD$1000,"&lt;"&amp;GD699)+1)</f>
        <v/>
      </c>
      <c r="AB699" s="0" t="str">
        <f aca="false">IF($A699="","",IF(AW699="Y",BY699&amp;"",BK699&amp;""))</f>
        <v/>
      </c>
      <c r="AC699" s="0" t="str">
        <f aca="false">IF($A699="","",IF(AW699="Y",BS699&amp;"",BE699&amp;""))</f>
        <v/>
      </c>
      <c r="AD699" s="0" t="str">
        <f aca="false">IF($A699="","",IF(AW699="Y",BT699&amp;"",BF699&amp;""))</f>
        <v/>
      </c>
      <c r="AE699" s="0" t="str">
        <f aca="false">IF($A699="","",IF(AW699="Y",BU699&amp;"",BG699&amp;""))</f>
        <v/>
      </c>
      <c r="AF699" s="0" t="str">
        <f aca="false">IF($A699="","",IF(AW699="Y",BV699&amp;"",BH699&amp;""))</f>
        <v/>
      </c>
      <c r="AG699" s="0" t="str">
        <f aca="false">IF($A699="","",IF(AW699="Y",BW699&amp;"",BI699&amp;""))</f>
        <v/>
      </c>
      <c r="AH699" s="0" t="str">
        <f aca="false">IF($A699="","",IF(AW699="Y",BX699&amp;"",BJ699&amp;""))</f>
        <v/>
      </c>
      <c r="AQ699" s="5"/>
      <c r="AT699" s="0" t="str">
        <f aca="false">IF($A699="","",IF(AND(CN699="pass",AQ699&lt;&gt;"Y",C699&lt;&gt;"",OR(AX699&lt;&gt;"Y",AV699="Y")),"Y","N"))</f>
        <v/>
      </c>
      <c r="AU699" s="0" t="str">
        <f aca="false">IF($A699="","",_xlfn.TEXTJOIN("; ",TRUE(),IF(CN699&lt;&gt;"pass","gated out",""),IF(AQ699="Y","on hold: "&amp;AR699,""),IF(C699="","no contact named on an opened page",""),IF(AND(AX699="Y",AV699&lt;&gt;"Y"),"Tuesday estimate band "&amp;L699&amp;": founder's call","")))</f>
        <v/>
      </c>
      <c r="BC699" s="0" t="str">
        <f aca="false">IF($A699="","",IFERROR(INDEX(Enrichment!$A$2:$GZ$2000,MATCH($A699,INDEX(Enrichment!$A$2:$GZ$2000,0,MATCH("row_id",Enrichment!$A$1:$GZ$1,0)),0),MATCH("work_email",Enrichment!$A$1:$GZ$1,0))&amp;"",""))</f>
        <v/>
      </c>
      <c r="BD699" s="0" t="str">
        <f aca="false">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Q699" s="0" t="str">
        <f aca="false">IF($A699="","",IFERROR(INDEX(Enrichment!$A$2:$GZ$2000,MATCH($A699,INDEX(Enrichment!$A$2:$GZ$2000,0,MATCH("row_id",Enrichment!$A$1:$GZ$1,0)),0),MATCH("backup_work_email",Enrichment!$A$1:$GZ$1,0))&amp;"",""))</f>
        <v/>
      </c>
      <c r="BR699" s="0" t="str">
        <f aca="false">IF($A699="","",IF(BQ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EQ699" s="0" t="str">
        <f aca="false">IF($A699="","",IF(AH699="exact",10,IF(AH699="adjacent",5,0)))</f>
        <v/>
      </c>
      <c r="ER699" s="0" t="str">
        <f aca="false">IF($A699="","",IF(R699="Y",15,0))</f>
        <v/>
      </c>
      <c r="FS699" s="0" t="str">
        <f aca="false">IF($A699="","",IF(ISNUMBER(MATCH(U699,{"queued","contacted","replied","call_booked","call_done","yes_in_principle","materials_sent"},0)),"Y","N"))</f>
        <v/>
      </c>
      <c r="FT699" s="0" t="str">
        <f aca="false">IF($A699="","",IF(OR(T699="Y",U699="do_not_contact",AS699&amp;""&lt;&gt;""),"Y","N"))</f>
        <v/>
      </c>
      <c r="FU699" s="0" t="str">
        <f aca="false">IF($A699="","",IF(AP699&amp;""&lt;&gt;"",AP699&amp;"",$A699))</f>
        <v/>
      </c>
      <c r="FV699" s="0" t="str">
        <f aca="false">IF($A699="","",IF(COUNTIFS($FU$2:$FU$1000,FU699,$FS$2:$FS$1000,"Y")+COUNTIFS($FU$2:$FU$1000,FU699,$FT$2:$FT$1000,"Y")&gt;0,"Y","N"))</f>
        <v/>
      </c>
      <c r="FW699" s="0" t="str">
        <f aca="false">IF($A699="","",IF(AND(U699="new",T699="N",FT699="N",AT699="Y",FV699="N"),"Y","N"))</f>
        <v/>
      </c>
      <c r="FX699" s="0" t="str">
        <f aca="false">IF($A699="","",IF(FW699&lt;&gt;"Y","N",IF(COUNTIFS($FU$2:$FU$1000,FU699,$FW$2:$FW$1000,"Y",$J$2:$J$1000,"&gt;"&amp;J699)+COUNTIFS($FU$2:$FU$1000,FU699,$FW$2:$FW$1000,"Y",$J$2:$J$1000,J699,$GD$2:$GD$1000,"&lt;"&amp;GD699)=0,"Y","N")))</f>
        <v/>
      </c>
      <c r="FY699" s="0" t="str">
        <f aca="false">IF($A699="","",IF(AND(FW699="Y",FX699="Y",Y699&amp;""&lt;&gt;""),IF(Y699&lt;=10,"Y","N"),"N"))</f>
        <v/>
      </c>
      <c r="FZ699" s="0" t="str">
        <f aca="false">IF(FY699="Y",Y699,"")</f>
        <v/>
      </c>
      <c r="GA699" s="0" t="str">
        <f aca="false">IF($A699="","",IF(AND(I699="walk-in",CN699="pass",U699="new",FT699="N",FV699="N",AQ699&lt;&gt;"Y"),"Y","N"))</f>
        <v/>
      </c>
      <c r="GB699" s="0" t="str">
        <f aca="false">IF(GA699&lt;&gt;"Y","",IF(COUNTIFS($GA$2:$GA$1000,"Y",$J$2:$J$1000,"&gt;"&amp;J699)+COUNTIFS($GA$2:$GA$1000,"Y",$J$2:$J$1000,J699,$GD$2:$GD$1000,"&lt;"&amp;GD699)+1&lt;=25,COUNTIFS($GA$2:$GA$1000,"Y",$J$2:$J$1000,"&gt;"&amp;J699)+COUNTIFS($GA$2:$GA$1000,"Y",$J$2:$J$1000,J699,$GD$2:$GD$1000,"&lt;"&amp;GD699)+1,""))</f>
        <v/>
      </c>
      <c r="GC699" s="0" t="str">
        <f aca="false">IF(AND(_xlfn.ISFORMULA(C699),_xlfn.ISFORMULA(J699)),"Y","N")</f>
        <v>Y</v>
      </c>
      <c r="GD699" s="0" t="n">
        <f aca="false">ROW()-1</f>
        <v>698</v>
      </c>
    </row>
    <row r="700" customFormat="false" ht="15" hidden="false" customHeight="false" outlineLevel="0" collapsed="false">
      <c r="C700" s="0" t="str">
        <f aca="false">IF($A700="","",IF(AW700="Y",BM700&amp;"",AY700&amp;""))</f>
        <v/>
      </c>
      <c r="D700" s="0" t="str">
        <f aca="false">IF($A700="","",IF(AW700="Y",BN700&amp;"",AZ700&amp;""))</f>
        <v/>
      </c>
      <c r="E700" s="0" t="str">
        <f aca="false">IF($A700="","",IF(AW700="Y",BO700&amp;"",BA700&amp;""))</f>
        <v/>
      </c>
      <c r="F700" s="0" t="str">
        <f aca="false">IF($A700="","",IF(AW700="Y",BP700&amp;"",BB700&amp;""))</f>
        <v/>
      </c>
      <c r="G700" s="0" t="str">
        <f aca="false">IF($A700="","",IF(AW700="Y",BQ700&amp;"",BC700&amp;""))</f>
        <v/>
      </c>
      <c r="H700" s="0" t="str">
        <f aca="false">IF($A700="","",IF(AW700="Y",BR700&amp;"",BD700&amp;""))</f>
        <v/>
      </c>
      <c r="I700" s="0" t="str">
        <f aca="false">IF($A700="","",IF(R700="Y","warm-intro",IF(H700="verified","email",IF(C700&lt;&gt;"","linkedin",CB700&amp;""))))</f>
        <v/>
      </c>
      <c r="J700" s="0" t="str">
        <f aca="false">IF($A700="","",IF(CN700="pass",ROUND(N(EM700)+N(EN700)+N(EO700)+N(EP700)+N(EQ700)+N(ER700),1),0))</f>
        <v/>
      </c>
      <c r="K700" s="0" t="str">
        <f aca="false">IF($A700="","",IF(CN700&lt;&gt;"pass",CA700&amp;"",CA700&amp;"; "&amp;IF(AW700="Y",BZ700&amp;"",BL700&amp;"")&amp;IF(R700="Y","; known to the founder (+15)","")&amp;"."))</f>
        <v/>
      </c>
      <c r="R700" s="5"/>
      <c r="U700" s="5"/>
      <c r="Y700" s="0" t="str">
        <f aca="false">IF(FX700&lt;&gt;"Y","",COUNTIFS($FX$2:$FX$1000,"Y",$J$2:$J$1000,"&gt;"&amp;J700)+COUNTIFS($FX$2:$FX$1000,"Y",$J$2:$J$1000,J700,$GD$2:$GD$1000,"&lt;"&amp;GD700)+1)</f>
        <v/>
      </c>
      <c r="AB700" s="0" t="str">
        <f aca="false">IF($A700="","",IF(AW700="Y",BY700&amp;"",BK700&amp;""))</f>
        <v/>
      </c>
      <c r="AC700" s="0" t="str">
        <f aca="false">IF($A700="","",IF(AW700="Y",BS700&amp;"",BE700&amp;""))</f>
        <v/>
      </c>
      <c r="AD700" s="0" t="str">
        <f aca="false">IF($A700="","",IF(AW700="Y",BT700&amp;"",BF700&amp;""))</f>
        <v/>
      </c>
      <c r="AE700" s="0" t="str">
        <f aca="false">IF($A700="","",IF(AW700="Y",BU700&amp;"",BG700&amp;""))</f>
        <v/>
      </c>
      <c r="AF700" s="0" t="str">
        <f aca="false">IF($A700="","",IF(AW700="Y",BV700&amp;"",BH700&amp;""))</f>
        <v/>
      </c>
      <c r="AG700" s="0" t="str">
        <f aca="false">IF($A700="","",IF(AW700="Y",BW700&amp;"",BI700&amp;""))</f>
        <v/>
      </c>
      <c r="AH700" s="0" t="str">
        <f aca="false">IF($A700="","",IF(AW700="Y",BX700&amp;"",BJ700&amp;""))</f>
        <v/>
      </c>
      <c r="AQ700" s="5"/>
      <c r="AT700" s="0" t="str">
        <f aca="false">IF($A700="","",IF(AND(CN700="pass",AQ700&lt;&gt;"Y",C700&lt;&gt;"",OR(AX700&lt;&gt;"Y",AV700="Y")),"Y","N"))</f>
        <v/>
      </c>
      <c r="AU700" s="0" t="str">
        <f aca="false">IF($A700="","",_xlfn.TEXTJOIN("; ",TRUE(),IF(CN700&lt;&gt;"pass","gated out",""),IF(AQ700="Y","on hold: "&amp;AR700,""),IF(C700="","no contact named on an opened page",""),IF(AND(AX700="Y",AV700&lt;&gt;"Y"),"Tuesday estimate band "&amp;L700&amp;": founder's call","")))</f>
        <v/>
      </c>
      <c r="BC700" s="0" t="str">
        <f aca="false">IF($A700="","",IFERROR(INDEX(Enrichment!$A$2:$GZ$2000,MATCH($A700,INDEX(Enrichment!$A$2:$GZ$2000,0,MATCH("row_id",Enrichment!$A$1:$GZ$1,0)),0),MATCH("work_email",Enrichment!$A$1:$GZ$1,0))&amp;"",""))</f>
        <v/>
      </c>
      <c r="BD700" s="0" t="str">
        <f aca="false">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Q700" s="0" t="str">
        <f aca="false">IF($A700="","",IFERROR(INDEX(Enrichment!$A$2:$GZ$2000,MATCH($A700,INDEX(Enrichment!$A$2:$GZ$2000,0,MATCH("row_id",Enrichment!$A$1:$GZ$1,0)),0),MATCH("backup_work_email",Enrichment!$A$1:$GZ$1,0))&amp;"",""))</f>
        <v/>
      </c>
      <c r="BR700" s="0" t="str">
        <f aca="false">IF($A700="","",IF(BQ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EQ700" s="0" t="str">
        <f aca="false">IF($A700="","",IF(AH700="exact",10,IF(AH700="adjacent",5,0)))</f>
        <v/>
      </c>
      <c r="ER700" s="0" t="str">
        <f aca="false">IF($A700="","",IF(R700="Y",15,0))</f>
        <v/>
      </c>
      <c r="FS700" s="0" t="str">
        <f aca="false">IF($A700="","",IF(ISNUMBER(MATCH(U700,{"queued","contacted","replied","call_booked","call_done","yes_in_principle","materials_sent"},0)),"Y","N"))</f>
        <v/>
      </c>
      <c r="FT700" s="0" t="str">
        <f aca="false">IF($A700="","",IF(OR(T700="Y",U700="do_not_contact",AS700&amp;""&lt;&gt;""),"Y","N"))</f>
        <v/>
      </c>
      <c r="FU700" s="0" t="str">
        <f aca="false">IF($A700="","",IF(AP700&amp;""&lt;&gt;"",AP700&amp;"",$A700))</f>
        <v/>
      </c>
      <c r="FV700" s="0" t="str">
        <f aca="false">IF($A700="","",IF(COUNTIFS($FU$2:$FU$1000,FU700,$FS$2:$FS$1000,"Y")+COUNTIFS($FU$2:$FU$1000,FU700,$FT$2:$FT$1000,"Y")&gt;0,"Y","N"))</f>
        <v/>
      </c>
      <c r="FW700" s="0" t="str">
        <f aca="false">IF($A700="","",IF(AND(U700="new",T700="N",FT700="N",AT700="Y",FV700="N"),"Y","N"))</f>
        <v/>
      </c>
      <c r="FX700" s="0" t="str">
        <f aca="false">IF($A700="","",IF(FW700&lt;&gt;"Y","N",IF(COUNTIFS($FU$2:$FU$1000,FU700,$FW$2:$FW$1000,"Y",$J$2:$J$1000,"&gt;"&amp;J700)+COUNTIFS($FU$2:$FU$1000,FU700,$FW$2:$FW$1000,"Y",$J$2:$J$1000,J700,$GD$2:$GD$1000,"&lt;"&amp;GD700)=0,"Y","N")))</f>
        <v/>
      </c>
      <c r="FY700" s="0" t="str">
        <f aca="false">IF($A700="","",IF(AND(FW700="Y",FX700="Y",Y700&amp;""&lt;&gt;""),IF(Y700&lt;=10,"Y","N"),"N"))</f>
        <v/>
      </c>
      <c r="FZ700" s="0" t="str">
        <f aca="false">IF(FY700="Y",Y700,"")</f>
        <v/>
      </c>
      <c r="GA700" s="0" t="str">
        <f aca="false">IF($A700="","",IF(AND(I700="walk-in",CN700="pass",U700="new",FT700="N",FV700="N",AQ700&lt;&gt;"Y"),"Y","N"))</f>
        <v/>
      </c>
      <c r="GB700" s="0" t="str">
        <f aca="false">IF(GA700&lt;&gt;"Y","",IF(COUNTIFS($GA$2:$GA$1000,"Y",$J$2:$J$1000,"&gt;"&amp;J700)+COUNTIFS($GA$2:$GA$1000,"Y",$J$2:$J$1000,J700,$GD$2:$GD$1000,"&lt;"&amp;GD700)+1&lt;=25,COUNTIFS($GA$2:$GA$1000,"Y",$J$2:$J$1000,"&gt;"&amp;J700)+COUNTIFS($GA$2:$GA$1000,"Y",$J$2:$J$1000,J700,$GD$2:$GD$1000,"&lt;"&amp;GD700)+1,""))</f>
        <v/>
      </c>
      <c r="GC700" s="0" t="str">
        <f aca="false">IF(AND(_xlfn.ISFORMULA(C700),_xlfn.ISFORMULA(J700)),"Y","N")</f>
        <v>Y</v>
      </c>
      <c r="GD700" s="0" t="n">
        <f aca="false">ROW()-1</f>
        <v>699</v>
      </c>
    </row>
    <row r="701" customFormat="false" ht="15" hidden="false" customHeight="false" outlineLevel="0" collapsed="false">
      <c r="C701" s="0" t="str">
        <f aca="false">IF($A701="","",IF(AW701="Y",BM701&amp;"",AY701&amp;""))</f>
        <v/>
      </c>
      <c r="D701" s="0" t="str">
        <f aca="false">IF($A701="","",IF(AW701="Y",BN701&amp;"",AZ701&amp;""))</f>
        <v/>
      </c>
      <c r="E701" s="0" t="str">
        <f aca="false">IF($A701="","",IF(AW701="Y",BO701&amp;"",BA701&amp;""))</f>
        <v/>
      </c>
      <c r="F701" s="0" t="str">
        <f aca="false">IF($A701="","",IF(AW701="Y",BP701&amp;"",BB701&amp;""))</f>
        <v/>
      </c>
      <c r="G701" s="0" t="str">
        <f aca="false">IF($A701="","",IF(AW701="Y",BQ701&amp;"",BC701&amp;""))</f>
        <v/>
      </c>
      <c r="H701" s="0" t="str">
        <f aca="false">IF($A701="","",IF(AW701="Y",BR701&amp;"",BD701&amp;""))</f>
        <v/>
      </c>
      <c r="I701" s="0" t="str">
        <f aca="false">IF($A701="","",IF(R701="Y","warm-intro",IF(H701="verified","email",IF(C701&lt;&gt;"","linkedin",CB701&amp;""))))</f>
        <v/>
      </c>
      <c r="J701" s="0" t="str">
        <f aca="false">IF($A701="","",IF(CN701="pass",ROUND(N(EM701)+N(EN701)+N(EO701)+N(EP701)+N(EQ701)+N(ER701),1),0))</f>
        <v/>
      </c>
      <c r="K701" s="0" t="str">
        <f aca="false">IF($A701="","",IF(CN701&lt;&gt;"pass",CA701&amp;"",CA701&amp;"; "&amp;IF(AW701="Y",BZ701&amp;"",BL701&amp;"")&amp;IF(R701="Y","; known to the founder (+15)","")&amp;"."))</f>
        <v/>
      </c>
      <c r="R701" s="5"/>
      <c r="U701" s="5"/>
      <c r="Y701" s="0" t="str">
        <f aca="false">IF(FX701&lt;&gt;"Y","",COUNTIFS($FX$2:$FX$1000,"Y",$J$2:$J$1000,"&gt;"&amp;J701)+COUNTIFS($FX$2:$FX$1000,"Y",$J$2:$J$1000,J701,$GD$2:$GD$1000,"&lt;"&amp;GD701)+1)</f>
        <v/>
      </c>
      <c r="AB701" s="0" t="str">
        <f aca="false">IF($A701="","",IF(AW701="Y",BY701&amp;"",BK701&amp;""))</f>
        <v/>
      </c>
      <c r="AC701" s="0" t="str">
        <f aca="false">IF($A701="","",IF(AW701="Y",BS701&amp;"",BE701&amp;""))</f>
        <v/>
      </c>
      <c r="AD701" s="0" t="str">
        <f aca="false">IF($A701="","",IF(AW701="Y",BT701&amp;"",BF701&amp;""))</f>
        <v/>
      </c>
      <c r="AE701" s="0" t="str">
        <f aca="false">IF($A701="","",IF(AW701="Y",BU701&amp;"",BG701&amp;""))</f>
        <v/>
      </c>
      <c r="AF701" s="0" t="str">
        <f aca="false">IF($A701="","",IF(AW701="Y",BV701&amp;"",BH701&amp;""))</f>
        <v/>
      </c>
      <c r="AG701" s="0" t="str">
        <f aca="false">IF($A701="","",IF(AW701="Y",BW701&amp;"",BI701&amp;""))</f>
        <v/>
      </c>
      <c r="AH701" s="0" t="str">
        <f aca="false">IF($A701="","",IF(AW701="Y",BX701&amp;"",BJ701&amp;""))</f>
        <v/>
      </c>
      <c r="AQ701" s="5"/>
      <c r="AT701" s="0" t="str">
        <f aca="false">IF($A701="","",IF(AND(CN701="pass",AQ701&lt;&gt;"Y",C701&lt;&gt;"",OR(AX701&lt;&gt;"Y",AV701="Y")),"Y","N"))</f>
        <v/>
      </c>
      <c r="AU701" s="0" t="str">
        <f aca="false">IF($A701="","",_xlfn.TEXTJOIN("; ",TRUE(),IF(CN701&lt;&gt;"pass","gated out",""),IF(AQ701="Y","on hold: "&amp;AR701,""),IF(C701="","no contact named on an opened page",""),IF(AND(AX701="Y",AV701&lt;&gt;"Y"),"Tuesday estimate band "&amp;L701&amp;": founder's call","")))</f>
        <v/>
      </c>
      <c r="BC701" s="0" t="str">
        <f aca="false">IF($A701="","",IFERROR(INDEX(Enrichment!$A$2:$GZ$2000,MATCH($A701,INDEX(Enrichment!$A$2:$GZ$2000,0,MATCH("row_id",Enrichment!$A$1:$GZ$1,0)),0),MATCH("work_email",Enrichment!$A$1:$GZ$1,0))&amp;"",""))</f>
        <v/>
      </c>
      <c r="BD701" s="0" t="str">
        <f aca="false">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Q701" s="0" t="str">
        <f aca="false">IF($A701="","",IFERROR(INDEX(Enrichment!$A$2:$GZ$2000,MATCH($A701,INDEX(Enrichment!$A$2:$GZ$2000,0,MATCH("row_id",Enrichment!$A$1:$GZ$1,0)),0),MATCH("backup_work_email",Enrichment!$A$1:$GZ$1,0))&amp;"",""))</f>
        <v/>
      </c>
      <c r="BR701" s="0" t="str">
        <f aca="false">IF($A701="","",IF(BQ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EQ701" s="0" t="str">
        <f aca="false">IF($A701="","",IF(AH701="exact",10,IF(AH701="adjacent",5,0)))</f>
        <v/>
      </c>
      <c r="ER701" s="0" t="str">
        <f aca="false">IF($A701="","",IF(R701="Y",15,0))</f>
        <v/>
      </c>
      <c r="FS701" s="0" t="str">
        <f aca="false">IF($A701="","",IF(ISNUMBER(MATCH(U701,{"queued","contacted","replied","call_booked","call_done","yes_in_principle","materials_sent"},0)),"Y","N"))</f>
        <v/>
      </c>
      <c r="FT701" s="0" t="str">
        <f aca="false">IF($A701="","",IF(OR(T701="Y",U701="do_not_contact",AS701&amp;""&lt;&gt;""),"Y","N"))</f>
        <v/>
      </c>
      <c r="FU701" s="0" t="str">
        <f aca="false">IF($A701="","",IF(AP701&amp;""&lt;&gt;"",AP701&amp;"",$A701))</f>
        <v/>
      </c>
      <c r="FV701" s="0" t="str">
        <f aca="false">IF($A701="","",IF(COUNTIFS($FU$2:$FU$1000,FU701,$FS$2:$FS$1000,"Y")+COUNTIFS($FU$2:$FU$1000,FU701,$FT$2:$FT$1000,"Y")&gt;0,"Y","N"))</f>
        <v/>
      </c>
      <c r="FW701" s="0" t="str">
        <f aca="false">IF($A701="","",IF(AND(U701="new",T701="N",FT701="N",AT701="Y",FV701="N"),"Y","N"))</f>
        <v/>
      </c>
      <c r="FX701" s="0" t="str">
        <f aca="false">IF($A701="","",IF(FW701&lt;&gt;"Y","N",IF(COUNTIFS($FU$2:$FU$1000,FU701,$FW$2:$FW$1000,"Y",$J$2:$J$1000,"&gt;"&amp;J701)+COUNTIFS($FU$2:$FU$1000,FU701,$FW$2:$FW$1000,"Y",$J$2:$J$1000,J701,$GD$2:$GD$1000,"&lt;"&amp;GD701)=0,"Y","N")))</f>
        <v/>
      </c>
      <c r="FY701" s="0" t="str">
        <f aca="false">IF($A701="","",IF(AND(FW701="Y",FX701="Y",Y701&amp;""&lt;&gt;""),IF(Y701&lt;=10,"Y","N"),"N"))</f>
        <v/>
      </c>
      <c r="FZ701" s="0" t="str">
        <f aca="false">IF(FY701="Y",Y701,"")</f>
        <v/>
      </c>
      <c r="GA701" s="0" t="str">
        <f aca="false">IF($A701="","",IF(AND(I701="walk-in",CN701="pass",U701="new",FT701="N",FV701="N",AQ701&lt;&gt;"Y"),"Y","N"))</f>
        <v/>
      </c>
      <c r="GB701" s="0" t="str">
        <f aca="false">IF(GA701&lt;&gt;"Y","",IF(COUNTIFS($GA$2:$GA$1000,"Y",$J$2:$J$1000,"&gt;"&amp;J701)+COUNTIFS($GA$2:$GA$1000,"Y",$J$2:$J$1000,J701,$GD$2:$GD$1000,"&lt;"&amp;GD701)+1&lt;=25,COUNTIFS($GA$2:$GA$1000,"Y",$J$2:$J$1000,"&gt;"&amp;J701)+COUNTIFS($GA$2:$GA$1000,"Y",$J$2:$J$1000,J701,$GD$2:$GD$1000,"&lt;"&amp;GD701)+1,""))</f>
        <v/>
      </c>
      <c r="GC701" s="0" t="str">
        <f aca="false">IF(AND(_xlfn.ISFORMULA(C701),_xlfn.ISFORMULA(J701)),"Y","N")</f>
        <v>Y</v>
      </c>
      <c r="GD701" s="0" t="n">
        <f aca="false">ROW()-1</f>
        <v>700</v>
      </c>
    </row>
    <row r="702" customFormat="false" ht="15" hidden="false" customHeight="false" outlineLevel="0" collapsed="false">
      <c r="C702" s="0" t="str">
        <f aca="false">IF($A702="","",IF(AW702="Y",BM702&amp;"",AY702&amp;""))</f>
        <v/>
      </c>
      <c r="D702" s="0" t="str">
        <f aca="false">IF($A702="","",IF(AW702="Y",BN702&amp;"",AZ702&amp;""))</f>
        <v/>
      </c>
      <c r="E702" s="0" t="str">
        <f aca="false">IF($A702="","",IF(AW702="Y",BO702&amp;"",BA702&amp;""))</f>
        <v/>
      </c>
      <c r="F702" s="0" t="str">
        <f aca="false">IF($A702="","",IF(AW702="Y",BP702&amp;"",BB702&amp;""))</f>
        <v/>
      </c>
      <c r="G702" s="0" t="str">
        <f aca="false">IF($A702="","",IF(AW702="Y",BQ702&amp;"",BC702&amp;""))</f>
        <v/>
      </c>
      <c r="H702" s="0" t="str">
        <f aca="false">IF($A702="","",IF(AW702="Y",BR702&amp;"",BD702&amp;""))</f>
        <v/>
      </c>
      <c r="I702" s="0" t="str">
        <f aca="false">IF($A702="","",IF(R702="Y","warm-intro",IF(H702="verified","email",IF(C702&lt;&gt;"","linkedin",CB702&amp;""))))</f>
        <v/>
      </c>
      <c r="J702" s="0" t="str">
        <f aca="false">IF($A702="","",IF(CN702="pass",ROUND(N(EM702)+N(EN702)+N(EO702)+N(EP702)+N(EQ702)+N(ER702),1),0))</f>
        <v/>
      </c>
      <c r="K702" s="0" t="str">
        <f aca="false">IF($A702="","",IF(CN702&lt;&gt;"pass",CA702&amp;"",CA702&amp;"; "&amp;IF(AW702="Y",BZ702&amp;"",BL702&amp;"")&amp;IF(R702="Y","; known to the founder (+15)","")&amp;"."))</f>
        <v/>
      </c>
      <c r="R702" s="5"/>
      <c r="U702" s="5"/>
      <c r="Y702" s="0" t="str">
        <f aca="false">IF(FX702&lt;&gt;"Y","",COUNTIFS($FX$2:$FX$1000,"Y",$J$2:$J$1000,"&gt;"&amp;J702)+COUNTIFS($FX$2:$FX$1000,"Y",$J$2:$J$1000,J702,$GD$2:$GD$1000,"&lt;"&amp;GD702)+1)</f>
        <v/>
      </c>
      <c r="AB702" s="0" t="str">
        <f aca="false">IF($A702="","",IF(AW702="Y",BY702&amp;"",BK702&amp;""))</f>
        <v/>
      </c>
      <c r="AC702" s="0" t="str">
        <f aca="false">IF($A702="","",IF(AW702="Y",BS702&amp;"",BE702&amp;""))</f>
        <v/>
      </c>
      <c r="AD702" s="0" t="str">
        <f aca="false">IF($A702="","",IF(AW702="Y",BT702&amp;"",BF702&amp;""))</f>
        <v/>
      </c>
      <c r="AE702" s="0" t="str">
        <f aca="false">IF($A702="","",IF(AW702="Y",BU702&amp;"",BG702&amp;""))</f>
        <v/>
      </c>
      <c r="AF702" s="0" t="str">
        <f aca="false">IF($A702="","",IF(AW702="Y",BV702&amp;"",BH702&amp;""))</f>
        <v/>
      </c>
      <c r="AG702" s="0" t="str">
        <f aca="false">IF($A702="","",IF(AW702="Y",BW702&amp;"",BI702&amp;""))</f>
        <v/>
      </c>
      <c r="AH702" s="0" t="str">
        <f aca="false">IF($A702="","",IF(AW702="Y",BX702&amp;"",BJ702&amp;""))</f>
        <v/>
      </c>
      <c r="AQ702" s="5"/>
      <c r="AT702" s="0" t="str">
        <f aca="false">IF($A702="","",IF(AND(CN702="pass",AQ702&lt;&gt;"Y",C702&lt;&gt;"",OR(AX702&lt;&gt;"Y",AV702="Y")),"Y","N"))</f>
        <v/>
      </c>
      <c r="AU702" s="0" t="str">
        <f aca="false">IF($A702="","",_xlfn.TEXTJOIN("; ",TRUE(),IF(CN702&lt;&gt;"pass","gated out",""),IF(AQ702="Y","on hold: "&amp;AR702,""),IF(C702="","no contact named on an opened page",""),IF(AND(AX702="Y",AV702&lt;&gt;"Y"),"Tuesday estimate band "&amp;L702&amp;": founder's call","")))</f>
        <v/>
      </c>
      <c r="BC702" s="0" t="str">
        <f aca="false">IF($A702="","",IFERROR(INDEX(Enrichment!$A$2:$GZ$2000,MATCH($A702,INDEX(Enrichment!$A$2:$GZ$2000,0,MATCH("row_id",Enrichment!$A$1:$GZ$1,0)),0),MATCH("work_email",Enrichment!$A$1:$GZ$1,0))&amp;"",""))</f>
        <v/>
      </c>
      <c r="BD702" s="0" t="str">
        <f aca="false">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Q702" s="0" t="str">
        <f aca="false">IF($A702="","",IFERROR(INDEX(Enrichment!$A$2:$GZ$2000,MATCH($A702,INDEX(Enrichment!$A$2:$GZ$2000,0,MATCH("row_id",Enrichment!$A$1:$GZ$1,0)),0),MATCH("backup_work_email",Enrichment!$A$1:$GZ$1,0))&amp;"",""))</f>
        <v/>
      </c>
      <c r="BR702" s="0" t="str">
        <f aca="false">IF($A702="","",IF(BQ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EQ702" s="0" t="str">
        <f aca="false">IF($A702="","",IF(AH702="exact",10,IF(AH702="adjacent",5,0)))</f>
        <v/>
      </c>
      <c r="ER702" s="0" t="str">
        <f aca="false">IF($A702="","",IF(R702="Y",15,0))</f>
        <v/>
      </c>
      <c r="FS702" s="0" t="str">
        <f aca="false">IF($A702="","",IF(ISNUMBER(MATCH(U702,{"queued","contacted","replied","call_booked","call_done","yes_in_principle","materials_sent"},0)),"Y","N"))</f>
        <v/>
      </c>
      <c r="FT702" s="0" t="str">
        <f aca="false">IF($A702="","",IF(OR(T702="Y",U702="do_not_contact",AS702&amp;""&lt;&gt;""),"Y","N"))</f>
        <v/>
      </c>
      <c r="FU702" s="0" t="str">
        <f aca="false">IF($A702="","",IF(AP702&amp;""&lt;&gt;"",AP702&amp;"",$A702))</f>
        <v/>
      </c>
      <c r="FV702" s="0" t="str">
        <f aca="false">IF($A702="","",IF(COUNTIFS($FU$2:$FU$1000,FU702,$FS$2:$FS$1000,"Y")+COUNTIFS($FU$2:$FU$1000,FU702,$FT$2:$FT$1000,"Y")&gt;0,"Y","N"))</f>
        <v/>
      </c>
      <c r="FW702" s="0" t="str">
        <f aca="false">IF($A702="","",IF(AND(U702="new",T702="N",FT702="N",AT702="Y",FV702="N"),"Y","N"))</f>
        <v/>
      </c>
      <c r="FX702" s="0" t="str">
        <f aca="false">IF($A702="","",IF(FW702&lt;&gt;"Y","N",IF(COUNTIFS($FU$2:$FU$1000,FU702,$FW$2:$FW$1000,"Y",$J$2:$J$1000,"&gt;"&amp;J702)+COUNTIFS($FU$2:$FU$1000,FU702,$FW$2:$FW$1000,"Y",$J$2:$J$1000,J702,$GD$2:$GD$1000,"&lt;"&amp;GD702)=0,"Y","N")))</f>
        <v/>
      </c>
      <c r="FY702" s="0" t="str">
        <f aca="false">IF($A702="","",IF(AND(FW702="Y",FX702="Y",Y702&amp;""&lt;&gt;""),IF(Y702&lt;=10,"Y","N"),"N"))</f>
        <v/>
      </c>
      <c r="FZ702" s="0" t="str">
        <f aca="false">IF(FY702="Y",Y702,"")</f>
        <v/>
      </c>
      <c r="GA702" s="0" t="str">
        <f aca="false">IF($A702="","",IF(AND(I702="walk-in",CN702="pass",U702="new",FT702="N",FV702="N",AQ702&lt;&gt;"Y"),"Y","N"))</f>
        <v/>
      </c>
      <c r="GB702" s="0" t="str">
        <f aca="false">IF(GA702&lt;&gt;"Y","",IF(COUNTIFS($GA$2:$GA$1000,"Y",$J$2:$J$1000,"&gt;"&amp;J702)+COUNTIFS($GA$2:$GA$1000,"Y",$J$2:$J$1000,J702,$GD$2:$GD$1000,"&lt;"&amp;GD702)+1&lt;=25,COUNTIFS($GA$2:$GA$1000,"Y",$J$2:$J$1000,"&gt;"&amp;J702)+COUNTIFS($GA$2:$GA$1000,"Y",$J$2:$J$1000,J702,$GD$2:$GD$1000,"&lt;"&amp;GD702)+1,""))</f>
        <v/>
      </c>
      <c r="GC702" s="0" t="str">
        <f aca="false">IF(AND(_xlfn.ISFORMULA(C702),_xlfn.ISFORMULA(J702)),"Y","N")</f>
        <v>Y</v>
      </c>
      <c r="GD702" s="0" t="n">
        <f aca="false">ROW()-1</f>
        <v>701</v>
      </c>
    </row>
    <row r="703" customFormat="false" ht="15" hidden="false" customHeight="false" outlineLevel="0" collapsed="false">
      <c r="C703" s="0" t="str">
        <f aca="false">IF($A703="","",IF(AW703="Y",BM703&amp;"",AY703&amp;""))</f>
        <v/>
      </c>
      <c r="D703" s="0" t="str">
        <f aca="false">IF($A703="","",IF(AW703="Y",BN703&amp;"",AZ703&amp;""))</f>
        <v/>
      </c>
      <c r="E703" s="0" t="str">
        <f aca="false">IF($A703="","",IF(AW703="Y",BO703&amp;"",BA703&amp;""))</f>
        <v/>
      </c>
      <c r="F703" s="0" t="str">
        <f aca="false">IF($A703="","",IF(AW703="Y",BP703&amp;"",BB703&amp;""))</f>
        <v/>
      </c>
      <c r="G703" s="0" t="str">
        <f aca="false">IF($A703="","",IF(AW703="Y",BQ703&amp;"",BC703&amp;""))</f>
        <v/>
      </c>
      <c r="H703" s="0" t="str">
        <f aca="false">IF($A703="","",IF(AW703="Y",BR703&amp;"",BD703&amp;""))</f>
        <v/>
      </c>
      <c r="I703" s="0" t="str">
        <f aca="false">IF($A703="","",IF(R703="Y","warm-intro",IF(H703="verified","email",IF(C703&lt;&gt;"","linkedin",CB703&amp;""))))</f>
        <v/>
      </c>
      <c r="J703" s="0" t="str">
        <f aca="false">IF($A703="","",IF(CN703="pass",ROUND(N(EM703)+N(EN703)+N(EO703)+N(EP703)+N(EQ703)+N(ER703),1),0))</f>
        <v/>
      </c>
      <c r="K703" s="0" t="str">
        <f aca="false">IF($A703="","",IF(CN703&lt;&gt;"pass",CA703&amp;"",CA703&amp;"; "&amp;IF(AW703="Y",BZ703&amp;"",BL703&amp;"")&amp;IF(R703="Y","; known to the founder (+15)","")&amp;"."))</f>
        <v/>
      </c>
      <c r="R703" s="5"/>
      <c r="U703" s="5"/>
      <c r="Y703" s="0" t="str">
        <f aca="false">IF(FX703&lt;&gt;"Y","",COUNTIFS($FX$2:$FX$1000,"Y",$J$2:$J$1000,"&gt;"&amp;J703)+COUNTIFS($FX$2:$FX$1000,"Y",$J$2:$J$1000,J703,$GD$2:$GD$1000,"&lt;"&amp;GD703)+1)</f>
        <v/>
      </c>
      <c r="AB703" s="0" t="str">
        <f aca="false">IF($A703="","",IF(AW703="Y",BY703&amp;"",BK703&amp;""))</f>
        <v/>
      </c>
      <c r="AC703" s="0" t="str">
        <f aca="false">IF($A703="","",IF(AW703="Y",BS703&amp;"",BE703&amp;""))</f>
        <v/>
      </c>
      <c r="AD703" s="0" t="str">
        <f aca="false">IF($A703="","",IF(AW703="Y",BT703&amp;"",BF703&amp;""))</f>
        <v/>
      </c>
      <c r="AE703" s="0" t="str">
        <f aca="false">IF($A703="","",IF(AW703="Y",BU703&amp;"",BG703&amp;""))</f>
        <v/>
      </c>
      <c r="AF703" s="0" t="str">
        <f aca="false">IF($A703="","",IF(AW703="Y",BV703&amp;"",BH703&amp;""))</f>
        <v/>
      </c>
      <c r="AG703" s="0" t="str">
        <f aca="false">IF($A703="","",IF(AW703="Y",BW703&amp;"",BI703&amp;""))</f>
        <v/>
      </c>
      <c r="AH703" s="0" t="str">
        <f aca="false">IF($A703="","",IF(AW703="Y",BX703&amp;"",BJ703&amp;""))</f>
        <v/>
      </c>
      <c r="AQ703" s="5"/>
      <c r="AT703" s="0" t="str">
        <f aca="false">IF($A703="","",IF(AND(CN703="pass",AQ703&lt;&gt;"Y",C703&lt;&gt;"",OR(AX703&lt;&gt;"Y",AV703="Y")),"Y","N"))</f>
        <v/>
      </c>
      <c r="AU703" s="0" t="str">
        <f aca="false">IF($A703="","",_xlfn.TEXTJOIN("; ",TRUE(),IF(CN703&lt;&gt;"pass","gated out",""),IF(AQ703="Y","on hold: "&amp;AR703,""),IF(C703="","no contact named on an opened page",""),IF(AND(AX703="Y",AV703&lt;&gt;"Y"),"Tuesday estimate band "&amp;L703&amp;": founder's call","")))</f>
        <v/>
      </c>
      <c r="BC703" s="0" t="str">
        <f aca="false">IF($A703="","",IFERROR(INDEX(Enrichment!$A$2:$GZ$2000,MATCH($A703,INDEX(Enrichment!$A$2:$GZ$2000,0,MATCH("row_id",Enrichment!$A$1:$GZ$1,0)),0),MATCH("work_email",Enrichment!$A$1:$GZ$1,0))&amp;"",""))</f>
        <v/>
      </c>
      <c r="BD703" s="0" t="str">
        <f aca="false">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Q703" s="0" t="str">
        <f aca="false">IF($A703="","",IFERROR(INDEX(Enrichment!$A$2:$GZ$2000,MATCH($A703,INDEX(Enrichment!$A$2:$GZ$2000,0,MATCH("row_id",Enrichment!$A$1:$GZ$1,0)),0),MATCH("backup_work_email",Enrichment!$A$1:$GZ$1,0))&amp;"",""))</f>
        <v/>
      </c>
      <c r="BR703" s="0" t="str">
        <f aca="false">IF($A703="","",IF(BQ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EQ703" s="0" t="str">
        <f aca="false">IF($A703="","",IF(AH703="exact",10,IF(AH703="adjacent",5,0)))</f>
        <v/>
      </c>
      <c r="ER703" s="0" t="str">
        <f aca="false">IF($A703="","",IF(R703="Y",15,0))</f>
        <v/>
      </c>
      <c r="FS703" s="0" t="str">
        <f aca="false">IF($A703="","",IF(ISNUMBER(MATCH(U703,{"queued","contacted","replied","call_booked","call_done","yes_in_principle","materials_sent"},0)),"Y","N"))</f>
        <v/>
      </c>
      <c r="FT703" s="0" t="str">
        <f aca="false">IF($A703="","",IF(OR(T703="Y",U703="do_not_contact",AS703&amp;""&lt;&gt;""),"Y","N"))</f>
        <v/>
      </c>
      <c r="FU703" s="0" t="str">
        <f aca="false">IF($A703="","",IF(AP703&amp;""&lt;&gt;"",AP703&amp;"",$A703))</f>
        <v/>
      </c>
      <c r="FV703" s="0" t="str">
        <f aca="false">IF($A703="","",IF(COUNTIFS($FU$2:$FU$1000,FU703,$FS$2:$FS$1000,"Y")+COUNTIFS($FU$2:$FU$1000,FU703,$FT$2:$FT$1000,"Y")&gt;0,"Y","N"))</f>
        <v/>
      </c>
      <c r="FW703" s="0" t="str">
        <f aca="false">IF($A703="","",IF(AND(U703="new",T703="N",FT703="N",AT703="Y",FV703="N"),"Y","N"))</f>
        <v/>
      </c>
      <c r="FX703" s="0" t="str">
        <f aca="false">IF($A703="","",IF(FW703&lt;&gt;"Y","N",IF(COUNTIFS($FU$2:$FU$1000,FU703,$FW$2:$FW$1000,"Y",$J$2:$J$1000,"&gt;"&amp;J703)+COUNTIFS($FU$2:$FU$1000,FU703,$FW$2:$FW$1000,"Y",$J$2:$J$1000,J703,$GD$2:$GD$1000,"&lt;"&amp;GD703)=0,"Y","N")))</f>
        <v/>
      </c>
      <c r="FY703" s="0" t="str">
        <f aca="false">IF($A703="","",IF(AND(FW703="Y",FX703="Y",Y703&amp;""&lt;&gt;""),IF(Y703&lt;=10,"Y","N"),"N"))</f>
        <v/>
      </c>
      <c r="FZ703" s="0" t="str">
        <f aca="false">IF(FY703="Y",Y703,"")</f>
        <v/>
      </c>
      <c r="GA703" s="0" t="str">
        <f aca="false">IF($A703="","",IF(AND(I703="walk-in",CN703="pass",U703="new",FT703="N",FV703="N",AQ703&lt;&gt;"Y"),"Y","N"))</f>
        <v/>
      </c>
      <c r="GB703" s="0" t="str">
        <f aca="false">IF(GA703&lt;&gt;"Y","",IF(COUNTIFS($GA$2:$GA$1000,"Y",$J$2:$J$1000,"&gt;"&amp;J703)+COUNTIFS($GA$2:$GA$1000,"Y",$J$2:$J$1000,J703,$GD$2:$GD$1000,"&lt;"&amp;GD703)+1&lt;=25,COUNTIFS($GA$2:$GA$1000,"Y",$J$2:$J$1000,"&gt;"&amp;J703)+COUNTIFS($GA$2:$GA$1000,"Y",$J$2:$J$1000,J703,$GD$2:$GD$1000,"&lt;"&amp;GD703)+1,""))</f>
        <v/>
      </c>
      <c r="GC703" s="0" t="str">
        <f aca="false">IF(AND(_xlfn.ISFORMULA(C703),_xlfn.ISFORMULA(J703)),"Y","N")</f>
        <v>Y</v>
      </c>
      <c r="GD703" s="0" t="n">
        <f aca="false">ROW()-1</f>
        <v>702</v>
      </c>
    </row>
    <row r="704" customFormat="false" ht="15" hidden="false" customHeight="false" outlineLevel="0" collapsed="false">
      <c r="C704" s="0" t="str">
        <f aca="false">IF($A704="","",IF(AW704="Y",BM704&amp;"",AY704&amp;""))</f>
        <v/>
      </c>
      <c r="D704" s="0" t="str">
        <f aca="false">IF($A704="","",IF(AW704="Y",BN704&amp;"",AZ704&amp;""))</f>
        <v/>
      </c>
      <c r="E704" s="0" t="str">
        <f aca="false">IF($A704="","",IF(AW704="Y",BO704&amp;"",BA704&amp;""))</f>
        <v/>
      </c>
      <c r="F704" s="0" t="str">
        <f aca="false">IF($A704="","",IF(AW704="Y",BP704&amp;"",BB704&amp;""))</f>
        <v/>
      </c>
      <c r="G704" s="0" t="str">
        <f aca="false">IF($A704="","",IF(AW704="Y",BQ704&amp;"",BC704&amp;""))</f>
        <v/>
      </c>
      <c r="H704" s="0" t="str">
        <f aca="false">IF($A704="","",IF(AW704="Y",BR704&amp;"",BD704&amp;""))</f>
        <v/>
      </c>
      <c r="I704" s="0" t="str">
        <f aca="false">IF($A704="","",IF(R704="Y","warm-intro",IF(H704="verified","email",IF(C704&lt;&gt;"","linkedin",CB704&amp;""))))</f>
        <v/>
      </c>
      <c r="J704" s="0" t="str">
        <f aca="false">IF($A704="","",IF(CN704="pass",ROUND(N(EM704)+N(EN704)+N(EO704)+N(EP704)+N(EQ704)+N(ER704),1),0))</f>
        <v/>
      </c>
      <c r="K704" s="0" t="str">
        <f aca="false">IF($A704="","",IF(CN704&lt;&gt;"pass",CA704&amp;"",CA704&amp;"; "&amp;IF(AW704="Y",BZ704&amp;"",BL704&amp;"")&amp;IF(R704="Y","; known to the founder (+15)","")&amp;"."))</f>
        <v/>
      </c>
      <c r="R704" s="5"/>
      <c r="U704" s="5"/>
      <c r="Y704" s="0" t="str">
        <f aca="false">IF(FX704&lt;&gt;"Y","",COUNTIFS($FX$2:$FX$1000,"Y",$J$2:$J$1000,"&gt;"&amp;J704)+COUNTIFS($FX$2:$FX$1000,"Y",$J$2:$J$1000,J704,$GD$2:$GD$1000,"&lt;"&amp;GD704)+1)</f>
        <v/>
      </c>
      <c r="AB704" s="0" t="str">
        <f aca="false">IF($A704="","",IF(AW704="Y",BY704&amp;"",BK704&amp;""))</f>
        <v/>
      </c>
      <c r="AC704" s="0" t="str">
        <f aca="false">IF($A704="","",IF(AW704="Y",BS704&amp;"",BE704&amp;""))</f>
        <v/>
      </c>
      <c r="AD704" s="0" t="str">
        <f aca="false">IF($A704="","",IF(AW704="Y",BT704&amp;"",BF704&amp;""))</f>
        <v/>
      </c>
      <c r="AE704" s="0" t="str">
        <f aca="false">IF($A704="","",IF(AW704="Y",BU704&amp;"",BG704&amp;""))</f>
        <v/>
      </c>
      <c r="AF704" s="0" t="str">
        <f aca="false">IF($A704="","",IF(AW704="Y",BV704&amp;"",BH704&amp;""))</f>
        <v/>
      </c>
      <c r="AG704" s="0" t="str">
        <f aca="false">IF($A704="","",IF(AW704="Y",BW704&amp;"",BI704&amp;""))</f>
        <v/>
      </c>
      <c r="AH704" s="0" t="str">
        <f aca="false">IF($A704="","",IF(AW704="Y",BX704&amp;"",BJ704&amp;""))</f>
        <v/>
      </c>
      <c r="AQ704" s="5"/>
      <c r="AT704" s="0" t="str">
        <f aca="false">IF($A704="","",IF(AND(CN704="pass",AQ704&lt;&gt;"Y",C704&lt;&gt;"",OR(AX704&lt;&gt;"Y",AV704="Y")),"Y","N"))</f>
        <v/>
      </c>
      <c r="AU704" s="0" t="str">
        <f aca="false">IF($A704="","",_xlfn.TEXTJOIN("; ",TRUE(),IF(CN704&lt;&gt;"pass","gated out",""),IF(AQ704="Y","on hold: "&amp;AR704,""),IF(C704="","no contact named on an opened page",""),IF(AND(AX704="Y",AV704&lt;&gt;"Y"),"Tuesday estimate band "&amp;L704&amp;": founder's call","")))</f>
        <v/>
      </c>
      <c r="BC704" s="0" t="str">
        <f aca="false">IF($A704="","",IFERROR(INDEX(Enrichment!$A$2:$GZ$2000,MATCH($A704,INDEX(Enrichment!$A$2:$GZ$2000,0,MATCH("row_id",Enrichment!$A$1:$GZ$1,0)),0),MATCH("work_email",Enrichment!$A$1:$GZ$1,0))&amp;"",""))</f>
        <v/>
      </c>
      <c r="BD704" s="0" t="str">
        <f aca="false">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Q704" s="0" t="str">
        <f aca="false">IF($A704="","",IFERROR(INDEX(Enrichment!$A$2:$GZ$2000,MATCH($A704,INDEX(Enrichment!$A$2:$GZ$2000,0,MATCH("row_id",Enrichment!$A$1:$GZ$1,0)),0),MATCH("backup_work_email",Enrichment!$A$1:$GZ$1,0))&amp;"",""))</f>
        <v/>
      </c>
      <c r="BR704" s="0" t="str">
        <f aca="false">IF($A704="","",IF(BQ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EQ704" s="0" t="str">
        <f aca="false">IF($A704="","",IF(AH704="exact",10,IF(AH704="adjacent",5,0)))</f>
        <v/>
      </c>
      <c r="ER704" s="0" t="str">
        <f aca="false">IF($A704="","",IF(R704="Y",15,0))</f>
        <v/>
      </c>
      <c r="FS704" s="0" t="str">
        <f aca="false">IF($A704="","",IF(ISNUMBER(MATCH(U704,{"queued","contacted","replied","call_booked","call_done","yes_in_principle","materials_sent"},0)),"Y","N"))</f>
        <v/>
      </c>
      <c r="FT704" s="0" t="str">
        <f aca="false">IF($A704="","",IF(OR(T704="Y",U704="do_not_contact",AS704&amp;""&lt;&gt;""),"Y","N"))</f>
        <v/>
      </c>
      <c r="FU704" s="0" t="str">
        <f aca="false">IF($A704="","",IF(AP704&amp;""&lt;&gt;"",AP704&amp;"",$A704))</f>
        <v/>
      </c>
      <c r="FV704" s="0" t="str">
        <f aca="false">IF($A704="","",IF(COUNTIFS($FU$2:$FU$1000,FU704,$FS$2:$FS$1000,"Y")+COUNTIFS($FU$2:$FU$1000,FU704,$FT$2:$FT$1000,"Y")&gt;0,"Y","N"))</f>
        <v/>
      </c>
      <c r="FW704" s="0" t="str">
        <f aca="false">IF($A704="","",IF(AND(U704="new",T704="N",FT704="N",AT704="Y",FV704="N"),"Y","N"))</f>
        <v/>
      </c>
      <c r="FX704" s="0" t="str">
        <f aca="false">IF($A704="","",IF(FW704&lt;&gt;"Y","N",IF(COUNTIFS($FU$2:$FU$1000,FU704,$FW$2:$FW$1000,"Y",$J$2:$J$1000,"&gt;"&amp;J704)+COUNTIFS($FU$2:$FU$1000,FU704,$FW$2:$FW$1000,"Y",$J$2:$J$1000,J704,$GD$2:$GD$1000,"&lt;"&amp;GD704)=0,"Y","N")))</f>
        <v/>
      </c>
      <c r="FY704" s="0" t="str">
        <f aca="false">IF($A704="","",IF(AND(FW704="Y",FX704="Y",Y704&amp;""&lt;&gt;""),IF(Y704&lt;=10,"Y","N"),"N"))</f>
        <v/>
      </c>
      <c r="FZ704" s="0" t="str">
        <f aca="false">IF(FY704="Y",Y704,"")</f>
        <v/>
      </c>
      <c r="GA704" s="0" t="str">
        <f aca="false">IF($A704="","",IF(AND(I704="walk-in",CN704="pass",U704="new",FT704="N",FV704="N",AQ704&lt;&gt;"Y"),"Y","N"))</f>
        <v/>
      </c>
      <c r="GB704" s="0" t="str">
        <f aca="false">IF(GA704&lt;&gt;"Y","",IF(COUNTIFS($GA$2:$GA$1000,"Y",$J$2:$J$1000,"&gt;"&amp;J704)+COUNTIFS($GA$2:$GA$1000,"Y",$J$2:$J$1000,J704,$GD$2:$GD$1000,"&lt;"&amp;GD704)+1&lt;=25,COUNTIFS($GA$2:$GA$1000,"Y",$J$2:$J$1000,"&gt;"&amp;J704)+COUNTIFS($GA$2:$GA$1000,"Y",$J$2:$J$1000,J704,$GD$2:$GD$1000,"&lt;"&amp;GD704)+1,""))</f>
        <v/>
      </c>
      <c r="GC704" s="0" t="str">
        <f aca="false">IF(AND(_xlfn.ISFORMULA(C704),_xlfn.ISFORMULA(J704)),"Y","N")</f>
        <v>Y</v>
      </c>
      <c r="GD704" s="0" t="n">
        <f aca="false">ROW()-1</f>
        <v>703</v>
      </c>
    </row>
    <row r="705" customFormat="false" ht="15" hidden="false" customHeight="false" outlineLevel="0" collapsed="false">
      <c r="C705" s="0" t="str">
        <f aca="false">IF($A705="","",IF(AW705="Y",BM705&amp;"",AY705&amp;""))</f>
        <v/>
      </c>
      <c r="D705" s="0" t="str">
        <f aca="false">IF($A705="","",IF(AW705="Y",BN705&amp;"",AZ705&amp;""))</f>
        <v/>
      </c>
      <c r="E705" s="0" t="str">
        <f aca="false">IF($A705="","",IF(AW705="Y",BO705&amp;"",BA705&amp;""))</f>
        <v/>
      </c>
      <c r="F705" s="0" t="str">
        <f aca="false">IF($A705="","",IF(AW705="Y",BP705&amp;"",BB705&amp;""))</f>
        <v/>
      </c>
      <c r="G705" s="0" t="str">
        <f aca="false">IF($A705="","",IF(AW705="Y",BQ705&amp;"",BC705&amp;""))</f>
        <v/>
      </c>
      <c r="H705" s="0" t="str">
        <f aca="false">IF($A705="","",IF(AW705="Y",BR705&amp;"",BD705&amp;""))</f>
        <v/>
      </c>
      <c r="I705" s="0" t="str">
        <f aca="false">IF($A705="","",IF(R705="Y","warm-intro",IF(H705="verified","email",IF(C705&lt;&gt;"","linkedin",CB705&amp;""))))</f>
        <v/>
      </c>
      <c r="J705" s="0" t="str">
        <f aca="false">IF($A705="","",IF(CN705="pass",ROUND(N(EM705)+N(EN705)+N(EO705)+N(EP705)+N(EQ705)+N(ER705),1),0))</f>
        <v/>
      </c>
      <c r="K705" s="0" t="str">
        <f aca="false">IF($A705="","",IF(CN705&lt;&gt;"pass",CA705&amp;"",CA705&amp;"; "&amp;IF(AW705="Y",BZ705&amp;"",BL705&amp;"")&amp;IF(R705="Y","; known to the founder (+15)","")&amp;"."))</f>
        <v/>
      </c>
      <c r="R705" s="5"/>
      <c r="U705" s="5"/>
      <c r="Y705" s="0" t="str">
        <f aca="false">IF(FX705&lt;&gt;"Y","",COUNTIFS($FX$2:$FX$1000,"Y",$J$2:$J$1000,"&gt;"&amp;J705)+COUNTIFS($FX$2:$FX$1000,"Y",$J$2:$J$1000,J705,$GD$2:$GD$1000,"&lt;"&amp;GD705)+1)</f>
        <v/>
      </c>
      <c r="AB705" s="0" t="str">
        <f aca="false">IF($A705="","",IF(AW705="Y",BY705&amp;"",BK705&amp;""))</f>
        <v/>
      </c>
      <c r="AC705" s="0" t="str">
        <f aca="false">IF($A705="","",IF(AW705="Y",BS705&amp;"",BE705&amp;""))</f>
        <v/>
      </c>
      <c r="AD705" s="0" t="str">
        <f aca="false">IF($A705="","",IF(AW705="Y",BT705&amp;"",BF705&amp;""))</f>
        <v/>
      </c>
      <c r="AE705" s="0" t="str">
        <f aca="false">IF($A705="","",IF(AW705="Y",BU705&amp;"",BG705&amp;""))</f>
        <v/>
      </c>
      <c r="AF705" s="0" t="str">
        <f aca="false">IF($A705="","",IF(AW705="Y",BV705&amp;"",BH705&amp;""))</f>
        <v/>
      </c>
      <c r="AG705" s="0" t="str">
        <f aca="false">IF($A705="","",IF(AW705="Y",BW705&amp;"",BI705&amp;""))</f>
        <v/>
      </c>
      <c r="AH705" s="0" t="str">
        <f aca="false">IF($A705="","",IF(AW705="Y",BX705&amp;"",BJ705&amp;""))</f>
        <v/>
      </c>
      <c r="AQ705" s="5"/>
      <c r="AT705" s="0" t="str">
        <f aca="false">IF($A705="","",IF(AND(CN705="pass",AQ705&lt;&gt;"Y",C705&lt;&gt;"",OR(AX705&lt;&gt;"Y",AV705="Y")),"Y","N"))</f>
        <v/>
      </c>
      <c r="AU705" s="0" t="str">
        <f aca="false">IF($A705="","",_xlfn.TEXTJOIN("; ",TRUE(),IF(CN705&lt;&gt;"pass","gated out",""),IF(AQ705="Y","on hold: "&amp;AR705,""),IF(C705="","no contact named on an opened page",""),IF(AND(AX705="Y",AV705&lt;&gt;"Y"),"Tuesday estimate band "&amp;L705&amp;": founder's call","")))</f>
        <v/>
      </c>
      <c r="BC705" s="0" t="str">
        <f aca="false">IF($A705="","",IFERROR(INDEX(Enrichment!$A$2:$GZ$2000,MATCH($A705,INDEX(Enrichment!$A$2:$GZ$2000,0,MATCH("row_id",Enrichment!$A$1:$GZ$1,0)),0),MATCH("work_email",Enrichment!$A$1:$GZ$1,0))&amp;"",""))</f>
        <v/>
      </c>
      <c r="BD705" s="0" t="str">
        <f aca="false">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Q705" s="0" t="str">
        <f aca="false">IF($A705="","",IFERROR(INDEX(Enrichment!$A$2:$GZ$2000,MATCH($A705,INDEX(Enrichment!$A$2:$GZ$2000,0,MATCH("row_id",Enrichment!$A$1:$GZ$1,0)),0),MATCH("backup_work_email",Enrichment!$A$1:$GZ$1,0))&amp;"",""))</f>
        <v/>
      </c>
      <c r="BR705" s="0" t="str">
        <f aca="false">IF($A705="","",IF(BQ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EQ705" s="0" t="str">
        <f aca="false">IF($A705="","",IF(AH705="exact",10,IF(AH705="adjacent",5,0)))</f>
        <v/>
      </c>
      <c r="ER705" s="0" t="str">
        <f aca="false">IF($A705="","",IF(R705="Y",15,0))</f>
        <v/>
      </c>
      <c r="FS705" s="0" t="str">
        <f aca="false">IF($A705="","",IF(ISNUMBER(MATCH(U705,{"queued","contacted","replied","call_booked","call_done","yes_in_principle","materials_sent"},0)),"Y","N"))</f>
        <v/>
      </c>
      <c r="FT705" s="0" t="str">
        <f aca="false">IF($A705="","",IF(OR(T705="Y",U705="do_not_contact",AS705&amp;""&lt;&gt;""),"Y","N"))</f>
        <v/>
      </c>
      <c r="FU705" s="0" t="str">
        <f aca="false">IF($A705="","",IF(AP705&amp;""&lt;&gt;"",AP705&amp;"",$A705))</f>
        <v/>
      </c>
      <c r="FV705" s="0" t="str">
        <f aca="false">IF($A705="","",IF(COUNTIFS($FU$2:$FU$1000,FU705,$FS$2:$FS$1000,"Y")+COUNTIFS($FU$2:$FU$1000,FU705,$FT$2:$FT$1000,"Y")&gt;0,"Y","N"))</f>
        <v/>
      </c>
      <c r="FW705" s="0" t="str">
        <f aca="false">IF($A705="","",IF(AND(U705="new",T705="N",FT705="N",AT705="Y",FV705="N"),"Y","N"))</f>
        <v/>
      </c>
      <c r="FX705" s="0" t="str">
        <f aca="false">IF($A705="","",IF(FW705&lt;&gt;"Y","N",IF(COUNTIFS($FU$2:$FU$1000,FU705,$FW$2:$FW$1000,"Y",$J$2:$J$1000,"&gt;"&amp;J705)+COUNTIFS($FU$2:$FU$1000,FU705,$FW$2:$FW$1000,"Y",$J$2:$J$1000,J705,$GD$2:$GD$1000,"&lt;"&amp;GD705)=0,"Y","N")))</f>
        <v/>
      </c>
      <c r="FY705" s="0" t="str">
        <f aca="false">IF($A705="","",IF(AND(FW705="Y",FX705="Y",Y705&amp;""&lt;&gt;""),IF(Y705&lt;=10,"Y","N"),"N"))</f>
        <v/>
      </c>
      <c r="FZ705" s="0" t="str">
        <f aca="false">IF(FY705="Y",Y705,"")</f>
        <v/>
      </c>
      <c r="GA705" s="0" t="str">
        <f aca="false">IF($A705="","",IF(AND(I705="walk-in",CN705="pass",U705="new",FT705="N",FV705="N",AQ705&lt;&gt;"Y"),"Y","N"))</f>
        <v/>
      </c>
      <c r="GB705" s="0" t="str">
        <f aca="false">IF(GA705&lt;&gt;"Y","",IF(COUNTIFS($GA$2:$GA$1000,"Y",$J$2:$J$1000,"&gt;"&amp;J705)+COUNTIFS($GA$2:$GA$1000,"Y",$J$2:$J$1000,J705,$GD$2:$GD$1000,"&lt;"&amp;GD705)+1&lt;=25,COUNTIFS($GA$2:$GA$1000,"Y",$J$2:$J$1000,"&gt;"&amp;J705)+COUNTIFS($GA$2:$GA$1000,"Y",$J$2:$J$1000,J705,$GD$2:$GD$1000,"&lt;"&amp;GD705)+1,""))</f>
        <v/>
      </c>
      <c r="GC705" s="0" t="str">
        <f aca="false">IF(AND(_xlfn.ISFORMULA(C705),_xlfn.ISFORMULA(J705)),"Y","N")</f>
        <v>Y</v>
      </c>
      <c r="GD705" s="0" t="n">
        <f aca="false">ROW()-1</f>
        <v>704</v>
      </c>
    </row>
    <row r="706" customFormat="false" ht="15" hidden="false" customHeight="false" outlineLevel="0" collapsed="false">
      <c r="C706" s="0" t="str">
        <f aca="false">IF($A706="","",IF(AW706="Y",BM706&amp;"",AY706&amp;""))</f>
        <v/>
      </c>
      <c r="D706" s="0" t="str">
        <f aca="false">IF($A706="","",IF(AW706="Y",BN706&amp;"",AZ706&amp;""))</f>
        <v/>
      </c>
      <c r="E706" s="0" t="str">
        <f aca="false">IF($A706="","",IF(AW706="Y",BO706&amp;"",BA706&amp;""))</f>
        <v/>
      </c>
      <c r="F706" s="0" t="str">
        <f aca="false">IF($A706="","",IF(AW706="Y",BP706&amp;"",BB706&amp;""))</f>
        <v/>
      </c>
      <c r="G706" s="0" t="str">
        <f aca="false">IF($A706="","",IF(AW706="Y",BQ706&amp;"",BC706&amp;""))</f>
        <v/>
      </c>
      <c r="H706" s="0" t="str">
        <f aca="false">IF($A706="","",IF(AW706="Y",BR706&amp;"",BD706&amp;""))</f>
        <v/>
      </c>
      <c r="I706" s="0" t="str">
        <f aca="false">IF($A706="","",IF(R706="Y","warm-intro",IF(H706="verified","email",IF(C706&lt;&gt;"","linkedin",CB706&amp;""))))</f>
        <v/>
      </c>
      <c r="J706" s="0" t="str">
        <f aca="false">IF($A706="","",IF(CN706="pass",ROUND(N(EM706)+N(EN706)+N(EO706)+N(EP706)+N(EQ706)+N(ER706),1),0))</f>
        <v/>
      </c>
      <c r="K706" s="0" t="str">
        <f aca="false">IF($A706="","",IF(CN706&lt;&gt;"pass",CA706&amp;"",CA706&amp;"; "&amp;IF(AW706="Y",BZ706&amp;"",BL706&amp;"")&amp;IF(R706="Y","; known to the founder (+15)","")&amp;"."))</f>
        <v/>
      </c>
      <c r="R706" s="5"/>
      <c r="U706" s="5"/>
      <c r="Y706" s="0" t="str">
        <f aca="false">IF(FX706&lt;&gt;"Y","",COUNTIFS($FX$2:$FX$1000,"Y",$J$2:$J$1000,"&gt;"&amp;J706)+COUNTIFS($FX$2:$FX$1000,"Y",$J$2:$J$1000,J706,$GD$2:$GD$1000,"&lt;"&amp;GD706)+1)</f>
        <v/>
      </c>
      <c r="AB706" s="0" t="str">
        <f aca="false">IF($A706="","",IF(AW706="Y",BY706&amp;"",BK706&amp;""))</f>
        <v/>
      </c>
      <c r="AC706" s="0" t="str">
        <f aca="false">IF($A706="","",IF(AW706="Y",BS706&amp;"",BE706&amp;""))</f>
        <v/>
      </c>
      <c r="AD706" s="0" t="str">
        <f aca="false">IF($A706="","",IF(AW706="Y",BT706&amp;"",BF706&amp;""))</f>
        <v/>
      </c>
      <c r="AE706" s="0" t="str">
        <f aca="false">IF($A706="","",IF(AW706="Y",BU706&amp;"",BG706&amp;""))</f>
        <v/>
      </c>
      <c r="AF706" s="0" t="str">
        <f aca="false">IF($A706="","",IF(AW706="Y",BV706&amp;"",BH706&amp;""))</f>
        <v/>
      </c>
      <c r="AG706" s="0" t="str">
        <f aca="false">IF($A706="","",IF(AW706="Y",BW706&amp;"",BI706&amp;""))</f>
        <v/>
      </c>
      <c r="AH706" s="0" t="str">
        <f aca="false">IF($A706="","",IF(AW706="Y",BX706&amp;"",BJ706&amp;""))</f>
        <v/>
      </c>
      <c r="AQ706" s="5"/>
      <c r="AT706" s="0" t="str">
        <f aca="false">IF($A706="","",IF(AND(CN706="pass",AQ706&lt;&gt;"Y",C706&lt;&gt;"",OR(AX706&lt;&gt;"Y",AV706="Y")),"Y","N"))</f>
        <v/>
      </c>
      <c r="AU706" s="0" t="str">
        <f aca="false">IF($A706="","",_xlfn.TEXTJOIN("; ",TRUE(),IF(CN706&lt;&gt;"pass","gated out",""),IF(AQ706="Y","on hold: "&amp;AR706,""),IF(C706="","no contact named on an opened page",""),IF(AND(AX706="Y",AV706&lt;&gt;"Y"),"Tuesday estimate band "&amp;L706&amp;": founder's call","")))</f>
        <v/>
      </c>
      <c r="BC706" s="0" t="str">
        <f aca="false">IF($A706="","",IFERROR(INDEX(Enrichment!$A$2:$GZ$2000,MATCH($A706,INDEX(Enrichment!$A$2:$GZ$2000,0,MATCH("row_id",Enrichment!$A$1:$GZ$1,0)),0),MATCH("work_email",Enrichment!$A$1:$GZ$1,0))&amp;"",""))</f>
        <v/>
      </c>
      <c r="BD706" s="0" t="str">
        <f aca="false">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Q706" s="0" t="str">
        <f aca="false">IF($A706="","",IFERROR(INDEX(Enrichment!$A$2:$GZ$2000,MATCH($A706,INDEX(Enrichment!$A$2:$GZ$2000,0,MATCH("row_id",Enrichment!$A$1:$GZ$1,0)),0),MATCH("backup_work_email",Enrichment!$A$1:$GZ$1,0))&amp;"",""))</f>
        <v/>
      </c>
      <c r="BR706" s="0" t="str">
        <f aca="false">IF($A706="","",IF(BQ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EQ706" s="0" t="str">
        <f aca="false">IF($A706="","",IF(AH706="exact",10,IF(AH706="adjacent",5,0)))</f>
        <v/>
      </c>
      <c r="ER706" s="0" t="str">
        <f aca="false">IF($A706="","",IF(R706="Y",15,0))</f>
        <v/>
      </c>
      <c r="FS706" s="0" t="str">
        <f aca="false">IF($A706="","",IF(ISNUMBER(MATCH(U706,{"queued","contacted","replied","call_booked","call_done","yes_in_principle","materials_sent"},0)),"Y","N"))</f>
        <v/>
      </c>
      <c r="FT706" s="0" t="str">
        <f aca="false">IF($A706="","",IF(OR(T706="Y",U706="do_not_contact",AS706&amp;""&lt;&gt;""),"Y","N"))</f>
        <v/>
      </c>
      <c r="FU706" s="0" t="str">
        <f aca="false">IF($A706="","",IF(AP706&amp;""&lt;&gt;"",AP706&amp;"",$A706))</f>
        <v/>
      </c>
      <c r="FV706" s="0" t="str">
        <f aca="false">IF($A706="","",IF(COUNTIFS($FU$2:$FU$1000,FU706,$FS$2:$FS$1000,"Y")+COUNTIFS($FU$2:$FU$1000,FU706,$FT$2:$FT$1000,"Y")&gt;0,"Y","N"))</f>
        <v/>
      </c>
      <c r="FW706" s="0" t="str">
        <f aca="false">IF($A706="","",IF(AND(U706="new",T706="N",FT706="N",AT706="Y",FV706="N"),"Y","N"))</f>
        <v/>
      </c>
      <c r="FX706" s="0" t="str">
        <f aca="false">IF($A706="","",IF(FW706&lt;&gt;"Y","N",IF(COUNTIFS($FU$2:$FU$1000,FU706,$FW$2:$FW$1000,"Y",$J$2:$J$1000,"&gt;"&amp;J706)+COUNTIFS($FU$2:$FU$1000,FU706,$FW$2:$FW$1000,"Y",$J$2:$J$1000,J706,$GD$2:$GD$1000,"&lt;"&amp;GD706)=0,"Y","N")))</f>
        <v/>
      </c>
      <c r="FY706" s="0" t="str">
        <f aca="false">IF($A706="","",IF(AND(FW706="Y",FX706="Y",Y706&amp;""&lt;&gt;""),IF(Y706&lt;=10,"Y","N"),"N"))</f>
        <v/>
      </c>
      <c r="FZ706" s="0" t="str">
        <f aca="false">IF(FY706="Y",Y706,"")</f>
        <v/>
      </c>
      <c r="GA706" s="0" t="str">
        <f aca="false">IF($A706="","",IF(AND(I706="walk-in",CN706="pass",U706="new",FT706="N",FV706="N",AQ706&lt;&gt;"Y"),"Y","N"))</f>
        <v/>
      </c>
      <c r="GB706" s="0" t="str">
        <f aca="false">IF(GA706&lt;&gt;"Y","",IF(COUNTIFS($GA$2:$GA$1000,"Y",$J$2:$J$1000,"&gt;"&amp;J706)+COUNTIFS($GA$2:$GA$1000,"Y",$J$2:$J$1000,J706,$GD$2:$GD$1000,"&lt;"&amp;GD706)+1&lt;=25,COUNTIFS($GA$2:$GA$1000,"Y",$J$2:$J$1000,"&gt;"&amp;J706)+COUNTIFS($GA$2:$GA$1000,"Y",$J$2:$J$1000,J706,$GD$2:$GD$1000,"&lt;"&amp;GD706)+1,""))</f>
        <v/>
      </c>
      <c r="GC706" s="0" t="str">
        <f aca="false">IF(AND(_xlfn.ISFORMULA(C706),_xlfn.ISFORMULA(J706)),"Y","N")</f>
        <v>Y</v>
      </c>
      <c r="GD706" s="0" t="n">
        <f aca="false">ROW()-1</f>
        <v>705</v>
      </c>
    </row>
    <row r="707" customFormat="false" ht="15" hidden="false" customHeight="false" outlineLevel="0" collapsed="false">
      <c r="C707" s="0" t="str">
        <f aca="false">IF($A707="","",IF(AW707="Y",BM707&amp;"",AY707&amp;""))</f>
        <v/>
      </c>
      <c r="D707" s="0" t="str">
        <f aca="false">IF($A707="","",IF(AW707="Y",BN707&amp;"",AZ707&amp;""))</f>
        <v/>
      </c>
      <c r="E707" s="0" t="str">
        <f aca="false">IF($A707="","",IF(AW707="Y",BO707&amp;"",BA707&amp;""))</f>
        <v/>
      </c>
      <c r="F707" s="0" t="str">
        <f aca="false">IF($A707="","",IF(AW707="Y",BP707&amp;"",BB707&amp;""))</f>
        <v/>
      </c>
      <c r="G707" s="0" t="str">
        <f aca="false">IF($A707="","",IF(AW707="Y",BQ707&amp;"",BC707&amp;""))</f>
        <v/>
      </c>
      <c r="H707" s="0" t="str">
        <f aca="false">IF($A707="","",IF(AW707="Y",BR707&amp;"",BD707&amp;""))</f>
        <v/>
      </c>
      <c r="I707" s="0" t="str">
        <f aca="false">IF($A707="","",IF(R707="Y","warm-intro",IF(H707="verified","email",IF(C707&lt;&gt;"","linkedin",CB707&amp;""))))</f>
        <v/>
      </c>
      <c r="J707" s="0" t="str">
        <f aca="false">IF($A707="","",IF(CN707="pass",ROUND(N(EM707)+N(EN707)+N(EO707)+N(EP707)+N(EQ707)+N(ER707),1),0))</f>
        <v/>
      </c>
      <c r="K707" s="0" t="str">
        <f aca="false">IF($A707="","",IF(CN707&lt;&gt;"pass",CA707&amp;"",CA707&amp;"; "&amp;IF(AW707="Y",BZ707&amp;"",BL707&amp;"")&amp;IF(R707="Y","; known to the founder (+15)","")&amp;"."))</f>
        <v/>
      </c>
      <c r="R707" s="5"/>
      <c r="U707" s="5"/>
      <c r="Y707" s="0" t="str">
        <f aca="false">IF(FX707&lt;&gt;"Y","",COUNTIFS($FX$2:$FX$1000,"Y",$J$2:$J$1000,"&gt;"&amp;J707)+COUNTIFS($FX$2:$FX$1000,"Y",$J$2:$J$1000,J707,$GD$2:$GD$1000,"&lt;"&amp;GD707)+1)</f>
        <v/>
      </c>
      <c r="AB707" s="0" t="str">
        <f aca="false">IF($A707="","",IF(AW707="Y",BY707&amp;"",BK707&amp;""))</f>
        <v/>
      </c>
      <c r="AC707" s="0" t="str">
        <f aca="false">IF($A707="","",IF(AW707="Y",BS707&amp;"",BE707&amp;""))</f>
        <v/>
      </c>
      <c r="AD707" s="0" t="str">
        <f aca="false">IF($A707="","",IF(AW707="Y",BT707&amp;"",BF707&amp;""))</f>
        <v/>
      </c>
      <c r="AE707" s="0" t="str">
        <f aca="false">IF($A707="","",IF(AW707="Y",BU707&amp;"",BG707&amp;""))</f>
        <v/>
      </c>
      <c r="AF707" s="0" t="str">
        <f aca="false">IF($A707="","",IF(AW707="Y",BV707&amp;"",BH707&amp;""))</f>
        <v/>
      </c>
      <c r="AG707" s="0" t="str">
        <f aca="false">IF($A707="","",IF(AW707="Y",BW707&amp;"",BI707&amp;""))</f>
        <v/>
      </c>
      <c r="AH707" s="0" t="str">
        <f aca="false">IF($A707="","",IF(AW707="Y",BX707&amp;"",BJ707&amp;""))</f>
        <v/>
      </c>
      <c r="AQ707" s="5"/>
      <c r="AT707" s="0" t="str">
        <f aca="false">IF($A707="","",IF(AND(CN707="pass",AQ707&lt;&gt;"Y",C707&lt;&gt;"",OR(AX707&lt;&gt;"Y",AV707="Y")),"Y","N"))</f>
        <v/>
      </c>
      <c r="AU707" s="0" t="str">
        <f aca="false">IF($A707="","",_xlfn.TEXTJOIN("; ",TRUE(),IF(CN707&lt;&gt;"pass","gated out",""),IF(AQ707="Y","on hold: "&amp;AR707,""),IF(C707="","no contact named on an opened page",""),IF(AND(AX707="Y",AV707&lt;&gt;"Y"),"Tuesday estimate band "&amp;L707&amp;": founder's call","")))</f>
        <v/>
      </c>
      <c r="BC707" s="0" t="str">
        <f aca="false">IF($A707="","",IFERROR(INDEX(Enrichment!$A$2:$GZ$2000,MATCH($A707,INDEX(Enrichment!$A$2:$GZ$2000,0,MATCH("row_id",Enrichment!$A$1:$GZ$1,0)),0),MATCH("work_email",Enrichment!$A$1:$GZ$1,0))&amp;"",""))</f>
        <v/>
      </c>
      <c r="BD707" s="0" t="str">
        <f aca="false">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Q707" s="0" t="str">
        <f aca="false">IF($A707="","",IFERROR(INDEX(Enrichment!$A$2:$GZ$2000,MATCH($A707,INDEX(Enrichment!$A$2:$GZ$2000,0,MATCH("row_id",Enrichment!$A$1:$GZ$1,0)),0),MATCH("backup_work_email",Enrichment!$A$1:$GZ$1,0))&amp;"",""))</f>
        <v/>
      </c>
      <c r="BR707" s="0" t="str">
        <f aca="false">IF($A707="","",IF(BQ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EQ707" s="0" t="str">
        <f aca="false">IF($A707="","",IF(AH707="exact",10,IF(AH707="adjacent",5,0)))</f>
        <v/>
      </c>
      <c r="ER707" s="0" t="str">
        <f aca="false">IF($A707="","",IF(R707="Y",15,0))</f>
        <v/>
      </c>
      <c r="FS707" s="0" t="str">
        <f aca="false">IF($A707="","",IF(ISNUMBER(MATCH(U707,{"queued","contacted","replied","call_booked","call_done","yes_in_principle","materials_sent"},0)),"Y","N"))</f>
        <v/>
      </c>
      <c r="FT707" s="0" t="str">
        <f aca="false">IF($A707="","",IF(OR(T707="Y",U707="do_not_contact",AS707&amp;""&lt;&gt;""),"Y","N"))</f>
        <v/>
      </c>
      <c r="FU707" s="0" t="str">
        <f aca="false">IF($A707="","",IF(AP707&amp;""&lt;&gt;"",AP707&amp;"",$A707))</f>
        <v/>
      </c>
      <c r="FV707" s="0" t="str">
        <f aca="false">IF($A707="","",IF(COUNTIFS($FU$2:$FU$1000,FU707,$FS$2:$FS$1000,"Y")+COUNTIFS($FU$2:$FU$1000,FU707,$FT$2:$FT$1000,"Y")&gt;0,"Y","N"))</f>
        <v/>
      </c>
      <c r="FW707" s="0" t="str">
        <f aca="false">IF($A707="","",IF(AND(U707="new",T707="N",FT707="N",AT707="Y",FV707="N"),"Y","N"))</f>
        <v/>
      </c>
      <c r="FX707" s="0" t="str">
        <f aca="false">IF($A707="","",IF(FW707&lt;&gt;"Y","N",IF(COUNTIFS($FU$2:$FU$1000,FU707,$FW$2:$FW$1000,"Y",$J$2:$J$1000,"&gt;"&amp;J707)+COUNTIFS($FU$2:$FU$1000,FU707,$FW$2:$FW$1000,"Y",$J$2:$J$1000,J707,$GD$2:$GD$1000,"&lt;"&amp;GD707)=0,"Y","N")))</f>
        <v/>
      </c>
      <c r="FY707" s="0" t="str">
        <f aca="false">IF($A707="","",IF(AND(FW707="Y",FX707="Y",Y707&amp;""&lt;&gt;""),IF(Y707&lt;=10,"Y","N"),"N"))</f>
        <v/>
      </c>
      <c r="FZ707" s="0" t="str">
        <f aca="false">IF(FY707="Y",Y707,"")</f>
        <v/>
      </c>
      <c r="GA707" s="0" t="str">
        <f aca="false">IF($A707="","",IF(AND(I707="walk-in",CN707="pass",U707="new",FT707="N",FV707="N",AQ707&lt;&gt;"Y"),"Y","N"))</f>
        <v/>
      </c>
      <c r="GB707" s="0" t="str">
        <f aca="false">IF(GA707&lt;&gt;"Y","",IF(COUNTIFS($GA$2:$GA$1000,"Y",$J$2:$J$1000,"&gt;"&amp;J707)+COUNTIFS($GA$2:$GA$1000,"Y",$J$2:$J$1000,J707,$GD$2:$GD$1000,"&lt;"&amp;GD707)+1&lt;=25,COUNTIFS($GA$2:$GA$1000,"Y",$J$2:$J$1000,"&gt;"&amp;J707)+COUNTIFS($GA$2:$GA$1000,"Y",$J$2:$J$1000,J707,$GD$2:$GD$1000,"&lt;"&amp;GD707)+1,""))</f>
        <v/>
      </c>
      <c r="GC707" s="0" t="str">
        <f aca="false">IF(AND(_xlfn.ISFORMULA(C707),_xlfn.ISFORMULA(J707)),"Y","N")</f>
        <v>Y</v>
      </c>
      <c r="GD707" s="0" t="n">
        <f aca="false">ROW()-1</f>
        <v>706</v>
      </c>
    </row>
    <row r="708" customFormat="false" ht="15" hidden="false" customHeight="false" outlineLevel="0" collapsed="false">
      <c r="C708" s="0" t="str">
        <f aca="false">IF($A708="","",IF(AW708="Y",BM708&amp;"",AY708&amp;""))</f>
        <v/>
      </c>
      <c r="D708" s="0" t="str">
        <f aca="false">IF($A708="","",IF(AW708="Y",BN708&amp;"",AZ708&amp;""))</f>
        <v/>
      </c>
      <c r="E708" s="0" t="str">
        <f aca="false">IF($A708="","",IF(AW708="Y",BO708&amp;"",BA708&amp;""))</f>
        <v/>
      </c>
      <c r="F708" s="0" t="str">
        <f aca="false">IF($A708="","",IF(AW708="Y",BP708&amp;"",BB708&amp;""))</f>
        <v/>
      </c>
      <c r="G708" s="0" t="str">
        <f aca="false">IF($A708="","",IF(AW708="Y",BQ708&amp;"",BC708&amp;""))</f>
        <v/>
      </c>
      <c r="H708" s="0" t="str">
        <f aca="false">IF($A708="","",IF(AW708="Y",BR708&amp;"",BD708&amp;""))</f>
        <v/>
      </c>
      <c r="I708" s="0" t="str">
        <f aca="false">IF($A708="","",IF(R708="Y","warm-intro",IF(H708="verified","email",IF(C708&lt;&gt;"","linkedin",CB708&amp;""))))</f>
        <v/>
      </c>
      <c r="J708" s="0" t="str">
        <f aca="false">IF($A708="","",IF(CN708="pass",ROUND(N(EM708)+N(EN708)+N(EO708)+N(EP708)+N(EQ708)+N(ER708),1),0))</f>
        <v/>
      </c>
      <c r="K708" s="0" t="str">
        <f aca="false">IF($A708="","",IF(CN708&lt;&gt;"pass",CA708&amp;"",CA708&amp;"; "&amp;IF(AW708="Y",BZ708&amp;"",BL708&amp;"")&amp;IF(R708="Y","; known to the founder (+15)","")&amp;"."))</f>
        <v/>
      </c>
      <c r="R708" s="5"/>
      <c r="U708" s="5"/>
      <c r="Y708" s="0" t="str">
        <f aca="false">IF(FX708&lt;&gt;"Y","",COUNTIFS($FX$2:$FX$1000,"Y",$J$2:$J$1000,"&gt;"&amp;J708)+COUNTIFS($FX$2:$FX$1000,"Y",$J$2:$J$1000,J708,$GD$2:$GD$1000,"&lt;"&amp;GD708)+1)</f>
        <v/>
      </c>
      <c r="AB708" s="0" t="str">
        <f aca="false">IF($A708="","",IF(AW708="Y",BY708&amp;"",BK708&amp;""))</f>
        <v/>
      </c>
      <c r="AC708" s="0" t="str">
        <f aca="false">IF($A708="","",IF(AW708="Y",BS708&amp;"",BE708&amp;""))</f>
        <v/>
      </c>
      <c r="AD708" s="0" t="str">
        <f aca="false">IF($A708="","",IF(AW708="Y",BT708&amp;"",BF708&amp;""))</f>
        <v/>
      </c>
      <c r="AE708" s="0" t="str">
        <f aca="false">IF($A708="","",IF(AW708="Y",BU708&amp;"",BG708&amp;""))</f>
        <v/>
      </c>
      <c r="AF708" s="0" t="str">
        <f aca="false">IF($A708="","",IF(AW708="Y",BV708&amp;"",BH708&amp;""))</f>
        <v/>
      </c>
      <c r="AG708" s="0" t="str">
        <f aca="false">IF($A708="","",IF(AW708="Y",BW708&amp;"",BI708&amp;""))</f>
        <v/>
      </c>
      <c r="AH708" s="0" t="str">
        <f aca="false">IF($A708="","",IF(AW708="Y",BX708&amp;"",BJ708&amp;""))</f>
        <v/>
      </c>
      <c r="AQ708" s="5"/>
      <c r="AT708" s="0" t="str">
        <f aca="false">IF($A708="","",IF(AND(CN708="pass",AQ708&lt;&gt;"Y",C708&lt;&gt;"",OR(AX708&lt;&gt;"Y",AV708="Y")),"Y","N"))</f>
        <v/>
      </c>
      <c r="AU708" s="0" t="str">
        <f aca="false">IF($A708="","",_xlfn.TEXTJOIN("; ",TRUE(),IF(CN708&lt;&gt;"pass","gated out",""),IF(AQ708="Y","on hold: "&amp;AR708,""),IF(C708="","no contact named on an opened page",""),IF(AND(AX708="Y",AV708&lt;&gt;"Y"),"Tuesday estimate band "&amp;L708&amp;": founder's call","")))</f>
        <v/>
      </c>
      <c r="BC708" s="0" t="str">
        <f aca="false">IF($A708="","",IFERROR(INDEX(Enrichment!$A$2:$GZ$2000,MATCH($A708,INDEX(Enrichment!$A$2:$GZ$2000,0,MATCH("row_id",Enrichment!$A$1:$GZ$1,0)),0),MATCH("work_email",Enrichment!$A$1:$GZ$1,0))&amp;"",""))</f>
        <v/>
      </c>
      <c r="BD708" s="0" t="str">
        <f aca="false">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Q708" s="0" t="str">
        <f aca="false">IF($A708="","",IFERROR(INDEX(Enrichment!$A$2:$GZ$2000,MATCH($A708,INDEX(Enrichment!$A$2:$GZ$2000,0,MATCH("row_id",Enrichment!$A$1:$GZ$1,0)),0),MATCH("backup_work_email",Enrichment!$A$1:$GZ$1,0))&amp;"",""))</f>
        <v/>
      </c>
      <c r="BR708" s="0" t="str">
        <f aca="false">IF($A708="","",IF(BQ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EQ708" s="0" t="str">
        <f aca="false">IF($A708="","",IF(AH708="exact",10,IF(AH708="adjacent",5,0)))</f>
        <v/>
      </c>
      <c r="ER708" s="0" t="str">
        <f aca="false">IF($A708="","",IF(R708="Y",15,0))</f>
        <v/>
      </c>
      <c r="FS708" s="0" t="str">
        <f aca="false">IF($A708="","",IF(ISNUMBER(MATCH(U708,{"queued","contacted","replied","call_booked","call_done","yes_in_principle","materials_sent"},0)),"Y","N"))</f>
        <v/>
      </c>
      <c r="FT708" s="0" t="str">
        <f aca="false">IF($A708="","",IF(OR(T708="Y",U708="do_not_contact",AS708&amp;""&lt;&gt;""),"Y","N"))</f>
        <v/>
      </c>
      <c r="FU708" s="0" t="str">
        <f aca="false">IF($A708="","",IF(AP708&amp;""&lt;&gt;"",AP708&amp;"",$A708))</f>
        <v/>
      </c>
      <c r="FV708" s="0" t="str">
        <f aca="false">IF($A708="","",IF(COUNTIFS($FU$2:$FU$1000,FU708,$FS$2:$FS$1000,"Y")+COUNTIFS($FU$2:$FU$1000,FU708,$FT$2:$FT$1000,"Y")&gt;0,"Y","N"))</f>
        <v/>
      </c>
      <c r="FW708" s="0" t="str">
        <f aca="false">IF($A708="","",IF(AND(U708="new",T708="N",FT708="N",AT708="Y",FV708="N"),"Y","N"))</f>
        <v/>
      </c>
      <c r="FX708" s="0" t="str">
        <f aca="false">IF($A708="","",IF(FW708&lt;&gt;"Y","N",IF(COUNTIFS($FU$2:$FU$1000,FU708,$FW$2:$FW$1000,"Y",$J$2:$J$1000,"&gt;"&amp;J708)+COUNTIFS($FU$2:$FU$1000,FU708,$FW$2:$FW$1000,"Y",$J$2:$J$1000,J708,$GD$2:$GD$1000,"&lt;"&amp;GD708)=0,"Y","N")))</f>
        <v/>
      </c>
      <c r="FY708" s="0" t="str">
        <f aca="false">IF($A708="","",IF(AND(FW708="Y",FX708="Y",Y708&amp;""&lt;&gt;""),IF(Y708&lt;=10,"Y","N"),"N"))</f>
        <v/>
      </c>
      <c r="FZ708" s="0" t="str">
        <f aca="false">IF(FY708="Y",Y708,"")</f>
        <v/>
      </c>
      <c r="GA708" s="0" t="str">
        <f aca="false">IF($A708="","",IF(AND(I708="walk-in",CN708="pass",U708="new",FT708="N",FV708="N",AQ708&lt;&gt;"Y"),"Y","N"))</f>
        <v/>
      </c>
      <c r="GB708" s="0" t="str">
        <f aca="false">IF(GA708&lt;&gt;"Y","",IF(COUNTIFS($GA$2:$GA$1000,"Y",$J$2:$J$1000,"&gt;"&amp;J708)+COUNTIFS($GA$2:$GA$1000,"Y",$J$2:$J$1000,J708,$GD$2:$GD$1000,"&lt;"&amp;GD708)+1&lt;=25,COUNTIFS($GA$2:$GA$1000,"Y",$J$2:$J$1000,"&gt;"&amp;J708)+COUNTIFS($GA$2:$GA$1000,"Y",$J$2:$J$1000,J708,$GD$2:$GD$1000,"&lt;"&amp;GD708)+1,""))</f>
        <v/>
      </c>
      <c r="GC708" s="0" t="str">
        <f aca="false">IF(AND(_xlfn.ISFORMULA(C708),_xlfn.ISFORMULA(J708)),"Y","N")</f>
        <v>Y</v>
      </c>
      <c r="GD708" s="0" t="n">
        <f aca="false">ROW()-1</f>
        <v>707</v>
      </c>
    </row>
    <row r="709" customFormat="false" ht="15" hidden="false" customHeight="false" outlineLevel="0" collapsed="false">
      <c r="C709" s="0" t="str">
        <f aca="false">IF($A709="","",IF(AW709="Y",BM709&amp;"",AY709&amp;""))</f>
        <v/>
      </c>
      <c r="D709" s="0" t="str">
        <f aca="false">IF($A709="","",IF(AW709="Y",BN709&amp;"",AZ709&amp;""))</f>
        <v/>
      </c>
      <c r="E709" s="0" t="str">
        <f aca="false">IF($A709="","",IF(AW709="Y",BO709&amp;"",BA709&amp;""))</f>
        <v/>
      </c>
      <c r="F709" s="0" t="str">
        <f aca="false">IF($A709="","",IF(AW709="Y",BP709&amp;"",BB709&amp;""))</f>
        <v/>
      </c>
      <c r="G709" s="0" t="str">
        <f aca="false">IF($A709="","",IF(AW709="Y",BQ709&amp;"",BC709&amp;""))</f>
        <v/>
      </c>
      <c r="H709" s="0" t="str">
        <f aca="false">IF($A709="","",IF(AW709="Y",BR709&amp;"",BD709&amp;""))</f>
        <v/>
      </c>
      <c r="I709" s="0" t="str">
        <f aca="false">IF($A709="","",IF(R709="Y","warm-intro",IF(H709="verified","email",IF(C709&lt;&gt;"","linkedin",CB709&amp;""))))</f>
        <v/>
      </c>
      <c r="J709" s="0" t="str">
        <f aca="false">IF($A709="","",IF(CN709="pass",ROUND(N(EM709)+N(EN709)+N(EO709)+N(EP709)+N(EQ709)+N(ER709),1),0))</f>
        <v/>
      </c>
      <c r="K709" s="0" t="str">
        <f aca="false">IF($A709="","",IF(CN709&lt;&gt;"pass",CA709&amp;"",CA709&amp;"; "&amp;IF(AW709="Y",BZ709&amp;"",BL709&amp;"")&amp;IF(R709="Y","; known to the founder (+15)","")&amp;"."))</f>
        <v/>
      </c>
      <c r="R709" s="5"/>
      <c r="U709" s="5"/>
      <c r="Y709" s="0" t="str">
        <f aca="false">IF(FX709&lt;&gt;"Y","",COUNTIFS($FX$2:$FX$1000,"Y",$J$2:$J$1000,"&gt;"&amp;J709)+COUNTIFS($FX$2:$FX$1000,"Y",$J$2:$J$1000,J709,$GD$2:$GD$1000,"&lt;"&amp;GD709)+1)</f>
        <v/>
      </c>
      <c r="AB709" s="0" t="str">
        <f aca="false">IF($A709="","",IF(AW709="Y",BY709&amp;"",BK709&amp;""))</f>
        <v/>
      </c>
      <c r="AC709" s="0" t="str">
        <f aca="false">IF($A709="","",IF(AW709="Y",BS709&amp;"",BE709&amp;""))</f>
        <v/>
      </c>
      <c r="AD709" s="0" t="str">
        <f aca="false">IF($A709="","",IF(AW709="Y",BT709&amp;"",BF709&amp;""))</f>
        <v/>
      </c>
      <c r="AE709" s="0" t="str">
        <f aca="false">IF($A709="","",IF(AW709="Y",BU709&amp;"",BG709&amp;""))</f>
        <v/>
      </c>
      <c r="AF709" s="0" t="str">
        <f aca="false">IF($A709="","",IF(AW709="Y",BV709&amp;"",BH709&amp;""))</f>
        <v/>
      </c>
      <c r="AG709" s="0" t="str">
        <f aca="false">IF($A709="","",IF(AW709="Y",BW709&amp;"",BI709&amp;""))</f>
        <v/>
      </c>
      <c r="AH709" s="0" t="str">
        <f aca="false">IF($A709="","",IF(AW709="Y",BX709&amp;"",BJ709&amp;""))</f>
        <v/>
      </c>
      <c r="AQ709" s="5"/>
      <c r="AT709" s="0" t="str">
        <f aca="false">IF($A709="","",IF(AND(CN709="pass",AQ709&lt;&gt;"Y",C709&lt;&gt;"",OR(AX709&lt;&gt;"Y",AV709="Y")),"Y","N"))</f>
        <v/>
      </c>
      <c r="AU709" s="0" t="str">
        <f aca="false">IF($A709="","",_xlfn.TEXTJOIN("; ",TRUE(),IF(CN709&lt;&gt;"pass","gated out",""),IF(AQ709="Y","on hold: "&amp;AR709,""),IF(C709="","no contact named on an opened page",""),IF(AND(AX709="Y",AV709&lt;&gt;"Y"),"Tuesday estimate band "&amp;L709&amp;": founder's call","")))</f>
        <v/>
      </c>
      <c r="BC709" s="0" t="str">
        <f aca="false">IF($A709="","",IFERROR(INDEX(Enrichment!$A$2:$GZ$2000,MATCH($A709,INDEX(Enrichment!$A$2:$GZ$2000,0,MATCH("row_id",Enrichment!$A$1:$GZ$1,0)),0),MATCH("work_email",Enrichment!$A$1:$GZ$1,0))&amp;"",""))</f>
        <v/>
      </c>
      <c r="BD709" s="0" t="str">
        <f aca="false">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Q709" s="0" t="str">
        <f aca="false">IF($A709="","",IFERROR(INDEX(Enrichment!$A$2:$GZ$2000,MATCH($A709,INDEX(Enrichment!$A$2:$GZ$2000,0,MATCH("row_id",Enrichment!$A$1:$GZ$1,0)),0),MATCH("backup_work_email",Enrichment!$A$1:$GZ$1,0))&amp;"",""))</f>
        <v/>
      </c>
      <c r="BR709" s="0" t="str">
        <f aca="false">IF($A709="","",IF(BQ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EQ709" s="0" t="str">
        <f aca="false">IF($A709="","",IF(AH709="exact",10,IF(AH709="adjacent",5,0)))</f>
        <v/>
      </c>
      <c r="ER709" s="0" t="str">
        <f aca="false">IF($A709="","",IF(R709="Y",15,0))</f>
        <v/>
      </c>
      <c r="FS709" s="0" t="str">
        <f aca="false">IF($A709="","",IF(ISNUMBER(MATCH(U709,{"queued","contacted","replied","call_booked","call_done","yes_in_principle","materials_sent"},0)),"Y","N"))</f>
        <v/>
      </c>
      <c r="FT709" s="0" t="str">
        <f aca="false">IF($A709="","",IF(OR(T709="Y",U709="do_not_contact",AS709&amp;""&lt;&gt;""),"Y","N"))</f>
        <v/>
      </c>
      <c r="FU709" s="0" t="str">
        <f aca="false">IF($A709="","",IF(AP709&amp;""&lt;&gt;"",AP709&amp;"",$A709))</f>
        <v/>
      </c>
      <c r="FV709" s="0" t="str">
        <f aca="false">IF($A709="","",IF(COUNTIFS($FU$2:$FU$1000,FU709,$FS$2:$FS$1000,"Y")+COUNTIFS($FU$2:$FU$1000,FU709,$FT$2:$FT$1000,"Y")&gt;0,"Y","N"))</f>
        <v/>
      </c>
      <c r="FW709" s="0" t="str">
        <f aca="false">IF($A709="","",IF(AND(U709="new",T709="N",FT709="N",AT709="Y",FV709="N"),"Y","N"))</f>
        <v/>
      </c>
      <c r="FX709" s="0" t="str">
        <f aca="false">IF($A709="","",IF(FW709&lt;&gt;"Y","N",IF(COUNTIFS($FU$2:$FU$1000,FU709,$FW$2:$FW$1000,"Y",$J$2:$J$1000,"&gt;"&amp;J709)+COUNTIFS($FU$2:$FU$1000,FU709,$FW$2:$FW$1000,"Y",$J$2:$J$1000,J709,$GD$2:$GD$1000,"&lt;"&amp;GD709)=0,"Y","N")))</f>
        <v/>
      </c>
      <c r="FY709" s="0" t="str">
        <f aca="false">IF($A709="","",IF(AND(FW709="Y",FX709="Y",Y709&amp;""&lt;&gt;""),IF(Y709&lt;=10,"Y","N"),"N"))</f>
        <v/>
      </c>
      <c r="FZ709" s="0" t="str">
        <f aca="false">IF(FY709="Y",Y709,"")</f>
        <v/>
      </c>
      <c r="GA709" s="0" t="str">
        <f aca="false">IF($A709="","",IF(AND(I709="walk-in",CN709="pass",U709="new",FT709="N",FV709="N",AQ709&lt;&gt;"Y"),"Y","N"))</f>
        <v/>
      </c>
      <c r="GB709" s="0" t="str">
        <f aca="false">IF(GA709&lt;&gt;"Y","",IF(COUNTIFS($GA$2:$GA$1000,"Y",$J$2:$J$1000,"&gt;"&amp;J709)+COUNTIFS($GA$2:$GA$1000,"Y",$J$2:$J$1000,J709,$GD$2:$GD$1000,"&lt;"&amp;GD709)+1&lt;=25,COUNTIFS($GA$2:$GA$1000,"Y",$J$2:$J$1000,"&gt;"&amp;J709)+COUNTIFS($GA$2:$GA$1000,"Y",$J$2:$J$1000,J709,$GD$2:$GD$1000,"&lt;"&amp;GD709)+1,""))</f>
        <v/>
      </c>
      <c r="GC709" s="0" t="str">
        <f aca="false">IF(AND(_xlfn.ISFORMULA(C709),_xlfn.ISFORMULA(J709)),"Y","N")</f>
        <v>Y</v>
      </c>
      <c r="GD709" s="0" t="n">
        <f aca="false">ROW()-1</f>
        <v>708</v>
      </c>
    </row>
    <row r="710" customFormat="false" ht="15" hidden="false" customHeight="false" outlineLevel="0" collapsed="false">
      <c r="C710" s="0" t="str">
        <f aca="false">IF($A710="","",IF(AW710="Y",BM710&amp;"",AY710&amp;""))</f>
        <v/>
      </c>
      <c r="D710" s="0" t="str">
        <f aca="false">IF($A710="","",IF(AW710="Y",BN710&amp;"",AZ710&amp;""))</f>
        <v/>
      </c>
      <c r="E710" s="0" t="str">
        <f aca="false">IF($A710="","",IF(AW710="Y",BO710&amp;"",BA710&amp;""))</f>
        <v/>
      </c>
      <c r="F710" s="0" t="str">
        <f aca="false">IF($A710="","",IF(AW710="Y",BP710&amp;"",BB710&amp;""))</f>
        <v/>
      </c>
      <c r="G710" s="0" t="str">
        <f aca="false">IF($A710="","",IF(AW710="Y",BQ710&amp;"",BC710&amp;""))</f>
        <v/>
      </c>
      <c r="H710" s="0" t="str">
        <f aca="false">IF($A710="","",IF(AW710="Y",BR710&amp;"",BD710&amp;""))</f>
        <v/>
      </c>
      <c r="I710" s="0" t="str">
        <f aca="false">IF($A710="","",IF(R710="Y","warm-intro",IF(H710="verified","email",IF(C710&lt;&gt;"","linkedin",CB710&amp;""))))</f>
        <v/>
      </c>
      <c r="J710" s="0" t="str">
        <f aca="false">IF($A710="","",IF(CN710="pass",ROUND(N(EM710)+N(EN710)+N(EO710)+N(EP710)+N(EQ710)+N(ER710),1),0))</f>
        <v/>
      </c>
      <c r="K710" s="0" t="str">
        <f aca="false">IF($A710="","",IF(CN710&lt;&gt;"pass",CA710&amp;"",CA710&amp;"; "&amp;IF(AW710="Y",BZ710&amp;"",BL710&amp;"")&amp;IF(R710="Y","; known to the founder (+15)","")&amp;"."))</f>
        <v/>
      </c>
      <c r="R710" s="5"/>
      <c r="U710" s="5"/>
      <c r="Y710" s="0" t="str">
        <f aca="false">IF(FX710&lt;&gt;"Y","",COUNTIFS($FX$2:$FX$1000,"Y",$J$2:$J$1000,"&gt;"&amp;J710)+COUNTIFS($FX$2:$FX$1000,"Y",$J$2:$J$1000,J710,$GD$2:$GD$1000,"&lt;"&amp;GD710)+1)</f>
        <v/>
      </c>
      <c r="AB710" s="0" t="str">
        <f aca="false">IF($A710="","",IF(AW710="Y",BY710&amp;"",BK710&amp;""))</f>
        <v/>
      </c>
      <c r="AC710" s="0" t="str">
        <f aca="false">IF($A710="","",IF(AW710="Y",BS710&amp;"",BE710&amp;""))</f>
        <v/>
      </c>
      <c r="AD710" s="0" t="str">
        <f aca="false">IF($A710="","",IF(AW710="Y",BT710&amp;"",BF710&amp;""))</f>
        <v/>
      </c>
      <c r="AE710" s="0" t="str">
        <f aca="false">IF($A710="","",IF(AW710="Y",BU710&amp;"",BG710&amp;""))</f>
        <v/>
      </c>
      <c r="AF710" s="0" t="str">
        <f aca="false">IF($A710="","",IF(AW710="Y",BV710&amp;"",BH710&amp;""))</f>
        <v/>
      </c>
      <c r="AG710" s="0" t="str">
        <f aca="false">IF($A710="","",IF(AW710="Y",BW710&amp;"",BI710&amp;""))</f>
        <v/>
      </c>
      <c r="AH710" s="0" t="str">
        <f aca="false">IF($A710="","",IF(AW710="Y",BX710&amp;"",BJ710&amp;""))</f>
        <v/>
      </c>
      <c r="AQ710" s="5"/>
      <c r="AT710" s="0" t="str">
        <f aca="false">IF($A710="","",IF(AND(CN710="pass",AQ710&lt;&gt;"Y",C710&lt;&gt;"",OR(AX710&lt;&gt;"Y",AV710="Y")),"Y","N"))</f>
        <v/>
      </c>
      <c r="AU710" s="0" t="str">
        <f aca="false">IF($A710="","",_xlfn.TEXTJOIN("; ",TRUE(),IF(CN710&lt;&gt;"pass","gated out",""),IF(AQ710="Y","on hold: "&amp;AR710,""),IF(C710="","no contact named on an opened page",""),IF(AND(AX710="Y",AV710&lt;&gt;"Y"),"Tuesday estimate band "&amp;L710&amp;": founder's call","")))</f>
        <v/>
      </c>
      <c r="BC710" s="0" t="str">
        <f aca="false">IF($A710="","",IFERROR(INDEX(Enrichment!$A$2:$GZ$2000,MATCH($A710,INDEX(Enrichment!$A$2:$GZ$2000,0,MATCH("row_id",Enrichment!$A$1:$GZ$1,0)),0),MATCH("work_email",Enrichment!$A$1:$GZ$1,0))&amp;"",""))</f>
        <v/>
      </c>
      <c r="BD710" s="0" t="str">
        <f aca="false">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Q710" s="0" t="str">
        <f aca="false">IF($A710="","",IFERROR(INDEX(Enrichment!$A$2:$GZ$2000,MATCH($A710,INDEX(Enrichment!$A$2:$GZ$2000,0,MATCH("row_id",Enrichment!$A$1:$GZ$1,0)),0),MATCH("backup_work_email",Enrichment!$A$1:$GZ$1,0))&amp;"",""))</f>
        <v/>
      </c>
      <c r="BR710" s="0" t="str">
        <f aca="false">IF($A710="","",IF(BQ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EQ710" s="0" t="str">
        <f aca="false">IF($A710="","",IF(AH710="exact",10,IF(AH710="adjacent",5,0)))</f>
        <v/>
      </c>
      <c r="ER710" s="0" t="str">
        <f aca="false">IF($A710="","",IF(R710="Y",15,0))</f>
        <v/>
      </c>
      <c r="FS710" s="0" t="str">
        <f aca="false">IF($A710="","",IF(ISNUMBER(MATCH(U710,{"queued","contacted","replied","call_booked","call_done","yes_in_principle","materials_sent"},0)),"Y","N"))</f>
        <v/>
      </c>
      <c r="FT710" s="0" t="str">
        <f aca="false">IF($A710="","",IF(OR(T710="Y",U710="do_not_contact",AS710&amp;""&lt;&gt;""),"Y","N"))</f>
        <v/>
      </c>
      <c r="FU710" s="0" t="str">
        <f aca="false">IF($A710="","",IF(AP710&amp;""&lt;&gt;"",AP710&amp;"",$A710))</f>
        <v/>
      </c>
      <c r="FV710" s="0" t="str">
        <f aca="false">IF($A710="","",IF(COUNTIFS($FU$2:$FU$1000,FU710,$FS$2:$FS$1000,"Y")+COUNTIFS($FU$2:$FU$1000,FU710,$FT$2:$FT$1000,"Y")&gt;0,"Y","N"))</f>
        <v/>
      </c>
      <c r="FW710" s="0" t="str">
        <f aca="false">IF($A710="","",IF(AND(U710="new",T710="N",FT710="N",AT710="Y",FV710="N"),"Y","N"))</f>
        <v/>
      </c>
      <c r="FX710" s="0" t="str">
        <f aca="false">IF($A710="","",IF(FW710&lt;&gt;"Y","N",IF(COUNTIFS($FU$2:$FU$1000,FU710,$FW$2:$FW$1000,"Y",$J$2:$J$1000,"&gt;"&amp;J710)+COUNTIFS($FU$2:$FU$1000,FU710,$FW$2:$FW$1000,"Y",$J$2:$J$1000,J710,$GD$2:$GD$1000,"&lt;"&amp;GD710)=0,"Y","N")))</f>
        <v/>
      </c>
      <c r="FY710" s="0" t="str">
        <f aca="false">IF($A710="","",IF(AND(FW710="Y",FX710="Y",Y710&amp;""&lt;&gt;""),IF(Y710&lt;=10,"Y","N"),"N"))</f>
        <v/>
      </c>
      <c r="FZ710" s="0" t="str">
        <f aca="false">IF(FY710="Y",Y710,"")</f>
        <v/>
      </c>
      <c r="GA710" s="0" t="str">
        <f aca="false">IF($A710="","",IF(AND(I710="walk-in",CN710="pass",U710="new",FT710="N",FV710="N",AQ710&lt;&gt;"Y"),"Y","N"))</f>
        <v/>
      </c>
      <c r="GB710" s="0" t="str">
        <f aca="false">IF(GA710&lt;&gt;"Y","",IF(COUNTIFS($GA$2:$GA$1000,"Y",$J$2:$J$1000,"&gt;"&amp;J710)+COUNTIFS($GA$2:$GA$1000,"Y",$J$2:$J$1000,J710,$GD$2:$GD$1000,"&lt;"&amp;GD710)+1&lt;=25,COUNTIFS($GA$2:$GA$1000,"Y",$J$2:$J$1000,"&gt;"&amp;J710)+COUNTIFS($GA$2:$GA$1000,"Y",$J$2:$J$1000,J710,$GD$2:$GD$1000,"&lt;"&amp;GD710)+1,""))</f>
        <v/>
      </c>
      <c r="GC710" s="0" t="str">
        <f aca="false">IF(AND(_xlfn.ISFORMULA(C710),_xlfn.ISFORMULA(J710)),"Y","N")</f>
        <v>Y</v>
      </c>
      <c r="GD710" s="0" t="n">
        <f aca="false">ROW()-1</f>
        <v>709</v>
      </c>
    </row>
    <row r="711" customFormat="false" ht="15" hidden="false" customHeight="false" outlineLevel="0" collapsed="false">
      <c r="C711" s="0" t="str">
        <f aca="false">IF($A711="","",IF(AW711="Y",BM711&amp;"",AY711&amp;""))</f>
        <v/>
      </c>
      <c r="D711" s="0" t="str">
        <f aca="false">IF($A711="","",IF(AW711="Y",BN711&amp;"",AZ711&amp;""))</f>
        <v/>
      </c>
      <c r="E711" s="0" t="str">
        <f aca="false">IF($A711="","",IF(AW711="Y",BO711&amp;"",BA711&amp;""))</f>
        <v/>
      </c>
      <c r="F711" s="0" t="str">
        <f aca="false">IF($A711="","",IF(AW711="Y",BP711&amp;"",BB711&amp;""))</f>
        <v/>
      </c>
      <c r="G711" s="0" t="str">
        <f aca="false">IF($A711="","",IF(AW711="Y",BQ711&amp;"",BC711&amp;""))</f>
        <v/>
      </c>
      <c r="H711" s="0" t="str">
        <f aca="false">IF($A711="","",IF(AW711="Y",BR711&amp;"",BD711&amp;""))</f>
        <v/>
      </c>
      <c r="I711" s="0" t="str">
        <f aca="false">IF($A711="","",IF(R711="Y","warm-intro",IF(H711="verified","email",IF(C711&lt;&gt;"","linkedin",CB711&amp;""))))</f>
        <v/>
      </c>
      <c r="J711" s="0" t="str">
        <f aca="false">IF($A711="","",IF(CN711="pass",ROUND(N(EM711)+N(EN711)+N(EO711)+N(EP711)+N(EQ711)+N(ER711),1),0))</f>
        <v/>
      </c>
      <c r="K711" s="0" t="str">
        <f aca="false">IF($A711="","",IF(CN711&lt;&gt;"pass",CA711&amp;"",CA711&amp;"; "&amp;IF(AW711="Y",BZ711&amp;"",BL711&amp;"")&amp;IF(R711="Y","; known to the founder (+15)","")&amp;"."))</f>
        <v/>
      </c>
      <c r="R711" s="5"/>
      <c r="U711" s="5"/>
      <c r="Y711" s="0" t="str">
        <f aca="false">IF(FX711&lt;&gt;"Y","",COUNTIFS($FX$2:$FX$1000,"Y",$J$2:$J$1000,"&gt;"&amp;J711)+COUNTIFS($FX$2:$FX$1000,"Y",$J$2:$J$1000,J711,$GD$2:$GD$1000,"&lt;"&amp;GD711)+1)</f>
        <v/>
      </c>
      <c r="AB711" s="0" t="str">
        <f aca="false">IF($A711="","",IF(AW711="Y",BY711&amp;"",BK711&amp;""))</f>
        <v/>
      </c>
      <c r="AC711" s="0" t="str">
        <f aca="false">IF($A711="","",IF(AW711="Y",BS711&amp;"",BE711&amp;""))</f>
        <v/>
      </c>
      <c r="AD711" s="0" t="str">
        <f aca="false">IF($A711="","",IF(AW711="Y",BT711&amp;"",BF711&amp;""))</f>
        <v/>
      </c>
      <c r="AE711" s="0" t="str">
        <f aca="false">IF($A711="","",IF(AW711="Y",BU711&amp;"",BG711&amp;""))</f>
        <v/>
      </c>
      <c r="AF711" s="0" t="str">
        <f aca="false">IF($A711="","",IF(AW711="Y",BV711&amp;"",BH711&amp;""))</f>
        <v/>
      </c>
      <c r="AG711" s="0" t="str">
        <f aca="false">IF($A711="","",IF(AW711="Y",BW711&amp;"",BI711&amp;""))</f>
        <v/>
      </c>
      <c r="AH711" s="0" t="str">
        <f aca="false">IF($A711="","",IF(AW711="Y",BX711&amp;"",BJ711&amp;""))</f>
        <v/>
      </c>
      <c r="AQ711" s="5"/>
      <c r="AT711" s="0" t="str">
        <f aca="false">IF($A711="","",IF(AND(CN711="pass",AQ711&lt;&gt;"Y",C711&lt;&gt;"",OR(AX711&lt;&gt;"Y",AV711="Y")),"Y","N"))</f>
        <v/>
      </c>
      <c r="AU711" s="0" t="str">
        <f aca="false">IF($A711="","",_xlfn.TEXTJOIN("; ",TRUE(),IF(CN711&lt;&gt;"pass","gated out",""),IF(AQ711="Y","on hold: "&amp;AR711,""),IF(C711="","no contact named on an opened page",""),IF(AND(AX711="Y",AV711&lt;&gt;"Y"),"Tuesday estimate band "&amp;L711&amp;": founder's call","")))</f>
        <v/>
      </c>
      <c r="BC711" s="0" t="str">
        <f aca="false">IF($A711="","",IFERROR(INDEX(Enrichment!$A$2:$GZ$2000,MATCH($A711,INDEX(Enrichment!$A$2:$GZ$2000,0,MATCH("row_id",Enrichment!$A$1:$GZ$1,0)),0),MATCH("work_email",Enrichment!$A$1:$GZ$1,0))&amp;"",""))</f>
        <v/>
      </c>
      <c r="BD711" s="0" t="str">
        <f aca="false">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Q711" s="0" t="str">
        <f aca="false">IF($A711="","",IFERROR(INDEX(Enrichment!$A$2:$GZ$2000,MATCH($A711,INDEX(Enrichment!$A$2:$GZ$2000,0,MATCH("row_id",Enrichment!$A$1:$GZ$1,0)),0),MATCH("backup_work_email",Enrichment!$A$1:$GZ$1,0))&amp;"",""))</f>
        <v/>
      </c>
      <c r="BR711" s="0" t="str">
        <f aca="false">IF($A711="","",IF(BQ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EQ711" s="0" t="str">
        <f aca="false">IF($A711="","",IF(AH711="exact",10,IF(AH711="adjacent",5,0)))</f>
        <v/>
      </c>
      <c r="ER711" s="0" t="str">
        <f aca="false">IF($A711="","",IF(R711="Y",15,0))</f>
        <v/>
      </c>
      <c r="FS711" s="0" t="str">
        <f aca="false">IF($A711="","",IF(ISNUMBER(MATCH(U711,{"queued","contacted","replied","call_booked","call_done","yes_in_principle","materials_sent"},0)),"Y","N"))</f>
        <v/>
      </c>
      <c r="FT711" s="0" t="str">
        <f aca="false">IF($A711="","",IF(OR(T711="Y",U711="do_not_contact",AS711&amp;""&lt;&gt;""),"Y","N"))</f>
        <v/>
      </c>
      <c r="FU711" s="0" t="str">
        <f aca="false">IF($A711="","",IF(AP711&amp;""&lt;&gt;"",AP711&amp;"",$A711))</f>
        <v/>
      </c>
      <c r="FV711" s="0" t="str">
        <f aca="false">IF($A711="","",IF(COUNTIFS($FU$2:$FU$1000,FU711,$FS$2:$FS$1000,"Y")+COUNTIFS($FU$2:$FU$1000,FU711,$FT$2:$FT$1000,"Y")&gt;0,"Y","N"))</f>
        <v/>
      </c>
      <c r="FW711" s="0" t="str">
        <f aca="false">IF($A711="","",IF(AND(U711="new",T711="N",FT711="N",AT711="Y",FV711="N"),"Y","N"))</f>
        <v/>
      </c>
      <c r="FX711" s="0" t="str">
        <f aca="false">IF($A711="","",IF(FW711&lt;&gt;"Y","N",IF(COUNTIFS($FU$2:$FU$1000,FU711,$FW$2:$FW$1000,"Y",$J$2:$J$1000,"&gt;"&amp;J711)+COUNTIFS($FU$2:$FU$1000,FU711,$FW$2:$FW$1000,"Y",$J$2:$J$1000,J711,$GD$2:$GD$1000,"&lt;"&amp;GD711)=0,"Y","N")))</f>
        <v/>
      </c>
      <c r="FY711" s="0" t="str">
        <f aca="false">IF($A711="","",IF(AND(FW711="Y",FX711="Y",Y711&amp;""&lt;&gt;""),IF(Y711&lt;=10,"Y","N"),"N"))</f>
        <v/>
      </c>
      <c r="FZ711" s="0" t="str">
        <f aca="false">IF(FY711="Y",Y711,"")</f>
        <v/>
      </c>
      <c r="GA711" s="0" t="str">
        <f aca="false">IF($A711="","",IF(AND(I711="walk-in",CN711="pass",U711="new",FT711="N",FV711="N",AQ711&lt;&gt;"Y"),"Y","N"))</f>
        <v/>
      </c>
      <c r="GB711" s="0" t="str">
        <f aca="false">IF(GA711&lt;&gt;"Y","",IF(COUNTIFS($GA$2:$GA$1000,"Y",$J$2:$J$1000,"&gt;"&amp;J711)+COUNTIFS($GA$2:$GA$1000,"Y",$J$2:$J$1000,J711,$GD$2:$GD$1000,"&lt;"&amp;GD711)+1&lt;=25,COUNTIFS($GA$2:$GA$1000,"Y",$J$2:$J$1000,"&gt;"&amp;J711)+COUNTIFS($GA$2:$GA$1000,"Y",$J$2:$J$1000,J711,$GD$2:$GD$1000,"&lt;"&amp;GD711)+1,""))</f>
        <v/>
      </c>
      <c r="GC711" s="0" t="str">
        <f aca="false">IF(AND(_xlfn.ISFORMULA(C711),_xlfn.ISFORMULA(J711)),"Y","N")</f>
        <v>Y</v>
      </c>
      <c r="GD711" s="0" t="n">
        <f aca="false">ROW()-1</f>
        <v>710</v>
      </c>
    </row>
    <row r="712" customFormat="false" ht="15" hidden="false" customHeight="false" outlineLevel="0" collapsed="false">
      <c r="C712" s="0" t="str">
        <f aca="false">IF($A712="","",IF(AW712="Y",BM712&amp;"",AY712&amp;""))</f>
        <v/>
      </c>
      <c r="D712" s="0" t="str">
        <f aca="false">IF($A712="","",IF(AW712="Y",BN712&amp;"",AZ712&amp;""))</f>
        <v/>
      </c>
      <c r="E712" s="0" t="str">
        <f aca="false">IF($A712="","",IF(AW712="Y",BO712&amp;"",BA712&amp;""))</f>
        <v/>
      </c>
      <c r="F712" s="0" t="str">
        <f aca="false">IF($A712="","",IF(AW712="Y",BP712&amp;"",BB712&amp;""))</f>
        <v/>
      </c>
      <c r="G712" s="0" t="str">
        <f aca="false">IF($A712="","",IF(AW712="Y",BQ712&amp;"",BC712&amp;""))</f>
        <v/>
      </c>
      <c r="H712" s="0" t="str">
        <f aca="false">IF($A712="","",IF(AW712="Y",BR712&amp;"",BD712&amp;""))</f>
        <v/>
      </c>
      <c r="I712" s="0" t="str">
        <f aca="false">IF($A712="","",IF(R712="Y","warm-intro",IF(H712="verified","email",IF(C712&lt;&gt;"","linkedin",CB712&amp;""))))</f>
        <v/>
      </c>
      <c r="J712" s="0" t="str">
        <f aca="false">IF($A712="","",IF(CN712="pass",ROUND(N(EM712)+N(EN712)+N(EO712)+N(EP712)+N(EQ712)+N(ER712),1),0))</f>
        <v/>
      </c>
      <c r="K712" s="0" t="str">
        <f aca="false">IF($A712="","",IF(CN712&lt;&gt;"pass",CA712&amp;"",CA712&amp;"; "&amp;IF(AW712="Y",BZ712&amp;"",BL712&amp;"")&amp;IF(R712="Y","; known to the founder (+15)","")&amp;"."))</f>
        <v/>
      </c>
      <c r="R712" s="5"/>
      <c r="U712" s="5"/>
      <c r="Y712" s="0" t="str">
        <f aca="false">IF(FX712&lt;&gt;"Y","",COUNTIFS($FX$2:$FX$1000,"Y",$J$2:$J$1000,"&gt;"&amp;J712)+COUNTIFS($FX$2:$FX$1000,"Y",$J$2:$J$1000,J712,$GD$2:$GD$1000,"&lt;"&amp;GD712)+1)</f>
        <v/>
      </c>
      <c r="AB712" s="0" t="str">
        <f aca="false">IF($A712="","",IF(AW712="Y",BY712&amp;"",BK712&amp;""))</f>
        <v/>
      </c>
      <c r="AC712" s="0" t="str">
        <f aca="false">IF($A712="","",IF(AW712="Y",BS712&amp;"",BE712&amp;""))</f>
        <v/>
      </c>
      <c r="AD712" s="0" t="str">
        <f aca="false">IF($A712="","",IF(AW712="Y",BT712&amp;"",BF712&amp;""))</f>
        <v/>
      </c>
      <c r="AE712" s="0" t="str">
        <f aca="false">IF($A712="","",IF(AW712="Y",BU712&amp;"",BG712&amp;""))</f>
        <v/>
      </c>
      <c r="AF712" s="0" t="str">
        <f aca="false">IF($A712="","",IF(AW712="Y",BV712&amp;"",BH712&amp;""))</f>
        <v/>
      </c>
      <c r="AG712" s="0" t="str">
        <f aca="false">IF($A712="","",IF(AW712="Y",BW712&amp;"",BI712&amp;""))</f>
        <v/>
      </c>
      <c r="AH712" s="0" t="str">
        <f aca="false">IF($A712="","",IF(AW712="Y",BX712&amp;"",BJ712&amp;""))</f>
        <v/>
      </c>
      <c r="AQ712" s="5"/>
      <c r="AT712" s="0" t="str">
        <f aca="false">IF($A712="","",IF(AND(CN712="pass",AQ712&lt;&gt;"Y",C712&lt;&gt;"",OR(AX712&lt;&gt;"Y",AV712="Y")),"Y","N"))</f>
        <v/>
      </c>
      <c r="AU712" s="0" t="str">
        <f aca="false">IF($A712="","",_xlfn.TEXTJOIN("; ",TRUE(),IF(CN712&lt;&gt;"pass","gated out",""),IF(AQ712="Y","on hold: "&amp;AR712,""),IF(C712="","no contact named on an opened page",""),IF(AND(AX712="Y",AV712&lt;&gt;"Y"),"Tuesday estimate band "&amp;L712&amp;": founder's call","")))</f>
        <v/>
      </c>
      <c r="BC712" s="0" t="str">
        <f aca="false">IF($A712="","",IFERROR(INDEX(Enrichment!$A$2:$GZ$2000,MATCH($A712,INDEX(Enrichment!$A$2:$GZ$2000,0,MATCH("row_id",Enrichment!$A$1:$GZ$1,0)),0),MATCH("work_email",Enrichment!$A$1:$GZ$1,0))&amp;"",""))</f>
        <v/>
      </c>
      <c r="BD712" s="0" t="str">
        <f aca="false">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Q712" s="0" t="str">
        <f aca="false">IF($A712="","",IFERROR(INDEX(Enrichment!$A$2:$GZ$2000,MATCH($A712,INDEX(Enrichment!$A$2:$GZ$2000,0,MATCH("row_id",Enrichment!$A$1:$GZ$1,0)),0),MATCH("backup_work_email",Enrichment!$A$1:$GZ$1,0))&amp;"",""))</f>
        <v/>
      </c>
      <c r="BR712" s="0" t="str">
        <f aca="false">IF($A712="","",IF(BQ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EQ712" s="0" t="str">
        <f aca="false">IF($A712="","",IF(AH712="exact",10,IF(AH712="adjacent",5,0)))</f>
        <v/>
      </c>
      <c r="ER712" s="0" t="str">
        <f aca="false">IF($A712="","",IF(R712="Y",15,0))</f>
        <v/>
      </c>
      <c r="FS712" s="0" t="str">
        <f aca="false">IF($A712="","",IF(ISNUMBER(MATCH(U712,{"queued","contacted","replied","call_booked","call_done","yes_in_principle","materials_sent"},0)),"Y","N"))</f>
        <v/>
      </c>
      <c r="FT712" s="0" t="str">
        <f aca="false">IF($A712="","",IF(OR(T712="Y",U712="do_not_contact",AS712&amp;""&lt;&gt;""),"Y","N"))</f>
        <v/>
      </c>
      <c r="FU712" s="0" t="str">
        <f aca="false">IF($A712="","",IF(AP712&amp;""&lt;&gt;"",AP712&amp;"",$A712))</f>
        <v/>
      </c>
      <c r="FV712" s="0" t="str">
        <f aca="false">IF($A712="","",IF(COUNTIFS($FU$2:$FU$1000,FU712,$FS$2:$FS$1000,"Y")+COUNTIFS($FU$2:$FU$1000,FU712,$FT$2:$FT$1000,"Y")&gt;0,"Y","N"))</f>
        <v/>
      </c>
      <c r="FW712" s="0" t="str">
        <f aca="false">IF($A712="","",IF(AND(U712="new",T712="N",FT712="N",AT712="Y",FV712="N"),"Y","N"))</f>
        <v/>
      </c>
      <c r="FX712" s="0" t="str">
        <f aca="false">IF($A712="","",IF(FW712&lt;&gt;"Y","N",IF(COUNTIFS($FU$2:$FU$1000,FU712,$FW$2:$FW$1000,"Y",$J$2:$J$1000,"&gt;"&amp;J712)+COUNTIFS($FU$2:$FU$1000,FU712,$FW$2:$FW$1000,"Y",$J$2:$J$1000,J712,$GD$2:$GD$1000,"&lt;"&amp;GD712)=0,"Y","N")))</f>
        <v/>
      </c>
      <c r="FY712" s="0" t="str">
        <f aca="false">IF($A712="","",IF(AND(FW712="Y",FX712="Y",Y712&amp;""&lt;&gt;""),IF(Y712&lt;=10,"Y","N"),"N"))</f>
        <v/>
      </c>
      <c r="FZ712" s="0" t="str">
        <f aca="false">IF(FY712="Y",Y712,"")</f>
        <v/>
      </c>
      <c r="GA712" s="0" t="str">
        <f aca="false">IF($A712="","",IF(AND(I712="walk-in",CN712="pass",U712="new",FT712="N",FV712="N",AQ712&lt;&gt;"Y"),"Y","N"))</f>
        <v/>
      </c>
      <c r="GB712" s="0" t="str">
        <f aca="false">IF(GA712&lt;&gt;"Y","",IF(COUNTIFS($GA$2:$GA$1000,"Y",$J$2:$J$1000,"&gt;"&amp;J712)+COUNTIFS($GA$2:$GA$1000,"Y",$J$2:$J$1000,J712,$GD$2:$GD$1000,"&lt;"&amp;GD712)+1&lt;=25,COUNTIFS($GA$2:$GA$1000,"Y",$J$2:$J$1000,"&gt;"&amp;J712)+COUNTIFS($GA$2:$GA$1000,"Y",$J$2:$J$1000,J712,$GD$2:$GD$1000,"&lt;"&amp;GD712)+1,""))</f>
        <v/>
      </c>
      <c r="GC712" s="0" t="str">
        <f aca="false">IF(AND(_xlfn.ISFORMULA(C712),_xlfn.ISFORMULA(J712)),"Y","N")</f>
        <v>Y</v>
      </c>
      <c r="GD712" s="0" t="n">
        <f aca="false">ROW()-1</f>
        <v>711</v>
      </c>
    </row>
    <row r="713" customFormat="false" ht="15" hidden="false" customHeight="false" outlineLevel="0" collapsed="false">
      <c r="C713" s="0" t="str">
        <f aca="false">IF($A713="","",IF(AW713="Y",BM713&amp;"",AY713&amp;""))</f>
        <v/>
      </c>
      <c r="D713" s="0" t="str">
        <f aca="false">IF($A713="","",IF(AW713="Y",BN713&amp;"",AZ713&amp;""))</f>
        <v/>
      </c>
      <c r="E713" s="0" t="str">
        <f aca="false">IF($A713="","",IF(AW713="Y",BO713&amp;"",BA713&amp;""))</f>
        <v/>
      </c>
      <c r="F713" s="0" t="str">
        <f aca="false">IF($A713="","",IF(AW713="Y",BP713&amp;"",BB713&amp;""))</f>
        <v/>
      </c>
      <c r="G713" s="0" t="str">
        <f aca="false">IF($A713="","",IF(AW713="Y",BQ713&amp;"",BC713&amp;""))</f>
        <v/>
      </c>
      <c r="H713" s="0" t="str">
        <f aca="false">IF($A713="","",IF(AW713="Y",BR713&amp;"",BD713&amp;""))</f>
        <v/>
      </c>
      <c r="I713" s="0" t="str">
        <f aca="false">IF($A713="","",IF(R713="Y","warm-intro",IF(H713="verified","email",IF(C713&lt;&gt;"","linkedin",CB713&amp;""))))</f>
        <v/>
      </c>
      <c r="J713" s="0" t="str">
        <f aca="false">IF($A713="","",IF(CN713="pass",ROUND(N(EM713)+N(EN713)+N(EO713)+N(EP713)+N(EQ713)+N(ER713),1),0))</f>
        <v/>
      </c>
      <c r="K713" s="0" t="str">
        <f aca="false">IF($A713="","",IF(CN713&lt;&gt;"pass",CA713&amp;"",CA713&amp;"; "&amp;IF(AW713="Y",BZ713&amp;"",BL713&amp;"")&amp;IF(R713="Y","; known to the founder (+15)","")&amp;"."))</f>
        <v/>
      </c>
      <c r="R713" s="5"/>
      <c r="U713" s="5"/>
      <c r="Y713" s="0" t="str">
        <f aca="false">IF(FX713&lt;&gt;"Y","",COUNTIFS($FX$2:$FX$1000,"Y",$J$2:$J$1000,"&gt;"&amp;J713)+COUNTIFS($FX$2:$FX$1000,"Y",$J$2:$J$1000,J713,$GD$2:$GD$1000,"&lt;"&amp;GD713)+1)</f>
        <v/>
      </c>
      <c r="AB713" s="0" t="str">
        <f aca="false">IF($A713="","",IF(AW713="Y",BY713&amp;"",BK713&amp;""))</f>
        <v/>
      </c>
      <c r="AC713" s="0" t="str">
        <f aca="false">IF($A713="","",IF(AW713="Y",BS713&amp;"",BE713&amp;""))</f>
        <v/>
      </c>
      <c r="AD713" s="0" t="str">
        <f aca="false">IF($A713="","",IF(AW713="Y",BT713&amp;"",BF713&amp;""))</f>
        <v/>
      </c>
      <c r="AE713" s="0" t="str">
        <f aca="false">IF($A713="","",IF(AW713="Y",BU713&amp;"",BG713&amp;""))</f>
        <v/>
      </c>
      <c r="AF713" s="0" t="str">
        <f aca="false">IF($A713="","",IF(AW713="Y",BV713&amp;"",BH713&amp;""))</f>
        <v/>
      </c>
      <c r="AG713" s="0" t="str">
        <f aca="false">IF($A713="","",IF(AW713="Y",BW713&amp;"",BI713&amp;""))</f>
        <v/>
      </c>
      <c r="AH713" s="0" t="str">
        <f aca="false">IF($A713="","",IF(AW713="Y",BX713&amp;"",BJ713&amp;""))</f>
        <v/>
      </c>
      <c r="AQ713" s="5"/>
      <c r="AT713" s="0" t="str">
        <f aca="false">IF($A713="","",IF(AND(CN713="pass",AQ713&lt;&gt;"Y",C713&lt;&gt;"",OR(AX713&lt;&gt;"Y",AV713="Y")),"Y","N"))</f>
        <v/>
      </c>
      <c r="AU713" s="0" t="str">
        <f aca="false">IF($A713="","",_xlfn.TEXTJOIN("; ",TRUE(),IF(CN713&lt;&gt;"pass","gated out",""),IF(AQ713="Y","on hold: "&amp;AR713,""),IF(C713="","no contact named on an opened page",""),IF(AND(AX713="Y",AV713&lt;&gt;"Y"),"Tuesday estimate band "&amp;L713&amp;": founder's call","")))</f>
        <v/>
      </c>
      <c r="BC713" s="0" t="str">
        <f aca="false">IF($A713="","",IFERROR(INDEX(Enrichment!$A$2:$GZ$2000,MATCH($A713,INDEX(Enrichment!$A$2:$GZ$2000,0,MATCH("row_id",Enrichment!$A$1:$GZ$1,0)),0),MATCH("work_email",Enrichment!$A$1:$GZ$1,0))&amp;"",""))</f>
        <v/>
      </c>
      <c r="BD713" s="0" t="str">
        <f aca="false">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Q713" s="0" t="str">
        <f aca="false">IF($A713="","",IFERROR(INDEX(Enrichment!$A$2:$GZ$2000,MATCH($A713,INDEX(Enrichment!$A$2:$GZ$2000,0,MATCH("row_id",Enrichment!$A$1:$GZ$1,0)),0),MATCH("backup_work_email",Enrichment!$A$1:$GZ$1,0))&amp;"",""))</f>
        <v/>
      </c>
      <c r="BR713" s="0" t="str">
        <f aca="false">IF($A713="","",IF(BQ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EQ713" s="0" t="str">
        <f aca="false">IF($A713="","",IF(AH713="exact",10,IF(AH713="adjacent",5,0)))</f>
        <v/>
      </c>
      <c r="ER713" s="0" t="str">
        <f aca="false">IF($A713="","",IF(R713="Y",15,0))</f>
        <v/>
      </c>
      <c r="FS713" s="0" t="str">
        <f aca="false">IF($A713="","",IF(ISNUMBER(MATCH(U713,{"queued","contacted","replied","call_booked","call_done","yes_in_principle","materials_sent"},0)),"Y","N"))</f>
        <v/>
      </c>
      <c r="FT713" s="0" t="str">
        <f aca="false">IF($A713="","",IF(OR(T713="Y",U713="do_not_contact",AS713&amp;""&lt;&gt;""),"Y","N"))</f>
        <v/>
      </c>
      <c r="FU713" s="0" t="str">
        <f aca="false">IF($A713="","",IF(AP713&amp;""&lt;&gt;"",AP713&amp;"",$A713))</f>
        <v/>
      </c>
      <c r="FV713" s="0" t="str">
        <f aca="false">IF($A713="","",IF(COUNTIFS($FU$2:$FU$1000,FU713,$FS$2:$FS$1000,"Y")+COUNTIFS($FU$2:$FU$1000,FU713,$FT$2:$FT$1000,"Y")&gt;0,"Y","N"))</f>
        <v/>
      </c>
      <c r="FW713" s="0" t="str">
        <f aca="false">IF($A713="","",IF(AND(U713="new",T713="N",FT713="N",AT713="Y",FV713="N"),"Y","N"))</f>
        <v/>
      </c>
      <c r="FX713" s="0" t="str">
        <f aca="false">IF($A713="","",IF(FW713&lt;&gt;"Y","N",IF(COUNTIFS($FU$2:$FU$1000,FU713,$FW$2:$FW$1000,"Y",$J$2:$J$1000,"&gt;"&amp;J713)+COUNTIFS($FU$2:$FU$1000,FU713,$FW$2:$FW$1000,"Y",$J$2:$J$1000,J713,$GD$2:$GD$1000,"&lt;"&amp;GD713)=0,"Y","N")))</f>
        <v/>
      </c>
      <c r="FY713" s="0" t="str">
        <f aca="false">IF($A713="","",IF(AND(FW713="Y",FX713="Y",Y713&amp;""&lt;&gt;""),IF(Y713&lt;=10,"Y","N"),"N"))</f>
        <v/>
      </c>
      <c r="FZ713" s="0" t="str">
        <f aca="false">IF(FY713="Y",Y713,"")</f>
        <v/>
      </c>
      <c r="GA713" s="0" t="str">
        <f aca="false">IF($A713="","",IF(AND(I713="walk-in",CN713="pass",U713="new",FT713="N",FV713="N",AQ713&lt;&gt;"Y"),"Y","N"))</f>
        <v/>
      </c>
      <c r="GB713" s="0" t="str">
        <f aca="false">IF(GA713&lt;&gt;"Y","",IF(COUNTIFS($GA$2:$GA$1000,"Y",$J$2:$J$1000,"&gt;"&amp;J713)+COUNTIFS($GA$2:$GA$1000,"Y",$J$2:$J$1000,J713,$GD$2:$GD$1000,"&lt;"&amp;GD713)+1&lt;=25,COUNTIFS($GA$2:$GA$1000,"Y",$J$2:$J$1000,"&gt;"&amp;J713)+COUNTIFS($GA$2:$GA$1000,"Y",$J$2:$J$1000,J713,$GD$2:$GD$1000,"&lt;"&amp;GD713)+1,""))</f>
        <v/>
      </c>
      <c r="GC713" s="0" t="str">
        <f aca="false">IF(AND(_xlfn.ISFORMULA(C713),_xlfn.ISFORMULA(J713)),"Y","N")</f>
        <v>Y</v>
      </c>
      <c r="GD713" s="0" t="n">
        <f aca="false">ROW()-1</f>
        <v>712</v>
      </c>
    </row>
    <row r="714" customFormat="false" ht="15" hidden="false" customHeight="false" outlineLevel="0" collapsed="false">
      <c r="C714" s="0" t="str">
        <f aca="false">IF($A714="","",IF(AW714="Y",BM714&amp;"",AY714&amp;""))</f>
        <v/>
      </c>
      <c r="D714" s="0" t="str">
        <f aca="false">IF($A714="","",IF(AW714="Y",BN714&amp;"",AZ714&amp;""))</f>
        <v/>
      </c>
      <c r="E714" s="0" t="str">
        <f aca="false">IF($A714="","",IF(AW714="Y",BO714&amp;"",BA714&amp;""))</f>
        <v/>
      </c>
      <c r="F714" s="0" t="str">
        <f aca="false">IF($A714="","",IF(AW714="Y",BP714&amp;"",BB714&amp;""))</f>
        <v/>
      </c>
      <c r="G714" s="0" t="str">
        <f aca="false">IF($A714="","",IF(AW714="Y",BQ714&amp;"",BC714&amp;""))</f>
        <v/>
      </c>
      <c r="H714" s="0" t="str">
        <f aca="false">IF($A714="","",IF(AW714="Y",BR714&amp;"",BD714&amp;""))</f>
        <v/>
      </c>
      <c r="I714" s="0" t="str">
        <f aca="false">IF($A714="","",IF(R714="Y","warm-intro",IF(H714="verified","email",IF(C714&lt;&gt;"","linkedin",CB714&amp;""))))</f>
        <v/>
      </c>
      <c r="J714" s="0" t="str">
        <f aca="false">IF($A714="","",IF(CN714="pass",ROUND(N(EM714)+N(EN714)+N(EO714)+N(EP714)+N(EQ714)+N(ER714),1),0))</f>
        <v/>
      </c>
      <c r="K714" s="0" t="str">
        <f aca="false">IF($A714="","",IF(CN714&lt;&gt;"pass",CA714&amp;"",CA714&amp;"; "&amp;IF(AW714="Y",BZ714&amp;"",BL714&amp;"")&amp;IF(R714="Y","; known to the founder (+15)","")&amp;"."))</f>
        <v/>
      </c>
      <c r="R714" s="5"/>
      <c r="U714" s="5"/>
      <c r="Y714" s="0" t="str">
        <f aca="false">IF(FX714&lt;&gt;"Y","",COUNTIFS($FX$2:$FX$1000,"Y",$J$2:$J$1000,"&gt;"&amp;J714)+COUNTIFS($FX$2:$FX$1000,"Y",$J$2:$J$1000,J714,$GD$2:$GD$1000,"&lt;"&amp;GD714)+1)</f>
        <v/>
      </c>
      <c r="AB714" s="0" t="str">
        <f aca="false">IF($A714="","",IF(AW714="Y",BY714&amp;"",BK714&amp;""))</f>
        <v/>
      </c>
      <c r="AC714" s="0" t="str">
        <f aca="false">IF($A714="","",IF(AW714="Y",BS714&amp;"",BE714&amp;""))</f>
        <v/>
      </c>
      <c r="AD714" s="0" t="str">
        <f aca="false">IF($A714="","",IF(AW714="Y",BT714&amp;"",BF714&amp;""))</f>
        <v/>
      </c>
      <c r="AE714" s="0" t="str">
        <f aca="false">IF($A714="","",IF(AW714="Y",BU714&amp;"",BG714&amp;""))</f>
        <v/>
      </c>
      <c r="AF714" s="0" t="str">
        <f aca="false">IF($A714="","",IF(AW714="Y",BV714&amp;"",BH714&amp;""))</f>
        <v/>
      </c>
      <c r="AG714" s="0" t="str">
        <f aca="false">IF($A714="","",IF(AW714="Y",BW714&amp;"",BI714&amp;""))</f>
        <v/>
      </c>
      <c r="AH714" s="0" t="str">
        <f aca="false">IF($A714="","",IF(AW714="Y",BX714&amp;"",BJ714&amp;""))</f>
        <v/>
      </c>
      <c r="AQ714" s="5"/>
      <c r="AT714" s="0" t="str">
        <f aca="false">IF($A714="","",IF(AND(CN714="pass",AQ714&lt;&gt;"Y",C714&lt;&gt;"",OR(AX714&lt;&gt;"Y",AV714="Y")),"Y","N"))</f>
        <v/>
      </c>
      <c r="AU714" s="0" t="str">
        <f aca="false">IF($A714="","",_xlfn.TEXTJOIN("; ",TRUE(),IF(CN714&lt;&gt;"pass","gated out",""),IF(AQ714="Y","on hold: "&amp;AR714,""),IF(C714="","no contact named on an opened page",""),IF(AND(AX714="Y",AV714&lt;&gt;"Y"),"Tuesday estimate band "&amp;L714&amp;": founder's call","")))</f>
        <v/>
      </c>
      <c r="BC714" s="0" t="str">
        <f aca="false">IF($A714="","",IFERROR(INDEX(Enrichment!$A$2:$GZ$2000,MATCH($A714,INDEX(Enrichment!$A$2:$GZ$2000,0,MATCH("row_id",Enrichment!$A$1:$GZ$1,0)),0),MATCH("work_email",Enrichment!$A$1:$GZ$1,0))&amp;"",""))</f>
        <v/>
      </c>
      <c r="BD714" s="0" t="str">
        <f aca="false">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Q714" s="0" t="str">
        <f aca="false">IF($A714="","",IFERROR(INDEX(Enrichment!$A$2:$GZ$2000,MATCH($A714,INDEX(Enrichment!$A$2:$GZ$2000,0,MATCH("row_id",Enrichment!$A$1:$GZ$1,0)),0),MATCH("backup_work_email",Enrichment!$A$1:$GZ$1,0))&amp;"",""))</f>
        <v/>
      </c>
      <c r="BR714" s="0" t="str">
        <f aca="false">IF($A714="","",IF(BQ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EQ714" s="0" t="str">
        <f aca="false">IF($A714="","",IF(AH714="exact",10,IF(AH714="adjacent",5,0)))</f>
        <v/>
      </c>
      <c r="ER714" s="0" t="str">
        <f aca="false">IF($A714="","",IF(R714="Y",15,0))</f>
        <v/>
      </c>
      <c r="FS714" s="0" t="str">
        <f aca="false">IF($A714="","",IF(ISNUMBER(MATCH(U714,{"queued","contacted","replied","call_booked","call_done","yes_in_principle","materials_sent"},0)),"Y","N"))</f>
        <v/>
      </c>
      <c r="FT714" s="0" t="str">
        <f aca="false">IF($A714="","",IF(OR(T714="Y",U714="do_not_contact",AS714&amp;""&lt;&gt;""),"Y","N"))</f>
        <v/>
      </c>
      <c r="FU714" s="0" t="str">
        <f aca="false">IF($A714="","",IF(AP714&amp;""&lt;&gt;"",AP714&amp;"",$A714))</f>
        <v/>
      </c>
      <c r="FV714" s="0" t="str">
        <f aca="false">IF($A714="","",IF(COUNTIFS($FU$2:$FU$1000,FU714,$FS$2:$FS$1000,"Y")+COUNTIFS($FU$2:$FU$1000,FU714,$FT$2:$FT$1000,"Y")&gt;0,"Y","N"))</f>
        <v/>
      </c>
      <c r="FW714" s="0" t="str">
        <f aca="false">IF($A714="","",IF(AND(U714="new",T714="N",FT714="N",AT714="Y",FV714="N"),"Y","N"))</f>
        <v/>
      </c>
      <c r="FX714" s="0" t="str">
        <f aca="false">IF($A714="","",IF(FW714&lt;&gt;"Y","N",IF(COUNTIFS($FU$2:$FU$1000,FU714,$FW$2:$FW$1000,"Y",$J$2:$J$1000,"&gt;"&amp;J714)+COUNTIFS($FU$2:$FU$1000,FU714,$FW$2:$FW$1000,"Y",$J$2:$J$1000,J714,$GD$2:$GD$1000,"&lt;"&amp;GD714)=0,"Y","N")))</f>
        <v/>
      </c>
      <c r="FY714" s="0" t="str">
        <f aca="false">IF($A714="","",IF(AND(FW714="Y",FX714="Y",Y714&amp;""&lt;&gt;""),IF(Y714&lt;=10,"Y","N"),"N"))</f>
        <v/>
      </c>
      <c r="FZ714" s="0" t="str">
        <f aca="false">IF(FY714="Y",Y714,"")</f>
        <v/>
      </c>
      <c r="GA714" s="0" t="str">
        <f aca="false">IF($A714="","",IF(AND(I714="walk-in",CN714="pass",U714="new",FT714="N",FV714="N",AQ714&lt;&gt;"Y"),"Y","N"))</f>
        <v/>
      </c>
      <c r="GB714" s="0" t="str">
        <f aca="false">IF(GA714&lt;&gt;"Y","",IF(COUNTIFS($GA$2:$GA$1000,"Y",$J$2:$J$1000,"&gt;"&amp;J714)+COUNTIFS($GA$2:$GA$1000,"Y",$J$2:$J$1000,J714,$GD$2:$GD$1000,"&lt;"&amp;GD714)+1&lt;=25,COUNTIFS($GA$2:$GA$1000,"Y",$J$2:$J$1000,"&gt;"&amp;J714)+COUNTIFS($GA$2:$GA$1000,"Y",$J$2:$J$1000,J714,$GD$2:$GD$1000,"&lt;"&amp;GD714)+1,""))</f>
        <v/>
      </c>
      <c r="GC714" s="0" t="str">
        <f aca="false">IF(AND(_xlfn.ISFORMULA(C714),_xlfn.ISFORMULA(J714)),"Y","N")</f>
        <v>Y</v>
      </c>
      <c r="GD714" s="0" t="n">
        <f aca="false">ROW()-1</f>
        <v>713</v>
      </c>
    </row>
    <row r="715" customFormat="false" ht="15" hidden="false" customHeight="false" outlineLevel="0" collapsed="false">
      <c r="C715" s="0" t="str">
        <f aca="false">IF($A715="","",IF(AW715="Y",BM715&amp;"",AY715&amp;""))</f>
        <v/>
      </c>
      <c r="D715" s="0" t="str">
        <f aca="false">IF($A715="","",IF(AW715="Y",BN715&amp;"",AZ715&amp;""))</f>
        <v/>
      </c>
      <c r="E715" s="0" t="str">
        <f aca="false">IF($A715="","",IF(AW715="Y",BO715&amp;"",BA715&amp;""))</f>
        <v/>
      </c>
      <c r="F715" s="0" t="str">
        <f aca="false">IF($A715="","",IF(AW715="Y",BP715&amp;"",BB715&amp;""))</f>
        <v/>
      </c>
      <c r="G715" s="0" t="str">
        <f aca="false">IF($A715="","",IF(AW715="Y",BQ715&amp;"",BC715&amp;""))</f>
        <v/>
      </c>
      <c r="H715" s="0" t="str">
        <f aca="false">IF($A715="","",IF(AW715="Y",BR715&amp;"",BD715&amp;""))</f>
        <v/>
      </c>
      <c r="I715" s="0" t="str">
        <f aca="false">IF($A715="","",IF(R715="Y","warm-intro",IF(H715="verified","email",IF(C715&lt;&gt;"","linkedin",CB715&amp;""))))</f>
        <v/>
      </c>
      <c r="J715" s="0" t="str">
        <f aca="false">IF($A715="","",IF(CN715="pass",ROUND(N(EM715)+N(EN715)+N(EO715)+N(EP715)+N(EQ715)+N(ER715),1),0))</f>
        <v/>
      </c>
      <c r="K715" s="0" t="str">
        <f aca="false">IF($A715="","",IF(CN715&lt;&gt;"pass",CA715&amp;"",CA715&amp;"; "&amp;IF(AW715="Y",BZ715&amp;"",BL715&amp;"")&amp;IF(R715="Y","; known to the founder (+15)","")&amp;"."))</f>
        <v/>
      </c>
      <c r="R715" s="5"/>
      <c r="U715" s="5"/>
      <c r="Y715" s="0" t="str">
        <f aca="false">IF(FX715&lt;&gt;"Y","",COUNTIFS($FX$2:$FX$1000,"Y",$J$2:$J$1000,"&gt;"&amp;J715)+COUNTIFS($FX$2:$FX$1000,"Y",$J$2:$J$1000,J715,$GD$2:$GD$1000,"&lt;"&amp;GD715)+1)</f>
        <v/>
      </c>
      <c r="AB715" s="0" t="str">
        <f aca="false">IF($A715="","",IF(AW715="Y",BY715&amp;"",BK715&amp;""))</f>
        <v/>
      </c>
      <c r="AC715" s="0" t="str">
        <f aca="false">IF($A715="","",IF(AW715="Y",BS715&amp;"",BE715&amp;""))</f>
        <v/>
      </c>
      <c r="AD715" s="0" t="str">
        <f aca="false">IF($A715="","",IF(AW715="Y",BT715&amp;"",BF715&amp;""))</f>
        <v/>
      </c>
      <c r="AE715" s="0" t="str">
        <f aca="false">IF($A715="","",IF(AW715="Y",BU715&amp;"",BG715&amp;""))</f>
        <v/>
      </c>
      <c r="AF715" s="0" t="str">
        <f aca="false">IF($A715="","",IF(AW715="Y",BV715&amp;"",BH715&amp;""))</f>
        <v/>
      </c>
      <c r="AG715" s="0" t="str">
        <f aca="false">IF($A715="","",IF(AW715="Y",BW715&amp;"",BI715&amp;""))</f>
        <v/>
      </c>
      <c r="AH715" s="0" t="str">
        <f aca="false">IF($A715="","",IF(AW715="Y",BX715&amp;"",BJ715&amp;""))</f>
        <v/>
      </c>
      <c r="AQ715" s="5"/>
      <c r="AT715" s="0" t="str">
        <f aca="false">IF($A715="","",IF(AND(CN715="pass",AQ715&lt;&gt;"Y",C715&lt;&gt;"",OR(AX715&lt;&gt;"Y",AV715="Y")),"Y","N"))</f>
        <v/>
      </c>
      <c r="AU715" s="0" t="str">
        <f aca="false">IF($A715="","",_xlfn.TEXTJOIN("; ",TRUE(),IF(CN715&lt;&gt;"pass","gated out",""),IF(AQ715="Y","on hold: "&amp;AR715,""),IF(C715="","no contact named on an opened page",""),IF(AND(AX715="Y",AV715&lt;&gt;"Y"),"Tuesday estimate band "&amp;L715&amp;": founder's call","")))</f>
        <v/>
      </c>
      <c r="BC715" s="0" t="str">
        <f aca="false">IF($A715="","",IFERROR(INDEX(Enrichment!$A$2:$GZ$2000,MATCH($A715,INDEX(Enrichment!$A$2:$GZ$2000,0,MATCH("row_id",Enrichment!$A$1:$GZ$1,0)),0),MATCH("work_email",Enrichment!$A$1:$GZ$1,0))&amp;"",""))</f>
        <v/>
      </c>
      <c r="BD715" s="0" t="str">
        <f aca="false">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Q715" s="0" t="str">
        <f aca="false">IF($A715="","",IFERROR(INDEX(Enrichment!$A$2:$GZ$2000,MATCH($A715,INDEX(Enrichment!$A$2:$GZ$2000,0,MATCH("row_id",Enrichment!$A$1:$GZ$1,0)),0),MATCH("backup_work_email",Enrichment!$A$1:$GZ$1,0))&amp;"",""))</f>
        <v/>
      </c>
      <c r="BR715" s="0" t="str">
        <f aca="false">IF($A715="","",IF(BQ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EQ715" s="0" t="str">
        <f aca="false">IF($A715="","",IF(AH715="exact",10,IF(AH715="adjacent",5,0)))</f>
        <v/>
      </c>
      <c r="ER715" s="0" t="str">
        <f aca="false">IF($A715="","",IF(R715="Y",15,0))</f>
        <v/>
      </c>
      <c r="FS715" s="0" t="str">
        <f aca="false">IF($A715="","",IF(ISNUMBER(MATCH(U715,{"queued","contacted","replied","call_booked","call_done","yes_in_principle","materials_sent"},0)),"Y","N"))</f>
        <v/>
      </c>
      <c r="FT715" s="0" t="str">
        <f aca="false">IF($A715="","",IF(OR(T715="Y",U715="do_not_contact",AS715&amp;""&lt;&gt;""),"Y","N"))</f>
        <v/>
      </c>
      <c r="FU715" s="0" t="str">
        <f aca="false">IF($A715="","",IF(AP715&amp;""&lt;&gt;"",AP715&amp;"",$A715))</f>
        <v/>
      </c>
      <c r="FV715" s="0" t="str">
        <f aca="false">IF($A715="","",IF(COUNTIFS($FU$2:$FU$1000,FU715,$FS$2:$FS$1000,"Y")+COUNTIFS($FU$2:$FU$1000,FU715,$FT$2:$FT$1000,"Y")&gt;0,"Y","N"))</f>
        <v/>
      </c>
      <c r="FW715" s="0" t="str">
        <f aca="false">IF($A715="","",IF(AND(U715="new",T715="N",FT715="N",AT715="Y",FV715="N"),"Y","N"))</f>
        <v/>
      </c>
      <c r="FX715" s="0" t="str">
        <f aca="false">IF($A715="","",IF(FW715&lt;&gt;"Y","N",IF(COUNTIFS($FU$2:$FU$1000,FU715,$FW$2:$FW$1000,"Y",$J$2:$J$1000,"&gt;"&amp;J715)+COUNTIFS($FU$2:$FU$1000,FU715,$FW$2:$FW$1000,"Y",$J$2:$J$1000,J715,$GD$2:$GD$1000,"&lt;"&amp;GD715)=0,"Y","N")))</f>
        <v/>
      </c>
      <c r="FY715" s="0" t="str">
        <f aca="false">IF($A715="","",IF(AND(FW715="Y",FX715="Y",Y715&amp;""&lt;&gt;""),IF(Y715&lt;=10,"Y","N"),"N"))</f>
        <v/>
      </c>
      <c r="FZ715" s="0" t="str">
        <f aca="false">IF(FY715="Y",Y715,"")</f>
        <v/>
      </c>
      <c r="GA715" s="0" t="str">
        <f aca="false">IF($A715="","",IF(AND(I715="walk-in",CN715="pass",U715="new",FT715="N",FV715="N",AQ715&lt;&gt;"Y"),"Y","N"))</f>
        <v/>
      </c>
      <c r="GB715" s="0" t="str">
        <f aca="false">IF(GA715&lt;&gt;"Y","",IF(COUNTIFS($GA$2:$GA$1000,"Y",$J$2:$J$1000,"&gt;"&amp;J715)+COUNTIFS($GA$2:$GA$1000,"Y",$J$2:$J$1000,J715,$GD$2:$GD$1000,"&lt;"&amp;GD715)+1&lt;=25,COUNTIFS($GA$2:$GA$1000,"Y",$J$2:$J$1000,"&gt;"&amp;J715)+COUNTIFS($GA$2:$GA$1000,"Y",$J$2:$J$1000,J715,$GD$2:$GD$1000,"&lt;"&amp;GD715)+1,""))</f>
        <v/>
      </c>
      <c r="GC715" s="0" t="str">
        <f aca="false">IF(AND(_xlfn.ISFORMULA(C715),_xlfn.ISFORMULA(J715)),"Y","N")</f>
        <v>Y</v>
      </c>
      <c r="GD715" s="0" t="n">
        <f aca="false">ROW()-1</f>
        <v>714</v>
      </c>
    </row>
    <row r="716" customFormat="false" ht="15" hidden="false" customHeight="false" outlineLevel="0" collapsed="false">
      <c r="C716" s="0" t="str">
        <f aca="false">IF($A716="","",IF(AW716="Y",BM716&amp;"",AY716&amp;""))</f>
        <v/>
      </c>
      <c r="D716" s="0" t="str">
        <f aca="false">IF($A716="","",IF(AW716="Y",BN716&amp;"",AZ716&amp;""))</f>
        <v/>
      </c>
      <c r="E716" s="0" t="str">
        <f aca="false">IF($A716="","",IF(AW716="Y",BO716&amp;"",BA716&amp;""))</f>
        <v/>
      </c>
      <c r="F716" s="0" t="str">
        <f aca="false">IF($A716="","",IF(AW716="Y",BP716&amp;"",BB716&amp;""))</f>
        <v/>
      </c>
      <c r="G716" s="0" t="str">
        <f aca="false">IF($A716="","",IF(AW716="Y",BQ716&amp;"",BC716&amp;""))</f>
        <v/>
      </c>
      <c r="H716" s="0" t="str">
        <f aca="false">IF($A716="","",IF(AW716="Y",BR716&amp;"",BD716&amp;""))</f>
        <v/>
      </c>
      <c r="I716" s="0" t="str">
        <f aca="false">IF($A716="","",IF(R716="Y","warm-intro",IF(H716="verified","email",IF(C716&lt;&gt;"","linkedin",CB716&amp;""))))</f>
        <v/>
      </c>
      <c r="J716" s="0" t="str">
        <f aca="false">IF($A716="","",IF(CN716="pass",ROUND(N(EM716)+N(EN716)+N(EO716)+N(EP716)+N(EQ716)+N(ER716),1),0))</f>
        <v/>
      </c>
      <c r="K716" s="0" t="str">
        <f aca="false">IF($A716="","",IF(CN716&lt;&gt;"pass",CA716&amp;"",CA716&amp;"; "&amp;IF(AW716="Y",BZ716&amp;"",BL716&amp;"")&amp;IF(R716="Y","; known to the founder (+15)","")&amp;"."))</f>
        <v/>
      </c>
      <c r="R716" s="5"/>
      <c r="U716" s="5"/>
      <c r="Y716" s="0" t="str">
        <f aca="false">IF(FX716&lt;&gt;"Y","",COUNTIFS($FX$2:$FX$1000,"Y",$J$2:$J$1000,"&gt;"&amp;J716)+COUNTIFS($FX$2:$FX$1000,"Y",$J$2:$J$1000,J716,$GD$2:$GD$1000,"&lt;"&amp;GD716)+1)</f>
        <v/>
      </c>
      <c r="AB716" s="0" t="str">
        <f aca="false">IF($A716="","",IF(AW716="Y",BY716&amp;"",BK716&amp;""))</f>
        <v/>
      </c>
      <c r="AC716" s="0" t="str">
        <f aca="false">IF($A716="","",IF(AW716="Y",BS716&amp;"",BE716&amp;""))</f>
        <v/>
      </c>
      <c r="AD716" s="0" t="str">
        <f aca="false">IF($A716="","",IF(AW716="Y",BT716&amp;"",BF716&amp;""))</f>
        <v/>
      </c>
      <c r="AE716" s="0" t="str">
        <f aca="false">IF($A716="","",IF(AW716="Y",BU716&amp;"",BG716&amp;""))</f>
        <v/>
      </c>
      <c r="AF716" s="0" t="str">
        <f aca="false">IF($A716="","",IF(AW716="Y",BV716&amp;"",BH716&amp;""))</f>
        <v/>
      </c>
      <c r="AG716" s="0" t="str">
        <f aca="false">IF($A716="","",IF(AW716="Y",BW716&amp;"",BI716&amp;""))</f>
        <v/>
      </c>
      <c r="AH716" s="0" t="str">
        <f aca="false">IF($A716="","",IF(AW716="Y",BX716&amp;"",BJ716&amp;""))</f>
        <v/>
      </c>
      <c r="AQ716" s="5"/>
      <c r="AT716" s="0" t="str">
        <f aca="false">IF($A716="","",IF(AND(CN716="pass",AQ716&lt;&gt;"Y",C716&lt;&gt;"",OR(AX716&lt;&gt;"Y",AV716="Y")),"Y","N"))</f>
        <v/>
      </c>
      <c r="AU716" s="0" t="str">
        <f aca="false">IF($A716="","",_xlfn.TEXTJOIN("; ",TRUE(),IF(CN716&lt;&gt;"pass","gated out",""),IF(AQ716="Y","on hold: "&amp;AR716,""),IF(C716="","no contact named on an opened page",""),IF(AND(AX716="Y",AV716&lt;&gt;"Y"),"Tuesday estimate band "&amp;L716&amp;": founder's call","")))</f>
        <v/>
      </c>
      <c r="BC716" s="0" t="str">
        <f aca="false">IF($A716="","",IFERROR(INDEX(Enrichment!$A$2:$GZ$2000,MATCH($A716,INDEX(Enrichment!$A$2:$GZ$2000,0,MATCH("row_id",Enrichment!$A$1:$GZ$1,0)),0),MATCH("work_email",Enrichment!$A$1:$GZ$1,0))&amp;"",""))</f>
        <v/>
      </c>
      <c r="BD716" s="0" t="str">
        <f aca="false">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Q716" s="0" t="str">
        <f aca="false">IF($A716="","",IFERROR(INDEX(Enrichment!$A$2:$GZ$2000,MATCH($A716,INDEX(Enrichment!$A$2:$GZ$2000,0,MATCH("row_id",Enrichment!$A$1:$GZ$1,0)),0),MATCH("backup_work_email",Enrichment!$A$1:$GZ$1,0))&amp;"",""))</f>
        <v/>
      </c>
      <c r="BR716" s="0" t="str">
        <f aca="false">IF($A716="","",IF(BQ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EQ716" s="0" t="str">
        <f aca="false">IF($A716="","",IF(AH716="exact",10,IF(AH716="adjacent",5,0)))</f>
        <v/>
      </c>
      <c r="ER716" s="0" t="str">
        <f aca="false">IF($A716="","",IF(R716="Y",15,0))</f>
        <v/>
      </c>
      <c r="FS716" s="0" t="str">
        <f aca="false">IF($A716="","",IF(ISNUMBER(MATCH(U716,{"queued","contacted","replied","call_booked","call_done","yes_in_principle","materials_sent"},0)),"Y","N"))</f>
        <v/>
      </c>
      <c r="FT716" s="0" t="str">
        <f aca="false">IF($A716="","",IF(OR(T716="Y",U716="do_not_contact",AS716&amp;""&lt;&gt;""),"Y","N"))</f>
        <v/>
      </c>
      <c r="FU716" s="0" t="str">
        <f aca="false">IF($A716="","",IF(AP716&amp;""&lt;&gt;"",AP716&amp;"",$A716))</f>
        <v/>
      </c>
      <c r="FV716" s="0" t="str">
        <f aca="false">IF($A716="","",IF(COUNTIFS($FU$2:$FU$1000,FU716,$FS$2:$FS$1000,"Y")+COUNTIFS($FU$2:$FU$1000,FU716,$FT$2:$FT$1000,"Y")&gt;0,"Y","N"))</f>
        <v/>
      </c>
      <c r="FW716" s="0" t="str">
        <f aca="false">IF($A716="","",IF(AND(U716="new",T716="N",FT716="N",AT716="Y",FV716="N"),"Y","N"))</f>
        <v/>
      </c>
      <c r="FX716" s="0" t="str">
        <f aca="false">IF($A716="","",IF(FW716&lt;&gt;"Y","N",IF(COUNTIFS($FU$2:$FU$1000,FU716,$FW$2:$FW$1000,"Y",$J$2:$J$1000,"&gt;"&amp;J716)+COUNTIFS($FU$2:$FU$1000,FU716,$FW$2:$FW$1000,"Y",$J$2:$J$1000,J716,$GD$2:$GD$1000,"&lt;"&amp;GD716)=0,"Y","N")))</f>
        <v/>
      </c>
      <c r="FY716" s="0" t="str">
        <f aca="false">IF($A716="","",IF(AND(FW716="Y",FX716="Y",Y716&amp;""&lt;&gt;""),IF(Y716&lt;=10,"Y","N"),"N"))</f>
        <v/>
      </c>
      <c r="FZ716" s="0" t="str">
        <f aca="false">IF(FY716="Y",Y716,"")</f>
        <v/>
      </c>
      <c r="GA716" s="0" t="str">
        <f aca="false">IF($A716="","",IF(AND(I716="walk-in",CN716="pass",U716="new",FT716="N",FV716="N",AQ716&lt;&gt;"Y"),"Y","N"))</f>
        <v/>
      </c>
      <c r="GB716" s="0" t="str">
        <f aca="false">IF(GA716&lt;&gt;"Y","",IF(COUNTIFS($GA$2:$GA$1000,"Y",$J$2:$J$1000,"&gt;"&amp;J716)+COUNTIFS($GA$2:$GA$1000,"Y",$J$2:$J$1000,J716,$GD$2:$GD$1000,"&lt;"&amp;GD716)+1&lt;=25,COUNTIFS($GA$2:$GA$1000,"Y",$J$2:$J$1000,"&gt;"&amp;J716)+COUNTIFS($GA$2:$GA$1000,"Y",$J$2:$J$1000,J716,$GD$2:$GD$1000,"&lt;"&amp;GD716)+1,""))</f>
        <v/>
      </c>
      <c r="GC716" s="0" t="str">
        <f aca="false">IF(AND(_xlfn.ISFORMULA(C716),_xlfn.ISFORMULA(J716)),"Y","N")</f>
        <v>Y</v>
      </c>
      <c r="GD716" s="0" t="n">
        <f aca="false">ROW()-1</f>
        <v>715</v>
      </c>
    </row>
    <row r="717" customFormat="false" ht="15" hidden="false" customHeight="false" outlineLevel="0" collapsed="false">
      <c r="C717" s="0" t="str">
        <f aca="false">IF($A717="","",IF(AW717="Y",BM717&amp;"",AY717&amp;""))</f>
        <v/>
      </c>
      <c r="D717" s="0" t="str">
        <f aca="false">IF($A717="","",IF(AW717="Y",BN717&amp;"",AZ717&amp;""))</f>
        <v/>
      </c>
      <c r="E717" s="0" t="str">
        <f aca="false">IF($A717="","",IF(AW717="Y",BO717&amp;"",BA717&amp;""))</f>
        <v/>
      </c>
      <c r="F717" s="0" t="str">
        <f aca="false">IF($A717="","",IF(AW717="Y",BP717&amp;"",BB717&amp;""))</f>
        <v/>
      </c>
      <c r="G717" s="0" t="str">
        <f aca="false">IF($A717="","",IF(AW717="Y",BQ717&amp;"",BC717&amp;""))</f>
        <v/>
      </c>
      <c r="H717" s="0" t="str">
        <f aca="false">IF($A717="","",IF(AW717="Y",BR717&amp;"",BD717&amp;""))</f>
        <v/>
      </c>
      <c r="I717" s="0" t="str">
        <f aca="false">IF($A717="","",IF(R717="Y","warm-intro",IF(H717="verified","email",IF(C717&lt;&gt;"","linkedin",CB717&amp;""))))</f>
        <v/>
      </c>
      <c r="J717" s="0" t="str">
        <f aca="false">IF($A717="","",IF(CN717="pass",ROUND(N(EM717)+N(EN717)+N(EO717)+N(EP717)+N(EQ717)+N(ER717),1),0))</f>
        <v/>
      </c>
      <c r="K717" s="0" t="str">
        <f aca="false">IF($A717="","",IF(CN717&lt;&gt;"pass",CA717&amp;"",CA717&amp;"; "&amp;IF(AW717="Y",BZ717&amp;"",BL717&amp;"")&amp;IF(R717="Y","; known to the founder (+15)","")&amp;"."))</f>
        <v/>
      </c>
      <c r="R717" s="5"/>
      <c r="U717" s="5"/>
      <c r="Y717" s="0" t="str">
        <f aca="false">IF(FX717&lt;&gt;"Y","",COUNTIFS($FX$2:$FX$1000,"Y",$J$2:$J$1000,"&gt;"&amp;J717)+COUNTIFS($FX$2:$FX$1000,"Y",$J$2:$J$1000,J717,$GD$2:$GD$1000,"&lt;"&amp;GD717)+1)</f>
        <v/>
      </c>
      <c r="AB717" s="0" t="str">
        <f aca="false">IF($A717="","",IF(AW717="Y",BY717&amp;"",BK717&amp;""))</f>
        <v/>
      </c>
      <c r="AC717" s="0" t="str">
        <f aca="false">IF($A717="","",IF(AW717="Y",BS717&amp;"",BE717&amp;""))</f>
        <v/>
      </c>
      <c r="AD717" s="0" t="str">
        <f aca="false">IF($A717="","",IF(AW717="Y",BT717&amp;"",BF717&amp;""))</f>
        <v/>
      </c>
      <c r="AE717" s="0" t="str">
        <f aca="false">IF($A717="","",IF(AW717="Y",BU717&amp;"",BG717&amp;""))</f>
        <v/>
      </c>
      <c r="AF717" s="0" t="str">
        <f aca="false">IF($A717="","",IF(AW717="Y",BV717&amp;"",BH717&amp;""))</f>
        <v/>
      </c>
      <c r="AG717" s="0" t="str">
        <f aca="false">IF($A717="","",IF(AW717="Y",BW717&amp;"",BI717&amp;""))</f>
        <v/>
      </c>
      <c r="AH717" s="0" t="str">
        <f aca="false">IF($A717="","",IF(AW717="Y",BX717&amp;"",BJ717&amp;""))</f>
        <v/>
      </c>
      <c r="AQ717" s="5"/>
      <c r="AT717" s="0" t="str">
        <f aca="false">IF($A717="","",IF(AND(CN717="pass",AQ717&lt;&gt;"Y",C717&lt;&gt;"",OR(AX717&lt;&gt;"Y",AV717="Y")),"Y","N"))</f>
        <v/>
      </c>
      <c r="AU717" s="0" t="str">
        <f aca="false">IF($A717="","",_xlfn.TEXTJOIN("; ",TRUE(),IF(CN717&lt;&gt;"pass","gated out",""),IF(AQ717="Y","on hold: "&amp;AR717,""),IF(C717="","no contact named on an opened page",""),IF(AND(AX717="Y",AV717&lt;&gt;"Y"),"Tuesday estimate band "&amp;L717&amp;": founder's call","")))</f>
        <v/>
      </c>
      <c r="BC717" s="0" t="str">
        <f aca="false">IF($A717="","",IFERROR(INDEX(Enrichment!$A$2:$GZ$2000,MATCH($A717,INDEX(Enrichment!$A$2:$GZ$2000,0,MATCH("row_id",Enrichment!$A$1:$GZ$1,0)),0),MATCH("work_email",Enrichment!$A$1:$GZ$1,0))&amp;"",""))</f>
        <v/>
      </c>
      <c r="BD717" s="0" t="str">
        <f aca="false">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Q717" s="0" t="str">
        <f aca="false">IF($A717="","",IFERROR(INDEX(Enrichment!$A$2:$GZ$2000,MATCH($A717,INDEX(Enrichment!$A$2:$GZ$2000,0,MATCH("row_id",Enrichment!$A$1:$GZ$1,0)),0),MATCH("backup_work_email",Enrichment!$A$1:$GZ$1,0))&amp;"",""))</f>
        <v/>
      </c>
      <c r="BR717" s="0" t="str">
        <f aca="false">IF($A717="","",IF(BQ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EQ717" s="0" t="str">
        <f aca="false">IF($A717="","",IF(AH717="exact",10,IF(AH717="adjacent",5,0)))</f>
        <v/>
      </c>
      <c r="ER717" s="0" t="str">
        <f aca="false">IF($A717="","",IF(R717="Y",15,0))</f>
        <v/>
      </c>
      <c r="FS717" s="0" t="str">
        <f aca="false">IF($A717="","",IF(ISNUMBER(MATCH(U717,{"queued","contacted","replied","call_booked","call_done","yes_in_principle","materials_sent"},0)),"Y","N"))</f>
        <v/>
      </c>
      <c r="FT717" s="0" t="str">
        <f aca="false">IF($A717="","",IF(OR(T717="Y",U717="do_not_contact",AS717&amp;""&lt;&gt;""),"Y","N"))</f>
        <v/>
      </c>
      <c r="FU717" s="0" t="str">
        <f aca="false">IF($A717="","",IF(AP717&amp;""&lt;&gt;"",AP717&amp;"",$A717))</f>
        <v/>
      </c>
      <c r="FV717" s="0" t="str">
        <f aca="false">IF($A717="","",IF(COUNTIFS($FU$2:$FU$1000,FU717,$FS$2:$FS$1000,"Y")+COUNTIFS($FU$2:$FU$1000,FU717,$FT$2:$FT$1000,"Y")&gt;0,"Y","N"))</f>
        <v/>
      </c>
      <c r="FW717" s="0" t="str">
        <f aca="false">IF($A717="","",IF(AND(U717="new",T717="N",FT717="N",AT717="Y",FV717="N"),"Y","N"))</f>
        <v/>
      </c>
      <c r="FX717" s="0" t="str">
        <f aca="false">IF($A717="","",IF(FW717&lt;&gt;"Y","N",IF(COUNTIFS($FU$2:$FU$1000,FU717,$FW$2:$FW$1000,"Y",$J$2:$J$1000,"&gt;"&amp;J717)+COUNTIFS($FU$2:$FU$1000,FU717,$FW$2:$FW$1000,"Y",$J$2:$J$1000,J717,$GD$2:$GD$1000,"&lt;"&amp;GD717)=0,"Y","N")))</f>
        <v/>
      </c>
      <c r="FY717" s="0" t="str">
        <f aca="false">IF($A717="","",IF(AND(FW717="Y",FX717="Y",Y717&amp;""&lt;&gt;""),IF(Y717&lt;=10,"Y","N"),"N"))</f>
        <v/>
      </c>
      <c r="FZ717" s="0" t="str">
        <f aca="false">IF(FY717="Y",Y717,"")</f>
        <v/>
      </c>
      <c r="GA717" s="0" t="str">
        <f aca="false">IF($A717="","",IF(AND(I717="walk-in",CN717="pass",U717="new",FT717="N",FV717="N",AQ717&lt;&gt;"Y"),"Y","N"))</f>
        <v/>
      </c>
      <c r="GB717" s="0" t="str">
        <f aca="false">IF(GA717&lt;&gt;"Y","",IF(COUNTIFS($GA$2:$GA$1000,"Y",$J$2:$J$1000,"&gt;"&amp;J717)+COUNTIFS($GA$2:$GA$1000,"Y",$J$2:$J$1000,J717,$GD$2:$GD$1000,"&lt;"&amp;GD717)+1&lt;=25,COUNTIFS($GA$2:$GA$1000,"Y",$J$2:$J$1000,"&gt;"&amp;J717)+COUNTIFS($GA$2:$GA$1000,"Y",$J$2:$J$1000,J717,$GD$2:$GD$1000,"&lt;"&amp;GD717)+1,""))</f>
        <v/>
      </c>
      <c r="GC717" s="0" t="str">
        <f aca="false">IF(AND(_xlfn.ISFORMULA(C717),_xlfn.ISFORMULA(J717)),"Y","N")</f>
        <v>Y</v>
      </c>
      <c r="GD717" s="0" t="n">
        <f aca="false">ROW()-1</f>
        <v>716</v>
      </c>
    </row>
    <row r="718" customFormat="false" ht="15" hidden="false" customHeight="false" outlineLevel="0" collapsed="false">
      <c r="C718" s="0" t="str">
        <f aca="false">IF($A718="","",IF(AW718="Y",BM718&amp;"",AY718&amp;""))</f>
        <v/>
      </c>
      <c r="D718" s="0" t="str">
        <f aca="false">IF($A718="","",IF(AW718="Y",BN718&amp;"",AZ718&amp;""))</f>
        <v/>
      </c>
      <c r="E718" s="0" t="str">
        <f aca="false">IF($A718="","",IF(AW718="Y",BO718&amp;"",BA718&amp;""))</f>
        <v/>
      </c>
      <c r="F718" s="0" t="str">
        <f aca="false">IF($A718="","",IF(AW718="Y",BP718&amp;"",BB718&amp;""))</f>
        <v/>
      </c>
      <c r="G718" s="0" t="str">
        <f aca="false">IF($A718="","",IF(AW718="Y",BQ718&amp;"",BC718&amp;""))</f>
        <v/>
      </c>
      <c r="H718" s="0" t="str">
        <f aca="false">IF($A718="","",IF(AW718="Y",BR718&amp;"",BD718&amp;""))</f>
        <v/>
      </c>
      <c r="I718" s="0" t="str">
        <f aca="false">IF($A718="","",IF(R718="Y","warm-intro",IF(H718="verified","email",IF(C718&lt;&gt;"","linkedin",CB718&amp;""))))</f>
        <v/>
      </c>
      <c r="J718" s="0" t="str">
        <f aca="false">IF($A718="","",IF(CN718="pass",ROUND(N(EM718)+N(EN718)+N(EO718)+N(EP718)+N(EQ718)+N(ER718),1),0))</f>
        <v/>
      </c>
      <c r="K718" s="0" t="str">
        <f aca="false">IF($A718="","",IF(CN718&lt;&gt;"pass",CA718&amp;"",CA718&amp;"; "&amp;IF(AW718="Y",BZ718&amp;"",BL718&amp;"")&amp;IF(R718="Y","; known to the founder (+15)","")&amp;"."))</f>
        <v/>
      </c>
      <c r="R718" s="5"/>
      <c r="U718" s="5"/>
      <c r="Y718" s="0" t="str">
        <f aca="false">IF(FX718&lt;&gt;"Y","",COUNTIFS($FX$2:$FX$1000,"Y",$J$2:$J$1000,"&gt;"&amp;J718)+COUNTIFS($FX$2:$FX$1000,"Y",$J$2:$J$1000,J718,$GD$2:$GD$1000,"&lt;"&amp;GD718)+1)</f>
        <v/>
      </c>
      <c r="AB718" s="0" t="str">
        <f aca="false">IF($A718="","",IF(AW718="Y",BY718&amp;"",BK718&amp;""))</f>
        <v/>
      </c>
      <c r="AC718" s="0" t="str">
        <f aca="false">IF($A718="","",IF(AW718="Y",BS718&amp;"",BE718&amp;""))</f>
        <v/>
      </c>
      <c r="AD718" s="0" t="str">
        <f aca="false">IF($A718="","",IF(AW718="Y",BT718&amp;"",BF718&amp;""))</f>
        <v/>
      </c>
      <c r="AE718" s="0" t="str">
        <f aca="false">IF($A718="","",IF(AW718="Y",BU718&amp;"",BG718&amp;""))</f>
        <v/>
      </c>
      <c r="AF718" s="0" t="str">
        <f aca="false">IF($A718="","",IF(AW718="Y",BV718&amp;"",BH718&amp;""))</f>
        <v/>
      </c>
      <c r="AG718" s="0" t="str">
        <f aca="false">IF($A718="","",IF(AW718="Y",BW718&amp;"",BI718&amp;""))</f>
        <v/>
      </c>
      <c r="AH718" s="0" t="str">
        <f aca="false">IF($A718="","",IF(AW718="Y",BX718&amp;"",BJ718&amp;""))</f>
        <v/>
      </c>
      <c r="AQ718" s="5"/>
      <c r="AT718" s="0" t="str">
        <f aca="false">IF($A718="","",IF(AND(CN718="pass",AQ718&lt;&gt;"Y",C718&lt;&gt;"",OR(AX718&lt;&gt;"Y",AV718="Y")),"Y","N"))</f>
        <v/>
      </c>
      <c r="AU718" s="0" t="str">
        <f aca="false">IF($A718="","",_xlfn.TEXTJOIN("; ",TRUE(),IF(CN718&lt;&gt;"pass","gated out",""),IF(AQ718="Y","on hold: "&amp;AR718,""),IF(C718="","no contact named on an opened page",""),IF(AND(AX718="Y",AV718&lt;&gt;"Y"),"Tuesday estimate band "&amp;L718&amp;": founder's call","")))</f>
        <v/>
      </c>
      <c r="BC718" s="0" t="str">
        <f aca="false">IF($A718="","",IFERROR(INDEX(Enrichment!$A$2:$GZ$2000,MATCH($A718,INDEX(Enrichment!$A$2:$GZ$2000,0,MATCH("row_id",Enrichment!$A$1:$GZ$1,0)),0),MATCH("work_email",Enrichment!$A$1:$GZ$1,0))&amp;"",""))</f>
        <v/>
      </c>
      <c r="BD718" s="0" t="str">
        <f aca="false">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Q718" s="0" t="str">
        <f aca="false">IF($A718="","",IFERROR(INDEX(Enrichment!$A$2:$GZ$2000,MATCH($A718,INDEX(Enrichment!$A$2:$GZ$2000,0,MATCH("row_id",Enrichment!$A$1:$GZ$1,0)),0),MATCH("backup_work_email",Enrichment!$A$1:$GZ$1,0))&amp;"",""))</f>
        <v/>
      </c>
      <c r="BR718" s="0" t="str">
        <f aca="false">IF($A718="","",IF(BQ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EQ718" s="0" t="str">
        <f aca="false">IF($A718="","",IF(AH718="exact",10,IF(AH718="adjacent",5,0)))</f>
        <v/>
      </c>
      <c r="ER718" s="0" t="str">
        <f aca="false">IF($A718="","",IF(R718="Y",15,0))</f>
        <v/>
      </c>
      <c r="FS718" s="0" t="str">
        <f aca="false">IF($A718="","",IF(ISNUMBER(MATCH(U718,{"queued","contacted","replied","call_booked","call_done","yes_in_principle","materials_sent"},0)),"Y","N"))</f>
        <v/>
      </c>
      <c r="FT718" s="0" t="str">
        <f aca="false">IF($A718="","",IF(OR(T718="Y",U718="do_not_contact",AS718&amp;""&lt;&gt;""),"Y","N"))</f>
        <v/>
      </c>
      <c r="FU718" s="0" t="str">
        <f aca="false">IF($A718="","",IF(AP718&amp;""&lt;&gt;"",AP718&amp;"",$A718))</f>
        <v/>
      </c>
      <c r="FV718" s="0" t="str">
        <f aca="false">IF($A718="","",IF(COUNTIFS($FU$2:$FU$1000,FU718,$FS$2:$FS$1000,"Y")+COUNTIFS($FU$2:$FU$1000,FU718,$FT$2:$FT$1000,"Y")&gt;0,"Y","N"))</f>
        <v/>
      </c>
      <c r="FW718" s="0" t="str">
        <f aca="false">IF($A718="","",IF(AND(U718="new",T718="N",FT718="N",AT718="Y",FV718="N"),"Y","N"))</f>
        <v/>
      </c>
      <c r="FX718" s="0" t="str">
        <f aca="false">IF($A718="","",IF(FW718&lt;&gt;"Y","N",IF(COUNTIFS($FU$2:$FU$1000,FU718,$FW$2:$FW$1000,"Y",$J$2:$J$1000,"&gt;"&amp;J718)+COUNTIFS($FU$2:$FU$1000,FU718,$FW$2:$FW$1000,"Y",$J$2:$J$1000,J718,$GD$2:$GD$1000,"&lt;"&amp;GD718)=0,"Y","N")))</f>
        <v/>
      </c>
      <c r="FY718" s="0" t="str">
        <f aca="false">IF($A718="","",IF(AND(FW718="Y",FX718="Y",Y718&amp;""&lt;&gt;""),IF(Y718&lt;=10,"Y","N"),"N"))</f>
        <v/>
      </c>
      <c r="FZ718" s="0" t="str">
        <f aca="false">IF(FY718="Y",Y718,"")</f>
        <v/>
      </c>
      <c r="GA718" s="0" t="str">
        <f aca="false">IF($A718="","",IF(AND(I718="walk-in",CN718="pass",U718="new",FT718="N",FV718="N",AQ718&lt;&gt;"Y"),"Y","N"))</f>
        <v/>
      </c>
      <c r="GB718" s="0" t="str">
        <f aca="false">IF(GA718&lt;&gt;"Y","",IF(COUNTIFS($GA$2:$GA$1000,"Y",$J$2:$J$1000,"&gt;"&amp;J718)+COUNTIFS($GA$2:$GA$1000,"Y",$J$2:$J$1000,J718,$GD$2:$GD$1000,"&lt;"&amp;GD718)+1&lt;=25,COUNTIFS($GA$2:$GA$1000,"Y",$J$2:$J$1000,"&gt;"&amp;J718)+COUNTIFS($GA$2:$GA$1000,"Y",$J$2:$J$1000,J718,$GD$2:$GD$1000,"&lt;"&amp;GD718)+1,""))</f>
        <v/>
      </c>
      <c r="GC718" s="0" t="str">
        <f aca="false">IF(AND(_xlfn.ISFORMULA(C718),_xlfn.ISFORMULA(J718)),"Y","N")</f>
        <v>Y</v>
      </c>
      <c r="GD718" s="0" t="n">
        <f aca="false">ROW()-1</f>
        <v>717</v>
      </c>
    </row>
    <row r="719" customFormat="false" ht="15" hidden="false" customHeight="false" outlineLevel="0" collapsed="false">
      <c r="C719" s="0" t="str">
        <f aca="false">IF($A719="","",IF(AW719="Y",BM719&amp;"",AY719&amp;""))</f>
        <v/>
      </c>
      <c r="D719" s="0" t="str">
        <f aca="false">IF($A719="","",IF(AW719="Y",BN719&amp;"",AZ719&amp;""))</f>
        <v/>
      </c>
      <c r="E719" s="0" t="str">
        <f aca="false">IF($A719="","",IF(AW719="Y",BO719&amp;"",BA719&amp;""))</f>
        <v/>
      </c>
      <c r="F719" s="0" t="str">
        <f aca="false">IF($A719="","",IF(AW719="Y",BP719&amp;"",BB719&amp;""))</f>
        <v/>
      </c>
      <c r="G719" s="0" t="str">
        <f aca="false">IF($A719="","",IF(AW719="Y",BQ719&amp;"",BC719&amp;""))</f>
        <v/>
      </c>
      <c r="H719" s="0" t="str">
        <f aca="false">IF($A719="","",IF(AW719="Y",BR719&amp;"",BD719&amp;""))</f>
        <v/>
      </c>
      <c r="I719" s="0" t="str">
        <f aca="false">IF($A719="","",IF(R719="Y","warm-intro",IF(H719="verified","email",IF(C719&lt;&gt;"","linkedin",CB719&amp;""))))</f>
        <v/>
      </c>
      <c r="J719" s="0" t="str">
        <f aca="false">IF($A719="","",IF(CN719="pass",ROUND(N(EM719)+N(EN719)+N(EO719)+N(EP719)+N(EQ719)+N(ER719),1),0))</f>
        <v/>
      </c>
      <c r="K719" s="0" t="str">
        <f aca="false">IF($A719="","",IF(CN719&lt;&gt;"pass",CA719&amp;"",CA719&amp;"; "&amp;IF(AW719="Y",BZ719&amp;"",BL719&amp;"")&amp;IF(R719="Y","; known to the founder (+15)","")&amp;"."))</f>
        <v/>
      </c>
      <c r="R719" s="5"/>
      <c r="U719" s="5"/>
      <c r="Y719" s="0" t="str">
        <f aca="false">IF(FX719&lt;&gt;"Y","",COUNTIFS($FX$2:$FX$1000,"Y",$J$2:$J$1000,"&gt;"&amp;J719)+COUNTIFS($FX$2:$FX$1000,"Y",$J$2:$J$1000,J719,$GD$2:$GD$1000,"&lt;"&amp;GD719)+1)</f>
        <v/>
      </c>
      <c r="AB719" s="0" t="str">
        <f aca="false">IF($A719="","",IF(AW719="Y",BY719&amp;"",BK719&amp;""))</f>
        <v/>
      </c>
      <c r="AC719" s="0" t="str">
        <f aca="false">IF($A719="","",IF(AW719="Y",BS719&amp;"",BE719&amp;""))</f>
        <v/>
      </c>
      <c r="AD719" s="0" t="str">
        <f aca="false">IF($A719="","",IF(AW719="Y",BT719&amp;"",BF719&amp;""))</f>
        <v/>
      </c>
      <c r="AE719" s="0" t="str">
        <f aca="false">IF($A719="","",IF(AW719="Y",BU719&amp;"",BG719&amp;""))</f>
        <v/>
      </c>
      <c r="AF719" s="0" t="str">
        <f aca="false">IF($A719="","",IF(AW719="Y",BV719&amp;"",BH719&amp;""))</f>
        <v/>
      </c>
      <c r="AG719" s="0" t="str">
        <f aca="false">IF($A719="","",IF(AW719="Y",BW719&amp;"",BI719&amp;""))</f>
        <v/>
      </c>
      <c r="AH719" s="0" t="str">
        <f aca="false">IF($A719="","",IF(AW719="Y",BX719&amp;"",BJ719&amp;""))</f>
        <v/>
      </c>
      <c r="AQ719" s="5"/>
      <c r="AT719" s="0" t="str">
        <f aca="false">IF($A719="","",IF(AND(CN719="pass",AQ719&lt;&gt;"Y",C719&lt;&gt;"",OR(AX719&lt;&gt;"Y",AV719="Y")),"Y","N"))</f>
        <v/>
      </c>
      <c r="AU719" s="0" t="str">
        <f aca="false">IF($A719="","",_xlfn.TEXTJOIN("; ",TRUE(),IF(CN719&lt;&gt;"pass","gated out",""),IF(AQ719="Y","on hold: "&amp;AR719,""),IF(C719="","no contact named on an opened page",""),IF(AND(AX719="Y",AV719&lt;&gt;"Y"),"Tuesday estimate band "&amp;L719&amp;": founder's call","")))</f>
        <v/>
      </c>
      <c r="BC719" s="0" t="str">
        <f aca="false">IF($A719="","",IFERROR(INDEX(Enrichment!$A$2:$GZ$2000,MATCH($A719,INDEX(Enrichment!$A$2:$GZ$2000,0,MATCH("row_id",Enrichment!$A$1:$GZ$1,0)),0),MATCH("work_email",Enrichment!$A$1:$GZ$1,0))&amp;"",""))</f>
        <v/>
      </c>
      <c r="BD719" s="0" t="str">
        <f aca="false">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Q719" s="0" t="str">
        <f aca="false">IF($A719="","",IFERROR(INDEX(Enrichment!$A$2:$GZ$2000,MATCH($A719,INDEX(Enrichment!$A$2:$GZ$2000,0,MATCH("row_id",Enrichment!$A$1:$GZ$1,0)),0),MATCH("backup_work_email",Enrichment!$A$1:$GZ$1,0))&amp;"",""))</f>
        <v/>
      </c>
      <c r="BR719" s="0" t="str">
        <f aca="false">IF($A719="","",IF(BQ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EQ719" s="0" t="str">
        <f aca="false">IF($A719="","",IF(AH719="exact",10,IF(AH719="adjacent",5,0)))</f>
        <v/>
      </c>
      <c r="ER719" s="0" t="str">
        <f aca="false">IF($A719="","",IF(R719="Y",15,0))</f>
        <v/>
      </c>
      <c r="FS719" s="0" t="str">
        <f aca="false">IF($A719="","",IF(ISNUMBER(MATCH(U719,{"queued","contacted","replied","call_booked","call_done","yes_in_principle","materials_sent"},0)),"Y","N"))</f>
        <v/>
      </c>
      <c r="FT719" s="0" t="str">
        <f aca="false">IF($A719="","",IF(OR(T719="Y",U719="do_not_contact",AS719&amp;""&lt;&gt;""),"Y","N"))</f>
        <v/>
      </c>
      <c r="FU719" s="0" t="str">
        <f aca="false">IF($A719="","",IF(AP719&amp;""&lt;&gt;"",AP719&amp;"",$A719))</f>
        <v/>
      </c>
      <c r="FV719" s="0" t="str">
        <f aca="false">IF($A719="","",IF(COUNTIFS($FU$2:$FU$1000,FU719,$FS$2:$FS$1000,"Y")+COUNTIFS($FU$2:$FU$1000,FU719,$FT$2:$FT$1000,"Y")&gt;0,"Y","N"))</f>
        <v/>
      </c>
      <c r="FW719" s="0" t="str">
        <f aca="false">IF($A719="","",IF(AND(U719="new",T719="N",FT719="N",AT719="Y",FV719="N"),"Y","N"))</f>
        <v/>
      </c>
      <c r="FX719" s="0" t="str">
        <f aca="false">IF($A719="","",IF(FW719&lt;&gt;"Y","N",IF(COUNTIFS($FU$2:$FU$1000,FU719,$FW$2:$FW$1000,"Y",$J$2:$J$1000,"&gt;"&amp;J719)+COUNTIFS($FU$2:$FU$1000,FU719,$FW$2:$FW$1000,"Y",$J$2:$J$1000,J719,$GD$2:$GD$1000,"&lt;"&amp;GD719)=0,"Y","N")))</f>
        <v/>
      </c>
      <c r="FY719" s="0" t="str">
        <f aca="false">IF($A719="","",IF(AND(FW719="Y",FX719="Y",Y719&amp;""&lt;&gt;""),IF(Y719&lt;=10,"Y","N"),"N"))</f>
        <v/>
      </c>
      <c r="FZ719" s="0" t="str">
        <f aca="false">IF(FY719="Y",Y719,"")</f>
        <v/>
      </c>
      <c r="GA719" s="0" t="str">
        <f aca="false">IF($A719="","",IF(AND(I719="walk-in",CN719="pass",U719="new",FT719="N",FV719="N",AQ719&lt;&gt;"Y"),"Y","N"))</f>
        <v/>
      </c>
      <c r="GB719" s="0" t="str">
        <f aca="false">IF(GA719&lt;&gt;"Y","",IF(COUNTIFS($GA$2:$GA$1000,"Y",$J$2:$J$1000,"&gt;"&amp;J719)+COUNTIFS($GA$2:$GA$1000,"Y",$J$2:$J$1000,J719,$GD$2:$GD$1000,"&lt;"&amp;GD719)+1&lt;=25,COUNTIFS($GA$2:$GA$1000,"Y",$J$2:$J$1000,"&gt;"&amp;J719)+COUNTIFS($GA$2:$GA$1000,"Y",$J$2:$J$1000,J719,$GD$2:$GD$1000,"&lt;"&amp;GD719)+1,""))</f>
        <v/>
      </c>
      <c r="GC719" s="0" t="str">
        <f aca="false">IF(AND(_xlfn.ISFORMULA(C719),_xlfn.ISFORMULA(J719)),"Y","N")</f>
        <v>Y</v>
      </c>
      <c r="GD719" s="0" t="n">
        <f aca="false">ROW()-1</f>
        <v>718</v>
      </c>
    </row>
    <row r="720" customFormat="false" ht="15" hidden="false" customHeight="false" outlineLevel="0" collapsed="false">
      <c r="C720" s="0" t="str">
        <f aca="false">IF($A720="","",IF(AW720="Y",BM720&amp;"",AY720&amp;""))</f>
        <v/>
      </c>
      <c r="D720" s="0" t="str">
        <f aca="false">IF($A720="","",IF(AW720="Y",BN720&amp;"",AZ720&amp;""))</f>
        <v/>
      </c>
      <c r="E720" s="0" t="str">
        <f aca="false">IF($A720="","",IF(AW720="Y",BO720&amp;"",BA720&amp;""))</f>
        <v/>
      </c>
      <c r="F720" s="0" t="str">
        <f aca="false">IF($A720="","",IF(AW720="Y",BP720&amp;"",BB720&amp;""))</f>
        <v/>
      </c>
      <c r="G720" s="0" t="str">
        <f aca="false">IF($A720="","",IF(AW720="Y",BQ720&amp;"",BC720&amp;""))</f>
        <v/>
      </c>
      <c r="H720" s="0" t="str">
        <f aca="false">IF($A720="","",IF(AW720="Y",BR720&amp;"",BD720&amp;""))</f>
        <v/>
      </c>
      <c r="I720" s="0" t="str">
        <f aca="false">IF($A720="","",IF(R720="Y","warm-intro",IF(H720="verified","email",IF(C720&lt;&gt;"","linkedin",CB720&amp;""))))</f>
        <v/>
      </c>
      <c r="J720" s="0" t="str">
        <f aca="false">IF($A720="","",IF(CN720="pass",ROUND(N(EM720)+N(EN720)+N(EO720)+N(EP720)+N(EQ720)+N(ER720),1),0))</f>
        <v/>
      </c>
      <c r="K720" s="0" t="str">
        <f aca="false">IF($A720="","",IF(CN720&lt;&gt;"pass",CA720&amp;"",CA720&amp;"; "&amp;IF(AW720="Y",BZ720&amp;"",BL720&amp;"")&amp;IF(R720="Y","; known to the founder (+15)","")&amp;"."))</f>
        <v/>
      </c>
      <c r="R720" s="5"/>
      <c r="U720" s="5"/>
      <c r="Y720" s="0" t="str">
        <f aca="false">IF(FX720&lt;&gt;"Y","",COUNTIFS($FX$2:$FX$1000,"Y",$J$2:$J$1000,"&gt;"&amp;J720)+COUNTIFS($FX$2:$FX$1000,"Y",$J$2:$J$1000,J720,$GD$2:$GD$1000,"&lt;"&amp;GD720)+1)</f>
        <v/>
      </c>
      <c r="AB720" s="0" t="str">
        <f aca="false">IF($A720="","",IF(AW720="Y",BY720&amp;"",BK720&amp;""))</f>
        <v/>
      </c>
      <c r="AC720" s="0" t="str">
        <f aca="false">IF($A720="","",IF(AW720="Y",BS720&amp;"",BE720&amp;""))</f>
        <v/>
      </c>
      <c r="AD720" s="0" t="str">
        <f aca="false">IF($A720="","",IF(AW720="Y",BT720&amp;"",BF720&amp;""))</f>
        <v/>
      </c>
      <c r="AE720" s="0" t="str">
        <f aca="false">IF($A720="","",IF(AW720="Y",BU720&amp;"",BG720&amp;""))</f>
        <v/>
      </c>
      <c r="AF720" s="0" t="str">
        <f aca="false">IF($A720="","",IF(AW720="Y",BV720&amp;"",BH720&amp;""))</f>
        <v/>
      </c>
      <c r="AG720" s="0" t="str">
        <f aca="false">IF($A720="","",IF(AW720="Y",BW720&amp;"",BI720&amp;""))</f>
        <v/>
      </c>
      <c r="AH720" s="0" t="str">
        <f aca="false">IF($A720="","",IF(AW720="Y",BX720&amp;"",BJ720&amp;""))</f>
        <v/>
      </c>
      <c r="AQ720" s="5"/>
      <c r="AT720" s="0" t="str">
        <f aca="false">IF($A720="","",IF(AND(CN720="pass",AQ720&lt;&gt;"Y",C720&lt;&gt;"",OR(AX720&lt;&gt;"Y",AV720="Y")),"Y","N"))</f>
        <v/>
      </c>
      <c r="AU720" s="0" t="str">
        <f aca="false">IF($A720="","",_xlfn.TEXTJOIN("; ",TRUE(),IF(CN720&lt;&gt;"pass","gated out",""),IF(AQ720="Y","on hold: "&amp;AR720,""),IF(C720="","no contact named on an opened page",""),IF(AND(AX720="Y",AV720&lt;&gt;"Y"),"Tuesday estimate band "&amp;L720&amp;": founder's call","")))</f>
        <v/>
      </c>
      <c r="BC720" s="0" t="str">
        <f aca="false">IF($A720="","",IFERROR(INDEX(Enrichment!$A$2:$GZ$2000,MATCH($A720,INDEX(Enrichment!$A$2:$GZ$2000,0,MATCH("row_id",Enrichment!$A$1:$GZ$1,0)),0),MATCH("work_email",Enrichment!$A$1:$GZ$1,0))&amp;"",""))</f>
        <v/>
      </c>
      <c r="BD720" s="0" t="str">
        <f aca="false">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Q720" s="0" t="str">
        <f aca="false">IF($A720="","",IFERROR(INDEX(Enrichment!$A$2:$GZ$2000,MATCH($A720,INDEX(Enrichment!$A$2:$GZ$2000,0,MATCH("row_id",Enrichment!$A$1:$GZ$1,0)),0),MATCH("backup_work_email",Enrichment!$A$1:$GZ$1,0))&amp;"",""))</f>
        <v/>
      </c>
      <c r="BR720" s="0" t="str">
        <f aca="false">IF($A720="","",IF(BQ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EQ720" s="0" t="str">
        <f aca="false">IF($A720="","",IF(AH720="exact",10,IF(AH720="adjacent",5,0)))</f>
        <v/>
      </c>
      <c r="ER720" s="0" t="str">
        <f aca="false">IF($A720="","",IF(R720="Y",15,0))</f>
        <v/>
      </c>
      <c r="FS720" s="0" t="str">
        <f aca="false">IF($A720="","",IF(ISNUMBER(MATCH(U720,{"queued","contacted","replied","call_booked","call_done","yes_in_principle","materials_sent"},0)),"Y","N"))</f>
        <v/>
      </c>
      <c r="FT720" s="0" t="str">
        <f aca="false">IF($A720="","",IF(OR(T720="Y",U720="do_not_contact",AS720&amp;""&lt;&gt;""),"Y","N"))</f>
        <v/>
      </c>
      <c r="FU720" s="0" t="str">
        <f aca="false">IF($A720="","",IF(AP720&amp;""&lt;&gt;"",AP720&amp;"",$A720))</f>
        <v/>
      </c>
      <c r="FV720" s="0" t="str">
        <f aca="false">IF($A720="","",IF(COUNTIFS($FU$2:$FU$1000,FU720,$FS$2:$FS$1000,"Y")+COUNTIFS($FU$2:$FU$1000,FU720,$FT$2:$FT$1000,"Y")&gt;0,"Y","N"))</f>
        <v/>
      </c>
      <c r="FW720" s="0" t="str">
        <f aca="false">IF($A720="","",IF(AND(U720="new",T720="N",FT720="N",AT720="Y",FV720="N"),"Y","N"))</f>
        <v/>
      </c>
      <c r="FX720" s="0" t="str">
        <f aca="false">IF($A720="","",IF(FW720&lt;&gt;"Y","N",IF(COUNTIFS($FU$2:$FU$1000,FU720,$FW$2:$FW$1000,"Y",$J$2:$J$1000,"&gt;"&amp;J720)+COUNTIFS($FU$2:$FU$1000,FU720,$FW$2:$FW$1000,"Y",$J$2:$J$1000,J720,$GD$2:$GD$1000,"&lt;"&amp;GD720)=0,"Y","N")))</f>
        <v/>
      </c>
      <c r="FY720" s="0" t="str">
        <f aca="false">IF($A720="","",IF(AND(FW720="Y",FX720="Y",Y720&amp;""&lt;&gt;""),IF(Y720&lt;=10,"Y","N"),"N"))</f>
        <v/>
      </c>
      <c r="FZ720" s="0" t="str">
        <f aca="false">IF(FY720="Y",Y720,"")</f>
        <v/>
      </c>
      <c r="GA720" s="0" t="str">
        <f aca="false">IF($A720="","",IF(AND(I720="walk-in",CN720="pass",U720="new",FT720="N",FV720="N",AQ720&lt;&gt;"Y"),"Y","N"))</f>
        <v/>
      </c>
      <c r="GB720" s="0" t="str">
        <f aca="false">IF(GA720&lt;&gt;"Y","",IF(COUNTIFS($GA$2:$GA$1000,"Y",$J$2:$J$1000,"&gt;"&amp;J720)+COUNTIFS($GA$2:$GA$1000,"Y",$J$2:$J$1000,J720,$GD$2:$GD$1000,"&lt;"&amp;GD720)+1&lt;=25,COUNTIFS($GA$2:$GA$1000,"Y",$J$2:$J$1000,"&gt;"&amp;J720)+COUNTIFS($GA$2:$GA$1000,"Y",$J$2:$J$1000,J720,$GD$2:$GD$1000,"&lt;"&amp;GD720)+1,""))</f>
        <v/>
      </c>
      <c r="GC720" s="0" t="str">
        <f aca="false">IF(AND(_xlfn.ISFORMULA(C720),_xlfn.ISFORMULA(J720)),"Y","N")</f>
        <v>Y</v>
      </c>
      <c r="GD720" s="0" t="n">
        <f aca="false">ROW()-1</f>
        <v>719</v>
      </c>
    </row>
    <row r="721" customFormat="false" ht="15" hidden="false" customHeight="false" outlineLevel="0" collapsed="false">
      <c r="C721" s="0" t="str">
        <f aca="false">IF($A721="","",IF(AW721="Y",BM721&amp;"",AY721&amp;""))</f>
        <v/>
      </c>
      <c r="D721" s="0" t="str">
        <f aca="false">IF($A721="","",IF(AW721="Y",BN721&amp;"",AZ721&amp;""))</f>
        <v/>
      </c>
      <c r="E721" s="0" t="str">
        <f aca="false">IF($A721="","",IF(AW721="Y",BO721&amp;"",BA721&amp;""))</f>
        <v/>
      </c>
      <c r="F721" s="0" t="str">
        <f aca="false">IF($A721="","",IF(AW721="Y",BP721&amp;"",BB721&amp;""))</f>
        <v/>
      </c>
      <c r="G721" s="0" t="str">
        <f aca="false">IF($A721="","",IF(AW721="Y",BQ721&amp;"",BC721&amp;""))</f>
        <v/>
      </c>
      <c r="H721" s="0" t="str">
        <f aca="false">IF($A721="","",IF(AW721="Y",BR721&amp;"",BD721&amp;""))</f>
        <v/>
      </c>
      <c r="I721" s="0" t="str">
        <f aca="false">IF($A721="","",IF(R721="Y","warm-intro",IF(H721="verified","email",IF(C721&lt;&gt;"","linkedin",CB721&amp;""))))</f>
        <v/>
      </c>
      <c r="J721" s="0" t="str">
        <f aca="false">IF($A721="","",IF(CN721="pass",ROUND(N(EM721)+N(EN721)+N(EO721)+N(EP721)+N(EQ721)+N(ER721),1),0))</f>
        <v/>
      </c>
      <c r="K721" s="0" t="str">
        <f aca="false">IF($A721="","",IF(CN721&lt;&gt;"pass",CA721&amp;"",CA721&amp;"; "&amp;IF(AW721="Y",BZ721&amp;"",BL721&amp;"")&amp;IF(R721="Y","; known to the founder (+15)","")&amp;"."))</f>
        <v/>
      </c>
      <c r="R721" s="5"/>
      <c r="U721" s="5"/>
      <c r="Y721" s="0" t="str">
        <f aca="false">IF(FX721&lt;&gt;"Y","",COUNTIFS($FX$2:$FX$1000,"Y",$J$2:$J$1000,"&gt;"&amp;J721)+COUNTIFS($FX$2:$FX$1000,"Y",$J$2:$J$1000,J721,$GD$2:$GD$1000,"&lt;"&amp;GD721)+1)</f>
        <v/>
      </c>
      <c r="AB721" s="0" t="str">
        <f aca="false">IF($A721="","",IF(AW721="Y",BY721&amp;"",BK721&amp;""))</f>
        <v/>
      </c>
      <c r="AC721" s="0" t="str">
        <f aca="false">IF($A721="","",IF(AW721="Y",BS721&amp;"",BE721&amp;""))</f>
        <v/>
      </c>
      <c r="AD721" s="0" t="str">
        <f aca="false">IF($A721="","",IF(AW721="Y",BT721&amp;"",BF721&amp;""))</f>
        <v/>
      </c>
      <c r="AE721" s="0" t="str">
        <f aca="false">IF($A721="","",IF(AW721="Y",BU721&amp;"",BG721&amp;""))</f>
        <v/>
      </c>
      <c r="AF721" s="0" t="str">
        <f aca="false">IF($A721="","",IF(AW721="Y",BV721&amp;"",BH721&amp;""))</f>
        <v/>
      </c>
      <c r="AG721" s="0" t="str">
        <f aca="false">IF($A721="","",IF(AW721="Y",BW721&amp;"",BI721&amp;""))</f>
        <v/>
      </c>
      <c r="AH721" s="0" t="str">
        <f aca="false">IF($A721="","",IF(AW721="Y",BX721&amp;"",BJ721&amp;""))</f>
        <v/>
      </c>
      <c r="AQ721" s="5"/>
      <c r="AT721" s="0" t="str">
        <f aca="false">IF($A721="","",IF(AND(CN721="pass",AQ721&lt;&gt;"Y",C721&lt;&gt;"",OR(AX721&lt;&gt;"Y",AV721="Y")),"Y","N"))</f>
        <v/>
      </c>
      <c r="AU721" s="0" t="str">
        <f aca="false">IF($A721="","",_xlfn.TEXTJOIN("; ",TRUE(),IF(CN721&lt;&gt;"pass","gated out",""),IF(AQ721="Y","on hold: "&amp;AR721,""),IF(C721="","no contact named on an opened page",""),IF(AND(AX721="Y",AV721&lt;&gt;"Y"),"Tuesday estimate band "&amp;L721&amp;": founder's call","")))</f>
        <v/>
      </c>
      <c r="BC721" s="0" t="str">
        <f aca="false">IF($A721="","",IFERROR(INDEX(Enrichment!$A$2:$GZ$2000,MATCH($A721,INDEX(Enrichment!$A$2:$GZ$2000,0,MATCH("row_id",Enrichment!$A$1:$GZ$1,0)),0),MATCH("work_email",Enrichment!$A$1:$GZ$1,0))&amp;"",""))</f>
        <v/>
      </c>
      <c r="BD721" s="0" t="str">
        <f aca="false">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Q721" s="0" t="str">
        <f aca="false">IF($A721="","",IFERROR(INDEX(Enrichment!$A$2:$GZ$2000,MATCH($A721,INDEX(Enrichment!$A$2:$GZ$2000,0,MATCH("row_id",Enrichment!$A$1:$GZ$1,0)),0),MATCH("backup_work_email",Enrichment!$A$1:$GZ$1,0))&amp;"",""))</f>
        <v/>
      </c>
      <c r="BR721" s="0" t="str">
        <f aca="false">IF($A721="","",IF(BQ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EQ721" s="0" t="str">
        <f aca="false">IF($A721="","",IF(AH721="exact",10,IF(AH721="adjacent",5,0)))</f>
        <v/>
      </c>
      <c r="ER721" s="0" t="str">
        <f aca="false">IF($A721="","",IF(R721="Y",15,0))</f>
        <v/>
      </c>
      <c r="FS721" s="0" t="str">
        <f aca="false">IF($A721="","",IF(ISNUMBER(MATCH(U721,{"queued","contacted","replied","call_booked","call_done","yes_in_principle","materials_sent"},0)),"Y","N"))</f>
        <v/>
      </c>
      <c r="FT721" s="0" t="str">
        <f aca="false">IF($A721="","",IF(OR(T721="Y",U721="do_not_contact",AS721&amp;""&lt;&gt;""),"Y","N"))</f>
        <v/>
      </c>
      <c r="FU721" s="0" t="str">
        <f aca="false">IF($A721="","",IF(AP721&amp;""&lt;&gt;"",AP721&amp;"",$A721))</f>
        <v/>
      </c>
      <c r="FV721" s="0" t="str">
        <f aca="false">IF($A721="","",IF(COUNTIFS($FU$2:$FU$1000,FU721,$FS$2:$FS$1000,"Y")+COUNTIFS($FU$2:$FU$1000,FU721,$FT$2:$FT$1000,"Y")&gt;0,"Y","N"))</f>
        <v/>
      </c>
      <c r="FW721" s="0" t="str">
        <f aca="false">IF($A721="","",IF(AND(U721="new",T721="N",FT721="N",AT721="Y",FV721="N"),"Y","N"))</f>
        <v/>
      </c>
      <c r="FX721" s="0" t="str">
        <f aca="false">IF($A721="","",IF(FW721&lt;&gt;"Y","N",IF(COUNTIFS($FU$2:$FU$1000,FU721,$FW$2:$FW$1000,"Y",$J$2:$J$1000,"&gt;"&amp;J721)+COUNTIFS($FU$2:$FU$1000,FU721,$FW$2:$FW$1000,"Y",$J$2:$J$1000,J721,$GD$2:$GD$1000,"&lt;"&amp;GD721)=0,"Y","N")))</f>
        <v/>
      </c>
      <c r="FY721" s="0" t="str">
        <f aca="false">IF($A721="","",IF(AND(FW721="Y",FX721="Y",Y721&amp;""&lt;&gt;""),IF(Y721&lt;=10,"Y","N"),"N"))</f>
        <v/>
      </c>
      <c r="FZ721" s="0" t="str">
        <f aca="false">IF(FY721="Y",Y721,"")</f>
        <v/>
      </c>
      <c r="GA721" s="0" t="str">
        <f aca="false">IF($A721="","",IF(AND(I721="walk-in",CN721="pass",U721="new",FT721="N",FV721="N",AQ721&lt;&gt;"Y"),"Y","N"))</f>
        <v/>
      </c>
      <c r="GB721" s="0" t="str">
        <f aca="false">IF(GA721&lt;&gt;"Y","",IF(COUNTIFS($GA$2:$GA$1000,"Y",$J$2:$J$1000,"&gt;"&amp;J721)+COUNTIFS($GA$2:$GA$1000,"Y",$J$2:$J$1000,J721,$GD$2:$GD$1000,"&lt;"&amp;GD721)+1&lt;=25,COUNTIFS($GA$2:$GA$1000,"Y",$J$2:$J$1000,"&gt;"&amp;J721)+COUNTIFS($GA$2:$GA$1000,"Y",$J$2:$J$1000,J721,$GD$2:$GD$1000,"&lt;"&amp;GD721)+1,""))</f>
        <v/>
      </c>
      <c r="GC721" s="0" t="str">
        <f aca="false">IF(AND(_xlfn.ISFORMULA(C721),_xlfn.ISFORMULA(J721)),"Y","N")</f>
        <v>Y</v>
      </c>
      <c r="GD721" s="0" t="n">
        <f aca="false">ROW()-1</f>
        <v>720</v>
      </c>
    </row>
    <row r="722" customFormat="false" ht="15" hidden="false" customHeight="false" outlineLevel="0" collapsed="false">
      <c r="C722" s="0" t="str">
        <f aca="false">IF($A722="","",IF(AW722="Y",BM722&amp;"",AY722&amp;""))</f>
        <v/>
      </c>
      <c r="D722" s="0" t="str">
        <f aca="false">IF($A722="","",IF(AW722="Y",BN722&amp;"",AZ722&amp;""))</f>
        <v/>
      </c>
      <c r="E722" s="0" t="str">
        <f aca="false">IF($A722="","",IF(AW722="Y",BO722&amp;"",BA722&amp;""))</f>
        <v/>
      </c>
      <c r="F722" s="0" t="str">
        <f aca="false">IF($A722="","",IF(AW722="Y",BP722&amp;"",BB722&amp;""))</f>
        <v/>
      </c>
      <c r="G722" s="0" t="str">
        <f aca="false">IF($A722="","",IF(AW722="Y",BQ722&amp;"",BC722&amp;""))</f>
        <v/>
      </c>
      <c r="H722" s="0" t="str">
        <f aca="false">IF($A722="","",IF(AW722="Y",BR722&amp;"",BD722&amp;""))</f>
        <v/>
      </c>
      <c r="I722" s="0" t="str">
        <f aca="false">IF($A722="","",IF(R722="Y","warm-intro",IF(H722="verified","email",IF(C722&lt;&gt;"","linkedin",CB722&amp;""))))</f>
        <v/>
      </c>
      <c r="J722" s="0" t="str">
        <f aca="false">IF($A722="","",IF(CN722="pass",ROUND(N(EM722)+N(EN722)+N(EO722)+N(EP722)+N(EQ722)+N(ER722),1),0))</f>
        <v/>
      </c>
      <c r="K722" s="0" t="str">
        <f aca="false">IF($A722="","",IF(CN722&lt;&gt;"pass",CA722&amp;"",CA722&amp;"; "&amp;IF(AW722="Y",BZ722&amp;"",BL722&amp;"")&amp;IF(R722="Y","; known to the founder (+15)","")&amp;"."))</f>
        <v/>
      </c>
      <c r="R722" s="5"/>
      <c r="U722" s="5"/>
      <c r="Y722" s="0" t="str">
        <f aca="false">IF(FX722&lt;&gt;"Y","",COUNTIFS($FX$2:$FX$1000,"Y",$J$2:$J$1000,"&gt;"&amp;J722)+COUNTIFS($FX$2:$FX$1000,"Y",$J$2:$J$1000,J722,$GD$2:$GD$1000,"&lt;"&amp;GD722)+1)</f>
        <v/>
      </c>
      <c r="AB722" s="0" t="str">
        <f aca="false">IF($A722="","",IF(AW722="Y",BY722&amp;"",BK722&amp;""))</f>
        <v/>
      </c>
      <c r="AC722" s="0" t="str">
        <f aca="false">IF($A722="","",IF(AW722="Y",BS722&amp;"",BE722&amp;""))</f>
        <v/>
      </c>
      <c r="AD722" s="0" t="str">
        <f aca="false">IF($A722="","",IF(AW722="Y",BT722&amp;"",BF722&amp;""))</f>
        <v/>
      </c>
      <c r="AE722" s="0" t="str">
        <f aca="false">IF($A722="","",IF(AW722="Y",BU722&amp;"",BG722&amp;""))</f>
        <v/>
      </c>
      <c r="AF722" s="0" t="str">
        <f aca="false">IF($A722="","",IF(AW722="Y",BV722&amp;"",BH722&amp;""))</f>
        <v/>
      </c>
      <c r="AG722" s="0" t="str">
        <f aca="false">IF($A722="","",IF(AW722="Y",BW722&amp;"",BI722&amp;""))</f>
        <v/>
      </c>
      <c r="AH722" s="0" t="str">
        <f aca="false">IF($A722="","",IF(AW722="Y",BX722&amp;"",BJ722&amp;""))</f>
        <v/>
      </c>
      <c r="AQ722" s="5"/>
      <c r="AT722" s="0" t="str">
        <f aca="false">IF($A722="","",IF(AND(CN722="pass",AQ722&lt;&gt;"Y",C722&lt;&gt;"",OR(AX722&lt;&gt;"Y",AV722="Y")),"Y","N"))</f>
        <v/>
      </c>
      <c r="AU722" s="0" t="str">
        <f aca="false">IF($A722="","",_xlfn.TEXTJOIN("; ",TRUE(),IF(CN722&lt;&gt;"pass","gated out",""),IF(AQ722="Y","on hold: "&amp;AR722,""),IF(C722="","no contact named on an opened page",""),IF(AND(AX722="Y",AV722&lt;&gt;"Y"),"Tuesday estimate band "&amp;L722&amp;": founder's call","")))</f>
        <v/>
      </c>
      <c r="BC722" s="0" t="str">
        <f aca="false">IF($A722="","",IFERROR(INDEX(Enrichment!$A$2:$GZ$2000,MATCH($A722,INDEX(Enrichment!$A$2:$GZ$2000,0,MATCH("row_id",Enrichment!$A$1:$GZ$1,0)),0),MATCH("work_email",Enrichment!$A$1:$GZ$1,0))&amp;"",""))</f>
        <v/>
      </c>
      <c r="BD722" s="0" t="str">
        <f aca="false">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Q722" s="0" t="str">
        <f aca="false">IF($A722="","",IFERROR(INDEX(Enrichment!$A$2:$GZ$2000,MATCH($A722,INDEX(Enrichment!$A$2:$GZ$2000,0,MATCH("row_id",Enrichment!$A$1:$GZ$1,0)),0),MATCH("backup_work_email",Enrichment!$A$1:$GZ$1,0))&amp;"",""))</f>
        <v/>
      </c>
      <c r="BR722" s="0" t="str">
        <f aca="false">IF($A722="","",IF(BQ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EQ722" s="0" t="str">
        <f aca="false">IF($A722="","",IF(AH722="exact",10,IF(AH722="adjacent",5,0)))</f>
        <v/>
      </c>
      <c r="ER722" s="0" t="str">
        <f aca="false">IF($A722="","",IF(R722="Y",15,0))</f>
        <v/>
      </c>
      <c r="FS722" s="0" t="str">
        <f aca="false">IF($A722="","",IF(ISNUMBER(MATCH(U722,{"queued","contacted","replied","call_booked","call_done","yes_in_principle","materials_sent"},0)),"Y","N"))</f>
        <v/>
      </c>
      <c r="FT722" s="0" t="str">
        <f aca="false">IF($A722="","",IF(OR(T722="Y",U722="do_not_contact",AS722&amp;""&lt;&gt;""),"Y","N"))</f>
        <v/>
      </c>
      <c r="FU722" s="0" t="str">
        <f aca="false">IF($A722="","",IF(AP722&amp;""&lt;&gt;"",AP722&amp;"",$A722))</f>
        <v/>
      </c>
      <c r="FV722" s="0" t="str">
        <f aca="false">IF($A722="","",IF(COUNTIFS($FU$2:$FU$1000,FU722,$FS$2:$FS$1000,"Y")+COUNTIFS($FU$2:$FU$1000,FU722,$FT$2:$FT$1000,"Y")&gt;0,"Y","N"))</f>
        <v/>
      </c>
      <c r="FW722" s="0" t="str">
        <f aca="false">IF($A722="","",IF(AND(U722="new",T722="N",FT722="N",AT722="Y",FV722="N"),"Y","N"))</f>
        <v/>
      </c>
      <c r="FX722" s="0" t="str">
        <f aca="false">IF($A722="","",IF(FW722&lt;&gt;"Y","N",IF(COUNTIFS($FU$2:$FU$1000,FU722,$FW$2:$FW$1000,"Y",$J$2:$J$1000,"&gt;"&amp;J722)+COUNTIFS($FU$2:$FU$1000,FU722,$FW$2:$FW$1000,"Y",$J$2:$J$1000,J722,$GD$2:$GD$1000,"&lt;"&amp;GD722)=0,"Y","N")))</f>
        <v/>
      </c>
      <c r="FY722" s="0" t="str">
        <f aca="false">IF($A722="","",IF(AND(FW722="Y",FX722="Y",Y722&amp;""&lt;&gt;""),IF(Y722&lt;=10,"Y","N"),"N"))</f>
        <v/>
      </c>
      <c r="FZ722" s="0" t="str">
        <f aca="false">IF(FY722="Y",Y722,"")</f>
        <v/>
      </c>
      <c r="GA722" s="0" t="str">
        <f aca="false">IF($A722="","",IF(AND(I722="walk-in",CN722="pass",U722="new",FT722="N",FV722="N",AQ722&lt;&gt;"Y"),"Y","N"))</f>
        <v/>
      </c>
      <c r="GB722" s="0" t="str">
        <f aca="false">IF(GA722&lt;&gt;"Y","",IF(COUNTIFS($GA$2:$GA$1000,"Y",$J$2:$J$1000,"&gt;"&amp;J722)+COUNTIFS($GA$2:$GA$1000,"Y",$J$2:$J$1000,J722,$GD$2:$GD$1000,"&lt;"&amp;GD722)+1&lt;=25,COUNTIFS($GA$2:$GA$1000,"Y",$J$2:$J$1000,"&gt;"&amp;J722)+COUNTIFS($GA$2:$GA$1000,"Y",$J$2:$J$1000,J722,$GD$2:$GD$1000,"&lt;"&amp;GD722)+1,""))</f>
        <v/>
      </c>
      <c r="GC722" s="0" t="str">
        <f aca="false">IF(AND(_xlfn.ISFORMULA(C722),_xlfn.ISFORMULA(J722)),"Y","N")</f>
        <v>Y</v>
      </c>
      <c r="GD722" s="0" t="n">
        <f aca="false">ROW()-1</f>
        <v>721</v>
      </c>
    </row>
    <row r="723" customFormat="false" ht="15" hidden="false" customHeight="false" outlineLevel="0" collapsed="false">
      <c r="C723" s="0" t="str">
        <f aca="false">IF($A723="","",IF(AW723="Y",BM723&amp;"",AY723&amp;""))</f>
        <v/>
      </c>
      <c r="D723" s="0" t="str">
        <f aca="false">IF($A723="","",IF(AW723="Y",BN723&amp;"",AZ723&amp;""))</f>
        <v/>
      </c>
      <c r="E723" s="0" t="str">
        <f aca="false">IF($A723="","",IF(AW723="Y",BO723&amp;"",BA723&amp;""))</f>
        <v/>
      </c>
      <c r="F723" s="0" t="str">
        <f aca="false">IF($A723="","",IF(AW723="Y",BP723&amp;"",BB723&amp;""))</f>
        <v/>
      </c>
      <c r="G723" s="0" t="str">
        <f aca="false">IF($A723="","",IF(AW723="Y",BQ723&amp;"",BC723&amp;""))</f>
        <v/>
      </c>
      <c r="H723" s="0" t="str">
        <f aca="false">IF($A723="","",IF(AW723="Y",BR723&amp;"",BD723&amp;""))</f>
        <v/>
      </c>
      <c r="I723" s="0" t="str">
        <f aca="false">IF($A723="","",IF(R723="Y","warm-intro",IF(H723="verified","email",IF(C723&lt;&gt;"","linkedin",CB723&amp;""))))</f>
        <v/>
      </c>
      <c r="J723" s="0" t="str">
        <f aca="false">IF($A723="","",IF(CN723="pass",ROUND(N(EM723)+N(EN723)+N(EO723)+N(EP723)+N(EQ723)+N(ER723),1),0))</f>
        <v/>
      </c>
      <c r="K723" s="0" t="str">
        <f aca="false">IF($A723="","",IF(CN723&lt;&gt;"pass",CA723&amp;"",CA723&amp;"; "&amp;IF(AW723="Y",BZ723&amp;"",BL723&amp;"")&amp;IF(R723="Y","; known to the founder (+15)","")&amp;"."))</f>
        <v/>
      </c>
      <c r="R723" s="5"/>
      <c r="U723" s="5"/>
      <c r="Y723" s="0" t="str">
        <f aca="false">IF(FX723&lt;&gt;"Y","",COUNTIFS($FX$2:$FX$1000,"Y",$J$2:$J$1000,"&gt;"&amp;J723)+COUNTIFS($FX$2:$FX$1000,"Y",$J$2:$J$1000,J723,$GD$2:$GD$1000,"&lt;"&amp;GD723)+1)</f>
        <v/>
      </c>
      <c r="AB723" s="0" t="str">
        <f aca="false">IF($A723="","",IF(AW723="Y",BY723&amp;"",BK723&amp;""))</f>
        <v/>
      </c>
      <c r="AC723" s="0" t="str">
        <f aca="false">IF($A723="","",IF(AW723="Y",BS723&amp;"",BE723&amp;""))</f>
        <v/>
      </c>
      <c r="AD723" s="0" t="str">
        <f aca="false">IF($A723="","",IF(AW723="Y",BT723&amp;"",BF723&amp;""))</f>
        <v/>
      </c>
      <c r="AE723" s="0" t="str">
        <f aca="false">IF($A723="","",IF(AW723="Y",BU723&amp;"",BG723&amp;""))</f>
        <v/>
      </c>
      <c r="AF723" s="0" t="str">
        <f aca="false">IF($A723="","",IF(AW723="Y",BV723&amp;"",BH723&amp;""))</f>
        <v/>
      </c>
      <c r="AG723" s="0" t="str">
        <f aca="false">IF($A723="","",IF(AW723="Y",BW723&amp;"",BI723&amp;""))</f>
        <v/>
      </c>
      <c r="AH723" s="0" t="str">
        <f aca="false">IF($A723="","",IF(AW723="Y",BX723&amp;"",BJ723&amp;""))</f>
        <v/>
      </c>
      <c r="AQ723" s="5"/>
      <c r="AT723" s="0" t="str">
        <f aca="false">IF($A723="","",IF(AND(CN723="pass",AQ723&lt;&gt;"Y",C723&lt;&gt;"",OR(AX723&lt;&gt;"Y",AV723="Y")),"Y","N"))</f>
        <v/>
      </c>
      <c r="AU723" s="0" t="str">
        <f aca="false">IF($A723="","",_xlfn.TEXTJOIN("; ",TRUE(),IF(CN723&lt;&gt;"pass","gated out",""),IF(AQ723="Y","on hold: "&amp;AR723,""),IF(C723="","no contact named on an opened page",""),IF(AND(AX723="Y",AV723&lt;&gt;"Y"),"Tuesday estimate band "&amp;L723&amp;": founder's call","")))</f>
        <v/>
      </c>
      <c r="BC723" s="0" t="str">
        <f aca="false">IF($A723="","",IFERROR(INDEX(Enrichment!$A$2:$GZ$2000,MATCH($A723,INDEX(Enrichment!$A$2:$GZ$2000,0,MATCH("row_id",Enrichment!$A$1:$GZ$1,0)),0),MATCH("work_email",Enrichment!$A$1:$GZ$1,0))&amp;"",""))</f>
        <v/>
      </c>
      <c r="BD723" s="0" t="str">
        <f aca="false">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Q723" s="0" t="str">
        <f aca="false">IF($A723="","",IFERROR(INDEX(Enrichment!$A$2:$GZ$2000,MATCH($A723,INDEX(Enrichment!$A$2:$GZ$2000,0,MATCH("row_id",Enrichment!$A$1:$GZ$1,0)),0),MATCH("backup_work_email",Enrichment!$A$1:$GZ$1,0))&amp;"",""))</f>
        <v/>
      </c>
      <c r="BR723" s="0" t="str">
        <f aca="false">IF($A723="","",IF(BQ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EQ723" s="0" t="str">
        <f aca="false">IF($A723="","",IF(AH723="exact",10,IF(AH723="adjacent",5,0)))</f>
        <v/>
      </c>
      <c r="ER723" s="0" t="str">
        <f aca="false">IF($A723="","",IF(R723="Y",15,0))</f>
        <v/>
      </c>
      <c r="FS723" s="0" t="str">
        <f aca="false">IF($A723="","",IF(ISNUMBER(MATCH(U723,{"queued","contacted","replied","call_booked","call_done","yes_in_principle","materials_sent"},0)),"Y","N"))</f>
        <v/>
      </c>
      <c r="FT723" s="0" t="str">
        <f aca="false">IF($A723="","",IF(OR(T723="Y",U723="do_not_contact",AS723&amp;""&lt;&gt;""),"Y","N"))</f>
        <v/>
      </c>
      <c r="FU723" s="0" t="str">
        <f aca="false">IF($A723="","",IF(AP723&amp;""&lt;&gt;"",AP723&amp;"",$A723))</f>
        <v/>
      </c>
      <c r="FV723" s="0" t="str">
        <f aca="false">IF($A723="","",IF(COUNTIFS($FU$2:$FU$1000,FU723,$FS$2:$FS$1000,"Y")+COUNTIFS($FU$2:$FU$1000,FU723,$FT$2:$FT$1000,"Y")&gt;0,"Y","N"))</f>
        <v/>
      </c>
      <c r="FW723" s="0" t="str">
        <f aca="false">IF($A723="","",IF(AND(U723="new",T723="N",FT723="N",AT723="Y",FV723="N"),"Y","N"))</f>
        <v/>
      </c>
      <c r="FX723" s="0" t="str">
        <f aca="false">IF($A723="","",IF(FW723&lt;&gt;"Y","N",IF(COUNTIFS($FU$2:$FU$1000,FU723,$FW$2:$FW$1000,"Y",$J$2:$J$1000,"&gt;"&amp;J723)+COUNTIFS($FU$2:$FU$1000,FU723,$FW$2:$FW$1000,"Y",$J$2:$J$1000,J723,$GD$2:$GD$1000,"&lt;"&amp;GD723)=0,"Y","N")))</f>
        <v/>
      </c>
      <c r="FY723" s="0" t="str">
        <f aca="false">IF($A723="","",IF(AND(FW723="Y",FX723="Y",Y723&amp;""&lt;&gt;""),IF(Y723&lt;=10,"Y","N"),"N"))</f>
        <v/>
      </c>
      <c r="FZ723" s="0" t="str">
        <f aca="false">IF(FY723="Y",Y723,"")</f>
        <v/>
      </c>
      <c r="GA723" s="0" t="str">
        <f aca="false">IF($A723="","",IF(AND(I723="walk-in",CN723="pass",U723="new",FT723="N",FV723="N",AQ723&lt;&gt;"Y"),"Y","N"))</f>
        <v/>
      </c>
      <c r="GB723" s="0" t="str">
        <f aca="false">IF(GA723&lt;&gt;"Y","",IF(COUNTIFS($GA$2:$GA$1000,"Y",$J$2:$J$1000,"&gt;"&amp;J723)+COUNTIFS($GA$2:$GA$1000,"Y",$J$2:$J$1000,J723,$GD$2:$GD$1000,"&lt;"&amp;GD723)+1&lt;=25,COUNTIFS($GA$2:$GA$1000,"Y",$J$2:$J$1000,"&gt;"&amp;J723)+COUNTIFS($GA$2:$GA$1000,"Y",$J$2:$J$1000,J723,$GD$2:$GD$1000,"&lt;"&amp;GD723)+1,""))</f>
        <v/>
      </c>
      <c r="GC723" s="0" t="str">
        <f aca="false">IF(AND(_xlfn.ISFORMULA(C723),_xlfn.ISFORMULA(J723)),"Y","N")</f>
        <v>Y</v>
      </c>
      <c r="GD723" s="0" t="n">
        <f aca="false">ROW()-1</f>
        <v>722</v>
      </c>
    </row>
    <row r="724" customFormat="false" ht="15" hidden="false" customHeight="false" outlineLevel="0" collapsed="false">
      <c r="C724" s="0" t="str">
        <f aca="false">IF($A724="","",IF(AW724="Y",BM724&amp;"",AY724&amp;""))</f>
        <v/>
      </c>
      <c r="D724" s="0" t="str">
        <f aca="false">IF($A724="","",IF(AW724="Y",BN724&amp;"",AZ724&amp;""))</f>
        <v/>
      </c>
      <c r="E724" s="0" t="str">
        <f aca="false">IF($A724="","",IF(AW724="Y",BO724&amp;"",BA724&amp;""))</f>
        <v/>
      </c>
      <c r="F724" s="0" t="str">
        <f aca="false">IF($A724="","",IF(AW724="Y",BP724&amp;"",BB724&amp;""))</f>
        <v/>
      </c>
      <c r="G724" s="0" t="str">
        <f aca="false">IF($A724="","",IF(AW724="Y",BQ724&amp;"",BC724&amp;""))</f>
        <v/>
      </c>
      <c r="H724" s="0" t="str">
        <f aca="false">IF($A724="","",IF(AW724="Y",BR724&amp;"",BD724&amp;""))</f>
        <v/>
      </c>
      <c r="I724" s="0" t="str">
        <f aca="false">IF($A724="","",IF(R724="Y","warm-intro",IF(H724="verified","email",IF(C724&lt;&gt;"","linkedin",CB724&amp;""))))</f>
        <v/>
      </c>
      <c r="J724" s="0" t="str">
        <f aca="false">IF($A724="","",IF(CN724="pass",ROUND(N(EM724)+N(EN724)+N(EO724)+N(EP724)+N(EQ724)+N(ER724),1),0))</f>
        <v/>
      </c>
      <c r="K724" s="0" t="str">
        <f aca="false">IF($A724="","",IF(CN724&lt;&gt;"pass",CA724&amp;"",CA724&amp;"; "&amp;IF(AW724="Y",BZ724&amp;"",BL724&amp;"")&amp;IF(R724="Y","; known to the founder (+15)","")&amp;"."))</f>
        <v/>
      </c>
      <c r="R724" s="5"/>
      <c r="U724" s="5"/>
      <c r="Y724" s="0" t="str">
        <f aca="false">IF(FX724&lt;&gt;"Y","",COUNTIFS($FX$2:$FX$1000,"Y",$J$2:$J$1000,"&gt;"&amp;J724)+COUNTIFS($FX$2:$FX$1000,"Y",$J$2:$J$1000,J724,$GD$2:$GD$1000,"&lt;"&amp;GD724)+1)</f>
        <v/>
      </c>
      <c r="AB724" s="0" t="str">
        <f aca="false">IF($A724="","",IF(AW724="Y",BY724&amp;"",BK724&amp;""))</f>
        <v/>
      </c>
      <c r="AC724" s="0" t="str">
        <f aca="false">IF($A724="","",IF(AW724="Y",BS724&amp;"",BE724&amp;""))</f>
        <v/>
      </c>
      <c r="AD724" s="0" t="str">
        <f aca="false">IF($A724="","",IF(AW724="Y",BT724&amp;"",BF724&amp;""))</f>
        <v/>
      </c>
      <c r="AE724" s="0" t="str">
        <f aca="false">IF($A724="","",IF(AW724="Y",BU724&amp;"",BG724&amp;""))</f>
        <v/>
      </c>
      <c r="AF724" s="0" t="str">
        <f aca="false">IF($A724="","",IF(AW724="Y",BV724&amp;"",BH724&amp;""))</f>
        <v/>
      </c>
      <c r="AG724" s="0" t="str">
        <f aca="false">IF($A724="","",IF(AW724="Y",BW724&amp;"",BI724&amp;""))</f>
        <v/>
      </c>
      <c r="AH724" s="0" t="str">
        <f aca="false">IF($A724="","",IF(AW724="Y",BX724&amp;"",BJ724&amp;""))</f>
        <v/>
      </c>
      <c r="AQ724" s="5"/>
      <c r="AT724" s="0" t="str">
        <f aca="false">IF($A724="","",IF(AND(CN724="pass",AQ724&lt;&gt;"Y",C724&lt;&gt;"",OR(AX724&lt;&gt;"Y",AV724="Y")),"Y","N"))</f>
        <v/>
      </c>
      <c r="AU724" s="0" t="str">
        <f aca="false">IF($A724="","",_xlfn.TEXTJOIN("; ",TRUE(),IF(CN724&lt;&gt;"pass","gated out",""),IF(AQ724="Y","on hold: "&amp;AR724,""),IF(C724="","no contact named on an opened page",""),IF(AND(AX724="Y",AV724&lt;&gt;"Y"),"Tuesday estimate band "&amp;L724&amp;": founder's call","")))</f>
        <v/>
      </c>
      <c r="BC724" s="0" t="str">
        <f aca="false">IF($A724="","",IFERROR(INDEX(Enrichment!$A$2:$GZ$2000,MATCH($A724,INDEX(Enrichment!$A$2:$GZ$2000,0,MATCH("row_id",Enrichment!$A$1:$GZ$1,0)),0),MATCH("work_email",Enrichment!$A$1:$GZ$1,0))&amp;"",""))</f>
        <v/>
      </c>
      <c r="BD724" s="0" t="str">
        <f aca="false">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Q724" s="0" t="str">
        <f aca="false">IF($A724="","",IFERROR(INDEX(Enrichment!$A$2:$GZ$2000,MATCH($A724,INDEX(Enrichment!$A$2:$GZ$2000,0,MATCH("row_id",Enrichment!$A$1:$GZ$1,0)),0),MATCH("backup_work_email",Enrichment!$A$1:$GZ$1,0))&amp;"",""))</f>
        <v/>
      </c>
      <c r="BR724" s="0" t="str">
        <f aca="false">IF($A724="","",IF(BQ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EQ724" s="0" t="str">
        <f aca="false">IF($A724="","",IF(AH724="exact",10,IF(AH724="adjacent",5,0)))</f>
        <v/>
      </c>
      <c r="ER724" s="0" t="str">
        <f aca="false">IF($A724="","",IF(R724="Y",15,0))</f>
        <v/>
      </c>
      <c r="FS724" s="0" t="str">
        <f aca="false">IF($A724="","",IF(ISNUMBER(MATCH(U724,{"queued","contacted","replied","call_booked","call_done","yes_in_principle","materials_sent"},0)),"Y","N"))</f>
        <v/>
      </c>
      <c r="FT724" s="0" t="str">
        <f aca="false">IF($A724="","",IF(OR(T724="Y",U724="do_not_contact",AS724&amp;""&lt;&gt;""),"Y","N"))</f>
        <v/>
      </c>
      <c r="FU724" s="0" t="str">
        <f aca="false">IF($A724="","",IF(AP724&amp;""&lt;&gt;"",AP724&amp;"",$A724))</f>
        <v/>
      </c>
      <c r="FV724" s="0" t="str">
        <f aca="false">IF($A724="","",IF(COUNTIFS($FU$2:$FU$1000,FU724,$FS$2:$FS$1000,"Y")+COUNTIFS($FU$2:$FU$1000,FU724,$FT$2:$FT$1000,"Y")&gt;0,"Y","N"))</f>
        <v/>
      </c>
      <c r="FW724" s="0" t="str">
        <f aca="false">IF($A724="","",IF(AND(U724="new",T724="N",FT724="N",AT724="Y",FV724="N"),"Y","N"))</f>
        <v/>
      </c>
      <c r="FX724" s="0" t="str">
        <f aca="false">IF($A724="","",IF(FW724&lt;&gt;"Y","N",IF(COUNTIFS($FU$2:$FU$1000,FU724,$FW$2:$FW$1000,"Y",$J$2:$J$1000,"&gt;"&amp;J724)+COUNTIFS($FU$2:$FU$1000,FU724,$FW$2:$FW$1000,"Y",$J$2:$J$1000,J724,$GD$2:$GD$1000,"&lt;"&amp;GD724)=0,"Y","N")))</f>
        <v/>
      </c>
      <c r="FY724" s="0" t="str">
        <f aca="false">IF($A724="","",IF(AND(FW724="Y",FX724="Y",Y724&amp;""&lt;&gt;""),IF(Y724&lt;=10,"Y","N"),"N"))</f>
        <v/>
      </c>
      <c r="FZ724" s="0" t="str">
        <f aca="false">IF(FY724="Y",Y724,"")</f>
        <v/>
      </c>
      <c r="GA724" s="0" t="str">
        <f aca="false">IF($A724="","",IF(AND(I724="walk-in",CN724="pass",U724="new",FT724="N",FV724="N",AQ724&lt;&gt;"Y"),"Y","N"))</f>
        <v/>
      </c>
      <c r="GB724" s="0" t="str">
        <f aca="false">IF(GA724&lt;&gt;"Y","",IF(COUNTIFS($GA$2:$GA$1000,"Y",$J$2:$J$1000,"&gt;"&amp;J724)+COUNTIFS($GA$2:$GA$1000,"Y",$J$2:$J$1000,J724,$GD$2:$GD$1000,"&lt;"&amp;GD724)+1&lt;=25,COUNTIFS($GA$2:$GA$1000,"Y",$J$2:$J$1000,"&gt;"&amp;J724)+COUNTIFS($GA$2:$GA$1000,"Y",$J$2:$J$1000,J724,$GD$2:$GD$1000,"&lt;"&amp;GD724)+1,""))</f>
        <v/>
      </c>
      <c r="GC724" s="0" t="str">
        <f aca="false">IF(AND(_xlfn.ISFORMULA(C724),_xlfn.ISFORMULA(J724)),"Y","N")</f>
        <v>Y</v>
      </c>
      <c r="GD724" s="0" t="n">
        <f aca="false">ROW()-1</f>
        <v>723</v>
      </c>
    </row>
    <row r="725" customFormat="false" ht="15" hidden="false" customHeight="false" outlineLevel="0" collapsed="false">
      <c r="C725" s="0" t="str">
        <f aca="false">IF($A725="","",IF(AW725="Y",BM725&amp;"",AY725&amp;""))</f>
        <v/>
      </c>
      <c r="D725" s="0" t="str">
        <f aca="false">IF($A725="","",IF(AW725="Y",BN725&amp;"",AZ725&amp;""))</f>
        <v/>
      </c>
      <c r="E725" s="0" t="str">
        <f aca="false">IF($A725="","",IF(AW725="Y",BO725&amp;"",BA725&amp;""))</f>
        <v/>
      </c>
      <c r="F725" s="0" t="str">
        <f aca="false">IF($A725="","",IF(AW725="Y",BP725&amp;"",BB725&amp;""))</f>
        <v/>
      </c>
      <c r="G725" s="0" t="str">
        <f aca="false">IF($A725="","",IF(AW725="Y",BQ725&amp;"",BC725&amp;""))</f>
        <v/>
      </c>
      <c r="H725" s="0" t="str">
        <f aca="false">IF($A725="","",IF(AW725="Y",BR725&amp;"",BD725&amp;""))</f>
        <v/>
      </c>
      <c r="I725" s="0" t="str">
        <f aca="false">IF($A725="","",IF(R725="Y","warm-intro",IF(H725="verified","email",IF(C725&lt;&gt;"","linkedin",CB725&amp;""))))</f>
        <v/>
      </c>
      <c r="J725" s="0" t="str">
        <f aca="false">IF($A725="","",IF(CN725="pass",ROUND(N(EM725)+N(EN725)+N(EO725)+N(EP725)+N(EQ725)+N(ER725),1),0))</f>
        <v/>
      </c>
      <c r="K725" s="0" t="str">
        <f aca="false">IF($A725="","",IF(CN725&lt;&gt;"pass",CA725&amp;"",CA725&amp;"; "&amp;IF(AW725="Y",BZ725&amp;"",BL725&amp;"")&amp;IF(R725="Y","; known to the founder (+15)","")&amp;"."))</f>
        <v/>
      </c>
      <c r="R725" s="5"/>
      <c r="U725" s="5"/>
      <c r="Y725" s="0" t="str">
        <f aca="false">IF(FX725&lt;&gt;"Y","",COUNTIFS($FX$2:$FX$1000,"Y",$J$2:$J$1000,"&gt;"&amp;J725)+COUNTIFS($FX$2:$FX$1000,"Y",$J$2:$J$1000,J725,$GD$2:$GD$1000,"&lt;"&amp;GD725)+1)</f>
        <v/>
      </c>
      <c r="AB725" s="0" t="str">
        <f aca="false">IF($A725="","",IF(AW725="Y",BY725&amp;"",BK725&amp;""))</f>
        <v/>
      </c>
      <c r="AC725" s="0" t="str">
        <f aca="false">IF($A725="","",IF(AW725="Y",BS725&amp;"",BE725&amp;""))</f>
        <v/>
      </c>
      <c r="AD725" s="0" t="str">
        <f aca="false">IF($A725="","",IF(AW725="Y",BT725&amp;"",BF725&amp;""))</f>
        <v/>
      </c>
      <c r="AE725" s="0" t="str">
        <f aca="false">IF($A725="","",IF(AW725="Y",BU725&amp;"",BG725&amp;""))</f>
        <v/>
      </c>
      <c r="AF725" s="0" t="str">
        <f aca="false">IF($A725="","",IF(AW725="Y",BV725&amp;"",BH725&amp;""))</f>
        <v/>
      </c>
      <c r="AG725" s="0" t="str">
        <f aca="false">IF($A725="","",IF(AW725="Y",BW725&amp;"",BI725&amp;""))</f>
        <v/>
      </c>
      <c r="AH725" s="0" t="str">
        <f aca="false">IF($A725="","",IF(AW725="Y",BX725&amp;"",BJ725&amp;""))</f>
        <v/>
      </c>
      <c r="AQ725" s="5"/>
      <c r="AT725" s="0" t="str">
        <f aca="false">IF($A725="","",IF(AND(CN725="pass",AQ725&lt;&gt;"Y",C725&lt;&gt;"",OR(AX725&lt;&gt;"Y",AV725="Y")),"Y","N"))</f>
        <v/>
      </c>
      <c r="AU725" s="0" t="str">
        <f aca="false">IF($A725="","",_xlfn.TEXTJOIN("; ",TRUE(),IF(CN725&lt;&gt;"pass","gated out",""),IF(AQ725="Y","on hold: "&amp;AR725,""),IF(C725="","no contact named on an opened page",""),IF(AND(AX725="Y",AV725&lt;&gt;"Y"),"Tuesday estimate band "&amp;L725&amp;": founder's call","")))</f>
        <v/>
      </c>
      <c r="BC725" s="0" t="str">
        <f aca="false">IF($A725="","",IFERROR(INDEX(Enrichment!$A$2:$GZ$2000,MATCH($A725,INDEX(Enrichment!$A$2:$GZ$2000,0,MATCH("row_id",Enrichment!$A$1:$GZ$1,0)),0),MATCH("work_email",Enrichment!$A$1:$GZ$1,0))&amp;"",""))</f>
        <v/>
      </c>
      <c r="BD725" s="0" t="str">
        <f aca="false">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Q725" s="0" t="str">
        <f aca="false">IF($A725="","",IFERROR(INDEX(Enrichment!$A$2:$GZ$2000,MATCH($A725,INDEX(Enrichment!$A$2:$GZ$2000,0,MATCH("row_id",Enrichment!$A$1:$GZ$1,0)),0),MATCH("backup_work_email",Enrichment!$A$1:$GZ$1,0))&amp;"",""))</f>
        <v/>
      </c>
      <c r="BR725" s="0" t="str">
        <f aca="false">IF($A725="","",IF(BQ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EQ725" s="0" t="str">
        <f aca="false">IF($A725="","",IF(AH725="exact",10,IF(AH725="adjacent",5,0)))</f>
        <v/>
      </c>
      <c r="ER725" s="0" t="str">
        <f aca="false">IF($A725="","",IF(R725="Y",15,0))</f>
        <v/>
      </c>
      <c r="FS725" s="0" t="str">
        <f aca="false">IF($A725="","",IF(ISNUMBER(MATCH(U725,{"queued","contacted","replied","call_booked","call_done","yes_in_principle","materials_sent"},0)),"Y","N"))</f>
        <v/>
      </c>
      <c r="FT725" s="0" t="str">
        <f aca="false">IF($A725="","",IF(OR(T725="Y",U725="do_not_contact",AS725&amp;""&lt;&gt;""),"Y","N"))</f>
        <v/>
      </c>
      <c r="FU725" s="0" t="str">
        <f aca="false">IF($A725="","",IF(AP725&amp;""&lt;&gt;"",AP725&amp;"",$A725))</f>
        <v/>
      </c>
      <c r="FV725" s="0" t="str">
        <f aca="false">IF($A725="","",IF(COUNTIFS($FU$2:$FU$1000,FU725,$FS$2:$FS$1000,"Y")+COUNTIFS($FU$2:$FU$1000,FU725,$FT$2:$FT$1000,"Y")&gt;0,"Y","N"))</f>
        <v/>
      </c>
      <c r="FW725" s="0" t="str">
        <f aca="false">IF($A725="","",IF(AND(U725="new",T725="N",FT725="N",AT725="Y",FV725="N"),"Y","N"))</f>
        <v/>
      </c>
      <c r="FX725" s="0" t="str">
        <f aca="false">IF($A725="","",IF(FW725&lt;&gt;"Y","N",IF(COUNTIFS($FU$2:$FU$1000,FU725,$FW$2:$FW$1000,"Y",$J$2:$J$1000,"&gt;"&amp;J725)+COUNTIFS($FU$2:$FU$1000,FU725,$FW$2:$FW$1000,"Y",$J$2:$J$1000,J725,$GD$2:$GD$1000,"&lt;"&amp;GD725)=0,"Y","N")))</f>
        <v/>
      </c>
      <c r="FY725" s="0" t="str">
        <f aca="false">IF($A725="","",IF(AND(FW725="Y",FX725="Y",Y725&amp;""&lt;&gt;""),IF(Y725&lt;=10,"Y","N"),"N"))</f>
        <v/>
      </c>
      <c r="FZ725" s="0" t="str">
        <f aca="false">IF(FY725="Y",Y725,"")</f>
        <v/>
      </c>
      <c r="GA725" s="0" t="str">
        <f aca="false">IF($A725="","",IF(AND(I725="walk-in",CN725="pass",U725="new",FT725="N",FV725="N",AQ725&lt;&gt;"Y"),"Y","N"))</f>
        <v/>
      </c>
      <c r="GB725" s="0" t="str">
        <f aca="false">IF(GA725&lt;&gt;"Y","",IF(COUNTIFS($GA$2:$GA$1000,"Y",$J$2:$J$1000,"&gt;"&amp;J725)+COUNTIFS($GA$2:$GA$1000,"Y",$J$2:$J$1000,J725,$GD$2:$GD$1000,"&lt;"&amp;GD725)+1&lt;=25,COUNTIFS($GA$2:$GA$1000,"Y",$J$2:$J$1000,"&gt;"&amp;J725)+COUNTIFS($GA$2:$GA$1000,"Y",$J$2:$J$1000,J725,$GD$2:$GD$1000,"&lt;"&amp;GD725)+1,""))</f>
        <v/>
      </c>
      <c r="GC725" s="0" t="str">
        <f aca="false">IF(AND(_xlfn.ISFORMULA(C725),_xlfn.ISFORMULA(J725)),"Y","N")</f>
        <v>Y</v>
      </c>
      <c r="GD725" s="0" t="n">
        <f aca="false">ROW()-1</f>
        <v>724</v>
      </c>
    </row>
    <row r="726" customFormat="false" ht="15" hidden="false" customHeight="false" outlineLevel="0" collapsed="false">
      <c r="C726" s="0" t="str">
        <f aca="false">IF($A726="","",IF(AW726="Y",BM726&amp;"",AY726&amp;""))</f>
        <v/>
      </c>
      <c r="D726" s="0" t="str">
        <f aca="false">IF($A726="","",IF(AW726="Y",BN726&amp;"",AZ726&amp;""))</f>
        <v/>
      </c>
      <c r="E726" s="0" t="str">
        <f aca="false">IF($A726="","",IF(AW726="Y",BO726&amp;"",BA726&amp;""))</f>
        <v/>
      </c>
      <c r="F726" s="0" t="str">
        <f aca="false">IF($A726="","",IF(AW726="Y",BP726&amp;"",BB726&amp;""))</f>
        <v/>
      </c>
      <c r="G726" s="0" t="str">
        <f aca="false">IF($A726="","",IF(AW726="Y",BQ726&amp;"",BC726&amp;""))</f>
        <v/>
      </c>
      <c r="H726" s="0" t="str">
        <f aca="false">IF($A726="","",IF(AW726="Y",BR726&amp;"",BD726&amp;""))</f>
        <v/>
      </c>
      <c r="I726" s="0" t="str">
        <f aca="false">IF($A726="","",IF(R726="Y","warm-intro",IF(H726="verified","email",IF(C726&lt;&gt;"","linkedin",CB726&amp;""))))</f>
        <v/>
      </c>
      <c r="J726" s="0" t="str">
        <f aca="false">IF($A726="","",IF(CN726="pass",ROUND(N(EM726)+N(EN726)+N(EO726)+N(EP726)+N(EQ726)+N(ER726),1),0))</f>
        <v/>
      </c>
      <c r="K726" s="0" t="str">
        <f aca="false">IF($A726="","",IF(CN726&lt;&gt;"pass",CA726&amp;"",CA726&amp;"; "&amp;IF(AW726="Y",BZ726&amp;"",BL726&amp;"")&amp;IF(R726="Y","; known to the founder (+15)","")&amp;"."))</f>
        <v/>
      </c>
      <c r="R726" s="5"/>
      <c r="U726" s="5"/>
      <c r="Y726" s="0" t="str">
        <f aca="false">IF(FX726&lt;&gt;"Y","",COUNTIFS($FX$2:$FX$1000,"Y",$J$2:$J$1000,"&gt;"&amp;J726)+COUNTIFS($FX$2:$FX$1000,"Y",$J$2:$J$1000,J726,$GD$2:$GD$1000,"&lt;"&amp;GD726)+1)</f>
        <v/>
      </c>
      <c r="AB726" s="0" t="str">
        <f aca="false">IF($A726="","",IF(AW726="Y",BY726&amp;"",BK726&amp;""))</f>
        <v/>
      </c>
      <c r="AC726" s="0" t="str">
        <f aca="false">IF($A726="","",IF(AW726="Y",BS726&amp;"",BE726&amp;""))</f>
        <v/>
      </c>
      <c r="AD726" s="0" t="str">
        <f aca="false">IF($A726="","",IF(AW726="Y",BT726&amp;"",BF726&amp;""))</f>
        <v/>
      </c>
      <c r="AE726" s="0" t="str">
        <f aca="false">IF($A726="","",IF(AW726="Y",BU726&amp;"",BG726&amp;""))</f>
        <v/>
      </c>
      <c r="AF726" s="0" t="str">
        <f aca="false">IF($A726="","",IF(AW726="Y",BV726&amp;"",BH726&amp;""))</f>
        <v/>
      </c>
      <c r="AG726" s="0" t="str">
        <f aca="false">IF($A726="","",IF(AW726="Y",BW726&amp;"",BI726&amp;""))</f>
        <v/>
      </c>
      <c r="AH726" s="0" t="str">
        <f aca="false">IF($A726="","",IF(AW726="Y",BX726&amp;"",BJ726&amp;""))</f>
        <v/>
      </c>
      <c r="AQ726" s="5"/>
      <c r="AT726" s="0" t="str">
        <f aca="false">IF($A726="","",IF(AND(CN726="pass",AQ726&lt;&gt;"Y",C726&lt;&gt;"",OR(AX726&lt;&gt;"Y",AV726="Y")),"Y","N"))</f>
        <v/>
      </c>
      <c r="AU726" s="0" t="str">
        <f aca="false">IF($A726="","",_xlfn.TEXTJOIN("; ",TRUE(),IF(CN726&lt;&gt;"pass","gated out",""),IF(AQ726="Y","on hold: "&amp;AR726,""),IF(C726="","no contact named on an opened page",""),IF(AND(AX726="Y",AV726&lt;&gt;"Y"),"Tuesday estimate band "&amp;L726&amp;": founder's call","")))</f>
        <v/>
      </c>
      <c r="BC726" s="0" t="str">
        <f aca="false">IF($A726="","",IFERROR(INDEX(Enrichment!$A$2:$GZ$2000,MATCH($A726,INDEX(Enrichment!$A$2:$GZ$2000,0,MATCH("row_id",Enrichment!$A$1:$GZ$1,0)),0),MATCH("work_email",Enrichment!$A$1:$GZ$1,0))&amp;"",""))</f>
        <v/>
      </c>
      <c r="BD726" s="0" t="str">
        <f aca="false">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Q726" s="0" t="str">
        <f aca="false">IF($A726="","",IFERROR(INDEX(Enrichment!$A$2:$GZ$2000,MATCH($A726,INDEX(Enrichment!$A$2:$GZ$2000,0,MATCH("row_id",Enrichment!$A$1:$GZ$1,0)),0),MATCH("backup_work_email",Enrichment!$A$1:$GZ$1,0))&amp;"",""))</f>
        <v/>
      </c>
      <c r="BR726" s="0" t="str">
        <f aca="false">IF($A726="","",IF(BQ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EQ726" s="0" t="str">
        <f aca="false">IF($A726="","",IF(AH726="exact",10,IF(AH726="adjacent",5,0)))</f>
        <v/>
      </c>
      <c r="ER726" s="0" t="str">
        <f aca="false">IF($A726="","",IF(R726="Y",15,0))</f>
        <v/>
      </c>
      <c r="FS726" s="0" t="str">
        <f aca="false">IF($A726="","",IF(ISNUMBER(MATCH(U726,{"queued","contacted","replied","call_booked","call_done","yes_in_principle","materials_sent"},0)),"Y","N"))</f>
        <v/>
      </c>
      <c r="FT726" s="0" t="str">
        <f aca="false">IF($A726="","",IF(OR(T726="Y",U726="do_not_contact",AS726&amp;""&lt;&gt;""),"Y","N"))</f>
        <v/>
      </c>
      <c r="FU726" s="0" t="str">
        <f aca="false">IF($A726="","",IF(AP726&amp;""&lt;&gt;"",AP726&amp;"",$A726))</f>
        <v/>
      </c>
      <c r="FV726" s="0" t="str">
        <f aca="false">IF($A726="","",IF(COUNTIFS($FU$2:$FU$1000,FU726,$FS$2:$FS$1000,"Y")+COUNTIFS($FU$2:$FU$1000,FU726,$FT$2:$FT$1000,"Y")&gt;0,"Y","N"))</f>
        <v/>
      </c>
      <c r="FW726" s="0" t="str">
        <f aca="false">IF($A726="","",IF(AND(U726="new",T726="N",FT726="N",AT726="Y",FV726="N"),"Y","N"))</f>
        <v/>
      </c>
      <c r="FX726" s="0" t="str">
        <f aca="false">IF($A726="","",IF(FW726&lt;&gt;"Y","N",IF(COUNTIFS($FU$2:$FU$1000,FU726,$FW$2:$FW$1000,"Y",$J$2:$J$1000,"&gt;"&amp;J726)+COUNTIFS($FU$2:$FU$1000,FU726,$FW$2:$FW$1000,"Y",$J$2:$J$1000,J726,$GD$2:$GD$1000,"&lt;"&amp;GD726)=0,"Y","N")))</f>
        <v/>
      </c>
      <c r="FY726" s="0" t="str">
        <f aca="false">IF($A726="","",IF(AND(FW726="Y",FX726="Y",Y726&amp;""&lt;&gt;""),IF(Y726&lt;=10,"Y","N"),"N"))</f>
        <v/>
      </c>
      <c r="FZ726" s="0" t="str">
        <f aca="false">IF(FY726="Y",Y726,"")</f>
        <v/>
      </c>
      <c r="GA726" s="0" t="str">
        <f aca="false">IF($A726="","",IF(AND(I726="walk-in",CN726="pass",U726="new",FT726="N",FV726="N",AQ726&lt;&gt;"Y"),"Y","N"))</f>
        <v/>
      </c>
      <c r="GB726" s="0" t="str">
        <f aca="false">IF(GA726&lt;&gt;"Y","",IF(COUNTIFS($GA$2:$GA$1000,"Y",$J$2:$J$1000,"&gt;"&amp;J726)+COUNTIFS($GA$2:$GA$1000,"Y",$J$2:$J$1000,J726,$GD$2:$GD$1000,"&lt;"&amp;GD726)+1&lt;=25,COUNTIFS($GA$2:$GA$1000,"Y",$J$2:$J$1000,"&gt;"&amp;J726)+COUNTIFS($GA$2:$GA$1000,"Y",$J$2:$J$1000,J726,$GD$2:$GD$1000,"&lt;"&amp;GD726)+1,""))</f>
        <v/>
      </c>
      <c r="GC726" s="0" t="str">
        <f aca="false">IF(AND(_xlfn.ISFORMULA(C726),_xlfn.ISFORMULA(J726)),"Y","N")</f>
        <v>Y</v>
      </c>
      <c r="GD726" s="0" t="n">
        <f aca="false">ROW()-1</f>
        <v>725</v>
      </c>
    </row>
    <row r="727" customFormat="false" ht="15" hidden="false" customHeight="false" outlineLevel="0" collapsed="false">
      <c r="C727" s="0" t="str">
        <f aca="false">IF($A727="","",IF(AW727="Y",BM727&amp;"",AY727&amp;""))</f>
        <v/>
      </c>
      <c r="D727" s="0" t="str">
        <f aca="false">IF($A727="","",IF(AW727="Y",BN727&amp;"",AZ727&amp;""))</f>
        <v/>
      </c>
      <c r="E727" s="0" t="str">
        <f aca="false">IF($A727="","",IF(AW727="Y",BO727&amp;"",BA727&amp;""))</f>
        <v/>
      </c>
      <c r="F727" s="0" t="str">
        <f aca="false">IF($A727="","",IF(AW727="Y",BP727&amp;"",BB727&amp;""))</f>
        <v/>
      </c>
      <c r="G727" s="0" t="str">
        <f aca="false">IF($A727="","",IF(AW727="Y",BQ727&amp;"",BC727&amp;""))</f>
        <v/>
      </c>
      <c r="H727" s="0" t="str">
        <f aca="false">IF($A727="","",IF(AW727="Y",BR727&amp;"",BD727&amp;""))</f>
        <v/>
      </c>
      <c r="I727" s="0" t="str">
        <f aca="false">IF($A727="","",IF(R727="Y","warm-intro",IF(H727="verified","email",IF(C727&lt;&gt;"","linkedin",CB727&amp;""))))</f>
        <v/>
      </c>
      <c r="J727" s="0" t="str">
        <f aca="false">IF($A727="","",IF(CN727="pass",ROUND(N(EM727)+N(EN727)+N(EO727)+N(EP727)+N(EQ727)+N(ER727),1),0))</f>
        <v/>
      </c>
      <c r="K727" s="0" t="str">
        <f aca="false">IF($A727="","",IF(CN727&lt;&gt;"pass",CA727&amp;"",CA727&amp;"; "&amp;IF(AW727="Y",BZ727&amp;"",BL727&amp;"")&amp;IF(R727="Y","; known to the founder (+15)","")&amp;"."))</f>
        <v/>
      </c>
      <c r="R727" s="5"/>
      <c r="U727" s="5"/>
      <c r="Y727" s="0" t="str">
        <f aca="false">IF(FX727&lt;&gt;"Y","",COUNTIFS($FX$2:$FX$1000,"Y",$J$2:$J$1000,"&gt;"&amp;J727)+COUNTIFS($FX$2:$FX$1000,"Y",$J$2:$J$1000,J727,$GD$2:$GD$1000,"&lt;"&amp;GD727)+1)</f>
        <v/>
      </c>
      <c r="AB727" s="0" t="str">
        <f aca="false">IF($A727="","",IF(AW727="Y",BY727&amp;"",BK727&amp;""))</f>
        <v/>
      </c>
      <c r="AC727" s="0" t="str">
        <f aca="false">IF($A727="","",IF(AW727="Y",BS727&amp;"",BE727&amp;""))</f>
        <v/>
      </c>
      <c r="AD727" s="0" t="str">
        <f aca="false">IF($A727="","",IF(AW727="Y",BT727&amp;"",BF727&amp;""))</f>
        <v/>
      </c>
      <c r="AE727" s="0" t="str">
        <f aca="false">IF($A727="","",IF(AW727="Y",BU727&amp;"",BG727&amp;""))</f>
        <v/>
      </c>
      <c r="AF727" s="0" t="str">
        <f aca="false">IF($A727="","",IF(AW727="Y",BV727&amp;"",BH727&amp;""))</f>
        <v/>
      </c>
      <c r="AG727" s="0" t="str">
        <f aca="false">IF($A727="","",IF(AW727="Y",BW727&amp;"",BI727&amp;""))</f>
        <v/>
      </c>
      <c r="AH727" s="0" t="str">
        <f aca="false">IF($A727="","",IF(AW727="Y",BX727&amp;"",BJ727&amp;""))</f>
        <v/>
      </c>
      <c r="AQ727" s="5"/>
      <c r="AT727" s="0" t="str">
        <f aca="false">IF($A727="","",IF(AND(CN727="pass",AQ727&lt;&gt;"Y",C727&lt;&gt;"",OR(AX727&lt;&gt;"Y",AV727="Y")),"Y","N"))</f>
        <v/>
      </c>
      <c r="AU727" s="0" t="str">
        <f aca="false">IF($A727="","",_xlfn.TEXTJOIN("; ",TRUE(),IF(CN727&lt;&gt;"pass","gated out",""),IF(AQ727="Y","on hold: "&amp;AR727,""),IF(C727="","no contact named on an opened page",""),IF(AND(AX727="Y",AV727&lt;&gt;"Y"),"Tuesday estimate band "&amp;L727&amp;": founder's call","")))</f>
        <v/>
      </c>
      <c r="BC727" s="0" t="str">
        <f aca="false">IF($A727="","",IFERROR(INDEX(Enrichment!$A$2:$GZ$2000,MATCH($A727,INDEX(Enrichment!$A$2:$GZ$2000,0,MATCH("row_id",Enrichment!$A$1:$GZ$1,0)),0),MATCH("work_email",Enrichment!$A$1:$GZ$1,0))&amp;"",""))</f>
        <v/>
      </c>
      <c r="BD727" s="0" t="str">
        <f aca="false">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Q727" s="0" t="str">
        <f aca="false">IF($A727="","",IFERROR(INDEX(Enrichment!$A$2:$GZ$2000,MATCH($A727,INDEX(Enrichment!$A$2:$GZ$2000,0,MATCH("row_id",Enrichment!$A$1:$GZ$1,0)),0),MATCH("backup_work_email",Enrichment!$A$1:$GZ$1,0))&amp;"",""))</f>
        <v/>
      </c>
      <c r="BR727" s="0" t="str">
        <f aca="false">IF($A727="","",IF(BQ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EQ727" s="0" t="str">
        <f aca="false">IF($A727="","",IF(AH727="exact",10,IF(AH727="adjacent",5,0)))</f>
        <v/>
      </c>
      <c r="ER727" s="0" t="str">
        <f aca="false">IF($A727="","",IF(R727="Y",15,0))</f>
        <v/>
      </c>
      <c r="FS727" s="0" t="str">
        <f aca="false">IF($A727="","",IF(ISNUMBER(MATCH(U727,{"queued","contacted","replied","call_booked","call_done","yes_in_principle","materials_sent"},0)),"Y","N"))</f>
        <v/>
      </c>
      <c r="FT727" s="0" t="str">
        <f aca="false">IF($A727="","",IF(OR(T727="Y",U727="do_not_contact",AS727&amp;""&lt;&gt;""),"Y","N"))</f>
        <v/>
      </c>
      <c r="FU727" s="0" t="str">
        <f aca="false">IF($A727="","",IF(AP727&amp;""&lt;&gt;"",AP727&amp;"",$A727))</f>
        <v/>
      </c>
      <c r="FV727" s="0" t="str">
        <f aca="false">IF($A727="","",IF(COUNTIFS($FU$2:$FU$1000,FU727,$FS$2:$FS$1000,"Y")+COUNTIFS($FU$2:$FU$1000,FU727,$FT$2:$FT$1000,"Y")&gt;0,"Y","N"))</f>
        <v/>
      </c>
      <c r="FW727" s="0" t="str">
        <f aca="false">IF($A727="","",IF(AND(U727="new",T727="N",FT727="N",AT727="Y",FV727="N"),"Y","N"))</f>
        <v/>
      </c>
      <c r="FX727" s="0" t="str">
        <f aca="false">IF($A727="","",IF(FW727&lt;&gt;"Y","N",IF(COUNTIFS($FU$2:$FU$1000,FU727,$FW$2:$FW$1000,"Y",$J$2:$J$1000,"&gt;"&amp;J727)+COUNTIFS($FU$2:$FU$1000,FU727,$FW$2:$FW$1000,"Y",$J$2:$J$1000,J727,$GD$2:$GD$1000,"&lt;"&amp;GD727)=0,"Y","N")))</f>
        <v/>
      </c>
      <c r="FY727" s="0" t="str">
        <f aca="false">IF($A727="","",IF(AND(FW727="Y",FX727="Y",Y727&amp;""&lt;&gt;""),IF(Y727&lt;=10,"Y","N"),"N"))</f>
        <v/>
      </c>
      <c r="FZ727" s="0" t="str">
        <f aca="false">IF(FY727="Y",Y727,"")</f>
        <v/>
      </c>
      <c r="GA727" s="0" t="str">
        <f aca="false">IF($A727="","",IF(AND(I727="walk-in",CN727="pass",U727="new",FT727="N",FV727="N",AQ727&lt;&gt;"Y"),"Y","N"))</f>
        <v/>
      </c>
      <c r="GB727" s="0" t="str">
        <f aca="false">IF(GA727&lt;&gt;"Y","",IF(COUNTIFS($GA$2:$GA$1000,"Y",$J$2:$J$1000,"&gt;"&amp;J727)+COUNTIFS($GA$2:$GA$1000,"Y",$J$2:$J$1000,J727,$GD$2:$GD$1000,"&lt;"&amp;GD727)+1&lt;=25,COUNTIFS($GA$2:$GA$1000,"Y",$J$2:$J$1000,"&gt;"&amp;J727)+COUNTIFS($GA$2:$GA$1000,"Y",$J$2:$J$1000,J727,$GD$2:$GD$1000,"&lt;"&amp;GD727)+1,""))</f>
        <v/>
      </c>
      <c r="GC727" s="0" t="str">
        <f aca="false">IF(AND(_xlfn.ISFORMULA(C727),_xlfn.ISFORMULA(J727)),"Y","N")</f>
        <v>Y</v>
      </c>
      <c r="GD727" s="0" t="n">
        <f aca="false">ROW()-1</f>
        <v>726</v>
      </c>
    </row>
    <row r="728" customFormat="false" ht="15" hidden="false" customHeight="false" outlineLevel="0" collapsed="false">
      <c r="C728" s="0" t="str">
        <f aca="false">IF($A728="","",IF(AW728="Y",BM728&amp;"",AY728&amp;""))</f>
        <v/>
      </c>
      <c r="D728" s="0" t="str">
        <f aca="false">IF($A728="","",IF(AW728="Y",BN728&amp;"",AZ728&amp;""))</f>
        <v/>
      </c>
      <c r="E728" s="0" t="str">
        <f aca="false">IF($A728="","",IF(AW728="Y",BO728&amp;"",BA728&amp;""))</f>
        <v/>
      </c>
      <c r="F728" s="0" t="str">
        <f aca="false">IF($A728="","",IF(AW728="Y",BP728&amp;"",BB728&amp;""))</f>
        <v/>
      </c>
      <c r="G728" s="0" t="str">
        <f aca="false">IF($A728="","",IF(AW728="Y",BQ728&amp;"",BC728&amp;""))</f>
        <v/>
      </c>
      <c r="H728" s="0" t="str">
        <f aca="false">IF($A728="","",IF(AW728="Y",BR728&amp;"",BD728&amp;""))</f>
        <v/>
      </c>
      <c r="I728" s="0" t="str">
        <f aca="false">IF($A728="","",IF(R728="Y","warm-intro",IF(H728="verified","email",IF(C728&lt;&gt;"","linkedin",CB728&amp;""))))</f>
        <v/>
      </c>
      <c r="J728" s="0" t="str">
        <f aca="false">IF($A728="","",IF(CN728="pass",ROUND(N(EM728)+N(EN728)+N(EO728)+N(EP728)+N(EQ728)+N(ER728),1),0))</f>
        <v/>
      </c>
      <c r="K728" s="0" t="str">
        <f aca="false">IF($A728="","",IF(CN728&lt;&gt;"pass",CA728&amp;"",CA728&amp;"; "&amp;IF(AW728="Y",BZ728&amp;"",BL728&amp;"")&amp;IF(R728="Y","; known to the founder (+15)","")&amp;"."))</f>
        <v/>
      </c>
      <c r="R728" s="5"/>
      <c r="U728" s="5"/>
      <c r="Y728" s="0" t="str">
        <f aca="false">IF(FX728&lt;&gt;"Y","",COUNTIFS($FX$2:$FX$1000,"Y",$J$2:$J$1000,"&gt;"&amp;J728)+COUNTIFS($FX$2:$FX$1000,"Y",$J$2:$J$1000,J728,$GD$2:$GD$1000,"&lt;"&amp;GD728)+1)</f>
        <v/>
      </c>
      <c r="AB728" s="0" t="str">
        <f aca="false">IF($A728="","",IF(AW728="Y",BY728&amp;"",BK728&amp;""))</f>
        <v/>
      </c>
      <c r="AC728" s="0" t="str">
        <f aca="false">IF($A728="","",IF(AW728="Y",BS728&amp;"",BE728&amp;""))</f>
        <v/>
      </c>
      <c r="AD728" s="0" t="str">
        <f aca="false">IF($A728="","",IF(AW728="Y",BT728&amp;"",BF728&amp;""))</f>
        <v/>
      </c>
      <c r="AE728" s="0" t="str">
        <f aca="false">IF($A728="","",IF(AW728="Y",BU728&amp;"",BG728&amp;""))</f>
        <v/>
      </c>
      <c r="AF728" s="0" t="str">
        <f aca="false">IF($A728="","",IF(AW728="Y",BV728&amp;"",BH728&amp;""))</f>
        <v/>
      </c>
      <c r="AG728" s="0" t="str">
        <f aca="false">IF($A728="","",IF(AW728="Y",BW728&amp;"",BI728&amp;""))</f>
        <v/>
      </c>
      <c r="AH728" s="0" t="str">
        <f aca="false">IF($A728="","",IF(AW728="Y",BX728&amp;"",BJ728&amp;""))</f>
        <v/>
      </c>
      <c r="AQ728" s="5"/>
      <c r="AT728" s="0" t="str">
        <f aca="false">IF($A728="","",IF(AND(CN728="pass",AQ728&lt;&gt;"Y",C728&lt;&gt;"",OR(AX728&lt;&gt;"Y",AV728="Y")),"Y","N"))</f>
        <v/>
      </c>
      <c r="AU728" s="0" t="str">
        <f aca="false">IF($A728="","",_xlfn.TEXTJOIN("; ",TRUE(),IF(CN728&lt;&gt;"pass","gated out",""),IF(AQ728="Y","on hold: "&amp;AR728,""),IF(C728="","no contact named on an opened page",""),IF(AND(AX728="Y",AV728&lt;&gt;"Y"),"Tuesday estimate band "&amp;L728&amp;": founder's call","")))</f>
        <v/>
      </c>
      <c r="BC728" s="0" t="str">
        <f aca="false">IF($A728="","",IFERROR(INDEX(Enrichment!$A$2:$GZ$2000,MATCH($A728,INDEX(Enrichment!$A$2:$GZ$2000,0,MATCH("row_id",Enrichment!$A$1:$GZ$1,0)),0),MATCH("work_email",Enrichment!$A$1:$GZ$1,0))&amp;"",""))</f>
        <v/>
      </c>
      <c r="BD728" s="0" t="str">
        <f aca="false">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Q728" s="0" t="str">
        <f aca="false">IF($A728="","",IFERROR(INDEX(Enrichment!$A$2:$GZ$2000,MATCH($A728,INDEX(Enrichment!$A$2:$GZ$2000,0,MATCH("row_id",Enrichment!$A$1:$GZ$1,0)),0),MATCH("backup_work_email",Enrichment!$A$1:$GZ$1,0))&amp;"",""))</f>
        <v/>
      </c>
      <c r="BR728" s="0" t="str">
        <f aca="false">IF($A728="","",IF(BQ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EQ728" s="0" t="str">
        <f aca="false">IF($A728="","",IF(AH728="exact",10,IF(AH728="adjacent",5,0)))</f>
        <v/>
      </c>
      <c r="ER728" s="0" t="str">
        <f aca="false">IF($A728="","",IF(R728="Y",15,0))</f>
        <v/>
      </c>
      <c r="FS728" s="0" t="str">
        <f aca="false">IF($A728="","",IF(ISNUMBER(MATCH(U728,{"queued","contacted","replied","call_booked","call_done","yes_in_principle","materials_sent"},0)),"Y","N"))</f>
        <v/>
      </c>
      <c r="FT728" s="0" t="str">
        <f aca="false">IF($A728="","",IF(OR(T728="Y",U728="do_not_contact",AS728&amp;""&lt;&gt;""),"Y","N"))</f>
        <v/>
      </c>
      <c r="FU728" s="0" t="str">
        <f aca="false">IF($A728="","",IF(AP728&amp;""&lt;&gt;"",AP728&amp;"",$A728))</f>
        <v/>
      </c>
      <c r="FV728" s="0" t="str">
        <f aca="false">IF($A728="","",IF(COUNTIFS($FU$2:$FU$1000,FU728,$FS$2:$FS$1000,"Y")+COUNTIFS($FU$2:$FU$1000,FU728,$FT$2:$FT$1000,"Y")&gt;0,"Y","N"))</f>
        <v/>
      </c>
      <c r="FW728" s="0" t="str">
        <f aca="false">IF($A728="","",IF(AND(U728="new",T728="N",FT728="N",AT728="Y",FV728="N"),"Y","N"))</f>
        <v/>
      </c>
      <c r="FX728" s="0" t="str">
        <f aca="false">IF($A728="","",IF(FW728&lt;&gt;"Y","N",IF(COUNTIFS($FU$2:$FU$1000,FU728,$FW$2:$FW$1000,"Y",$J$2:$J$1000,"&gt;"&amp;J728)+COUNTIFS($FU$2:$FU$1000,FU728,$FW$2:$FW$1000,"Y",$J$2:$J$1000,J728,$GD$2:$GD$1000,"&lt;"&amp;GD728)=0,"Y","N")))</f>
        <v/>
      </c>
      <c r="FY728" s="0" t="str">
        <f aca="false">IF($A728="","",IF(AND(FW728="Y",FX728="Y",Y728&amp;""&lt;&gt;""),IF(Y728&lt;=10,"Y","N"),"N"))</f>
        <v/>
      </c>
      <c r="FZ728" s="0" t="str">
        <f aca="false">IF(FY728="Y",Y728,"")</f>
        <v/>
      </c>
      <c r="GA728" s="0" t="str">
        <f aca="false">IF($A728="","",IF(AND(I728="walk-in",CN728="pass",U728="new",FT728="N",FV728="N",AQ728&lt;&gt;"Y"),"Y","N"))</f>
        <v/>
      </c>
      <c r="GB728" s="0" t="str">
        <f aca="false">IF(GA728&lt;&gt;"Y","",IF(COUNTIFS($GA$2:$GA$1000,"Y",$J$2:$J$1000,"&gt;"&amp;J728)+COUNTIFS($GA$2:$GA$1000,"Y",$J$2:$J$1000,J728,$GD$2:$GD$1000,"&lt;"&amp;GD728)+1&lt;=25,COUNTIFS($GA$2:$GA$1000,"Y",$J$2:$J$1000,"&gt;"&amp;J728)+COUNTIFS($GA$2:$GA$1000,"Y",$J$2:$J$1000,J728,$GD$2:$GD$1000,"&lt;"&amp;GD728)+1,""))</f>
        <v/>
      </c>
      <c r="GC728" s="0" t="str">
        <f aca="false">IF(AND(_xlfn.ISFORMULA(C728),_xlfn.ISFORMULA(J728)),"Y","N")</f>
        <v>Y</v>
      </c>
      <c r="GD728" s="0" t="n">
        <f aca="false">ROW()-1</f>
        <v>727</v>
      </c>
    </row>
    <row r="729" customFormat="false" ht="15" hidden="false" customHeight="false" outlineLevel="0" collapsed="false">
      <c r="C729" s="0" t="str">
        <f aca="false">IF($A729="","",IF(AW729="Y",BM729&amp;"",AY729&amp;""))</f>
        <v/>
      </c>
      <c r="D729" s="0" t="str">
        <f aca="false">IF($A729="","",IF(AW729="Y",BN729&amp;"",AZ729&amp;""))</f>
        <v/>
      </c>
      <c r="E729" s="0" t="str">
        <f aca="false">IF($A729="","",IF(AW729="Y",BO729&amp;"",BA729&amp;""))</f>
        <v/>
      </c>
      <c r="F729" s="0" t="str">
        <f aca="false">IF($A729="","",IF(AW729="Y",BP729&amp;"",BB729&amp;""))</f>
        <v/>
      </c>
      <c r="G729" s="0" t="str">
        <f aca="false">IF($A729="","",IF(AW729="Y",BQ729&amp;"",BC729&amp;""))</f>
        <v/>
      </c>
      <c r="H729" s="0" t="str">
        <f aca="false">IF($A729="","",IF(AW729="Y",BR729&amp;"",BD729&amp;""))</f>
        <v/>
      </c>
      <c r="I729" s="0" t="str">
        <f aca="false">IF($A729="","",IF(R729="Y","warm-intro",IF(H729="verified","email",IF(C729&lt;&gt;"","linkedin",CB729&amp;""))))</f>
        <v/>
      </c>
      <c r="J729" s="0" t="str">
        <f aca="false">IF($A729="","",IF(CN729="pass",ROUND(N(EM729)+N(EN729)+N(EO729)+N(EP729)+N(EQ729)+N(ER729),1),0))</f>
        <v/>
      </c>
      <c r="K729" s="0" t="str">
        <f aca="false">IF($A729="","",IF(CN729&lt;&gt;"pass",CA729&amp;"",CA729&amp;"; "&amp;IF(AW729="Y",BZ729&amp;"",BL729&amp;"")&amp;IF(R729="Y","; known to the founder (+15)","")&amp;"."))</f>
        <v/>
      </c>
      <c r="R729" s="5"/>
      <c r="U729" s="5"/>
      <c r="Y729" s="0" t="str">
        <f aca="false">IF(FX729&lt;&gt;"Y","",COUNTIFS($FX$2:$FX$1000,"Y",$J$2:$J$1000,"&gt;"&amp;J729)+COUNTIFS($FX$2:$FX$1000,"Y",$J$2:$J$1000,J729,$GD$2:$GD$1000,"&lt;"&amp;GD729)+1)</f>
        <v/>
      </c>
      <c r="AB729" s="0" t="str">
        <f aca="false">IF($A729="","",IF(AW729="Y",BY729&amp;"",BK729&amp;""))</f>
        <v/>
      </c>
      <c r="AC729" s="0" t="str">
        <f aca="false">IF($A729="","",IF(AW729="Y",BS729&amp;"",BE729&amp;""))</f>
        <v/>
      </c>
      <c r="AD729" s="0" t="str">
        <f aca="false">IF($A729="","",IF(AW729="Y",BT729&amp;"",BF729&amp;""))</f>
        <v/>
      </c>
      <c r="AE729" s="0" t="str">
        <f aca="false">IF($A729="","",IF(AW729="Y",BU729&amp;"",BG729&amp;""))</f>
        <v/>
      </c>
      <c r="AF729" s="0" t="str">
        <f aca="false">IF($A729="","",IF(AW729="Y",BV729&amp;"",BH729&amp;""))</f>
        <v/>
      </c>
      <c r="AG729" s="0" t="str">
        <f aca="false">IF($A729="","",IF(AW729="Y",BW729&amp;"",BI729&amp;""))</f>
        <v/>
      </c>
      <c r="AH729" s="0" t="str">
        <f aca="false">IF($A729="","",IF(AW729="Y",BX729&amp;"",BJ729&amp;""))</f>
        <v/>
      </c>
      <c r="AQ729" s="5"/>
      <c r="AT729" s="0" t="str">
        <f aca="false">IF($A729="","",IF(AND(CN729="pass",AQ729&lt;&gt;"Y",C729&lt;&gt;"",OR(AX729&lt;&gt;"Y",AV729="Y")),"Y","N"))</f>
        <v/>
      </c>
      <c r="AU729" s="0" t="str">
        <f aca="false">IF($A729="","",_xlfn.TEXTJOIN("; ",TRUE(),IF(CN729&lt;&gt;"pass","gated out",""),IF(AQ729="Y","on hold: "&amp;AR729,""),IF(C729="","no contact named on an opened page",""),IF(AND(AX729="Y",AV729&lt;&gt;"Y"),"Tuesday estimate band "&amp;L729&amp;": founder's call","")))</f>
        <v/>
      </c>
      <c r="BC729" s="0" t="str">
        <f aca="false">IF($A729="","",IFERROR(INDEX(Enrichment!$A$2:$GZ$2000,MATCH($A729,INDEX(Enrichment!$A$2:$GZ$2000,0,MATCH("row_id",Enrichment!$A$1:$GZ$1,0)),0),MATCH("work_email",Enrichment!$A$1:$GZ$1,0))&amp;"",""))</f>
        <v/>
      </c>
      <c r="BD729" s="0" t="str">
        <f aca="false">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Q729" s="0" t="str">
        <f aca="false">IF($A729="","",IFERROR(INDEX(Enrichment!$A$2:$GZ$2000,MATCH($A729,INDEX(Enrichment!$A$2:$GZ$2000,0,MATCH("row_id",Enrichment!$A$1:$GZ$1,0)),0),MATCH("backup_work_email",Enrichment!$A$1:$GZ$1,0))&amp;"",""))</f>
        <v/>
      </c>
      <c r="BR729" s="0" t="str">
        <f aca="false">IF($A729="","",IF(BQ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EQ729" s="0" t="str">
        <f aca="false">IF($A729="","",IF(AH729="exact",10,IF(AH729="adjacent",5,0)))</f>
        <v/>
      </c>
      <c r="ER729" s="0" t="str">
        <f aca="false">IF($A729="","",IF(R729="Y",15,0))</f>
        <v/>
      </c>
      <c r="FS729" s="0" t="str">
        <f aca="false">IF($A729="","",IF(ISNUMBER(MATCH(U729,{"queued","contacted","replied","call_booked","call_done","yes_in_principle","materials_sent"},0)),"Y","N"))</f>
        <v/>
      </c>
      <c r="FT729" s="0" t="str">
        <f aca="false">IF($A729="","",IF(OR(T729="Y",U729="do_not_contact",AS729&amp;""&lt;&gt;""),"Y","N"))</f>
        <v/>
      </c>
      <c r="FU729" s="0" t="str">
        <f aca="false">IF($A729="","",IF(AP729&amp;""&lt;&gt;"",AP729&amp;"",$A729))</f>
        <v/>
      </c>
      <c r="FV729" s="0" t="str">
        <f aca="false">IF($A729="","",IF(COUNTIFS($FU$2:$FU$1000,FU729,$FS$2:$FS$1000,"Y")+COUNTIFS($FU$2:$FU$1000,FU729,$FT$2:$FT$1000,"Y")&gt;0,"Y","N"))</f>
        <v/>
      </c>
      <c r="FW729" s="0" t="str">
        <f aca="false">IF($A729="","",IF(AND(U729="new",T729="N",FT729="N",AT729="Y",FV729="N"),"Y","N"))</f>
        <v/>
      </c>
      <c r="FX729" s="0" t="str">
        <f aca="false">IF($A729="","",IF(FW729&lt;&gt;"Y","N",IF(COUNTIFS($FU$2:$FU$1000,FU729,$FW$2:$FW$1000,"Y",$J$2:$J$1000,"&gt;"&amp;J729)+COUNTIFS($FU$2:$FU$1000,FU729,$FW$2:$FW$1000,"Y",$J$2:$J$1000,J729,$GD$2:$GD$1000,"&lt;"&amp;GD729)=0,"Y","N")))</f>
        <v/>
      </c>
      <c r="FY729" s="0" t="str">
        <f aca="false">IF($A729="","",IF(AND(FW729="Y",FX729="Y",Y729&amp;""&lt;&gt;""),IF(Y729&lt;=10,"Y","N"),"N"))</f>
        <v/>
      </c>
      <c r="FZ729" s="0" t="str">
        <f aca="false">IF(FY729="Y",Y729,"")</f>
        <v/>
      </c>
      <c r="GA729" s="0" t="str">
        <f aca="false">IF($A729="","",IF(AND(I729="walk-in",CN729="pass",U729="new",FT729="N",FV729="N",AQ729&lt;&gt;"Y"),"Y","N"))</f>
        <v/>
      </c>
      <c r="GB729" s="0" t="str">
        <f aca="false">IF(GA729&lt;&gt;"Y","",IF(COUNTIFS($GA$2:$GA$1000,"Y",$J$2:$J$1000,"&gt;"&amp;J729)+COUNTIFS($GA$2:$GA$1000,"Y",$J$2:$J$1000,J729,$GD$2:$GD$1000,"&lt;"&amp;GD729)+1&lt;=25,COUNTIFS($GA$2:$GA$1000,"Y",$J$2:$J$1000,"&gt;"&amp;J729)+COUNTIFS($GA$2:$GA$1000,"Y",$J$2:$J$1000,J729,$GD$2:$GD$1000,"&lt;"&amp;GD729)+1,""))</f>
        <v/>
      </c>
      <c r="GC729" s="0" t="str">
        <f aca="false">IF(AND(_xlfn.ISFORMULA(C729),_xlfn.ISFORMULA(J729)),"Y","N")</f>
        <v>Y</v>
      </c>
      <c r="GD729" s="0" t="n">
        <f aca="false">ROW()-1</f>
        <v>728</v>
      </c>
    </row>
    <row r="730" customFormat="false" ht="15" hidden="false" customHeight="false" outlineLevel="0" collapsed="false">
      <c r="C730" s="0" t="str">
        <f aca="false">IF($A730="","",IF(AW730="Y",BM730&amp;"",AY730&amp;""))</f>
        <v/>
      </c>
      <c r="D730" s="0" t="str">
        <f aca="false">IF($A730="","",IF(AW730="Y",BN730&amp;"",AZ730&amp;""))</f>
        <v/>
      </c>
      <c r="E730" s="0" t="str">
        <f aca="false">IF($A730="","",IF(AW730="Y",BO730&amp;"",BA730&amp;""))</f>
        <v/>
      </c>
      <c r="F730" s="0" t="str">
        <f aca="false">IF($A730="","",IF(AW730="Y",BP730&amp;"",BB730&amp;""))</f>
        <v/>
      </c>
      <c r="G730" s="0" t="str">
        <f aca="false">IF($A730="","",IF(AW730="Y",BQ730&amp;"",BC730&amp;""))</f>
        <v/>
      </c>
      <c r="H730" s="0" t="str">
        <f aca="false">IF($A730="","",IF(AW730="Y",BR730&amp;"",BD730&amp;""))</f>
        <v/>
      </c>
      <c r="I730" s="0" t="str">
        <f aca="false">IF($A730="","",IF(R730="Y","warm-intro",IF(H730="verified","email",IF(C730&lt;&gt;"","linkedin",CB730&amp;""))))</f>
        <v/>
      </c>
      <c r="J730" s="0" t="str">
        <f aca="false">IF($A730="","",IF(CN730="pass",ROUND(N(EM730)+N(EN730)+N(EO730)+N(EP730)+N(EQ730)+N(ER730),1),0))</f>
        <v/>
      </c>
      <c r="K730" s="0" t="str">
        <f aca="false">IF($A730="","",IF(CN730&lt;&gt;"pass",CA730&amp;"",CA730&amp;"; "&amp;IF(AW730="Y",BZ730&amp;"",BL730&amp;"")&amp;IF(R730="Y","; known to the founder (+15)","")&amp;"."))</f>
        <v/>
      </c>
      <c r="R730" s="5"/>
      <c r="U730" s="5"/>
      <c r="Y730" s="0" t="str">
        <f aca="false">IF(FX730&lt;&gt;"Y","",COUNTIFS($FX$2:$FX$1000,"Y",$J$2:$J$1000,"&gt;"&amp;J730)+COUNTIFS($FX$2:$FX$1000,"Y",$J$2:$J$1000,J730,$GD$2:$GD$1000,"&lt;"&amp;GD730)+1)</f>
        <v/>
      </c>
      <c r="AB730" s="0" t="str">
        <f aca="false">IF($A730="","",IF(AW730="Y",BY730&amp;"",BK730&amp;""))</f>
        <v/>
      </c>
      <c r="AC730" s="0" t="str">
        <f aca="false">IF($A730="","",IF(AW730="Y",BS730&amp;"",BE730&amp;""))</f>
        <v/>
      </c>
      <c r="AD730" s="0" t="str">
        <f aca="false">IF($A730="","",IF(AW730="Y",BT730&amp;"",BF730&amp;""))</f>
        <v/>
      </c>
      <c r="AE730" s="0" t="str">
        <f aca="false">IF($A730="","",IF(AW730="Y",BU730&amp;"",BG730&amp;""))</f>
        <v/>
      </c>
      <c r="AF730" s="0" t="str">
        <f aca="false">IF($A730="","",IF(AW730="Y",BV730&amp;"",BH730&amp;""))</f>
        <v/>
      </c>
      <c r="AG730" s="0" t="str">
        <f aca="false">IF($A730="","",IF(AW730="Y",BW730&amp;"",BI730&amp;""))</f>
        <v/>
      </c>
      <c r="AH730" s="0" t="str">
        <f aca="false">IF($A730="","",IF(AW730="Y",BX730&amp;"",BJ730&amp;""))</f>
        <v/>
      </c>
      <c r="AQ730" s="5"/>
      <c r="AT730" s="0" t="str">
        <f aca="false">IF($A730="","",IF(AND(CN730="pass",AQ730&lt;&gt;"Y",C730&lt;&gt;"",OR(AX730&lt;&gt;"Y",AV730="Y")),"Y","N"))</f>
        <v/>
      </c>
      <c r="AU730" s="0" t="str">
        <f aca="false">IF($A730="","",_xlfn.TEXTJOIN("; ",TRUE(),IF(CN730&lt;&gt;"pass","gated out",""),IF(AQ730="Y","on hold: "&amp;AR730,""),IF(C730="","no contact named on an opened page",""),IF(AND(AX730="Y",AV730&lt;&gt;"Y"),"Tuesday estimate band "&amp;L730&amp;": founder's call","")))</f>
        <v/>
      </c>
      <c r="BC730" s="0" t="str">
        <f aca="false">IF($A730="","",IFERROR(INDEX(Enrichment!$A$2:$GZ$2000,MATCH($A730,INDEX(Enrichment!$A$2:$GZ$2000,0,MATCH("row_id",Enrichment!$A$1:$GZ$1,0)),0),MATCH("work_email",Enrichment!$A$1:$GZ$1,0))&amp;"",""))</f>
        <v/>
      </c>
      <c r="BD730" s="0" t="str">
        <f aca="false">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Q730" s="0" t="str">
        <f aca="false">IF($A730="","",IFERROR(INDEX(Enrichment!$A$2:$GZ$2000,MATCH($A730,INDEX(Enrichment!$A$2:$GZ$2000,0,MATCH("row_id",Enrichment!$A$1:$GZ$1,0)),0),MATCH("backup_work_email",Enrichment!$A$1:$GZ$1,0))&amp;"",""))</f>
        <v/>
      </c>
      <c r="BR730" s="0" t="str">
        <f aca="false">IF($A730="","",IF(BQ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EQ730" s="0" t="str">
        <f aca="false">IF($A730="","",IF(AH730="exact",10,IF(AH730="adjacent",5,0)))</f>
        <v/>
      </c>
      <c r="ER730" s="0" t="str">
        <f aca="false">IF($A730="","",IF(R730="Y",15,0))</f>
        <v/>
      </c>
      <c r="FS730" s="0" t="str">
        <f aca="false">IF($A730="","",IF(ISNUMBER(MATCH(U730,{"queued","contacted","replied","call_booked","call_done","yes_in_principle","materials_sent"},0)),"Y","N"))</f>
        <v/>
      </c>
      <c r="FT730" s="0" t="str">
        <f aca="false">IF($A730="","",IF(OR(T730="Y",U730="do_not_contact",AS730&amp;""&lt;&gt;""),"Y","N"))</f>
        <v/>
      </c>
      <c r="FU730" s="0" t="str">
        <f aca="false">IF($A730="","",IF(AP730&amp;""&lt;&gt;"",AP730&amp;"",$A730))</f>
        <v/>
      </c>
      <c r="FV730" s="0" t="str">
        <f aca="false">IF($A730="","",IF(COUNTIFS($FU$2:$FU$1000,FU730,$FS$2:$FS$1000,"Y")+COUNTIFS($FU$2:$FU$1000,FU730,$FT$2:$FT$1000,"Y")&gt;0,"Y","N"))</f>
        <v/>
      </c>
      <c r="FW730" s="0" t="str">
        <f aca="false">IF($A730="","",IF(AND(U730="new",T730="N",FT730="N",AT730="Y",FV730="N"),"Y","N"))</f>
        <v/>
      </c>
      <c r="FX730" s="0" t="str">
        <f aca="false">IF($A730="","",IF(FW730&lt;&gt;"Y","N",IF(COUNTIFS($FU$2:$FU$1000,FU730,$FW$2:$FW$1000,"Y",$J$2:$J$1000,"&gt;"&amp;J730)+COUNTIFS($FU$2:$FU$1000,FU730,$FW$2:$FW$1000,"Y",$J$2:$J$1000,J730,$GD$2:$GD$1000,"&lt;"&amp;GD730)=0,"Y","N")))</f>
        <v/>
      </c>
      <c r="FY730" s="0" t="str">
        <f aca="false">IF($A730="","",IF(AND(FW730="Y",FX730="Y",Y730&amp;""&lt;&gt;""),IF(Y730&lt;=10,"Y","N"),"N"))</f>
        <v/>
      </c>
      <c r="FZ730" s="0" t="str">
        <f aca="false">IF(FY730="Y",Y730,"")</f>
        <v/>
      </c>
      <c r="GA730" s="0" t="str">
        <f aca="false">IF($A730="","",IF(AND(I730="walk-in",CN730="pass",U730="new",FT730="N",FV730="N",AQ730&lt;&gt;"Y"),"Y","N"))</f>
        <v/>
      </c>
      <c r="GB730" s="0" t="str">
        <f aca="false">IF(GA730&lt;&gt;"Y","",IF(COUNTIFS($GA$2:$GA$1000,"Y",$J$2:$J$1000,"&gt;"&amp;J730)+COUNTIFS($GA$2:$GA$1000,"Y",$J$2:$J$1000,J730,$GD$2:$GD$1000,"&lt;"&amp;GD730)+1&lt;=25,COUNTIFS($GA$2:$GA$1000,"Y",$J$2:$J$1000,"&gt;"&amp;J730)+COUNTIFS($GA$2:$GA$1000,"Y",$J$2:$J$1000,J730,$GD$2:$GD$1000,"&lt;"&amp;GD730)+1,""))</f>
        <v/>
      </c>
      <c r="GC730" s="0" t="str">
        <f aca="false">IF(AND(_xlfn.ISFORMULA(C730),_xlfn.ISFORMULA(J730)),"Y","N")</f>
        <v>Y</v>
      </c>
      <c r="GD730" s="0" t="n">
        <f aca="false">ROW()-1</f>
        <v>729</v>
      </c>
    </row>
    <row r="731" customFormat="false" ht="15" hidden="false" customHeight="false" outlineLevel="0" collapsed="false">
      <c r="C731" s="0" t="str">
        <f aca="false">IF($A731="","",IF(AW731="Y",BM731&amp;"",AY731&amp;""))</f>
        <v/>
      </c>
      <c r="D731" s="0" t="str">
        <f aca="false">IF($A731="","",IF(AW731="Y",BN731&amp;"",AZ731&amp;""))</f>
        <v/>
      </c>
      <c r="E731" s="0" t="str">
        <f aca="false">IF($A731="","",IF(AW731="Y",BO731&amp;"",BA731&amp;""))</f>
        <v/>
      </c>
      <c r="F731" s="0" t="str">
        <f aca="false">IF($A731="","",IF(AW731="Y",BP731&amp;"",BB731&amp;""))</f>
        <v/>
      </c>
      <c r="G731" s="0" t="str">
        <f aca="false">IF($A731="","",IF(AW731="Y",BQ731&amp;"",BC731&amp;""))</f>
        <v/>
      </c>
      <c r="H731" s="0" t="str">
        <f aca="false">IF($A731="","",IF(AW731="Y",BR731&amp;"",BD731&amp;""))</f>
        <v/>
      </c>
      <c r="I731" s="0" t="str">
        <f aca="false">IF($A731="","",IF(R731="Y","warm-intro",IF(H731="verified","email",IF(C731&lt;&gt;"","linkedin",CB731&amp;""))))</f>
        <v/>
      </c>
      <c r="J731" s="0" t="str">
        <f aca="false">IF($A731="","",IF(CN731="pass",ROUND(N(EM731)+N(EN731)+N(EO731)+N(EP731)+N(EQ731)+N(ER731),1),0))</f>
        <v/>
      </c>
      <c r="K731" s="0" t="str">
        <f aca="false">IF($A731="","",IF(CN731&lt;&gt;"pass",CA731&amp;"",CA731&amp;"; "&amp;IF(AW731="Y",BZ731&amp;"",BL731&amp;"")&amp;IF(R731="Y","; known to the founder (+15)","")&amp;"."))</f>
        <v/>
      </c>
      <c r="R731" s="5"/>
      <c r="U731" s="5"/>
      <c r="Y731" s="0" t="str">
        <f aca="false">IF(FX731&lt;&gt;"Y","",COUNTIFS($FX$2:$FX$1000,"Y",$J$2:$J$1000,"&gt;"&amp;J731)+COUNTIFS($FX$2:$FX$1000,"Y",$J$2:$J$1000,J731,$GD$2:$GD$1000,"&lt;"&amp;GD731)+1)</f>
        <v/>
      </c>
      <c r="AB731" s="0" t="str">
        <f aca="false">IF($A731="","",IF(AW731="Y",BY731&amp;"",BK731&amp;""))</f>
        <v/>
      </c>
      <c r="AC731" s="0" t="str">
        <f aca="false">IF($A731="","",IF(AW731="Y",BS731&amp;"",BE731&amp;""))</f>
        <v/>
      </c>
      <c r="AD731" s="0" t="str">
        <f aca="false">IF($A731="","",IF(AW731="Y",BT731&amp;"",BF731&amp;""))</f>
        <v/>
      </c>
      <c r="AE731" s="0" t="str">
        <f aca="false">IF($A731="","",IF(AW731="Y",BU731&amp;"",BG731&amp;""))</f>
        <v/>
      </c>
      <c r="AF731" s="0" t="str">
        <f aca="false">IF($A731="","",IF(AW731="Y",BV731&amp;"",BH731&amp;""))</f>
        <v/>
      </c>
      <c r="AG731" s="0" t="str">
        <f aca="false">IF($A731="","",IF(AW731="Y",BW731&amp;"",BI731&amp;""))</f>
        <v/>
      </c>
      <c r="AH731" s="0" t="str">
        <f aca="false">IF($A731="","",IF(AW731="Y",BX731&amp;"",BJ731&amp;""))</f>
        <v/>
      </c>
      <c r="AQ731" s="5"/>
      <c r="AT731" s="0" t="str">
        <f aca="false">IF($A731="","",IF(AND(CN731="pass",AQ731&lt;&gt;"Y",C731&lt;&gt;"",OR(AX731&lt;&gt;"Y",AV731="Y")),"Y","N"))</f>
        <v/>
      </c>
      <c r="AU731" s="0" t="str">
        <f aca="false">IF($A731="","",_xlfn.TEXTJOIN("; ",TRUE(),IF(CN731&lt;&gt;"pass","gated out",""),IF(AQ731="Y","on hold: "&amp;AR731,""),IF(C731="","no contact named on an opened page",""),IF(AND(AX731="Y",AV731&lt;&gt;"Y"),"Tuesday estimate band "&amp;L731&amp;": founder's call","")))</f>
        <v/>
      </c>
      <c r="BC731" s="0" t="str">
        <f aca="false">IF($A731="","",IFERROR(INDEX(Enrichment!$A$2:$GZ$2000,MATCH($A731,INDEX(Enrichment!$A$2:$GZ$2000,0,MATCH("row_id",Enrichment!$A$1:$GZ$1,0)),0),MATCH("work_email",Enrichment!$A$1:$GZ$1,0))&amp;"",""))</f>
        <v/>
      </c>
      <c r="BD731" s="0" t="str">
        <f aca="false">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Q731" s="0" t="str">
        <f aca="false">IF($A731="","",IFERROR(INDEX(Enrichment!$A$2:$GZ$2000,MATCH($A731,INDEX(Enrichment!$A$2:$GZ$2000,0,MATCH("row_id",Enrichment!$A$1:$GZ$1,0)),0),MATCH("backup_work_email",Enrichment!$A$1:$GZ$1,0))&amp;"",""))</f>
        <v/>
      </c>
      <c r="BR731" s="0" t="str">
        <f aca="false">IF($A731="","",IF(BQ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EQ731" s="0" t="str">
        <f aca="false">IF($A731="","",IF(AH731="exact",10,IF(AH731="adjacent",5,0)))</f>
        <v/>
      </c>
      <c r="ER731" s="0" t="str">
        <f aca="false">IF($A731="","",IF(R731="Y",15,0))</f>
        <v/>
      </c>
      <c r="FS731" s="0" t="str">
        <f aca="false">IF($A731="","",IF(ISNUMBER(MATCH(U731,{"queued","contacted","replied","call_booked","call_done","yes_in_principle","materials_sent"},0)),"Y","N"))</f>
        <v/>
      </c>
      <c r="FT731" s="0" t="str">
        <f aca="false">IF($A731="","",IF(OR(T731="Y",U731="do_not_contact",AS731&amp;""&lt;&gt;""),"Y","N"))</f>
        <v/>
      </c>
      <c r="FU731" s="0" t="str">
        <f aca="false">IF($A731="","",IF(AP731&amp;""&lt;&gt;"",AP731&amp;"",$A731))</f>
        <v/>
      </c>
      <c r="FV731" s="0" t="str">
        <f aca="false">IF($A731="","",IF(COUNTIFS($FU$2:$FU$1000,FU731,$FS$2:$FS$1000,"Y")+COUNTIFS($FU$2:$FU$1000,FU731,$FT$2:$FT$1000,"Y")&gt;0,"Y","N"))</f>
        <v/>
      </c>
      <c r="FW731" s="0" t="str">
        <f aca="false">IF($A731="","",IF(AND(U731="new",T731="N",FT731="N",AT731="Y",FV731="N"),"Y","N"))</f>
        <v/>
      </c>
      <c r="FX731" s="0" t="str">
        <f aca="false">IF($A731="","",IF(FW731&lt;&gt;"Y","N",IF(COUNTIFS($FU$2:$FU$1000,FU731,$FW$2:$FW$1000,"Y",$J$2:$J$1000,"&gt;"&amp;J731)+COUNTIFS($FU$2:$FU$1000,FU731,$FW$2:$FW$1000,"Y",$J$2:$J$1000,J731,$GD$2:$GD$1000,"&lt;"&amp;GD731)=0,"Y","N")))</f>
        <v/>
      </c>
      <c r="FY731" s="0" t="str">
        <f aca="false">IF($A731="","",IF(AND(FW731="Y",FX731="Y",Y731&amp;""&lt;&gt;""),IF(Y731&lt;=10,"Y","N"),"N"))</f>
        <v/>
      </c>
      <c r="FZ731" s="0" t="str">
        <f aca="false">IF(FY731="Y",Y731,"")</f>
        <v/>
      </c>
      <c r="GA731" s="0" t="str">
        <f aca="false">IF($A731="","",IF(AND(I731="walk-in",CN731="pass",U731="new",FT731="N",FV731="N",AQ731&lt;&gt;"Y"),"Y","N"))</f>
        <v/>
      </c>
      <c r="GB731" s="0" t="str">
        <f aca="false">IF(GA731&lt;&gt;"Y","",IF(COUNTIFS($GA$2:$GA$1000,"Y",$J$2:$J$1000,"&gt;"&amp;J731)+COUNTIFS($GA$2:$GA$1000,"Y",$J$2:$J$1000,J731,$GD$2:$GD$1000,"&lt;"&amp;GD731)+1&lt;=25,COUNTIFS($GA$2:$GA$1000,"Y",$J$2:$J$1000,"&gt;"&amp;J731)+COUNTIFS($GA$2:$GA$1000,"Y",$J$2:$J$1000,J731,$GD$2:$GD$1000,"&lt;"&amp;GD731)+1,""))</f>
        <v/>
      </c>
      <c r="GC731" s="0" t="str">
        <f aca="false">IF(AND(_xlfn.ISFORMULA(C731),_xlfn.ISFORMULA(J731)),"Y","N")</f>
        <v>Y</v>
      </c>
      <c r="GD731" s="0" t="n">
        <f aca="false">ROW()-1</f>
        <v>730</v>
      </c>
    </row>
    <row r="732" customFormat="false" ht="15" hidden="false" customHeight="false" outlineLevel="0" collapsed="false">
      <c r="C732" s="0" t="str">
        <f aca="false">IF($A732="","",IF(AW732="Y",BM732&amp;"",AY732&amp;""))</f>
        <v/>
      </c>
      <c r="D732" s="0" t="str">
        <f aca="false">IF($A732="","",IF(AW732="Y",BN732&amp;"",AZ732&amp;""))</f>
        <v/>
      </c>
      <c r="E732" s="0" t="str">
        <f aca="false">IF($A732="","",IF(AW732="Y",BO732&amp;"",BA732&amp;""))</f>
        <v/>
      </c>
      <c r="F732" s="0" t="str">
        <f aca="false">IF($A732="","",IF(AW732="Y",BP732&amp;"",BB732&amp;""))</f>
        <v/>
      </c>
      <c r="G732" s="0" t="str">
        <f aca="false">IF($A732="","",IF(AW732="Y",BQ732&amp;"",BC732&amp;""))</f>
        <v/>
      </c>
      <c r="H732" s="0" t="str">
        <f aca="false">IF($A732="","",IF(AW732="Y",BR732&amp;"",BD732&amp;""))</f>
        <v/>
      </c>
      <c r="I732" s="0" t="str">
        <f aca="false">IF($A732="","",IF(R732="Y","warm-intro",IF(H732="verified","email",IF(C732&lt;&gt;"","linkedin",CB732&amp;""))))</f>
        <v/>
      </c>
      <c r="J732" s="0" t="str">
        <f aca="false">IF($A732="","",IF(CN732="pass",ROUND(N(EM732)+N(EN732)+N(EO732)+N(EP732)+N(EQ732)+N(ER732),1),0))</f>
        <v/>
      </c>
      <c r="K732" s="0" t="str">
        <f aca="false">IF($A732="","",IF(CN732&lt;&gt;"pass",CA732&amp;"",CA732&amp;"; "&amp;IF(AW732="Y",BZ732&amp;"",BL732&amp;"")&amp;IF(R732="Y","; known to the founder (+15)","")&amp;"."))</f>
        <v/>
      </c>
      <c r="R732" s="5"/>
      <c r="U732" s="5"/>
      <c r="Y732" s="0" t="str">
        <f aca="false">IF(FX732&lt;&gt;"Y","",COUNTIFS($FX$2:$FX$1000,"Y",$J$2:$J$1000,"&gt;"&amp;J732)+COUNTIFS($FX$2:$FX$1000,"Y",$J$2:$J$1000,J732,$GD$2:$GD$1000,"&lt;"&amp;GD732)+1)</f>
        <v/>
      </c>
      <c r="AB732" s="0" t="str">
        <f aca="false">IF($A732="","",IF(AW732="Y",BY732&amp;"",BK732&amp;""))</f>
        <v/>
      </c>
      <c r="AC732" s="0" t="str">
        <f aca="false">IF($A732="","",IF(AW732="Y",BS732&amp;"",BE732&amp;""))</f>
        <v/>
      </c>
      <c r="AD732" s="0" t="str">
        <f aca="false">IF($A732="","",IF(AW732="Y",BT732&amp;"",BF732&amp;""))</f>
        <v/>
      </c>
      <c r="AE732" s="0" t="str">
        <f aca="false">IF($A732="","",IF(AW732="Y",BU732&amp;"",BG732&amp;""))</f>
        <v/>
      </c>
      <c r="AF732" s="0" t="str">
        <f aca="false">IF($A732="","",IF(AW732="Y",BV732&amp;"",BH732&amp;""))</f>
        <v/>
      </c>
      <c r="AG732" s="0" t="str">
        <f aca="false">IF($A732="","",IF(AW732="Y",BW732&amp;"",BI732&amp;""))</f>
        <v/>
      </c>
      <c r="AH732" s="0" t="str">
        <f aca="false">IF($A732="","",IF(AW732="Y",BX732&amp;"",BJ732&amp;""))</f>
        <v/>
      </c>
      <c r="AQ732" s="5"/>
      <c r="AT732" s="0" t="str">
        <f aca="false">IF($A732="","",IF(AND(CN732="pass",AQ732&lt;&gt;"Y",C732&lt;&gt;"",OR(AX732&lt;&gt;"Y",AV732="Y")),"Y","N"))</f>
        <v/>
      </c>
      <c r="AU732" s="0" t="str">
        <f aca="false">IF($A732="","",_xlfn.TEXTJOIN("; ",TRUE(),IF(CN732&lt;&gt;"pass","gated out",""),IF(AQ732="Y","on hold: "&amp;AR732,""),IF(C732="","no contact named on an opened page",""),IF(AND(AX732="Y",AV732&lt;&gt;"Y"),"Tuesday estimate band "&amp;L732&amp;": founder's call","")))</f>
        <v/>
      </c>
      <c r="BC732" s="0" t="str">
        <f aca="false">IF($A732="","",IFERROR(INDEX(Enrichment!$A$2:$GZ$2000,MATCH($A732,INDEX(Enrichment!$A$2:$GZ$2000,0,MATCH("row_id",Enrichment!$A$1:$GZ$1,0)),0),MATCH("work_email",Enrichment!$A$1:$GZ$1,0))&amp;"",""))</f>
        <v/>
      </c>
      <c r="BD732" s="0" t="str">
        <f aca="false">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Q732" s="0" t="str">
        <f aca="false">IF($A732="","",IFERROR(INDEX(Enrichment!$A$2:$GZ$2000,MATCH($A732,INDEX(Enrichment!$A$2:$GZ$2000,0,MATCH("row_id",Enrichment!$A$1:$GZ$1,0)),0),MATCH("backup_work_email",Enrichment!$A$1:$GZ$1,0))&amp;"",""))</f>
        <v/>
      </c>
      <c r="BR732" s="0" t="str">
        <f aca="false">IF($A732="","",IF(BQ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EQ732" s="0" t="str">
        <f aca="false">IF($A732="","",IF(AH732="exact",10,IF(AH732="adjacent",5,0)))</f>
        <v/>
      </c>
      <c r="ER732" s="0" t="str">
        <f aca="false">IF($A732="","",IF(R732="Y",15,0))</f>
        <v/>
      </c>
      <c r="FS732" s="0" t="str">
        <f aca="false">IF($A732="","",IF(ISNUMBER(MATCH(U732,{"queued","contacted","replied","call_booked","call_done","yes_in_principle","materials_sent"},0)),"Y","N"))</f>
        <v/>
      </c>
      <c r="FT732" s="0" t="str">
        <f aca="false">IF($A732="","",IF(OR(T732="Y",U732="do_not_contact",AS732&amp;""&lt;&gt;""),"Y","N"))</f>
        <v/>
      </c>
      <c r="FU732" s="0" t="str">
        <f aca="false">IF($A732="","",IF(AP732&amp;""&lt;&gt;"",AP732&amp;"",$A732))</f>
        <v/>
      </c>
      <c r="FV732" s="0" t="str">
        <f aca="false">IF($A732="","",IF(COUNTIFS($FU$2:$FU$1000,FU732,$FS$2:$FS$1000,"Y")+COUNTIFS($FU$2:$FU$1000,FU732,$FT$2:$FT$1000,"Y")&gt;0,"Y","N"))</f>
        <v/>
      </c>
      <c r="FW732" s="0" t="str">
        <f aca="false">IF($A732="","",IF(AND(U732="new",T732="N",FT732="N",AT732="Y",FV732="N"),"Y","N"))</f>
        <v/>
      </c>
      <c r="FX732" s="0" t="str">
        <f aca="false">IF($A732="","",IF(FW732&lt;&gt;"Y","N",IF(COUNTIFS($FU$2:$FU$1000,FU732,$FW$2:$FW$1000,"Y",$J$2:$J$1000,"&gt;"&amp;J732)+COUNTIFS($FU$2:$FU$1000,FU732,$FW$2:$FW$1000,"Y",$J$2:$J$1000,J732,$GD$2:$GD$1000,"&lt;"&amp;GD732)=0,"Y","N")))</f>
        <v/>
      </c>
      <c r="FY732" s="0" t="str">
        <f aca="false">IF($A732="","",IF(AND(FW732="Y",FX732="Y",Y732&amp;""&lt;&gt;""),IF(Y732&lt;=10,"Y","N"),"N"))</f>
        <v/>
      </c>
      <c r="FZ732" s="0" t="str">
        <f aca="false">IF(FY732="Y",Y732,"")</f>
        <v/>
      </c>
      <c r="GA732" s="0" t="str">
        <f aca="false">IF($A732="","",IF(AND(I732="walk-in",CN732="pass",U732="new",FT732="N",FV732="N",AQ732&lt;&gt;"Y"),"Y","N"))</f>
        <v/>
      </c>
      <c r="GB732" s="0" t="str">
        <f aca="false">IF(GA732&lt;&gt;"Y","",IF(COUNTIFS($GA$2:$GA$1000,"Y",$J$2:$J$1000,"&gt;"&amp;J732)+COUNTIFS($GA$2:$GA$1000,"Y",$J$2:$J$1000,J732,$GD$2:$GD$1000,"&lt;"&amp;GD732)+1&lt;=25,COUNTIFS($GA$2:$GA$1000,"Y",$J$2:$J$1000,"&gt;"&amp;J732)+COUNTIFS($GA$2:$GA$1000,"Y",$J$2:$J$1000,J732,$GD$2:$GD$1000,"&lt;"&amp;GD732)+1,""))</f>
        <v/>
      </c>
      <c r="GC732" s="0" t="str">
        <f aca="false">IF(AND(_xlfn.ISFORMULA(C732),_xlfn.ISFORMULA(J732)),"Y","N")</f>
        <v>Y</v>
      </c>
      <c r="GD732" s="0" t="n">
        <f aca="false">ROW()-1</f>
        <v>731</v>
      </c>
    </row>
    <row r="733" customFormat="false" ht="15" hidden="false" customHeight="false" outlineLevel="0" collapsed="false">
      <c r="C733" s="0" t="str">
        <f aca="false">IF($A733="","",IF(AW733="Y",BM733&amp;"",AY733&amp;""))</f>
        <v/>
      </c>
      <c r="D733" s="0" t="str">
        <f aca="false">IF($A733="","",IF(AW733="Y",BN733&amp;"",AZ733&amp;""))</f>
        <v/>
      </c>
      <c r="E733" s="0" t="str">
        <f aca="false">IF($A733="","",IF(AW733="Y",BO733&amp;"",BA733&amp;""))</f>
        <v/>
      </c>
      <c r="F733" s="0" t="str">
        <f aca="false">IF($A733="","",IF(AW733="Y",BP733&amp;"",BB733&amp;""))</f>
        <v/>
      </c>
      <c r="G733" s="0" t="str">
        <f aca="false">IF($A733="","",IF(AW733="Y",BQ733&amp;"",BC733&amp;""))</f>
        <v/>
      </c>
      <c r="H733" s="0" t="str">
        <f aca="false">IF($A733="","",IF(AW733="Y",BR733&amp;"",BD733&amp;""))</f>
        <v/>
      </c>
      <c r="I733" s="0" t="str">
        <f aca="false">IF($A733="","",IF(R733="Y","warm-intro",IF(H733="verified","email",IF(C733&lt;&gt;"","linkedin",CB733&amp;""))))</f>
        <v/>
      </c>
      <c r="J733" s="0" t="str">
        <f aca="false">IF($A733="","",IF(CN733="pass",ROUND(N(EM733)+N(EN733)+N(EO733)+N(EP733)+N(EQ733)+N(ER733),1),0))</f>
        <v/>
      </c>
      <c r="K733" s="0" t="str">
        <f aca="false">IF($A733="","",IF(CN733&lt;&gt;"pass",CA733&amp;"",CA733&amp;"; "&amp;IF(AW733="Y",BZ733&amp;"",BL733&amp;"")&amp;IF(R733="Y","; known to the founder (+15)","")&amp;"."))</f>
        <v/>
      </c>
      <c r="R733" s="5"/>
      <c r="U733" s="5"/>
      <c r="Y733" s="0" t="str">
        <f aca="false">IF(FX733&lt;&gt;"Y","",COUNTIFS($FX$2:$FX$1000,"Y",$J$2:$J$1000,"&gt;"&amp;J733)+COUNTIFS($FX$2:$FX$1000,"Y",$J$2:$J$1000,J733,$GD$2:$GD$1000,"&lt;"&amp;GD733)+1)</f>
        <v/>
      </c>
      <c r="AB733" s="0" t="str">
        <f aca="false">IF($A733="","",IF(AW733="Y",BY733&amp;"",BK733&amp;""))</f>
        <v/>
      </c>
      <c r="AC733" s="0" t="str">
        <f aca="false">IF($A733="","",IF(AW733="Y",BS733&amp;"",BE733&amp;""))</f>
        <v/>
      </c>
      <c r="AD733" s="0" t="str">
        <f aca="false">IF($A733="","",IF(AW733="Y",BT733&amp;"",BF733&amp;""))</f>
        <v/>
      </c>
      <c r="AE733" s="0" t="str">
        <f aca="false">IF($A733="","",IF(AW733="Y",BU733&amp;"",BG733&amp;""))</f>
        <v/>
      </c>
      <c r="AF733" s="0" t="str">
        <f aca="false">IF($A733="","",IF(AW733="Y",BV733&amp;"",BH733&amp;""))</f>
        <v/>
      </c>
      <c r="AG733" s="0" t="str">
        <f aca="false">IF($A733="","",IF(AW733="Y",BW733&amp;"",BI733&amp;""))</f>
        <v/>
      </c>
      <c r="AH733" s="0" t="str">
        <f aca="false">IF($A733="","",IF(AW733="Y",BX733&amp;"",BJ733&amp;""))</f>
        <v/>
      </c>
      <c r="AQ733" s="5"/>
      <c r="AT733" s="0" t="str">
        <f aca="false">IF($A733="","",IF(AND(CN733="pass",AQ733&lt;&gt;"Y",C733&lt;&gt;"",OR(AX733&lt;&gt;"Y",AV733="Y")),"Y","N"))</f>
        <v/>
      </c>
      <c r="AU733" s="0" t="str">
        <f aca="false">IF($A733="","",_xlfn.TEXTJOIN("; ",TRUE(),IF(CN733&lt;&gt;"pass","gated out",""),IF(AQ733="Y","on hold: "&amp;AR733,""),IF(C733="","no contact named on an opened page",""),IF(AND(AX733="Y",AV733&lt;&gt;"Y"),"Tuesday estimate band "&amp;L733&amp;": founder's call","")))</f>
        <v/>
      </c>
      <c r="BC733" s="0" t="str">
        <f aca="false">IF($A733="","",IFERROR(INDEX(Enrichment!$A$2:$GZ$2000,MATCH($A733,INDEX(Enrichment!$A$2:$GZ$2000,0,MATCH("row_id",Enrichment!$A$1:$GZ$1,0)),0),MATCH("work_email",Enrichment!$A$1:$GZ$1,0))&amp;"",""))</f>
        <v/>
      </c>
      <c r="BD733" s="0" t="str">
        <f aca="false">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Q733" s="0" t="str">
        <f aca="false">IF($A733="","",IFERROR(INDEX(Enrichment!$A$2:$GZ$2000,MATCH($A733,INDEX(Enrichment!$A$2:$GZ$2000,0,MATCH("row_id",Enrichment!$A$1:$GZ$1,0)),0),MATCH("backup_work_email",Enrichment!$A$1:$GZ$1,0))&amp;"",""))</f>
        <v/>
      </c>
      <c r="BR733" s="0" t="str">
        <f aca="false">IF($A733="","",IF(BQ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EQ733" s="0" t="str">
        <f aca="false">IF($A733="","",IF(AH733="exact",10,IF(AH733="adjacent",5,0)))</f>
        <v/>
      </c>
      <c r="ER733" s="0" t="str">
        <f aca="false">IF($A733="","",IF(R733="Y",15,0))</f>
        <v/>
      </c>
      <c r="FS733" s="0" t="str">
        <f aca="false">IF($A733="","",IF(ISNUMBER(MATCH(U733,{"queued","contacted","replied","call_booked","call_done","yes_in_principle","materials_sent"},0)),"Y","N"))</f>
        <v/>
      </c>
      <c r="FT733" s="0" t="str">
        <f aca="false">IF($A733="","",IF(OR(T733="Y",U733="do_not_contact",AS733&amp;""&lt;&gt;""),"Y","N"))</f>
        <v/>
      </c>
      <c r="FU733" s="0" t="str">
        <f aca="false">IF($A733="","",IF(AP733&amp;""&lt;&gt;"",AP733&amp;"",$A733))</f>
        <v/>
      </c>
      <c r="FV733" s="0" t="str">
        <f aca="false">IF($A733="","",IF(COUNTIFS($FU$2:$FU$1000,FU733,$FS$2:$FS$1000,"Y")+COUNTIFS($FU$2:$FU$1000,FU733,$FT$2:$FT$1000,"Y")&gt;0,"Y","N"))</f>
        <v/>
      </c>
      <c r="FW733" s="0" t="str">
        <f aca="false">IF($A733="","",IF(AND(U733="new",T733="N",FT733="N",AT733="Y",FV733="N"),"Y","N"))</f>
        <v/>
      </c>
      <c r="FX733" s="0" t="str">
        <f aca="false">IF($A733="","",IF(FW733&lt;&gt;"Y","N",IF(COUNTIFS($FU$2:$FU$1000,FU733,$FW$2:$FW$1000,"Y",$J$2:$J$1000,"&gt;"&amp;J733)+COUNTIFS($FU$2:$FU$1000,FU733,$FW$2:$FW$1000,"Y",$J$2:$J$1000,J733,$GD$2:$GD$1000,"&lt;"&amp;GD733)=0,"Y","N")))</f>
        <v/>
      </c>
      <c r="FY733" s="0" t="str">
        <f aca="false">IF($A733="","",IF(AND(FW733="Y",FX733="Y",Y733&amp;""&lt;&gt;""),IF(Y733&lt;=10,"Y","N"),"N"))</f>
        <v/>
      </c>
      <c r="FZ733" s="0" t="str">
        <f aca="false">IF(FY733="Y",Y733,"")</f>
        <v/>
      </c>
      <c r="GA733" s="0" t="str">
        <f aca="false">IF($A733="","",IF(AND(I733="walk-in",CN733="pass",U733="new",FT733="N",FV733="N",AQ733&lt;&gt;"Y"),"Y","N"))</f>
        <v/>
      </c>
      <c r="GB733" s="0" t="str">
        <f aca="false">IF(GA733&lt;&gt;"Y","",IF(COUNTIFS($GA$2:$GA$1000,"Y",$J$2:$J$1000,"&gt;"&amp;J733)+COUNTIFS($GA$2:$GA$1000,"Y",$J$2:$J$1000,J733,$GD$2:$GD$1000,"&lt;"&amp;GD733)+1&lt;=25,COUNTIFS($GA$2:$GA$1000,"Y",$J$2:$J$1000,"&gt;"&amp;J733)+COUNTIFS($GA$2:$GA$1000,"Y",$J$2:$J$1000,J733,$GD$2:$GD$1000,"&lt;"&amp;GD733)+1,""))</f>
        <v/>
      </c>
      <c r="GC733" s="0" t="str">
        <f aca="false">IF(AND(_xlfn.ISFORMULA(C733),_xlfn.ISFORMULA(J733)),"Y","N")</f>
        <v>Y</v>
      </c>
      <c r="GD733" s="0" t="n">
        <f aca="false">ROW()-1</f>
        <v>732</v>
      </c>
    </row>
    <row r="734" customFormat="false" ht="15" hidden="false" customHeight="false" outlineLevel="0" collapsed="false">
      <c r="C734" s="0" t="str">
        <f aca="false">IF($A734="","",IF(AW734="Y",BM734&amp;"",AY734&amp;""))</f>
        <v/>
      </c>
      <c r="D734" s="0" t="str">
        <f aca="false">IF($A734="","",IF(AW734="Y",BN734&amp;"",AZ734&amp;""))</f>
        <v/>
      </c>
      <c r="E734" s="0" t="str">
        <f aca="false">IF($A734="","",IF(AW734="Y",BO734&amp;"",BA734&amp;""))</f>
        <v/>
      </c>
      <c r="F734" s="0" t="str">
        <f aca="false">IF($A734="","",IF(AW734="Y",BP734&amp;"",BB734&amp;""))</f>
        <v/>
      </c>
      <c r="G734" s="0" t="str">
        <f aca="false">IF($A734="","",IF(AW734="Y",BQ734&amp;"",BC734&amp;""))</f>
        <v/>
      </c>
      <c r="H734" s="0" t="str">
        <f aca="false">IF($A734="","",IF(AW734="Y",BR734&amp;"",BD734&amp;""))</f>
        <v/>
      </c>
      <c r="I734" s="0" t="str">
        <f aca="false">IF($A734="","",IF(R734="Y","warm-intro",IF(H734="verified","email",IF(C734&lt;&gt;"","linkedin",CB734&amp;""))))</f>
        <v/>
      </c>
      <c r="J734" s="0" t="str">
        <f aca="false">IF($A734="","",IF(CN734="pass",ROUND(N(EM734)+N(EN734)+N(EO734)+N(EP734)+N(EQ734)+N(ER734),1),0))</f>
        <v/>
      </c>
      <c r="K734" s="0" t="str">
        <f aca="false">IF($A734="","",IF(CN734&lt;&gt;"pass",CA734&amp;"",CA734&amp;"; "&amp;IF(AW734="Y",BZ734&amp;"",BL734&amp;"")&amp;IF(R734="Y","; known to the founder (+15)","")&amp;"."))</f>
        <v/>
      </c>
      <c r="R734" s="5"/>
      <c r="U734" s="5"/>
      <c r="Y734" s="0" t="str">
        <f aca="false">IF(FX734&lt;&gt;"Y","",COUNTIFS($FX$2:$FX$1000,"Y",$J$2:$J$1000,"&gt;"&amp;J734)+COUNTIFS($FX$2:$FX$1000,"Y",$J$2:$J$1000,J734,$GD$2:$GD$1000,"&lt;"&amp;GD734)+1)</f>
        <v/>
      </c>
      <c r="AB734" s="0" t="str">
        <f aca="false">IF($A734="","",IF(AW734="Y",BY734&amp;"",BK734&amp;""))</f>
        <v/>
      </c>
      <c r="AC734" s="0" t="str">
        <f aca="false">IF($A734="","",IF(AW734="Y",BS734&amp;"",BE734&amp;""))</f>
        <v/>
      </c>
      <c r="AD734" s="0" t="str">
        <f aca="false">IF($A734="","",IF(AW734="Y",BT734&amp;"",BF734&amp;""))</f>
        <v/>
      </c>
      <c r="AE734" s="0" t="str">
        <f aca="false">IF($A734="","",IF(AW734="Y",BU734&amp;"",BG734&amp;""))</f>
        <v/>
      </c>
      <c r="AF734" s="0" t="str">
        <f aca="false">IF($A734="","",IF(AW734="Y",BV734&amp;"",BH734&amp;""))</f>
        <v/>
      </c>
      <c r="AG734" s="0" t="str">
        <f aca="false">IF($A734="","",IF(AW734="Y",BW734&amp;"",BI734&amp;""))</f>
        <v/>
      </c>
      <c r="AH734" s="0" t="str">
        <f aca="false">IF($A734="","",IF(AW734="Y",BX734&amp;"",BJ734&amp;""))</f>
        <v/>
      </c>
      <c r="AQ734" s="5"/>
      <c r="AT734" s="0" t="str">
        <f aca="false">IF($A734="","",IF(AND(CN734="pass",AQ734&lt;&gt;"Y",C734&lt;&gt;"",OR(AX734&lt;&gt;"Y",AV734="Y")),"Y","N"))</f>
        <v/>
      </c>
      <c r="AU734" s="0" t="str">
        <f aca="false">IF($A734="","",_xlfn.TEXTJOIN("; ",TRUE(),IF(CN734&lt;&gt;"pass","gated out",""),IF(AQ734="Y","on hold: "&amp;AR734,""),IF(C734="","no contact named on an opened page",""),IF(AND(AX734="Y",AV734&lt;&gt;"Y"),"Tuesday estimate band "&amp;L734&amp;": founder's call","")))</f>
        <v/>
      </c>
      <c r="BC734" s="0" t="str">
        <f aca="false">IF($A734="","",IFERROR(INDEX(Enrichment!$A$2:$GZ$2000,MATCH($A734,INDEX(Enrichment!$A$2:$GZ$2000,0,MATCH("row_id",Enrichment!$A$1:$GZ$1,0)),0),MATCH("work_email",Enrichment!$A$1:$GZ$1,0))&amp;"",""))</f>
        <v/>
      </c>
      <c r="BD734" s="0" t="str">
        <f aca="false">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Q734" s="0" t="str">
        <f aca="false">IF($A734="","",IFERROR(INDEX(Enrichment!$A$2:$GZ$2000,MATCH($A734,INDEX(Enrichment!$A$2:$GZ$2000,0,MATCH("row_id",Enrichment!$A$1:$GZ$1,0)),0),MATCH("backup_work_email",Enrichment!$A$1:$GZ$1,0))&amp;"",""))</f>
        <v/>
      </c>
      <c r="BR734" s="0" t="str">
        <f aca="false">IF($A734="","",IF(BQ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EQ734" s="0" t="str">
        <f aca="false">IF($A734="","",IF(AH734="exact",10,IF(AH734="adjacent",5,0)))</f>
        <v/>
      </c>
      <c r="ER734" s="0" t="str">
        <f aca="false">IF($A734="","",IF(R734="Y",15,0))</f>
        <v/>
      </c>
      <c r="FS734" s="0" t="str">
        <f aca="false">IF($A734="","",IF(ISNUMBER(MATCH(U734,{"queued","contacted","replied","call_booked","call_done","yes_in_principle","materials_sent"},0)),"Y","N"))</f>
        <v/>
      </c>
      <c r="FT734" s="0" t="str">
        <f aca="false">IF($A734="","",IF(OR(T734="Y",U734="do_not_contact",AS734&amp;""&lt;&gt;""),"Y","N"))</f>
        <v/>
      </c>
      <c r="FU734" s="0" t="str">
        <f aca="false">IF($A734="","",IF(AP734&amp;""&lt;&gt;"",AP734&amp;"",$A734))</f>
        <v/>
      </c>
      <c r="FV734" s="0" t="str">
        <f aca="false">IF($A734="","",IF(COUNTIFS($FU$2:$FU$1000,FU734,$FS$2:$FS$1000,"Y")+COUNTIFS($FU$2:$FU$1000,FU734,$FT$2:$FT$1000,"Y")&gt;0,"Y","N"))</f>
        <v/>
      </c>
      <c r="FW734" s="0" t="str">
        <f aca="false">IF($A734="","",IF(AND(U734="new",T734="N",FT734="N",AT734="Y",FV734="N"),"Y","N"))</f>
        <v/>
      </c>
      <c r="FX734" s="0" t="str">
        <f aca="false">IF($A734="","",IF(FW734&lt;&gt;"Y","N",IF(COUNTIFS($FU$2:$FU$1000,FU734,$FW$2:$FW$1000,"Y",$J$2:$J$1000,"&gt;"&amp;J734)+COUNTIFS($FU$2:$FU$1000,FU734,$FW$2:$FW$1000,"Y",$J$2:$J$1000,J734,$GD$2:$GD$1000,"&lt;"&amp;GD734)=0,"Y","N")))</f>
        <v/>
      </c>
      <c r="FY734" s="0" t="str">
        <f aca="false">IF($A734="","",IF(AND(FW734="Y",FX734="Y",Y734&amp;""&lt;&gt;""),IF(Y734&lt;=10,"Y","N"),"N"))</f>
        <v/>
      </c>
      <c r="FZ734" s="0" t="str">
        <f aca="false">IF(FY734="Y",Y734,"")</f>
        <v/>
      </c>
      <c r="GA734" s="0" t="str">
        <f aca="false">IF($A734="","",IF(AND(I734="walk-in",CN734="pass",U734="new",FT734="N",FV734="N",AQ734&lt;&gt;"Y"),"Y","N"))</f>
        <v/>
      </c>
      <c r="GB734" s="0" t="str">
        <f aca="false">IF(GA734&lt;&gt;"Y","",IF(COUNTIFS($GA$2:$GA$1000,"Y",$J$2:$J$1000,"&gt;"&amp;J734)+COUNTIFS($GA$2:$GA$1000,"Y",$J$2:$J$1000,J734,$GD$2:$GD$1000,"&lt;"&amp;GD734)+1&lt;=25,COUNTIFS($GA$2:$GA$1000,"Y",$J$2:$J$1000,"&gt;"&amp;J734)+COUNTIFS($GA$2:$GA$1000,"Y",$J$2:$J$1000,J734,$GD$2:$GD$1000,"&lt;"&amp;GD734)+1,""))</f>
        <v/>
      </c>
      <c r="GC734" s="0" t="str">
        <f aca="false">IF(AND(_xlfn.ISFORMULA(C734),_xlfn.ISFORMULA(J734)),"Y","N")</f>
        <v>Y</v>
      </c>
      <c r="GD734" s="0" t="n">
        <f aca="false">ROW()-1</f>
        <v>733</v>
      </c>
    </row>
    <row r="735" customFormat="false" ht="15" hidden="false" customHeight="false" outlineLevel="0" collapsed="false">
      <c r="C735" s="0" t="str">
        <f aca="false">IF($A735="","",IF(AW735="Y",BM735&amp;"",AY735&amp;""))</f>
        <v/>
      </c>
      <c r="D735" s="0" t="str">
        <f aca="false">IF($A735="","",IF(AW735="Y",BN735&amp;"",AZ735&amp;""))</f>
        <v/>
      </c>
      <c r="E735" s="0" t="str">
        <f aca="false">IF($A735="","",IF(AW735="Y",BO735&amp;"",BA735&amp;""))</f>
        <v/>
      </c>
      <c r="F735" s="0" t="str">
        <f aca="false">IF($A735="","",IF(AW735="Y",BP735&amp;"",BB735&amp;""))</f>
        <v/>
      </c>
      <c r="G735" s="0" t="str">
        <f aca="false">IF($A735="","",IF(AW735="Y",BQ735&amp;"",BC735&amp;""))</f>
        <v/>
      </c>
      <c r="H735" s="0" t="str">
        <f aca="false">IF($A735="","",IF(AW735="Y",BR735&amp;"",BD735&amp;""))</f>
        <v/>
      </c>
      <c r="I735" s="0" t="str">
        <f aca="false">IF($A735="","",IF(R735="Y","warm-intro",IF(H735="verified","email",IF(C735&lt;&gt;"","linkedin",CB735&amp;""))))</f>
        <v/>
      </c>
      <c r="J735" s="0" t="str">
        <f aca="false">IF($A735="","",IF(CN735="pass",ROUND(N(EM735)+N(EN735)+N(EO735)+N(EP735)+N(EQ735)+N(ER735),1),0))</f>
        <v/>
      </c>
      <c r="K735" s="0" t="str">
        <f aca="false">IF($A735="","",IF(CN735&lt;&gt;"pass",CA735&amp;"",CA735&amp;"; "&amp;IF(AW735="Y",BZ735&amp;"",BL735&amp;"")&amp;IF(R735="Y","; known to the founder (+15)","")&amp;"."))</f>
        <v/>
      </c>
      <c r="R735" s="5"/>
      <c r="U735" s="5"/>
      <c r="Y735" s="0" t="str">
        <f aca="false">IF(FX735&lt;&gt;"Y","",COUNTIFS($FX$2:$FX$1000,"Y",$J$2:$J$1000,"&gt;"&amp;J735)+COUNTIFS($FX$2:$FX$1000,"Y",$J$2:$J$1000,J735,$GD$2:$GD$1000,"&lt;"&amp;GD735)+1)</f>
        <v/>
      </c>
      <c r="AB735" s="0" t="str">
        <f aca="false">IF($A735="","",IF(AW735="Y",BY735&amp;"",BK735&amp;""))</f>
        <v/>
      </c>
      <c r="AC735" s="0" t="str">
        <f aca="false">IF($A735="","",IF(AW735="Y",BS735&amp;"",BE735&amp;""))</f>
        <v/>
      </c>
      <c r="AD735" s="0" t="str">
        <f aca="false">IF($A735="","",IF(AW735="Y",BT735&amp;"",BF735&amp;""))</f>
        <v/>
      </c>
      <c r="AE735" s="0" t="str">
        <f aca="false">IF($A735="","",IF(AW735="Y",BU735&amp;"",BG735&amp;""))</f>
        <v/>
      </c>
      <c r="AF735" s="0" t="str">
        <f aca="false">IF($A735="","",IF(AW735="Y",BV735&amp;"",BH735&amp;""))</f>
        <v/>
      </c>
      <c r="AG735" s="0" t="str">
        <f aca="false">IF($A735="","",IF(AW735="Y",BW735&amp;"",BI735&amp;""))</f>
        <v/>
      </c>
      <c r="AH735" s="0" t="str">
        <f aca="false">IF($A735="","",IF(AW735="Y",BX735&amp;"",BJ735&amp;""))</f>
        <v/>
      </c>
      <c r="AQ735" s="5"/>
      <c r="AT735" s="0" t="str">
        <f aca="false">IF($A735="","",IF(AND(CN735="pass",AQ735&lt;&gt;"Y",C735&lt;&gt;"",OR(AX735&lt;&gt;"Y",AV735="Y")),"Y","N"))</f>
        <v/>
      </c>
      <c r="AU735" s="0" t="str">
        <f aca="false">IF($A735="","",_xlfn.TEXTJOIN("; ",TRUE(),IF(CN735&lt;&gt;"pass","gated out",""),IF(AQ735="Y","on hold: "&amp;AR735,""),IF(C735="","no contact named on an opened page",""),IF(AND(AX735="Y",AV735&lt;&gt;"Y"),"Tuesday estimate band "&amp;L735&amp;": founder's call","")))</f>
        <v/>
      </c>
      <c r="BC735" s="0" t="str">
        <f aca="false">IF($A735="","",IFERROR(INDEX(Enrichment!$A$2:$GZ$2000,MATCH($A735,INDEX(Enrichment!$A$2:$GZ$2000,0,MATCH("row_id",Enrichment!$A$1:$GZ$1,0)),0),MATCH("work_email",Enrichment!$A$1:$GZ$1,0))&amp;"",""))</f>
        <v/>
      </c>
      <c r="BD735" s="0" t="str">
        <f aca="false">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Q735" s="0" t="str">
        <f aca="false">IF($A735="","",IFERROR(INDEX(Enrichment!$A$2:$GZ$2000,MATCH($A735,INDEX(Enrichment!$A$2:$GZ$2000,0,MATCH("row_id",Enrichment!$A$1:$GZ$1,0)),0),MATCH("backup_work_email",Enrichment!$A$1:$GZ$1,0))&amp;"",""))</f>
        <v/>
      </c>
      <c r="BR735" s="0" t="str">
        <f aca="false">IF($A735="","",IF(BQ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EQ735" s="0" t="str">
        <f aca="false">IF($A735="","",IF(AH735="exact",10,IF(AH735="adjacent",5,0)))</f>
        <v/>
      </c>
      <c r="ER735" s="0" t="str">
        <f aca="false">IF($A735="","",IF(R735="Y",15,0))</f>
        <v/>
      </c>
      <c r="FS735" s="0" t="str">
        <f aca="false">IF($A735="","",IF(ISNUMBER(MATCH(U735,{"queued","contacted","replied","call_booked","call_done","yes_in_principle","materials_sent"},0)),"Y","N"))</f>
        <v/>
      </c>
      <c r="FT735" s="0" t="str">
        <f aca="false">IF($A735="","",IF(OR(T735="Y",U735="do_not_contact",AS735&amp;""&lt;&gt;""),"Y","N"))</f>
        <v/>
      </c>
      <c r="FU735" s="0" t="str">
        <f aca="false">IF($A735="","",IF(AP735&amp;""&lt;&gt;"",AP735&amp;"",$A735))</f>
        <v/>
      </c>
      <c r="FV735" s="0" t="str">
        <f aca="false">IF($A735="","",IF(COUNTIFS($FU$2:$FU$1000,FU735,$FS$2:$FS$1000,"Y")+COUNTIFS($FU$2:$FU$1000,FU735,$FT$2:$FT$1000,"Y")&gt;0,"Y","N"))</f>
        <v/>
      </c>
      <c r="FW735" s="0" t="str">
        <f aca="false">IF($A735="","",IF(AND(U735="new",T735="N",FT735="N",AT735="Y",FV735="N"),"Y","N"))</f>
        <v/>
      </c>
      <c r="FX735" s="0" t="str">
        <f aca="false">IF($A735="","",IF(FW735&lt;&gt;"Y","N",IF(COUNTIFS($FU$2:$FU$1000,FU735,$FW$2:$FW$1000,"Y",$J$2:$J$1000,"&gt;"&amp;J735)+COUNTIFS($FU$2:$FU$1000,FU735,$FW$2:$FW$1000,"Y",$J$2:$J$1000,J735,$GD$2:$GD$1000,"&lt;"&amp;GD735)=0,"Y","N")))</f>
        <v/>
      </c>
      <c r="FY735" s="0" t="str">
        <f aca="false">IF($A735="","",IF(AND(FW735="Y",FX735="Y",Y735&amp;""&lt;&gt;""),IF(Y735&lt;=10,"Y","N"),"N"))</f>
        <v/>
      </c>
      <c r="FZ735" s="0" t="str">
        <f aca="false">IF(FY735="Y",Y735,"")</f>
        <v/>
      </c>
      <c r="GA735" s="0" t="str">
        <f aca="false">IF($A735="","",IF(AND(I735="walk-in",CN735="pass",U735="new",FT735="N",FV735="N",AQ735&lt;&gt;"Y"),"Y","N"))</f>
        <v/>
      </c>
      <c r="GB735" s="0" t="str">
        <f aca="false">IF(GA735&lt;&gt;"Y","",IF(COUNTIFS($GA$2:$GA$1000,"Y",$J$2:$J$1000,"&gt;"&amp;J735)+COUNTIFS($GA$2:$GA$1000,"Y",$J$2:$J$1000,J735,$GD$2:$GD$1000,"&lt;"&amp;GD735)+1&lt;=25,COUNTIFS($GA$2:$GA$1000,"Y",$J$2:$J$1000,"&gt;"&amp;J735)+COUNTIFS($GA$2:$GA$1000,"Y",$J$2:$J$1000,J735,$GD$2:$GD$1000,"&lt;"&amp;GD735)+1,""))</f>
        <v/>
      </c>
      <c r="GC735" s="0" t="str">
        <f aca="false">IF(AND(_xlfn.ISFORMULA(C735),_xlfn.ISFORMULA(J735)),"Y","N")</f>
        <v>Y</v>
      </c>
      <c r="GD735" s="0" t="n">
        <f aca="false">ROW()-1</f>
        <v>734</v>
      </c>
    </row>
    <row r="736" customFormat="false" ht="15" hidden="false" customHeight="false" outlineLevel="0" collapsed="false">
      <c r="C736" s="0" t="str">
        <f aca="false">IF($A736="","",IF(AW736="Y",BM736&amp;"",AY736&amp;""))</f>
        <v/>
      </c>
      <c r="D736" s="0" t="str">
        <f aca="false">IF($A736="","",IF(AW736="Y",BN736&amp;"",AZ736&amp;""))</f>
        <v/>
      </c>
      <c r="E736" s="0" t="str">
        <f aca="false">IF($A736="","",IF(AW736="Y",BO736&amp;"",BA736&amp;""))</f>
        <v/>
      </c>
      <c r="F736" s="0" t="str">
        <f aca="false">IF($A736="","",IF(AW736="Y",BP736&amp;"",BB736&amp;""))</f>
        <v/>
      </c>
      <c r="G736" s="0" t="str">
        <f aca="false">IF($A736="","",IF(AW736="Y",BQ736&amp;"",BC736&amp;""))</f>
        <v/>
      </c>
      <c r="H736" s="0" t="str">
        <f aca="false">IF($A736="","",IF(AW736="Y",BR736&amp;"",BD736&amp;""))</f>
        <v/>
      </c>
      <c r="I736" s="0" t="str">
        <f aca="false">IF($A736="","",IF(R736="Y","warm-intro",IF(H736="verified","email",IF(C736&lt;&gt;"","linkedin",CB736&amp;""))))</f>
        <v/>
      </c>
      <c r="J736" s="0" t="str">
        <f aca="false">IF($A736="","",IF(CN736="pass",ROUND(N(EM736)+N(EN736)+N(EO736)+N(EP736)+N(EQ736)+N(ER736),1),0))</f>
        <v/>
      </c>
      <c r="K736" s="0" t="str">
        <f aca="false">IF($A736="","",IF(CN736&lt;&gt;"pass",CA736&amp;"",CA736&amp;"; "&amp;IF(AW736="Y",BZ736&amp;"",BL736&amp;"")&amp;IF(R736="Y","; known to the founder (+15)","")&amp;"."))</f>
        <v/>
      </c>
      <c r="R736" s="5"/>
      <c r="U736" s="5"/>
      <c r="Y736" s="0" t="str">
        <f aca="false">IF(FX736&lt;&gt;"Y","",COUNTIFS($FX$2:$FX$1000,"Y",$J$2:$J$1000,"&gt;"&amp;J736)+COUNTIFS($FX$2:$FX$1000,"Y",$J$2:$J$1000,J736,$GD$2:$GD$1000,"&lt;"&amp;GD736)+1)</f>
        <v/>
      </c>
      <c r="AB736" s="0" t="str">
        <f aca="false">IF($A736="","",IF(AW736="Y",BY736&amp;"",BK736&amp;""))</f>
        <v/>
      </c>
      <c r="AC736" s="0" t="str">
        <f aca="false">IF($A736="","",IF(AW736="Y",BS736&amp;"",BE736&amp;""))</f>
        <v/>
      </c>
      <c r="AD736" s="0" t="str">
        <f aca="false">IF($A736="","",IF(AW736="Y",BT736&amp;"",BF736&amp;""))</f>
        <v/>
      </c>
      <c r="AE736" s="0" t="str">
        <f aca="false">IF($A736="","",IF(AW736="Y",BU736&amp;"",BG736&amp;""))</f>
        <v/>
      </c>
      <c r="AF736" s="0" t="str">
        <f aca="false">IF($A736="","",IF(AW736="Y",BV736&amp;"",BH736&amp;""))</f>
        <v/>
      </c>
      <c r="AG736" s="0" t="str">
        <f aca="false">IF($A736="","",IF(AW736="Y",BW736&amp;"",BI736&amp;""))</f>
        <v/>
      </c>
      <c r="AH736" s="0" t="str">
        <f aca="false">IF($A736="","",IF(AW736="Y",BX736&amp;"",BJ736&amp;""))</f>
        <v/>
      </c>
      <c r="AQ736" s="5"/>
      <c r="AT736" s="0" t="str">
        <f aca="false">IF($A736="","",IF(AND(CN736="pass",AQ736&lt;&gt;"Y",C736&lt;&gt;"",OR(AX736&lt;&gt;"Y",AV736="Y")),"Y","N"))</f>
        <v/>
      </c>
      <c r="AU736" s="0" t="str">
        <f aca="false">IF($A736="","",_xlfn.TEXTJOIN("; ",TRUE(),IF(CN736&lt;&gt;"pass","gated out",""),IF(AQ736="Y","on hold: "&amp;AR736,""),IF(C736="","no contact named on an opened page",""),IF(AND(AX736="Y",AV736&lt;&gt;"Y"),"Tuesday estimate band "&amp;L736&amp;": founder's call","")))</f>
        <v/>
      </c>
      <c r="BC736" s="0" t="str">
        <f aca="false">IF($A736="","",IFERROR(INDEX(Enrichment!$A$2:$GZ$2000,MATCH($A736,INDEX(Enrichment!$A$2:$GZ$2000,0,MATCH("row_id",Enrichment!$A$1:$GZ$1,0)),0),MATCH("work_email",Enrichment!$A$1:$GZ$1,0))&amp;"",""))</f>
        <v/>
      </c>
      <c r="BD736" s="0" t="str">
        <f aca="false">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Q736" s="0" t="str">
        <f aca="false">IF($A736="","",IFERROR(INDEX(Enrichment!$A$2:$GZ$2000,MATCH($A736,INDEX(Enrichment!$A$2:$GZ$2000,0,MATCH("row_id",Enrichment!$A$1:$GZ$1,0)),0),MATCH("backup_work_email",Enrichment!$A$1:$GZ$1,0))&amp;"",""))</f>
        <v/>
      </c>
      <c r="BR736" s="0" t="str">
        <f aca="false">IF($A736="","",IF(BQ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EQ736" s="0" t="str">
        <f aca="false">IF($A736="","",IF(AH736="exact",10,IF(AH736="adjacent",5,0)))</f>
        <v/>
      </c>
      <c r="ER736" s="0" t="str">
        <f aca="false">IF($A736="","",IF(R736="Y",15,0))</f>
        <v/>
      </c>
      <c r="FS736" s="0" t="str">
        <f aca="false">IF($A736="","",IF(ISNUMBER(MATCH(U736,{"queued","contacted","replied","call_booked","call_done","yes_in_principle","materials_sent"},0)),"Y","N"))</f>
        <v/>
      </c>
      <c r="FT736" s="0" t="str">
        <f aca="false">IF($A736="","",IF(OR(T736="Y",U736="do_not_contact",AS736&amp;""&lt;&gt;""),"Y","N"))</f>
        <v/>
      </c>
      <c r="FU736" s="0" t="str">
        <f aca="false">IF($A736="","",IF(AP736&amp;""&lt;&gt;"",AP736&amp;"",$A736))</f>
        <v/>
      </c>
      <c r="FV736" s="0" t="str">
        <f aca="false">IF($A736="","",IF(COUNTIFS($FU$2:$FU$1000,FU736,$FS$2:$FS$1000,"Y")+COUNTIFS($FU$2:$FU$1000,FU736,$FT$2:$FT$1000,"Y")&gt;0,"Y","N"))</f>
        <v/>
      </c>
      <c r="FW736" s="0" t="str">
        <f aca="false">IF($A736="","",IF(AND(U736="new",T736="N",FT736="N",AT736="Y",FV736="N"),"Y","N"))</f>
        <v/>
      </c>
      <c r="FX736" s="0" t="str">
        <f aca="false">IF($A736="","",IF(FW736&lt;&gt;"Y","N",IF(COUNTIFS($FU$2:$FU$1000,FU736,$FW$2:$FW$1000,"Y",$J$2:$J$1000,"&gt;"&amp;J736)+COUNTIFS($FU$2:$FU$1000,FU736,$FW$2:$FW$1000,"Y",$J$2:$J$1000,J736,$GD$2:$GD$1000,"&lt;"&amp;GD736)=0,"Y","N")))</f>
        <v/>
      </c>
      <c r="FY736" s="0" t="str">
        <f aca="false">IF($A736="","",IF(AND(FW736="Y",FX736="Y",Y736&amp;""&lt;&gt;""),IF(Y736&lt;=10,"Y","N"),"N"))</f>
        <v/>
      </c>
      <c r="FZ736" s="0" t="str">
        <f aca="false">IF(FY736="Y",Y736,"")</f>
        <v/>
      </c>
      <c r="GA736" s="0" t="str">
        <f aca="false">IF($A736="","",IF(AND(I736="walk-in",CN736="pass",U736="new",FT736="N",FV736="N",AQ736&lt;&gt;"Y"),"Y","N"))</f>
        <v/>
      </c>
      <c r="GB736" s="0" t="str">
        <f aca="false">IF(GA736&lt;&gt;"Y","",IF(COUNTIFS($GA$2:$GA$1000,"Y",$J$2:$J$1000,"&gt;"&amp;J736)+COUNTIFS($GA$2:$GA$1000,"Y",$J$2:$J$1000,J736,$GD$2:$GD$1000,"&lt;"&amp;GD736)+1&lt;=25,COUNTIFS($GA$2:$GA$1000,"Y",$J$2:$J$1000,"&gt;"&amp;J736)+COUNTIFS($GA$2:$GA$1000,"Y",$J$2:$J$1000,J736,$GD$2:$GD$1000,"&lt;"&amp;GD736)+1,""))</f>
        <v/>
      </c>
      <c r="GC736" s="0" t="str">
        <f aca="false">IF(AND(_xlfn.ISFORMULA(C736),_xlfn.ISFORMULA(J736)),"Y","N")</f>
        <v>Y</v>
      </c>
      <c r="GD736" s="0" t="n">
        <f aca="false">ROW()-1</f>
        <v>735</v>
      </c>
    </row>
    <row r="737" customFormat="false" ht="15" hidden="false" customHeight="false" outlineLevel="0" collapsed="false">
      <c r="C737" s="0" t="str">
        <f aca="false">IF($A737="","",IF(AW737="Y",BM737&amp;"",AY737&amp;""))</f>
        <v/>
      </c>
      <c r="D737" s="0" t="str">
        <f aca="false">IF($A737="","",IF(AW737="Y",BN737&amp;"",AZ737&amp;""))</f>
        <v/>
      </c>
      <c r="E737" s="0" t="str">
        <f aca="false">IF($A737="","",IF(AW737="Y",BO737&amp;"",BA737&amp;""))</f>
        <v/>
      </c>
      <c r="F737" s="0" t="str">
        <f aca="false">IF($A737="","",IF(AW737="Y",BP737&amp;"",BB737&amp;""))</f>
        <v/>
      </c>
      <c r="G737" s="0" t="str">
        <f aca="false">IF($A737="","",IF(AW737="Y",BQ737&amp;"",BC737&amp;""))</f>
        <v/>
      </c>
      <c r="H737" s="0" t="str">
        <f aca="false">IF($A737="","",IF(AW737="Y",BR737&amp;"",BD737&amp;""))</f>
        <v/>
      </c>
      <c r="I737" s="0" t="str">
        <f aca="false">IF($A737="","",IF(R737="Y","warm-intro",IF(H737="verified","email",IF(C737&lt;&gt;"","linkedin",CB737&amp;""))))</f>
        <v/>
      </c>
      <c r="J737" s="0" t="str">
        <f aca="false">IF($A737="","",IF(CN737="pass",ROUND(N(EM737)+N(EN737)+N(EO737)+N(EP737)+N(EQ737)+N(ER737),1),0))</f>
        <v/>
      </c>
      <c r="K737" s="0" t="str">
        <f aca="false">IF($A737="","",IF(CN737&lt;&gt;"pass",CA737&amp;"",CA737&amp;"; "&amp;IF(AW737="Y",BZ737&amp;"",BL737&amp;"")&amp;IF(R737="Y","; known to the founder (+15)","")&amp;"."))</f>
        <v/>
      </c>
      <c r="R737" s="5"/>
      <c r="U737" s="5"/>
      <c r="Y737" s="0" t="str">
        <f aca="false">IF(FX737&lt;&gt;"Y","",COUNTIFS($FX$2:$FX$1000,"Y",$J$2:$J$1000,"&gt;"&amp;J737)+COUNTIFS($FX$2:$FX$1000,"Y",$J$2:$J$1000,J737,$GD$2:$GD$1000,"&lt;"&amp;GD737)+1)</f>
        <v/>
      </c>
      <c r="AB737" s="0" t="str">
        <f aca="false">IF($A737="","",IF(AW737="Y",BY737&amp;"",BK737&amp;""))</f>
        <v/>
      </c>
      <c r="AC737" s="0" t="str">
        <f aca="false">IF($A737="","",IF(AW737="Y",BS737&amp;"",BE737&amp;""))</f>
        <v/>
      </c>
      <c r="AD737" s="0" t="str">
        <f aca="false">IF($A737="","",IF(AW737="Y",BT737&amp;"",BF737&amp;""))</f>
        <v/>
      </c>
      <c r="AE737" s="0" t="str">
        <f aca="false">IF($A737="","",IF(AW737="Y",BU737&amp;"",BG737&amp;""))</f>
        <v/>
      </c>
      <c r="AF737" s="0" t="str">
        <f aca="false">IF($A737="","",IF(AW737="Y",BV737&amp;"",BH737&amp;""))</f>
        <v/>
      </c>
      <c r="AG737" s="0" t="str">
        <f aca="false">IF($A737="","",IF(AW737="Y",BW737&amp;"",BI737&amp;""))</f>
        <v/>
      </c>
      <c r="AH737" s="0" t="str">
        <f aca="false">IF($A737="","",IF(AW737="Y",BX737&amp;"",BJ737&amp;""))</f>
        <v/>
      </c>
      <c r="AQ737" s="5"/>
      <c r="AT737" s="0" t="str">
        <f aca="false">IF($A737="","",IF(AND(CN737="pass",AQ737&lt;&gt;"Y",C737&lt;&gt;"",OR(AX737&lt;&gt;"Y",AV737="Y")),"Y","N"))</f>
        <v/>
      </c>
      <c r="AU737" s="0" t="str">
        <f aca="false">IF($A737="","",_xlfn.TEXTJOIN("; ",TRUE(),IF(CN737&lt;&gt;"pass","gated out",""),IF(AQ737="Y","on hold: "&amp;AR737,""),IF(C737="","no contact named on an opened page",""),IF(AND(AX737="Y",AV737&lt;&gt;"Y"),"Tuesday estimate band "&amp;L737&amp;": founder's call","")))</f>
        <v/>
      </c>
      <c r="BC737" s="0" t="str">
        <f aca="false">IF($A737="","",IFERROR(INDEX(Enrichment!$A$2:$GZ$2000,MATCH($A737,INDEX(Enrichment!$A$2:$GZ$2000,0,MATCH("row_id",Enrichment!$A$1:$GZ$1,0)),0),MATCH("work_email",Enrichment!$A$1:$GZ$1,0))&amp;"",""))</f>
        <v/>
      </c>
      <c r="BD737" s="0" t="str">
        <f aca="false">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Q737" s="0" t="str">
        <f aca="false">IF($A737="","",IFERROR(INDEX(Enrichment!$A$2:$GZ$2000,MATCH($A737,INDEX(Enrichment!$A$2:$GZ$2000,0,MATCH("row_id",Enrichment!$A$1:$GZ$1,0)),0),MATCH("backup_work_email",Enrichment!$A$1:$GZ$1,0))&amp;"",""))</f>
        <v/>
      </c>
      <c r="BR737" s="0" t="str">
        <f aca="false">IF($A737="","",IF(BQ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EQ737" s="0" t="str">
        <f aca="false">IF($A737="","",IF(AH737="exact",10,IF(AH737="adjacent",5,0)))</f>
        <v/>
      </c>
      <c r="ER737" s="0" t="str">
        <f aca="false">IF($A737="","",IF(R737="Y",15,0))</f>
        <v/>
      </c>
      <c r="FS737" s="0" t="str">
        <f aca="false">IF($A737="","",IF(ISNUMBER(MATCH(U737,{"queued","contacted","replied","call_booked","call_done","yes_in_principle","materials_sent"},0)),"Y","N"))</f>
        <v/>
      </c>
      <c r="FT737" s="0" t="str">
        <f aca="false">IF($A737="","",IF(OR(T737="Y",U737="do_not_contact",AS737&amp;""&lt;&gt;""),"Y","N"))</f>
        <v/>
      </c>
      <c r="FU737" s="0" t="str">
        <f aca="false">IF($A737="","",IF(AP737&amp;""&lt;&gt;"",AP737&amp;"",$A737))</f>
        <v/>
      </c>
      <c r="FV737" s="0" t="str">
        <f aca="false">IF($A737="","",IF(COUNTIFS($FU$2:$FU$1000,FU737,$FS$2:$FS$1000,"Y")+COUNTIFS($FU$2:$FU$1000,FU737,$FT$2:$FT$1000,"Y")&gt;0,"Y","N"))</f>
        <v/>
      </c>
      <c r="FW737" s="0" t="str">
        <f aca="false">IF($A737="","",IF(AND(U737="new",T737="N",FT737="N",AT737="Y",FV737="N"),"Y","N"))</f>
        <v/>
      </c>
      <c r="FX737" s="0" t="str">
        <f aca="false">IF($A737="","",IF(FW737&lt;&gt;"Y","N",IF(COUNTIFS($FU$2:$FU$1000,FU737,$FW$2:$FW$1000,"Y",$J$2:$J$1000,"&gt;"&amp;J737)+COUNTIFS($FU$2:$FU$1000,FU737,$FW$2:$FW$1000,"Y",$J$2:$J$1000,J737,$GD$2:$GD$1000,"&lt;"&amp;GD737)=0,"Y","N")))</f>
        <v/>
      </c>
      <c r="FY737" s="0" t="str">
        <f aca="false">IF($A737="","",IF(AND(FW737="Y",FX737="Y",Y737&amp;""&lt;&gt;""),IF(Y737&lt;=10,"Y","N"),"N"))</f>
        <v/>
      </c>
      <c r="FZ737" s="0" t="str">
        <f aca="false">IF(FY737="Y",Y737,"")</f>
        <v/>
      </c>
      <c r="GA737" s="0" t="str">
        <f aca="false">IF($A737="","",IF(AND(I737="walk-in",CN737="pass",U737="new",FT737="N",FV737="N",AQ737&lt;&gt;"Y"),"Y","N"))</f>
        <v/>
      </c>
      <c r="GB737" s="0" t="str">
        <f aca="false">IF(GA737&lt;&gt;"Y","",IF(COUNTIFS($GA$2:$GA$1000,"Y",$J$2:$J$1000,"&gt;"&amp;J737)+COUNTIFS($GA$2:$GA$1000,"Y",$J$2:$J$1000,J737,$GD$2:$GD$1000,"&lt;"&amp;GD737)+1&lt;=25,COUNTIFS($GA$2:$GA$1000,"Y",$J$2:$J$1000,"&gt;"&amp;J737)+COUNTIFS($GA$2:$GA$1000,"Y",$J$2:$J$1000,J737,$GD$2:$GD$1000,"&lt;"&amp;GD737)+1,""))</f>
        <v/>
      </c>
      <c r="GC737" s="0" t="str">
        <f aca="false">IF(AND(_xlfn.ISFORMULA(C737),_xlfn.ISFORMULA(J737)),"Y","N")</f>
        <v>Y</v>
      </c>
      <c r="GD737" s="0" t="n">
        <f aca="false">ROW()-1</f>
        <v>736</v>
      </c>
    </row>
    <row r="738" customFormat="false" ht="15" hidden="false" customHeight="false" outlineLevel="0" collapsed="false">
      <c r="C738" s="0" t="str">
        <f aca="false">IF($A738="","",IF(AW738="Y",BM738&amp;"",AY738&amp;""))</f>
        <v/>
      </c>
      <c r="D738" s="0" t="str">
        <f aca="false">IF($A738="","",IF(AW738="Y",BN738&amp;"",AZ738&amp;""))</f>
        <v/>
      </c>
      <c r="E738" s="0" t="str">
        <f aca="false">IF($A738="","",IF(AW738="Y",BO738&amp;"",BA738&amp;""))</f>
        <v/>
      </c>
      <c r="F738" s="0" t="str">
        <f aca="false">IF($A738="","",IF(AW738="Y",BP738&amp;"",BB738&amp;""))</f>
        <v/>
      </c>
      <c r="G738" s="0" t="str">
        <f aca="false">IF($A738="","",IF(AW738="Y",BQ738&amp;"",BC738&amp;""))</f>
        <v/>
      </c>
      <c r="H738" s="0" t="str">
        <f aca="false">IF($A738="","",IF(AW738="Y",BR738&amp;"",BD738&amp;""))</f>
        <v/>
      </c>
      <c r="I738" s="0" t="str">
        <f aca="false">IF($A738="","",IF(R738="Y","warm-intro",IF(H738="verified","email",IF(C738&lt;&gt;"","linkedin",CB738&amp;""))))</f>
        <v/>
      </c>
      <c r="J738" s="0" t="str">
        <f aca="false">IF($A738="","",IF(CN738="pass",ROUND(N(EM738)+N(EN738)+N(EO738)+N(EP738)+N(EQ738)+N(ER738),1),0))</f>
        <v/>
      </c>
      <c r="K738" s="0" t="str">
        <f aca="false">IF($A738="","",IF(CN738&lt;&gt;"pass",CA738&amp;"",CA738&amp;"; "&amp;IF(AW738="Y",BZ738&amp;"",BL738&amp;"")&amp;IF(R738="Y","; known to the founder (+15)","")&amp;"."))</f>
        <v/>
      </c>
      <c r="R738" s="5"/>
      <c r="U738" s="5"/>
      <c r="Y738" s="0" t="str">
        <f aca="false">IF(FX738&lt;&gt;"Y","",COUNTIFS($FX$2:$FX$1000,"Y",$J$2:$J$1000,"&gt;"&amp;J738)+COUNTIFS($FX$2:$FX$1000,"Y",$J$2:$J$1000,J738,$GD$2:$GD$1000,"&lt;"&amp;GD738)+1)</f>
        <v/>
      </c>
      <c r="AB738" s="0" t="str">
        <f aca="false">IF($A738="","",IF(AW738="Y",BY738&amp;"",BK738&amp;""))</f>
        <v/>
      </c>
      <c r="AC738" s="0" t="str">
        <f aca="false">IF($A738="","",IF(AW738="Y",BS738&amp;"",BE738&amp;""))</f>
        <v/>
      </c>
      <c r="AD738" s="0" t="str">
        <f aca="false">IF($A738="","",IF(AW738="Y",BT738&amp;"",BF738&amp;""))</f>
        <v/>
      </c>
      <c r="AE738" s="0" t="str">
        <f aca="false">IF($A738="","",IF(AW738="Y",BU738&amp;"",BG738&amp;""))</f>
        <v/>
      </c>
      <c r="AF738" s="0" t="str">
        <f aca="false">IF($A738="","",IF(AW738="Y",BV738&amp;"",BH738&amp;""))</f>
        <v/>
      </c>
      <c r="AG738" s="0" t="str">
        <f aca="false">IF($A738="","",IF(AW738="Y",BW738&amp;"",BI738&amp;""))</f>
        <v/>
      </c>
      <c r="AH738" s="0" t="str">
        <f aca="false">IF($A738="","",IF(AW738="Y",BX738&amp;"",BJ738&amp;""))</f>
        <v/>
      </c>
      <c r="AQ738" s="5"/>
      <c r="AT738" s="0" t="str">
        <f aca="false">IF($A738="","",IF(AND(CN738="pass",AQ738&lt;&gt;"Y",C738&lt;&gt;"",OR(AX738&lt;&gt;"Y",AV738="Y")),"Y","N"))</f>
        <v/>
      </c>
      <c r="AU738" s="0" t="str">
        <f aca="false">IF($A738="","",_xlfn.TEXTJOIN("; ",TRUE(),IF(CN738&lt;&gt;"pass","gated out",""),IF(AQ738="Y","on hold: "&amp;AR738,""),IF(C738="","no contact named on an opened page",""),IF(AND(AX738="Y",AV738&lt;&gt;"Y"),"Tuesday estimate band "&amp;L738&amp;": founder's call","")))</f>
        <v/>
      </c>
      <c r="BC738" s="0" t="str">
        <f aca="false">IF($A738="","",IFERROR(INDEX(Enrichment!$A$2:$GZ$2000,MATCH($A738,INDEX(Enrichment!$A$2:$GZ$2000,0,MATCH("row_id",Enrichment!$A$1:$GZ$1,0)),0),MATCH("work_email",Enrichment!$A$1:$GZ$1,0))&amp;"",""))</f>
        <v/>
      </c>
      <c r="BD738" s="0" t="str">
        <f aca="false">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Q738" s="0" t="str">
        <f aca="false">IF($A738="","",IFERROR(INDEX(Enrichment!$A$2:$GZ$2000,MATCH($A738,INDEX(Enrichment!$A$2:$GZ$2000,0,MATCH("row_id",Enrichment!$A$1:$GZ$1,0)),0),MATCH("backup_work_email",Enrichment!$A$1:$GZ$1,0))&amp;"",""))</f>
        <v/>
      </c>
      <c r="BR738" s="0" t="str">
        <f aca="false">IF($A738="","",IF(BQ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EQ738" s="0" t="str">
        <f aca="false">IF($A738="","",IF(AH738="exact",10,IF(AH738="adjacent",5,0)))</f>
        <v/>
      </c>
      <c r="ER738" s="0" t="str">
        <f aca="false">IF($A738="","",IF(R738="Y",15,0))</f>
        <v/>
      </c>
      <c r="FS738" s="0" t="str">
        <f aca="false">IF($A738="","",IF(ISNUMBER(MATCH(U738,{"queued","contacted","replied","call_booked","call_done","yes_in_principle","materials_sent"},0)),"Y","N"))</f>
        <v/>
      </c>
      <c r="FT738" s="0" t="str">
        <f aca="false">IF($A738="","",IF(OR(T738="Y",U738="do_not_contact",AS738&amp;""&lt;&gt;""),"Y","N"))</f>
        <v/>
      </c>
      <c r="FU738" s="0" t="str">
        <f aca="false">IF($A738="","",IF(AP738&amp;""&lt;&gt;"",AP738&amp;"",$A738))</f>
        <v/>
      </c>
      <c r="FV738" s="0" t="str">
        <f aca="false">IF($A738="","",IF(COUNTIFS($FU$2:$FU$1000,FU738,$FS$2:$FS$1000,"Y")+COUNTIFS($FU$2:$FU$1000,FU738,$FT$2:$FT$1000,"Y")&gt;0,"Y","N"))</f>
        <v/>
      </c>
      <c r="FW738" s="0" t="str">
        <f aca="false">IF($A738="","",IF(AND(U738="new",T738="N",FT738="N",AT738="Y",FV738="N"),"Y","N"))</f>
        <v/>
      </c>
      <c r="FX738" s="0" t="str">
        <f aca="false">IF($A738="","",IF(FW738&lt;&gt;"Y","N",IF(COUNTIFS($FU$2:$FU$1000,FU738,$FW$2:$FW$1000,"Y",$J$2:$J$1000,"&gt;"&amp;J738)+COUNTIFS($FU$2:$FU$1000,FU738,$FW$2:$FW$1000,"Y",$J$2:$J$1000,J738,$GD$2:$GD$1000,"&lt;"&amp;GD738)=0,"Y","N")))</f>
        <v/>
      </c>
      <c r="FY738" s="0" t="str">
        <f aca="false">IF($A738="","",IF(AND(FW738="Y",FX738="Y",Y738&amp;""&lt;&gt;""),IF(Y738&lt;=10,"Y","N"),"N"))</f>
        <v/>
      </c>
      <c r="FZ738" s="0" t="str">
        <f aca="false">IF(FY738="Y",Y738,"")</f>
        <v/>
      </c>
      <c r="GA738" s="0" t="str">
        <f aca="false">IF($A738="","",IF(AND(I738="walk-in",CN738="pass",U738="new",FT738="N",FV738="N",AQ738&lt;&gt;"Y"),"Y","N"))</f>
        <v/>
      </c>
      <c r="GB738" s="0" t="str">
        <f aca="false">IF(GA738&lt;&gt;"Y","",IF(COUNTIFS($GA$2:$GA$1000,"Y",$J$2:$J$1000,"&gt;"&amp;J738)+COUNTIFS($GA$2:$GA$1000,"Y",$J$2:$J$1000,J738,$GD$2:$GD$1000,"&lt;"&amp;GD738)+1&lt;=25,COUNTIFS($GA$2:$GA$1000,"Y",$J$2:$J$1000,"&gt;"&amp;J738)+COUNTIFS($GA$2:$GA$1000,"Y",$J$2:$J$1000,J738,$GD$2:$GD$1000,"&lt;"&amp;GD738)+1,""))</f>
        <v/>
      </c>
      <c r="GC738" s="0" t="str">
        <f aca="false">IF(AND(_xlfn.ISFORMULA(C738),_xlfn.ISFORMULA(J738)),"Y","N")</f>
        <v>Y</v>
      </c>
      <c r="GD738" s="0" t="n">
        <f aca="false">ROW()-1</f>
        <v>737</v>
      </c>
    </row>
    <row r="739" customFormat="false" ht="15" hidden="false" customHeight="false" outlineLevel="0" collapsed="false">
      <c r="C739" s="0" t="str">
        <f aca="false">IF($A739="","",IF(AW739="Y",BM739&amp;"",AY739&amp;""))</f>
        <v/>
      </c>
      <c r="D739" s="0" t="str">
        <f aca="false">IF($A739="","",IF(AW739="Y",BN739&amp;"",AZ739&amp;""))</f>
        <v/>
      </c>
      <c r="E739" s="0" t="str">
        <f aca="false">IF($A739="","",IF(AW739="Y",BO739&amp;"",BA739&amp;""))</f>
        <v/>
      </c>
      <c r="F739" s="0" t="str">
        <f aca="false">IF($A739="","",IF(AW739="Y",BP739&amp;"",BB739&amp;""))</f>
        <v/>
      </c>
      <c r="G739" s="0" t="str">
        <f aca="false">IF($A739="","",IF(AW739="Y",BQ739&amp;"",BC739&amp;""))</f>
        <v/>
      </c>
      <c r="H739" s="0" t="str">
        <f aca="false">IF($A739="","",IF(AW739="Y",BR739&amp;"",BD739&amp;""))</f>
        <v/>
      </c>
      <c r="I739" s="0" t="str">
        <f aca="false">IF($A739="","",IF(R739="Y","warm-intro",IF(H739="verified","email",IF(C739&lt;&gt;"","linkedin",CB739&amp;""))))</f>
        <v/>
      </c>
      <c r="J739" s="0" t="str">
        <f aca="false">IF($A739="","",IF(CN739="pass",ROUND(N(EM739)+N(EN739)+N(EO739)+N(EP739)+N(EQ739)+N(ER739),1),0))</f>
        <v/>
      </c>
      <c r="K739" s="0" t="str">
        <f aca="false">IF($A739="","",IF(CN739&lt;&gt;"pass",CA739&amp;"",CA739&amp;"; "&amp;IF(AW739="Y",BZ739&amp;"",BL739&amp;"")&amp;IF(R739="Y","; known to the founder (+15)","")&amp;"."))</f>
        <v/>
      </c>
      <c r="R739" s="5"/>
      <c r="U739" s="5"/>
      <c r="Y739" s="0" t="str">
        <f aca="false">IF(FX739&lt;&gt;"Y","",COUNTIFS($FX$2:$FX$1000,"Y",$J$2:$J$1000,"&gt;"&amp;J739)+COUNTIFS($FX$2:$FX$1000,"Y",$J$2:$J$1000,J739,$GD$2:$GD$1000,"&lt;"&amp;GD739)+1)</f>
        <v/>
      </c>
      <c r="AB739" s="0" t="str">
        <f aca="false">IF($A739="","",IF(AW739="Y",BY739&amp;"",BK739&amp;""))</f>
        <v/>
      </c>
      <c r="AC739" s="0" t="str">
        <f aca="false">IF($A739="","",IF(AW739="Y",BS739&amp;"",BE739&amp;""))</f>
        <v/>
      </c>
      <c r="AD739" s="0" t="str">
        <f aca="false">IF($A739="","",IF(AW739="Y",BT739&amp;"",BF739&amp;""))</f>
        <v/>
      </c>
      <c r="AE739" s="0" t="str">
        <f aca="false">IF($A739="","",IF(AW739="Y",BU739&amp;"",BG739&amp;""))</f>
        <v/>
      </c>
      <c r="AF739" s="0" t="str">
        <f aca="false">IF($A739="","",IF(AW739="Y",BV739&amp;"",BH739&amp;""))</f>
        <v/>
      </c>
      <c r="AG739" s="0" t="str">
        <f aca="false">IF($A739="","",IF(AW739="Y",BW739&amp;"",BI739&amp;""))</f>
        <v/>
      </c>
      <c r="AH739" s="0" t="str">
        <f aca="false">IF($A739="","",IF(AW739="Y",BX739&amp;"",BJ739&amp;""))</f>
        <v/>
      </c>
      <c r="AQ739" s="5"/>
      <c r="AT739" s="0" t="str">
        <f aca="false">IF($A739="","",IF(AND(CN739="pass",AQ739&lt;&gt;"Y",C739&lt;&gt;"",OR(AX739&lt;&gt;"Y",AV739="Y")),"Y","N"))</f>
        <v/>
      </c>
      <c r="AU739" s="0" t="str">
        <f aca="false">IF($A739="","",_xlfn.TEXTJOIN("; ",TRUE(),IF(CN739&lt;&gt;"pass","gated out",""),IF(AQ739="Y","on hold: "&amp;AR739,""),IF(C739="","no contact named on an opened page",""),IF(AND(AX739="Y",AV739&lt;&gt;"Y"),"Tuesday estimate band "&amp;L739&amp;": founder's call","")))</f>
        <v/>
      </c>
      <c r="BC739" s="0" t="str">
        <f aca="false">IF($A739="","",IFERROR(INDEX(Enrichment!$A$2:$GZ$2000,MATCH($A739,INDEX(Enrichment!$A$2:$GZ$2000,0,MATCH("row_id",Enrichment!$A$1:$GZ$1,0)),0),MATCH("work_email",Enrichment!$A$1:$GZ$1,0))&amp;"",""))</f>
        <v/>
      </c>
      <c r="BD739" s="0" t="str">
        <f aca="false">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Q739" s="0" t="str">
        <f aca="false">IF($A739="","",IFERROR(INDEX(Enrichment!$A$2:$GZ$2000,MATCH($A739,INDEX(Enrichment!$A$2:$GZ$2000,0,MATCH("row_id",Enrichment!$A$1:$GZ$1,0)),0),MATCH("backup_work_email",Enrichment!$A$1:$GZ$1,0))&amp;"",""))</f>
        <v/>
      </c>
      <c r="BR739" s="0" t="str">
        <f aca="false">IF($A739="","",IF(BQ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EQ739" s="0" t="str">
        <f aca="false">IF($A739="","",IF(AH739="exact",10,IF(AH739="adjacent",5,0)))</f>
        <v/>
      </c>
      <c r="ER739" s="0" t="str">
        <f aca="false">IF($A739="","",IF(R739="Y",15,0))</f>
        <v/>
      </c>
      <c r="FS739" s="0" t="str">
        <f aca="false">IF($A739="","",IF(ISNUMBER(MATCH(U739,{"queued","contacted","replied","call_booked","call_done","yes_in_principle","materials_sent"},0)),"Y","N"))</f>
        <v/>
      </c>
      <c r="FT739" s="0" t="str">
        <f aca="false">IF($A739="","",IF(OR(T739="Y",U739="do_not_contact",AS739&amp;""&lt;&gt;""),"Y","N"))</f>
        <v/>
      </c>
      <c r="FU739" s="0" t="str">
        <f aca="false">IF($A739="","",IF(AP739&amp;""&lt;&gt;"",AP739&amp;"",$A739))</f>
        <v/>
      </c>
      <c r="FV739" s="0" t="str">
        <f aca="false">IF($A739="","",IF(COUNTIFS($FU$2:$FU$1000,FU739,$FS$2:$FS$1000,"Y")+COUNTIFS($FU$2:$FU$1000,FU739,$FT$2:$FT$1000,"Y")&gt;0,"Y","N"))</f>
        <v/>
      </c>
      <c r="FW739" s="0" t="str">
        <f aca="false">IF($A739="","",IF(AND(U739="new",T739="N",FT739="N",AT739="Y",FV739="N"),"Y","N"))</f>
        <v/>
      </c>
      <c r="FX739" s="0" t="str">
        <f aca="false">IF($A739="","",IF(FW739&lt;&gt;"Y","N",IF(COUNTIFS($FU$2:$FU$1000,FU739,$FW$2:$FW$1000,"Y",$J$2:$J$1000,"&gt;"&amp;J739)+COUNTIFS($FU$2:$FU$1000,FU739,$FW$2:$FW$1000,"Y",$J$2:$J$1000,J739,$GD$2:$GD$1000,"&lt;"&amp;GD739)=0,"Y","N")))</f>
        <v/>
      </c>
      <c r="FY739" s="0" t="str">
        <f aca="false">IF($A739="","",IF(AND(FW739="Y",FX739="Y",Y739&amp;""&lt;&gt;""),IF(Y739&lt;=10,"Y","N"),"N"))</f>
        <v/>
      </c>
      <c r="FZ739" s="0" t="str">
        <f aca="false">IF(FY739="Y",Y739,"")</f>
        <v/>
      </c>
      <c r="GA739" s="0" t="str">
        <f aca="false">IF($A739="","",IF(AND(I739="walk-in",CN739="pass",U739="new",FT739="N",FV739="N",AQ739&lt;&gt;"Y"),"Y","N"))</f>
        <v/>
      </c>
      <c r="GB739" s="0" t="str">
        <f aca="false">IF(GA739&lt;&gt;"Y","",IF(COUNTIFS($GA$2:$GA$1000,"Y",$J$2:$J$1000,"&gt;"&amp;J739)+COUNTIFS($GA$2:$GA$1000,"Y",$J$2:$J$1000,J739,$GD$2:$GD$1000,"&lt;"&amp;GD739)+1&lt;=25,COUNTIFS($GA$2:$GA$1000,"Y",$J$2:$J$1000,"&gt;"&amp;J739)+COUNTIFS($GA$2:$GA$1000,"Y",$J$2:$J$1000,J739,$GD$2:$GD$1000,"&lt;"&amp;GD739)+1,""))</f>
        <v/>
      </c>
      <c r="GC739" s="0" t="str">
        <f aca="false">IF(AND(_xlfn.ISFORMULA(C739),_xlfn.ISFORMULA(J739)),"Y","N")</f>
        <v>Y</v>
      </c>
      <c r="GD739" s="0" t="n">
        <f aca="false">ROW()-1</f>
        <v>738</v>
      </c>
    </row>
    <row r="740" customFormat="false" ht="15" hidden="false" customHeight="false" outlineLevel="0" collapsed="false">
      <c r="C740" s="0" t="str">
        <f aca="false">IF($A740="","",IF(AW740="Y",BM740&amp;"",AY740&amp;""))</f>
        <v/>
      </c>
      <c r="D740" s="0" t="str">
        <f aca="false">IF($A740="","",IF(AW740="Y",BN740&amp;"",AZ740&amp;""))</f>
        <v/>
      </c>
      <c r="E740" s="0" t="str">
        <f aca="false">IF($A740="","",IF(AW740="Y",BO740&amp;"",BA740&amp;""))</f>
        <v/>
      </c>
      <c r="F740" s="0" t="str">
        <f aca="false">IF($A740="","",IF(AW740="Y",BP740&amp;"",BB740&amp;""))</f>
        <v/>
      </c>
      <c r="G740" s="0" t="str">
        <f aca="false">IF($A740="","",IF(AW740="Y",BQ740&amp;"",BC740&amp;""))</f>
        <v/>
      </c>
      <c r="H740" s="0" t="str">
        <f aca="false">IF($A740="","",IF(AW740="Y",BR740&amp;"",BD740&amp;""))</f>
        <v/>
      </c>
      <c r="I740" s="0" t="str">
        <f aca="false">IF($A740="","",IF(R740="Y","warm-intro",IF(H740="verified","email",IF(C740&lt;&gt;"","linkedin",CB740&amp;""))))</f>
        <v/>
      </c>
      <c r="J740" s="0" t="str">
        <f aca="false">IF($A740="","",IF(CN740="pass",ROUND(N(EM740)+N(EN740)+N(EO740)+N(EP740)+N(EQ740)+N(ER740),1),0))</f>
        <v/>
      </c>
      <c r="K740" s="0" t="str">
        <f aca="false">IF($A740="","",IF(CN740&lt;&gt;"pass",CA740&amp;"",CA740&amp;"; "&amp;IF(AW740="Y",BZ740&amp;"",BL740&amp;"")&amp;IF(R740="Y","; known to the founder (+15)","")&amp;"."))</f>
        <v/>
      </c>
      <c r="R740" s="5"/>
      <c r="U740" s="5"/>
      <c r="Y740" s="0" t="str">
        <f aca="false">IF(FX740&lt;&gt;"Y","",COUNTIFS($FX$2:$FX$1000,"Y",$J$2:$J$1000,"&gt;"&amp;J740)+COUNTIFS($FX$2:$FX$1000,"Y",$J$2:$J$1000,J740,$GD$2:$GD$1000,"&lt;"&amp;GD740)+1)</f>
        <v/>
      </c>
      <c r="AB740" s="0" t="str">
        <f aca="false">IF($A740="","",IF(AW740="Y",BY740&amp;"",BK740&amp;""))</f>
        <v/>
      </c>
      <c r="AC740" s="0" t="str">
        <f aca="false">IF($A740="","",IF(AW740="Y",BS740&amp;"",BE740&amp;""))</f>
        <v/>
      </c>
      <c r="AD740" s="0" t="str">
        <f aca="false">IF($A740="","",IF(AW740="Y",BT740&amp;"",BF740&amp;""))</f>
        <v/>
      </c>
      <c r="AE740" s="0" t="str">
        <f aca="false">IF($A740="","",IF(AW740="Y",BU740&amp;"",BG740&amp;""))</f>
        <v/>
      </c>
      <c r="AF740" s="0" t="str">
        <f aca="false">IF($A740="","",IF(AW740="Y",BV740&amp;"",BH740&amp;""))</f>
        <v/>
      </c>
      <c r="AG740" s="0" t="str">
        <f aca="false">IF($A740="","",IF(AW740="Y",BW740&amp;"",BI740&amp;""))</f>
        <v/>
      </c>
      <c r="AH740" s="0" t="str">
        <f aca="false">IF($A740="","",IF(AW740="Y",BX740&amp;"",BJ740&amp;""))</f>
        <v/>
      </c>
      <c r="AQ740" s="5"/>
      <c r="AT740" s="0" t="str">
        <f aca="false">IF($A740="","",IF(AND(CN740="pass",AQ740&lt;&gt;"Y",C740&lt;&gt;"",OR(AX740&lt;&gt;"Y",AV740="Y")),"Y","N"))</f>
        <v/>
      </c>
      <c r="AU740" s="0" t="str">
        <f aca="false">IF($A740="","",_xlfn.TEXTJOIN("; ",TRUE(),IF(CN740&lt;&gt;"pass","gated out",""),IF(AQ740="Y","on hold: "&amp;AR740,""),IF(C740="","no contact named on an opened page",""),IF(AND(AX740="Y",AV740&lt;&gt;"Y"),"Tuesday estimate band "&amp;L740&amp;": founder's call","")))</f>
        <v/>
      </c>
      <c r="BC740" s="0" t="str">
        <f aca="false">IF($A740="","",IFERROR(INDEX(Enrichment!$A$2:$GZ$2000,MATCH($A740,INDEX(Enrichment!$A$2:$GZ$2000,0,MATCH("row_id",Enrichment!$A$1:$GZ$1,0)),0),MATCH("work_email",Enrichment!$A$1:$GZ$1,0))&amp;"",""))</f>
        <v/>
      </c>
      <c r="BD740" s="0" t="str">
        <f aca="false">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Q740" s="0" t="str">
        <f aca="false">IF($A740="","",IFERROR(INDEX(Enrichment!$A$2:$GZ$2000,MATCH($A740,INDEX(Enrichment!$A$2:$GZ$2000,0,MATCH("row_id",Enrichment!$A$1:$GZ$1,0)),0),MATCH("backup_work_email",Enrichment!$A$1:$GZ$1,0))&amp;"",""))</f>
        <v/>
      </c>
      <c r="BR740" s="0" t="str">
        <f aca="false">IF($A740="","",IF(BQ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EQ740" s="0" t="str">
        <f aca="false">IF($A740="","",IF(AH740="exact",10,IF(AH740="adjacent",5,0)))</f>
        <v/>
      </c>
      <c r="ER740" s="0" t="str">
        <f aca="false">IF($A740="","",IF(R740="Y",15,0))</f>
        <v/>
      </c>
      <c r="FS740" s="0" t="str">
        <f aca="false">IF($A740="","",IF(ISNUMBER(MATCH(U740,{"queued","contacted","replied","call_booked","call_done","yes_in_principle","materials_sent"},0)),"Y","N"))</f>
        <v/>
      </c>
      <c r="FT740" s="0" t="str">
        <f aca="false">IF($A740="","",IF(OR(T740="Y",U740="do_not_contact",AS740&amp;""&lt;&gt;""),"Y","N"))</f>
        <v/>
      </c>
      <c r="FU740" s="0" t="str">
        <f aca="false">IF($A740="","",IF(AP740&amp;""&lt;&gt;"",AP740&amp;"",$A740))</f>
        <v/>
      </c>
      <c r="FV740" s="0" t="str">
        <f aca="false">IF($A740="","",IF(COUNTIFS($FU$2:$FU$1000,FU740,$FS$2:$FS$1000,"Y")+COUNTIFS($FU$2:$FU$1000,FU740,$FT$2:$FT$1000,"Y")&gt;0,"Y","N"))</f>
        <v/>
      </c>
      <c r="FW740" s="0" t="str">
        <f aca="false">IF($A740="","",IF(AND(U740="new",T740="N",FT740="N",AT740="Y",FV740="N"),"Y","N"))</f>
        <v/>
      </c>
      <c r="FX740" s="0" t="str">
        <f aca="false">IF($A740="","",IF(FW740&lt;&gt;"Y","N",IF(COUNTIFS($FU$2:$FU$1000,FU740,$FW$2:$FW$1000,"Y",$J$2:$J$1000,"&gt;"&amp;J740)+COUNTIFS($FU$2:$FU$1000,FU740,$FW$2:$FW$1000,"Y",$J$2:$J$1000,J740,$GD$2:$GD$1000,"&lt;"&amp;GD740)=0,"Y","N")))</f>
        <v/>
      </c>
      <c r="FY740" s="0" t="str">
        <f aca="false">IF($A740="","",IF(AND(FW740="Y",FX740="Y",Y740&amp;""&lt;&gt;""),IF(Y740&lt;=10,"Y","N"),"N"))</f>
        <v/>
      </c>
      <c r="FZ740" s="0" t="str">
        <f aca="false">IF(FY740="Y",Y740,"")</f>
        <v/>
      </c>
      <c r="GA740" s="0" t="str">
        <f aca="false">IF($A740="","",IF(AND(I740="walk-in",CN740="pass",U740="new",FT740="N",FV740="N",AQ740&lt;&gt;"Y"),"Y","N"))</f>
        <v/>
      </c>
      <c r="GB740" s="0" t="str">
        <f aca="false">IF(GA740&lt;&gt;"Y","",IF(COUNTIFS($GA$2:$GA$1000,"Y",$J$2:$J$1000,"&gt;"&amp;J740)+COUNTIFS($GA$2:$GA$1000,"Y",$J$2:$J$1000,J740,$GD$2:$GD$1000,"&lt;"&amp;GD740)+1&lt;=25,COUNTIFS($GA$2:$GA$1000,"Y",$J$2:$J$1000,"&gt;"&amp;J740)+COUNTIFS($GA$2:$GA$1000,"Y",$J$2:$J$1000,J740,$GD$2:$GD$1000,"&lt;"&amp;GD740)+1,""))</f>
        <v/>
      </c>
      <c r="GC740" s="0" t="str">
        <f aca="false">IF(AND(_xlfn.ISFORMULA(C740),_xlfn.ISFORMULA(J740)),"Y","N")</f>
        <v>Y</v>
      </c>
      <c r="GD740" s="0" t="n">
        <f aca="false">ROW()-1</f>
        <v>739</v>
      </c>
    </row>
    <row r="741" customFormat="false" ht="15" hidden="false" customHeight="false" outlineLevel="0" collapsed="false">
      <c r="C741" s="0" t="str">
        <f aca="false">IF($A741="","",IF(AW741="Y",BM741&amp;"",AY741&amp;""))</f>
        <v/>
      </c>
      <c r="D741" s="0" t="str">
        <f aca="false">IF($A741="","",IF(AW741="Y",BN741&amp;"",AZ741&amp;""))</f>
        <v/>
      </c>
      <c r="E741" s="0" t="str">
        <f aca="false">IF($A741="","",IF(AW741="Y",BO741&amp;"",BA741&amp;""))</f>
        <v/>
      </c>
      <c r="F741" s="0" t="str">
        <f aca="false">IF($A741="","",IF(AW741="Y",BP741&amp;"",BB741&amp;""))</f>
        <v/>
      </c>
      <c r="G741" s="0" t="str">
        <f aca="false">IF($A741="","",IF(AW741="Y",BQ741&amp;"",BC741&amp;""))</f>
        <v/>
      </c>
      <c r="H741" s="0" t="str">
        <f aca="false">IF($A741="","",IF(AW741="Y",BR741&amp;"",BD741&amp;""))</f>
        <v/>
      </c>
      <c r="I741" s="0" t="str">
        <f aca="false">IF($A741="","",IF(R741="Y","warm-intro",IF(H741="verified","email",IF(C741&lt;&gt;"","linkedin",CB741&amp;""))))</f>
        <v/>
      </c>
      <c r="J741" s="0" t="str">
        <f aca="false">IF($A741="","",IF(CN741="pass",ROUND(N(EM741)+N(EN741)+N(EO741)+N(EP741)+N(EQ741)+N(ER741),1),0))</f>
        <v/>
      </c>
      <c r="K741" s="0" t="str">
        <f aca="false">IF($A741="","",IF(CN741&lt;&gt;"pass",CA741&amp;"",CA741&amp;"; "&amp;IF(AW741="Y",BZ741&amp;"",BL741&amp;"")&amp;IF(R741="Y","; known to the founder (+15)","")&amp;"."))</f>
        <v/>
      </c>
      <c r="R741" s="5"/>
      <c r="U741" s="5"/>
      <c r="Y741" s="0" t="str">
        <f aca="false">IF(FX741&lt;&gt;"Y","",COUNTIFS($FX$2:$FX$1000,"Y",$J$2:$J$1000,"&gt;"&amp;J741)+COUNTIFS($FX$2:$FX$1000,"Y",$J$2:$J$1000,J741,$GD$2:$GD$1000,"&lt;"&amp;GD741)+1)</f>
        <v/>
      </c>
      <c r="AB741" s="0" t="str">
        <f aca="false">IF($A741="","",IF(AW741="Y",BY741&amp;"",BK741&amp;""))</f>
        <v/>
      </c>
      <c r="AC741" s="0" t="str">
        <f aca="false">IF($A741="","",IF(AW741="Y",BS741&amp;"",BE741&amp;""))</f>
        <v/>
      </c>
      <c r="AD741" s="0" t="str">
        <f aca="false">IF($A741="","",IF(AW741="Y",BT741&amp;"",BF741&amp;""))</f>
        <v/>
      </c>
      <c r="AE741" s="0" t="str">
        <f aca="false">IF($A741="","",IF(AW741="Y",BU741&amp;"",BG741&amp;""))</f>
        <v/>
      </c>
      <c r="AF741" s="0" t="str">
        <f aca="false">IF($A741="","",IF(AW741="Y",BV741&amp;"",BH741&amp;""))</f>
        <v/>
      </c>
      <c r="AG741" s="0" t="str">
        <f aca="false">IF($A741="","",IF(AW741="Y",BW741&amp;"",BI741&amp;""))</f>
        <v/>
      </c>
      <c r="AH741" s="0" t="str">
        <f aca="false">IF($A741="","",IF(AW741="Y",BX741&amp;"",BJ741&amp;""))</f>
        <v/>
      </c>
      <c r="AQ741" s="5"/>
      <c r="AT741" s="0" t="str">
        <f aca="false">IF($A741="","",IF(AND(CN741="pass",AQ741&lt;&gt;"Y",C741&lt;&gt;"",OR(AX741&lt;&gt;"Y",AV741="Y")),"Y","N"))</f>
        <v/>
      </c>
      <c r="AU741" s="0" t="str">
        <f aca="false">IF($A741="","",_xlfn.TEXTJOIN("; ",TRUE(),IF(CN741&lt;&gt;"pass","gated out",""),IF(AQ741="Y","on hold: "&amp;AR741,""),IF(C741="","no contact named on an opened page",""),IF(AND(AX741="Y",AV741&lt;&gt;"Y"),"Tuesday estimate band "&amp;L741&amp;": founder's call","")))</f>
        <v/>
      </c>
      <c r="BC741" s="0" t="str">
        <f aca="false">IF($A741="","",IFERROR(INDEX(Enrichment!$A$2:$GZ$2000,MATCH($A741,INDEX(Enrichment!$A$2:$GZ$2000,0,MATCH("row_id",Enrichment!$A$1:$GZ$1,0)),0),MATCH("work_email",Enrichment!$A$1:$GZ$1,0))&amp;"",""))</f>
        <v/>
      </c>
      <c r="BD741" s="0" t="str">
        <f aca="false">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Q741" s="0" t="str">
        <f aca="false">IF($A741="","",IFERROR(INDEX(Enrichment!$A$2:$GZ$2000,MATCH($A741,INDEX(Enrichment!$A$2:$GZ$2000,0,MATCH("row_id",Enrichment!$A$1:$GZ$1,0)),0),MATCH("backup_work_email",Enrichment!$A$1:$GZ$1,0))&amp;"",""))</f>
        <v/>
      </c>
      <c r="BR741" s="0" t="str">
        <f aca="false">IF($A741="","",IF(BQ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EQ741" s="0" t="str">
        <f aca="false">IF($A741="","",IF(AH741="exact",10,IF(AH741="adjacent",5,0)))</f>
        <v/>
      </c>
      <c r="ER741" s="0" t="str">
        <f aca="false">IF($A741="","",IF(R741="Y",15,0))</f>
        <v/>
      </c>
      <c r="FS741" s="0" t="str">
        <f aca="false">IF($A741="","",IF(ISNUMBER(MATCH(U741,{"queued","contacted","replied","call_booked","call_done","yes_in_principle","materials_sent"},0)),"Y","N"))</f>
        <v/>
      </c>
      <c r="FT741" s="0" t="str">
        <f aca="false">IF($A741="","",IF(OR(T741="Y",U741="do_not_contact",AS741&amp;""&lt;&gt;""),"Y","N"))</f>
        <v/>
      </c>
      <c r="FU741" s="0" t="str">
        <f aca="false">IF($A741="","",IF(AP741&amp;""&lt;&gt;"",AP741&amp;"",$A741))</f>
        <v/>
      </c>
      <c r="FV741" s="0" t="str">
        <f aca="false">IF($A741="","",IF(COUNTIFS($FU$2:$FU$1000,FU741,$FS$2:$FS$1000,"Y")+COUNTIFS($FU$2:$FU$1000,FU741,$FT$2:$FT$1000,"Y")&gt;0,"Y","N"))</f>
        <v/>
      </c>
      <c r="FW741" s="0" t="str">
        <f aca="false">IF($A741="","",IF(AND(U741="new",T741="N",FT741="N",AT741="Y",FV741="N"),"Y","N"))</f>
        <v/>
      </c>
      <c r="FX741" s="0" t="str">
        <f aca="false">IF($A741="","",IF(FW741&lt;&gt;"Y","N",IF(COUNTIFS($FU$2:$FU$1000,FU741,$FW$2:$FW$1000,"Y",$J$2:$J$1000,"&gt;"&amp;J741)+COUNTIFS($FU$2:$FU$1000,FU741,$FW$2:$FW$1000,"Y",$J$2:$J$1000,J741,$GD$2:$GD$1000,"&lt;"&amp;GD741)=0,"Y","N")))</f>
        <v/>
      </c>
      <c r="FY741" s="0" t="str">
        <f aca="false">IF($A741="","",IF(AND(FW741="Y",FX741="Y",Y741&amp;""&lt;&gt;""),IF(Y741&lt;=10,"Y","N"),"N"))</f>
        <v/>
      </c>
      <c r="FZ741" s="0" t="str">
        <f aca="false">IF(FY741="Y",Y741,"")</f>
        <v/>
      </c>
      <c r="GA741" s="0" t="str">
        <f aca="false">IF($A741="","",IF(AND(I741="walk-in",CN741="pass",U741="new",FT741="N",FV741="N",AQ741&lt;&gt;"Y"),"Y","N"))</f>
        <v/>
      </c>
      <c r="GB741" s="0" t="str">
        <f aca="false">IF(GA741&lt;&gt;"Y","",IF(COUNTIFS($GA$2:$GA$1000,"Y",$J$2:$J$1000,"&gt;"&amp;J741)+COUNTIFS($GA$2:$GA$1000,"Y",$J$2:$J$1000,J741,$GD$2:$GD$1000,"&lt;"&amp;GD741)+1&lt;=25,COUNTIFS($GA$2:$GA$1000,"Y",$J$2:$J$1000,"&gt;"&amp;J741)+COUNTIFS($GA$2:$GA$1000,"Y",$J$2:$J$1000,J741,$GD$2:$GD$1000,"&lt;"&amp;GD741)+1,""))</f>
        <v/>
      </c>
      <c r="GC741" s="0" t="str">
        <f aca="false">IF(AND(_xlfn.ISFORMULA(C741),_xlfn.ISFORMULA(J741)),"Y","N")</f>
        <v>Y</v>
      </c>
      <c r="GD741" s="0" t="n">
        <f aca="false">ROW()-1</f>
        <v>740</v>
      </c>
    </row>
    <row r="742" customFormat="false" ht="15" hidden="false" customHeight="false" outlineLevel="0" collapsed="false">
      <c r="C742" s="0" t="str">
        <f aca="false">IF($A742="","",IF(AW742="Y",BM742&amp;"",AY742&amp;""))</f>
        <v/>
      </c>
      <c r="D742" s="0" t="str">
        <f aca="false">IF($A742="","",IF(AW742="Y",BN742&amp;"",AZ742&amp;""))</f>
        <v/>
      </c>
      <c r="E742" s="0" t="str">
        <f aca="false">IF($A742="","",IF(AW742="Y",BO742&amp;"",BA742&amp;""))</f>
        <v/>
      </c>
      <c r="F742" s="0" t="str">
        <f aca="false">IF($A742="","",IF(AW742="Y",BP742&amp;"",BB742&amp;""))</f>
        <v/>
      </c>
      <c r="G742" s="0" t="str">
        <f aca="false">IF($A742="","",IF(AW742="Y",BQ742&amp;"",BC742&amp;""))</f>
        <v/>
      </c>
      <c r="H742" s="0" t="str">
        <f aca="false">IF($A742="","",IF(AW742="Y",BR742&amp;"",BD742&amp;""))</f>
        <v/>
      </c>
      <c r="I742" s="0" t="str">
        <f aca="false">IF($A742="","",IF(R742="Y","warm-intro",IF(H742="verified","email",IF(C742&lt;&gt;"","linkedin",CB742&amp;""))))</f>
        <v/>
      </c>
      <c r="J742" s="0" t="str">
        <f aca="false">IF($A742="","",IF(CN742="pass",ROUND(N(EM742)+N(EN742)+N(EO742)+N(EP742)+N(EQ742)+N(ER742),1),0))</f>
        <v/>
      </c>
      <c r="K742" s="0" t="str">
        <f aca="false">IF($A742="","",IF(CN742&lt;&gt;"pass",CA742&amp;"",CA742&amp;"; "&amp;IF(AW742="Y",BZ742&amp;"",BL742&amp;"")&amp;IF(R742="Y","; known to the founder (+15)","")&amp;"."))</f>
        <v/>
      </c>
      <c r="R742" s="5"/>
      <c r="U742" s="5"/>
      <c r="Y742" s="0" t="str">
        <f aca="false">IF(FX742&lt;&gt;"Y","",COUNTIFS($FX$2:$FX$1000,"Y",$J$2:$J$1000,"&gt;"&amp;J742)+COUNTIFS($FX$2:$FX$1000,"Y",$J$2:$J$1000,J742,$GD$2:$GD$1000,"&lt;"&amp;GD742)+1)</f>
        <v/>
      </c>
      <c r="AB742" s="0" t="str">
        <f aca="false">IF($A742="","",IF(AW742="Y",BY742&amp;"",BK742&amp;""))</f>
        <v/>
      </c>
      <c r="AC742" s="0" t="str">
        <f aca="false">IF($A742="","",IF(AW742="Y",BS742&amp;"",BE742&amp;""))</f>
        <v/>
      </c>
      <c r="AD742" s="0" t="str">
        <f aca="false">IF($A742="","",IF(AW742="Y",BT742&amp;"",BF742&amp;""))</f>
        <v/>
      </c>
      <c r="AE742" s="0" t="str">
        <f aca="false">IF($A742="","",IF(AW742="Y",BU742&amp;"",BG742&amp;""))</f>
        <v/>
      </c>
      <c r="AF742" s="0" t="str">
        <f aca="false">IF($A742="","",IF(AW742="Y",BV742&amp;"",BH742&amp;""))</f>
        <v/>
      </c>
      <c r="AG742" s="0" t="str">
        <f aca="false">IF($A742="","",IF(AW742="Y",BW742&amp;"",BI742&amp;""))</f>
        <v/>
      </c>
      <c r="AH742" s="0" t="str">
        <f aca="false">IF($A742="","",IF(AW742="Y",BX742&amp;"",BJ742&amp;""))</f>
        <v/>
      </c>
      <c r="AQ742" s="5"/>
      <c r="AT742" s="0" t="str">
        <f aca="false">IF($A742="","",IF(AND(CN742="pass",AQ742&lt;&gt;"Y",C742&lt;&gt;"",OR(AX742&lt;&gt;"Y",AV742="Y")),"Y","N"))</f>
        <v/>
      </c>
      <c r="AU742" s="0" t="str">
        <f aca="false">IF($A742="","",_xlfn.TEXTJOIN("; ",TRUE(),IF(CN742&lt;&gt;"pass","gated out",""),IF(AQ742="Y","on hold: "&amp;AR742,""),IF(C742="","no contact named on an opened page",""),IF(AND(AX742="Y",AV742&lt;&gt;"Y"),"Tuesday estimate band "&amp;L742&amp;": founder's call","")))</f>
        <v/>
      </c>
      <c r="BC742" s="0" t="str">
        <f aca="false">IF($A742="","",IFERROR(INDEX(Enrichment!$A$2:$GZ$2000,MATCH($A742,INDEX(Enrichment!$A$2:$GZ$2000,0,MATCH("row_id",Enrichment!$A$1:$GZ$1,0)),0),MATCH("work_email",Enrichment!$A$1:$GZ$1,0))&amp;"",""))</f>
        <v/>
      </c>
      <c r="BD742" s="0" t="str">
        <f aca="false">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Q742" s="0" t="str">
        <f aca="false">IF($A742="","",IFERROR(INDEX(Enrichment!$A$2:$GZ$2000,MATCH($A742,INDEX(Enrichment!$A$2:$GZ$2000,0,MATCH("row_id",Enrichment!$A$1:$GZ$1,0)),0),MATCH("backup_work_email",Enrichment!$A$1:$GZ$1,0))&amp;"",""))</f>
        <v/>
      </c>
      <c r="BR742" s="0" t="str">
        <f aca="false">IF($A742="","",IF(BQ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EQ742" s="0" t="str">
        <f aca="false">IF($A742="","",IF(AH742="exact",10,IF(AH742="adjacent",5,0)))</f>
        <v/>
      </c>
      <c r="ER742" s="0" t="str">
        <f aca="false">IF($A742="","",IF(R742="Y",15,0))</f>
        <v/>
      </c>
      <c r="FS742" s="0" t="str">
        <f aca="false">IF($A742="","",IF(ISNUMBER(MATCH(U742,{"queued","contacted","replied","call_booked","call_done","yes_in_principle","materials_sent"},0)),"Y","N"))</f>
        <v/>
      </c>
      <c r="FT742" s="0" t="str">
        <f aca="false">IF($A742="","",IF(OR(T742="Y",U742="do_not_contact",AS742&amp;""&lt;&gt;""),"Y","N"))</f>
        <v/>
      </c>
      <c r="FU742" s="0" t="str">
        <f aca="false">IF($A742="","",IF(AP742&amp;""&lt;&gt;"",AP742&amp;"",$A742))</f>
        <v/>
      </c>
      <c r="FV742" s="0" t="str">
        <f aca="false">IF($A742="","",IF(COUNTIFS($FU$2:$FU$1000,FU742,$FS$2:$FS$1000,"Y")+COUNTIFS($FU$2:$FU$1000,FU742,$FT$2:$FT$1000,"Y")&gt;0,"Y","N"))</f>
        <v/>
      </c>
      <c r="FW742" s="0" t="str">
        <f aca="false">IF($A742="","",IF(AND(U742="new",T742="N",FT742="N",AT742="Y",FV742="N"),"Y","N"))</f>
        <v/>
      </c>
      <c r="FX742" s="0" t="str">
        <f aca="false">IF($A742="","",IF(FW742&lt;&gt;"Y","N",IF(COUNTIFS($FU$2:$FU$1000,FU742,$FW$2:$FW$1000,"Y",$J$2:$J$1000,"&gt;"&amp;J742)+COUNTIFS($FU$2:$FU$1000,FU742,$FW$2:$FW$1000,"Y",$J$2:$J$1000,J742,$GD$2:$GD$1000,"&lt;"&amp;GD742)=0,"Y","N")))</f>
        <v/>
      </c>
      <c r="FY742" s="0" t="str">
        <f aca="false">IF($A742="","",IF(AND(FW742="Y",FX742="Y",Y742&amp;""&lt;&gt;""),IF(Y742&lt;=10,"Y","N"),"N"))</f>
        <v/>
      </c>
      <c r="FZ742" s="0" t="str">
        <f aca="false">IF(FY742="Y",Y742,"")</f>
        <v/>
      </c>
      <c r="GA742" s="0" t="str">
        <f aca="false">IF($A742="","",IF(AND(I742="walk-in",CN742="pass",U742="new",FT742="N",FV742="N",AQ742&lt;&gt;"Y"),"Y","N"))</f>
        <v/>
      </c>
      <c r="GB742" s="0" t="str">
        <f aca="false">IF(GA742&lt;&gt;"Y","",IF(COUNTIFS($GA$2:$GA$1000,"Y",$J$2:$J$1000,"&gt;"&amp;J742)+COUNTIFS($GA$2:$GA$1000,"Y",$J$2:$J$1000,J742,$GD$2:$GD$1000,"&lt;"&amp;GD742)+1&lt;=25,COUNTIFS($GA$2:$GA$1000,"Y",$J$2:$J$1000,"&gt;"&amp;J742)+COUNTIFS($GA$2:$GA$1000,"Y",$J$2:$J$1000,J742,$GD$2:$GD$1000,"&lt;"&amp;GD742)+1,""))</f>
        <v/>
      </c>
      <c r="GC742" s="0" t="str">
        <f aca="false">IF(AND(_xlfn.ISFORMULA(C742),_xlfn.ISFORMULA(J742)),"Y","N")</f>
        <v>Y</v>
      </c>
      <c r="GD742" s="0" t="n">
        <f aca="false">ROW()-1</f>
        <v>741</v>
      </c>
    </row>
    <row r="743" customFormat="false" ht="15" hidden="false" customHeight="false" outlineLevel="0" collapsed="false">
      <c r="C743" s="0" t="str">
        <f aca="false">IF($A743="","",IF(AW743="Y",BM743&amp;"",AY743&amp;""))</f>
        <v/>
      </c>
      <c r="D743" s="0" t="str">
        <f aca="false">IF($A743="","",IF(AW743="Y",BN743&amp;"",AZ743&amp;""))</f>
        <v/>
      </c>
      <c r="E743" s="0" t="str">
        <f aca="false">IF($A743="","",IF(AW743="Y",BO743&amp;"",BA743&amp;""))</f>
        <v/>
      </c>
      <c r="F743" s="0" t="str">
        <f aca="false">IF($A743="","",IF(AW743="Y",BP743&amp;"",BB743&amp;""))</f>
        <v/>
      </c>
      <c r="G743" s="0" t="str">
        <f aca="false">IF($A743="","",IF(AW743="Y",BQ743&amp;"",BC743&amp;""))</f>
        <v/>
      </c>
      <c r="H743" s="0" t="str">
        <f aca="false">IF($A743="","",IF(AW743="Y",BR743&amp;"",BD743&amp;""))</f>
        <v/>
      </c>
      <c r="I743" s="0" t="str">
        <f aca="false">IF($A743="","",IF(R743="Y","warm-intro",IF(H743="verified","email",IF(C743&lt;&gt;"","linkedin",CB743&amp;""))))</f>
        <v/>
      </c>
      <c r="J743" s="0" t="str">
        <f aca="false">IF($A743="","",IF(CN743="pass",ROUND(N(EM743)+N(EN743)+N(EO743)+N(EP743)+N(EQ743)+N(ER743),1),0))</f>
        <v/>
      </c>
      <c r="K743" s="0" t="str">
        <f aca="false">IF($A743="","",IF(CN743&lt;&gt;"pass",CA743&amp;"",CA743&amp;"; "&amp;IF(AW743="Y",BZ743&amp;"",BL743&amp;"")&amp;IF(R743="Y","; known to the founder (+15)","")&amp;"."))</f>
        <v/>
      </c>
      <c r="R743" s="5"/>
      <c r="U743" s="5"/>
      <c r="Y743" s="0" t="str">
        <f aca="false">IF(FX743&lt;&gt;"Y","",COUNTIFS($FX$2:$FX$1000,"Y",$J$2:$J$1000,"&gt;"&amp;J743)+COUNTIFS($FX$2:$FX$1000,"Y",$J$2:$J$1000,J743,$GD$2:$GD$1000,"&lt;"&amp;GD743)+1)</f>
        <v/>
      </c>
      <c r="AB743" s="0" t="str">
        <f aca="false">IF($A743="","",IF(AW743="Y",BY743&amp;"",BK743&amp;""))</f>
        <v/>
      </c>
      <c r="AC743" s="0" t="str">
        <f aca="false">IF($A743="","",IF(AW743="Y",BS743&amp;"",BE743&amp;""))</f>
        <v/>
      </c>
      <c r="AD743" s="0" t="str">
        <f aca="false">IF($A743="","",IF(AW743="Y",BT743&amp;"",BF743&amp;""))</f>
        <v/>
      </c>
      <c r="AE743" s="0" t="str">
        <f aca="false">IF($A743="","",IF(AW743="Y",BU743&amp;"",BG743&amp;""))</f>
        <v/>
      </c>
      <c r="AF743" s="0" t="str">
        <f aca="false">IF($A743="","",IF(AW743="Y",BV743&amp;"",BH743&amp;""))</f>
        <v/>
      </c>
      <c r="AG743" s="0" t="str">
        <f aca="false">IF($A743="","",IF(AW743="Y",BW743&amp;"",BI743&amp;""))</f>
        <v/>
      </c>
      <c r="AH743" s="0" t="str">
        <f aca="false">IF($A743="","",IF(AW743="Y",BX743&amp;"",BJ743&amp;""))</f>
        <v/>
      </c>
      <c r="AQ743" s="5"/>
      <c r="AT743" s="0" t="str">
        <f aca="false">IF($A743="","",IF(AND(CN743="pass",AQ743&lt;&gt;"Y",C743&lt;&gt;"",OR(AX743&lt;&gt;"Y",AV743="Y")),"Y","N"))</f>
        <v/>
      </c>
      <c r="AU743" s="0" t="str">
        <f aca="false">IF($A743="","",_xlfn.TEXTJOIN("; ",TRUE(),IF(CN743&lt;&gt;"pass","gated out",""),IF(AQ743="Y","on hold: "&amp;AR743,""),IF(C743="","no contact named on an opened page",""),IF(AND(AX743="Y",AV743&lt;&gt;"Y"),"Tuesday estimate band "&amp;L743&amp;": founder's call","")))</f>
        <v/>
      </c>
      <c r="BC743" s="0" t="str">
        <f aca="false">IF($A743="","",IFERROR(INDEX(Enrichment!$A$2:$GZ$2000,MATCH($A743,INDEX(Enrichment!$A$2:$GZ$2000,0,MATCH("row_id",Enrichment!$A$1:$GZ$1,0)),0),MATCH("work_email",Enrichment!$A$1:$GZ$1,0))&amp;"",""))</f>
        <v/>
      </c>
      <c r="BD743" s="0" t="str">
        <f aca="false">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Q743" s="0" t="str">
        <f aca="false">IF($A743="","",IFERROR(INDEX(Enrichment!$A$2:$GZ$2000,MATCH($A743,INDEX(Enrichment!$A$2:$GZ$2000,0,MATCH("row_id",Enrichment!$A$1:$GZ$1,0)),0),MATCH("backup_work_email",Enrichment!$A$1:$GZ$1,0))&amp;"",""))</f>
        <v/>
      </c>
      <c r="BR743" s="0" t="str">
        <f aca="false">IF($A743="","",IF(BQ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EQ743" s="0" t="str">
        <f aca="false">IF($A743="","",IF(AH743="exact",10,IF(AH743="adjacent",5,0)))</f>
        <v/>
      </c>
      <c r="ER743" s="0" t="str">
        <f aca="false">IF($A743="","",IF(R743="Y",15,0))</f>
        <v/>
      </c>
      <c r="FS743" s="0" t="str">
        <f aca="false">IF($A743="","",IF(ISNUMBER(MATCH(U743,{"queued","contacted","replied","call_booked","call_done","yes_in_principle","materials_sent"},0)),"Y","N"))</f>
        <v/>
      </c>
      <c r="FT743" s="0" t="str">
        <f aca="false">IF($A743="","",IF(OR(T743="Y",U743="do_not_contact",AS743&amp;""&lt;&gt;""),"Y","N"))</f>
        <v/>
      </c>
      <c r="FU743" s="0" t="str">
        <f aca="false">IF($A743="","",IF(AP743&amp;""&lt;&gt;"",AP743&amp;"",$A743))</f>
        <v/>
      </c>
      <c r="FV743" s="0" t="str">
        <f aca="false">IF($A743="","",IF(COUNTIFS($FU$2:$FU$1000,FU743,$FS$2:$FS$1000,"Y")+COUNTIFS($FU$2:$FU$1000,FU743,$FT$2:$FT$1000,"Y")&gt;0,"Y","N"))</f>
        <v/>
      </c>
      <c r="FW743" s="0" t="str">
        <f aca="false">IF($A743="","",IF(AND(U743="new",T743="N",FT743="N",AT743="Y",FV743="N"),"Y","N"))</f>
        <v/>
      </c>
      <c r="FX743" s="0" t="str">
        <f aca="false">IF($A743="","",IF(FW743&lt;&gt;"Y","N",IF(COUNTIFS($FU$2:$FU$1000,FU743,$FW$2:$FW$1000,"Y",$J$2:$J$1000,"&gt;"&amp;J743)+COUNTIFS($FU$2:$FU$1000,FU743,$FW$2:$FW$1000,"Y",$J$2:$J$1000,J743,$GD$2:$GD$1000,"&lt;"&amp;GD743)=0,"Y","N")))</f>
        <v/>
      </c>
      <c r="FY743" s="0" t="str">
        <f aca="false">IF($A743="","",IF(AND(FW743="Y",FX743="Y",Y743&amp;""&lt;&gt;""),IF(Y743&lt;=10,"Y","N"),"N"))</f>
        <v/>
      </c>
      <c r="FZ743" s="0" t="str">
        <f aca="false">IF(FY743="Y",Y743,"")</f>
        <v/>
      </c>
      <c r="GA743" s="0" t="str">
        <f aca="false">IF($A743="","",IF(AND(I743="walk-in",CN743="pass",U743="new",FT743="N",FV743="N",AQ743&lt;&gt;"Y"),"Y","N"))</f>
        <v/>
      </c>
      <c r="GB743" s="0" t="str">
        <f aca="false">IF(GA743&lt;&gt;"Y","",IF(COUNTIFS($GA$2:$GA$1000,"Y",$J$2:$J$1000,"&gt;"&amp;J743)+COUNTIFS($GA$2:$GA$1000,"Y",$J$2:$J$1000,J743,$GD$2:$GD$1000,"&lt;"&amp;GD743)+1&lt;=25,COUNTIFS($GA$2:$GA$1000,"Y",$J$2:$J$1000,"&gt;"&amp;J743)+COUNTIFS($GA$2:$GA$1000,"Y",$J$2:$J$1000,J743,$GD$2:$GD$1000,"&lt;"&amp;GD743)+1,""))</f>
        <v/>
      </c>
      <c r="GC743" s="0" t="str">
        <f aca="false">IF(AND(_xlfn.ISFORMULA(C743),_xlfn.ISFORMULA(J743)),"Y","N")</f>
        <v>Y</v>
      </c>
      <c r="GD743" s="0" t="n">
        <f aca="false">ROW()-1</f>
        <v>742</v>
      </c>
    </row>
    <row r="744" customFormat="false" ht="15" hidden="false" customHeight="false" outlineLevel="0" collapsed="false">
      <c r="C744" s="0" t="str">
        <f aca="false">IF($A744="","",IF(AW744="Y",BM744&amp;"",AY744&amp;""))</f>
        <v/>
      </c>
      <c r="D744" s="0" t="str">
        <f aca="false">IF($A744="","",IF(AW744="Y",BN744&amp;"",AZ744&amp;""))</f>
        <v/>
      </c>
      <c r="E744" s="0" t="str">
        <f aca="false">IF($A744="","",IF(AW744="Y",BO744&amp;"",BA744&amp;""))</f>
        <v/>
      </c>
      <c r="F744" s="0" t="str">
        <f aca="false">IF($A744="","",IF(AW744="Y",BP744&amp;"",BB744&amp;""))</f>
        <v/>
      </c>
      <c r="G744" s="0" t="str">
        <f aca="false">IF($A744="","",IF(AW744="Y",BQ744&amp;"",BC744&amp;""))</f>
        <v/>
      </c>
      <c r="H744" s="0" t="str">
        <f aca="false">IF($A744="","",IF(AW744="Y",BR744&amp;"",BD744&amp;""))</f>
        <v/>
      </c>
      <c r="I744" s="0" t="str">
        <f aca="false">IF($A744="","",IF(R744="Y","warm-intro",IF(H744="verified","email",IF(C744&lt;&gt;"","linkedin",CB744&amp;""))))</f>
        <v/>
      </c>
      <c r="J744" s="0" t="str">
        <f aca="false">IF($A744="","",IF(CN744="pass",ROUND(N(EM744)+N(EN744)+N(EO744)+N(EP744)+N(EQ744)+N(ER744),1),0))</f>
        <v/>
      </c>
      <c r="K744" s="0" t="str">
        <f aca="false">IF($A744="","",IF(CN744&lt;&gt;"pass",CA744&amp;"",CA744&amp;"; "&amp;IF(AW744="Y",BZ744&amp;"",BL744&amp;"")&amp;IF(R744="Y","; known to the founder (+15)","")&amp;"."))</f>
        <v/>
      </c>
      <c r="R744" s="5"/>
      <c r="U744" s="5"/>
      <c r="Y744" s="0" t="str">
        <f aca="false">IF(FX744&lt;&gt;"Y","",COUNTIFS($FX$2:$FX$1000,"Y",$J$2:$J$1000,"&gt;"&amp;J744)+COUNTIFS($FX$2:$FX$1000,"Y",$J$2:$J$1000,J744,$GD$2:$GD$1000,"&lt;"&amp;GD744)+1)</f>
        <v/>
      </c>
      <c r="AB744" s="0" t="str">
        <f aca="false">IF($A744="","",IF(AW744="Y",BY744&amp;"",BK744&amp;""))</f>
        <v/>
      </c>
      <c r="AC744" s="0" t="str">
        <f aca="false">IF($A744="","",IF(AW744="Y",BS744&amp;"",BE744&amp;""))</f>
        <v/>
      </c>
      <c r="AD744" s="0" t="str">
        <f aca="false">IF($A744="","",IF(AW744="Y",BT744&amp;"",BF744&amp;""))</f>
        <v/>
      </c>
      <c r="AE744" s="0" t="str">
        <f aca="false">IF($A744="","",IF(AW744="Y",BU744&amp;"",BG744&amp;""))</f>
        <v/>
      </c>
      <c r="AF744" s="0" t="str">
        <f aca="false">IF($A744="","",IF(AW744="Y",BV744&amp;"",BH744&amp;""))</f>
        <v/>
      </c>
      <c r="AG744" s="0" t="str">
        <f aca="false">IF($A744="","",IF(AW744="Y",BW744&amp;"",BI744&amp;""))</f>
        <v/>
      </c>
      <c r="AH744" s="0" t="str">
        <f aca="false">IF($A744="","",IF(AW744="Y",BX744&amp;"",BJ744&amp;""))</f>
        <v/>
      </c>
      <c r="AQ744" s="5"/>
      <c r="AT744" s="0" t="str">
        <f aca="false">IF($A744="","",IF(AND(CN744="pass",AQ744&lt;&gt;"Y",C744&lt;&gt;"",OR(AX744&lt;&gt;"Y",AV744="Y")),"Y","N"))</f>
        <v/>
      </c>
      <c r="AU744" s="0" t="str">
        <f aca="false">IF($A744="","",_xlfn.TEXTJOIN("; ",TRUE(),IF(CN744&lt;&gt;"pass","gated out",""),IF(AQ744="Y","on hold: "&amp;AR744,""),IF(C744="","no contact named on an opened page",""),IF(AND(AX744="Y",AV744&lt;&gt;"Y"),"Tuesday estimate band "&amp;L744&amp;": founder's call","")))</f>
        <v/>
      </c>
      <c r="BC744" s="0" t="str">
        <f aca="false">IF($A744="","",IFERROR(INDEX(Enrichment!$A$2:$GZ$2000,MATCH($A744,INDEX(Enrichment!$A$2:$GZ$2000,0,MATCH("row_id",Enrichment!$A$1:$GZ$1,0)),0),MATCH("work_email",Enrichment!$A$1:$GZ$1,0))&amp;"",""))</f>
        <v/>
      </c>
      <c r="BD744" s="0" t="str">
        <f aca="false">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Q744" s="0" t="str">
        <f aca="false">IF($A744="","",IFERROR(INDEX(Enrichment!$A$2:$GZ$2000,MATCH($A744,INDEX(Enrichment!$A$2:$GZ$2000,0,MATCH("row_id",Enrichment!$A$1:$GZ$1,0)),0),MATCH("backup_work_email",Enrichment!$A$1:$GZ$1,0))&amp;"",""))</f>
        <v/>
      </c>
      <c r="BR744" s="0" t="str">
        <f aca="false">IF($A744="","",IF(BQ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EQ744" s="0" t="str">
        <f aca="false">IF($A744="","",IF(AH744="exact",10,IF(AH744="adjacent",5,0)))</f>
        <v/>
      </c>
      <c r="ER744" s="0" t="str">
        <f aca="false">IF($A744="","",IF(R744="Y",15,0))</f>
        <v/>
      </c>
      <c r="FS744" s="0" t="str">
        <f aca="false">IF($A744="","",IF(ISNUMBER(MATCH(U744,{"queued","contacted","replied","call_booked","call_done","yes_in_principle","materials_sent"},0)),"Y","N"))</f>
        <v/>
      </c>
      <c r="FT744" s="0" t="str">
        <f aca="false">IF($A744="","",IF(OR(T744="Y",U744="do_not_contact",AS744&amp;""&lt;&gt;""),"Y","N"))</f>
        <v/>
      </c>
      <c r="FU744" s="0" t="str">
        <f aca="false">IF($A744="","",IF(AP744&amp;""&lt;&gt;"",AP744&amp;"",$A744))</f>
        <v/>
      </c>
      <c r="FV744" s="0" t="str">
        <f aca="false">IF($A744="","",IF(COUNTIFS($FU$2:$FU$1000,FU744,$FS$2:$FS$1000,"Y")+COUNTIFS($FU$2:$FU$1000,FU744,$FT$2:$FT$1000,"Y")&gt;0,"Y","N"))</f>
        <v/>
      </c>
      <c r="FW744" s="0" t="str">
        <f aca="false">IF($A744="","",IF(AND(U744="new",T744="N",FT744="N",AT744="Y",FV744="N"),"Y","N"))</f>
        <v/>
      </c>
      <c r="FX744" s="0" t="str">
        <f aca="false">IF($A744="","",IF(FW744&lt;&gt;"Y","N",IF(COUNTIFS($FU$2:$FU$1000,FU744,$FW$2:$FW$1000,"Y",$J$2:$J$1000,"&gt;"&amp;J744)+COUNTIFS($FU$2:$FU$1000,FU744,$FW$2:$FW$1000,"Y",$J$2:$J$1000,J744,$GD$2:$GD$1000,"&lt;"&amp;GD744)=0,"Y","N")))</f>
        <v/>
      </c>
      <c r="FY744" s="0" t="str">
        <f aca="false">IF($A744="","",IF(AND(FW744="Y",FX744="Y",Y744&amp;""&lt;&gt;""),IF(Y744&lt;=10,"Y","N"),"N"))</f>
        <v/>
      </c>
      <c r="FZ744" s="0" t="str">
        <f aca="false">IF(FY744="Y",Y744,"")</f>
        <v/>
      </c>
      <c r="GA744" s="0" t="str">
        <f aca="false">IF($A744="","",IF(AND(I744="walk-in",CN744="pass",U744="new",FT744="N",FV744="N",AQ744&lt;&gt;"Y"),"Y","N"))</f>
        <v/>
      </c>
      <c r="GB744" s="0" t="str">
        <f aca="false">IF(GA744&lt;&gt;"Y","",IF(COUNTIFS($GA$2:$GA$1000,"Y",$J$2:$J$1000,"&gt;"&amp;J744)+COUNTIFS($GA$2:$GA$1000,"Y",$J$2:$J$1000,J744,$GD$2:$GD$1000,"&lt;"&amp;GD744)+1&lt;=25,COUNTIFS($GA$2:$GA$1000,"Y",$J$2:$J$1000,"&gt;"&amp;J744)+COUNTIFS($GA$2:$GA$1000,"Y",$J$2:$J$1000,J744,$GD$2:$GD$1000,"&lt;"&amp;GD744)+1,""))</f>
        <v/>
      </c>
      <c r="GC744" s="0" t="str">
        <f aca="false">IF(AND(_xlfn.ISFORMULA(C744),_xlfn.ISFORMULA(J744)),"Y","N")</f>
        <v>Y</v>
      </c>
      <c r="GD744" s="0" t="n">
        <f aca="false">ROW()-1</f>
        <v>743</v>
      </c>
    </row>
    <row r="745" customFormat="false" ht="15" hidden="false" customHeight="false" outlineLevel="0" collapsed="false">
      <c r="C745" s="0" t="str">
        <f aca="false">IF($A745="","",IF(AW745="Y",BM745&amp;"",AY745&amp;""))</f>
        <v/>
      </c>
      <c r="D745" s="0" t="str">
        <f aca="false">IF($A745="","",IF(AW745="Y",BN745&amp;"",AZ745&amp;""))</f>
        <v/>
      </c>
      <c r="E745" s="0" t="str">
        <f aca="false">IF($A745="","",IF(AW745="Y",BO745&amp;"",BA745&amp;""))</f>
        <v/>
      </c>
      <c r="F745" s="0" t="str">
        <f aca="false">IF($A745="","",IF(AW745="Y",BP745&amp;"",BB745&amp;""))</f>
        <v/>
      </c>
      <c r="G745" s="0" t="str">
        <f aca="false">IF($A745="","",IF(AW745="Y",BQ745&amp;"",BC745&amp;""))</f>
        <v/>
      </c>
      <c r="H745" s="0" t="str">
        <f aca="false">IF($A745="","",IF(AW745="Y",BR745&amp;"",BD745&amp;""))</f>
        <v/>
      </c>
      <c r="I745" s="0" t="str">
        <f aca="false">IF($A745="","",IF(R745="Y","warm-intro",IF(H745="verified","email",IF(C745&lt;&gt;"","linkedin",CB745&amp;""))))</f>
        <v/>
      </c>
      <c r="J745" s="0" t="str">
        <f aca="false">IF($A745="","",IF(CN745="pass",ROUND(N(EM745)+N(EN745)+N(EO745)+N(EP745)+N(EQ745)+N(ER745),1),0))</f>
        <v/>
      </c>
      <c r="K745" s="0" t="str">
        <f aca="false">IF($A745="","",IF(CN745&lt;&gt;"pass",CA745&amp;"",CA745&amp;"; "&amp;IF(AW745="Y",BZ745&amp;"",BL745&amp;"")&amp;IF(R745="Y","; known to the founder (+15)","")&amp;"."))</f>
        <v/>
      </c>
      <c r="R745" s="5"/>
      <c r="U745" s="5"/>
      <c r="Y745" s="0" t="str">
        <f aca="false">IF(FX745&lt;&gt;"Y","",COUNTIFS($FX$2:$FX$1000,"Y",$J$2:$J$1000,"&gt;"&amp;J745)+COUNTIFS($FX$2:$FX$1000,"Y",$J$2:$J$1000,J745,$GD$2:$GD$1000,"&lt;"&amp;GD745)+1)</f>
        <v/>
      </c>
      <c r="AB745" s="0" t="str">
        <f aca="false">IF($A745="","",IF(AW745="Y",BY745&amp;"",BK745&amp;""))</f>
        <v/>
      </c>
      <c r="AC745" s="0" t="str">
        <f aca="false">IF($A745="","",IF(AW745="Y",BS745&amp;"",BE745&amp;""))</f>
        <v/>
      </c>
      <c r="AD745" s="0" t="str">
        <f aca="false">IF($A745="","",IF(AW745="Y",BT745&amp;"",BF745&amp;""))</f>
        <v/>
      </c>
      <c r="AE745" s="0" t="str">
        <f aca="false">IF($A745="","",IF(AW745="Y",BU745&amp;"",BG745&amp;""))</f>
        <v/>
      </c>
      <c r="AF745" s="0" t="str">
        <f aca="false">IF($A745="","",IF(AW745="Y",BV745&amp;"",BH745&amp;""))</f>
        <v/>
      </c>
      <c r="AG745" s="0" t="str">
        <f aca="false">IF($A745="","",IF(AW745="Y",BW745&amp;"",BI745&amp;""))</f>
        <v/>
      </c>
      <c r="AH745" s="0" t="str">
        <f aca="false">IF($A745="","",IF(AW745="Y",BX745&amp;"",BJ745&amp;""))</f>
        <v/>
      </c>
      <c r="AQ745" s="5"/>
      <c r="AT745" s="0" t="str">
        <f aca="false">IF($A745="","",IF(AND(CN745="pass",AQ745&lt;&gt;"Y",C745&lt;&gt;"",OR(AX745&lt;&gt;"Y",AV745="Y")),"Y","N"))</f>
        <v/>
      </c>
      <c r="AU745" s="0" t="str">
        <f aca="false">IF($A745="","",_xlfn.TEXTJOIN("; ",TRUE(),IF(CN745&lt;&gt;"pass","gated out",""),IF(AQ745="Y","on hold: "&amp;AR745,""),IF(C745="","no contact named on an opened page",""),IF(AND(AX745="Y",AV745&lt;&gt;"Y"),"Tuesday estimate band "&amp;L745&amp;": founder's call","")))</f>
        <v/>
      </c>
      <c r="BC745" s="0" t="str">
        <f aca="false">IF($A745="","",IFERROR(INDEX(Enrichment!$A$2:$GZ$2000,MATCH($A745,INDEX(Enrichment!$A$2:$GZ$2000,0,MATCH("row_id",Enrichment!$A$1:$GZ$1,0)),0),MATCH("work_email",Enrichment!$A$1:$GZ$1,0))&amp;"",""))</f>
        <v/>
      </c>
      <c r="BD745" s="0" t="str">
        <f aca="false">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Q745" s="0" t="str">
        <f aca="false">IF($A745="","",IFERROR(INDEX(Enrichment!$A$2:$GZ$2000,MATCH($A745,INDEX(Enrichment!$A$2:$GZ$2000,0,MATCH("row_id",Enrichment!$A$1:$GZ$1,0)),0),MATCH("backup_work_email",Enrichment!$A$1:$GZ$1,0))&amp;"",""))</f>
        <v/>
      </c>
      <c r="BR745" s="0" t="str">
        <f aca="false">IF($A745="","",IF(BQ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EQ745" s="0" t="str">
        <f aca="false">IF($A745="","",IF(AH745="exact",10,IF(AH745="adjacent",5,0)))</f>
        <v/>
      </c>
      <c r="ER745" s="0" t="str">
        <f aca="false">IF($A745="","",IF(R745="Y",15,0))</f>
        <v/>
      </c>
      <c r="FS745" s="0" t="str">
        <f aca="false">IF($A745="","",IF(ISNUMBER(MATCH(U745,{"queued","contacted","replied","call_booked","call_done","yes_in_principle","materials_sent"},0)),"Y","N"))</f>
        <v/>
      </c>
      <c r="FT745" s="0" t="str">
        <f aca="false">IF($A745="","",IF(OR(T745="Y",U745="do_not_contact",AS745&amp;""&lt;&gt;""),"Y","N"))</f>
        <v/>
      </c>
      <c r="FU745" s="0" t="str">
        <f aca="false">IF($A745="","",IF(AP745&amp;""&lt;&gt;"",AP745&amp;"",$A745))</f>
        <v/>
      </c>
      <c r="FV745" s="0" t="str">
        <f aca="false">IF($A745="","",IF(COUNTIFS($FU$2:$FU$1000,FU745,$FS$2:$FS$1000,"Y")+COUNTIFS($FU$2:$FU$1000,FU745,$FT$2:$FT$1000,"Y")&gt;0,"Y","N"))</f>
        <v/>
      </c>
      <c r="FW745" s="0" t="str">
        <f aca="false">IF($A745="","",IF(AND(U745="new",T745="N",FT745="N",AT745="Y",FV745="N"),"Y","N"))</f>
        <v/>
      </c>
      <c r="FX745" s="0" t="str">
        <f aca="false">IF($A745="","",IF(FW745&lt;&gt;"Y","N",IF(COUNTIFS($FU$2:$FU$1000,FU745,$FW$2:$FW$1000,"Y",$J$2:$J$1000,"&gt;"&amp;J745)+COUNTIFS($FU$2:$FU$1000,FU745,$FW$2:$FW$1000,"Y",$J$2:$J$1000,J745,$GD$2:$GD$1000,"&lt;"&amp;GD745)=0,"Y","N")))</f>
        <v/>
      </c>
      <c r="FY745" s="0" t="str">
        <f aca="false">IF($A745="","",IF(AND(FW745="Y",FX745="Y",Y745&amp;""&lt;&gt;""),IF(Y745&lt;=10,"Y","N"),"N"))</f>
        <v/>
      </c>
      <c r="FZ745" s="0" t="str">
        <f aca="false">IF(FY745="Y",Y745,"")</f>
        <v/>
      </c>
      <c r="GA745" s="0" t="str">
        <f aca="false">IF($A745="","",IF(AND(I745="walk-in",CN745="pass",U745="new",FT745="N",FV745="N",AQ745&lt;&gt;"Y"),"Y","N"))</f>
        <v/>
      </c>
      <c r="GB745" s="0" t="str">
        <f aca="false">IF(GA745&lt;&gt;"Y","",IF(COUNTIFS($GA$2:$GA$1000,"Y",$J$2:$J$1000,"&gt;"&amp;J745)+COUNTIFS($GA$2:$GA$1000,"Y",$J$2:$J$1000,J745,$GD$2:$GD$1000,"&lt;"&amp;GD745)+1&lt;=25,COUNTIFS($GA$2:$GA$1000,"Y",$J$2:$J$1000,"&gt;"&amp;J745)+COUNTIFS($GA$2:$GA$1000,"Y",$J$2:$J$1000,J745,$GD$2:$GD$1000,"&lt;"&amp;GD745)+1,""))</f>
        <v/>
      </c>
      <c r="GC745" s="0" t="str">
        <f aca="false">IF(AND(_xlfn.ISFORMULA(C745),_xlfn.ISFORMULA(J745)),"Y","N")</f>
        <v>Y</v>
      </c>
      <c r="GD745" s="0" t="n">
        <f aca="false">ROW()-1</f>
        <v>744</v>
      </c>
    </row>
    <row r="746" customFormat="false" ht="15" hidden="false" customHeight="false" outlineLevel="0" collapsed="false">
      <c r="C746" s="0" t="str">
        <f aca="false">IF($A746="","",IF(AW746="Y",BM746&amp;"",AY746&amp;""))</f>
        <v/>
      </c>
      <c r="D746" s="0" t="str">
        <f aca="false">IF($A746="","",IF(AW746="Y",BN746&amp;"",AZ746&amp;""))</f>
        <v/>
      </c>
      <c r="E746" s="0" t="str">
        <f aca="false">IF($A746="","",IF(AW746="Y",BO746&amp;"",BA746&amp;""))</f>
        <v/>
      </c>
      <c r="F746" s="0" t="str">
        <f aca="false">IF($A746="","",IF(AW746="Y",BP746&amp;"",BB746&amp;""))</f>
        <v/>
      </c>
      <c r="G746" s="0" t="str">
        <f aca="false">IF($A746="","",IF(AW746="Y",BQ746&amp;"",BC746&amp;""))</f>
        <v/>
      </c>
      <c r="H746" s="0" t="str">
        <f aca="false">IF($A746="","",IF(AW746="Y",BR746&amp;"",BD746&amp;""))</f>
        <v/>
      </c>
      <c r="I746" s="0" t="str">
        <f aca="false">IF($A746="","",IF(R746="Y","warm-intro",IF(H746="verified","email",IF(C746&lt;&gt;"","linkedin",CB746&amp;""))))</f>
        <v/>
      </c>
      <c r="J746" s="0" t="str">
        <f aca="false">IF($A746="","",IF(CN746="pass",ROUND(N(EM746)+N(EN746)+N(EO746)+N(EP746)+N(EQ746)+N(ER746),1),0))</f>
        <v/>
      </c>
      <c r="K746" s="0" t="str">
        <f aca="false">IF($A746="","",IF(CN746&lt;&gt;"pass",CA746&amp;"",CA746&amp;"; "&amp;IF(AW746="Y",BZ746&amp;"",BL746&amp;"")&amp;IF(R746="Y","; known to the founder (+15)","")&amp;"."))</f>
        <v/>
      </c>
      <c r="R746" s="5"/>
      <c r="U746" s="5"/>
      <c r="Y746" s="0" t="str">
        <f aca="false">IF(FX746&lt;&gt;"Y","",COUNTIFS($FX$2:$FX$1000,"Y",$J$2:$J$1000,"&gt;"&amp;J746)+COUNTIFS($FX$2:$FX$1000,"Y",$J$2:$J$1000,J746,$GD$2:$GD$1000,"&lt;"&amp;GD746)+1)</f>
        <v/>
      </c>
      <c r="AB746" s="0" t="str">
        <f aca="false">IF($A746="","",IF(AW746="Y",BY746&amp;"",BK746&amp;""))</f>
        <v/>
      </c>
      <c r="AC746" s="0" t="str">
        <f aca="false">IF($A746="","",IF(AW746="Y",BS746&amp;"",BE746&amp;""))</f>
        <v/>
      </c>
      <c r="AD746" s="0" t="str">
        <f aca="false">IF($A746="","",IF(AW746="Y",BT746&amp;"",BF746&amp;""))</f>
        <v/>
      </c>
      <c r="AE746" s="0" t="str">
        <f aca="false">IF($A746="","",IF(AW746="Y",BU746&amp;"",BG746&amp;""))</f>
        <v/>
      </c>
      <c r="AF746" s="0" t="str">
        <f aca="false">IF($A746="","",IF(AW746="Y",BV746&amp;"",BH746&amp;""))</f>
        <v/>
      </c>
      <c r="AG746" s="0" t="str">
        <f aca="false">IF($A746="","",IF(AW746="Y",BW746&amp;"",BI746&amp;""))</f>
        <v/>
      </c>
      <c r="AH746" s="0" t="str">
        <f aca="false">IF($A746="","",IF(AW746="Y",BX746&amp;"",BJ746&amp;""))</f>
        <v/>
      </c>
      <c r="AQ746" s="5"/>
      <c r="AT746" s="0" t="str">
        <f aca="false">IF($A746="","",IF(AND(CN746="pass",AQ746&lt;&gt;"Y",C746&lt;&gt;"",OR(AX746&lt;&gt;"Y",AV746="Y")),"Y","N"))</f>
        <v/>
      </c>
      <c r="AU746" s="0" t="str">
        <f aca="false">IF($A746="","",_xlfn.TEXTJOIN("; ",TRUE(),IF(CN746&lt;&gt;"pass","gated out",""),IF(AQ746="Y","on hold: "&amp;AR746,""),IF(C746="","no contact named on an opened page",""),IF(AND(AX746="Y",AV746&lt;&gt;"Y"),"Tuesday estimate band "&amp;L746&amp;": founder's call","")))</f>
        <v/>
      </c>
      <c r="BC746" s="0" t="str">
        <f aca="false">IF($A746="","",IFERROR(INDEX(Enrichment!$A$2:$GZ$2000,MATCH($A746,INDEX(Enrichment!$A$2:$GZ$2000,0,MATCH("row_id",Enrichment!$A$1:$GZ$1,0)),0),MATCH("work_email",Enrichment!$A$1:$GZ$1,0))&amp;"",""))</f>
        <v/>
      </c>
      <c r="BD746" s="0" t="str">
        <f aca="false">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Q746" s="0" t="str">
        <f aca="false">IF($A746="","",IFERROR(INDEX(Enrichment!$A$2:$GZ$2000,MATCH($A746,INDEX(Enrichment!$A$2:$GZ$2000,0,MATCH("row_id",Enrichment!$A$1:$GZ$1,0)),0),MATCH("backup_work_email",Enrichment!$A$1:$GZ$1,0))&amp;"",""))</f>
        <v/>
      </c>
      <c r="BR746" s="0" t="str">
        <f aca="false">IF($A746="","",IF(BQ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EQ746" s="0" t="str">
        <f aca="false">IF($A746="","",IF(AH746="exact",10,IF(AH746="adjacent",5,0)))</f>
        <v/>
      </c>
      <c r="ER746" s="0" t="str">
        <f aca="false">IF($A746="","",IF(R746="Y",15,0))</f>
        <v/>
      </c>
      <c r="FS746" s="0" t="str">
        <f aca="false">IF($A746="","",IF(ISNUMBER(MATCH(U746,{"queued","contacted","replied","call_booked","call_done","yes_in_principle","materials_sent"},0)),"Y","N"))</f>
        <v/>
      </c>
      <c r="FT746" s="0" t="str">
        <f aca="false">IF($A746="","",IF(OR(T746="Y",U746="do_not_contact",AS746&amp;""&lt;&gt;""),"Y","N"))</f>
        <v/>
      </c>
      <c r="FU746" s="0" t="str">
        <f aca="false">IF($A746="","",IF(AP746&amp;""&lt;&gt;"",AP746&amp;"",$A746))</f>
        <v/>
      </c>
      <c r="FV746" s="0" t="str">
        <f aca="false">IF($A746="","",IF(COUNTIFS($FU$2:$FU$1000,FU746,$FS$2:$FS$1000,"Y")+COUNTIFS($FU$2:$FU$1000,FU746,$FT$2:$FT$1000,"Y")&gt;0,"Y","N"))</f>
        <v/>
      </c>
      <c r="FW746" s="0" t="str">
        <f aca="false">IF($A746="","",IF(AND(U746="new",T746="N",FT746="N",AT746="Y",FV746="N"),"Y","N"))</f>
        <v/>
      </c>
      <c r="FX746" s="0" t="str">
        <f aca="false">IF($A746="","",IF(FW746&lt;&gt;"Y","N",IF(COUNTIFS($FU$2:$FU$1000,FU746,$FW$2:$FW$1000,"Y",$J$2:$J$1000,"&gt;"&amp;J746)+COUNTIFS($FU$2:$FU$1000,FU746,$FW$2:$FW$1000,"Y",$J$2:$J$1000,J746,$GD$2:$GD$1000,"&lt;"&amp;GD746)=0,"Y","N")))</f>
        <v/>
      </c>
      <c r="FY746" s="0" t="str">
        <f aca="false">IF($A746="","",IF(AND(FW746="Y",FX746="Y",Y746&amp;""&lt;&gt;""),IF(Y746&lt;=10,"Y","N"),"N"))</f>
        <v/>
      </c>
      <c r="FZ746" s="0" t="str">
        <f aca="false">IF(FY746="Y",Y746,"")</f>
        <v/>
      </c>
      <c r="GA746" s="0" t="str">
        <f aca="false">IF($A746="","",IF(AND(I746="walk-in",CN746="pass",U746="new",FT746="N",FV746="N",AQ746&lt;&gt;"Y"),"Y","N"))</f>
        <v/>
      </c>
      <c r="GB746" s="0" t="str">
        <f aca="false">IF(GA746&lt;&gt;"Y","",IF(COUNTIFS($GA$2:$GA$1000,"Y",$J$2:$J$1000,"&gt;"&amp;J746)+COUNTIFS($GA$2:$GA$1000,"Y",$J$2:$J$1000,J746,$GD$2:$GD$1000,"&lt;"&amp;GD746)+1&lt;=25,COUNTIFS($GA$2:$GA$1000,"Y",$J$2:$J$1000,"&gt;"&amp;J746)+COUNTIFS($GA$2:$GA$1000,"Y",$J$2:$J$1000,J746,$GD$2:$GD$1000,"&lt;"&amp;GD746)+1,""))</f>
        <v/>
      </c>
      <c r="GC746" s="0" t="str">
        <f aca="false">IF(AND(_xlfn.ISFORMULA(C746),_xlfn.ISFORMULA(J746)),"Y","N")</f>
        <v>Y</v>
      </c>
      <c r="GD746" s="0" t="n">
        <f aca="false">ROW()-1</f>
        <v>745</v>
      </c>
    </row>
    <row r="747" customFormat="false" ht="15" hidden="false" customHeight="false" outlineLevel="0" collapsed="false">
      <c r="C747" s="0" t="str">
        <f aca="false">IF($A747="","",IF(AW747="Y",BM747&amp;"",AY747&amp;""))</f>
        <v/>
      </c>
      <c r="D747" s="0" t="str">
        <f aca="false">IF($A747="","",IF(AW747="Y",BN747&amp;"",AZ747&amp;""))</f>
        <v/>
      </c>
      <c r="E747" s="0" t="str">
        <f aca="false">IF($A747="","",IF(AW747="Y",BO747&amp;"",BA747&amp;""))</f>
        <v/>
      </c>
      <c r="F747" s="0" t="str">
        <f aca="false">IF($A747="","",IF(AW747="Y",BP747&amp;"",BB747&amp;""))</f>
        <v/>
      </c>
      <c r="G747" s="0" t="str">
        <f aca="false">IF($A747="","",IF(AW747="Y",BQ747&amp;"",BC747&amp;""))</f>
        <v/>
      </c>
      <c r="H747" s="0" t="str">
        <f aca="false">IF($A747="","",IF(AW747="Y",BR747&amp;"",BD747&amp;""))</f>
        <v/>
      </c>
      <c r="I747" s="0" t="str">
        <f aca="false">IF($A747="","",IF(R747="Y","warm-intro",IF(H747="verified","email",IF(C747&lt;&gt;"","linkedin",CB747&amp;""))))</f>
        <v/>
      </c>
      <c r="J747" s="0" t="str">
        <f aca="false">IF($A747="","",IF(CN747="pass",ROUND(N(EM747)+N(EN747)+N(EO747)+N(EP747)+N(EQ747)+N(ER747),1),0))</f>
        <v/>
      </c>
      <c r="K747" s="0" t="str">
        <f aca="false">IF($A747="","",IF(CN747&lt;&gt;"pass",CA747&amp;"",CA747&amp;"; "&amp;IF(AW747="Y",BZ747&amp;"",BL747&amp;"")&amp;IF(R747="Y","; known to the founder (+15)","")&amp;"."))</f>
        <v/>
      </c>
      <c r="R747" s="5"/>
      <c r="U747" s="5"/>
      <c r="Y747" s="0" t="str">
        <f aca="false">IF(FX747&lt;&gt;"Y","",COUNTIFS($FX$2:$FX$1000,"Y",$J$2:$J$1000,"&gt;"&amp;J747)+COUNTIFS($FX$2:$FX$1000,"Y",$J$2:$J$1000,J747,$GD$2:$GD$1000,"&lt;"&amp;GD747)+1)</f>
        <v/>
      </c>
      <c r="AB747" s="0" t="str">
        <f aca="false">IF($A747="","",IF(AW747="Y",BY747&amp;"",BK747&amp;""))</f>
        <v/>
      </c>
      <c r="AC747" s="0" t="str">
        <f aca="false">IF($A747="","",IF(AW747="Y",BS747&amp;"",BE747&amp;""))</f>
        <v/>
      </c>
      <c r="AD747" s="0" t="str">
        <f aca="false">IF($A747="","",IF(AW747="Y",BT747&amp;"",BF747&amp;""))</f>
        <v/>
      </c>
      <c r="AE747" s="0" t="str">
        <f aca="false">IF($A747="","",IF(AW747="Y",BU747&amp;"",BG747&amp;""))</f>
        <v/>
      </c>
      <c r="AF747" s="0" t="str">
        <f aca="false">IF($A747="","",IF(AW747="Y",BV747&amp;"",BH747&amp;""))</f>
        <v/>
      </c>
      <c r="AG747" s="0" t="str">
        <f aca="false">IF($A747="","",IF(AW747="Y",BW747&amp;"",BI747&amp;""))</f>
        <v/>
      </c>
      <c r="AH747" s="0" t="str">
        <f aca="false">IF($A747="","",IF(AW747="Y",BX747&amp;"",BJ747&amp;""))</f>
        <v/>
      </c>
      <c r="AQ747" s="5"/>
      <c r="AT747" s="0" t="str">
        <f aca="false">IF($A747="","",IF(AND(CN747="pass",AQ747&lt;&gt;"Y",C747&lt;&gt;"",OR(AX747&lt;&gt;"Y",AV747="Y")),"Y","N"))</f>
        <v/>
      </c>
      <c r="AU747" s="0" t="str">
        <f aca="false">IF($A747="","",_xlfn.TEXTJOIN("; ",TRUE(),IF(CN747&lt;&gt;"pass","gated out",""),IF(AQ747="Y","on hold: "&amp;AR747,""),IF(C747="","no contact named on an opened page",""),IF(AND(AX747="Y",AV747&lt;&gt;"Y"),"Tuesday estimate band "&amp;L747&amp;": founder's call","")))</f>
        <v/>
      </c>
      <c r="BC747" s="0" t="str">
        <f aca="false">IF($A747="","",IFERROR(INDEX(Enrichment!$A$2:$GZ$2000,MATCH($A747,INDEX(Enrichment!$A$2:$GZ$2000,0,MATCH("row_id",Enrichment!$A$1:$GZ$1,0)),0),MATCH("work_email",Enrichment!$A$1:$GZ$1,0))&amp;"",""))</f>
        <v/>
      </c>
      <c r="BD747" s="0" t="str">
        <f aca="false">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Q747" s="0" t="str">
        <f aca="false">IF($A747="","",IFERROR(INDEX(Enrichment!$A$2:$GZ$2000,MATCH($A747,INDEX(Enrichment!$A$2:$GZ$2000,0,MATCH("row_id",Enrichment!$A$1:$GZ$1,0)),0),MATCH("backup_work_email",Enrichment!$A$1:$GZ$1,0))&amp;"",""))</f>
        <v/>
      </c>
      <c r="BR747" s="0" t="str">
        <f aca="false">IF($A747="","",IF(BQ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EQ747" s="0" t="str">
        <f aca="false">IF($A747="","",IF(AH747="exact",10,IF(AH747="adjacent",5,0)))</f>
        <v/>
      </c>
      <c r="ER747" s="0" t="str">
        <f aca="false">IF($A747="","",IF(R747="Y",15,0))</f>
        <v/>
      </c>
      <c r="FS747" s="0" t="str">
        <f aca="false">IF($A747="","",IF(ISNUMBER(MATCH(U747,{"queued","contacted","replied","call_booked","call_done","yes_in_principle","materials_sent"},0)),"Y","N"))</f>
        <v/>
      </c>
      <c r="FT747" s="0" t="str">
        <f aca="false">IF($A747="","",IF(OR(T747="Y",U747="do_not_contact",AS747&amp;""&lt;&gt;""),"Y","N"))</f>
        <v/>
      </c>
      <c r="FU747" s="0" t="str">
        <f aca="false">IF($A747="","",IF(AP747&amp;""&lt;&gt;"",AP747&amp;"",$A747))</f>
        <v/>
      </c>
      <c r="FV747" s="0" t="str">
        <f aca="false">IF($A747="","",IF(COUNTIFS($FU$2:$FU$1000,FU747,$FS$2:$FS$1000,"Y")+COUNTIFS($FU$2:$FU$1000,FU747,$FT$2:$FT$1000,"Y")&gt;0,"Y","N"))</f>
        <v/>
      </c>
      <c r="FW747" s="0" t="str">
        <f aca="false">IF($A747="","",IF(AND(U747="new",T747="N",FT747="N",AT747="Y",FV747="N"),"Y","N"))</f>
        <v/>
      </c>
      <c r="FX747" s="0" t="str">
        <f aca="false">IF($A747="","",IF(FW747&lt;&gt;"Y","N",IF(COUNTIFS($FU$2:$FU$1000,FU747,$FW$2:$FW$1000,"Y",$J$2:$J$1000,"&gt;"&amp;J747)+COUNTIFS($FU$2:$FU$1000,FU747,$FW$2:$FW$1000,"Y",$J$2:$J$1000,J747,$GD$2:$GD$1000,"&lt;"&amp;GD747)=0,"Y","N")))</f>
        <v/>
      </c>
      <c r="FY747" s="0" t="str">
        <f aca="false">IF($A747="","",IF(AND(FW747="Y",FX747="Y",Y747&amp;""&lt;&gt;""),IF(Y747&lt;=10,"Y","N"),"N"))</f>
        <v/>
      </c>
      <c r="FZ747" s="0" t="str">
        <f aca="false">IF(FY747="Y",Y747,"")</f>
        <v/>
      </c>
      <c r="GA747" s="0" t="str">
        <f aca="false">IF($A747="","",IF(AND(I747="walk-in",CN747="pass",U747="new",FT747="N",FV747="N",AQ747&lt;&gt;"Y"),"Y","N"))</f>
        <v/>
      </c>
      <c r="GB747" s="0" t="str">
        <f aca="false">IF(GA747&lt;&gt;"Y","",IF(COUNTIFS($GA$2:$GA$1000,"Y",$J$2:$J$1000,"&gt;"&amp;J747)+COUNTIFS($GA$2:$GA$1000,"Y",$J$2:$J$1000,J747,$GD$2:$GD$1000,"&lt;"&amp;GD747)+1&lt;=25,COUNTIFS($GA$2:$GA$1000,"Y",$J$2:$J$1000,"&gt;"&amp;J747)+COUNTIFS($GA$2:$GA$1000,"Y",$J$2:$J$1000,J747,$GD$2:$GD$1000,"&lt;"&amp;GD747)+1,""))</f>
        <v/>
      </c>
      <c r="GC747" s="0" t="str">
        <f aca="false">IF(AND(_xlfn.ISFORMULA(C747),_xlfn.ISFORMULA(J747)),"Y","N")</f>
        <v>Y</v>
      </c>
      <c r="GD747" s="0" t="n">
        <f aca="false">ROW()-1</f>
        <v>746</v>
      </c>
    </row>
    <row r="748" customFormat="false" ht="15" hidden="false" customHeight="false" outlineLevel="0" collapsed="false">
      <c r="C748" s="0" t="str">
        <f aca="false">IF($A748="","",IF(AW748="Y",BM748&amp;"",AY748&amp;""))</f>
        <v/>
      </c>
      <c r="D748" s="0" t="str">
        <f aca="false">IF($A748="","",IF(AW748="Y",BN748&amp;"",AZ748&amp;""))</f>
        <v/>
      </c>
      <c r="E748" s="0" t="str">
        <f aca="false">IF($A748="","",IF(AW748="Y",BO748&amp;"",BA748&amp;""))</f>
        <v/>
      </c>
      <c r="F748" s="0" t="str">
        <f aca="false">IF($A748="","",IF(AW748="Y",BP748&amp;"",BB748&amp;""))</f>
        <v/>
      </c>
      <c r="G748" s="0" t="str">
        <f aca="false">IF($A748="","",IF(AW748="Y",BQ748&amp;"",BC748&amp;""))</f>
        <v/>
      </c>
      <c r="H748" s="0" t="str">
        <f aca="false">IF($A748="","",IF(AW748="Y",BR748&amp;"",BD748&amp;""))</f>
        <v/>
      </c>
      <c r="I748" s="0" t="str">
        <f aca="false">IF($A748="","",IF(R748="Y","warm-intro",IF(H748="verified","email",IF(C748&lt;&gt;"","linkedin",CB748&amp;""))))</f>
        <v/>
      </c>
      <c r="J748" s="0" t="str">
        <f aca="false">IF($A748="","",IF(CN748="pass",ROUND(N(EM748)+N(EN748)+N(EO748)+N(EP748)+N(EQ748)+N(ER748),1),0))</f>
        <v/>
      </c>
      <c r="K748" s="0" t="str">
        <f aca="false">IF($A748="","",IF(CN748&lt;&gt;"pass",CA748&amp;"",CA748&amp;"; "&amp;IF(AW748="Y",BZ748&amp;"",BL748&amp;"")&amp;IF(R748="Y","; known to the founder (+15)","")&amp;"."))</f>
        <v/>
      </c>
      <c r="R748" s="5"/>
      <c r="U748" s="5"/>
      <c r="Y748" s="0" t="str">
        <f aca="false">IF(FX748&lt;&gt;"Y","",COUNTIFS($FX$2:$FX$1000,"Y",$J$2:$J$1000,"&gt;"&amp;J748)+COUNTIFS($FX$2:$FX$1000,"Y",$J$2:$J$1000,J748,$GD$2:$GD$1000,"&lt;"&amp;GD748)+1)</f>
        <v/>
      </c>
      <c r="AB748" s="0" t="str">
        <f aca="false">IF($A748="","",IF(AW748="Y",BY748&amp;"",BK748&amp;""))</f>
        <v/>
      </c>
      <c r="AC748" s="0" t="str">
        <f aca="false">IF($A748="","",IF(AW748="Y",BS748&amp;"",BE748&amp;""))</f>
        <v/>
      </c>
      <c r="AD748" s="0" t="str">
        <f aca="false">IF($A748="","",IF(AW748="Y",BT748&amp;"",BF748&amp;""))</f>
        <v/>
      </c>
      <c r="AE748" s="0" t="str">
        <f aca="false">IF($A748="","",IF(AW748="Y",BU748&amp;"",BG748&amp;""))</f>
        <v/>
      </c>
      <c r="AF748" s="0" t="str">
        <f aca="false">IF($A748="","",IF(AW748="Y",BV748&amp;"",BH748&amp;""))</f>
        <v/>
      </c>
      <c r="AG748" s="0" t="str">
        <f aca="false">IF($A748="","",IF(AW748="Y",BW748&amp;"",BI748&amp;""))</f>
        <v/>
      </c>
      <c r="AH748" s="0" t="str">
        <f aca="false">IF($A748="","",IF(AW748="Y",BX748&amp;"",BJ748&amp;""))</f>
        <v/>
      </c>
      <c r="AQ748" s="5"/>
      <c r="AT748" s="0" t="str">
        <f aca="false">IF($A748="","",IF(AND(CN748="pass",AQ748&lt;&gt;"Y",C748&lt;&gt;"",OR(AX748&lt;&gt;"Y",AV748="Y")),"Y","N"))</f>
        <v/>
      </c>
      <c r="AU748" s="0" t="str">
        <f aca="false">IF($A748="","",_xlfn.TEXTJOIN("; ",TRUE(),IF(CN748&lt;&gt;"pass","gated out",""),IF(AQ748="Y","on hold: "&amp;AR748,""),IF(C748="","no contact named on an opened page",""),IF(AND(AX748="Y",AV748&lt;&gt;"Y"),"Tuesday estimate band "&amp;L748&amp;": founder's call","")))</f>
        <v/>
      </c>
      <c r="BC748" s="0" t="str">
        <f aca="false">IF($A748="","",IFERROR(INDEX(Enrichment!$A$2:$GZ$2000,MATCH($A748,INDEX(Enrichment!$A$2:$GZ$2000,0,MATCH("row_id",Enrichment!$A$1:$GZ$1,0)),0),MATCH("work_email",Enrichment!$A$1:$GZ$1,0))&amp;"",""))</f>
        <v/>
      </c>
      <c r="BD748" s="0" t="str">
        <f aca="false">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Q748" s="0" t="str">
        <f aca="false">IF($A748="","",IFERROR(INDEX(Enrichment!$A$2:$GZ$2000,MATCH($A748,INDEX(Enrichment!$A$2:$GZ$2000,0,MATCH("row_id",Enrichment!$A$1:$GZ$1,0)),0),MATCH("backup_work_email",Enrichment!$A$1:$GZ$1,0))&amp;"",""))</f>
        <v/>
      </c>
      <c r="BR748" s="0" t="str">
        <f aca="false">IF($A748="","",IF(BQ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EQ748" s="0" t="str">
        <f aca="false">IF($A748="","",IF(AH748="exact",10,IF(AH748="adjacent",5,0)))</f>
        <v/>
      </c>
      <c r="ER748" s="0" t="str">
        <f aca="false">IF($A748="","",IF(R748="Y",15,0))</f>
        <v/>
      </c>
      <c r="FS748" s="0" t="str">
        <f aca="false">IF($A748="","",IF(ISNUMBER(MATCH(U748,{"queued","contacted","replied","call_booked","call_done","yes_in_principle","materials_sent"},0)),"Y","N"))</f>
        <v/>
      </c>
      <c r="FT748" s="0" t="str">
        <f aca="false">IF($A748="","",IF(OR(T748="Y",U748="do_not_contact",AS748&amp;""&lt;&gt;""),"Y","N"))</f>
        <v/>
      </c>
      <c r="FU748" s="0" t="str">
        <f aca="false">IF($A748="","",IF(AP748&amp;""&lt;&gt;"",AP748&amp;"",$A748))</f>
        <v/>
      </c>
      <c r="FV748" s="0" t="str">
        <f aca="false">IF($A748="","",IF(COUNTIFS($FU$2:$FU$1000,FU748,$FS$2:$FS$1000,"Y")+COUNTIFS($FU$2:$FU$1000,FU748,$FT$2:$FT$1000,"Y")&gt;0,"Y","N"))</f>
        <v/>
      </c>
      <c r="FW748" s="0" t="str">
        <f aca="false">IF($A748="","",IF(AND(U748="new",T748="N",FT748="N",AT748="Y",FV748="N"),"Y","N"))</f>
        <v/>
      </c>
      <c r="FX748" s="0" t="str">
        <f aca="false">IF($A748="","",IF(FW748&lt;&gt;"Y","N",IF(COUNTIFS($FU$2:$FU$1000,FU748,$FW$2:$FW$1000,"Y",$J$2:$J$1000,"&gt;"&amp;J748)+COUNTIFS($FU$2:$FU$1000,FU748,$FW$2:$FW$1000,"Y",$J$2:$J$1000,J748,$GD$2:$GD$1000,"&lt;"&amp;GD748)=0,"Y","N")))</f>
        <v/>
      </c>
      <c r="FY748" s="0" t="str">
        <f aca="false">IF($A748="","",IF(AND(FW748="Y",FX748="Y",Y748&amp;""&lt;&gt;""),IF(Y748&lt;=10,"Y","N"),"N"))</f>
        <v/>
      </c>
      <c r="FZ748" s="0" t="str">
        <f aca="false">IF(FY748="Y",Y748,"")</f>
        <v/>
      </c>
      <c r="GA748" s="0" t="str">
        <f aca="false">IF($A748="","",IF(AND(I748="walk-in",CN748="pass",U748="new",FT748="N",FV748="N",AQ748&lt;&gt;"Y"),"Y","N"))</f>
        <v/>
      </c>
      <c r="GB748" s="0" t="str">
        <f aca="false">IF(GA748&lt;&gt;"Y","",IF(COUNTIFS($GA$2:$GA$1000,"Y",$J$2:$J$1000,"&gt;"&amp;J748)+COUNTIFS($GA$2:$GA$1000,"Y",$J$2:$J$1000,J748,$GD$2:$GD$1000,"&lt;"&amp;GD748)+1&lt;=25,COUNTIFS($GA$2:$GA$1000,"Y",$J$2:$J$1000,"&gt;"&amp;J748)+COUNTIFS($GA$2:$GA$1000,"Y",$J$2:$J$1000,J748,$GD$2:$GD$1000,"&lt;"&amp;GD748)+1,""))</f>
        <v/>
      </c>
      <c r="GC748" s="0" t="str">
        <f aca="false">IF(AND(_xlfn.ISFORMULA(C748),_xlfn.ISFORMULA(J748)),"Y","N")</f>
        <v>Y</v>
      </c>
      <c r="GD748" s="0" t="n">
        <f aca="false">ROW()-1</f>
        <v>747</v>
      </c>
    </row>
    <row r="749" customFormat="false" ht="15" hidden="false" customHeight="false" outlineLevel="0" collapsed="false">
      <c r="C749" s="0" t="str">
        <f aca="false">IF($A749="","",IF(AW749="Y",BM749&amp;"",AY749&amp;""))</f>
        <v/>
      </c>
      <c r="D749" s="0" t="str">
        <f aca="false">IF($A749="","",IF(AW749="Y",BN749&amp;"",AZ749&amp;""))</f>
        <v/>
      </c>
      <c r="E749" s="0" t="str">
        <f aca="false">IF($A749="","",IF(AW749="Y",BO749&amp;"",BA749&amp;""))</f>
        <v/>
      </c>
      <c r="F749" s="0" t="str">
        <f aca="false">IF($A749="","",IF(AW749="Y",BP749&amp;"",BB749&amp;""))</f>
        <v/>
      </c>
      <c r="G749" s="0" t="str">
        <f aca="false">IF($A749="","",IF(AW749="Y",BQ749&amp;"",BC749&amp;""))</f>
        <v/>
      </c>
      <c r="H749" s="0" t="str">
        <f aca="false">IF($A749="","",IF(AW749="Y",BR749&amp;"",BD749&amp;""))</f>
        <v/>
      </c>
      <c r="I749" s="0" t="str">
        <f aca="false">IF($A749="","",IF(R749="Y","warm-intro",IF(H749="verified","email",IF(C749&lt;&gt;"","linkedin",CB749&amp;""))))</f>
        <v/>
      </c>
      <c r="J749" s="0" t="str">
        <f aca="false">IF($A749="","",IF(CN749="pass",ROUND(N(EM749)+N(EN749)+N(EO749)+N(EP749)+N(EQ749)+N(ER749),1),0))</f>
        <v/>
      </c>
      <c r="K749" s="0" t="str">
        <f aca="false">IF($A749="","",IF(CN749&lt;&gt;"pass",CA749&amp;"",CA749&amp;"; "&amp;IF(AW749="Y",BZ749&amp;"",BL749&amp;"")&amp;IF(R749="Y","; known to the founder (+15)","")&amp;"."))</f>
        <v/>
      </c>
      <c r="R749" s="5"/>
      <c r="U749" s="5"/>
      <c r="Y749" s="0" t="str">
        <f aca="false">IF(FX749&lt;&gt;"Y","",COUNTIFS($FX$2:$FX$1000,"Y",$J$2:$J$1000,"&gt;"&amp;J749)+COUNTIFS($FX$2:$FX$1000,"Y",$J$2:$J$1000,J749,$GD$2:$GD$1000,"&lt;"&amp;GD749)+1)</f>
        <v/>
      </c>
      <c r="AB749" s="0" t="str">
        <f aca="false">IF($A749="","",IF(AW749="Y",BY749&amp;"",BK749&amp;""))</f>
        <v/>
      </c>
      <c r="AC749" s="0" t="str">
        <f aca="false">IF($A749="","",IF(AW749="Y",BS749&amp;"",BE749&amp;""))</f>
        <v/>
      </c>
      <c r="AD749" s="0" t="str">
        <f aca="false">IF($A749="","",IF(AW749="Y",BT749&amp;"",BF749&amp;""))</f>
        <v/>
      </c>
      <c r="AE749" s="0" t="str">
        <f aca="false">IF($A749="","",IF(AW749="Y",BU749&amp;"",BG749&amp;""))</f>
        <v/>
      </c>
      <c r="AF749" s="0" t="str">
        <f aca="false">IF($A749="","",IF(AW749="Y",BV749&amp;"",BH749&amp;""))</f>
        <v/>
      </c>
      <c r="AG749" s="0" t="str">
        <f aca="false">IF($A749="","",IF(AW749="Y",BW749&amp;"",BI749&amp;""))</f>
        <v/>
      </c>
      <c r="AH749" s="0" t="str">
        <f aca="false">IF($A749="","",IF(AW749="Y",BX749&amp;"",BJ749&amp;""))</f>
        <v/>
      </c>
      <c r="AQ749" s="5"/>
      <c r="AT749" s="0" t="str">
        <f aca="false">IF($A749="","",IF(AND(CN749="pass",AQ749&lt;&gt;"Y",C749&lt;&gt;"",OR(AX749&lt;&gt;"Y",AV749="Y")),"Y","N"))</f>
        <v/>
      </c>
      <c r="AU749" s="0" t="str">
        <f aca="false">IF($A749="","",_xlfn.TEXTJOIN("; ",TRUE(),IF(CN749&lt;&gt;"pass","gated out",""),IF(AQ749="Y","on hold: "&amp;AR749,""),IF(C749="","no contact named on an opened page",""),IF(AND(AX749="Y",AV749&lt;&gt;"Y"),"Tuesday estimate band "&amp;L749&amp;": founder's call","")))</f>
        <v/>
      </c>
      <c r="BC749" s="0" t="str">
        <f aca="false">IF($A749="","",IFERROR(INDEX(Enrichment!$A$2:$GZ$2000,MATCH($A749,INDEX(Enrichment!$A$2:$GZ$2000,0,MATCH("row_id",Enrichment!$A$1:$GZ$1,0)),0),MATCH("work_email",Enrichment!$A$1:$GZ$1,0))&amp;"",""))</f>
        <v/>
      </c>
      <c r="BD749" s="0" t="str">
        <f aca="false">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Q749" s="0" t="str">
        <f aca="false">IF($A749="","",IFERROR(INDEX(Enrichment!$A$2:$GZ$2000,MATCH($A749,INDEX(Enrichment!$A$2:$GZ$2000,0,MATCH("row_id",Enrichment!$A$1:$GZ$1,0)),0),MATCH("backup_work_email",Enrichment!$A$1:$GZ$1,0))&amp;"",""))</f>
        <v/>
      </c>
      <c r="BR749" s="0" t="str">
        <f aca="false">IF($A749="","",IF(BQ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EQ749" s="0" t="str">
        <f aca="false">IF($A749="","",IF(AH749="exact",10,IF(AH749="adjacent",5,0)))</f>
        <v/>
      </c>
      <c r="ER749" s="0" t="str">
        <f aca="false">IF($A749="","",IF(R749="Y",15,0))</f>
        <v/>
      </c>
      <c r="FS749" s="0" t="str">
        <f aca="false">IF($A749="","",IF(ISNUMBER(MATCH(U749,{"queued","contacted","replied","call_booked","call_done","yes_in_principle","materials_sent"},0)),"Y","N"))</f>
        <v/>
      </c>
      <c r="FT749" s="0" t="str">
        <f aca="false">IF($A749="","",IF(OR(T749="Y",U749="do_not_contact",AS749&amp;""&lt;&gt;""),"Y","N"))</f>
        <v/>
      </c>
      <c r="FU749" s="0" t="str">
        <f aca="false">IF($A749="","",IF(AP749&amp;""&lt;&gt;"",AP749&amp;"",$A749))</f>
        <v/>
      </c>
      <c r="FV749" s="0" t="str">
        <f aca="false">IF($A749="","",IF(COUNTIFS($FU$2:$FU$1000,FU749,$FS$2:$FS$1000,"Y")+COUNTIFS($FU$2:$FU$1000,FU749,$FT$2:$FT$1000,"Y")&gt;0,"Y","N"))</f>
        <v/>
      </c>
      <c r="FW749" s="0" t="str">
        <f aca="false">IF($A749="","",IF(AND(U749="new",T749="N",FT749="N",AT749="Y",FV749="N"),"Y","N"))</f>
        <v/>
      </c>
      <c r="FX749" s="0" t="str">
        <f aca="false">IF($A749="","",IF(FW749&lt;&gt;"Y","N",IF(COUNTIFS($FU$2:$FU$1000,FU749,$FW$2:$FW$1000,"Y",$J$2:$J$1000,"&gt;"&amp;J749)+COUNTIFS($FU$2:$FU$1000,FU749,$FW$2:$FW$1000,"Y",$J$2:$J$1000,J749,$GD$2:$GD$1000,"&lt;"&amp;GD749)=0,"Y","N")))</f>
        <v/>
      </c>
      <c r="FY749" s="0" t="str">
        <f aca="false">IF($A749="","",IF(AND(FW749="Y",FX749="Y",Y749&amp;""&lt;&gt;""),IF(Y749&lt;=10,"Y","N"),"N"))</f>
        <v/>
      </c>
      <c r="FZ749" s="0" t="str">
        <f aca="false">IF(FY749="Y",Y749,"")</f>
        <v/>
      </c>
      <c r="GA749" s="0" t="str">
        <f aca="false">IF($A749="","",IF(AND(I749="walk-in",CN749="pass",U749="new",FT749="N",FV749="N",AQ749&lt;&gt;"Y"),"Y","N"))</f>
        <v/>
      </c>
      <c r="GB749" s="0" t="str">
        <f aca="false">IF(GA749&lt;&gt;"Y","",IF(COUNTIFS($GA$2:$GA$1000,"Y",$J$2:$J$1000,"&gt;"&amp;J749)+COUNTIFS($GA$2:$GA$1000,"Y",$J$2:$J$1000,J749,$GD$2:$GD$1000,"&lt;"&amp;GD749)+1&lt;=25,COUNTIFS($GA$2:$GA$1000,"Y",$J$2:$J$1000,"&gt;"&amp;J749)+COUNTIFS($GA$2:$GA$1000,"Y",$J$2:$J$1000,J749,$GD$2:$GD$1000,"&lt;"&amp;GD749)+1,""))</f>
        <v/>
      </c>
      <c r="GC749" s="0" t="str">
        <f aca="false">IF(AND(_xlfn.ISFORMULA(C749),_xlfn.ISFORMULA(J749)),"Y","N")</f>
        <v>Y</v>
      </c>
      <c r="GD749" s="0" t="n">
        <f aca="false">ROW()-1</f>
        <v>748</v>
      </c>
    </row>
    <row r="750" customFormat="false" ht="15" hidden="false" customHeight="false" outlineLevel="0" collapsed="false">
      <c r="C750" s="0" t="str">
        <f aca="false">IF($A750="","",IF(AW750="Y",BM750&amp;"",AY750&amp;""))</f>
        <v/>
      </c>
      <c r="D750" s="0" t="str">
        <f aca="false">IF($A750="","",IF(AW750="Y",BN750&amp;"",AZ750&amp;""))</f>
        <v/>
      </c>
      <c r="E750" s="0" t="str">
        <f aca="false">IF($A750="","",IF(AW750="Y",BO750&amp;"",BA750&amp;""))</f>
        <v/>
      </c>
      <c r="F750" s="0" t="str">
        <f aca="false">IF($A750="","",IF(AW750="Y",BP750&amp;"",BB750&amp;""))</f>
        <v/>
      </c>
      <c r="G750" s="0" t="str">
        <f aca="false">IF($A750="","",IF(AW750="Y",BQ750&amp;"",BC750&amp;""))</f>
        <v/>
      </c>
      <c r="H750" s="0" t="str">
        <f aca="false">IF($A750="","",IF(AW750="Y",BR750&amp;"",BD750&amp;""))</f>
        <v/>
      </c>
      <c r="I750" s="0" t="str">
        <f aca="false">IF($A750="","",IF(R750="Y","warm-intro",IF(H750="verified","email",IF(C750&lt;&gt;"","linkedin",CB750&amp;""))))</f>
        <v/>
      </c>
      <c r="J750" s="0" t="str">
        <f aca="false">IF($A750="","",IF(CN750="pass",ROUND(N(EM750)+N(EN750)+N(EO750)+N(EP750)+N(EQ750)+N(ER750),1),0))</f>
        <v/>
      </c>
      <c r="K750" s="0" t="str">
        <f aca="false">IF($A750="","",IF(CN750&lt;&gt;"pass",CA750&amp;"",CA750&amp;"; "&amp;IF(AW750="Y",BZ750&amp;"",BL750&amp;"")&amp;IF(R750="Y","; known to the founder (+15)","")&amp;"."))</f>
        <v/>
      </c>
      <c r="R750" s="5"/>
      <c r="U750" s="5"/>
      <c r="Y750" s="0" t="str">
        <f aca="false">IF(FX750&lt;&gt;"Y","",COUNTIFS($FX$2:$FX$1000,"Y",$J$2:$J$1000,"&gt;"&amp;J750)+COUNTIFS($FX$2:$FX$1000,"Y",$J$2:$J$1000,J750,$GD$2:$GD$1000,"&lt;"&amp;GD750)+1)</f>
        <v/>
      </c>
      <c r="AB750" s="0" t="str">
        <f aca="false">IF($A750="","",IF(AW750="Y",BY750&amp;"",BK750&amp;""))</f>
        <v/>
      </c>
      <c r="AC750" s="0" t="str">
        <f aca="false">IF($A750="","",IF(AW750="Y",BS750&amp;"",BE750&amp;""))</f>
        <v/>
      </c>
      <c r="AD750" s="0" t="str">
        <f aca="false">IF($A750="","",IF(AW750="Y",BT750&amp;"",BF750&amp;""))</f>
        <v/>
      </c>
      <c r="AE750" s="0" t="str">
        <f aca="false">IF($A750="","",IF(AW750="Y",BU750&amp;"",BG750&amp;""))</f>
        <v/>
      </c>
      <c r="AF750" s="0" t="str">
        <f aca="false">IF($A750="","",IF(AW750="Y",BV750&amp;"",BH750&amp;""))</f>
        <v/>
      </c>
      <c r="AG750" s="0" t="str">
        <f aca="false">IF($A750="","",IF(AW750="Y",BW750&amp;"",BI750&amp;""))</f>
        <v/>
      </c>
      <c r="AH750" s="0" t="str">
        <f aca="false">IF($A750="","",IF(AW750="Y",BX750&amp;"",BJ750&amp;""))</f>
        <v/>
      </c>
      <c r="AQ750" s="5"/>
      <c r="AT750" s="0" t="str">
        <f aca="false">IF($A750="","",IF(AND(CN750="pass",AQ750&lt;&gt;"Y",C750&lt;&gt;"",OR(AX750&lt;&gt;"Y",AV750="Y")),"Y","N"))</f>
        <v/>
      </c>
      <c r="AU750" s="0" t="str">
        <f aca="false">IF($A750="","",_xlfn.TEXTJOIN("; ",TRUE(),IF(CN750&lt;&gt;"pass","gated out",""),IF(AQ750="Y","on hold: "&amp;AR750,""),IF(C750="","no contact named on an opened page",""),IF(AND(AX750="Y",AV750&lt;&gt;"Y"),"Tuesday estimate band "&amp;L750&amp;": founder's call","")))</f>
        <v/>
      </c>
      <c r="BC750" s="0" t="str">
        <f aca="false">IF($A750="","",IFERROR(INDEX(Enrichment!$A$2:$GZ$2000,MATCH($A750,INDEX(Enrichment!$A$2:$GZ$2000,0,MATCH("row_id",Enrichment!$A$1:$GZ$1,0)),0),MATCH("work_email",Enrichment!$A$1:$GZ$1,0))&amp;"",""))</f>
        <v/>
      </c>
      <c r="BD750" s="0" t="str">
        <f aca="false">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Q750" s="0" t="str">
        <f aca="false">IF($A750="","",IFERROR(INDEX(Enrichment!$A$2:$GZ$2000,MATCH($A750,INDEX(Enrichment!$A$2:$GZ$2000,0,MATCH("row_id",Enrichment!$A$1:$GZ$1,0)),0),MATCH("backup_work_email",Enrichment!$A$1:$GZ$1,0))&amp;"",""))</f>
        <v/>
      </c>
      <c r="BR750" s="0" t="str">
        <f aca="false">IF($A750="","",IF(BQ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EQ750" s="0" t="str">
        <f aca="false">IF($A750="","",IF(AH750="exact",10,IF(AH750="adjacent",5,0)))</f>
        <v/>
      </c>
      <c r="ER750" s="0" t="str">
        <f aca="false">IF($A750="","",IF(R750="Y",15,0))</f>
        <v/>
      </c>
      <c r="FS750" s="0" t="str">
        <f aca="false">IF($A750="","",IF(ISNUMBER(MATCH(U750,{"queued","contacted","replied","call_booked","call_done","yes_in_principle","materials_sent"},0)),"Y","N"))</f>
        <v/>
      </c>
      <c r="FT750" s="0" t="str">
        <f aca="false">IF($A750="","",IF(OR(T750="Y",U750="do_not_contact",AS750&amp;""&lt;&gt;""),"Y","N"))</f>
        <v/>
      </c>
      <c r="FU750" s="0" t="str">
        <f aca="false">IF($A750="","",IF(AP750&amp;""&lt;&gt;"",AP750&amp;"",$A750))</f>
        <v/>
      </c>
      <c r="FV750" s="0" t="str">
        <f aca="false">IF($A750="","",IF(COUNTIFS($FU$2:$FU$1000,FU750,$FS$2:$FS$1000,"Y")+COUNTIFS($FU$2:$FU$1000,FU750,$FT$2:$FT$1000,"Y")&gt;0,"Y","N"))</f>
        <v/>
      </c>
      <c r="FW750" s="0" t="str">
        <f aca="false">IF($A750="","",IF(AND(U750="new",T750="N",FT750="N",AT750="Y",FV750="N"),"Y","N"))</f>
        <v/>
      </c>
      <c r="FX750" s="0" t="str">
        <f aca="false">IF($A750="","",IF(FW750&lt;&gt;"Y","N",IF(COUNTIFS($FU$2:$FU$1000,FU750,$FW$2:$FW$1000,"Y",$J$2:$J$1000,"&gt;"&amp;J750)+COUNTIFS($FU$2:$FU$1000,FU750,$FW$2:$FW$1000,"Y",$J$2:$J$1000,J750,$GD$2:$GD$1000,"&lt;"&amp;GD750)=0,"Y","N")))</f>
        <v/>
      </c>
      <c r="FY750" s="0" t="str">
        <f aca="false">IF($A750="","",IF(AND(FW750="Y",FX750="Y",Y750&amp;""&lt;&gt;""),IF(Y750&lt;=10,"Y","N"),"N"))</f>
        <v/>
      </c>
      <c r="FZ750" s="0" t="str">
        <f aca="false">IF(FY750="Y",Y750,"")</f>
        <v/>
      </c>
      <c r="GA750" s="0" t="str">
        <f aca="false">IF($A750="","",IF(AND(I750="walk-in",CN750="pass",U750="new",FT750="N",FV750="N",AQ750&lt;&gt;"Y"),"Y","N"))</f>
        <v/>
      </c>
      <c r="GB750" s="0" t="str">
        <f aca="false">IF(GA750&lt;&gt;"Y","",IF(COUNTIFS($GA$2:$GA$1000,"Y",$J$2:$J$1000,"&gt;"&amp;J750)+COUNTIFS($GA$2:$GA$1000,"Y",$J$2:$J$1000,J750,$GD$2:$GD$1000,"&lt;"&amp;GD750)+1&lt;=25,COUNTIFS($GA$2:$GA$1000,"Y",$J$2:$J$1000,"&gt;"&amp;J750)+COUNTIFS($GA$2:$GA$1000,"Y",$J$2:$J$1000,J750,$GD$2:$GD$1000,"&lt;"&amp;GD750)+1,""))</f>
        <v/>
      </c>
      <c r="GC750" s="0" t="str">
        <f aca="false">IF(AND(_xlfn.ISFORMULA(C750),_xlfn.ISFORMULA(J750)),"Y","N")</f>
        <v>Y</v>
      </c>
      <c r="GD750" s="0" t="n">
        <f aca="false">ROW()-1</f>
        <v>749</v>
      </c>
    </row>
    <row r="751" customFormat="false" ht="15" hidden="false" customHeight="false" outlineLevel="0" collapsed="false">
      <c r="C751" s="0" t="str">
        <f aca="false">IF($A751="","",IF(AW751="Y",BM751&amp;"",AY751&amp;""))</f>
        <v/>
      </c>
      <c r="D751" s="0" t="str">
        <f aca="false">IF($A751="","",IF(AW751="Y",BN751&amp;"",AZ751&amp;""))</f>
        <v/>
      </c>
      <c r="E751" s="0" t="str">
        <f aca="false">IF($A751="","",IF(AW751="Y",BO751&amp;"",BA751&amp;""))</f>
        <v/>
      </c>
      <c r="F751" s="0" t="str">
        <f aca="false">IF($A751="","",IF(AW751="Y",BP751&amp;"",BB751&amp;""))</f>
        <v/>
      </c>
      <c r="G751" s="0" t="str">
        <f aca="false">IF($A751="","",IF(AW751="Y",BQ751&amp;"",BC751&amp;""))</f>
        <v/>
      </c>
      <c r="H751" s="0" t="str">
        <f aca="false">IF($A751="","",IF(AW751="Y",BR751&amp;"",BD751&amp;""))</f>
        <v/>
      </c>
      <c r="I751" s="0" t="str">
        <f aca="false">IF($A751="","",IF(R751="Y","warm-intro",IF(H751="verified","email",IF(C751&lt;&gt;"","linkedin",CB751&amp;""))))</f>
        <v/>
      </c>
      <c r="J751" s="0" t="str">
        <f aca="false">IF($A751="","",IF(CN751="pass",ROUND(N(EM751)+N(EN751)+N(EO751)+N(EP751)+N(EQ751)+N(ER751),1),0))</f>
        <v/>
      </c>
      <c r="K751" s="0" t="str">
        <f aca="false">IF($A751="","",IF(CN751&lt;&gt;"pass",CA751&amp;"",CA751&amp;"; "&amp;IF(AW751="Y",BZ751&amp;"",BL751&amp;"")&amp;IF(R751="Y","; known to the founder (+15)","")&amp;"."))</f>
        <v/>
      </c>
      <c r="R751" s="5"/>
      <c r="U751" s="5"/>
      <c r="Y751" s="0" t="str">
        <f aca="false">IF(FX751&lt;&gt;"Y","",COUNTIFS($FX$2:$FX$1000,"Y",$J$2:$J$1000,"&gt;"&amp;J751)+COUNTIFS($FX$2:$FX$1000,"Y",$J$2:$J$1000,J751,$GD$2:$GD$1000,"&lt;"&amp;GD751)+1)</f>
        <v/>
      </c>
      <c r="AB751" s="0" t="str">
        <f aca="false">IF($A751="","",IF(AW751="Y",BY751&amp;"",BK751&amp;""))</f>
        <v/>
      </c>
      <c r="AC751" s="0" t="str">
        <f aca="false">IF($A751="","",IF(AW751="Y",BS751&amp;"",BE751&amp;""))</f>
        <v/>
      </c>
      <c r="AD751" s="0" t="str">
        <f aca="false">IF($A751="","",IF(AW751="Y",BT751&amp;"",BF751&amp;""))</f>
        <v/>
      </c>
      <c r="AE751" s="0" t="str">
        <f aca="false">IF($A751="","",IF(AW751="Y",BU751&amp;"",BG751&amp;""))</f>
        <v/>
      </c>
      <c r="AF751" s="0" t="str">
        <f aca="false">IF($A751="","",IF(AW751="Y",BV751&amp;"",BH751&amp;""))</f>
        <v/>
      </c>
      <c r="AG751" s="0" t="str">
        <f aca="false">IF($A751="","",IF(AW751="Y",BW751&amp;"",BI751&amp;""))</f>
        <v/>
      </c>
      <c r="AH751" s="0" t="str">
        <f aca="false">IF($A751="","",IF(AW751="Y",BX751&amp;"",BJ751&amp;""))</f>
        <v/>
      </c>
      <c r="AQ751" s="5"/>
      <c r="AT751" s="0" t="str">
        <f aca="false">IF($A751="","",IF(AND(CN751="pass",AQ751&lt;&gt;"Y",C751&lt;&gt;"",OR(AX751&lt;&gt;"Y",AV751="Y")),"Y","N"))</f>
        <v/>
      </c>
      <c r="AU751" s="0" t="str">
        <f aca="false">IF($A751="","",_xlfn.TEXTJOIN("; ",TRUE(),IF(CN751&lt;&gt;"pass","gated out",""),IF(AQ751="Y","on hold: "&amp;AR751,""),IF(C751="","no contact named on an opened page",""),IF(AND(AX751="Y",AV751&lt;&gt;"Y"),"Tuesday estimate band "&amp;L751&amp;": founder's call","")))</f>
        <v/>
      </c>
      <c r="BC751" s="0" t="str">
        <f aca="false">IF($A751="","",IFERROR(INDEX(Enrichment!$A$2:$GZ$2000,MATCH($A751,INDEX(Enrichment!$A$2:$GZ$2000,0,MATCH("row_id",Enrichment!$A$1:$GZ$1,0)),0),MATCH("work_email",Enrichment!$A$1:$GZ$1,0))&amp;"",""))</f>
        <v/>
      </c>
      <c r="BD751" s="0" t="str">
        <f aca="false">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Q751" s="0" t="str">
        <f aca="false">IF($A751="","",IFERROR(INDEX(Enrichment!$A$2:$GZ$2000,MATCH($A751,INDEX(Enrichment!$A$2:$GZ$2000,0,MATCH("row_id",Enrichment!$A$1:$GZ$1,0)),0),MATCH("backup_work_email",Enrichment!$A$1:$GZ$1,0))&amp;"",""))</f>
        <v/>
      </c>
      <c r="BR751" s="0" t="str">
        <f aca="false">IF($A751="","",IF(BQ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EQ751" s="0" t="str">
        <f aca="false">IF($A751="","",IF(AH751="exact",10,IF(AH751="adjacent",5,0)))</f>
        <v/>
      </c>
      <c r="ER751" s="0" t="str">
        <f aca="false">IF($A751="","",IF(R751="Y",15,0))</f>
        <v/>
      </c>
      <c r="FS751" s="0" t="str">
        <f aca="false">IF($A751="","",IF(ISNUMBER(MATCH(U751,{"queued","contacted","replied","call_booked","call_done","yes_in_principle","materials_sent"},0)),"Y","N"))</f>
        <v/>
      </c>
      <c r="FT751" s="0" t="str">
        <f aca="false">IF($A751="","",IF(OR(T751="Y",U751="do_not_contact",AS751&amp;""&lt;&gt;""),"Y","N"))</f>
        <v/>
      </c>
      <c r="FU751" s="0" t="str">
        <f aca="false">IF($A751="","",IF(AP751&amp;""&lt;&gt;"",AP751&amp;"",$A751))</f>
        <v/>
      </c>
      <c r="FV751" s="0" t="str">
        <f aca="false">IF($A751="","",IF(COUNTIFS($FU$2:$FU$1000,FU751,$FS$2:$FS$1000,"Y")+COUNTIFS($FU$2:$FU$1000,FU751,$FT$2:$FT$1000,"Y")&gt;0,"Y","N"))</f>
        <v/>
      </c>
      <c r="FW751" s="0" t="str">
        <f aca="false">IF($A751="","",IF(AND(U751="new",T751="N",FT751="N",AT751="Y",FV751="N"),"Y","N"))</f>
        <v/>
      </c>
      <c r="FX751" s="0" t="str">
        <f aca="false">IF($A751="","",IF(FW751&lt;&gt;"Y","N",IF(COUNTIFS($FU$2:$FU$1000,FU751,$FW$2:$FW$1000,"Y",$J$2:$J$1000,"&gt;"&amp;J751)+COUNTIFS($FU$2:$FU$1000,FU751,$FW$2:$FW$1000,"Y",$J$2:$J$1000,J751,$GD$2:$GD$1000,"&lt;"&amp;GD751)=0,"Y","N")))</f>
        <v/>
      </c>
      <c r="FY751" s="0" t="str">
        <f aca="false">IF($A751="","",IF(AND(FW751="Y",FX751="Y",Y751&amp;""&lt;&gt;""),IF(Y751&lt;=10,"Y","N"),"N"))</f>
        <v/>
      </c>
      <c r="FZ751" s="0" t="str">
        <f aca="false">IF(FY751="Y",Y751,"")</f>
        <v/>
      </c>
      <c r="GA751" s="0" t="str">
        <f aca="false">IF($A751="","",IF(AND(I751="walk-in",CN751="pass",U751="new",FT751="N",FV751="N",AQ751&lt;&gt;"Y"),"Y","N"))</f>
        <v/>
      </c>
      <c r="GB751" s="0" t="str">
        <f aca="false">IF(GA751&lt;&gt;"Y","",IF(COUNTIFS($GA$2:$GA$1000,"Y",$J$2:$J$1000,"&gt;"&amp;J751)+COUNTIFS($GA$2:$GA$1000,"Y",$J$2:$J$1000,J751,$GD$2:$GD$1000,"&lt;"&amp;GD751)+1&lt;=25,COUNTIFS($GA$2:$GA$1000,"Y",$J$2:$J$1000,"&gt;"&amp;J751)+COUNTIFS($GA$2:$GA$1000,"Y",$J$2:$J$1000,J751,$GD$2:$GD$1000,"&lt;"&amp;GD751)+1,""))</f>
        <v/>
      </c>
      <c r="GC751" s="0" t="str">
        <f aca="false">IF(AND(_xlfn.ISFORMULA(C751),_xlfn.ISFORMULA(J751)),"Y","N")</f>
        <v>Y</v>
      </c>
      <c r="GD751" s="0" t="n">
        <f aca="false">ROW()-1</f>
        <v>750</v>
      </c>
    </row>
    <row r="752" customFormat="false" ht="15" hidden="false" customHeight="false" outlineLevel="0" collapsed="false">
      <c r="C752" s="0" t="str">
        <f aca="false">IF($A752="","",IF(AW752="Y",BM752&amp;"",AY752&amp;""))</f>
        <v/>
      </c>
      <c r="D752" s="0" t="str">
        <f aca="false">IF($A752="","",IF(AW752="Y",BN752&amp;"",AZ752&amp;""))</f>
        <v/>
      </c>
      <c r="E752" s="0" t="str">
        <f aca="false">IF($A752="","",IF(AW752="Y",BO752&amp;"",BA752&amp;""))</f>
        <v/>
      </c>
      <c r="F752" s="0" t="str">
        <f aca="false">IF($A752="","",IF(AW752="Y",BP752&amp;"",BB752&amp;""))</f>
        <v/>
      </c>
      <c r="G752" s="0" t="str">
        <f aca="false">IF($A752="","",IF(AW752="Y",BQ752&amp;"",BC752&amp;""))</f>
        <v/>
      </c>
      <c r="H752" s="0" t="str">
        <f aca="false">IF($A752="","",IF(AW752="Y",BR752&amp;"",BD752&amp;""))</f>
        <v/>
      </c>
      <c r="I752" s="0" t="str">
        <f aca="false">IF($A752="","",IF(R752="Y","warm-intro",IF(H752="verified","email",IF(C752&lt;&gt;"","linkedin",CB752&amp;""))))</f>
        <v/>
      </c>
      <c r="J752" s="0" t="str">
        <f aca="false">IF($A752="","",IF(CN752="pass",ROUND(N(EM752)+N(EN752)+N(EO752)+N(EP752)+N(EQ752)+N(ER752),1),0))</f>
        <v/>
      </c>
      <c r="K752" s="0" t="str">
        <f aca="false">IF($A752="","",IF(CN752&lt;&gt;"pass",CA752&amp;"",CA752&amp;"; "&amp;IF(AW752="Y",BZ752&amp;"",BL752&amp;"")&amp;IF(R752="Y","; known to the founder (+15)","")&amp;"."))</f>
        <v/>
      </c>
      <c r="R752" s="5"/>
      <c r="U752" s="5"/>
      <c r="Y752" s="0" t="str">
        <f aca="false">IF(FX752&lt;&gt;"Y","",COUNTIFS($FX$2:$FX$1000,"Y",$J$2:$J$1000,"&gt;"&amp;J752)+COUNTIFS($FX$2:$FX$1000,"Y",$J$2:$J$1000,J752,$GD$2:$GD$1000,"&lt;"&amp;GD752)+1)</f>
        <v/>
      </c>
      <c r="AB752" s="0" t="str">
        <f aca="false">IF($A752="","",IF(AW752="Y",BY752&amp;"",BK752&amp;""))</f>
        <v/>
      </c>
      <c r="AC752" s="0" t="str">
        <f aca="false">IF($A752="","",IF(AW752="Y",BS752&amp;"",BE752&amp;""))</f>
        <v/>
      </c>
      <c r="AD752" s="0" t="str">
        <f aca="false">IF($A752="","",IF(AW752="Y",BT752&amp;"",BF752&amp;""))</f>
        <v/>
      </c>
      <c r="AE752" s="0" t="str">
        <f aca="false">IF($A752="","",IF(AW752="Y",BU752&amp;"",BG752&amp;""))</f>
        <v/>
      </c>
      <c r="AF752" s="0" t="str">
        <f aca="false">IF($A752="","",IF(AW752="Y",BV752&amp;"",BH752&amp;""))</f>
        <v/>
      </c>
      <c r="AG752" s="0" t="str">
        <f aca="false">IF($A752="","",IF(AW752="Y",BW752&amp;"",BI752&amp;""))</f>
        <v/>
      </c>
      <c r="AH752" s="0" t="str">
        <f aca="false">IF($A752="","",IF(AW752="Y",BX752&amp;"",BJ752&amp;""))</f>
        <v/>
      </c>
      <c r="AQ752" s="5"/>
      <c r="AT752" s="0" t="str">
        <f aca="false">IF($A752="","",IF(AND(CN752="pass",AQ752&lt;&gt;"Y",C752&lt;&gt;"",OR(AX752&lt;&gt;"Y",AV752="Y")),"Y","N"))</f>
        <v/>
      </c>
      <c r="AU752" s="0" t="str">
        <f aca="false">IF($A752="","",_xlfn.TEXTJOIN("; ",TRUE(),IF(CN752&lt;&gt;"pass","gated out",""),IF(AQ752="Y","on hold: "&amp;AR752,""),IF(C752="","no contact named on an opened page",""),IF(AND(AX752="Y",AV752&lt;&gt;"Y"),"Tuesday estimate band "&amp;L752&amp;": founder's call","")))</f>
        <v/>
      </c>
      <c r="BC752" s="0" t="str">
        <f aca="false">IF($A752="","",IFERROR(INDEX(Enrichment!$A$2:$GZ$2000,MATCH($A752,INDEX(Enrichment!$A$2:$GZ$2000,0,MATCH("row_id",Enrichment!$A$1:$GZ$1,0)),0),MATCH("work_email",Enrichment!$A$1:$GZ$1,0))&amp;"",""))</f>
        <v/>
      </c>
      <c r="BD752" s="0" t="str">
        <f aca="false">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Q752" s="0" t="str">
        <f aca="false">IF($A752="","",IFERROR(INDEX(Enrichment!$A$2:$GZ$2000,MATCH($A752,INDEX(Enrichment!$A$2:$GZ$2000,0,MATCH("row_id",Enrichment!$A$1:$GZ$1,0)),0),MATCH("backup_work_email",Enrichment!$A$1:$GZ$1,0))&amp;"",""))</f>
        <v/>
      </c>
      <c r="BR752" s="0" t="str">
        <f aca="false">IF($A752="","",IF(BQ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EQ752" s="0" t="str">
        <f aca="false">IF($A752="","",IF(AH752="exact",10,IF(AH752="adjacent",5,0)))</f>
        <v/>
      </c>
      <c r="ER752" s="0" t="str">
        <f aca="false">IF($A752="","",IF(R752="Y",15,0))</f>
        <v/>
      </c>
      <c r="FS752" s="0" t="str">
        <f aca="false">IF($A752="","",IF(ISNUMBER(MATCH(U752,{"queued","contacted","replied","call_booked","call_done","yes_in_principle","materials_sent"},0)),"Y","N"))</f>
        <v/>
      </c>
      <c r="FT752" s="0" t="str">
        <f aca="false">IF($A752="","",IF(OR(T752="Y",U752="do_not_contact",AS752&amp;""&lt;&gt;""),"Y","N"))</f>
        <v/>
      </c>
      <c r="FU752" s="0" t="str">
        <f aca="false">IF($A752="","",IF(AP752&amp;""&lt;&gt;"",AP752&amp;"",$A752))</f>
        <v/>
      </c>
      <c r="FV752" s="0" t="str">
        <f aca="false">IF($A752="","",IF(COUNTIFS($FU$2:$FU$1000,FU752,$FS$2:$FS$1000,"Y")+COUNTIFS($FU$2:$FU$1000,FU752,$FT$2:$FT$1000,"Y")&gt;0,"Y","N"))</f>
        <v/>
      </c>
      <c r="FW752" s="0" t="str">
        <f aca="false">IF($A752="","",IF(AND(U752="new",T752="N",FT752="N",AT752="Y",FV752="N"),"Y","N"))</f>
        <v/>
      </c>
      <c r="FX752" s="0" t="str">
        <f aca="false">IF($A752="","",IF(FW752&lt;&gt;"Y","N",IF(COUNTIFS($FU$2:$FU$1000,FU752,$FW$2:$FW$1000,"Y",$J$2:$J$1000,"&gt;"&amp;J752)+COUNTIFS($FU$2:$FU$1000,FU752,$FW$2:$FW$1000,"Y",$J$2:$J$1000,J752,$GD$2:$GD$1000,"&lt;"&amp;GD752)=0,"Y","N")))</f>
        <v/>
      </c>
      <c r="FY752" s="0" t="str">
        <f aca="false">IF($A752="","",IF(AND(FW752="Y",FX752="Y",Y752&amp;""&lt;&gt;""),IF(Y752&lt;=10,"Y","N"),"N"))</f>
        <v/>
      </c>
      <c r="FZ752" s="0" t="str">
        <f aca="false">IF(FY752="Y",Y752,"")</f>
        <v/>
      </c>
      <c r="GA752" s="0" t="str">
        <f aca="false">IF($A752="","",IF(AND(I752="walk-in",CN752="pass",U752="new",FT752="N",FV752="N",AQ752&lt;&gt;"Y"),"Y","N"))</f>
        <v/>
      </c>
      <c r="GB752" s="0" t="str">
        <f aca="false">IF(GA752&lt;&gt;"Y","",IF(COUNTIFS($GA$2:$GA$1000,"Y",$J$2:$J$1000,"&gt;"&amp;J752)+COUNTIFS($GA$2:$GA$1000,"Y",$J$2:$J$1000,J752,$GD$2:$GD$1000,"&lt;"&amp;GD752)+1&lt;=25,COUNTIFS($GA$2:$GA$1000,"Y",$J$2:$J$1000,"&gt;"&amp;J752)+COUNTIFS($GA$2:$GA$1000,"Y",$J$2:$J$1000,J752,$GD$2:$GD$1000,"&lt;"&amp;GD752)+1,""))</f>
        <v/>
      </c>
      <c r="GC752" s="0" t="str">
        <f aca="false">IF(AND(_xlfn.ISFORMULA(C752),_xlfn.ISFORMULA(J752)),"Y","N")</f>
        <v>Y</v>
      </c>
      <c r="GD752" s="0" t="n">
        <f aca="false">ROW()-1</f>
        <v>751</v>
      </c>
    </row>
    <row r="753" customFormat="false" ht="15" hidden="false" customHeight="false" outlineLevel="0" collapsed="false">
      <c r="C753" s="0" t="str">
        <f aca="false">IF($A753="","",IF(AW753="Y",BM753&amp;"",AY753&amp;""))</f>
        <v/>
      </c>
      <c r="D753" s="0" t="str">
        <f aca="false">IF($A753="","",IF(AW753="Y",BN753&amp;"",AZ753&amp;""))</f>
        <v/>
      </c>
      <c r="E753" s="0" t="str">
        <f aca="false">IF($A753="","",IF(AW753="Y",BO753&amp;"",BA753&amp;""))</f>
        <v/>
      </c>
      <c r="F753" s="0" t="str">
        <f aca="false">IF($A753="","",IF(AW753="Y",BP753&amp;"",BB753&amp;""))</f>
        <v/>
      </c>
      <c r="G753" s="0" t="str">
        <f aca="false">IF($A753="","",IF(AW753="Y",BQ753&amp;"",BC753&amp;""))</f>
        <v/>
      </c>
      <c r="H753" s="0" t="str">
        <f aca="false">IF($A753="","",IF(AW753="Y",BR753&amp;"",BD753&amp;""))</f>
        <v/>
      </c>
      <c r="I753" s="0" t="str">
        <f aca="false">IF($A753="","",IF(R753="Y","warm-intro",IF(H753="verified","email",IF(C753&lt;&gt;"","linkedin",CB753&amp;""))))</f>
        <v/>
      </c>
      <c r="J753" s="0" t="str">
        <f aca="false">IF($A753="","",IF(CN753="pass",ROUND(N(EM753)+N(EN753)+N(EO753)+N(EP753)+N(EQ753)+N(ER753),1),0))</f>
        <v/>
      </c>
      <c r="K753" s="0" t="str">
        <f aca="false">IF($A753="","",IF(CN753&lt;&gt;"pass",CA753&amp;"",CA753&amp;"; "&amp;IF(AW753="Y",BZ753&amp;"",BL753&amp;"")&amp;IF(R753="Y","; known to the founder (+15)","")&amp;"."))</f>
        <v/>
      </c>
      <c r="R753" s="5"/>
      <c r="U753" s="5"/>
      <c r="Y753" s="0" t="str">
        <f aca="false">IF(FX753&lt;&gt;"Y","",COUNTIFS($FX$2:$FX$1000,"Y",$J$2:$J$1000,"&gt;"&amp;J753)+COUNTIFS($FX$2:$FX$1000,"Y",$J$2:$J$1000,J753,$GD$2:$GD$1000,"&lt;"&amp;GD753)+1)</f>
        <v/>
      </c>
      <c r="AB753" s="0" t="str">
        <f aca="false">IF($A753="","",IF(AW753="Y",BY753&amp;"",BK753&amp;""))</f>
        <v/>
      </c>
      <c r="AC753" s="0" t="str">
        <f aca="false">IF($A753="","",IF(AW753="Y",BS753&amp;"",BE753&amp;""))</f>
        <v/>
      </c>
      <c r="AD753" s="0" t="str">
        <f aca="false">IF($A753="","",IF(AW753="Y",BT753&amp;"",BF753&amp;""))</f>
        <v/>
      </c>
      <c r="AE753" s="0" t="str">
        <f aca="false">IF($A753="","",IF(AW753="Y",BU753&amp;"",BG753&amp;""))</f>
        <v/>
      </c>
      <c r="AF753" s="0" t="str">
        <f aca="false">IF($A753="","",IF(AW753="Y",BV753&amp;"",BH753&amp;""))</f>
        <v/>
      </c>
      <c r="AG753" s="0" t="str">
        <f aca="false">IF($A753="","",IF(AW753="Y",BW753&amp;"",BI753&amp;""))</f>
        <v/>
      </c>
      <c r="AH753" s="0" t="str">
        <f aca="false">IF($A753="","",IF(AW753="Y",BX753&amp;"",BJ753&amp;""))</f>
        <v/>
      </c>
      <c r="AQ753" s="5"/>
      <c r="AT753" s="0" t="str">
        <f aca="false">IF($A753="","",IF(AND(CN753="pass",AQ753&lt;&gt;"Y",C753&lt;&gt;"",OR(AX753&lt;&gt;"Y",AV753="Y")),"Y","N"))</f>
        <v/>
      </c>
      <c r="AU753" s="0" t="str">
        <f aca="false">IF($A753="","",_xlfn.TEXTJOIN("; ",TRUE(),IF(CN753&lt;&gt;"pass","gated out",""),IF(AQ753="Y","on hold: "&amp;AR753,""),IF(C753="","no contact named on an opened page",""),IF(AND(AX753="Y",AV753&lt;&gt;"Y"),"Tuesday estimate band "&amp;L753&amp;": founder's call","")))</f>
        <v/>
      </c>
      <c r="BC753" s="0" t="str">
        <f aca="false">IF($A753="","",IFERROR(INDEX(Enrichment!$A$2:$GZ$2000,MATCH($A753,INDEX(Enrichment!$A$2:$GZ$2000,0,MATCH("row_id",Enrichment!$A$1:$GZ$1,0)),0),MATCH("work_email",Enrichment!$A$1:$GZ$1,0))&amp;"",""))</f>
        <v/>
      </c>
      <c r="BD753" s="0" t="str">
        <f aca="false">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Q753" s="0" t="str">
        <f aca="false">IF($A753="","",IFERROR(INDEX(Enrichment!$A$2:$GZ$2000,MATCH($A753,INDEX(Enrichment!$A$2:$GZ$2000,0,MATCH("row_id",Enrichment!$A$1:$GZ$1,0)),0),MATCH("backup_work_email",Enrichment!$A$1:$GZ$1,0))&amp;"",""))</f>
        <v/>
      </c>
      <c r="BR753" s="0" t="str">
        <f aca="false">IF($A753="","",IF(BQ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EQ753" s="0" t="str">
        <f aca="false">IF($A753="","",IF(AH753="exact",10,IF(AH753="adjacent",5,0)))</f>
        <v/>
      </c>
      <c r="ER753" s="0" t="str">
        <f aca="false">IF($A753="","",IF(R753="Y",15,0))</f>
        <v/>
      </c>
      <c r="FS753" s="0" t="str">
        <f aca="false">IF($A753="","",IF(ISNUMBER(MATCH(U753,{"queued","contacted","replied","call_booked","call_done","yes_in_principle","materials_sent"},0)),"Y","N"))</f>
        <v/>
      </c>
      <c r="FT753" s="0" t="str">
        <f aca="false">IF($A753="","",IF(OR(T753="Y",U753="do_not_contact",AS753&amp;""&lt;&gt;""),"Y","N"))</f>
        <v/>
      </c>
      <c r="FU753" s="0" t="str">
        <f aca="false">IF($A753="","",IF(AP753&amp;""&lt;&gt;"",AP753&amp;"",$A753))</f>
        <v/>
      </c>
      <c r="FV753" s="0" t="str">
        <f aca="false">IF($A753="","",IF(COUNTIFS($FU$2:$FU$1000,FU753,$FS$2:$FS$1000,"Y")+COUNTIFS($FU$2:$FU$1000,FU753,$FT$2:$FT$1000,"Y")&gt;0,"Y","N"))</f>
        <v/>
      </c>
      <c r="FW753" s="0" t="str">
        <f aca="false">IF($A753="","",IF(AND(U753="new",T753="N",FT753="N",AT753="Y",FV753="N"),"Y","N"))</f>
        <v/>
      </c>
      <c r="FX753" s="0" t="str">
        <f aca="false">IF($A753="","",IF(FW753&lt;&gt;"Y","N",IF(COUNTIFS($FU$2:$FU$1000,FU753,$FW$2:$FW$1000,"Y",$J$2:$J$1000,"&gt;"&amp;J753)+COUNTIFS($FU$2:$FU$1000,FU753,$FW$2:$FW$1000,"Y",$J$2:$J$1000,J753,$GD$2:$GD$1000,"&lt;"&amp;GD753)=0,"Y","N")))</f>
        <v/>
      </c>
      <c r="FY753" s="0" t="str">
        <f aca="false">IF($A753="","",IF(AND(FW753="Y",FX753="Y",Y753&amp;""&lt;&gt;""),IF(Y753&lt;=10,"Y","N"),"N"))</f>
        <v/>
      </c>
      <c r="FZ753" s="0" t="str">
        <f aca="false">IF(FY753="Y",Y753,"")</f>
        <v/>
      </c>
      <c r="GA753" s="0" t="str">
        <f aca="false">IF($A753="","",IF(AND(I753="walk-in",CN753="pass",U753="new",FT753="N",FV753="N",AQ753&lt;&gt;"Y"),"Y","N"))</f>
        <v/>
      </c>
      <c r="GB753" s="0" t="str">
        <f aca="false">IF(GA753&lt;&gt;"Y","",IF(COUNTIFS($GA$2:$GA$1000,"Y",$J$2:$J$1000,"&gt;"&amp;J753)+COUNTIFS($GA$2:$GA$1000,"Y",$J$2:$J$1000,J753,$GD$2:$GD$1000,"&lt;"&amp;GD753)+1&lt;=25,COUNTIFS($GA$2:$GA$1000,"Y",$J$2:$J$1000,"&gt;"&amp;J753)+COUNTIFS($GA$2:$GA$1000,"Y",$J$2:$J$1000,J753,$GD$2:$GD$1000,"&lt;"&amp;GD753)+1,""))</f>
        <v/>
      </c>
      <c r="GC753" s="0" t="str">
        <f aca="false">IF(AND(_xlfn.ISFORMULA(C753),_xlfn.ISFORMULA(J753)),"Y","N")</f>
        <v>Y</v>
      </c>
      <c r="GD753" s="0" t="n">
        <f aca="false">ROW()-1</f>
        <v>752</v>
      </c>
    </row>
    <row r="754" customFormat="false" ht="15" hidden="false" customHeight="false" outlineLevel="0" collapsed="false">
      <c r="C754" s="0" t="str">
        <f aca="false">IF($A754="","",IF(AW754="Y",BM754&amp;"",AY754&amp;""))</f>
        <v/>
      </c>
      <c r="D754" s="0" t="str">
        <f aca="false">IF($A754="","",IF(AW754="Y",BN754&amp;"",AZ754&amp;""))</f>
        <v/>
      </c>
      <c r="E754" s="0" t="str">
        <f aca="false">IF($A754="","",IF(AW754="Y",BO754&amp;"",BA754&amp;""))</f>
        <v/>
      </c>
      <c r="F754" s="0" t="str">
        <f aca="false">IF($A754="","",IF(AW754="Y",BP754&amp;"",BB754&amp;""))</f>
        <v/>
      </c>
      <c r="G754" s="0" t="str">
        <f aca="false">IF($A754="","",IF(AW754="Y",BQ754&amp;"",BC754&amp;""))</f>
        <v/>
      </c>
      <c r="H754" s="0" t="str">
        <f aca="false">IF($A754="","",IF(AW754="Y",BR754&amp;"",BD754&amp;""))</f>
        <v/>
      </c>
      <c r="I754" s="0" t="str">
        <f aca="false">IF($A754="","",IF(R754="Y","warm-intro",IF(H754="verified","email",IF(C754&lt;&gt;"","linkedin",CB754&amp;""))))</f>
        <v/>
      </c>
      <c r="J754" s="0" t="str">
        <f aca="false">IF($A754="","",IF(CN754="pass",ROUND(N(EM754)+N(EN754)+N(EO754)+N(EP754)+N(EQ754)+N(ER754),1),0))</f>
        <v/>
      </c>
      <c r="K754" s="0" t="str">
        <f aca="false">IF($A754="","",IF(CN754&lt;&gt;"pass",CA754&amp;"",CA754&amp;"; "&amp;IF(AW754="Y",BZ754&amp;"",BL754&amp;"")&amp;IF(R754="Y","; known to the founder (+15)","")&amp;"."))</f>
        <v/>
      </c>
      <c r="R754" s="5"/>
      <c r="U754" s="5"/>
      <c r="Y754" s="0" t="str">
        <f aca="false">IF(FX754&lt;&gt;"Y","",COUNTIFS($FX$2:$FX$1000,"Y",$J$2:$J$1000,"&gt;"&amp;J754)+COUNTIFS($FX$2:$FX$1000,"Y",$J$2:$J$1000,J754,$GD$2:$GD$1000,"&lt;"&amp;GD754)+1)</f>
        <v/>
      </c>
      <c r="AB754" s="0" t="str">
        <f aca="false">IF($A754="","",IF(AW754="Y",BY754&amp;"",BK754&amp;""))</f>
        <v/>
      </c>
      <c r="AC754" s="0" t="str">
        <f aca="false">IF($A754="","",IF(AW754="Y",BS754&amp;"",BE754&amp;""))</f>
        <v/>
      </c>
      <c r="AD754" s="0" t="str">
        <f aca="false">IF($A754="","",IF(AW754="Y",BT754&amp;"",BF754&amp;""))</f>
        <v/>
      </c>
      <c r="AE754" s="0" t="str">
        <f aca="false">IF($A754="","",IF(AW754="Y",BU754&amp;"",BG754&amp;""))</f>
        <v/>
      </c>
      <c r="AF754" s="0" t="str">
        <f aca="false">IF($A754="","",IF(AW754="Y",BV754&amp;"",BH754&amp;""))</f>
        <v/>
      </c>
      <c r="AG754" s="0" t="str">
        <f aca="false">IF($A754="","",IF(AW754="Y",BW754&amp;"",BI754&amp;""))</f>
        <v/>
      </c>
      <c r="AH754" s="0" t="str">
        <f aca="false">IF($A754="","",IF(AW754="Y",BX754&amp;"",BJ754&amp;""))</f>
        <v/>
      </c>
      <c r="AQ754" s="5"/>
      <c r="AT754" s="0" t="str">
        <f aca="false">IF($A754="","",IF(AND(CN754="pass",AQ754&lt;&gt;"Y",C754&lt;&gt;"",OR(AX754&lt;&gt;"Y",AV754="Y")),"Y","N"))</f>
        <v/>
      </c>
      <c r="AU754" s="0" t="str">
        <f aca="false">IF($A754="","",_xlfn.TEXTJOIN("; ",TRUE(),IF(CN754&lt;&gt;"pass","gated out",""),IF(AQ754="Y","on hold: "&amp;AR754,""),IF(C754="","no contact named on an opened page",""),IF(AND(AX754="Y",AV754&lt;&gt;"Y"),"Tuesday estimate band "&amp;L754&amp;": founder's call","")))</f>
        <v/>
      </c>
      <c r="BC754" s="0" t="str">
        <f aca="false">IF($A754="","",IFERROR(INDEX(Enrichment!$A$2:$GZ$2000,MATCH($A754,INDEX(Enrichment!$A$2:$GZ$2000,0,MATCH("row_id",Enrichment!$A$1:$GZ$1,0)),0),MATCH("work_email",Enrichment!$A$1:$GZ$1,0))&amp;"",""))</f>
        <v/>
      </c>
      <c r="BD754" s="0" t="str">
        <f aca="false">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Q754" s="0" t="str">
        <f aca="false">IF($A754="","",IFERROR(INDEX(Enrichment!$A$2:$GZ$2000,MATCH($A754,INDEX(Enrichment!$A$2:$GZ$2000,0,MATCH("row_id",Enrichment!$A$1:$GZ$1,0)),0),MATCH("backup_work_email",Enrichment!$A$1:$GZ$1,0))&amp;"",""))</f>
        <v/>
      </c>
      <c r="BR754" s="0" t="str">
        <f aca="false">IF($A754="","",IF(BQ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EQ754" s="0" t="str">
        <f aca="false">IF($A754="","",IF(AH754="exact",10,IF(AH754="adjacent",5,0)))</f>
        <v/>
      </c>
      <c r="ER754" s="0" t="str">
        <f aca="false">IF($A754="","",IF(R754="Y",15,0))</f>
        <v/>
      </c>
      <c r="FS754" s="0" t="str">
        <f aca="false">IF($A754="","",IF(ISNUMBER(MATCH(U754,{"queued","contacted","replied","call_booked","call_done","yes_in_principle","materials_sent"},0)),"Y","N"))</f>
        <v/>
      </c>
      <c r="FT754" s="0" t="str">
        <f aca="false">IF($A754="","",IF(OR(T754="Y",U754="do_not_contact",AS754&amp;""&lt;&gt;""),"Y","N"))</f>
        <v/>
      </c>
      <c r="FU754" s="0" t="str">
        <f aca="false">IF($A754="","",IF(AP754&amp;""&lt;&gt;"",AP754&amp;"",$A754))</f>
        <v/>
      </c>
      <c r="FV754" s="0" t="str">
        <f aca="false">IF($A754="","",IF(COUNTIFS($FU$2:$FU$1000,FU754,$FS$2:$FS$1000,"Y")+COUNTIFS($FU$2:$FU$1000,FU754,$FT$2:$FT$1000,"Y")&gt;0,"Y","N"))</f>
        <v/>
      </c>
      <c r="FW754" s="0" t="str">
        <f aca="false">IF($A754="","",IF(AND(U754="new",T754="N",FT754="N",AT754="Y",FV754="N"),"Y","N"))</f>
        <v/>
      </c>
      <c r="FX754" s="0" t="str">
        <f aca="false">IF($A754="","",IF(FW754&lt;&gt;"Y","N",IF(COUNTIFS($FU$2:$FU$1000,FU754,$FW$2:$FW$1000,"Y",$J$2:$J$1000,"&gt;"&amp;J754)+COUNTIFS($FU$2:$FU$1000,FU754,$FW$2:$FW$1000,"Y",$J$2:$J$1000,J754,$GD$2:$GD$1000,"&lt;"&amp;GD754)=0,"Y","N")))</f>
        <v/>
      </c>
      <c r="FY754" s="0" t="str">
        <f aca="false">IF($A754="","",IF(AND(FW754="Y",FX754="Y",Y754&amp;""&lt;&gt;""),IF(Y754&lt;=10,"Y","N"),"N"))</f>
        <v/>
      </c>
      <c r="FZ754" s="0" t="str">
        <f aca="false">IF(FY754="Y",Y754,"")</f>
        <v/>
      </c>
      <c r="GA754" s="0" t="str">
        <f aca="false">IF($A754="","",IF(AND(I754="walk-in",CN754="pass",U754="new",FT754="N",FV754="N",AQ754&lt;&gt;"Y"),"Y","N"))</f>
        <v/>
      </c>
      <c r="GB754" s="0" t="str">
        <f aca="false">IF(GA754&lt;&gt;"Y","",IF(COUNTIFS($GA$2:$GA$1000,"Y",$J$2:$J$1000,"&gt;"&amp;J754)+COUNTIFS($GA$2:$GA$1000,"Y",$J$2:$J$1000,J754,$GD$2:$GD$1000,"&lt;"&amp;GD754)+1&lt;=25,COUNTIFS($GA$2:$GA$1000,"Y",$J$2:$J$1000,"&gt;"&amp;J754)+COUNTIFS($GA$2:$GA$1000,"Y",$J$2:$J$1000,J754,$GD$2:$GD$1000,"&lt;"&amp;GD754)+1,""))</f>
        <v/>
      </c>
      <c r="GC754" s="0" t="str">
        <f aca="false">IF(AND(_xlfn.ISFORMULA(C754),_xlfn.ISFORMULA(J754)),"Y","N")</f>
        <v>Y</v>
      </c>
      <c r="GD754" s="0" t="n">
        <f aca="false">ROW()-1</f>
        <v>753</v>
      </c>
    </row>
    <row r="755" customFormat="false" ht="15" hidden="false" customHeight="false" outlineLevel="0" collapsed="false">
      <c r="C755" s="0" t="str">
        <f aca="false">IF($A755="","",IF(AW755="Y",BM755&amp;"",AY755&amp;""))</f>
        <v/>
      </c>
      <c r="D755" s="0" t="str">
        <f aca="false">IF($A755="","",IF(AW755="Y",BN755&amp;"",AZ755&amp;""))</f>
        <v/>
      </c>
      <c r="E755" s="0" t="str">
        <f aca="false">IF($A755="","",IF(AW755="Y",BO755&amp;"",BA755&amp;""))</f>
        <v/>
      </c>
      <c r="F755" s="0" t="str">
        <f aca="false">IF($A755="","",IF(AW755="Y",BP755&amp;"",BB755&amp;""))</f>
        <v/>
      </c>
      <c r="G755" s="0" t="str">
        <f aca="false">IF($A755="","",IF(AW755="Y",BQ755&amp;"",BC755&amp;""))</f>
        <v/>
      </c>
      <c r="H755" s="0" t="str">
        <f aca="false">IF($A755="","",IF(AW755="Y",BR755&amp;"",BD755&amp;""))</f>
        <v/>
      </c>
      <c r="I755" s="0" t="str">
        <f aca="false">IF($A755="","",IF(R755="Y","warm-intro",IF(H755="verified","email",IF(C755&lt;&gt;"","linkedin",CB755&amp;""))))</f>
        <v/>
      </c>
      <c r="J755" s="0" t="str">
        <f aca="false">IF($A755="","",IF(CN755="pass",ROUND(N(EM755)+N(EN755)+N(EO755)+N(EP755)+N(EQ755)+N(ER755),1),0))</f>
        <v/>
      </c>
      <c r="K755" s="0" t="str">
        <f aca="false">IF($A755="","",IF(CN755&lt;&gt;"pass",CA755&amp;"",CA755&amp;"; "&amp;IF(AW755="Y",BZ755&amp;"",BL755&amp;"")&amp;IF(R755="Y","; known to the founder (+15)","")&amp;"."))</f>
        <v/>
      </c>
      <c r="R755" s="5"/>
      <c r="U755" s="5"/>
      <c r="Y755" s="0" t="str">
        <f aca="false">IF(FX755&lt;&gt;"Y","",COUNTIFS($FX$2:$FX$1000,"Y",$J$2:$J$1000,"&gt;"&amp;J755)+COUNTIFS($FX$2:$FX$1000,"Y",$J$2:$J$1000,J755,$GD$2:$GD$1000,"&lt;"&amp;GD755)+1)</f>
        <v/>
      </c>
      <c r="AB755" s="0" t="str">
        <f aca="false">IF($A755="","",IF(AW755="Y",BY755&amp;"",BK755&amp;""))</f>
        <v/>
      </c>
      <c r="AC755" s="0" t="str">
        <f aca="false">IF($A755="","",IF(AW755="Y",BS755&amp;"",BE755&amp;""))</f>
        <v/>
      </c>
      <c r="AD755" s="0" t="str">
        <f aca="false">IF($A755="","",IF(AW755="Y",BT755&amp;"",BF755&amp;""))</f>
        <v/>
      </c>
      <c r="AE755" s="0" t="str">
        <f aca="false">IF($A755="","",IF(AW755="Y",BU755&amp;"",BG755&amp;""))</f>
        <v/>
      </c>
      <c r="AF755" s="0" t="str">
        <f aca="false">IF($A755="","",IF(AW755="Y",BV755&amp;"",BH755&amp;""))</f>
        <v/>
      </c>
      <c r="AG755" s="0" t="str">
        <f aca="false">IF($A755="","",IF(AW755="Y",BW755&amp;"",BI755&amp;""))</f>
        <v/>
      </c>
      <c r="AH755" s="0" t="str">
        <f aca="false">IF($A755="","",IF(AW755="Y",BX755&amp;"",BJ755&amp;""))</f>
        <v/>
      </c>
      <c r="AQ755" s="5"/>
      <c r="AT755" s="0" t="str">
        <f aca="false">IF($A755="","",IF(AND(CN755="pass",AQ755&lt;&gt;"Y",C755&lt;&gt;"",OR(AX755&lt;&gt;"Y",AV755="Y")),"Y","N"))</f>
        <v/>
      </c>
      <c r="AU755" s="0" t="str">
        <f aca="false">IF($A755="","",_xlfn.TEXTJOIN("; ",TRUE(),IF(CN755&lt;&gt;"pass","gated out",""),IF(AQ755="Y","on hold: "&amp;AR755,""),IF(C755="","no contact named on an opened page",""),IF(AND(AX755="Y",AV755&lt;&gt;"Y"),"Tuesday estimate band "&amp;L755&amp;": founder's call","")))</f>
        <v/>
      </c>
      <c r="BC755" s="0" t="str">
        <f aca="false">IF($A755="","",IFERROR(INDEX(Enrichment!$A$2:$GZ$2000,MATCH($A755,INDEX(Enrichment!$A$2:$GZ$2000,0,MATCH("row_id",Enrichment!$A$1:$GZ$1,0)),0),MATCH("work_email",Enrichment!$A$1:$GZ$1,0))&amp;"",""))</f>
        <v/>
      </c>
      <c r="BD755" s="0" t="str">
        <f aca="false">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Q755" s="0" t="str">
        <f aca="false">IF($A755="","",IFERROR(INDEX(Enrichment!$A$2:$GZ$2000,MATCH($A755,INDEX(Enrichment!$A$2:$GZ$2000,0,MATCH("row_id",Enrichment!$A$1:$GZ$1,0)),0),MATCH("backup_work_email",Enrichment!$A$1:$GZ$1,0))&amp;"",""))</f>
        <v/>
      </c>
      <c r="BR755" s="0" t="str">
        <f aca="false">IF($A755="","",IF(BQ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EQ755" s="0" t="str">
        <f aca="false">IF($A755="","",IF(AH755="exact",10,IF(AH755="adjacent",5,0)))</f>
        <v/>
      </c>
      <c r="ER755" s="0" t="str">
        <f aca="false">IF($A755="","",IF(R755="Y",15,0))</f>
        <v/>
      </c>
      <c r="FS755" s="0" t="str">
        <f aca="false">IF($A755="","",IF(ISNUMBER(MATCH(U755,{"queued","contacted","replied","call_booked","call_done","yes_in_principle","materials_sent"},0)),"Y","N"))</f>
        <v/>
      </c>
      <c r="FT755" s="0" t="str">
        <f aca="false">IF($A755="","",IF(OR(T755="Y",U755="do_not_contact",AS755&amp;""&lt;&gt;""),"Y","N"))</f>
        <v/>
      </c>
      <c r="FU755" s="0" t="str">
        <f aca="false">IF($A755="","",IF(AP755&amp;""&lt;&gt;"",AP755&amp;"",$A755))</f>
        <v/>
      </c>
      <c r="FV755" s="0" t="str">
        <f aca="false">IF($A755="","",IF(COUNTIFS($FU$2:$FU$1000,FU755,$FS$2:$FS$1000,"Y")+COUNTIFS($FU$2:$FU$1000,FU755,$FT$2:$FT$1000,"Y")&gt;0,"Y","N"))</f>
        <v/>
      </c>
      <c r="FW755" s="0" t="str">
        <f aca="false">IF($A755="","",IF(AND(U755="new",T755="N",FT755="N",AT755="Y",FV755="N"),"Y","N"))</f>
        <v/>
      </c>
      <c r="FX755" s="0" t="str">
        <f aca="false">IF($A755="","",IF(FW755&lt;&gt;"Y","N",IF(COUNTIFS($FU$2:$FU$1000,FU755,$FW$2:$FW$1000,"Y",$J$2:$J$1000,"&gt;"&amp;J755)+COUNTIFS($FU$2:$FU$1000,FU755,$FW$2:$FW$1000,"Y",$J$2:$J$1000,J755,$GD$2:$GD$1000,"&lt;"&amp;GD755)=0,"Y","N")))</f>
        <v/>
      </c>
      <c r="FY755" s="0" t="str">
        <f aca="false">IF($A755="","",IF(AND(FW755="Y",FX755="Y",Y755&amp;""&lt;&gt;""),IF(Y755&lt;=10,"Y","N"),"N"))</f>
        <v/>
      </c>
      <c r="FZ755" s="0" t="str">
        <f aca="false">IF(FY755="Y",Y755,"")</f>
        <v/>
      </c>
      <c r="GA755" s="0" t="str">
        <f aca="false">IF($A755="","",IF(AND(I755="walk-in",CN755="pass",U755="new",FT755="N",FV755="N",AQ755&lt;&gt;"Y"),"Y","N"))</f>
        <v/>
      </c>
      <c r="GB755" s="0" t="str">
        <f aca="false">IF(GA755&lt;&gt;"Y","",IF(COUNTIFS($GA$2:$GA$1000,"Y",$J$2:$J$1000,"&gt;"&amp;J755)+COUNTIFS($GA$2:$GA$1000,"Y",$J$2:$J$1000,J755,$GD$2:$GD$1000,"&lt;"&amp;GD755)+1&lt;=25,COUNTIFS($GA$2:$GA$1000,"Y",$J$2:$J$1000,"&gt;"&amp;J755)+COUNTIFS($GA$2:$GA$1000,"Y",$J$2:$J$1000,J755,$GD$2:$GD$1000,"&lt;"&amp;GD755)+1,""))</f>
        <v/>
      </c>
      <c r="GC755" s="0" t="str">
        <f aca="false">IF(AND(_xlfn.ISFORMULA(C755),_xlfn.ISFORMULA(J755)),"Y","N")</f>
        <v>Y</v>
      </c>
      <c r="GD755" s="0" t="n">
        <f aca="false">ROW()-1</f>
        <v>754</v>
      </c>
    </row>
    <row r="756" customFormat="false" ht="15" hidden="false" customHeight="false" outlineLevel="0" collapsed="false">
      <c r="C756" s="0" t="str">
        <f aca="false">IF($A756="","",IF(AW756="Y",BM756&amp;"",AY756&amp;""))</f>
        <v/>
      </c>
      <c r="D756" s="0" t="str">
        <f aca="false">IF($A756="","",IF(AW756="Y",BN756&amp;"",AZ756&amp;""))</f>
        <v/>
      </c>
      <c r="E756" s="0" t="str">
        <f aca="false">IF($A756="","",IF(AW756="Y",BO756&amp;"",BA756&amp;""))</f>
        <v/>
      </c>
      <c r="F756" s="0" t="str">
        <f aca="false">IF($A756="","",IF(AW756="Y",BP756&amp;"",BB756&amp;""))</f>
        <v/>
      </c>
      <c r="G756" s="0" t="str">
        <f aca="false">IF($A756="","",IF(AW756="Y",BQ756&amp;"",BC756&amp;""))</f>
        <v/>
      </c>
      <c r="H756" s="0" t="str">
        <f aca="false">IF($A756="","",IF(AW756="Y",BR756&amp;"",BD756&amp;""))</f>
        <v/>
      </c>
      <c r="I756" s="0" t="str">
        <f aca="false">IF($A756="","",IF(R756="Y","warm-intro",IF(H756="verified","email",IF(C756&lt;&gt;"","linkedin",CB756&amp;""))))</f>
        <v/>
      </c>
      <c r="J756" s="0" t="str">
        <f aca="false">IF($A756="","",IF(CN756="pass",ROUND(N(EM756)+N(EN756)+N(EO756)+N(EP756)+N(EQ756)+N(ER756),1),0))</f>
        <v/>
      </c>
      <c r="K756" s="0" t="str">
        <f aca="false">IF($A756="","",IF(CN756&lt;&gt;"pass",CA756&amp;"",CA756&amp;"; "&amp;IF(AW756="Y",BZ756&amp;"",BL756&amp;"")&amp;IF(R756="Y","; known to the founder (+15)","")&amp;"."))</f>
        <v/>
      </c>
      <c r="R756" s="5"/>
      <c r="U756" s="5"/>
      <c r="Y756" s="0" t="str">
        <f aca="false">IF(FX756&lt;&gt;"Y","",COUNTIFS($FX$2:$FX$1000,"Y",$J$2:$J$1000,"&gt;"&amp;J756)+COUNTIFS($FX$2:$FX$1000,"Y",$J$2:$J$1000,J756,$GD$2:$GD$1000,"&lt;"&amp;GD756)+1)</f>
        <v/>
      </c>
      <c r="AB756" s="0" t="str">
        <f aca="false">IF($A756="","",IF(AW756="Y",BY756&amp;"",BK756&amp;""))</f>
        <v/>
      </c>
      <c r="AC756" s="0" t="str">
        <f aca="false">IF($A756="","",IF(AW756="Y",BS756&amp;"",BE756&amp;""))</f>
        <v/>
      </c>
      <c r="AD756" s="0" t="str">
        <f aca="false">IF($A756="","",IF(AW756="Y",BT756&amp;"",BF756&amp;""))</f>
        <v/>
      </c>
      <c r="AE756" s="0" t="str">
        <f aca="false">IF($A756="","",IF(AW756="Y",BU756&amp;"",BG756&amp;""))</f>
        <v/>
      </c>
      <c r="AF756" s="0" t="str">
        <f aca="false">IF($A756="","",IF(AW756="Y",BV756&amp;"",BH756&amp;""))</f>
        <v/>
      </c>
      <c r="AG756" s="0" t="str">
        <f aca="false">IF($A756="","",IF(AW756="Y",BW756&amp;"",BI756&amp;""))</f>
        <v/>
      </c>
      <c r="AH756" s="0" t="str">
        <f aca="false">IF($A756="","",IF(AW756="Y",BX756&amp;"",BJ756&amp;""))</f>
        <v/>
      </c>
      <c r="AQ756" s="5"/>
      <c r="AT756" s="0" t="str">
        <f aca="false">IF($A756="","",IF(AND(CN756="pass",AQ756&lt;&gt;"Y",C756&lt;&gt;"",OR(AX756&lt;&gt;"Y",AV756="Y")),"Y","N"))</f>
        <v/>
      </c>
      <c r="AU756" s="0" t="str">
        <f aca="false">IF($A756="","",_xlfn.TEXTJOIN("; ",TRUE(),IF(CN756&lt;&gt;"pass","gated out",""),IF(AQ756="Y","on hold: "&amp;AR756,""),IF(C756="","no contact named on an opened page",""),IF(AND(AX756="Y",AV756&lt;&gt;"Y"),"Tuesday estimate band "&amp;L756&amp;": founder's call","")))</f>
        <v/>
      </c>
      <c r="BC756" s="0" t="str">
        <f aca="false">IF($A756="","",IFERROR(INDEX(Enrichment!$A$2:$GZ$2000,MATCH($A756,INDEX(Enrichment!$A$2:$GZ$2000,0,MATCH("row_id",Enrichment!$A$1:$GZ$1,0)),0),MATCH("work_email",Enrichment!$A$1:$GZ$1,0))&amp;"",""))</f>
        <v/>
      </c>
      <c r="BD756" s="0" t="str">
        <f aca="false">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Q756" s="0" t="str">
        <f aca="false">IF($A756="","",IFERROR(INDEX(Enrichment!$A$2:$GZ$2000,MATCH($A756,INDEX(Enrichment!$A$2:$GZ$2000,0,MATCH("row_id",Enrichment!$A$1:$GZ$1,0)),0),MATCH("backup_work_email",Enrichment!$A$1:$GZ$1,0))&amp;"",""))</f>
        <v/>
      </c>
      <c r="BR756" s="0" t="str">
        <f aca="false">IF($A756="","",IF(BQ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EQ756" s="0" t="str">
        <f aca="false">IF($A756="","",IF(AH756="exact",10,IF(AH756="adjacent",5,0)))</f>
        <v/>
      </c>
      <c r="ER756" s="0" t="str">
        <f aca="false">IF($A756="","",IF(R756="Y",15,0))</f>
        <v/>
      </c>
      <c r="FS756" s="0" t="str">
        <f aca="false">IF($A756="","",IF(ISNUMBER(MATCH(U756,{"queued","contacted","replied","call_booked","call_done","yes_in_principle","materials_sent"},0)),"Y","N"))</f>
        <v/>
      </c>
      <c r="FT756" s="0" t="str">
        <f aca="false">IF($A756="","",IF(OR(T756="Y",U756="do_not_contact",AS756&amp;""&lt;&gt;""),"Y","N"))</f>
        <v/>
      </c>
      <c r="FU756" s="0" t="str">
        <f aca="false">IF($A756="","",IF(AP756&amp;""&lt;&gt;"",AP756&amp;"",$A756))</f>
        <v/>
      </c>
      <c r="FV756" s="0" t="str">
        <f aca="false">IF($A756="","",IF(COUNTIFS($FU$2:$FU$1000,FU756,$FS$2:$FS$1000,"Y")+COUNTIFS($FU$2:$FU$1000,FU756,$FT$2:$FT$1000,"Y")&gt;0,"Y","N"))</f>
        <v/>
      </c>
      <c r="FW756" s="0" t="str">
        <f aca="false">IF($A756="","",IF(AND(U756="new",T756="N",FT756="N",AT756="Y",FV756="N"),"Y","N"))</f>
        <v/>
      </c>
      <c r="FX756" s="0" t="str">
        <f aca="false">IF($A756="","",IF(FW756&lt;&gt;"Y","N",IF(COUNTIFS($FU$2:$FU$1000,FU756,$FW$2:$FW$1000,"Y",$J$2:$J$1000,"&gt;"&amp;J756)+COUNTIFS($FU$2:$FU$1000,FU756,$FW$2:$FW$1000,"Y",$J$2:$J$1000,J756,$GD$2:$GD$1000,"&lt;"&amp;GD756)=0,"Y","N")))</f>
        <v/>
      </c>
      <c r="FY756" s="0" t="str">
        <f aca="false">IF($A756="","",IF(AND(FW756="Y",FX756="Y",Y756&amp;""&lt;&gt;""),IF(Y756&lt;=10,"Y","N"),"N"))</f>
        <v/>
      </c>
      <c r="FZ756" s="0" t="str">
        <f aca="false">IF(FY756="Y",Y756,"")</f>
        <v/>
      </c>
      <c r="GA756" s="0" t="str">
        <f aca="false">IF($A756="","",IF(AND(I756="walk-in",CN756="pass",U756="new",FT756="N",FV756="N",AQ756&lt;&gt;"Y"),"Y","N"))</f>
        <v/>
      </c>
      <c r="GB756" s="0" t="str">
        <f aca="false">IF(GA756&lt;&gt;"Y","",IF(COUNTIFS($GA$2:$GA$1000,"Y",$J$2:$J$1000,"&gt;"&amp;J756)+COUNTIFS($GA$2:$GA$1000,"Y",$J$2:$J$1000,J756,$GD$2:$GD$1000,"&lt;"&amp;GD756)+1&lt;=25,COUNTIFS($GA$2:$GA$1000,"Y",$J$2:$J$1000,"&gt;"&amp;J756)+COUNTIFS($GA$2:$GA$1000,"Y",$J$2:$J$1000,J756,$GD$2:$GD$1000,"&lt;"&amp;GD756)+1,""))</f>
        <v/>
      </c>
      <c r="GC756" s="0" t="str">
        <f aca="false">IF(AND(_xlfn.ISFORMULA(C756),_xlfn.ISFORMULA(J756)),"Y","N")</f>
        <v>Y</v>
      </c>
      <c r="GD756" s="0" t="n">
        <f aca="false">ROW()-1</f>
        <v>755</v>
      </c>
    </row>
    <row r="757" customFormat="false" ht="15" hidden="false" customHeight="false" outlineLevel="0" collapsed="false">
      <c r="C757" s="0" t="str">
        <f aca="false">IF($A757="","",IF(AW757="Y",BM757&amp;"",AY757&amp;""))</f>
        <v/>
      </c>
      <c r="D757" s="0" t="str">
        <f aca="false">IF($A757="","",IF(AW757="Y",BN757&amp;"",AZ757&amp;""))</f>
        <v/>
      </c>
      <c r="E757" s="0" t="str">
        <f aca="false">IF($A757="","",IF(AW757="Y",BO757&amp;"",BA757&amp;""))</f>
        <v/>
      </c>
      <c r="F757" s="0" t="str">
        <f aca="false">IF($A757="","",IF(AW757="Y",BP757&amp;"",BB757&amp;""))</f>
        <v/>
      </c>
      <c r="G757" s="0" t="str">
        <f aca="false">IF($A757="","",IF(AW757="Y",BQ757&amp;"",BC757&amp;""))</f>
        <v/>
      </c>
      <c r="H757" s="0" t="str">
        <f aca="false">IF($A757="","",IF(AW757="Y",BR757&amp;"",BD757&amp;""))</f>
        <v/>
      </c>
      <c r="I757" s="0" t="str">
        <f aca="false">IF($A757="","",IF(R757="Y","warm-intro",IF(H757="verified","email",IF(C757&lt;&gt;"","linkedin",CB757&amp;""))))</f>
        <v/>
      </c>
      <c r="J757" s="0" t="str">
        <f aca="false">IF($A757="","",IF(CN757="pass",ROUND(N(EM757)+N(EN757)+N(EO757)+N(EP757)+N(EQ757)+N(ER757),1),0))</f>
        <v/>
      </c>
      <c r="K757" s="0" t="str">
        <f aca="false">IF($A757="","",IF(CN757&lt;&gt;"pass",CA757&amp;"",CA757&amp;"; "&amp;IF(AW757="Y",BZ757&amp;"",BL757&amp;"")&amp;IF(R757="Y","; known to the founder (+15)","")&amp;"."))</f>
        <v/>
      </c>
      <c r="R757" s="5"/>
      <c r="U757" s="5"/>
      <c r="Y757" s="0" t="str">
        <f aca="false">IF(FX757&lt;&gt;"Y","",COUNTIFS($FX$2:$FX$1000,"Y",$J$2:$J$1000,"&gt;"&amp;J757)+COUNTIFS($FX$2:$FX$1000,"Y",$J$2:$J$1000,J757,$GD$2:$GD$1000,"&lt;"&amp;GD757)+1)</f>
        <v/>
      </c>
      <c r="AB757" s="0" t="str">
        <f aca="false">IF($A757="","",IF(AW757="Y",BY757&amp;"",BK757&amp;""))</f>
        <v/>
      </c>
      <c r="AC757" s="0" t="str">
        <f aca="false">IF($A757="","",IF(AW757="Y",BS757&amp;"",BE757&amp;""))</f>
        <v/>
      </c>
      <c r="AD757" s="0" t="str">
        <f aca="false">IF($A757="","",IF(AW757="Y",BT757&amp;"",BF757&amp;""))</f>
        <v/>
      </c>
      <c r="AE757" s="0" t="str">
        <f aca="false">IF($A757="","",IF(AW757="Y",BU757&amp;"",BG757&amp;""))</f>
        <v/>
      </c>
      <c r="AF757" s="0" t="str">
        <f aca="false">IF($A757="","",IF(AW757="Y",BV757&amp;"",BH757&amp;""))</f>
        <v/>
      </c>
      <c r="AG757" s="0" t="str">
        <f aca="false">IF($A757="","",IF(AW757="Y",BW757&amp;"",BI757&amp;""))</f>
        <v/>
      </c>
      <c r="AH757" s="0" t="str">
        <f aca="false">IF($A757="","",IF(AW757="Y",BX757&amp;"",BJ757&amp;""))</f>
        <v/>
      </c>
      <c r="AQ757" s="5"/>
      <c r="AT757" s="0" t="str">
        <f aca="false">IF($A757="","",IF(AND(CN757="pass",AQ757&lt;&gt;"Y",C757&lt;&gt;"",OR(AX757&lt;&gt;"Y",AV757="Y")),"Y","N"))</f>
        <v/>
      </c>
      <c r="AU757" s="0" t="str">
        <f aca="false">IF($A757="","",_xlfn.TEXTJOIN("; ",TRUE(),IF(CN757&lt;&gt;"pass","gated out",""),IF(AQ757="Y","on hold: "&amp;AR757,""),IF(C757="","no contact named on an opened page",""),IF(AND(AX757="Y",AV757&lt;&gt;"Y"),"Tuesday estimate band "&amp;L757&amp;": founder's call","")))</f>
        <v/>
      </c>
      <c r="BC757" s="0" t="str">
        <f aca="false">IF($A757="","",IFERROR(INDEX(Enrichment!$A$2:$GZ$2000,MATCH($A757,INDEX(Enrichment!$A$2:$GZ$2000,0,MATCH("row_id",Enrichment!$A$1:$GZ$1,0)),0),MATCH("work_email",Enrichment!$A$1:$GZ$1,0))&amp;"",""))</f>
        <v/>
      </c>
      <c r="BD757" s="0" t="str">
        <f aca="false">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Q757" s="0" t="str">
        <f aca="false">IF($A757="","",IFERROR(INDEX(Enrichment!$A$2:$GZ$2000,MATCH($A757,INDEX(Enrichment!$A$2:$GZ$2000,0,MATCH("row_id",Enrichment!$A$1:$GZ$1,0)),0),MATCH("backup_work_email",Enrichment!$A$1:$GZ$1,0))&amp;"",""))</f>
        <v/>
      </c>
      <c r="BR757" s="0" t="str">
        <f aca="false">IF($A757="","",IF(BQ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EQ757" s="0" t="str">
        <f aca="false">IF($A757="","",IF(AH757="exact",10,IF(AH757="adjacent",5,0)))</f>
        <v/>
      </c>
      <c r="ER757" s="0" t="str">
        <f aca="false">IF($A757="","",IF(R757="Y",15,0))</f>
        <v/>
      </c>
      <c r="FS757" s="0" t="str">
        <f aca="false">IF($A757="","",IF(ISNUMBER(MATCH(U757,{"queued","contacted","replied","call_booked","call_done","yes_in_principle","materials_sent"},0)),"Y","N"))</f>
        <v/>
      </c>
      <c r="FT757" s="0" t="str">
        <f aca="false">IF($A757="","",IF(OR(T757="Y",U757="do_not_contact",AS757&amp;""&lt;&gt;""),"Y","N"))</f>
        <v/>
      </c>
      <c r="FU757" s="0" t="str">
        <f aca="false">IF($A757="","",IF(AP757&amp;""&lt;&gt;"",AP757&amp;"",$A757))</f>
        <v/>
      </c>
      <c r="FV757" s="0" t="str">
        <f aca="false">IF($A757="","",IF(COUNTIFS($FU$2:$FU$1000,FU757,$FS$2:$FS$1000,"Y")+COUNTIFS($FU$2:$FU$1000,FU757,$FT$2:$FT$1000,"Y")&gt;0,"Y","N"))</f>
        <v/>
      </c>
      <c r="FW757" s="0" t="str">
        <f aca="false">IF($A757="","",IF(AND(U757="new",T757="N",FT757="N",AT757="Y",FV757="N"),"Y","N"))</f>
        <v/>
      </c>
      <c r="FX757" s="0" t="str">
        <f aca="false">IF($A757="","",IF(FW757&lt;&gt;"Y","N",IF(COUNTIFS($FU$2:$FU$1000,FU757,$FW$2:$FW$1000,"Y",$J$2:$J$1000,"&gt;"&amp;J757)+COUNTIFS($FU$2:$FU$1000,FU757,$FW$2:$FW$1000,"Y",$J$2:$J$1000,J757,$GD$2:$GD$1000,"&lt;"&amp;GD757)=0,"Y","N")))</f>
        <v/>
      </c>
      <c r="FY757" s="0" t="str">
        <f aca="false">IF($A757="","",IF(AND(FW757="Y",FX757="Y",Y757&amp;""&lt;&gt;""),IF(Y757&lt;=10,"Y","N"),"N"))</f>
        <v/>
      </c>
      <c r="FZ757" s="0" t="str">
        <f aca="false">IF(FY757="Y",Y757,"")</f>
        <v/>
      </c>
      <c r="GA757" s="0" t="str">
        <f aca="false">IF($A757="","",IF(AND(I757="walk-in",CN757="pass",U757="new",FT757="N",FV757="N",AQ757&lt;&gt;"Y"),"Y","N"))</f>
        <v/>
      </c>
      <c r="GB757" s="0" t="str">
        <f aca="false">IF(GA757&lt;&gt;"Y","",IF(COUNTIFS($GA$2:$GA$1000,"Y",$J$2:$J$1000,"&gt;"&amp;J757)+COUNTIFS($GA$2:$GA$1000,"Y",$J$2:$J$1000,J757,$GD$2:$GD$1000,"&lt;"&amp;GD757)+1&lt;=25,COUNTIFS($GA$2:$GA$1000,"Y",$J$2:$J$1000,"&gt;"&amp;J757)+COUNTIFS($GA$2:$GA$1000,"Y",$J$2:$J$1000,J757,$GD$2:$GD$1000,"&lt;"&amp;GD757)+1,""))</f>
        <v/>
      </c>
      <c r="GC757" s="0" t="str">
        <f aca="false">IF(AND(_xlfn.ISFORMULA(C757),_xlfn.ISFORMULA(J757)),"Y","N")</f>
        <v>Y</v>
      </c>
      <c r="GD757" s="0" t="n">
        <f aca="false">ROW()-1</f>
        <v>756</v>
      </c>
    </row>
    <row r="758" customFormat="false" ht="15" hidden="false" customHeight="false" outlineLevel="0" collapsed="false">
      <c r="C758" s="0" t="str">
        <f aca="false">IF($A758="","",IF(AW758="Y",BM758&amp;"",AY758&amp;""))</f>
        <v/>
      </c>
      <c r="D758" s="0" t="str">
        <f aca="false">IF($A758="","",IF(AW758="Y",BN758&amp;"",AZ758&amp;""))</f>
        <v/>
      </c>
      <c r="E758" s="0" t="str">
        <f aca="false">IF($A758="","",IF(AW758="Y",BO758&amp;"",BA758&amp;""))</f>
        <v/>
      </c>
      <c r="F758" s="0" t="str">
        <f aca="false">IF($A758="","",IF(AW758="Y",BP758&amp;"",BB758&amp;""))</f>
        <v/>
      </c>
      <c r="G758" s="0" t="str">
        <f aca="false">IF($A758="","",IF(AW758="Y",BQ758&amp;"",BC758&amp;""))</f>
        <v/>
      </c>
      <c r="H758" s="0" t="str">
        <f aca="false">IF($A758="","",IF(AW758="Y",BR758&amp;"",BD758&amp;""))</f>
        <v/>
      </c>
      <c r="I758" s="0" t="str">
        <f aca="false">IF($A758="","",IF(R758="Y","warm-intro",IF(H758="verified","email",IF(C758&lt;&gt;"","linkedin",CB758&amp;""))))</f>
        <v/>
      </c>
      <c r="J758" s="0" t="str">
        <f aca="false">IF($A758="","",IF(CN758="pass",ROUND(N(EM758)+N(EN758)+N(EO758)+N(EP758)+N(EQ758)+N(ER758),1),0))</f>
        <v/>
      </c>
      <c r="K758" s="0" t="str">
        <f aca="false">IF($A758="","",IF(CN758&lt;&gt;"pass",CA758&amp;"",CA758&amp;"; "&amp;IF(AW758="Y",BZ758&amp;"",BL758&amp;"")&amp;IF(R758="Y","; known to the founder (+15)","")&amp;"."))</f>
        <v/>
      </c>
      <c r="R758" s="5"/>
      <c r="U758" s="5"/>
      <c r="Y758" s="0" t="str">
        <f aca="false">IF(FX758&lt;&gt;"Y","",COUNTIFS($FX$2:$FX$1000,"Y",$J$2:$J$1000,"&gt;"&amp;J758)+COUNTIFS($FX$2:$FX$1000,"Y",$J$2:$J$1000,J758,$GD$2:$GD$1000,"&lt;"&amp;GD758)+1)</f>
        <v/>
      </c>
      <c r="AB758" s="0" t="str">
        <f aca="false">IF($A758="","",IF(AW758="Y",BY758&amp;"",BK758&amp;""))</f>
        <v/>
      </c>
      <c r="AC758" s="0" t="str">
        <f aca="false">IF($A758="","",IF(AW758="Y",BS758&amp;"",BE758&amp;""))</f>
        <v/>
      </c>
      <c r="AD758" s="0" t="str">
        <f aca="false">IF($A758="","",IF(AW758="Y",BT758&amp;"",BF758&amp;""))</f>
        <v/>
      </c>
      <c r="AE758" s="0" t="str">
        <f aca="false">IF($A758="","",IF(AW758="Y",BU758&amp;"",BG758&amp;""))</f>
        <v/>
      </c>
      <c r="AF758" s="0" t="str">
        <f aca="false">IF($A758="","",IF(AW758="Y",BV758&amp;"",BH758&amp;""))</f>
        <v/>
      </c>
      <c r="AG758" s="0" t="str">
        <f aca="false">IF($A758="","",IF(AW758="Y",BW758&amp;"",BI758&amp;""))</f>
        <v/>
      </c>
      <c r="AH758" s="0" t="str">
        <f aca="false">IF($A758="","",IF(AW758="Y",BX758&amp;"",BJ758&amp;""))</f>
        <v/>
      </c>
      <c r="AQ758" s="5"/>
      <c r="AT758" s="0" t="str">
        <f aca="false">IF($A758="","",IF(AND(CN758="pass",AQ758&lt;&gt;"Y",C758&lt;&gt;"",OR(AX758&lt;&gt;"Y",AV758="Y")),"Y","N"))</f>
        <v/>
      </c>
      <c r="AU758" s="0" t="str">
        <f aca="false">IF($A758="","",_xlfn.TEXTJOIN("; ",TRUE(),IF(CN758&lt;&gt;"pass","gated out",""),IF(AQ758="Y","on hold: "&amp;AR758,""),IF(C758="","no contact named on an opened page",""),IF(AND(AX758="Y",AV758&lt;&gt;"Y"),"Tuesday estimate band "&amp;L758&amp;": founder's call","")))</f>
        <v/>
      </c>
      <c r="BC758" s="0" t="str">
        <f aca="false">IF($A758="","",IFERROR(INDEX(Enrichment!$A$2:$GZ$2000,MATCH($A758,INDEX(Enrichment!$A$2:$GZ$2000,0,MATCH("row_id",Enrichment!$A$1:$GZ$1,0)),0),MATCH("work_email",Enrichment!$A$1:$GZ$1,0))&amp;"",""))</f>
        <v/>
      </c>
      <c r="BD758" s="0" t="str">
        <f aca="false">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Q758" s="0" t="str">
        <f aca="false">IF($A758="","",IFERROR(INDEX(Enrichment!$A$2:$GZ$2000,MATCH($A758,INDEX(Enrichment!$A$2:$GZ$2000,0,MATCH("row_id",Enrichment!$A$1:$GZ$1,0)),0),MATCH("backup_work_email",Enrichment!$A$1:$GZ$1,0))&amp;"",""))</f>
        <v/>
      </c>
      <c r="BR758" s="0" t="str">
        <f aca="false">IF($A758="","",IF(BQ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EQ758" s="0" t="str">
        <f aca="false">IF($A758="","",IF(AH758="exact",10,IF(AH758="adjacent",5,0)))</f>
        <v/>
      </c>
      <c r="ER758" s="0" t="str">
        <f aca="false">IF($A758="","",IF(R758="Y",15,0))</f>
        <v/>
      </c>
      <c r="FS758" s="0" t="str">
        <f aca="false">IF($A758="","",IF(ISNUMBER(MATCH(U758,{"queued","contacted","replied","call_booked","call_done","yes_in_principle","materials_sent"},0)),"Y","N"))</f>
        <v/>
      </c>
      <c r="FT758" s="0" t="str">
        <f aca="false">IF($A758="","",IF(OR(T758="Y",U758="do_not_contact",AS758&amp;""&lt;&gt;""),"Y","N"))</f>
        <v/>
      </c>
      <c r="FU758" s="0" t="str">
        <f aca="false">IF($A758="","",IF(AP758&amp;""&lt;&gt;"",AP758&amp;"",$A758))</f>
        <v/>
      </c>
      <c r="FV758" s="0" t="str">
        <f aca="false">IF($A758="","",IF(COUNTIFS($FU$2:$FU$1000,FU758,$FS$2:$FS$1000,"Y")+COUNTIFS($FU$2:$FU$1000,FU758,$FT$2:$FT$1000,"Y")&gt;0,"Y","N"))</f>
        <v/>
      </c>
      <c r="FW758" s="0" t="str">
        <f aca="false">IF($A758="","",IF(AND(U758="new",T758="N",FT758="N",AT758="Y",FV758="N"),"Y","N"))</f>
        <v/>
      </c>
      <c r="FX758" s="0" t="str">
        <f aca="false">IF($A758="","",IF(FW758&lt;&gt;"Y","N",IF(COUNTIFS($FU$2:$FU$1000,FU758,$FW$2:$FW$1000,"Y",$J$2:$J$1000,"&gt;"&amp;J758)+COUNTIFS($FU$2:$FU$1000,FU758,$FW$2:$FW$1000,"Y",$J$2:$J$1000,J758,$GD$2:$GD$1000,"&lt;"&amp;GD758)=0,"Y","N")))</f>
        <v/>
      </c>
      <c r="FY758" s="0" t="str">
        <f aca="false">IF($A758="","",IF(AND(FW758="Y",FX758="Y",Y758&amp;""&lt;&gt;""),IF(Y758&lt;=10,"Y","N"),"N"))</f>
        <v/>
      </c>
      <c r="FZ758" s="0" t="str">
        <f aca="false">IF(FY758="Y",Y758,"")</f>
        <v/>
      </c>
      <c r="GA758" s="0" t="str">
        <f aca="false">IF($A758="","",IF(AND(I758="walk-in",CN758="pass",U758="new",FT758="N",FV758="N",AQ758&lt;&gt;"Y"),"Y","N"))</f>
        <v/>
      </c>
      <c r="GB758" s="0" t="str">
        <f aca="false">IF(GA758&lt;&gt;"Y","",IF(COUNTIFS($GA$2:$GA$1000,"Y",$J$2:$J$1000,"&gt;"&amp;J758)+COUNTIFS($GA$2:$GA$1000,"Y",$J$2:$J$1000,J758,$GD$2:$GD$1000,"&lt;"&amp;GD758)+1&lt;=25,COUNTIFS($GA$2:$GA$1000,"Y",$J$2:$J$1000,"&gt;"&amp;J758)+COUNTIFS($GA$2:$GA$1000,"Y",$J$2:$J$1000,J758,$GD$2:$GD$1000,"&lt;"&amp;GD758)+1,""))</f>
        <v/>
      </c>
      <c r="GC758" s="0" t="str">
        <f aca="false">IF(AND(_xlfn.ISFORMULA(C758),_xlfn.ISFORMULA(J758)),"Y","N")</f>
        <v>Y</v>
      </c>
      <c r="GD758" s="0" t="n">
        <f aca="false">ROW()-1</f>
        <v>757</v>
      </c>
    </row>
    <row r="759" customFormat="false" ht="15" hidden="false" customHeight="false" outlineLevel="0" collapsed="false">
      <c r="C759" s="0" t="str">
        <f aca="false">IF($A759="","",IF(AW759="Y",BM759&amp;"",AY759&amp;""))</f>
        <v/>
      </c>
      <c r="D759" s="0" t="str">
        <f aca="false">IF($A759="","",IF(AW759="Y",BN759&amp;"",AZ759&amp;""))</f>
        <v/>
      </c>
      <c r="E759" s="0" t="str">
        <f aca="false">IF($A759="","",IF(AW759="Y",BO759&amp;"",BA759&amp;""))</f>
        <v/>
      </c>
      <c r="F759" s="0" t="str">
        <f aca="false">IF($A759="","",IF(AW759="Y",BP759&amp;"",BB759&amp;""))</f>
        <v/>
      </c>
      <c r="G759" s="0" t="str">
        <f aca="false">IF($A759="","",IF(AW759="Y",BQ759&amp;"",BC759&amp;""))</f>
        <v/>
      </c>
      <c r="H759" s="0" t="str">
        <f aca="false">IF($A759="","",IF(AW759="Y",BR759&amp;"",BD759&amp;""))</f>
        <v/>
      </c>
      <c r="I759" s="0" t="str">
        <f aca="false">IF($A759="","",IF(R759="Y","warm-intro",IF(H759="verified","email",IF(C759&lt;&gt;"","linkedin",CB759&amp;""))))</f>
        <v/>
      </c>
      <c r="J759" s="0" t="str">
        <f aca="false">IF($A759="","",IF(CN759="pass",ROUND(N(EM759)+N(EN759)+N(EO759)+N(EP759)+N(EQ759)+N(ER759),1),0))</f>
        <v/>
      </c>
      <c r="K759" s="0" t="str">
        <f aca="false">IF($A759="","",IF(CN759&lt;&gt;"pass",CA759&amp;"",CA759&amp;"; "&amp;IF(AW759="Y",BZ759&amp;"",BL759&amp;"")&amp;IF(R759="Y","; known to the founder (+15)","")&amp;"."))</f>
        <v/>
      </c>
      <c r="R759" s="5"/>
      <c r="U759" s="5"/>
      <c r="Y759" s="0" t="str">
        <f aca="false">IF(FX759&lt;&gt;"Y","",COUNTIFS($FX$2:$FX$1000,"Y",$J$2:$J$1000,"&gt;"&amp;J759)+COUNTIFS($FX$2:$FX$1000,"Y",$J$2:$J$1000,J759,$GD$2:$GD$1000,"&lt;"&amp;GD759)+1)</f>
        <v/>
      </c>
      <c r="AB759" s="0" t="str">
        <f aca="false">IF($A759="","",IF(AW759="Y",BY759&amp;"",BK759&amp;""))</f>
        <v/>
      </c>
      <c r="AC759" s="0" t="str">
        <f aca="false">IF($A759="","",IF(AW759="Y",BS759&amp;"",BE759&amp;""))</f>
        <v/>
      </c>
      <c r="AD759" s="0" t="str">
        <f aca="false">IF($A759="","",IF(AW759="Y",BT759&amp;"",BF759&amp;""))</f>
        <v/>
      </c>
      <c r="AE759" s="0" t="str">
        <f aca="false">IF($A759="","",IF(AW759="Y",BU759&amp;"",BG759&amp;""))</f>
        <v/>
      </c>
      <c r="AF759" s="0" t="str">
        <f aca="false">IF($A759="","",IF(AW759="Y",BV759&amp;"",BH759&amp;""))</f>
        <v/>
      </c>
      <c r="AG759" s="0" t="str">
        <f aca="false">IF($A759="","",IF(AW759="Y",BW759&amp;"",BI759&amp;""))</f>
        <v/>
      </c>
      <c r="AH759" s="0" t="str">
        <f aca="false">IF($A759="","",IF(AW759="Y",BX759&amp;"",BJ759&amp;""))</f>
        <v/>
      </c>
      <c r="AQ759" s="5"/>
      <c r="AT759" s="0" t="str">
        <f aca="false">IF($A759="","",IF(AND(CN759="pass",AQ759&lt;&gt;"Y",C759&lt;&gt;"",OR(AX759&lt;&gt;"Y",AV759="Y")),"Y","N"))</f>
        <v/>
      </c>
      <c r="AU759" s="0" t="str">
        <f aca="false">IF($A759="","",_xlfn.TEXTJOIN("; ",TRUE(),IF(CN759&lt;&gt;"pass","gated out",""),IF(AQ759="Y","on hold: "&amp;AR759,""),IF(C759="","no contact named on an opened page",""),IF(AND(AX759="Y",AV759&lt;&gt;"Y"),"Tuesday estimate band "&amp;L759&amp;": founder's call","")))</f>
        <v/>
      </c>
      <c r="BC759" s="0" t="str">
        <f aca="false">IF($A759="","",IFERROR(INDEX(Enrichment!$A$2:$GZ$2000,MATCH($A759,INDEX(Enrichment!$A$2:$GZ$2000,0,MATCH("row_id",Enrichment!$A$1:$GZ$1,0)),0),MATCH("work_email",Enrichment!$A$1:$GZ$1,0))&amp;"",""))</f>
        <v/>
      </c>
      <c r="BD759" s="0" t="str">
        <f aca="false">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Q759" s="0" t="str">
        <f aca="false">IF($A759="","",IFERROR(INDEX(Enrichment!$A$2:$GZ$2000,MATCH($A759,INDEX(Enrichment!$A$2:$GZ$2000,0,MATCH("row_id",Enrichment!$A$1:$GZ$1,0)),0),MATCH("backup_work_email",Enrichment!$A$1:$GZ$1,0))&amp;"",""))</f>
        <v/>
      </c>
      <c r="BR759" s="0" t="str">
        <f aca="false">IF($A759="","",IF(BQ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EQ759" s="0" t="str">
        <f aca="false">IF($A759="","",IF(AH759="exact",10,IF(AH759="adjacent",5,0)))</f>
        <v/>
      </c>
      <c r="ER759" s="0" t="str">
        <f aca="false">IF($A759="","",IF(R759="Y",15,0))</f>
        <v/>
      </c>
      <c r="FS759" s="0" t="str">
        <f aca="false">IF($A759="","",IF(ISNUMBER(MATCH(U759,{"queued","contacted","replied","call_booked","call_done","yes_in_principle","materials_sent"},0)),"Y","N"))</f>
        <v/>
      </c>
      <c r="FT759" s="0" t="str">
        <f aca="false">IF($A759="","",IF(OR(T759="Y",U759="do_not_contact",AS759&amp;""&lt;&gt;""),"Y","N"))</f>
        <v/>
      </c>
      <c r="FU759" s="0" t="str">
        <f aca="false">IF($A759="","",IF(AP759&amp;""&lt;&gt;"",AP759&amp;"",$A759))</f>
        <v/>
      </c>
      <c r="FV759" s="0" t="str">
        <f aca="false">IF($A759="","",IF(COUNTIFS($FU$2:$FU$1000,FU759,$FS$2:$FS$1000,"Y")+COUNTIFS($FU$2:$FU$1000,FU759,$FT$2:$FT$1000,"Y")&gt;0,"Y","N"))</f>
        <v/>
      </c>
      <c r="FW759" s="0" t="str">
        <f aca="false">IF($A759="","",IF(AND(U759="new",T759="N",FT759="N",AT759="Y",FV759="N"),"Y","N"))</f>
        <v/>
      </c>
      <c r="FX759" s="0" t="str">
        <f aca="false">IF($A759="","",IF(FW759&lt;&gt;"Y","N",IF(COUNTIFS($FU$2:$FU$1000,FU759,$FW$2:$FW$1000,"Y",$J$2:$J$1000,"&gt;"&amp;J759)+COUNTIFS($FU$2:$FU$1000,FU759,$FW$2:$FW$1000,"Y",$J$2:$J$1000,J759,$GD$2:$GD$1000,"&lt;"&amp;GD759)=0,"Y","N")))</f>
        <v/>
      </c>
      <c r="FY759" s="0" t="str">
        <f aca="false">IF($A759="","",IF(AND(FW759="Y",FX759="Y",Y759&amp;""&lt;&gt;""),IF(Y759&lt;=10,"Y","N"),"N"))</f>
        <v/>
      </c>
      <c r="FZ759" s="0" t="str">
        <f aca="false">IF(FY759="Y",Y759,"")</f>
        <v/>
      </c>
      <c r="GA759" s="0" t="str">
        <f aca="false">IF($A759="","",IF(AND(I759="walk-in",CN759="pass",U759="new",FT759="N",FV759="N",AQ759&lt;&gt;"Y"),"Y","N"))</f>
        <v/>
      </c>
      <c r="GB759" s="0" t="str">
        <f aca="false">IF(GA759&lt;&gt;"Y","",IF(COUNTIFS($GA$2:$GA$1000,"Y",$J$2:$J$1000,"&gt;"&amp;J759)+COUNTIFS($GA$2:$GA$1000,"Y",$J$2:$J$1000,J759,$GD$2:$GD$1000,"&lt;"&amp;GD759)+1&lt;=25,COUNTIFS($GA$2:$GA$1000,"Y",$J$2:$J$1000,"&gt;"&amp;J759)+COUNTIFS($GA$2:$GA$1000,"Y",$J$2:$J$1000,J759,$GD$2:$GD$1000,"&lt;"&amp;GD759)+1,""))</f>
        <v/>
      </c>
      <c r="GC759" s="0" t="str">
        <f aca="false">IF(AND(_xlfn.ISFORMULA(C759),_xlfn.ISFORMULA(J759)),"Y","N")</f>
        <v>Y</v>
      </c>
      <c r="GD759" s="0" t="n">
        <f aca="false">ROW()-1</f>
        <v>758</v>
      </c>
    </row>
    <row r="760" customFormat="false" ht="15" hidden="false" customHeight="false" outlineLevel="0" collapsed="false">
      <c r="C760" s="0" t="str">
        <f aca="false">IF($A760="","",IF(AW760="Y",BM760&amp;"",AY760&amp;""))</f>
        <v/>
      </c>
      <c r="D760" s="0" t="str">
        <f aca="false">IF($A760="","",IF(AW760="Y",BN760&amp;"",AZ760&amp;""))</f>
        <v/>
      </c>
      <c r="E760" s="0" t="str">
        <f aca="false">IF($A760="","",IF(AW760="Y",BO760&amp;"",BA760&amp;""))</f>
        <v/>
      </c>
      <c r="F760" s="0" t="str">
        <f aca="false">IF($A760="","",IF(AW760="Y",BP760&amp;"",BB760&amp;""))</f>
        <v/>
      </c>
      <c r="G760" s="0" t="str">
        <f aca="false">IF($A760="","",IF(AW760="Y",BQ760&amp;"",BC760&amp;""))</f>
        <v/>
      </c>
      <c r="H760" s="0" t="str">
        <f aca="false">IF($A760="","",IF(AW760="Y",BR760&amp;"",BD760&amp;""))</f>
        <v/>
      </c>
      <c r="I760" s="0" t="str">
        <f aca="false">IF($A760="","",IF(R760="Y","warm-intro",IF(H760="verified","email",IF(C760&lt;&gt;"","linkedin",CB760&amp;""))))</f>
        <v/>
      </c>
      <c r="J760" s="0" t="str">
        <f aca="false">IF($A760="","",IF(CN760="pass",ROUND(N(EM760)+N(EN760)+N(EO760)+N(EP760)+N(EQ760)+N(ER760),1),0))</f>
        <v/>
      </c>
      <c r="K760" s="0" t="str">
        <f aca="false">IF($A760="","",IF(CN760&lt;&gt;"pass",CA760&amp;"",CA760&amp;"; "&amp;IF(AW760="Y",BZ760&amp;"",BL760&amp;"")&amp;IF(R760="Y","; known to the founder (+15)","")&amp;"."))</f>
        <v/>
      </c>
      <c r="R760" s="5"/>
      <c r="U760" s="5"/>
      <c r="Y760" s="0" t="str">
        <f aca="false">IF(FX760&lt;&gt;"Y","",COUNTIFS($FX$2:$FX$1000,"Y",$J$2:$J$1000,"&gt;"&amp;J760)+COUNTIFS($FX$2:$FX$1000,"Y",$J$2:$J$1000,J760,$GD$2:$GD$1000,"&lt;"&amp;GD760)+1)</f>
        <v/>
      </c>
      <c r="AB760" s="0" t="str">
        <f aca="false">IF($A760="","",IF(AW760="Y",BY760&amp;"",BK760&amp;""))</f>
        <v/>
      </c>
      <c r="AC760" s="0" t="str">
        <f aca="false">IF($A760="","",IF(AW760="Y",BS760&amp;"",BE760&amp;""))</f>
        <v/>
      </c>
      <c r="AD760" s="0" t="str">
        <f aca="false">IF($A760="","",IF(AW760="Y",BT760&amp;"",BF760&amp;""))</f>
        <v/>
      </c>
      <c r="AE760" s="0" t="str">
        <f aca="false">IF($A760="","",IF(AW760="Y",BU760&amp;"",BG760&amp;""))</f>
        <v/>
      </c>
      <c r="AF760" s="0" t="str">
        <f aca="false">IF($A760="","",IF(AW760="Y",BV760&amp;"",BH760&amp;""))</f>
        <v/>
      </c>
      <c r="AG760" s="0" t="str">
        <f aca="false">IF($A760="","",IF(AW760="Y",BW760&amp;"",BI760&amp;""))</f>
        <v/>
      </c>
      <c r="AH760" s="0" t="str">
        <f aca="false">IF($A760="","",IF(AW760="Y",BX760&amp;"",BJ760&amp;""))</f>
        <v/>
      </c>
      <c r="AQ760" s="5"/>
      <c r="AT760" s="0" t="str">
        <f aca="false">IF($A760="","",IF(AND(CN760="pass",AQ760&lt;&gt;"Y",C760&lt;&gt;"",OR(AX760&lt;&gt;"Y",AV760="Y")),"Y","N"))</f>
        <v/>
      </c>
      <c r="AU760" s="0" t="str">
        <f aca="false">IF($A760="","",_xlfn.TEXTJOIN("; ",TRUE(),IF(CN760&lt;&gt;"pass","gated out",""),IF(AQ760="Y","on hold: "&amp;AR760,""),IF(C760="","no contact named on an opened page",""),IF(AND(AX760="Y",AV760&lt;&gt;"Y"),"Tuesday estimate band "&amp;L760&amp;": founder's call","")))</f>
        <v/>
      </c>
      <c r="BC760" s="0" t="str">
        <f aca="false">IF($A760="","",IFERROR(INDEX(Enrichment!$A$2:$GZ$2000,MATCH($A760,INDEX(Enrichment!$A$2:$GZ$2000,0,MATCH("row_id",Enrichment!$A$1:$GZ$1,0)),0),MATCH("work_email",Enrichment!$A$1:$GZ$1,0))&amp;"",""))</f>
        <v/>
      </c>
      <c r="BD760" s="0" t="str">
        <f aca="false">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Q760" s="0" t="str">
        <f aca="false">IF($A760="","",IFERROR(INDEX(Enrichment!$A$2:$GZ$2000,MATCH($A760,INDEX(Enrichment!$A$2:$GZ$2000,0,MATCH("row_id",Enrichment!$A$1:$GZ$1,0)),0),MATCH("backup_work_email",Enrichment!$A$1:$GZ$1,0))&amp;"",""))</f>
        <v/>
      </c>
      <c r="BR760" s="0" t="str">
        <f aca="false">IF($A760="","",IF(BQ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EQ760" s="0" t="str">
        <f aca="false">IF($A760="","",IF(AH760="exact",10,IF(AH760="adjacent",5,0)))</f>
        <v/>
      </c>
      <c r="ER760" s="0" t="str">
        <f aca="false">IF($A760="","",IF(R760="Y",15,0))</f>
        <v/>
      </c>
      <c r="FS760" s="0" t="str">
        <f aca="false">IF($A760="","",IF(ISNUMBER(MATCH(U760,{"queued","contacted","replied","call_booked","call_done","yes_in_principle","materials_sent"},0)),"Y","N"))</f>
        <v/>
      </c>
      <c r="FT760" s="0" t="str">
        <f aca="false">IF($A760="","",IF(OR(T760="Y",U760="do_not_contact",AS760&amp;""&lt;&gt;""),"Y","N"))</f>
        <v/>
      </c>
      <c r="FU760" s="0" t="str">
        <f aca="false">IF($A760="","",IF(AP760&amp;""&lt;&gt;"",AP760&amp;"",$A760))</f>
        <v/>
      </c>
      <c r="FV760" s="0" t="str">
        <f aca="false">IF($A760="","",IF(COUNTIFS($FU$2:$FU$1000,FU760,$FS$2:$FS$1000,"Y")+COUNTIFS($FU$2:$FU$1000,FU760,$FT$2:$FT$1000,"Y")&gt;0,"Y","N"))</f>
        <v/>
      </c>
      <c r="FW760" s="0" t="str">
        <f aca="false">IF($A760="","",IF(AND(U760="new",T760="N",FT760="N",AT760="Y",FV760="N"),"Y","N"))</f>
        <v/>
      </c>
      <c r="FX760" s="0" t="str">
        <f aca="false">IF($A760="","",IF(FW760&lt;&gt;"Y","N",IF(COUNTIFS($FU$2:$FU$1000,FU760,$FW$2:$FW$1000,"Y",$J$2:$J$1000,"&gt;"&amp;J760)+COUNTIFS($FU$2:$FU$1000,FU760,$FW$2:$FW$1000,"Y",$J$2:$J$1000,J760,$GD$2:$GD$1000,"&lt;"&amp;GD760)=0,"Y","N")))</f>
        <v/>
      </c>
      <c r="FY760" s="0" t="str">
        <f aca="false">IF($A760="","",IF(AND(FW760="Y",FX760="Y",Y760&amp;""&lt;&gt;""),IF(Y760&lt;=10,"Y","N"),"N"))</f>
        <v/>
      </c>
      <c r="FZ760" s="0" t="str">
        <f aca="false">IF(FY760="Y",Y760,"")</f>
        <v/>
      </c>
      <c r="GA760" s="0" t="str">
        <f aca="false">IF($A760="","",IF(AND(I760="walk-in",CN760="pass",U760="new",FT760="N",FV760="N",AQ760&lt;&gt;"Y"),"Y","N"))</f>
        <v/>
      </c>
      <c r="GB760" s="0" t="str">
        <f aca="false">IF(GA760&lt;&gt;"Y","",IF(COUNTIFS($GA$2:$GA$1000,"Y",$J$2:$J$1000,"&gt;"&amp;J760)+COUNTIFS($GA$2:$GA$1000,"Y",$J$2:$J$1000,J760,$GD$2:$GD$1000,"&lt;"&amp;GD760)+1&lt;=25,COUNTIFS($GA$2:$GA$1000,"Y",$J$2:$J$1000,"&gt;"&amp;J760)+COUNTIFS($GA$2:$GA$1000,"Y",$J$2:$J$1000,J760,$GD$2:$GD$1000,"&lt;"&amp;GD760)+1,""))</f>
        <v/>
      </c>
      <c r="GC760" s="0" t="str">
        <f aca="false">IF(AND(_xlfn.ISFORMULA(C760),_xlfn.ISFORMULA(J760)),"Y","N")</f>
        <v>Y</v>
      </c>
      <c r="GD760" s="0" t="n">
        <f aca="false">ROW()-1</f>
        <v>759</v>
      </c>
    </row>
    <row r="761" customFormat="false" ht="15" hidden="false" customHeight="false" outlineLevel="0" collapsed="false">
      <c r="C761" s="0" t="str">
        <f aca="false">IF($A761="","",IF(AW761="Y",BM761&amp;"",AY761&amp;""))</f>
        <v/>
      </c>
      <c r="D761" s="0" t="str">
        <f aca="false">IF($A761="","",IF(AW761="Y",BN761&amp;"",AZ761&amp;""))</f>
        <v/>
      </c>
      <c r="E761" s="0" t="str">
        <f aca="false">IF($A761="","",IF(AW761="Y",BO761&amp;"",BA761&amp;""))</f>
        <v/>
      </c>
      <c r="F761" s="0" t="str">
        <f aca="false">IF($A761="","",IF(AW761="Y",BP761&amp;"",BB761&amp;""))</f>
        <v/>
      </c>
      <c r="G761" s="0" t="str">
        <f aca="false">IF($A761="","",IF(AW761="Y",BQ761&amp;"",BC761&amp;""))</f>
        <v/>
      </c>
      <c r="H761" s="0" t="str">
        <f aca="false">IF($A761="","",IF(AW761="Y",BR761&amp;"",BD761&amp;""))</f>
        <v/>
      </c>
      <c r="I761" s="0" t="str">
        <f aca="false">IF($A761="","",IF(R761="Y","warm-intro",IF(H761="verified","email",IF(C761&lt;&gt;"","linkedin",CB761&amp;""))))</f>
        <v/>
      </c>
      <c r="J761" s="0" t="str">
        <f aca="false">IF($A761="","",IF(CN761="pass",ROUND(N(EM761)+N(EN761)+N(EO761)+N(EP761)+N(EQ761)+N(ER761),1),0))</f>
        <v/>
      </c>
      <c r="K761" s="0" t="str">
        <f aca="false">IF($A761="","",IF(CN761&lt;&gt;"pass",CA761&amp;"",CA761&amp;"; "&amp;IF(AW761="Y",BZ761&amp;"",BL761&amp;"")&amp;IF(R761="Y","; known to the founder (+15)","")&amp;"."))</f>
        <v/>
      </c>
      <c r="R761" s="5"/>
      <c r="U761" s="5"/>
      <c r="Y761" s="0" t="str">
        <f aca="false">IF(FX761&lt;&gt;"Y","",COUNTIFS($FX$2:$FX$1000,"Y",$J$2:$J$1000,"&gt;"&amp;J761)+COUNTIFS($FX$2:$FX$1000,"Y",$J$2:$J$1000,J761,$GD$2:$GD$1000,"&lt;"&amp;GD761)+1)</f>
        <v/>
      </c>
      <c r="AB761" s="0" t="str">
        <f aca="false">IF($A761="","",IF(AW761="Y",BY761&amp;"",BK761&amp;""))</f>
        <v/>
      </c>
      <c r="AC761" s="0" t="str">
        <f aca="false">IF($A761="","",IF(AW761="Y",BS761&amp;"",BE761&amp;""))</f>
        <v/>
      </c>
      <c r="AD761" s="0" t="str">
        <f aca="false">IF($A761="","",IF(AW761="Y",BT761&amp;"",BF761&amp;""))</f>
        <v/>
      </c>
      <c r="AE761" s="0" t="str">
        <f aca="false">IF($A761="","",IF(AW761="Y",BU761&amp;"",BG761&amp;""))</f>
        <v/>
      </c>
      <c r="AF761" s="0" t="str">
        <f aca="false">IF($A761="","",IF(AW761="Y",BV761&amp;"",BH761&amp;""))</f>
        <v/>
      </c>
      <c r="AG761" s="0" t="str">
        <f aca="false">IF($A761="","",IF(AW761="Y",BW761&amp;"",BI761&amp;""))</f>
        <v/>
      </c>
      <c r="AH761" s="0" t="str">
        <f aca="false">IF($A761="","",IF(AW761="Y",BX761&amp;"",BJ761&amp;""))</f>
        <v/>
      </c>
      <c r="AQ761" s="5"/>
      <c r="AT761" s="0" t="str">
        <f aca="false">IF($A761="","",IF(AND(CN761="pass",AQ761&lt;&gt;"Y",C761&lt;&gt;"",OR(AX761&lt;&gt;"Y",AV761="Y")),"Y","N"))</f>
        <v/>
      </c>
      <c r="AU761" s="0" t="str">
        <f aca="false">IF($A761="","",_xlfn.TEXTJOIN("; ",TRUE(),IF(CN761&lt;&gt;"pass","gated out",""),IF(AQ761="Y","on hold: "&amp;AR761,""),IF(C761="","no contact named on an opened page",""),IF(AND(AX761="Y",AV761&lt;&gt;"Y"),"Tuesday estimate band "&amp;L761&amp;": founder's call","")))</f>
        <v/>
      </c>
      <c r="BC761" s="0" t="str">
        <f aca="false">IF($A761="","",IFERROR(INDEX(Enrichment!$A$2:$GZ$2000,MATCH($A761,INDEX(Enrichment!$A$2:$GZ$2000,0,MATCH("row_id",Enrichment!$A$1:$GZ$1,0)),0),MATCH("work_email",Enrichment!$A$1:$GZ$1,0))&amp;"",""))</f>
        <v/>
      </c>
      <c r="BD761" s="0" t="str">
        <f aca="false">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Q761" s="0" t="str">
        <f aca="false">IF($A761="","",IFERROR(INDEX(Enrichment!$A$2:$GZ$2000,MATCH($A761,INDEX(Enrichment!$A$2:$GZ$2000,0,MATCH("row_id",Enrichment!$A$1:$GZ$1,0)),0),MATCH("backup_work_email",Enrichment!$A$1:$GZ$1,0))&amp;"",""))</f>
        <v/>
      </c>
      <c r="BR761" s="0" t="str">
        <f aca="false">IF($A761="","",IF(BQ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EQ761" s="0" t="str">
        <f aca="false">IF($A761="","",IF(AH761="exact",10,IF(AH761="adjacent",5,0)))</f>
        <v/>
      </c>
      <c r="ER761" s="0" t="str">
        <f aca="false">IF($A761="","",IF(R761="Y",15,0))</f>
        <v/>
      </c>
      <c r="FS761" s="0" t="str">
        <f aca="false">IF($A761="","",IF(ISNUMBER(MATCH(U761,{"queued","contacted","replied","call_booked","call_done","yes_in_principle","materials_sent"},0)),"Y","N"))</f>
        <v/>
      </c>
      <c r="FT761" s="0" t="str">
        <f aca="false">IF($A761="","",IF(OR(T761="Y",U761="do_not_contact",AS761&amp;""&lt;&gt;""),"Y","N"))</f>
        <v/>
      </c>
      <c r="FU761" s="0" t="str">
        <f aca="false">IF($A761="","",IF(AP761&amp;""&lt;&gt;"",AP761&amp;"",$A761))</f>
        <v/>
      </c>
      <c r="FV761" s="0" t="str">
        <f aca="false">IF($A761="","",IF(COUNTIFS($FU$2:$FU$1000,FU761,$FS$2:$FS$1000,"Y")+COUNTIFS($FU$2:$FU$1000,FU761,$FT$2:$FT$1000,"Y")&gt;0,"Y","N"))</f>
        <v/>
      </c>
      <c r="FW761" s="0" t="str">
        <f aca="false">IF($A761="","",IF(AND(U761="new",T761="N",FT761="N",AT761="Y",FV761="N"),"Y","N"))</f>
        <v/>
      </c>
      <c r="FX761" s="0" t="str">
        <f aca="false">IF($A761="","",IF(FW761&lt;&gt;"Y","N",IF(COUNTIFS($FU$2:$FU$1000,FU761,$FW$2:$FW$1000,"Y",$J$2:$J$1000,"&gt;"&amp;J761)+COUNTIFS($FU$2:$FU$1000,FU761,$FW$2:$FW$1000,"Y",$J$2:$J$1000,J761,$GD$2:$GD$1000,"&lt;"&amp;GD761)=0,"Y","N")))</f>
        <v/>
      </c>
      <c r="FY761" s="0" t="str">
        <f aca="false">IF($A761="","",IF(AND(FW761="Y",FX761="Y",Y761&amp;""&lt;&gt;""),IF(Y761&lt;=10,"Y","N"),"N"))</f>
        <v/>
      </c>
      <c r="FZ761" s="0" t="str">
        <f aca="false">IF(FY761="Y",Y761,"")</f>
        <v/>
      </c>
      <c r="GA761" s="0" t="str">
        <f aca="false">IF($A761="","",IF(AND(I761="walk-in",CN761="pass",U761="new",FT761="N",FV761="N",AQ761&lt;&gt;"Y"),"Y","N"))</f>
        <v/>
      </c>
      <c r="GB761" s="0" t="str">
        <f aca="false">IF(GA761&lt;&gt;"Y","",IF(COUNTIFS($GA$2:$GA$1000,"Y",$J$2:$J$1000,"&gt;"&amp;J761)+COUNTIFS($GA$2:$GA$1000,"Y",$J$2:$J$1000,J761,$GD$2:$GD$1000,"&lt;"&amp;GD761)+1&lt;=25,COUNTIFS($GA$2:$GA$1000,"Y",$J$2:$J$1000,"&gt;"&amp;J761)+COUNTIFS($GA$2:$GA$1000,"Y",$J$2:$J$1000,J761,$GD$2:$GD$1000,"&lt;"&amp;GD761)+1,""))</f>
        <v/>
      </c>
      <c r="GC761" s="0" t="str">
        <f aca="false">IF(AND(_xlfn.ISFORMULA(C761),_xlfn.ISFORMULA(J761)),"Y","N")</f>
        <v>Y</v>
      </c>
      <c r="GD761" s="0" t="n">
        <f aca="false">ROW()-1</f>
        <v>760</v>
      </c>
    </row>
    <row r="762" customFormat="false" ht="15" hidden="false" customHeight="false" outlineLevel="0" collapsed="false">
      <c r="C762" s="0" t="str">
        <f aca="false">IF($A762="","",IF(AW762="Y",BM762&amp;"",AY762&amp;""))</f>
        <v/>
      </c>
      <c r="D762" s="0" t="str">
        <f aca="false">IF($A762="","",IF(AW762="Y",BN762&amp;"",AZ762&amp;""))</f>
        <v/>
      </c>
      <c r="E762" s="0" t="str">
        <f aca="false">IF($A762="","",IF(AW762="Y",BO762&amp;"",BA762&amp;""))</f>
        <v/>
      </c>
      <c r="F762" s="0" t="str">
        <f aca="false">IF($A762="","",IF(AW762="Y",BP762&amp;"",BB762&amp;""))</f>
        <v/>
      </c>
      <c r="G762" s="0" t="str">
        <f aca="false">IF($A762="","",IF(AW762="Y",BQ762&amp;"",BC762&amp;""))</f>
        <v/>
      </c>
      <c r="H762" s="0" t="str">
        <f aca="false">IF($A762="","",IF(AW762="Y",BR762&amp;"",BD762&amp;""))</f>
        <v/>
      </c>
      <c r="I762" s="0" t="str">
        <f aca="false">IF($A762="","",IF(R762="Y","warm-intro",IF(H762="verified","email",IF(C762&lt;&gt;"","linkedin",CB762&amp;""))))</f>
        <v/>
      </c>
      <c r="J762" s="0" t="str">
        <f aca="false">IF($A762="","",IF(CN762="pass",ROUND(N(EM762)+N(EN762)+N(EO762)+N(EP762)+N(EQ762)+N(ER762),1),0))</f>
        <v/>
      </c>
      <c r="K762" s="0" t="str">
        <f aca="false">IF($A762="","",IF(CN762&lt;&gt;"pass",CA762&amp;"",CA762&amp;"; "&amp;IF(AW762="Y",BZ762&amp;"",BL762&amp;"")&amp;IF(R762="Y","; known to the founder (+15)","")&amp;"."))</f>
        <v/>
      </c>
      <c r="R762" s="5"/>
      <c r="U762" s="5"/>
      <c r="Y762" s="0" t="str">
        <f aca="false">IF(FX762&lt;&gt;"Y","",COUNTIFS($FX$2:$FX$1000,"Y",$J$2:$J$1000,"&gt;"&amp;J762)+COUNTIFS($FX$2:$FX$1000,"Y",$J$2:$J$1000,J762,$GD$2:$GD$1000,"&lt;"&amp;GD762)+1)</f>
        <v/>
      </c>
      <c r="AB762" s="0" t="str">
        <f aca="false">IF($A762="","",IF(AW762="Y",BY762&amp;"",BK762&amp;""))</f>
        <v/>
      </c>
      <c r="AC762" s="0" t="str">
        <f aca="false">IF($A762="","",IF(AW762="Y",BS762&amp;"",BE762&amp;""))</f>
        <v/>
      </c>
      <c r="AD762" s="0" t="str">
        <f aca="false">IF($A762="","",IF(AW762="Y",BT762&amp;"",BF762&amp;""))</f>
        <v/>
      </c>
      <c r="AE762" s="0" t="str">
        <f aca="false">IF($A762="","",IF(AW762="Y",BU762&amp;"",BG762&amp;""))</f>
        <v/>
      </c>
      <c r="AF762" s="0" t="str">
        <f aca="false">IF($A762="","",IF(AW762="Y",BV762&amp;"",BH762&amp;""))</f>
        <v/>
      </c>
      <c r="AG762" s="0" t="str">
        <f aca="false">IF($A762="","",IF(AW762="Y",BW762&amp;"",BI762&amp;""))</f>
        <v/>
      </c>
      <c r="AH762" s="0" t="str">
        <f aca="false">IF($A762="","",IF(AW762="Y",BX762&amp;"",BJ762&amp;""))</f>
        <v/>
      </c>
      <c r="AQ762" s="5"/>
      <c r="AT762" s="0" t="str">
        <f aca="false">IF($A762="","",IF(AND(CN762="pass",AQ762&lt;&gt;"Y",C762&lt;&gt;"",OR(AX762&lt;&gt;"Y",AV762="Y")),"Y","N"))</f>
        <v/>
      </c>
      <c r="AU762" s="0" t="str">
        <f aca="false">IF($A762="","",_xlfn.TEXTJOIN("; ",TRUE(),IF(CN762&lt;&gt;"pass","gated out",""),IF(AQ762="Y","on hold: "&amp;AR762,""),IF(C762="","no contact named on an opened page",""),IF(AND(AX762="Y",AV762&lt;&gt;"Y"),"Tuesday estimate band "&amp;L762&amp;": founder's call","")))</f>
        <v/>
      </c>
      <c r="BC762" s="0" t="str">
        <f aca="false">IF($A762="","",IFERROR(INDEX(Enrichment!$A$2:$GZ$2000,MATCH($A762,INDEX(Enrichment!$A$2:$GZ$2000,0,MATCH("row_id",Enrichment!$A$1:$GZ$1,0)),0),MATCH("work_email",Enrichment!$A$1:$GZ$1,0))&amp;"",""))</f>
        <v/>
      </c>
      <c r="BD762" s="0" t="str">
        <f aca="false">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Q762" s="0" t="str">
        <f aca="false">IF($A762="","",IFERROR(INDEX(Enrichment!$A$2:$GZ$2000,MATCH($A762,INDEX(Enrichment!$A$2:$GZ$2000,0,MATCH("row_id",Enrichment!$A$1:$GZ$1,0)),0),MATCH("backup_work_email",Enrichment!$A$1:$GZ$1,0))&amp;"",""))</f>
        <v/>
      </c>
      <c r="BR762" s="0" t="str">
        <f aca="false">IF($A762="","",IF(BQ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EQ762" s="0" t="str">
        <f aca="false">IF($A762="","",IF(AH762="exact",10,IF(AH762="adjacent",5,0)))</f>
        <v/>
      </c>
      <c r="ER762" s="0" t="str">
        <f aca="false">IF($A762="","",IF(R762="Y",15,0))</f>
        <v/>
      </c>
      <c r="FS762" s="0" t="str">
        <f aca="false">IF($A762="","",IF(ISNUMBER(MATCH(U762,{"queued","contacted","replied","call_booked","call_done","yes_in_principle","materials_sent"},0)),"Y","N"))</f>
        <v/>
      </c>
      <c r="FT762" s="0" t="str">
        <f aca="false">IF($A762="","",IF(OR(T762="Y",U762="do_not_contact",AS762&amp;""&lt;&gt;""),"Y","N"))</f>
        <v/>
      </c>
      <c r="FU762" s="0" t="str">
        <f aca="false">IF($A762="","",IF(AP762&amp;""&lt;&gt;"",AP762&amp;"",$A762))</f>
        <v/>
      </c>
      <c r="FV762" s="0" t="str">
        <f aca="false">IF($A762="","",IF(COUNTIFS($FU$2:$FU$1000,FU762,$FS$2:$FS$1000,"Y")+COUNTIFS($FU$2:$FU$1000,FU762,$FT$2:$FT$1000,"Y")&gt;0,"Y","N"))</f>
        <v/>
      </c>
      <c r="FW762" s="0" t="str">
        <f aca="false">IF($A762="","",IF(AND(U762="new",T762="N",FT762="N",AT762="Y",FV762="N"),"Y","N"))</f>
        <v/>
      </c>
      <c r="FX762" s="0" t="str">
        <f aca="false">IF($A762="","",IF(FW762&lt;&gt;"Y","N",IF(COUNTIFS($FU$2:$FU$1000,FU762,$FW$2:$FW$1000,"Y",$J$2:$J$1000,"&gt;"&amp;J762)+COUNTIFS($FU$2:$FU$1000,FU762,$FW$2:$FW$1000,"Y",$J$2:$J$1000,J762,$GD$2:$GD$1000,"&lt;"&amp;GD762)=0,"Y","N")))</f>
        <v/>
      </c>
      <c r="FY762" s="0" t="str">
        <f aca="false">IF($A762="","",IF(AND(FW762="Y",FX762="Y",Y762&amp;""&lt;&gt;""),IF(Y762&lt;=10,"Y","N"),"N"))</f>
        <v/>
      </c>
      <c r="FZ762" s="0" t="str">
        <f aca="false">IF(FY762="Y",Y762,"")</f>
        <v/>
      </c>
      <c r="GA762" s="0" t="str">
        <f aca="false">IF($A762="","",IF(AND(I762="walk-in",CN762="pass",U762="new",FT762="N",FV762="N",AQ762&lt;&gt;"Y"),"Y","N"))</f>
        <v/>
      </c>
      <c r="GB762" s="0" t="str">
        <f aca="false">IF(GA762&lt;&gt;"Y","",IF(COUNTIFS($GA$2:$GA$1000,"Y",$J$2:$J$1000,"&gt;"&amp;J762)+COUNTIFS($GA$2:$GA$1000,"Y",$J$2:$J$1000,J762,$GD$2:$GD$1000,"&lt;"&amp;GD762)+1&lt;=25,COUNTIFS($GA$2:$GA$1000,"Y",$J$2:$J$1000,"&gt;"&amp;J762)+COUNTIFS($GA$2:$GA$1000,"Y",$J$2:$J$1000,J762,$GD$2:$GD$1000,"&lt;"&amp;GD762)+1,""))</f>
        <v/>
      </c>
      <c r="GC762" s="0" t="str">
        <f aca="false">IF(AND(_xlfn.ISFORMULA(C762),_xlfn.ISFORMULA(J762)),"Y","N")</f>
        <v>Y</v>
      </c>
      <c r="GD762" s="0" t="n">
        <f aca="false">ROW()-1</f>
        <v>761</v>
      </c>
    </row>
    <row r="763" customFormat="false" ht="15" hidden="false" customHeight="false" outlineLevel="0" collapsed="false">
      <c r="C763" s="0" t="str">
        <f aca="false">IF($A763="","",IF(AW763="Y",BM763&amp;"",AY763&amp;""))</f>
        <v/>
      </c>
      <c r="D763" s="0" t="str">
        <f aca="false">IF($A763="","",IF(AW763="Y",BN763&amp;"",AZ763&amp;""))</f>
        <v/>
      </c>
      <c r="E763" s="0" t="str">
        <f aca="false">IF($A763="","",IF(AW763="Y",BO763&amp;"",BA763&amp;""))</f>
        <v/>
      </c>
      <c r="F763" s="0" t="str">
        <f aca="false">IF($A763="","",IF(AW763="Y",BP763&amp;"",BB763&amp;""))</f>
        <v/>
      </c>
      <c r="G763" s="0" t="str">
        <f aca="false">IF($A763="","",IF(AW763="Y",BQ763&amp;"",BC763&amp;""))</f>
        <v/>
      </c>
      <c r="H763" s="0" t="str">
        <f aca="false">IF($A763="","",IF(AW763="Y",BR763&amp;"",BD763&amp;""))</f>
        <v/>
      </c>
      <c r="I763" s="0" t="str">
        <f aca="false">IF($A763="","",IF(R763="Y","warm-intro",IF(H763="verified","email",IF(C763&lt;&gt;"","linkedin",CB763&amp;""))))</f>
        <v/>
      </c>
      <c r="J763" s="0" t="str">
        <f aca="false">IF($A763="","",IF(CN763="pass",ROUND(N(EM763)+N(EN763)+N(EO763)+N(EP763)+N(EQ763)+N(ER763),1),0))</f>
        <v/>
      </c>
      <c r="K763" s="0" t="str">
        <f aca="false">IF($A763="","",IF(CN763&lt;&gt;"pass",CA763&amp;"",CA763&amp;"; "&amp;IF(AW763="Y",BZ763&amp;"",BL763&amp;"")&amp;IF(R763="Y","; known to the founder (+15)","")&amp;"."))</f>
        <v/>
      </c>
      <c r="R763" s="5"/>
      <c r="U763" s="5"/>
      <c r="Y763" s="0" t="str">
        <f aca="false">IF(FX763&lt;&gt;"Y","",COUNTIFS($FX$2:$FX$1000,"Y",$J$2:$J$1000,"&gt;"&amp;J763)+COUNTIFS($FX$2:$FX$1000,"Y",$J$2:$J$1000,J763,$GD$2:$GD$1000,"&lt;"&amp;GD763)+1)</f>
        <v/>
      </c>
      <c r="AB763" s="0" t="str">
        <f aca="false">IF($A763="","",IF(AW763="Y",BY763&amp;"",BK763&amp;""))</f>
        <v/>
      </c>
      <c r="AC763" s="0" t="str">
        <f aca="false">IF($A763="","",IF(AW763="Y",BS763&amp;"",BE763&amp;""))</f>
        <v/>
      </c>
      <c r="AD763" s="0" t="str">
        <f aca="false">IF($A763="","",IF(AW763="Y",BT763&amp;"",BF763&amp;""))</f>
        <v/>
      </c>
      <c r="AE763" s="0" t="str">
        <f aca="false">IF($A763="","",IF(AW763="Y",BU763&amp;"",BG763&amp;""))</f>
        <v/>
      </c>
      <c r="AF763" s="0" t="str">
        <f aca="false">IF($A763="","",IF(AW763="Y",BV763&amp;"",BH763&amp;""))</f>
        <v/>
      </c>
      <c r="AG763" s="0" t="str">
        <f aca="false">IF($A763="","",IF(AW763="Y",BW763&amp;"",BI763&amp;""))</f>
        <v/>
      </c>
      <c r="AH763" s="0" t="str">
        <f aca="false">IF($A763="","",IF(AW763="Y",BX763&amp;"",BJ763&amp;""))</f>
        <v/>
      </c>
      <c r="AQ763" s="5"/>
      <c r="AT763" s="0" t="str">
        <f aca="false">IF($A763="","",IF(AND(CN763="pass",AQ763&lt;&gt;"Y",C763&lt;&gt;"",OR(AX763&lt;&gt;"Y",AV763="Y")),"Y","N"))</f>
        <v/>
      </c>
      <c r="AU763" s="0" t="str">
        <f aca="false">IF($A763="","",_xlfn.TEXTJOIN("; ",TRUE(),IF(CN763&lt;&gt;"pass","gated out",""),IF(AQ763="Y","on hold: "&amp;AR763,""),IF(C763="","no contact named on an opened page",""),IF(AND(AX763="Y",AV763&lt;&gt;"Y"),"Tuesday estimate band "&amp;L763&amp;": founder's call","")))</f>
        <v/>
      </c>
      <c r="BC763" s="0" t="str">
        <f aca="false">IF($A763="","",IFERROR(INDEX(Enrichment!$A$2:$GZ$2000,MATCH($A763,INDEX(Enrichment!$A$2:$GZ$2000,0,MATCH("row_id",Enrichment!$A$1:$GZ$1,0)),0),MATCH("work_email",Enrichment!$A$1:$GZ$1,0))&amp;"",""))</f>
        <v/>
      </c>
      <c r="BD763" s="0" t="str">
        <f aca="false">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Q763" s="0" t="str">
        <f aca="false">IF($A763="","",IFERROR(INDEX(Enrichment!$A$2:$GZ$2000,MATCH($A763,INDEX(Enrichment!$A$2:$GZ$2000,0,MATCH("row_id",Enrichment!$A$1:$GZ$1,0)),0),MATCH("backup_work_email",Enrichment!$A$1:$GZ$1,0))&amp;"",""))</f>
        <v/>
      </c>
      <c r="BR763" s="0" t="str">
        <f aca="false">IF($A763="","",IF(BQ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EQ763" s="0" t="str">
        <f aca="false">IF($A763="","",IF(AH763="exact",10,IF(AH763="adjacent",5,0)))</f>
        <v/>
      </c>
      <c r="ER763" s="0" t="str">
        <f aca="false">IF($A763="","",IF(R763="Y",15,0))</f>
        <v/>
      </c>
      <c r="FS763" s="0" t="str">
        <f aca="false">IF($A763="","",IF(ISNUMBER(MATCH(U763,{"queued","contacted","replied","call_booked","call_done","yes_in_principle","materials_sent"},0)),"Y","N"))</f>
        <v/>
      </c>
      <c r="FT763" s="0" t="str">
        <f aca="false">IF($A763="","",IF(OR(T763="Y",U763="do_not_contact",AS763&amp;""&lt;&gt;""),"Y","N"))</f>
        <v/>
      </c>
      <c r="FU763" s="0" t="str">
        <f aca="false">IF($A763="","",IF(AP763&amp;""&lt;&gt;"",AP763&amp;"",$A763))</f>
        <v/>
      </c>
      <c r="FV763" s="0" t="str">
        <f aca="false">IF($A763="","",IF(COUNTIFS($FU$2:$FU$1000,FU763,$FS$2:$FS$1000,"Y")+COUNTIFS($FU$2:$FU$1000,FU763,$FT$2:$FT$1000,"Y")&gt;0,"Y","N"))</f>
        <v/>
      </c>
      <c r="FW763" s="0" t="str">
        <f aca="false">IF($A763="","",IF(AND(U763="new",T763="N",FT763="N",AT763="Y",FV763="N"),"Y","N"))</f>
        <v/>
      </c>
      <c r="FX763" s="0" t="str">
        <f aca="false">IF($A763="","",IF(FW763&lt;&gt;"Y","N",IF(COUNTIFS($FU$2:$FU$1000,FU763,$FW$2:$FW$1000,"Y",$J$2:$J$1000,"&gt;"&amp;J763)+COUNTIFS($FU$2:$FU$1000,FU763,$FW$2:$FW$1000,"Y",$J$2:$J$1000,J763,$GD$2:$GD$1000,"&lt;"&amp;GD763)=0,"Y","N")))</f>
        <v/>
      </c>
      <c r="FY763" s="0" t="str">
        <f aca="false">IF($A763="","",IF(AND(FW763="Y",FX763="Y",Y763&amp;""&lt;&gt;""),IF(Y763&lt;=10,"Y","N"),"N"))</f>
        <v/>
      </c>
      <c r="FZ763" s="0" t="str">
        <f aca="false">IF(FY763="Y",Y763,"")</f>
        <v/>
      </c>
      <c r="GA763" s="0" t="str">
        <f aca="false">IF($A763="","",IF(AND(I763="walk-in",CN763="pass",U763="new",FT763="N",FV763="N",AQ763&lt;&gt;"Y"),"Y","N"))</f>
        <v/>
      </c>
      <c r="GB763" s="0" t="str">
        <f aca="false">IF(GA763&lt;&gt;"Y","",IF(COUNTIFS($GA$2:$GA$1000,"Y",$J$2:$J$1000,"&gt;"&amp;J763)+COUNTIFS($GA$2:$GA$1000,"Y",$J$2:$J$1000,J763,$GD$2:$GD$1000,"&lt;"&amp;GD763)+1&lt;=25,COUNTIFS($GA$2:$GA$1000,"Y",$J$2:$J$1000,"&gt;"&amp;J763)+COUNTIFS($GA$2:$GA$1000,"Y",$J$2:$J$1000,J763,$GD$2:$GD$1000,"&lt;"&amp;GD763)+1,""))</f>
        <v/>
      </c>
      <c r="GC763" s="0" t="str">
        <f aca="false">IF(AND(_xlfn.ISFORMULA(C763),_xlfn.ISFORMULA(J763)),"Y","N")</f>
        <v>Y</v>
      </c>
      <c r="GD763" s="0" t="n">
        <f aca="false">ROW()-1</f>
        <v>762</v>
      </c>
    </row>
    <row r="764" customFormat="false" ht="15" hidden="false" customHeight="false" outlineLevel="0" collapsed="false">
      <c r="C764" s="0" t="str">
        <f aca="false">IF($A764="","",IF(AW764="Y",BM764&amp;"",AY764&amp;""))</f>
        <v/>
      </c>
      <c r="D764" s="0" t="str">
        <f aca="false">IF($A764="","",IF(AW764="Y",BN764&amp;"",AZ764&amp;""))</f>
        <v/>
      </c>
      <c r="E764" s="0" t="str">
        <f aca="false">IF($A764="","",IF(AW764="Y",BO764&amp;"",BA764&amp;""))</f>
        <v/>
      </c>
      <c r="F764" s="0" t="str">
        <f aca="false">IF($A764="","",IF(AW764="Y",BP764&amp;"",BB764&amp;""))</f>
        <v/>
      </c>
      <c r="G764" s="0" t="str">
        <f aca="false">IF($A764="","",IF(AW764="Y",BQ764&amp;"",BC764&amp;""))</f>
        <v/>
      </c>
      <c r="H764" s="0" t="str">
        <f aca="false">IF($A764="","",IF(AW764="Y",BR764&amp;"",BD764&amp;""))</f>
        <v/>
      </c>
      <c r="I764" s="0" t="str">
        <f aca="false">IF($A764="","",IF(R764="Y","warm-intro",IF(H764="verified","email",IF(C764&lt;&gt;"","linkedin",CB764&amp;""))))</f>
        <v/>
      </c>
      <c r="J764" s="0" t="str">
        <f aca="false">IF($A764="","",IF(CN764="pass",ROUND(N(EM764)+N(EN764)+N(EO764)+N(EP764)+N(EQ764)+N(ER764),1),0))</f>
        <v/>
      </c>
      <c r="K764" s="0" t="str">
        <f aca="false">IF($A764="","",IF(CN764&lt;&gt;"pass",CA764&amp;"",CA764&amp;"; "&amp;IF(AW764="Y",BZ764&amp;"",BL764&amp;"")&amp;IF(R764="Y","; known to the founder (+15)","")&amp;"."))</f>
        <v/>
      </c>
      <c r="R764" s="5"/>
      <c r="U764" s="5"/>
      <c r="Y764" s="0" t="str">
        <f aca="false">IF(FX764&lt;&gt;"Y","",COUNTIFS($FX$2:$FX$1000,"Y",$J$2:$J$1000,"&gt;"&amp;J764)+COUNTIFS($FX$2:$FX$1000,"Y",$J$2:$J$1000,J764,$GD$2:$GD$1000,"&lt;"&amp;GD764)+1)</f>
        <v/>
      </c>
      <c r="AB764" s="0" t="str">
        <f aca="false">IF($A764="","",IF(AW764="Y",BY764&amp;"",BK764&amp;""))</f>
        <v/>
      </c>
      <c r="AC764" s="0" t="str">
        <f aca="false">IF($A764="","",IF(AW764="Y",BS764&amp;"",BE764&amp;""))</f>
        <v/>
      </c>
      <c r="AD764" s="0" t="str">
        <f aca="false">IF($A764="","",IF(AW764="Y",BT764&amp;"",BF764&amp;""))</f>
        <v/>
      </c>
      <c r="AE764" s="0" t="str">
        <f aca="false">IF($A764="","",IF(AW764="Y",BU764&amp;"",BG764&amp;""))</f>
        <v/>
      </c>
      <c r="AF764" s="0" t="str">
        <f aca="false">IF($A764="","",IF(AW764="Y",BV764&amp;"",BH764&amp;""))</f>
        <v/>
      </c>
      <c r="AG764" s="0" t="str">
        <f aca="false">IF($A764="","",IF(AW764="Y",BW764&amp;"",BI764&amp;""))</f>
        <v/>
      </c>
      <c r="AH764" s="0" t="str">
        <f aca="false">IF($A764="","",IF(AW764="Y",BX764&amp;"",BJ764&amp;""))</f>
        <v/>
      </c>
      <c r="AQ764" s="5"/>
      <c r="AT764" s="0" t="str">
        <f aca="false">IF($A764="","",IF(AND(CN764="pass",AQ764&lt;&gt;"Y",C764&lt;&gt;"",OR(AX764&lt;&gt;"Y",AV764="Y")),"Y","N"))</f>
        <v/>
      </c>
      <c r="AU764" s="0" t="str">
        <f aca="false">IF($A764="","",_xlfn.TEXTJOIN("; ",TRUE(),IF(CN764&lt;&gt;"pass","gated out",""),IF(AQ764="Y","on hold: "&amp;AR764,""),IF(C764="","no contact named on an opened page",""),IF(AND(AX764="Y",AV764&lt;&gt;"Y"),"Tuesday estimate band "&amp;L764&amp;": founder's call","")))</f>
        <v/>
      </c>
      <c r="BC764" s="0" t="str">
        <f aca="false">IF($A764="","",IFERROR(INDEX(Enrichment!$A$2:$GZ$2000,MATCH($A764,INDEX(Enrichment!$A$2:$GZ$2000,0,MATCH("row_id",Enrichment!$A$1:$GZ$1,0)),0),MATCH("work_email",Enrichment!$A$1:$GZ$1,0))&amp;"",""))</f>
        <v/>
      </c>
      <c r="BD764" s="0" t="str">
        <f aca="false">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Q764" s="0" t="str">
        <f aca="false">IF($A764="","",IFERROR(INDEX(Enrichment!$A$2:$GZ$2000,MATCH($A764,INDEX(Enrichment!$A$2:$GZ$2000,0,MATCH("row_id",Enrichment!$A$1:$GZ$1,0)),0),MATCH("backup_work_email",Enrichment!$A$1:$GZ$1,0))&amp;"",""))</f>
        <v/>
      </c>
      <c r="BR764" s="0" t="str">
        <f aca="false">IF($A764="","",IF(BQ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EQ764" s="0" t="str">
        <f aca="false">IF($A764="","",IF(AH764="exact",10,IF(AH764="adjacent",5,0)))</f>
        <v/>
      </c>
      <c r="ER764" s="0" t="str">
        <f aca="false">IF($A764="","",IF(R764="Y",15,0))</f>
        <v/>
      </c>
      <c r="FS764" s="0" t="str">
        <f aca="false">IF($A764="","",IF(ISNUMBER(MATCH(U764,{"queued","contacted","replied","call_booked","call_done","yes_in_principle","materials_sent"},0)),"Y","N"))</f>
        <v/>
      </c>
      <c r="FT764" s="0" t="str">
        <f aca="false">IF($A764="","",IF(OR(T764="Y",U764="do_not_contact",AS764&amp;""&lt;&gt;""),"Y","N"))</f>
        <v/>
      </c>
      <c r="FU764" s="0" t="str">
        <f aca="false">IF($A764="","",IF(AP764&amp;""&lt;&gt;"",AP764&amp;"",$A764))</f>
        <v/>
      </c>
      <c r="FV764" s="0" t="str">
        <f aca="false">IF($A764="","",IF(COUNTIFS($FU$2:$FU$1000,FU764,$FS$2:$FS$1000,"Y")+COUNTIFS($FU$2:$FU$1000,FU764,$FT$2:$FT$1000,"Y")&gt;0,"Y","N"))</f>
        <v/>
      </c>
      <c r="FW764" s="0" t="str">
        <f aca="false">IF($A764="","",IF(AND(U764="new",T764="N",FT764="N",AT764="Y",FV764="N"),"Y","N"))</f>
        <v/>
      </c>
      <c r="FX764" s="0" t="str">
        <f aca="false">IF($A764="","",IF(FW764&lt;&gt;"Y","N",IF(COUNTIFS($FU$2:$FU$1000,FU764,$FW$2:$FW$1000,"Y",$J$2:$J$1000,"&gt;"&amp;J764)+COUNTIFS($FU$2:$FU$1000,FU764,$FW$2:$FW$1000,"Y",$J$2:$J$1000,J764,$GD$2:$GD$1000,"&lt;"&amp;GD764)=0,"Y","N")))</f>
        <v/>
      </c>
      <c r="FY764" s="0" t="str">
        <f aca="false">IF($A764="","",IF(AND(FW764="Y",FX764="Y",Y764&amp;""&lt;&gt;""),IF(Y764&lt;=10,"Y","N"),"N"))</f>
        <v/>
      </c>
      <c r="FZ764" s="0" t="str">
        <f aca="false">IF(FY764="Y",Y764,"")</f>
        <v/>
      </c>
      <c r="GA764" s="0" t="str">
        <f aca="false">IF($A764="","",IF(AND(I764="walk-in",CN764="pass",U764="new",FT764="N",FV764="N",AQ764&lt;&gt;"Y"),"Y","N"))</f>
        <v/>
      </c>
      <c r="GB764" s="0" t="str">
        <f aca="false">IF(GA764&lt;&gt;"Y","",IF(COUNTIFS($GA$2:$GA$1000,"Y",$J$2:$J$1000,"&gt;"&amp;J764)+COUNTIFS($GA$2:$GA$1000,"Y",$J$2:$J$1000,J764,$GD$2:$GD$1000,"&lt;"&amp;GD764)+1&lt;=25,COUNTIFS($GA$2:$GA$1000,"Y",$J$2:$J$1000,"&gt;"&amp;J764)+COUNTIFS($GA$2:$GA$1000,"Y",$J$2:$J$1000,J764,$GD$2:$GD$1000,"&lt;"&amp;GD764)+1,""))</f>
        <v/>
      </c>
      <c r="GC764" s="0" t="str">
        <f aca="false">IF(AND(_xlfn.ISFORMULA(C764),_xlfn.ISFORMULA(J764)),"Y","N")</f>
        <v>Y</v>
      </c>
      <c r="GD764" s="0" t="n">
        <f aca="false">ROW()-1</f>
        <v>763</v>
      </c>
    </row>
    <row r="765" customFormat="false" ht="15" hidden="false" customHeight="false" outlineLevel="0" collapsed="false">
      <c r="C765" s="0" t="str">
        <f aca="false">IF($A765="","",IF(AW765="Y",BM765&amp;"",AY765&amp;""))</f>
        <v/>
      </c>
      <c r="D765" s="0" t="str">
        <f aca="false">IF($A765="","",IF(AW765="Y",BN765&amp;"",AZ765&amp;""))</f>
        <v/>
      </c>
      <c r="E765" s="0" t="str">
        <f aca="false">IF($A765="","",IF(AW765="Y",BO765&amp;"",BA765&amp;""))</f>
        <v/>
      </c>
      <c r="F765" s="0" t="str">
        <f aca="false">IF($A765="","",IF(AW765="Y",BP765&amp;"",BB765&amp;""))</f>
        <v/>
      </c>
      <c r="G765" s="0" t="str">
        <f aca="false">IF($A765="","",IF(AW765="Y",BQ765&amp;"",BC765&amp;""))</f>
        <v/>
      </c>
      <c r="H765" s="0" t="str">
        <f aca="false">IF($A765="","",IF(AW765="Y",BR765&amp;"",BD765&amp;""))</f>
        <v/>
      </c>
      <c r="I765" s="0" t="str">
        <f aca="false">IF($A765="","",IF(R765="Y","warm-intro",IF(H765="verified","email",IF(C765&lt;&gt;"","linkedin",CB765&amp;""))))</f>
        <v/>
      </c>
      <c r="J765" s="0" t="str">
        <f aca="false">IF($A765="","",IF(CN765="pass",ROUND(N(EM765)+N(EN765)+N(EO765)+N(EP765)+N(EQ765)+N(ER765),1),0))</f>
        <v/>
      </c>
      <c r="K765" s="0" t="str">
        <f aca="false">IF($A765="","",IF(CN765&lt;&gt;"pass",CA765&amp;"",CA765&amp;"; "&amp;IF(AW765="Y",BZ765&amp;"",BL765&amp;"")&amp;IF(R765="Y","; known to the founder (+15)","")&amp;"."))</f>
        <v/>
      </c>
      <c r="R765" s="5"/>
      <c r="U765" s="5"/>
      <c r="Y765" s="0" t="str">
        <f aca="false">IF(FX765&lt;&gt;"Y","",COUNTIFS($FX$2:$FX$1000,"Y",$J$2:$J$1000,"&gt;"&amp;J765)+COUNTIFS($FX$2:$FX$1000,"Y",$J$2:$J$1000,J765,$GD$2:$GD$1000,"&lt;"&amp;GD765)+1)</f>
        <v/>
      </c>
      <c r="AB765" s="0" t="str">
        <f aca="false">IF($A765="","",IF(AW765="Y",BY765&amp;"",BK765&amp;""))</f>
        <v/>
      </c>
      <c r="AC765" s="0" t="str">
        <f aca="false">IF($A765="","",IF(AW765="Y",BS765&amp;"",BE765&amp;""))</f>
        <v/>
      </c>
      <c r="AD765" s="0" t="str">
        <f aca="false">IF($A765="","",IF(AW765="Y",BT765&amp;"",BF765&amp;""))</f>
        <v/>
      </c>
      <c r="AE765" s="0" t="str">
        <f aca="false">IF($A765="","",IF(AW765="Y",BU765&amp;"",BG765&amp;""))</f>
        <v/>
      </c>
      <c r="AF765" s="0" t="str">
        <f aca="false">IF($A765="","",IF(AW765="Y",BV765&amp;"",BH765&amp;""))</f>
        <v/>
      </c>
      <c r="AG765" s="0" t="str">
        <f aca="false">IF($A765="","",IF(AW765="Y",BW765&amp;"",BI765&amp;""))</f>
        <v/>
      </c>
      <c r="AH765" s="0" t="str">
        <f aca="false">IF($A765="","",IF(AW765="Y",BX765&amp;"",BJ765&amp;""))</f>
        <v/>
      </c>
      <c r="AQ765" s="5"/>
      <c r="AT765" s="0" t="str">
        <f aca="false">IF($A765="","",IF(AND(CN765="pass",AQ765&lt;&gt;"Y",C765&lt;&gt;"",OR(AX765&lt;&gt;"Y",AV765="Y")),"Y","N"))</f>
        <v/>
      </c>
      <c r="AU765" s="0" t="str">
        <f aca="false">IF($A765="","",_xlfn.TEXTJOIN("; ",TRUE(),IF(CN765&lt;&gt;"pass","gated out",""),IF(AQ765="Y","on hold: "&amp;AR765,""),IF(C765="","no contact named on an opened page",""),IF(AND(AX765="Y",AV765&lt;&gt;"Y"),"Tuesday estimate band "&amp;L765&amp;": founder's call","")))</f>
        <v/>
      </c>
      <c r="BC765" s="0" t="str">
        <f aca="false">IF($A765="","",IFERROR(INDEX(Enrichment!$A$2:$GZ$2000,MATCH($A765,INDEX(Enrichment!$A$2:$GZ$2000,0,MATCH("row_id",Enrichment!$A$1:$GZ$1,0)),0),MATCH("work_email",Enrichment!$A$1:$GZ$1,0))&amp;"",""))</f>
        <v/>
      </c>
      <c r="BD765" s="0" t="str">
        <f aca="false">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Q765" s="0" t="str">
        <f aca="false">IF($A765="","",IFERROR(INDEX(Enrichment!$A$2:$GZ$2000,MATCH($A765,INDEX(Enrichment!$A$2:$GZ$2000,0,MATCH("row_id",Enrichment!$A$1:$GZ$1,0)),0),MATCH("backup_work_email",Enrichment!$A$1:$GZ$1,0))&amp;"",""))</f>
        <v/>
      </c>
      <c r="BR765" s="0" t="str">
        <f aca="false">IF($A765="","",IF(BQ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EQ765" s="0" t="str">
        <f aca="false">IF($A765="","",IF(AH765="exact",10,IF(AH765="adjacent",5,0)))</f>
        <v/>
      </c>
      <c r="ER765" s="0" t="str">
        <f aca="false">IF($A765="","",IF(R765="Y",15,0))</f>
        <v/>
      </c>
      <c r="FS765" s="0" t="str">
        <f aca="false">IF($A765="","",IF(ISNUMBER(MATCH(U765,{"queued","contacted","replied","call_booked","call_done","yes_in_principle","materials_sent"},0)),"Y","N"))</f>
        <v/>
      </c>
      <c r="FT765" s="0" t="str">
        <f aca="false">IF($A765="","",IF(OR(T765="Y",U765="do_not_contact",AS765&amp;""&lt;&gt;""),"Y","N"))</f>
        <v/>
      </c>
      <c r="FU765" s="0" t="str">
        <f aca="false">IF($A765="","",IF(AP765&amp;""&lt;&gt;"",AP765&amp;"",$A765))</f>
        <v/>
      </c>
      <c r="FV765" s="0" t="str">
        <f aca="false">IF($A765="","",IF(COUNTIFS($FU$2:$FU$1000,FU765,$FS$2:$FS$1000,"Y")+COUNTIFS($FU$2:$FU$1000,FU765,$FT$2:$FT$1000,"Y")&gt;0,"Y","N"))</f>
        <v/>
      </c>
      <c r="FW765" s="0" t="str">
        <f aca="false">IF($A765="","",IF(AND(U765="new",T765="N",FT765="N",AT765="Y",FV765="N"),"Y","N"))</f>
        <v/>
      </c>
      <c r="FX765" s="0" t="str">
        <f aca="false">IF($A765="","",IF(FW765&lt;&gt;"Y","N",IF(COUNTIFS($FU$2:$FU$1000,FU765,$FW$2:$FW$1000,"Y",$J$2:$J$1000,"&gt;"&amp;J765)+COUNTIFS($FU$2:$FU$1000,FU765,$FW$2:$FW$1000,"Y",$J$2:$J$1000,J765,$GD$2:$GD$1000,"&lt;"&amp;GD765)=0,"Y","N")))</f>
        <v/>
      </c>
      <c r="FY765" s="0" t="str">
        <f aca="false">IF($A765="","",IF(AND(FW765="Y",FX765="Y",Y765&amp;""&lt;&gt;""),IF(Y765&lt;=10,"Y","N"),"N"))</f>
        <v/>
      </c>
      <c r="FZ765" s="0" t="str">
        <f aca="false">IF(FY765="Y",Y765,"")</f>
        <v/>
      </c>
      <c r="GA765" s="0" t="str">
        <f aca="false">IF($A765="","",IF(AND(I765="walk-in",CN765="pass",U765="new",FT765="N",FV765="N",AQ765&lt;&gt;"Y"),"Y","N"))</f>
        <v/>
      </c>
      <c r="GB765" s="0" t="str">
        <f aca="false">IF(GA765&lt;&gt;"Y","",IF(COUNTIFS($GA$2:$GA$1000,"Y",$J$2:$J$1000,"&gt;"&amp;J765)+COUNTIFS($GA$2:$GA$1000,"Y",$J$2:$J$1000,J765,$GD$2:$GD$1000,"&lt;"&amp;GD765)+1&lt;=25,COUNTIFS($GA$2:$GA$1000,"Y",$J$2:$J$1000,"&gt;"&amp;J765)+COUNTIFS($GA$2:$GA$1000,"Y",$J$2:$J$1000,J765,$GD$2:$GD$1000,"&lt;"&amp;GD765)+1,""))</f>
        <v/>
      </c>
      <c r="GC765" s="0" t="str">
        <f aca="false">IF(AND(_xlfn.ISFORMULA(C765),_xlfn.ISFORMULA(J765)),"Y","N")</f>
        <v>Y</v>
      </c>
      <c r="GD765" s="0" t="n">
        <f aca="false">ROW()-1</f>
        <v>764</v>
      </c>
    </row>
    <row r="766" customFormat="false" ht="15" hidden="false" customHeight="false" outlineLevel="0" collapsed="false">
      <c r="C766" s="0" t="str">
        <f aca="false">IF($A766="","",IF(AW766="Y",BM766&amp;"",AY766&amp;""))</f>
        <v/>
      </c>
      <c r="D766" s="0" t="str">
        <f aca="false">IF($A766="","",IF(AW766="Y",BN766&amp;"",AZ766&amp;""))</f>
        <v/>
      </c>
      <c r="E766" s="0" t="str">
        <f aca="false">IF($A766="","",IF(AW766="Y",BO766&amp;"",BA766&amp;""))</f>
        <v/>
      </c>
      <c r="F766" s="0" t="str">
        <f aca="false">IF($A766="","",IF(AW766="Y",BP766&amp;"",BB766&amp;""))</f>
        <v/>
      </c>
      <c r="G766" s="0" t="str">
        <f aca="false">IF($A766="","",IF(AW766="Y",BQ766&amp;"",BC766&amp;""))</f>
        <v/>
      </c>
      <c r="H766" s="0" t="str">
        <f aca="false">IF($A766="","",IF(AW766="Y",BR766&amp;"",BD766&amp;""))</f>
        <v/>
      </c>
      <c r="I766" s="0" t="str">
        <f aca="false">IF($A766="","",IF(R766="Y","warm-intro",IF(H766="verified","email",IF(C766&lt;&gt;"","linkedin",CB766&amp;""))))</f>
        <v/>
      </c>
      <c r="J766" s="0" t="str">
        <f aca="false">IF($A766="","",IF(CN766="pass",ROUND(N(EM766)+N(EN766)+N(EO766)+N(EP766)+N(EQ766)+N(ER766),1),0))</f>
        <v/>
      </c>
      <c r="K766" s="0" t="str">
        <f aca="false">IF($A766="","",IF(CN766&lt;&gt;"pass",CA766&amp;"",CA766&amp;"; "&amp;IF(AW766="Y",BZ766&amp;"",BL766&amp;"")&amp;IF(R766="Y","; known to the founder (+15)","")&amp;"."))</f>
        <v/>
      </c>
      <c r="R766" s="5"/>
      <c r="U766" s="5"/>
      <c r="Y766" s="0" t="str">
        <f aca="false">IF(FX766&lt;&gt;"Y","",COUNTIFS($FX$2:$FX$1000,"Y",$J$2:$J$1000,"&gt;"&amp;J766)+COUNTIFS($FX$2:$FX$1000,"Y",$J$2:$J$1000,J766,$GD$2:$GD$1000,"&lt;"&amp;GD766)+1)</f>
        <v/>
      </c>
      <c r="AB766" s="0" t="str">
        <f aca="false">IF($A766="","",IF(AW766="Y",BY766&amp;"",BK766&amp;""))</f>
        <v/>
      </c>
      <c r="AC766" s="0" t="str">
        <f aca="false">IF($A766="","",IF(AW766="Y",BS766&amp;"",BE766&amp;""))</f>
        <v/>
      </c>
      <c r="AD766" s="0" t="str">
        <f aca="false">IF($A766="","",IF(AW766="Y",BT766&amp;"",BF766&amp;""))</f>
        <v/>
      </c>
      <c r="AE766" s="0" t="str">
        <f aca="false">IF($A766="","",IF(AW766="Y",BU766&amp;"",BG766&amp;""))</f>
        <v/>
      </c>
      <c r="AF766" s="0" t="str">
        <f aca="false">IF($A766="","",IF(AW766="Y",BV766&amp;"",BH766&amp;""))</f>
        <v/>
      </c>
      <c r="AG766" s="0" t="str">
        <f aca="false">IF($A766="","",IF(AW766="Y",BW766&amp;"",BI766&amp;""))</f>
        <v/>
      </c>
      <c r="AH766" s="0" t="str">
        <f aca="false">IF($A766="","",IF(AW766="Y",BX766&amp;"",BJ766&amp;""))</f>
        <v/>
      </c>
      <c r="AQ766" s="5"/>
      <c r="AT766" s="0" t="str">
        <f aca="false">IF($A766="","",IF(AND(CN766="pass",AQ766&lt;&gt;"Y",C766&lt;&gt;"",OR(AX766&lt;&gt;"Y",AV766="Y")),"Y","N"))</f>
        <v/>
      </c>
      <c r="AU766" s="0" t="str">
        <f aca="false">IF($A766="","",_xlfn.TEXTJOIN("; ",TRUE(),IF(CN766&lt;&gt;"pass","gated out",""),IF(AQ766="Y","on hold: "&amp;AR766,""),IF(C766="","no contact named on an opened page",""),IF(AND(AX766="Y",AV766&lt;&gt;"Y"),"Tuesday estimate band "&amp;L766&amp;": founder's call","")))</f>
        <v/>
      </c>
      <c r="BC766" s="0" t="str">
        <f aca="false">IF($A766="","",IFERROR(INDEX(Enrichment!$A$2:$GZ$2000,MATCH($A766,INDEX(Enrichment!$A$2:$GZ$2000,0,MATCH("row_id",Enrichment!$A$1:$GZ$1,0)),0),MATCH("work_email",Enrichment!$A$1:$GZ$1,0))&amp;"",""))</f>
        <v/>
      </c>
      <c r="BD766" s="0" t="str">
        <f aca="false">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Q766" s="0" t="str">
        <f aca="false">IF($A766="","",IFERROR(INDEX(Enrichment!$A$2:$GZ$2000,MATCH($A766,INDEX(Enrichment!$A$2:$GZ$2000,0,MATCH("row_id",Enrichment!$A$1:$GZ$1,0)),0),MATCH("backup_work_email",Enrichment!$A$1:$GZ$1,0))&amp;"",""))</f>
        <v/>
      </c>
      <c r="BR766" s="0" t="str">
        <f aca="false">IF($A766="","",IF(BQ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EQ766" s="0" t="str">
        <f aca="false">IF($A766="","",IF(AH766="exact",10,IF(AH766="adjacent",5,0)))</f>
        <v/>
      </c>
      <c r="ER766" s="0" t="str">
        <f aca="false">IF($A766="","",IF(R766="Y",15,0))</f>
        <v/>
      </c>
      <c r="FS766" s="0" t="str">
        <f aca="false">IF($A766="","",IF(ISNUMBER(MATCH(U766,{"queued","contacted","replied","call_booked","call_done","yes_in_principle","materials_sent"},0)),"Y","N"))</f>
        <v/>
      </c>
      <c r="FT766" s="0" t="str">
        <f aca="false">IF($A766="","",IF(OR(T766="Y",U766="do_not_contact",AS766&amp;""&lt;&gt;""),"Y","N"))</f>
        <v/>
      </c>
      <c r="FU766" s="0" t="str">
        <f aca="false">IF($A766="","",IF(AP766&amp;""&lt;&gt;"",AP766&amp;"",$A766))</f>
        <v/>
      </c>
      <c r="FV766" s="0" t="str">
        <f aca="false">IF($A766="","",IF(COUNTIFS($FU$2:$FU$1000,FU766,$FS$2:$FS$1000,"Y")+COUNTIFS($FU$2:$FU$1000,FU766,$FT$2:$FT$1000,"Y")&gt;0,"Y","N"))</f>
        <v/>
      </c>
      <c r="FW766" s="0" t="str">
        <f aca="false">IF($A766="","",IF(AND(U766="new",T766="N",FT766="N",AT766="Y",FV766="N"),"Y","N"))</f>
        <v/>
      </c>
      <c r="FX766" s="0" t="str">
        <f aca="false">IF($A766="","",IF(FW766&lt;&gt;"Y","N",IF(COUNTIFS($FU$2:$FU$1000,FU766,$FW$2:$FW$1000,"Y",$J$2:$J$1000,"&gt;"&amp;J766)+COUNTIFS($FU$2:$FU$1000,FU766,$FW$2:$FW$1000,"Y",$J$2:$J$1000,J766,$GD$2:$GD$1000,"&lt;"&amp;GD766)=0,"Y","N")))</f>
        <v/>
      </c>
      <c r="FY766" s="0" t="str">
        <f aca="false">IF($A766="","",IF(AND(FW766="Y",FX766="Y",Y766&amp;""&lt;&gt;""),IF(Y766&lt;=10,"Y","N"),"N"))</f>
        <v/>
      </c>
      <c r="FZ766" s="0" t="str">
        <f aca="false">IF(FY766="Y",Y766,"")</f>
        <v/>
      </c>
      <c r="GA766" s="0" t="str">
        <f aca="false">IF($A766="","",IF(AND(I766="walk-in",CN766="pass",U766="new",FT766="N",FV766="N",AQ766&lt;&gt;"Y"),"Y","N"))</f>
        <v/>
      </c>
      <c r="GB766" s="0" t="str">
        <f aca="false">IF(GA766&lt;&gt;"Y","",IF(COUNTIFS($GA$2:$GA$1000,"Y",$J$2:$J$1000,"&gt;"&amp;J766)+COUNTIFS($GA$2:$GA$1000,"Y",$J$2:$J$1000,J766,$GD$2:$GD$1000,"&lt;"&amp;GD766)+1&lt;=25,COUNTIFS($GA$2:$GA$1000,"Y",$J$2:$J$1000,"&gt;"&amp;J766)+COUNTIFS($GA$2:$GA$1000,"Y",$J$2:$J$1000,J766,$GD$2:$GD$1000,"&lt;"&amp;GD766)+1,""))</f>
        <v/>
      </c>
      <c r="GC766" s="0" t="str">
        <f aca="false">IF(AND(_xlfn.ISFORMULA(C766),_xlfn.ISFORMULA(J766)),"Y","N")</f>
        <v>Y</v>
      </c>
      <c r="GD766" s="0" t="n">
        <f aca="false">ROW()-1</f>
        <v>765</v>
      </c>
    </row>
    <row r="767" customFormat="false" ht="15" hidden="false" customHeight="false" outlineLevel="0" collapsed="false">
      <c r="C767" s="0" t="str">
        <f aca="false">IF($A767="","",IF(AW767="Y",BM767&amp;"",AY767&amp;""))</f>
        <v/>
      </c>
      <c r="D767" s="0" t="str">
        <f aca="false">IF($A767="","",IF(AW767="Y",BN767&amp;"",AZ767&amp;""))</f>
        <v/>
      </c>
      <c r="E767" s="0" t="str">
        <f aca="false">IF($A767="","",IF(AW767="Y",BO767&amp;"",BA767&amp;""))</f>
        <v/>
      </c>
      <c r="F767" s="0" t="str">
        <f aca="false">IF($A767="","",IF(AW767="Y",BP767&amp;"",BB767&amp;""))</f>
        <v/>
      </c>
      <c r="G767" s="0" t="str">
        <f aca="false">IF($A767="","",IF(AW767="Y",BQ767&amp;"",BC767&amp;""))</f>
        <v/>
      </c>
      <c r="H767" s="0" t="str">
        <f aca="false">IF($A767="","",IF(AW767="Y",BR767&amp;"",BD767&amp;""))</f>
        <v/>
      </c>
      <c r="I767" s="0" t="str">
        <f aca="false">IF($A767="","",IF(R767="Y","warm-intro",IF(H767="verified","email",IF(C767&lt;&gt;"","linkedin",CB767&amp;""))))</f>
        <v/>
      </c>
      <c r="J767" s="0" t="str">
        <f aca="false">IF($A767="","",IF(CN767="pass",ROUND(N(EM767)+N(EN767)+N(EO767)+N(EP767)+N(EQ767)+N(ER767),1),0))</f>
        <v/>
      </c>
      <c r="K767" s="0" t="str">
        <f aca="false">IF($A767="","",IF(CN767&lt;&gt;"pass",CA767&amp;"",CA767&amp;"; "&amp;IF(AW767="Y",BZ767&amp;"",BL767&amp;"")&amp;IF(R767="Y","; known to the founder (+15)","")&amp;"."))</f>
        <v/>
      </c>
      <c r="R767" s="5"/>
      <c r="U767" s="5"/>
      <c r="Y767" s="0" t="str">
        <f aca="false">IF(FX767&lt;&gt;"Y","",COUNTIFS($FX$2:$FX$1000,"Y",$J$2:$J$1000,"&gt;"&amp;J767)+COUNTIFS($FX$2:$FX$1000,"Y",$J$2:$J$1000,J767,$GD$2:$GD$1000,"&lt;"&amp;GD767)+1)</f>
        <v/>
      </c>
      <c r="AB767" s="0" t="str">
        <f aca="false">IF($A767="","",IF(AW767="Y",BY767&amp;"",BK767&amp;""))</f>
        <v/>
      </c>
      <c r="AC767" s="0" t="str">
        <f aca="false">IF($A767="","",IF(AW767="Y",BS767&amp;"",BE767&amp;""))</f>
        <v/>
      </c>
      <c r="AD767" s="0" t="str">
        <f aca="false">IF($A767="","",IF(AW767="Y",BT767&amp;"",BF767&amp;""))</f>
        <v/>
      </c>
      <c r="AE767" s="0" t="str">
        <f aca="false">IF($A767="","",IF(AW767="Y",BU767&amp;"",BG767&amp;""))</f>
        <v/>
      </c>
      <c r="AF767" s="0" t="str">
        <f aca="false">IF($A767="","",IF(AW767="Y",BV767&amp;"",BH767&amp;""))</f>
        <v/>
      </c>
      <c r="AG767" s="0" t="str">
        <f aca="false">IF($A767="","",IF(AW767="Y",BW767&amp;"",BI767&amp;""))</f>
        <v/>
      </c>
      <c r="AH767" s="0" t="str">
        <f aca="false">IF($A767="","",IF(AW767="Y",BX767&amp;"",BJ767&amp;""))</f>
        <v/>
      </c>
      <c r="AQ767" s="5"/>
      <c r="AT767" s="0" t="str">
        <f aca="false">IF($A767="","",IF(AND(CN767="pass",AQ767&lt;&gt;"Y",C767&lt;&gt;"",OR(AX767&lt;&gt;"Y",AV767="Y")),"Y","N"))</f>
        <v/>
      </c>
      <c r="AU767" s="0" t="str">
        <f aca="false">IF($A767="","",_xlfn.TEXTJOIN("; ",TRUE(),IF(CN767&lt;&gt;"pass","gated out",""),IF(AQ767="Y","on hold: "&amp;AR767,""),IF(C767="","no contact named on an opened page",""),IF(AND(AX767="Y",AV767&lt;&gt;"Y"),"Tuesday estimate band "&amp;L767&amp;": founder's call","")))</f>
        <v/>
      </c>
      <c r="BC767" s="0" t="str">
        <f aca="false">IF($A767="","",IFERROR(INDEX(Enrichment!$A$2:$GZ$2000,MATCH($A767,INDEX(Enrichment!$A$2:$GZ$2000,0,MATCH("row_id",Enrichment!$A$1:$GZ$1,0)),0),MATCH("work_email",Enrichment!$A$1:$GZ$1,0))&amp;"",""))</f>
        <v/>
      </c>
      <c r="BD767" s="0" t="str">
        <f aca="false">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Q767" s="0" t="str">
        <f aca="false">IF($A767="","",IFERROR(INDEX(Enrichment!$A$2:$GZ$2000,MATCH($A767,INDEX(Enrichment!$A$2:$GZ$2000,0,MATCH("row_id",Enrichment!$A$1:$GZ$1,0)),0),MATCH("backup_work_email",Enrichment!$A$1:$GZ$1,0))&amp;"",""))</f>
        <v/>
      </c>
      <c r="BR767" s="0" t="str">
        <f aca="false">IF($A767="","",IF(BQ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EQ767" s="0" t="str">
        <f aca="false">IF($A767="","",IF(AH767="exact",10,IF(AH767="adjacent",5,0)))</f>
        <v/>
      </c>
      <c r="ER767" s="0" t="str">
        <f aca="false">IF($A767="","",IF(R767="Y",15,0))</f>
        <v/>
      </c>
      <c r="FS767" s="0" t="str">
        <f aca="false">IF($A767="","",IF(ISNUMBER(MATCH(U767,{"queued","contacted","replied","call_booked","call_done","yes_in_principle","materials_sent"},0)),"Y","N"))</f>
        <v/>
      </c>
      <c r="FT767" s="0" t="str">
        <f aca="false">IF($A767="","",IF(OR(T767="Y",U767="do_not_contact",AS767&amp;""&lt;&gt;""),"Y","N"))</f>
        <v/>
      </c>
      <c r="FU767" s="0" t="str">
        <f aca="false">IF($A767="","",IF(AP767&amp;""&lt;&gt;"",AP767&amp;"",$A767))</f>
        <v/>
      </c>
      <c r="FV767" s="0" t="str">
        <f aca="false">IF($A767="","",IF(COUNTIFS($FU$2:$FU$1000,FU767,$FS$2:$FS$1000,"Y")+COUNTIFS($FU$2:$FU$1000,FU767,$FT$2:$FT$1000,"Y")&gt;0,"Y","N"))</f>
        <v/>
      </c>
      <c r="FW767" s="0" t="str">
        <f aca="false">IF($A767="","",IF(AND(U767="new",T767="N",FT767="N",AT767="Y",FV767="N"),"Y","N"))</f>
        <v/>
      </c>
      <c r="FX767" s="0" t="str">
        <f aca="false">IF($A767="","",IF(FW767&lt;&gt;"Y","N",IF(COUNTIFS($FU$2:$FU$1000,FU767,$FW$2:$FW$1000,"Y",$J$2:$J$1000,"&gt;"&amp;J767)+COUNTIFS($FU$2:$FU$1000,FU767,$FW$2:$FW$1000,"Y",$J$2:$J$1000,J767,$GD$2:$GD$1000,"&lt;"&amp;GD767)=0,"Y","N")))</f>
        <v/>
      </c>
      <c r="FY767" s="0" t="str">
        <f aca="false">IF($A767="","",IF(AND(FW767="Y",FX767="Y",Y767&amp;""&lt;&gt;""),IF(Y767&lt;=10,"Y","N"),"N"))</f>
        <v/>
      </c>
      <c r="FZ767" s="0" t="str">
        <f aca="false">IF(FY767="Y",Y767,"")</f>
        <v/>
      </c>
      <c r="GA767" s="0" t="str">
        <f aca="false">IF($A767="","",IF(AND(I767="walk-in",CN767="pass",U767="new",FT767="N",FV767="N",AQ767&lt;&gt;"Y"),"Y","N"))</f>
        <v/>
      </c>
      <c r="GB767" s="0" t="str">
        <f aca="false">IF(GA767&lt;&gt;"Y","",IF(COUNTIFS($GA$2:$GA$1000,"Y",$J$2:$J$1000,"&gt;"&amp;J767)+COUNTIFS($GA$2:$GA$1000,"Y",$J$2:$J$1000,J767,$GD$2:$GD$1000,"&lt;"&amp;GD767)+1&lt;=25,COUNTIFS($GA$2:$GA$1000,"Y",$J$2:$J$1000,"&gt;"&amp;J767)+COUNTIFS($GA$2:$GA$1000,"Y",$J$2:$J$1000,J767,$GD$2:$GD$1000,"&lt;"&amp;GD767)+1,""))</f>
        <v/>
      </c>
      <c r="GC767" s="0" t="str">
        <f aca="false">IF(AND(_xlfn.ISFORMULA(C767),_xlfn.ISFORMULA(J767)),"Y","N")</f>
        <v>Y</v>
      </c>
      <c r="GD767" s="0" t="n">
        <f aca="false">ROW()-1</f>
        <v>766</v>
      </c>
    </row>
    <row r="768" customFormat="false" ht="15" hidden="false" customHeight="false" outlineLevel="0" collapsed="false">
      <c r="C768" s="0" t="str">
        <f aca="false">IF($A768="","",IF(AW768="Y",BM768&amp;"",AY768&amp;""))</f>
        <v/>
      </c>
      <c r="D768" s="0" t="str">
        <f aca="false">IF($A768="","",IF(AW768="Y",BN768&amp;"",AZ768&amp;""))</f>
        <v/>
      </c>
      <c r="E768" s="0" t="str">
        <f aca="false">IF($A768="","",IF(AW768="Y",BO768&amp;"",BA768&amp;""))</f>
        <v/>
      </c>
      <c r="F768" s="0" t="str">
        <f aca="false">IF($A768="","",IF(AW768="Y",BP768&amp;"",BB768&amp;""))</f>
        <v/>
      </c>
      <c r="G768" s="0" t="str">
        <f aca="false">IF($A768="","",IF(AW768="Y",BQ768&amp;"",BC768&amp;""))</f>
        <v/>
      </c>
      <c r="H768" s="0" t="str">
        <f aca="false">IF($A768="","",IF(AW768="Y",BR768&amp;"",BD768&amp;""))</f>
        <v/>
      </c>
      <c r="I768" s="0" t="str">
        <f aca="false">IF($A768="","",IF(R768="Y","warm-intro",IF(H768="verified","email",IF(C768&lt;&gt;"","linkedin",CB768&amp;""))))</f>
        <v/>
      </c>
      <c r="J768" s="0" t="str">
        <f aca="false">IF($A768="","",IF(CN768="pass",ROUND(N(EM768)+N(EN768)+N(EO768)+N(EP768)+N(EQ768)+N(ER768),1),0))</f>
        <v/>
      </c>
      <c r="K768" s="0" t="str">
        <f aca="false">IF($A768="","",IF(CN768&lt;&gt;"pass",CA768&amp;"",CA768&amp;"; "&amp;IF(AW768="Y",BZ768&amp;"",BL768&amp;"")&amp;IF(R768="Y","; known to the founder (+15)","")&amp;"."))</f>
        <v/>
      </c>
      <c r="R768" s="5"/>
      <c r="U768" s="5"/>
      <c r="Y768" s="0" t="str">
        <f aca="false">IF(FX768&lt;&gt;"Y","",COUNTIFS($FX$2:$FX$1000,"Y",$J$2:$J$1000,"&gt;"&amp;J768)+COUNTIFS($FX$2:$FX$1000,"Y",$J$2:$J$1000,J768,$GD$2:$GD$1000,"&lt;"&amp;GD768)+1)</f>
        <v/>
      </c>
      <c r="AB768" s="0" t="str">
        <f aca="false">IF($A768="","",IF(AW768="Y",BY768&amp;"",BK768&amp;""))</f>
        <v/>
      </c>
      <c r="AC768" s="0" t="str">
        <f aca="false">IF($A768="","",IF(AW768="Y",BS768&amp;"",BE768&amp;""))</f>
        <v/>
      </c>
      <c r="AD768" s="0" t="str">
        <f aca="false">IF($A768="","",IF(AW768="Y",BT768&amp;"",BF768&amp;""))</f>
        <v/>
      </c>
      <c r="AE768" s="0" t="str">
        <f aca="false">IF($A768="","",IF(AW768="Y",BU768&amp;"",BG768&amp;""))</f>
        <v/>
      </c>
      <c r="AF768" s="0" t="str">
        <f aca="false">IF($A768="","",IF(AW768="Y",BV768&amp;"",BH768&amp;""))</f>
        <v/>
      </c>
      <c r="AG768" s="0" t="str">
        <f aca="false">IF($A768="","",IF(AW768="Y",BW768&amp;"",BI768&amp;""))</f>
        <v/>
      </c>
      <c r="AH768" s="0" t="str">
        <f aca="false">IF($A768="","",IF(AW768="Y",BX768&amp;"",BJ768&amp;""))</f>
        <v/>
      </c>
      <c r="AQ768" s="5"/>
      <c r="AT768" s="0" t="str">
        <f aca="false">IF($A768="","",IF(AND(CN768="pass",AQ768&lt;&gt;"Y",C768&lt;&gt;"",OR(AX768&lt;&gt;"Y",AV768="Y")),"Y","N"))</f>
        <v/>
      </c>
      <c r="AU768" s="0" t="str">
        <f aca="false">IF($A768="","",_xlfn.TEXTJOIN("; ",TRUE(),IF(CN768&lt;&gt;"pass","gated out",""),IF(AQ768="Y","on hold: "&amp;AR768,""),IF(C768="","no contact named on an opened page",""),IF(AND(AX768="Y",AV768&lt;&gt;"Y"),"Tuesday estimate band "&amp;L768&amp;": founder's call","")))</f>
        <v/>
      </c>
      <c r="BC768" s="0" t="str">
        <f aca="false">IF($A768="","",IFERROR(INDEX(Enrichment!$A$2:$GZ$2000,MATCH($A768,INDEX(Enrichment!$A$2:$GZ$2000,0,MATCH("row_id",Enrichment!$A$1:$GZ$1,0)),0),MATCH("work_email",Enrichment!$A$1:$GZ$1,0))&amp;"",""))</f>
        <v/>
      </c>
      <c r="BD768" s="0" t="str">
        <f aca="false">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Q768" s="0" t="str">
        <f aca="false">IF($A768="","",IFERROR(INDEX(Enrichment!$A$2:$GZ$2000,MATCH($A768,INDEX(Enrichment!$A$2:$GZ$2000,0,MATCH("row_id",Enrichment!$A$1:$GZ$1,0)),0),MATCH("backup_work_email",Enrichment!$A$1:$GZ$1,0))&amp;"",""))</f>
        <v/>
      </c>
      <c r="BR768" s="0" t="str">
        <f aca="false">IF($A768="","",IF(BQ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EQ768" s="0" t="str">
        <f aca="false">IF($A768="","",IF(AH768="exact",10,IF(AH768="adjacent",5,0)))</f>
        <v/>
      </c>
      <c r="ER768" s="0" t="str">
        <f aca="false">IF($A768="","",IF(R768="Y",15,0))</f>
        <v/>
      </c>
      <c r="FS768" s="0" t="str">
        <f aca="false">IF($A768="","",IF(ISNUMBER(MATCH(U768,{"queued","contacted","replied","call_booked","call_done","yes_in_principle","materials_sent"},0)),"Y","N"))</f>
        <v/>
      </c>
      <c r="FT768" s="0" t="str">
        <f aca="false">IF($A768="","",IF(OR(T768="Y",U768="do_not_contact",AS768&amp;""&lt;&gt;""),"Y","N"))</f>
        <v/>
      </c>
      <c r="FU768" s="0" t="str">
        <f aca="false">IF($A768="","",IF(AP768&amp;""&lt;&gt;"",AP768&amp;"",$A768))</f>
        <v/>
      </c>
      <c r="FV768" s="0" t="str">
        <f aca="false">IF($A768="","",IF(COUNTIFS($FU$2:$FU$1000,FU768,$FS$2:$FS$1000,"Y")+COUNTIFS($FU$2:$FU$1000,FU768,$FT$2:$FT$1000,"Y")&gt;0,"Y","N"))</f>
        <v/>
      </c>
      <c r="FW768" s="0" t="str">
        <f aca="false">IF($A768="","",IF(AND(U768="new",T768="N",FT768="N",AT768="Y",FV768="N"),"Y","N"))</f>
        <v/>
      </c>
      <c r="FX768" s="0" t="str">
        <f aca="false">IF($A768="","",IF(FW768&lt;&gt;"Y","N",IF(COUNTIFS($FU$2:$FU$1000,FU768,$FW$2:$FW$1000,"Y",$J$2:$J$1000,"&gt;"&amp;J768)+COUNTIFS($FU$2:$FU$1000,FU768,$FW$2:$FW$1000,"Y",$J$2:$J$1000,J768,$GD$2:$GD$1000,"&lt;"&amp;GD768)=0,"Y","N")))</f>
        <v/>
      </c>
      <c r="FY768" s="0" t="str">
        <f aca="false">IF($A768="","",IF(AND(FW768="Y",FX768="Y",Y768&amp;""&lt;&gt;""),IF(Y768&lt;=10,"Y","N"),"N"))</f>
        <v/>
      </c>
      <c r="FZ768" s="0" t="str">
        <f aca="false">IF(FY768="Y",Y768,"")</f>
        <v/>
      </c>
      <c r="GA768" s="0" t="str">
        <f aca="false">IF($A768="","",IF(AND(I768="walk-in",CN768="pass",U768="new",FT768="N",FV768="N",AQ768&lt;&gt;"Y"),"Y","N"))</f>
        <v/>
      </c>
      <c r="GB768" s="0" t="str">
        <f aca="false">IF(GA768&lt;&gt;"Y","",IF(COUNTIFS($GA$2:$GA$1000,"Y",$J$2:$J$1000,"&gt;"&amp;J768)+COUNTIFS($GA$2:$GA$1000,"Y",$J$2:$J$1000,J768,$GD$2:$GD$1000,"&lt;"&amp;GD768)+1&lt;=25,COUNTIFS($GA$2:$GA$1000,"Y",$J$2:$J$1000,"&gt;"&amp;J768)+COUNTIFS($GA$2:$GA$1000,"Y",$J$2:$J$1000,J768,$GD$2:$GD$1000,"&lt;"&amp;GD768)+1,""))</f>
        <v/>
      </c>
      <c r="GC768" s="0" t="str">
        <f aca="false">IF(AND(_xlfn.ISFORMULA(C768),_xlfn.ISFORMULA(J768)),"Y","N")</f>
        <v>Y</v>
      </c>
      <c r="GD768" s="0" t="n">
        <f aca="false">ROW()-1</f>
        <v>767</v>
      </c>
    </row>
    <row r="769" customFormat="false" ht="15" hidden="false" customHeight="false" outlineLevel="0" collapsed="false">
      <c r="C769" s="0" t="str">
        <f aca="false">IF($A769="","",IF(AW769="Y",BM769&amp;"",AY769&amp;""))</f>
        <v/>
      </c>
      <c r="D769" s="0" t="str">
        <f aca="false">IF($A769="","",IF(AW769="Y",BN769&amp;"",AZ769&amp;""))</f>
        <v/>
      </c>
      <c r="E769" s="0" t="str">
        <f aca="false">IF($A769="","",IF(AW769="Y",BO769&amp;"",BA769&amp;""))</f>
        <v/>
      </c>
      <c r="F769" s="0" t="str">
        <f aca="false">IF($A769="","",IF(AW769="Y",BP769&amp;"",BB769&amp;""))</f>
        <v/>
      </c>
      <c r="G769" s="0" t="str">
        <f aca="false">IF($A769="","",IF(AW769="Y",BQ769&amp;"",BC769&amp;""))</f>
        <v/>
      </c>
      <c r="H769" s="0" t="str">
        <f aca="false">IF($A769="","",IF(AW769="Y",BR769&amp;"",BD769&amp;""))</f>
        <v/>
      </c>
      <c r="I769" s="0" t="str">
        <f aca="false">IF($A769="","",IF(R769="Y","warm-intro",IF(H769="verified","email",IF(C769&lt;&gt;"","linkedin",CB769&amp;""))))</f>
        <v/>
      </c>
      <c r="J769" s="0" t="str">
        <f aca="false">IF($A769="","",IF(CN769="pass",ROUND(N(EM769)+N(EN769)+N(EO769)+N(EP769)+N(EQ769)+N(ER769),1),0))</f>
        <v/>
      </c>
      <c r="K769" s="0" t="str">
        <f aca="false">IF($A769="","",IF(CN769&lt;&gt;"pass",CA769&amp;"",CA769&amp;"; "&amp;IF(AW769="Y",BZ769&amp;"",BL769&amp;"")&amp;IF(R769="Y","; known to the founder (+15)","")&amp;"."))</f>
        <v/>
      </c>
      <c r="R769" s="5"/>
      <c r="U769" s="5"/>
      <c r="Y769" s="0" t="str">
        <f aca="false">IF(FX769&lt;&gt;"Y","",COUNTIFS($FX$2:$FX$1000,"Y",$J$2:$J$1000,"&gt;"&amp;J769)+COUNTIFS($FX$2:$FX$1000,"Y",$J$2:$J$1000,J769,$GD$2:$GD$1000,"&lt;"&amp;GD769)+1)</f>
        <v/>
      </c>
      <c r="AB769" s="0" t="str">
        <f aca="false">IF($A769="","",IF(AW769="Y",BY769&amp;"",BK769&amp;""))</f>
        <v/>
      </c>
      <c r="AC769" s="0" t="str">
        <f aca="false">IF($A769="","",IF(AW769="Y",BS769&amp;"",BE769&amp;""))</f>
        <v/>
      </c>
      <c r="AD769" s="0" t="str">
        <f aca="false">IF($A769="","",IF(AW769="Y",BT769&amp;"",BF769&amp;""))</f>
        <v/>
      </c>
      <c r="AE769" s="0" t="str">
        <f aca="false">IF($A769="","",IF(AW769="Y",BU769&amp;"",BG769&amp;""))</f>
        <v/>
      </c>
      <c r="AF769" s="0" t="str">
        <f aca="false">IF($A769="","",IF(AW769="Y",BV769&amp;"",BH769&amp;""))</f>
        <v/>
      </c>
      <c r="AG769" s="0" t="str">
        <f aca="false">IF($A769="","",IF(AW769="Y",BW769&amp;"",BI769&amp;""))</f>
        <v/>
      </c>
      <c r="AH769" s="0" t="str">
        <f aca="false">IF($A769="","",IF(AW769="Y",BX769&amp;"",BJ769&amp;""))</f>
        <v/>
      </c>
      <c r="AQ769" s="5"/>
      <c r="AT769" s="0" t="str">
        <f aca="false">IF($A769="","",IF(AND(CN769="pass",AQ769&lt;&gt;"Y",C769&lt;&gt;"",OR(AX769&lt;&gt;"Y",AV769="Y")),"Y","N"))</f>
        <v/>
      </c>
      <c r="AU769" s="0" t="str">
        <f aca="false">IF($A769="","",_xlfn.TEXTJOIN("; ",TRUE(),IF(CN769&lt;&gt;"pass","gated out",""),IF(AQ769="Y","on hold: "&amp;AR769,""),IF(C769="","no contact named on an opened page",""),IF(AND(AX769="Y",AV769&lt;&gt;"Y"),"Tuesday estimate band "&amp;L769&amp;": founder's call","")))</f>
        <v/>
      </c>
      <c r="BC769" s="0" t="str">
        <f aca="false">IF($A769="","",IFERROR(INDEX(Enrichment!$A$2:$GZ$2000,MATCH($A769,INDEX(Enrichment!$A$2:$GZ$2000,0,MATCH("row_id",Enrichment!$A$1:$GZ$1,0)),0),MATCH("work_email",Enrichment!$A$1:$GZ$1,0))&amp;"",""))</f>
        <v/>
      </c>
      <c r="BD769" s="0" t="str">
        <f aca="false">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Q769" s="0" t="str">
        <f aca="false">IF($A769="","",IFERROR(INDEX(Enrichment!$A$2:$GZ$2000,MATCH($A769,INDEX(Enrichment!$A$2:$GZ$2000,0,MATCH("row_id",Enrichment!$A$1:$GZ$1,0)),0),MATCH("backup_work_email",Enrichment!$A$1:$GZ$1,0))&amp;"",""))</f>
        <v/>
      </c>
      <c r="BR769" s="0" t="str">
        <f aca="false">IF($A769="","",IF(BQ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EQ769" s="0" t="str">
        <f aca="false">IF($A769="","",IF(AH769="exact",10,IF(AH769="adjacent",5,0)))</f>
        <v/>
      </c>
      <c r="ER769" s="0" t="str">
        <f aca="false">IF($A769="","",IF(R769="Y",15,0))</f>
        <v/>
      </c>
      <c r="FS769" s="0" t="str">
        <f aca="false">IF($A769="","",IF(ISNUMBER(MATCH(U769,{"queued","contacted","replied","call_booked","call_done","yes_in_principle","materials_sent"},0)),"Y","N"))</f>
        <v/>
      </c>
      <c r="FT769" s="0" t="str">
        <f aca="false">IF($A769="","",IF(OR(T769="Y",U769="do_not_contact",AS769&amp;""&lt;&gt;""),"Y","N"))</f>
        <v/>
      </c>
      <c r="FU769" s="0" t="str">
        <f aca="false">IF($A769="","",IF(AP769&amp;""&lt;&gt;"",AP769&amp;"",$A769))</f>
        <v/>
      </c>
      <c r="FV769" s="0" t="str">
        <f aca="false">IF($A769="","",IF(COUNTIFS($FU$2:$FU$1000,FU769,$FS$2:$FS$1000,"Y")+COUNTIFS($FU$2:$FU$1000,FU769,$FT$2:$FT$1000,"Y")&gt;0,"Y","N"))</f>
        <v/>
      </c>
      <c r="FW769" s="0" t="str">
        <f aca="false">IF($A769="","",IF(AND(U769="new",T769="N",FT769="N",AT769="Y",FV769="N"),"Y","N"))</f>
        <v/>
      </c>
      <c r="FX769" s="0" t="str">
        <f aca="false">IF($A769="","",IF(FW769&lt;&gt;"Y","N",IF(COUNTIFS($FU$2:$FU$1000,FU769,$FW$2:$FW$1000,"Y",$J$2:$J$1000,"&gt;"&amp;J769)+COUNTIFS($FU$2:$FU$1000,FU769,$FW$2:$FW$1000,"Y",$J$2:$J$1000,J769,$GD$2:$GD$1000,"&lt;"&amp;GD769)=0,"Y","N")))</f>
        <v/>
      </c>
      <c r="FY769" s="0" t="str">
        <f aca="false">IF($A769="","",IF(AND(FW769="Y",FX769="Y",Y769&amp;""&lt;&gt;""),IF(Y769&lt;=10,"Y","N"),"N"))</f>
        <v/>
      </c>
      <c r="FZ769" s="0" t="str">
        <f aca="false">IF(FY769="Y",Y769,"")</f>
        <v/>
      </c>
      <c r="GA769" s="0" t="str">
        <f aca="false">IF($A769="","",IF(AND(I769="walk-in",CN769="pass",U769="new",FT769="N",FV769="N",AQ769&lt;&gt;"Y"),"Y","N"))</f>
        <v/>
      </c>
      <c r="GB769" s="0" t="str">
        <f aca="false">IF(GA769&lt;&gt;"Y","",IF(COUNTIFS($GA$2:$GA$1000,"Y",$J$2:$J$1000,"&gt;"&amp;J769)+COUNTIFS($GA$2:$GA$1000,"Y",$J$2:$J$1000,J769,$GD$2:$GD$1000,"&lt;"&amp;GD769)+1&lt;=25,COUNTIFS($GA$2:$GA$1000,"Y",$J$2:$J$1000,"&gt;"&amp;J769)+COUNTIFS($GA$2:$GA$1000,"Y",$J$2:$J$1000,J769,$GD$2:$GD$1000,"&lt;"&amp;GD769)+1,""))</f>
        <v/>
      </c>
      <c r="GC769" s="0" t="str">
        <f aca="false">IF(AND(_xlfn.ISFORMULA(C769),_xlfn.ISFORMULA(J769)),"Y","N")</f>
        <v>Y</v>
      </c>
      <c r="GD769" s="0" t="n">
        <f aca="false">ROW()-1</f>
        <v>768</v>
      </c>
    </row>
    <row r="770" customFormat="false" ht="15" hidden="false" customHeight="false" outlineLevel="0" collapsed="false">
      <c r="C770" s="0" t="str">
        <f aca="false">IF($A770="","",IF(AW770="Y",BM770&amp;"",AY770&amp;""))</f>
        <v/>
      </c>
      <c r="D770" s="0" t="str">
        <f aca="false">IF($A770="","",IF(AW770="Y",BN770&amp;"",AZ770&amp;""))</f>
        <v/>
      </c>
      <c r="E770" s="0" t="str">
        <f aca="false">IF($A770="","",IF(AW770="Y",BO770&amp;"",BA770&amp;""))</f>
        <v/>
      </c>
      <c r="F770" s="0" t="str">
        <f aca="false">IF($A770="","",IF(AW770="Y",BP770&amp;"",BB770&amp;""))</f>
        <v/>
      </c>
      <c r="G770" s="0" t="str">
        <f aca="false">IF($A770="","",IF(AW770="Y",BQ770&amp;"",BC770&amp;""))</f>
        <v/>
      </c>
      <c r="H770" s="0" t="str">
        <f aca="false">IF($A770="","",IF(AW770="Y",BR770&amp;"",BD770&amp;""))</f>
        <v/>
      </c>
      <c r="I770" s="0" t="str">
        <f aca="false">IF($A770="","",IF(R770="Y","warm-intro",IF(H770="verified","email",IF(C770&lt;&gt;"","linkedin",CB770&amp;""))))</f>
        <v/>
      </c>
      <c r="J770" s="0" t="str">
        <f aca="false">IF($A770="","",IF(CN770="pass",ROUND(N(EM770)+N(EN770)+N(EO770)+N(EP770)+N(EQ770)+N(ER770),1),0))</f>
        <v/>
      </c>
      <c r="K770" s="0" t="str">
        <f aca="false">IF($A770="","",IF(CN770&lt;&gt;"pass",CA770&amp;"",CA770&amp;"; "&amp;IF(AW770="Y",BZ770&amp;"",BL770&amp;"")&amp;IF(R770="Y","; known to the founder (+15)","")&amp;"."))</f>
        <v/>
      </c>
      <c r="R770" s="5"/>
      <c r="U770" s="5"/>
      <c r="Y770" s="0" t="str">
        <f aca="false">IF(FX770&lt;&gt;"Y","",COUNTIFS($FX$2:$FX$1000,"Y",$J$2:$J$1000,"&gt;"&amp;J770)+COUNTIFS($FX$2:$FX$1000,"Y",$J$2:$J$1000,J770,$GD$2:$GD$1000,"&lt;"&amp;GD770)+1)</f>
        <v/>
      </c>
      <c r="AB770" s="0" t="str">
        <f aca="false">IF($A770="","",IF(AW770="Y",BY770&amp;"",BK770&amp;""))</f>
        <v/>
      </c>
      <c r="AC770" s="0" t="str">
        <f aca="false">IF($A770="","",IF(AW770="Y",BS770&amp;"",BE770&amp;""))</f>
        <v/>
      </c>
      <c r="AD770" s="0" t="str">
        <f aca="false">IF($A770="","",IF(AW770="Y",BT770&amp;"",BF770&amp;""))</f>
        <v/>
      </c>
      <c r="AE770" s="0" t="str">
        <f aca="false">IF($A770="","",IF(AW770="Y",BU770&amp;"",BG770&amp;""))</f>
        <v/>
      </c>
      <c r="AF770" s="0" t="str">
        <f aca="false">IF($A770="","",IF(AW770="Y",BV770&amp;"",BH770&amp;""))</f>
        <v/>
      </c>
      <c r="AG770" s="0" t="str">
        <f aca="false">IF($A770="","",IF(AW770="Y",BW770&amp;"",BI770&amp;""))</f>
        <v/>
      </c>
      <c r="AH770" s="0" t="str">
        <f aca="false">IF($A770="","",IF(AW770="Y",BX770&amp;"",BJ770&amp;""))</f>
        <v/>
      </c>
      <c r="AQ770" s="5"/>
      <c r="AT770" s="0" t="str">
        <f aca="false">IF($A770="","",IF(AND(CN770="pass",AQ770&lt;&gt;"Y",C770&lt;&gt;"",OR(AX770&lt;&gt;"Y",AV770="Y")),"Y","N"))</f>
        <v/>
      </c>
      <c r="AU770" s="0" t="str">
        <f aca="false">IF($A770="","",_xlfn.TEXTJOIN("; ",TRUE(),IF(CN770&lt;&gt;"pass","gated out",""),IF(AQ770="Y","on hold: "&amp;AR770,""),IF(C770="","no contact named on an opened page",""),IF(AND(AX770="Y",AV770&lt;&gt;"Y"),"Tuesday estimate band "&amp;L770&amp;": founder's call","")))</f>
        <v/>
      </c>
      <c r="BC770" s="0" t="str">
        <f aca="false">IF($A770="","",IFERROR(INDEX(Enrichment!$A$2:$GZ$2000,MATCH($A770,INDEX(Enrichment!$A$2:$GZ$2000,0,MATCH("row_id",Enrichment!$A$1:$GZ$1,0)),0),MATCH("work_email",Enrichment!$A$1:$GZ$1,0))&amp;"",""))</f>
        <v/>
      </c>
      <c r="BD770" s="0" t="str">
        <f aca="false">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Q770" s="0" t="str">
        <f aca="false">IF($A770="","",IFERROR(INDEX(Enrichment!$A$2:$GZ$2000,MATCH($A770,INDEX(Enrichment!$A$2:$GZ$2000,0,MATCH("row_id",Enrichment!$A$1:$GZ$1,0)),0),MATCH("backup_work_email",Enrichment!$A$1:$GZ$1,0))&amp;"",""))</f>
        <v/>
      </c>
      <c r="BR770" s="0" t="str">
        <f aca="false">IF($A770="","",IF(BQ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EQ770" s="0" t="str">
        <f aca="false">IF($A770="","",IF(AH770="exact",10,IF(AH770="adjacent",5,0)))</f>
        <v/>
      </c>
      <c r="ER770" s="0" t="str">
        <f aca="false">IF($A770="","",IF(R770="Y",15,0))</f>
        <v/>
      </c>
      <c r="FS770" s="0" t="str">
        <f aca="false">IF($A770="","",IF(ISNUMBER(MATCH(U770,{"queued","contacted","replied","call_booked","call_done","yes_in_principle","materials_sent"},0)),"Y","N"))</f>
        <v/>
      </c>
      <c r="FT770" s="0" t="str">
        <f aca="false">IF($A770="","",IF(OR(T770="Y",U770="do_not_contact",AS770&amp;""&lt;&gt;""),"Y","N"))</f>
        <v/>
      </c>
      <c r="FU770" s="0" t="str">
        <f aca="false">IF($A770="","",IF(AP770&amp;""&lt;&gt;"",AP770&amp;"",$A770))</f>
        <v/>
      </c>
      <c r="FV770" s="0" t="str">
        <f aca="false">IF($A770="","",IF(COUNTIFS($FU$2:$FU$1000,FU770,$FS$2:$FS$1000,"Y")+COUNTIFS($FU$2:$FU$1000,FU770,$FT$2:$FT$1000,"Y")&gt;0,"Y","N"))</f>
        <v/>
      </c>
      <c r="FW770" s="0" t="str">
        <f aca="false">IF($A770="","",IF(AND(U770="new",T770="N",FT770="N",AT770="Y",FV770="N"),"Y","N"))</f>
        <v/>
      </c>
      <c r="FX770" s="0" t="str">
        <f aca="false">IF($A770="","",IF(FW770&lt;&gt;"Y","N",IF(COUNTIFS($FU$2:$FU$1000,FU770,$FW$2:$FW$1000,"Y",$J$2:$J$1000,"&gt;"&amp;J770)+COUNTIFS($FU$2:$FU$1000,FU770,$FW$2:$FW$1000,"Y",$J$2:$J$1000,J770,$GD$2:$GD$1000,"&lt;"&amp;GD770)=0,"Y","N")))</f>
        <v/>
      </c>
      <c r="FY770" s="0" t="str">
        <f aca="false">IF($A770="","",IF(AND(FW770="Y",FX770="Y",Y770&amp;""&lt;&gt;""),IF(Y770&lt;=10,"Y","N"),"N"))</f>
        <v/>
      </c>
      <c r="FZ770" s="0" t="str">
        <f aca="false">IF(FY770="Y",Y770,"")</f>
        <v/>
      </c>
      <c r="GA770" s="0" t="str">
        <f aca="false">IF($A770="","",IF(AND(I770="walk-in",CN770="pass",U770="new",FT770="N",FV770="N",AQ770&lt;&gt;"Y"),"Y","N"))</f>
        <v/>
      </c>
      <c r="GB770" s="0" t="str">
        <f aca="false">IF(GA770&lt;&gt;"Y","",IF(COUNTIFS($GA$2:$GA$1000,"Y",$J$2:$J$1000,"&gt;"&amp;J770)+COUNTIFS($GA$2:$GA$1000,"Y",$J$2:$J$1000,J770,$GD$2:$GD$1000,"&lt;"&amp;GD770)+1&lt;=25,COUNTIFS($GA$2:$GA$1000,"Y",$J$2:$J$1000,"&gt;"&amp;J770)+COUNTIFS($GA$2:$GA$1000,"Y",$J$2:$J$1000,J770,$GD$2:$GD$1000,"&lt;"&amp;GD770)+1,""))</f>
        <v/>
      </c>
      <c r="GC770" s="0" t="str">
        <f aca="false">IF(AND(_xlfn.ISFORMULA(C770),_xlfn.ISFORMULA(J770)),"Y","N")</f>
        <v>Y</v>
      </c>
      <c r="GD770" s="0" t="n">
        <f aca="false">ROW()-1</f>
        <v>769</v>
      </c>
    </row>
    <row r="771" customFormat="false" ht="15" hidden="false" customHeight="false" outlineLevel="0" collapsed="false">
      <c r="C771" s="0" t="str">
        <f aca="false">IF($A771="","",IF(AW771="Y",BM771&amp;"",AY771&amp;""))</f>
        <v/>
      </c>
      <c r="D771" s="0" t="str">
        <f aca="false">IF($A771="","",IF(AW771="Y",BN771&amp;"",AZ771&amp;""))</f>
        <v/>
      </c>
      <c r="E771" s="0" t="str">
        <f aca="false">IF($A771="","",IF(AW771="Y",BO771&amp;"",BA771&amp;""))</f>
        <v/>
      </c>
      <c r="F771" s="0" t="str">
        <f aca="false">IF($A771="","",IF(AW771="Y",BP771&amp;"",BB771&amp;""))</f>
        <v/>
      </c>
      <c r="G771" s="0" t="str">
        <f aca="false">IF($A771="","",IF(AW771="Y",BQ771&amp;"",BC771&amp;""))</f>
        <v/>
      </c>
      <c r="H771" s="0" t="str">
        <f aca="false">IF($A771="","",IF(AW771="Y",BR771&amp;"",BD771&amp;""))</f>
        <v/>
      </c>
      <c r="I771" s="0" t="str">
        <f aca="false">IF($A771="","",IF(R771="Y","warm-intro",IF(H771="verified","email",IF(C771&lt;&gt;"","linkedin",CB771&amp;""))))</f>
        <v/>
      </c>
      <c r="J771" s="0" t="str">
        <f aca="false">IF($A771="","",IF(CN771="pass",ROUND(N(EM771)+N(EN771)+N(EO771)+N(EP771)+N(EQ771)+N(ER771),1),0))</f>
        <v/>
      </c>
      <c r="K771" s="0" t="str">
        <f aca="false">IF($A771="","",IF(CN771&lt;&gt;"pass",CA771&amp;"",CA771&amp;"; "&amp;IF(AW771="Y",BZ771&amp;"",BL771&amp;"")&amp;IF(R771="Y","; known to the founder (+15)","")&amp;"."))</f>
        <v/>
      </c>
      <c r="R771" s="5"/>
      <c r="U771" s="5"/>
      <c r="Y771" s="0" t="str">
        <f aca="false">IF(FX771&lt;&gt;"Y","",COUNTIFS($FX$2:$FX$1000,"Y",$J$2:$J$1000,"&gt;"&amp;J771)+COUNTIFS($FX$2:$FX$1000,"Y",$J$2:$J$1000,J771,$GD$2:$GD$1000,"&lt;"&amp;GD771)+1)</f>
        <v/>
      </c>
      <c r="AB771" s="0" t="str">
        <f aca="false">IF($A771="","",IF(AW771="Y",BY771&amp;"",BK771&amp;""))</f>
        <v/>
      </c>
      <c r="AC771" s="0" t="str">
        <f aca="false">IF($A771="","",IF(AW771="Y",BS771&amp;"",BE771&amp;""))</f>
        <v/>
      </c>
      <c r="AD771" s="0" t="str">
        <f aca="false">IF($A771="","",IF(AW771="Y",BT771&amp;"",BF771&amp;""))</f>
        <v/>
      </c>
      <c r="AE771" s="0" t="str">
        <f aca="false">IF($A771="","",IF(AW771="Y",BU771&amp;"",BG771&amp;""))</f>
        <v/>
      </c>
      <c r="AF771" s="0" t="str">
        <f aca="false">IF($A771="","",IF(AW771="Y",BV771&amp;"",BH771&amp;""))</f>
        <v/>
      </c>
      <c r="AG771" s="0" t="str">
        <f aca="false">IF($A771="","",IF(AW771="Y",BW771&amp;"",BI771&amp;""))</f>
        <v/>
      </c>
      <c r="AH771" s="0" t="str">
        <f aca="false">IF($A771="","",IF(AW771="Y",BX771&amp;"",BJ771&amp;""))</f>
        <v/>
      </c>
      <c r="AQ771" s="5"/>
      <c r="AT771" s="0" t="str">
        <f aca="false">IF($A771="","",IF(AND(CN771="pass",AQ771&lt;&gt;"Y",C771&lt;&gt;"",OR(AX771&lt;&gt;"Y",AV771="Y")),"Y","N"))</f>
        <v/>
      </c>
      <c r="AU771" s="0" t="str">
        <f aca="false">IF($A771="","",_xlfn.TEXTJOIN("; ",TRUE(),IF(CN771&lt;&gt;"pass","gated out",""),IF(AQ771="Y","on hold: "&amp;AR771,""),IF(C771="","no contact named on an opened page",""),IF(AND(AX771="Y",AV771&lt;&gt;"Y"),"Tuesday estimate band "&amp;L771&amp;": founder's call","")))</f>
        <v/>
      </c>
      <c r="BC771" s="0" t="str">
        <f aca="false">IF($A771="","",IFERROR(INDEX(Enrichment!$A$2:$GZ$2000,MATCH($A771,INDEX(Enrichment!$A$2:$GZ$2000,0,MATCH("row_id",Enrichment!$A$1:$GZ$1,0)),0),MATCH("work_email",Enrichment!$A$1:$GZ$1,0))&amp;"",""))</f>
        <v/>
      </c>
      <c r="BD771" s="0" t="str">
        <f aca="false">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Q771" s="0" t="str">
        <f aca="false">IF($A771="","",IFERROR(INDEX(Enrichment!$A$2:$GZ$2000,MATCH($A771,INDEX(Enrichment!$A$2:$GZ$2000,0,MATCH("row_id",Enrichment!$A$1:$GZ$1,0)),0),MATCH("backup_work_email",Enrichment!$A$1:$GZ$1,0))&amp;"",""))</f>
        <v/>
      </c>
      <c r="BR771" s="0" t="str">
        <f aca="false">IF($A771="","",IF(BQ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EQ771" s="0" t="str">
        <f aca="false">IF($A771="","",IF(AH771="exact",10,IF(AH771="adjacent",5,0)))</f>
        <v/>
      </c>
      <c r="ER771" s="0" t="str">
        <f aca="false">IF($A771="","",IF(R771="Y",15,0))</f>
        <v/>
      </c>
      <c r="FS771" s="0" t="str">
        <f aca="false">IF($A771="","",IF(ISNUMBER(MATCH(U771,{"queued","contacted","replied","call_booked","call_done","yes_in_principle","materials_sent"},0)),"Y","N"))</f>
        <v/>
      </c>
      <c r="FT771" s="0" t="str">
        <f aca="false">IF($A771="","",IF(OR(T771="Y",U771="do_not_contact",AS771&amp;""&lt;&gt;""),"Y","N"))</f>
        <v/>
      </c>
      <c r="FU771" s="0" t="str">
        <f aca="false">IF($A771="","",IF(AP771&amp;""&lt;&gt;"",AP771&amp;"",$A771))</f>
        <v/>
      </c>
      <c r="FV771" s="0" t="str">
        <f aca="false">IF($A771="","",IF(COUNTIFS($FU$2:$FU$1000,FU771,$FS$2:$FS$1000,"Y")+COUNTIFS($FU$2:$FU$1000,FU771,$FT$2:$FT$1000,"Y")&gt;0,"Y","N"))</f>
        <v/>
      </c>
      <c r="FW771" s="0" t="str">
        <f aca="false">IF($A771="","",IF(AND(U771="new",T771="N",FT771="N",AT771="Y",FV771="N"),"Y","N"))</f>
        <v/>
      </c>
      <c r="FX771" s="0" t="str">
        <f aca="false">IF($A771="","",IF(FW771&lt;&gt;"Y","N",IF(COUNTIFS($FU$2:$FU$1000,FU771,$FW$2:$FW$1000,"Y",$J$2:$J$1000,"&gt;"&amp;J771)+COUNTIFS($FU$2:$FU$1000,FU771,$FW$2:$FW$1000,"Y",$J$2:$J$1000,J771,$GD$2:$GD$1000,"&lt;"&amp;GD771)=0,"Y","N")))</f>
        <v/>
      </c>
      <c r="FY771" s="0" t="str">
        <f aca="false">IF($A771="","",IF(AND(FW771="Y",FX771="Y",Y771&amp;""&lt;&gt;""),IF(Y771&lt;=10,"Y","N"),"N"))</f>
        <v/>
      </c>
      <c r="FZ771" s="0" t="str">
        <f aca="false">IF(FY771="Y",Y771,"")</f>
        <v/>
      </c>
      <c r="GA771" s="0" t="str">
        <f aca="false">IF($A771="","",IF(AND(I771="walk-in",CN771="pass",U771="new",FT771="N",FV771="N",AQ771&lt;&gt;"Y"),"Y","N"))</f>
        <v/>
      </c>
      <c r="GB771" s="0" t="str">
        <f aca="false">IF(GA771&lt;&gt;"Y","",IF(COUNTIFS($GA$2:$GA$1000,"Y",$J$2:$J$1000,"&gt;"&amp;J771)+COUNTIFS($GA$2:$GA$1000,"Y",$J$2:$J$1000,J771,$GD$2:$GD$1000,"&lt;"&amp;GD771)+1&lt;=25,COUNTIFS($GA$2:$GA$1000,"Y",$J$2:$J$1000,"&gt;"&amp;J771)+COUNTIFS($GA$2:$GA$1000,"Y",$J$2:$J$1000,J771,$GD$2:$GD$1000,"&lt;"&amp;GD771)+1,""))</f>
        <v/>
      </c>
      <c r="GC771" s="0" t="str">
        <f aca="false">IF(AND(_xlfn.ISFORMULA(C771),_xlfn.ISFORMULA(J771)),"Y","N")</f>
        <v>Y</v>
      </c>
      <c r="GD771" s="0" t="n">
        <f aca="false">ROW()-1</f>
        <v>770</v>
      </c>
    </row>
    <row r="772" customFormat="false" ht="15" hidden="false" customHeight="false" outlineLevel="0" collapsed="false">
      <c r="C772" s="0" t="str">
        <f aca="false">IF($A772="","",IF(AW772="Y",BM772&amp;"",AY772&amp;""))</f>
        <v/>
      </c>
      <c r="D772" s="0" t="str">
        <f aca="false">IF($A772="","",IF(AW772="Y",BN772&amp;"",AZ772&amp;""))</f>
        <v/>
      </c>
      <c r="E772" s="0" t="str">
        <f aca="false">IF($A772="","",IF(AW772="Y",BO772&amp;"",BA772&amp;""))</f>
        <v/>
      </c>
      <c r="F772" s="0" t="str">
        <f aca="false">IF($A772="","",IF(AW772="Y",BP772&amp;"",BB772&amp;""))</f>
        <v/>
      </c>
      <c r="G772" s="0" t="str">
        <f aca="false">IF($A772="","",IF(AW772="Y",BQ772&amp;"",BC772&amp;""))</f>
        <v/>
      </c>
      <c r="H772" s="0" t="str">
        <f aca="false">IF($A772="","",IF(AW772="Y",BR772&amp;"",BD772&amp;""))</f>
        <v/>
      </c>
      <c r="I772" s="0" t="str">
        <f aca="false">IF($A772="","",IF(R772="Y","warm-intro",IF(H772="verified","email",IF(C772&lt;&gt;"","linkedin",CB772&amp;""))))</f>
        <v/>
      </c>
      <c r="J772" s="0" t="str">
        <f aca="false">IF($A772="","",IF(CN772="pass",ROUND(N(EM772)+N(EN772)+N(EO772)+N(EP772)+N(EQ772)+N(ER772),1),0))</f>
        <v/>
      </c>
      <c r="K772" s="0" t="str">
        <f aca="false">IF($A772="","",IF(CN772&lt;&gt;"pass",CA772&amp;"",CA772&amp;"; "&amp;IF(AW772="Y",BZ772&amp;"",BL772&amp;"")&amp;IF(R772="Y","; known to the founder (+15)","")&amp;"."))</f>
        <v/>
      </c>
      <c r="R772" s="5"/>
      <c r="U772" s="5"/>
      <c r="Y772" s="0" t="str">
        <f aca="false">IF(FX772&lt;&gt;"Y","",COUNTIFS($FX$2:$FX$1000,"Y",$J$2:$J$1000,"&gt;"&amp;J772)+COUNTIFS($FX$2:$FX$1000,"Y",$J$2:$J$1000,J772,$GD$2:$GD$1000,"&lt;"&amp;GD772)+1)</f>
        <v/>
      </c>
      <c r="AB772" s="0" t="str">
        <f aca="false">IF($A772="","",IF(AW772="Y",BY772&amp;"",BK772&amp;""))</f>
        <v/>
      </c>
      <c r="AC772" s="0" t="str">
        <f aca="false">IF($A772="","",IF(AW772="Y",BS772&amp;"",BE772&amp;""))</f>
        <v/>
      </c>
      <c r="AD772" s="0" t="str">
        <f aca="false">IF($A772="","",IF(AW772="Y",BT772&amp;"",BF772&amp;""))</f>
        <v/>
      </c>
      <c r="AE772" s="0" t="str">
        <f aca="false">IF($A772="","",IF(AW772="Y",BU772&amp;"",BG772&amp;""))</f>
        <v/>
      </c>
      <c r="AF772" s="0" t="str">
        <f aca="false">IF($A772="","",IF(AW772="Y",BV772&amp;"",BH772&amp;""))</f>
        <v/>
      </c>
      <c r="AG772" s="0" t="str">
        <f aca="false">IF($A772="","",IF(AW772="Y",BW772&amp;"",BI772&amp;""))</f>
        <v/>
      </c>
      <c r="AH772" s="0" t="str">
        <f aca="false">IF($A772="","",IF(AW772="Y",BX772&amp;"",BJ772&amp;""))</f>
        <v/>
      </c>
      <c r="AQ772" s="5"/>
      <c r="AT772" s="0" t="str">
        <f aca="false">IF($A772="","",IF(AND(CN772="pass",AQ772&lt;&gt;"Y",C772&lt;&gt;"",OR(AX772&lt;&gt;"Y",AV772="Y")),"Y","N"))</f>
        <v/>
      </c>
      <c r="AU772" s="0" t="str">
        <f aca="false">IF($A772="","",_xlfn.TEXTJOIN("; ",TRUE(),IF(CN772&lt;&gt;"pass","gated out",""),IF(AQ772="Y","on hold: "&amp;AR772,""),IF(C772="","no contact named on an opened page",""),IF(AND(AX772="Y",AV772&lt;&gt;"Y"),"Tuesday estimate band "&amp;L772&amp;": founder's call","")))</f>
        <v/>
      </c>
      <c r="BC772" s="0" t="str">
        <f aca="false">IF($A772="","",IFERROR(INDEX(Enrichment!$A$2:$GZ$2000,MATCH($A772,INDEX(Enrichment!$A$2:$GZ$2000,0,MATCH("row_id",Enrichment!$A$1:$GZ$1,0)),0),MATCH("work_email",Enrichment!$A$1:$GZ$1,0))&amp;"",""))</f>
        <v/>
      </c>
      <c r="BD772" s="0" t="str">
        <f aca="false">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Q772" s="0" t="str">
        <f aca="false">IF($A772="","",IFERROR(INDEX(Enrichment!$A$2:$GZ$2000,MATCH($A772,INDEX(Enrichment!$A$2:$GZ$2000,0,MATCH("row_id",Enrichment!$A$1:$GZ$1,0)),0),MATCH("backup_work_email",Enrichment!$A$1:$GZ$1,0))&amp;"",""))</f>
        <v/>
      </c>
      <c r="BR772" s="0" t="str">
        <f aca="false">IF($A772="","",IF(BQ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EQ772" s="0" t="str">
        <f aca="false">IF($A772="","",IF(AH772="exact",10,IF(AH772="adjacent",5,0)))</f>
        <v/>
      </c>
      <c r="ER772" s="0" t="str">
        <f aca="false">IF($A772="","",IF(R772="Y",15,0))</f>
        <v/>
      </c>
      <c r="FS772" s="0" t="str">
        <f aca="false">IF($A772="","",IF(ISNUMBER(MATCH(U772,{"queued","contacted","replied","call_booked","call_done","yes_in_principle","materials_sent"},0)),"Y","N"))</f>
        <v/>
      </c>
      <c r="FT772" s="0" t="str">
        <f aca="false">IF($A772="","",IF(OR(T772="Y",U772="do_not_contact",AS772&amp;""&lt;&gt;""),"Y","N"))</f>
        <v/>
      </c>
      <c r="FU772" s="0" t="str">
        <f aca="false">IF($A772="","",IF(AP772&amp;""&lt;&gt;"",AP772&amp;"",$A772))</f>
        <v/>
      </c>
      <c r="FV772" s="0" t="str">
        <f aca="false">IF($A772="","",IF(COUNTIFS($FU$2:$FU$1000,FU772,$FS$2:$FS$1000,"Y")+COUNTIFS($FU$2:$FU$1000,FU772,$FT$2:$FT$1000,"Y")&gt;0,"Y","N"))</f>
        <v/>
      </c>
      <c r="FW772" s="0" t="str">
        <f aca="false">IF($A772="","",IF(AND(U772="new",T772="N",FT772="N",AT772="Y",FV772="N"),"Y","N"))</f>
        <v/>
      </c>
      <c r="FX772" s="0" t="str">
        <f aca="false">IF($A772="","",IF(FW772&lt;&gt;"Y","N",IF(COUNTIFS($FU$2:$FU$1000,FU772,$FW$2:$FW$1000,"Y",$J$2:$J$1000,"&gt;"&amp;J772)+COUNTIFS($FU$2:$FU$1000,FU772,$FW$2:$FW$1000,"Y",$J$2:$J$1000,J772,$GD$2:$GD$1000,"&lt;"&amp;GD772)=0,"Y","N")))</f>
        <v/>
      </c>
      <c r="FY772" s="0" t="str">
        <f aca="false">IF($A772="","",IF(AND(FW772="Y",FX772="Y",Y772&amp;""&lt;&gt;""),IF(Y772&lt;=10,"Y","N"),"N"))</f>
        <v/>
      </c>
      <c r="FZ772" s="0" t="str">
        <f aca="false">IF(FY772="Y",Y772,"")</f>
        <v/>
      </c>
      <c r="GA772" s="0" t="str">
        <f aca="false">IF($A772="","",IF(AND(I772="walk-in",CN772="pass",U772="new",FT772="N",FV772="N",AQ772&lt;&gt;"Y"),"Y","N"))</f>
        <v/>
      </c>
      <c r="GB772" s="0" t="str">
        <f aca="false">IF(GA772&lt;&gt;"Y","",IF(COUNTIFS($GA$2:$GA$1000,"Y",$J$2:$J$1000,"&gt;"&amp;J772)+COUNTIFS($GA$2:$GA$1000,"Y",$J$2:$J$1000,J772,$GD$2:$GD$1000,"&lt;"&amp;GD772)+1&lt;=25,COUNTIFS($GA$2:$GA$1000,"Y",$J$2:$J$1000,"&gt;"&amp;J772)+COUNTIFS($GA$2:$GA$1000,"Y",$J$2:$J$1000,J772,$GD$2:$GD$1000,"&lt;"&amp;GD772)+1,""))</f>
        <v/>
      </c>
      <c r="GC772" s="0" t="str">
        <f aca="false">IF(AND(_xlfn.ISFORMULA(C772),_xlfn.ISFORMULA(J772)),"Y","N")</f>
        <v>Y</v>
      </c>
      <c r="GD772" s="0" t="n">
        <f aca="false">ROW()-1</f>
        <v>771</v>
      </c>
    </row>
    <row r="773" customFormat="false" ht="15" hidden="false" customHeight="false" outlineLevel="0" collapsed="false">
      <c r="C773" s="0" t="str">
        <f aca="false">IF($A773="","",IF(AW773="Y",BM773&amp;"",AY773&amp;""))</f>
        <v/>
      </c>
      <c r="D773" s="0" t="str">
        <f aca="false">IF($A773="","",IF(AW773="Y",BN773&amp;"",AZ773&amp;""))</f>
        <v/>
      </c>
      <c r="E773" s="0" t="str">
        <f aca="false">IF($A773="","",IF(AW773="Y",BO773&amp;"",BA773&amp;""))</f>
        <v/>
      </c>
      <c r="F773" s="0" t="str">
        <f aca="false">IF($A773="","",IF(AW773="Y",BP773&amp;"",BB773&amp;""))</f>
        <v/>
      </c>
      <c r="G773" s="0" t="str">
        <f aca="false">IF($A773="","",IF(AW773="Y",BQ773&amp;"",BC773&amp;""))</f>
        <v/>
      </c>
      <c r="H773" s="0" t="str">
        <f aca="false">IF($A773="","",IF(AW773="Y",BR773&amp;"",BD773&amp;""))</f>
        <v/>
      </c>
      <c r="I773" s="0" t="str">
        <f aca="false">IF($A773="","",IF(R773="Y","warm-intro",IF(H773="verified","email",IF(C773&lt;&gt;"","linkedin",CB773&amp;""))))</f>
        <v/>
      </c>
      <c r="J773" s="0" t="str">
        <f aca="false">IF($A773="","",IF(CN773="pass",ROUND(N(EM773)+N(EN773)+N(EO773)+N(EP773)+N(EQ773)+N(ER773),1),0))</f>
        <v/>
      </c>
      <c r="K773" s="0" t="str">
        <f aca="false">IF($A773="","",IF(CN773&lt;&gt;"pass",CA773&amp;"",CA773&amp;"; "&amp;IF(AW773="Y",BZ773&amp;"",BL773&amp;"")&amp;IF(R773="Y","; known to the founder (+15)","")&amp;"."))</f>
        <v/>
      </c>
      <c r="R773" s="5"/>
      <c r="U773" s="5"/>
      <c r="Y773" s="0" t="str">
        <f aca="false">IF(FX773&lt;&gt;"Y","",COUNTIFS($FX$2:$FX$1000,"Y",$J$2:$J$1000,"&gt;"&amp;J773)+COUNTIFS($FX$2:$FX$1000,"Y",$J$2:$J$1000,J773,$GD$2:$GD$1000,"&lt;"&amp;GD773)+1)</f>
        <v/>
      </c>
      <c r="AB773" s="0" t="str">
        <f aca="false">IF($A773="","",IF(AW773="Y",BY773&amp;"",BK773&amp;""))</f>
        <v/>
      </c>
      <c r="AC773" s="0" t="str">
        <f aca="false">IF($A773="","",IF(AW773="Y",BS773&amp;"",BE773&amp;""))</f>
        <v/>
      </c>
      <c r="AD773" s="0" t="str">
        <f aca="false">IF($A773="","",IF(AW773="Y",BT773&amp;"",BF773&amp;""))</f>
        <v/>
      </c>
      <c r="AE773" s="0" t="str">
        <f aca="false">IF($A773="","",IF(AW773="Y",BU773&amp;"",BG773&amp;""))</f>
        <v/>
      </c>
      <c r="AF773" s="0" t="str">
        <f aca="false">IF($A773="","",IF(AW773="Y",BV773&amp;"",BH773&amp;""))</f>
        <v/>
      </c>
      <c r="AG773" s="0" t="str">
        <f aca="false">IF($A773="","",IF(AW773="Y",BW773&amp;"",BI773&amp;""))</f>
        <v/>
      </c>
      <c r="AH773" s="0" t="str">
        <f aca="false">IF($A773="","",IF(AW773="Y",BX773&amp;"",BJ773&amp;""))</f>
        <v/>
      </c>
      <c r="AQ773" s="5"/>
      <c r="AT773" s="0" t="str">
        <f aca="false">IF($A773="","",IF(AND(CN773="pass",AQ773&lt;&gt;"Y",C773&lt;&gt;"",OR(AX773&lt;&gt;"Y",AV773="Y")),"Y","N"))</f>
        <v/>
      </c>
      <c r="AU773" s="0" t="str">
        <f aca="false">IF($A773="","",_xlfn.TEXTJOIN("; ",TRUE(),IF(CN773&lt;&gt;"pass","gated out",""),IF(AQ773="Y","on hold: "&amp;AR773,""),IF(C773="","no contact named on an opened page",""),IF(AND(AX773="Y",AV773&lt;&gt;"Y"),"Tuesday estimate band "&amp;L773&amp;": founder's call","")))</f>
        <v/>
      </c>
      <c r="BC773" s="0" t="str">
        <f aca="false">IF($A773="","",IFERROR(INDEX(Enrichment!$A$2:$GZ$2000,MATCH($A773,INDEX(Enrichment!$A$2:$GZ$2000,0,MATCH("row_id",Enrichment!$A$1:$GZ$1,0)),0),MATCH("work_email",Enrichment!$A$1:$GZ$1,0))&amp;"",""))</f>
        <v/>
      </c>
      <c r="BD773" s="0" t="str">
        <f aca="false">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Q773" s="0" t="str">
        <f aca="false">IF($A773="","",IFERROR(INDEX(Enrichment!$A$2:$GZ$2000,MATCH($A773,INDEX(Enrichment!$A$2:$GZ$2000,0,MATCH("row_id",Enrichment!$A$1:$GZ$1,0)),0),MATCH("backup_work_email",Enrichment!$A$1:$GZ$1,0))&amp;"",""))</f>
        <v/>
      </c>
      <c r="BR773" s="0" t="str">
        <f aca="false">IF($A773="","",IF(BQ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EQ773" s="0" t="str">
        <f aca="false">IF($A773="","",IF(AH773="exact",10,IF(AH773="adjacent",5,0)))</f>
        <v/>
      </c>
      <c r="ER773" s="0" t="str">
        <f aca="false">IF($A773="","",IF(R773="Y",15,0))</f>
        <v/>
      </c>
      <c r="FS773" s="0" t="str">
        <f aca="false">IF($A773="","",IF(ISNUMBER(MATCH(U773,{"queued","contacted","replied","call_booked","call_done","yes_in_principle","materials_sent"},0)),"Y","N"))</f>
        <v/>
      </c>
      <c r="FT773" s="0" t="str">
        <f aca="false">IF($A773="","",IF(OR(T773="Y",U773="do_not_contact",AS773&amp;""&lt;&gt;""),"Y","N"))</f>
        <v/>
      </c>
      <c r="FU773" s="0" t="str">
        <f aca="false">IF($A773="","",IF(AP773&amp;""&lt;&gt;"",AP773&amp;"",$A773))</f>
        <v/>
      </c>
      <c r="FV773" s="0" t="str">
        <f aca="false">IF($A773="","",IF(COUNTIFS($FU$2:$FU$1000,FU773,$FS$2:$FS$1000,"Y")+COUNTIFS($FU$2:$FU$1000,FU773,$FT$2:$FT$1000,"Y")&gt;0,"Y","N"))</f>
        <v/>
      </c>
      <c r="FW773" s="0" t="str">
        <f aca="false">IF($A773="","",IF(AND(U773="new",T773="N",FT773="N",AT773="Y",FV773="N"),"Y","N"))</f>
        <v/>
      </c>
      <c r="FX773" s="0" t="str">
        <f aca="false">IF($A773="","",IF(FW773&lt;&gt;"Y","N",IF(COUNTIFS($FU$2:$FU$1000,FU773,$FW$2:$FW$1000,"Y",$J$2:$J$1000,"&gt;"&amp;J773)+COUNTIFS($FU$2:$FU$1000,FU773,$FW$2:$FW$1000,"Y",$J$2:$J$1000,J773,$GD$2:$GD$1000,"&lt;"&amp;GD773)=0,"Y","N")))</f>
        <v/>
      </c>
      <c r="FY773" s="0" t="str">
        <f aca="false">IF($A773="","",IF(AND(FW773="Y",FX773="Y",Y773&amp;""&lt;&gt;""),IF(Y773&lt;=10,"Y","N"),"N"))</f>
        <v/>
      </c>
      <c r="FZ773" s="0" t="str">
        <f aca="false">IF(FY773="Y",Y773,"")</f>
        <v/>
      </c>
      <c r="GA773" s="0" t="str">
        <f aca="false">IF($A773="","",IF(AND(I773="walk-in",CN773="pass",U773="new",FT773="N",FV773="N",AQ773&lt;&gt;"Y"),"Y","N"))</f>
        <v/>
      </c>
      <c r="GB773" s="0" t="str">
        <f aca="false">IF(GA773&lt;&gt;"Y","",IF(COUNTIFS($GA$2:$GA$1000,"Y",$J$2:$J$1000,"&gt;"&amp;J773)+COUNTIFS($GA$2:$GA$1000,"Y",$J$2:$J$1000,J773,$GD$2:$GD$1000,"&lt;"&amp;GD773)+1&lt;=25,COUNTIFS($GA$2:$GA$1000,"Y",$J$2:$J$1000,"&gt;"&amp;J773)+COUNTIFS($GA$2:$GA$1000,"Y",$J$2:$J$1000,J773,$GD$2:$GD$1000,"&lt;"&amp;GD773)+1,""))</f>
        <v/>
      </c>
      <c r="GC773" s="0" t="str">
        <f aca="false">IF(AND(_xlfn.ISFORMULA(C773),_xlfn.ISFORMULA(J773)),"Y","N")</f>
        <v>Y</v>
      </c>
      <c r="GD773" s="0" t="n">
        <f aca="false">ROW()-1</f>
        <v>772</v>
      </c>
    </row>
    <row r="774" customFormat="false" ht="15" hidden="false" customHeight="false" outlineLevel="0" collapsed="false">
      <c r="C774" s="0" t="str">
        <f aca="false">IF($A774="","",IF(AW774="Y",BM774&amp;"",AY774&amp;""))</f>
        <v/>
      </c>
      <c r="D774" s="0" t="str">
        <f aca="false">IF($A774="","",IF(AW774="Y",BN774&amp;"",AZ774&amp;""))</f>
        <v/>
      </c>
      <c r="E774" s="0" t="str">
        <f aca="false">IF($A774="","",IF(AW774="Y",BO774&amp;"",BA774&amp;""))</f>
        <v/>
      </c>
      <c r="F774" s="0" t="str">
        <f aca="false">IF($A774="","",IF(AW774="Y",BP774&amp;"",BB774&amp;""))</f>
        <v/>
      </c>
      <c r="G774" s="0" t="str">
        <f aca="false">IF($A774="","",IF(AW774="Y",BQ774&amp;"",BC774&amp;""))</f>
        <v/>
      </c>
      <c r="H774" s="0" t="str">
        <f aca="false">IF($A774="","",IF(AW774="Y",BR774&amp;"",BD774&amp;""))</f>
        <v/>
      </c>
      <c r="I774" s="0" t="str">
        <f aca="false">IF($A774="","",IF(R774="Y","warm-intro",IF(H774="verified","email",IF(C774&lt;&gt;"","linkedin",CB774&amp;""))))</f>
        <v/>
      </c>
      <c r="J774" s="0" t="str">
        <f aca="false">IF($A774="","",IF(CN774="pass",ROUND(N(EM774)+N(EN774)+N(EO774)+N(EP774)+N(EQ774)+N(ER774),1),0))</f>
        <v/>
      </c>
      <c r="K774" s="0" t="str">
        <f aca="false">IF($A774="","",IF(CN774&lt;&gt;"pass",CA774&amp;"",CA774&amp;"; "&amp;IF(AW774="Y",BZ774&amp;"",BL774&amp;"")&amp;IF(R774="Y","; known to the founder (+15)","")&amp;"."))</f>
        <v/>
      </c>
      <c r="R774" s="5"/>
      <c r="U774" s="5"/>
      <c r="Y774" s="0" t="str">
        <f aca="false">IF(FX774&lt;&gt;"Y","",COUNTIFS($FX$2:$FX$1000,"Y",$J$2:$J$1000,"&gt;"&amp;J774)+COUNTIFS($FX$2:$FX$1000,"Y",$J$2:$J$1000,J774,$GD$2:$GD$1000,"&lt;"&amp;GD774)+1)</f>
        <v/>
      </c>
      <c r="AB774" s="0" t="str">
        <f aca="false">IF($A774="","",IF(AW774="Y",BY774&amp;"",BK774&amp;""))</f>
        <v/>
      </c>
      <c r="AC774" s="0" t="str">
        <f aca="false">IF($A774="","",IF(AW774="Y",BS774&amp;"",BE774&amp;""))</f>
        <v/>
      </c>
      <c r="AD774" s="0" t="str">
        <f aca="false">IF($A774="","",IF(AW774="Y",BT774&amp;"",BF774&amp;""))</f>
        <v/>
      </c>
      <c r="AE774" s="0" t="str">
        <f aca="false">IF($A774="","",IF(AW774="Y",BU774&amp;"",BG774&amp;""))</f>
        <v/>
      </c>
      <c r="AF774" s="0" t="str">
        <f aca="false">IF($A774="","",IF(AW774="Y",BV774&amp;"",BH774&amp;""))</f>
        <v/>
      </c>
      <c r="AG774" s="0" t="str">
        <f aca="false">IF($A774="","",IF(AW774="Y",BW774&amp;"",BI774&amp;""))</f>
        <v/>
      </c>
      <c r="AH774" s="0" t="str">
        <f aca="false">IF($A774="","",IF(AW774="Y",BX774&amp;"",BJ774&amp;""))</f>
        <v/>
      </c>
      <c r="AQ774" s="5"/>
      <c r="AT774" s="0" t="str">
        <f aca="false">IF($A774="","",IF(AND(CN774="pass",AQ774&lt;&gt;"Y",C774&lt;&gt;"",OR(AX774&lt;&gt;"Y",AV774="Y")),"Y","N"))</f>
        <v/>
      </c>
      <c r="AU774" s="0" t="str">
        <f aca="false">IF($A774="","",_xlfn.TEXTJOIN("; ",TRUE(),IF(CN774&lt;&gt;"pass","gated out",""),IF(AQ774="Y","on hold: "&amp;AR774,""),IF(C774="","no contact named on an opened page",""),IF(AND(AX774="Y",AV774&lt;&gt;"Y"),"Tuesday estimate band "&amp;L774&amp;": founder's call","")))</f>
        <v/>
      </c>
      <c r="BC774" s="0" t="str">
        <f aca="false">IF($A774="","",IFERROR(INDEX(Enrichment!$A$2:$GZ$2000,MATCH($A774,INDEX(Enrichment!$A$2:$GZ$2000,0,MATCH("row_id",Enrichment!$A$1:$GZ$1,0)),0),MATCH("work_email",Enrichment!$A$1:$GZ$1,0))&amp;"",""))</f>
        <v/>
      </c>
      <c r="BD774" s="0" t="str">
        <f aca="false">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Q774" s="0" t="str">
        <f aca="false">IF($A774="","",IFERROR(INDEX(Enrichment!$A$2:$GZ$2000,MATCH($A774,INDEX(Enrichment!$A$2:$GZ$2000,0,MATCH("row_id",Enrichment!$A$1:$GZ$1,0)),0),MATCH("backup_work_email",Enrichment!$A$1:$GZ$1,0))&amp;"",""))</f>
        <v/>
      </c>
      <c r="BR774" s="0" t="str">
        <f aca="false">IF($A774="","",IF(BQ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EQ774" s="0" t="str">
        <f aca="false">IF($A774="","",IF(AH774="exact",10,IF(AH774="adjacent",5,0)))</f>
        <v/>
      </c>
      <c r="ER774" s="0" t="str">
        <f aca="false">IF($A774="","",IF(R774="Y",15,0))</f>
        <v/>
      </c>
      <c r="FS774" s="0" t="str">
        <f aca="false">IF($A774="","",IF(ISNUMBER(MATCH(U774,{"queued","contacted","replied","call_booked","call_done","yes_in_principle","materials_sent"},0)),"Y","N"))</f>
        <v/>
      </c>
      <c r="FT774" s="0" t="str">
        <f aca="false">IF($A774="","",IF(OR(T774="Y",U774="do_not_contact",AS774&amp;""&lt;&gt;""),"Y","N"))</f>
        <v/>
      </c>
      <c r="FU774" s="0" t="str">
        <f aca="false">IF($A774="","",IF(AP774&amp;""&lt;&gt;"",AP774&amp;"",$A774))</f>
        <v/>
      </c>
      <c r="FV774" s="0" t="str">
        <f aca="false">IF($A774="","",IF(COUNTIFS($FU$2:$FU$1000,FU774,$FS$2:$FS$1000,"Y")+COUNTIFS($FU$2:$FU$1000,FU774,$FT$2:$FT$1000,"Y")&gt;0,"Y","N"))</f>
        <v/>
      </c>
      <c r="FW774" s="0" t="str">
        <f aca="false">IF($A774="","",IF(AND(U774="new",T774="N",FT774="N",AT774="Y",FV774="N"),"Y","N"))</f>
        <v/>
      </c>
      <c r="FX774" s="0" t="str">
        <f aca="false">IF($A774="","",IF(FW774&lt;&gt;"Y","N",IF(COUNTIFS($FU$2:$FU$1000,FU774,$FW$2:$FW$1000,"Y",$J$2:$J$1000,"&gt;"&amp;J774)+COUNTIFS($FU$2:$FU$1000,FU774,$FW$2:$FW$1000,"Y",$J$2:$J$1000,J774,$GD$2:$GD$1000,"&lt;"&amp;GD774)=0,"Y","N")))</f>
        <v/>
      </c>
      <c r="FY774" s="0" t="str">
        <f aca="false">IF($A774="","",IF(AND(FW774="Y",FX774="Y",Y774&amp;""&lt;&gt;""),IF(Y774&lt;=10,"Y","N"),"N"))</f>
        <v/>
      </c>
      <c r="FZ774" s="0" t="str">
        <f aca="false">IF(FY774="Y",Y774,"")</f>
        <v/>
      </c>
      <c r="GA774" s="0" t="str">
        <f aca="false">IF($A774="","",IF(AND(I774="walk-in",CN774="pass",U774="new",FT774="N",FV774="N",AQ774&lt;&gt;"Y"),"Y","N"))</f>
        <v/>
      </c>
      <c r="GB774" s="0" t="str">
        <f aca="false">IF(GA774&lt;&gt;"Y","",IF(COUNTIFS($GA$2:$GA$1000,"Y",$J$2:$J$1000,"&gt;"&amp;J774)+COUNTIFS($GA$2:$GA$1000,"Y",$J$2:$J$1000,J774,$GD$2:$GD$1000,"&lt;"&amp;GD774)+1&lt;=25,COUNTIFS($GA$2:$GA$1000,"Y",$J$2:$J$1000,"&gt;"&amp;J774)+COUNTIFS($GA$2:$GA$1000,"Y",$J$2:$J$1000,J774,$GD$2:$GD$1000,"&lt;"&amp;GD774)+1,""))</f>
        <v/>
      </c>
      <c r="GC774" s="0" t="str">
        <f aca="false">IF(AND(_xlfn.ISFORMULA(C774),_xlfn.ISFORMULA(J774)),"Y","N")</f>
        <v>Y</v>
      </c>
      <c r="GD774" s="0" t="n">
        <f aca="false">ROW()-1</f>
        <v>773</v>
      </c>
    </row>
    <row r="775" customFormat="false" ht="15" hidden="false" customHeight="false" outlineLevel="0" collapsed="false">
      <c r="C775" s="0" t="str">
        <f aca="false">IF($A775="","",IF(AW775="Y",BM775&amp;"",AY775&amp;""))</f>
        <v/>
      </c>
      <c r="D775" s="0" t="str">
        <f aca="false">IF($A775="","",IF(AW775="Y",BN775&amp;"",AZ775&amp;""))</f>
        <v/>
      </c>
      <c r="E775" s="0" t="str">
        <f aca="false">IF($A775="","",IF(AW775="Y",BO775&amp;"",BA775&amp;""))</f>
        <v/>
      </c>
      <c r="F775" s="0" t="str">
        <f aca="false">IF($A775="","",IF(AW775="Y",BP775&amp;"",BB775&amp;""))</f>
        <v/>
      </c>
      <c r="G775" s="0" t="str">
        <f aca="false">IF($A775="","",IF(AW775="Y",BQ775&amp;"",BC775&amp;""))</f>
        <v/>
      </c>
      <c r="H775" s="0" t="str">
        <f aca="false">IF($A775="","",IF(AW775="Y",BR775&amp;"",BD775&amp;""))</f>
        <v/>
      </c>
      <c r="I775" s="0" t="str">
        <f aca="false">IF($A775="","",IF(R775="Y","warm-intro",IF(H775="verified","email",IF(C775&lt;&gt;"","linkedin",CB775&amp;""))))</f>
        <v/>
      </c>
      <c r="J775" s="0" t="str">
        <f aca="false">IF($A775="","",IF(CN775="pass",ROUND(N(EM775)+N(EN775)+N(EO775)+N(EP775)+N(EQ775)+N(ER775),1),0))</f>
        <v/>
      </c>
      <c r="K775" s="0" t="str">
        <f aca="false">IF($A775="","",IF(CN775&lt;&gt;"pass",CA775&amp;"",CA775&amp;"; "&amp;IF(AW775="Y",BZ775&amp;"",BL775&amp;"")&amp;IF(R775="Y","; known to the founder (+15)","")&amp;"."))</f>
        <v/>
      </c>
      <c r="R775" s="5"/>
      <c r="U775" s="5"/>
      <c r="Y775" s="0" t="str">
        <f aca="false">IF(FX775&lt;&gt;"Y","",COUNTIFS($FX$2:$FX$1000,"Y",$J$2:$J$1000,"&gt;"&amp;J775)+COUNTIFS($FX$2:$FX$1000,"Y",$J$2:$J$1000,J775,$GD$2:$GD$1000,"&lt;"&amp;GD775)+1)</f>
        <v/>
      </c>
      <c r="AB775" s="0" t="str">
        <f aca="false">IF($A775="","",IF(AW775="Y",BY775&amp;"",BK775&amp;""))</f>
        <v/>
      </c>
      <c r="AC775" s="0" t="str">
        <f aca="false">IF($A775="","",IF(AW775="Y",BS775&amp;"",BE775&amp;""))</f>
        <v/>
      </c>
      <c r="AD775" s="0" t="str">
        <f aca="false">IF($A775="","",IF(AW775="Y",BT775&amp;"",BF775&amp;""))</f>
        <v/>
      </c>
      <c r="AE775" s="0" t="str">
        <f aca="false">IF($A775="","",IF(AW775="Y",BU775&amp;"",BG775&amp;""))</f>
        <v/>
      </c>
      <c r="AF775" s="0" t="str">
        <f aca="false">IF($A775="","",IF(AW775="Y",BV775&amp;"",BH775&amp;""))</f>
        <v/>
      </c>
      <c r="AG775" s="0" t="str">
        <f aca="false">IF($A775="","",IF(AW775="Y",BW775&amp;"",BI775&amp;""))</f>
        <v/>
      </c>
      <c r="AH775" s="0" t="str">
        <f aca="false">IF($A775="","",IF(AW775="Y",BX775&amp;"",BJ775&amp;""))</f>
        <v/>
      </c>
      <c r="AQ775" s="5"/>
      <c r="AT775" s="0" t="str">
        <f aca="false">IF($A775="","",IF(AND(CN775="pass",AQ775&lt;&gt;"Y",C775&lt;&gt;"",OR(AX775&lt;&gt;"Y",AV775="Y")),"Y","N"))</f>
        <v/>
      </c>
      <c r="AU775" s="0" t="str">
        <f aca="false">IF($A775="","",_xlfn.TEXTJOIN("; ",TRUE(),IF(CN775&lt;&gt;"pass","gated out",""),IF(AQ775="Y","on hold: "&amp;AR775,""),IF(C775="","no contact named on an opened page",""),IF(AND(AX775="Y",AV775&lt;&gt;"Y"),"Tuesday estimate band "&amp;L775&amp;": founder's call","")))</f>
        <v/>
      </c>
      <c r="BC775" s="0" t="str">
        <f aca="false">IF($A775="","",IFERROR(INDEX(Enrichment!$A$2:$GZ$2000,MATCH($A775,INDEX(Enrichment!$A$2:$GZ$2000,0,MATCH("row_id",Enrichment!$A$1:$GZ$1,0)),0),MATCH("work_email",Enrichment!$A$1:$GZ$1,0))&amp;"",""))</f>
        <v/>
      </c>
      <c r="BD775" s="0" t="str">
        <f aca="false">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Q775" s="0" t="str">
        <f aca="false">IF($A775="","",IFERROR(INDEX(Enrichment!$A$2:$GZ$2000,MATCH($A775,INDEX(Enrichment!$A$2:$GZ$2000,0,MATCH("row_id",Enrichment!$A$1:$GZ$1,0)),0),MATCH("backup_work_email",Enrichment!$A$1:$GZ$1,0))&amp;"",""))</f>
        <v/>
      </c>
      <c r="BR775" s="0" t="str">
        <f aca="false">IF($A775="","",IF(BQ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EQ775" s="0" t="str">
        <f aca="false">IF($A775="","",IF(AH775="exact",10,IF(AH775="adjacent",5,0)))</f>
        <v/>
      </c>
      <c r="ER775" s="0" t="str">
        <f aca="false">IF($A775="","",IF(R775="Y",15,0))</f>
        <v/>
      </c>
      <c r="FS775" s="0" t="str">
        <f aca="false">IF($A775="","",IF(ISNUMBER(MATCH(U775,{"queued","contacted","replied","call_booked","call_done","yes_in_principle","materials_sent"},0)),"Y","N"))</f>
        <v/>
      </c>
      <c r="FT775" s="0" t="str">
        <f aca="false">IF($A775="","",IF(OR(T775="Y",U775="do_not_contact",AS775&amp;""&lt;&gt;""),"Y","N"))</f>
        <v/>
      </c>
      <c r="FU775" s="0" t="str">
        <f aca="false">IF($A775="","",IF(AP775&amp;""&lt;&gt;"",AP775&amp;"",$A775))</f>
        <v/>
      </c>
      <c r="FV775" s="0" t="str">
        <f aca="false">IF($A775="","",IF(COUNTIFS($FU$2:$FU$1000,FU775,$FS$2:$FS$1000,"Y")+COUNTIFS($FU$2:$FU$1000,FU775,$FT$2:$FT$1000,"Y")&gt;0,"Y","N"))</f>
        <v/>
      </c>
      <c r="FW775" s="0" t="str">
        <f aca="false">IF($A775="","",IF(AND(U775="new",T775="N",FT775="N",AT775="Y",FV775="N"),"Y","N"))</f>
        <v/>
      </c>
      <c r="FX775" s="0" t="str">
        <f aca="false">IF($A775="","",IF(FW775&lt;&gt;"Y","N",IF(COUNTIFS($FU$2:$FU$1000,FU775,$FW$2:$FW$1000,"Y",$J$2:$J$1000,"&gt;"&amp;J775)+COUNTIFS($FU$2:$FU$1000,FU775,$FW$2:$FW$1000,"Y",$J$2:$J$1000,J775,$GD$2:$GD$1000,"&lt;"&amp;GD775)=0,"Y","N")))</f>
        <v/>
      </c>
      <c r="FY775" s="0" t="str">
        <f aca="false">IF($A775="","",IF(AND(FW775="Y",FX775="Y",Y775&amp;""&lt;&gt;""),IF(Y775&lt;=10,"Y","N"),"N"))</f>
        <v/>
      </c>
      <c r="FZ775" s="0" t="str">
        <f aca="false">IF(FY775="Y",Y775,"")</f>
        <v/>
      </c>
      <c r="GA775" s="0" t="str">
        <f aca="false">IF($A775="","",IF(AND(I775="walk-in",CN775="pass",U775="new",FT775="N",FV775="N",AQ775&lt;&gt;"Y"),"Y","N"))</f>
        <v/>
      </c>
      <c r="GB775" s="0" t="str">
        <f aca="false">IF(GA775&lt;&gt;"Y","",IF(COUNTIFS($GA$2:$GA$1000,"Y",$J$2:$J$1000,"&gt;"&amp;J775)+COUNTIFS($GA$2:$GA$1000,"Y",$J$2:$J$1000,J775,$GD$2:$GD$1000,"&lt;"&amp;GD775)+1&lt;=25,COUNTIFS($GA$2:$GA$1000,"Y",$J$2:$J$1000,"&gt;"&amp;J775)+COUNTIFS($GA$2:$GA$1000,"Y",$J$2:$J$1000,J775,$GD$2:$GD$1000,"&lt;"&amp;GD775)+1,""))</f>
        <v/>
      </c>
      <c r="GC775" s="0" t="str">
        <f aca="false">IF(AND(_xlfn.ISFORMULA(C775),_xlfn.ISFORMULA(J775)),"Y","N")</f>
        <v>Y</v>
      </c>
      <c r="GD775" s="0" t="n">
        <f aca="false">ROW()-1</f>
        <v>774</v>
      </c>
    </row>
    <row r="776" customFormat="false" ht="15" hidden="false" customHeight="false" outlineLevel="0" collapsed="false">
      <c r="C776" s="0" t="str">
        <f aca="false">IF($A776="","",IF(AW776="Y",BM776&amp;"",AY776&amp;""))</f>
        <v/>
      </c>
      <c r="D776" s="0" t="str">
        <f aca="false">IF($A776="","",IF(AW776="Y",BN776&amp;"",AZ776&amp;""))</f>
        <v/>
      </c>
      <c r="E776" s="0" t="str">
        <f aca="false">IF($A776="","",IF(AW776="Y",BO776&amp;"",BA776&amp;""))</f>
        <v/>
      </c>
      <c r="F776" s="0" t="str">
        <f aca="false">IF($A776="","",IF(AW776="Y",BP776&amp;"",BB776&amp;""))</f>
        <v/>
      </c>
      <c r="G776" s="0" t="str">
        <f aca="false">IF($A776="","",IF(AW776="Y",BQ776&amp;"",BC776&amp;""))</f>
        <v/>
      </c>
      <c r="H776" s="0" t="str">
        <f aca="false">IF($A776="","",IF(AW776="Y",BR776&amp;"",BD776&amp;""))</f>
        <v/>
      </c>
      <c r="I776" s="0" t="str">
        <f aca="false">IF($A776="","",IF(R776="Y","warm-intro",IF(H776="verified","email",IF(C776&lt;&gt;"","linkedin",CB776&amp;""))))</f>
        <v/>
      </c>
      <c r="J776" s="0" t="str">
        <f aca="false">IF($A776="","",IF(CN776="pass",ROUND(N(EM776)+N(EN776)+N(EO776)+N(EP776)+N(EQ776)+N(ER776),1),0))</f>
        <v/>
      </c>
      <c r="K776" s="0" t="str">
        <f aca="false">IF($A776="","",IF(CN776&lt;&gt;"pass",CA776&amp;"",CA776&amp;"; "&amp;IF(AW776="Y",BZ776&amp;"",BL776&amp;"")&amp;IF(R776="Y","; known to the founder (+15)","")&amp;"."))</f>
        <v/>
      </c>
      <c r="R776" s="5"/>
      <c r="U776" s="5"/>
      <c r="Y776" s="0" t="str">
        <f aca="false">IF(FX776&lt;&gt;"Y","",COUNTIFS($FX$2:$FX$1000,"Y",$J$2:$J$1000,"&gt;"&amp;J776)+COUNTIFS($FX$2:$FX$1000,"Y",$J$2:$J$1000,J776,$GD$2:$GD$1000,"&lt;"&amp;GD776)+1)</f>
        <v/>
      </c>
      <c r="AB776" s="0" t="str">
        <f aca="false">IF($A776="","",IF(AW776="Y",BY776&amp;"",BK776&amp;""))</f>
        <v/>
      </c>
      <c r="AC776" s="0" t="str">
        <f aca="false">IF($A776="","",IF(AW776="Y",BS776&amp;"",BE776&amp;""))</f>
        <v/>
      </c>
      <c r="AD776" s="0" t="str">
        <f aca="false">IF($A776="","",IF(AW776="Y",BT776&amp;"",BF776&amp;""))</f>
        <v/>
      </c>
      <c r="AE776" s="0" t="str">
        <f aca="false">IF($A776="","",IF(AW776="Y",BU776&amp;"",BG776&amp;""))</f>
        <v/>
      </c>
      <c r="AF776" s="0" t="str">
        <f aca="false">IF($A776="","",IF(AW776="Y",BV776&amp;"",BH776&amp;""))</f>
        <v/>
      </c>
      <c r="AG776" s="0" t="str">
        <f aca="false">IF($A776="","",IF(AW776="Y",BW776&amp;"",BI776&amp;""))</f>
        <v/>
      </c>
      <c r="AH776" s="0" t="str">
        <f aca="false">IF($A776="","",IF(AW776="Y",BX776&amp;"",BJ776&amp;""))</f>
        <v/>
      </c>
      <c r="AQ776" s="5"/>
      <c r="AT776" s="0" t="str">
        <f aca="false">IF($A776="","",IF(AND(CN776="pass",AQ776&lt;&gt;"Y",C776&lt;&gt;"",OR(AX776&lt;&gt;"Y",AV776="Y")),"Y","N"))</f>
        <v/>
      </c>
      <c r="AU776" s="0" t="str">
        <f aca="false">IF($A776="","",_xlfn.TEXTJOIN("; ",TRUE(),IF(CN776&lt;&gt;"pass","gated out",""),IF(AQ776="Y","on hold: "&amp;AR776,""),IF(C776="","no contact named on an opened page",""),IF(AND(AX776="Y",AV776&lt;&gt;"Y"),"Tuesday estimate band "&amp;L776&amp;": founder's call","")))</f>
        <v/>
      </c>
      <c r="BC776" s="0" t="str">
        <f aca="false">IF($A776="","",IFERROR(INDEX(Enrichment!$A$2:$GZ$2000,MATCH($A776,INDEX(Enrichment!$A$2:$GZ$2000,0,MATCH("row_id",Enrichment!$A$1:$GZ$1,0)),0),MATCH("work_email",Enrichment!$A$1:$GZ$1,0))&amp;"",""))</f>
        <v/>
      </c>
      <c r="BD776" s="0" t="str">
        <f aca="false">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Q776" s="0" t="str">
        <f aca="false">IF($A776="","",IFERROR(INDEX(Enrichment!$A$2:$GZ$2000,MATCH($A776,INDEX(Enrichment!$A$2:$GZ$2000,0,MATCH("row_id",Enrichment!$A$1:$GZ$1,0)),0),MATCH("backup_work_email",Enrichment!$A$1:$GZ$1,0))&amp;"",""))</f>
        <v/>
      </c>
      <c r="BR776" s="0" t="str">
        <f aca="false">IF($A776="","",IF(BQ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EQ776" s="0" t="str">
        <f aca="false">IF($A776="","",IF(AH776="exact",10,IF(AH776="adjacent",5,0)))</f>
        <v/>
      </c>
      <c r="ER776" s="0" t="str">
        <f aca="false">IF($A776="","",IF(R776="Y",15,0))</f>
        <v/>
      </c>
      <c r="FS776" s="0" t="str">
        <f aca="false">IF($A776="","",IF(ISNUMBER(MATCH(U776,{"queued","contacted","replied","call_booked","call_done","yes_in_principle","materials_sent"},0)),"Y","N"))</f>
        <v/>
      </c>
      <c r="FT776" s="0" t="str">
        <f aca="false">IF($A776="","",IF(OR(T776="Y",U776="do_not_contact",AS776&amp;""&lt;&gt;""),"Y","N"))</f>
        <v/>
      </c>
      <c r="FU776" s="0" t="str">
        <f aca="false">IF($A776="","",IF(AP776&amp;""&lt;&gt;"",AP776&amp;"",$A776))</f>
        <v/>
      </c>
      <c r="FV776" s="0" t="str">
        <f aca="false">IF($A776="","",IF(COUNTIFS($FU$2:$FU$1000,FU776,$FS$2:$FS$1000,"Y")+COUNTIFS($FU$2:$FU$1000,FU776,$FT$2:$FT$1000,"Y")&gt;0,"Y","N"))</f>
        <v/>
      </c>
      <c r="FW776" s="0" t="str">
        <f aca="false">IF($A776="","",IF(AND(U776="new",T776="N",FT776="N",AT776="Y",FV776="N"),"Y","N"))</f>
        <v/>
      </c>
      <c r="FX776" s="0" t="str">
        <f aca="false">IF($A776="","",IF(FW776&lt;&gt;"Y","N",IF(COUNTIFS($FU$2:$FU$1000,FU776,$FW$2:$FW$1000,"Y",$J$2:$J$1000,"&gt;"&amp;J776)+COUNTIFS($FU$2:$FU$1000,FU776,$FW$2:$FW$1000,"Y",$J$2:$J$1000,J776,$GD$2:$GD$1000,"&lt;"&amp;GD776)=0,"Y","N")))</f>
        <v/>
      </c>
      <c r="FY776" s="0" t="str">
        <f aca="false">IF($A776="","",IF(AND(FW776="Y",FX776="Y",Y776&amp;""&lt;&gt;""),IF(Y776&lt;=10,"Y","N"),"N"))</f>
        <v/>
      </c>
      <c r="FZ776" s="0" t="str">
        <f aca="false">IF(FY776="Y",Y776,"")</f>
        <v/>
      </c>
      <c r="GA776" s="0" t="str">
        <f aca="false">IF($A776="","",IF(AND(I776="walk-in",CN776="pass",U776="new",FT776="N",FV776="N",AQ776&lt;&gt;"Y"),"Y","N"))</f>
        <v/>
      </c>
      <c r="GB776" s="0" t="str">
        <f aca="false">IF(GA776&lt;&gt;"Y","",IF(COUNTIFS($GA$2:$GA$1000,"Y",$J$2:$J$1000,"&gt;"&amp;J776)+COUNTIFS($GA$2:$GA$1000,"Y",$J$2:$J$1000,J776,$GD$2:$GD$1000,"&lt;"&amp;GD776)+1&lt;=25,COUNTIFS($GA$2:$GA$1000,"Y",$J$2:$J$1000,"&gt;"&amp;J776)+COUNTIFS($GA$2:$GA$1000,"Y",$J$2:$J$1000,J776,$GD$2:$GD$1000,"&lt;"&amp;GD776)+1,""))</f>
        <v/>
      </c>
      <c r="GC776" s="0" t="str">
        <f aca="false">IF(AND(_xlfn.ISFORMULA(C776),_xlfn.ISFORMULA(J776)),"Y","N")</f>
        <v>Y</v>
      </c>
      <c r="GD776" s="0" t="n">
        <f aca="false">ROW()-1</f>
        <v>775</v>
      </c>
    </row>
    <row r="777" customFormat="false" ht="15" hidden="false" customHeight="false" outlineLevel="0" collapsed="false">
      <c r="C777" s="0" t="str">
        <f aca="false">IF($A777="","",IF(AW777="Y",BM777&amp;"",AY777&amp;""))</f>
        <v/>
      </c>
      <c r="D777" s="0" t="str">
        <f aca="false">IF($A777="","",IF(AW777="Y",BN777&amp;"",AZ777&amp;""))</f>
        <v/>
      </c>
      <c r="E777" s="0" t="str">
        <f aca="false">IF($A777="","",IF(AW777="Y",BO777&amp;"",BA777&amp;""))</f>
        <v/>
      </c>
      <c r="F777" s="0" t="str">
        <f aca="false">IF($A777="","",IF(AW777="Y",BP777&amp;"",BB777&amp;""))</f>
        <v/>
      </c>
      <c r="G777" s="0" t="str">
        <f aca="false">IF($A777="","",IF(AW777="Y",BQ777&amp;"",BC777&amp;""))</f>
        <v/>
      </c>
      <c r="H777" s="0" t="str">
        <f aca="false">IF($A777="","",IF(AW777="Y",BR777&amp;"",BD777&amp;""))</f>
        <v/>
      </c>
      <c r="I777" s="0" t="str">
        <f aca="false">IF($A777="","",IF(R777="Y","warm-intro",IF(H777="verified","email",IF(C777&lt;&gt;"","linkedin",CB777&amp;""))))</f>
        <v/>
      </c>
      <c r="J777" s="0" t="str">
        <f aca="false">IF($A777="","",IF(CN777="pass",ROUND(N(EM777)+N(EN777)+N(EO777)+N(EP777)+N(EQ777)+N(ER777),1),0))</f>
        <v/>
      </c>
      <c r="K777" s="0" t="str">
        <f aca="false">IF($A777="","",IF(CN777&lt;&gt;"pass",CA777&amp;"",CA777&amp;"; "&amp;IF(AW777="Y",BZ777&amp;"",BL777&amp;"")&amp;IF(R777="Y","; known to the founder (+15)","")&amp;"."))</f>
        <v/>
      </c>
      <c r="R777" s="5"/>
      <c r="U777" s="5"/>
      <c r="Y777" s="0" t="str">
        <f aca="false">IF(FX777&lt;&gt;"Y","",COUNTIFS($FX$2:$FX$1000,"Y",$J$2:$J$1000,"&gt;"&amp;J777)+COUNTIFS($FX$2:$FX$1000,"Y",$J$2:$J$1000,J777,$GD$2:$GD$1000,"&lt;"&amp;GD777)+1)</f>
        <v/>
      </c>
      <c r="AB777" s="0" t="str">
        <f aca="false">IF($A777="","",IF(AW777="Y",BY777&amp;"",BK777&amp;""))</f>
        <v/>
      </c>
      <c r="AC777" s="0" t="str">
        <f aca="false">IF($A777="","",IF(AW777="Y",BS777&amp;"",BE777&amp;""))</f>
        <v/>
      </c>
      <c r="AD777" s="0" t="str">
        <f aca="false">IF($A777="","",IF(AW777="Y",BT777&amp;"",BF777&amp;""))</f>
        <v/>
      </c>
      <c r="AE777" s="0" t="str">
        <f aca="false">IF($A777="","",IF(AW777="Y",BU777&amp;"",BG777&amp;""))</f>
        <v/>
      </c>
      <c r="AF777" s="0" t="str">
        <f aca="false">IF($A777="","",IF(AW777="Y",BV777&amp;"",BH777&amp;""))</f>
        <v/>
      </c>
      <c r="AG777" s="0" t="str">
        <f aca="false">IF($A777="","",IF(AW777="Y",BW777&amp;"",BI777&amp;""))</f>
        <v/>
      </c>
      <c r="AH777" s="0" t="str">
        <f aca="false">IF($A777="","",IF(AW777="Y",BX777&amp;"",BJ777&amp;""))</f>
        <v/>
      </c>
      <c r="AQ777" s="5"/>
      <c r="AT777" s="0" t="str">
        <f aca="false">IF($A777="","",IF(AND(CN777="pass",AQ777&lt;&gt;"Y",C777&lt;&gt;"",OR(AX777&lt;&gt;"Y",AV777="Y")),"Y","N"))</f>
        <v/>
      </c>
      <c r="AU777" s="0" t="str">
        <f aca="false">IF($A777="","",_xlfn.TEXTJOIN("; ",TRUE(),IF(CN777&lt;&gt;"pass","gated out",""),IF(AQ777="Y","on hold: "&amp;AR777,""),IF(C777="","no contact named on an opened page",""),IF(AND(AX777="Y",AV777&lt;&gt;"Y"),"Tuesday estimate band "&amp;L777&amp;": founder's call","")))</f>
        <v/>
      </c>
      <c r="BC777" s="0" t="str">
        <f aca="false">IF($A777="","",IFERROR(INDEX(Enrichment!$A$2:$GZ$2000,MATCH($A777,INDEX(Enrichment!$A$2:$GZ$2000,0,MATCH("row_id",Enrichment!$A$1:$GZ$1,0)),0),MATCH("work_email",Enrichment!$A$1:$GZ$1,0))&amp;"",""))</f>
        <v/>
      </c>
      <c r="BD777" s="0" t="str">
        <f aca="false">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Q777" s="0" t="str">
        <f aca="false">IF($A777="","",IFERROR(INDEX(Enrichment!$A$2:$GZ$2000,MATCH($A777,INDEX(Enrichment!$A$2:$GZ$2000,0,MATCH("row_id",Enrichment!$A$1:$GZ$1,0)),0),MATCH("backup_work_email",Enrichment!$A$1:$GZ$1,0))&amp;"",""))</f>
        <v/>
      </c>
      <c r="BR777" s="0" t="str">
        <f aca="false">IF($A777="","",IF(BQ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EQ777" s="0" t="str">
        <f aca="false">IF($A777="","",IF(AH777="exact",10,IF(AH777="adjacent",5,0)))</f>
        <v/>
      </c>
      <c r="ER777" s="0" t="str">
        <f aca="false">IF($A777="","",IF(R777="Y",15,0))</f>
        <v/>
      </c>
      <c r="FS777" s="0" t="str">
        <f aca="false">IF($A777="","",IF(ISNUMBER(MATCH(U777,{"queued","contacted","replied","call_booked","call_done","yes_in_principle","materials_sent"},0)),"Y","N"))</f>
        <v/>
      </c>
      <c r="FT777" s="0" t="str">
        <f aca="false">IF($A777="","",IF(OR(T777="Y",U777="do_not_contact",AS777&amp;""&lt;&gt;""),"Y","N"))</f>
        <v/>
      </c>
      <c r="FU777" s="0" t="str">
        <f aca="false">IF($A777="","",IF(AP777&amp;""&lt;&gt;"",AP777&amp;"",$A777))</f>
        <v/>
      </c>
      <c r="FV777" s="0" t="str">
        <f aca="false">IF($A777="","",IF(COUNTIFS($FU$2:$FU$1000,FU777,$FS$2:$FS$1000,"Y")+COUNTIFS($FU$2:$FU$1000,FU777,$FT$2:$FT$1000,"Y")&gt;0,"Y","N"))</f>
        <v/>
      </c>
      <c r="FW777" s="0" t="str">
        <f aca="false">IF($A777="","",IF(AND(U777="new",T777="N",FT777="N",AT777="Y",FV777="N"),"Y","N"))</f>
        <v/>
      </c>
      <c r="FX777" s="0" t="str">
        <f aca="false">IF($A777="","",IF(FW777&lt;&gt;"Y","N",IF(COUNTIFS($FU$2:$FU$1000,FU777,$FW$2:$FW$1000,"Y",$J$2:$J$1000,"&gt;"&amp;J777)+COUNTIFS($FU$2:$FU$1000,FU777,$FW$2:$FW$1000,"Y",$J$2:$J$1000,J777,$GD$2:$GD$1000,"&lt;"&amp;GD777)=0,"Y","N")))</f>
        <v/>
      </c>
      <c r="FY777" s="0" t="str">
        <f aca="false">IF($A777="","",IF(AND(FW777="Y",FX777="Y",Y777&amp;""&lt;&gt;""),IF(Y777&lt;=10,"Y","N"),"N"))</f>
        <v/>
      </c>
      <c r="FZ777" s="0" t="str">
        <f aca="false">IF(FY777="Y",Y777,"")</f>
        <v/>
      </c>
      <c r="GA777" s="0" t="str">
        <f aca="false">IF($A777="","",IF(AND(I777="walk-in",CN777="pass",U777="new",FT777="N",FV777="N",AQ777&lt;&gt;"Y"),"Y","N"))</f>
        <v/>
      </c>
      <c r="GB777" s="0" t="str">
        <f aca="false">IF(GA777&lt;&gt;"Y","",IF(COUNTIFS($GA$2:$GA$1000,"Y",$J$2:$J$1000,"&gt;"&amp;J777)+COUNTIFS($GA$2:$GA$1000,"Y",$J$2:$J$1000,J777,$GD$2:$GD$1000,"&lt;"&amp;GD777)+1&lt;=25,COUNTIFS($GA$2:$GA$1000,"Y",$J$2:$J$1000,"&gt;"&amp;J777)+COUNTIFS($GA$2:$GA$1000,"Y",$J$2:$J$1000,J777,$GD$2:$GD$1000,"&lt;"&amp;GD777)+1,""))</f>
        <v/>
      </c>
      <c r="GC777" s="0" t="str">
        <f aca="false">IF(AND(_xlfn.ISFORMULA(C777),_xlfn.ISFORMULA(J777)),"Y","N")</f>
        <v>Y</v>
      </c>
      <c r="GD777" s="0" t="n">
        <f aca="false">ROW()-1</f>
        <v>776</v>
      </c>
    </row>
    <row r="778" customFormat="false" ht="15" hidden="false" customHeight="false" outlineLevel="0" collapsed="false">
      <c r="C778" s="0" t="str">
        <f aca="false">IF($A778="","",IF(AW778="Y",BM778&amp;"",AY778&amp;""))</f>
        <v/>
      </c>
      <c r="D778" s="0" t="str">
        <f aca="false">IF($A778="","",IF(AW778="Y",BN778&amp;"",AZ778&amp;""))</f>
        <v/>
      </c>
      <c r="E778" s="0" t="str">
        <f aca="false">IF($A778="","",IF(AW778="Y",BO778&amp;"",BA778&amp;""))</f>
        <v/>
      </c>
      <c r="F778" s="0" t="str">
        <f aca="false">IF($A778="","",IF(AW778="Y",BP778&amp;"",BB778&amp;""))</f>
        <v/>
      </c>
      <c r="G778" s="0" t="str">
        <f aca="false">IF($A778="","",IF(AW778="Y",BQ778&amp;"",BC778&amp;""))</f>
        <v/>
      </c>
      <c r="H778" s="0" t="str">
        <f aca="false">IF($A778="","",IF(AW778="Y",BR778&amp;"",BD778&amp;""))</f>
        <v/>
      </c>
      <c r="I778" s="0" t="str">
        <f aca="false">IF($A778="","",IF(R778="Y","warm-intro",IF(H778="verified","email",IF(C778&lt;&gt;"","linkedin",CB778&amp;""))))</f>
        <v/>
      </c>
      <c r="J778" s="0" t="str">
        <f aca="false">IF($A778="","",IF(CN778="pass",ROUND(N(EM778)+N(EN778)+N(EO778)+N(EP778)+N(EQ778)+N(ER778),1),0))</f>
        <v/>
      </c>
      <c r="K778" s="0" t="str">
        <f aca="false">IF($A778="","",IF(CN778&lt;&gt;"pass",CA778&amp;"",CA778&amp;"; "&amp;IF(AW778="Y",BZ778&amp;"",BL778&amp;"")&amp;IF(R778="Y","; known to the founder (+15)","")&amp;"."))</f>
        <v/>
      </c>
      <c r="R778" s="5"/>
      <c r="U778" s="5"/>
      <c r="Y778" s="0" t="str">
        <f aca="false">IF(FX778&lt;&gt;"Y","",COUNTIFS($FX$2:$FX$1000,"Y",$J$2:$J$1000,"&gt;"&amp;J778)+COUNTIFS($FX$2:$FX$1000,"Y",$J$2:$J$1000,J778,$GD$2:$GD$1000,"&lt;"&amp;GD778)+1)</f>
        <v/>
      </c>
      <c r="AB778" s="0" t="str">
        <f aca="false">IF($A778="","",IF(AW778="Y",BY778&amp;"",BK778&amp;""))</f>
        <v/>
      </c>
      <c r="AC778" s="0" t="str">
        <f aca="false">IF($A778="","",IF(AW778="Y",BS778&amp;"",BE778&amp;""))</f>
        <v/>
      </c>
      <c r="AD778" s="0" t="str">
        <f aca="false">IF($A778="","",IF(AW778="Y",BT778&amp;"",BF778&amp;""))</f>
        <v/>
      </c>
      <c r="AE778" s="0" t="str">
        <f aca="false">IF($A778="","",IF(AW778="Y",BU778&amp;"",BG778&amp;""))</f>
        <v/>
      </c>
      <c r="AF778" s="0" t="str">
        <f aca="false">IF($A778="","",IF(AW778="Y",BV778&amp;"",BH778&amp;""))</f>
        <v/>
      </c>
      <c r="AG778" s="0" t="str">
        <f aca="false">IF($A778="","",IF(AW778="Y",BW778&amp;"",BI778&amp;""))</f>
        <v/>
      </c>
      <c r="AH778" s="0" t="str">
        <f aca="false">IF($A778="","",IF(AW778="Y",BX778&amp;"",BJ778&amp;""))</f>
        <v/>
      </c>
      <c r="AQ778" s="5"/>
      <c r="AT778" s="0" t="str">
        <f aca="false">IF($A778="","",IF(AND(CN778="pass",AQ778&lt;&gt;"Y",C778&lt;&gt;"",OR(AX778&lt;&gt;"Y",AV778="Y")),"Y","N"))</f>
        <v/>
      </c>
      <c r="AU778" s="0" t="str">
        <f aca="false">IF($A778="","",_xlfn.TEXTJOIN("; ",TRUE(),IF(CN778&lt;&gt;"pass","gated out",""),IF(AQ778="Y","on hold: "&amp;AR778,""),IF(C778="","no contact named on an opened page",""),IF(AND(AX778="Y",AV778&lt;&gt;"Y"),"Tuesday estimate band "&amp;L778&amp;": founder's call","")))</f>
        <v/>
      </c>
      <c r="BC778" s="0" t="str">
        <f aca="false">IF($A778="","",IFERROR(INDEX(Enrichment!$A$2:$GZ$2000,MATCH($A778,INDEX(Enrichment!$A$2:$GZ$2000,0,MATCH("row_id",Enrichment!$A$1:$GZ$1,0)),0),MATCH("work_email",Enrichment!$A$1:$GZ$1,0))&amp;"",""))</f>
        <v/>
      </c>
      <c r="BD778" s="0" t="str">
        <f aca="false">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Q778" s="0" t="str">
        <f aca="false">IF($A778="","",IFERROR(INDEX(Enrichment!$A$2:$GZ$2000,MATCH($A778,INDEX(Enrichment!$A$2:$GZ$2000,0,MATCH("row_id",Enrichment!$A$1:$GZ$1,0)),0),MATCH("backup_work_email",Enrichment!$A$1:$GZ$1,0))&amp;"",""))</f>
        <v/>
      </c>
      <c r="BR778" s="0" t="str">
        <f aca="false">IF($A778="","",IF(BQ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EQ778" s="0" t="str">
        <f aca="false">IF($A778="","",IF(AH778="exact",10,IF(AH778="adjacent",5,0)))</f>
        <v/>
      </c>
      <c r="ER778" s="0" t="str">
        <f aca="false">IF($A778="","",IF(R778="Y",15,0))</f>
        <v/>
      </c>
      <c r="FS778" s="0" t="str">
        <f aca="false">IF($A778="","",IF(ISNUMBER(MATCH(U778,{"queued","contacted","replied","call_booked","call_done","yes_in_principle","materials_sent"},0)),"Y","N"))</f>
        <v/>
      </c>
      <c r="FT778" s="0" t="str">
        <f aca="false">IF($A778="","",IF(OR(T778="Y",U778="do_not_contact",AS778&amp;""&lt;&gt;""),"Y","N"))</f>
        <v/>
      </c>
      <c r="FU778" s="0" t="str">
        <f aca="false">IF($A778="","",IF(AP778&amp;""&lt;&gt;"",AP778&amp;"",$A778))</f>
        <v/>
      </c>
      <c r="FV778" s="0" t="str">
        <f aca="false">IF($A778="","",IF(COUNTIFS($FU$2:$FU$1000,FU778,$FS$2:$FS$1000,"Y")+COUNTIFS($FU$2:$FU$1000,FU778,$FT$2:$FT$1000,"Y")&gt;0,"Y","N"))</f>
        <v/>
      </c>
      <c r="FW778" s="0" t="str">
        <f aca="false">IF($A778="","",IF(AND(U778="new",T778="N",FT778="N",AT778="Y",FV778="N"),"Y","N"))</f>
        <v/>
      </c>
      <c r="FX778" s="0" t="str">
        <f aca="false">IF($A778="","",IF(FW778&lt;&gt;"Y","N",IF(COUNTIFS($FU$2:$FU$1000,FU778,$FW$2:$FW$1000,"Y",$J$2:$J$1000,"&gt;"&amp;J778)+COUNTIFS($FU$2:$FU$1000,FU778,$FW$2:$FW$1000,"Y",$J$2:$J$1000,J778,$GD$2:$GD$1000,"&lt;"&amp;GD778)=0,"Y","N")))</f>
        <v/>
      </c>
      <c r="FY778" s="0" t="str">
        <f aca="false">IF($A778="","",IF(AND(FW778="Y",FX778="Y",Y778&amp;""&lt;&gt;""),IF(Y778&lt;=10,"Y","N"),"N"))</f>
        <v/>
      </c>
      <c r="FZ778" s="0" t="str">
        <f aca="false">IF(FY778="Y",Y778,"")</f>
        <v/>
      </c>
      <c r="GA778" s="0" t="str">
        <f aca="false">IF($A778="","",IF(AND(I778="walk-in",CN778="pass",U778="new",FT778="N",FV778="N",AQ778&lt;&gt;"Y"),"Y","N"))</f>
        <v/>
      </c>
      <c r="GB778" s="0" t="str">
        <f aca="false">IF(GA778&lt;&gt;"Y","",IF(COUNTIFS($GA$2:$GA$1000,"Y",$J$2:$J$1000,"&gt;"&amp;J778)+COUNTIFS($GA$2:$GA$1000,"Y",$J$2:$J$1000,J778,$GD$2:$GD$1000,"&lt;"&amp;GD778)+1&lt;=25,COUNTIFS($GA$2:$GA$1000,"Y",$J$2:$J$1000,"&gt;"&amp;J778)+COUNTIFS($GA$2:$GA$1000,"Y",$J$2:$J$1000,J778,$GD$2:$GD$1000,"&lt;"&amp;GD778)+1,""))</f>
        <v/>
      </c>
      <c r="GC778" s="0" t="str">
        <f aca="false">IF(AND(_xlfn.ISFORMULA(C778),_xlfn.ISFORMULA(J778)),"Y","N")</f>
        <v>Y</v>
      </c>
      <c r="GD778" s="0" t="n">
        <f aca="false">ROW()-1</f>
        <v>777</v>
      </c>
    </row>
    <row r="779" customFormat="false" ht="15" hidden="false" customHeight="false" outlineLevel="0" collapsed="false">
      <c r="C779" s="0" t="str">
        <f aca="false">IF($A779="","",IF(AW779="Y",BM779&amp;"",AY779&amp;""))</f>
        <v/>
      </c>
      <c r="D779" s="0" t="str">
        <f aca="false">IF($A779="","",IF(AW779="Y",BN779&amp;"",AZ779&amp;""))</f>
        <v/>
      </c>
      <c r="E779" s="0" t="str">
        <f aca="false">IF($A779="","",IF(AW779="Y",BO779&amp;"",BA779&amp;""))</f>
        <v/>
      </c>
      <c r="F779" s="0" t="str">
        <f aca="false">IF($A779="","",IF(AW779="Y",BP779&amp;"",BB779&amp;""))</f>
        <v/>
      </c>
      <c r="G779" s="0" t="str">
        <f aca="false">IF($A779="","",IF(AW779="Y",BQ779&amp;"",BC779&amp;""))</f>
        <v/>
      </c>
      <c r="H779" s="0" t="str">
        <f aca="false">IF($A779="","",IF(AW779="Y",BR779&amp;"",BD779&amp;""))</f>
        <v/>
      </c>
      <c r="I779" s="0" t="str">
        <f aca="false">IF($A779="","",IF(R779="Y","warm-intro",IF(H779="verified","email",IF(C779&lt;&gt;"","linkedin",CB779&amp;""))))</f>
        <v/>
      </c>
      <c r="J779" s="0" t="str">
        <f aca="false">IF($A779="","",IF(CN779="pass",ROUND(N(EM779)+N(EN779)+N(EO779)+N(EP779)+N(EQ779)+N(ER779),1),0))</f>
        <v/>
      </c>
      <c r="K779" s="0" t="str">
        <f aca="false">IF($A779="","",IF(CN779&lt;&gt;"pass",CA779&amp;"",CA779&amp;"; "&amp;IF(AW779="Y",BZ779&amp;"",BL779&amp;"")&amp;IF(R779="Y","; known to the founder (+15)","")&amp;"."))</f>
        <v/>
      </c>
      <c r="R779" s="5"/>
      <c r="U779" s="5"/>
      <c r="Y779" s="0" t="str">
        <f aca="false">IF(FX779&lt;&gt;"Y","",COUNTIFS($FX$2:$FX$1000,"Y",$J$2:$J$1000,"&gt;"&amp;J779)+COUNTIFS($FX$2:$FX$1000,"Y",$J$2:$J$1000,J779,$GD$2:$GD$1000,"&lt;"&amp;GD779)+1)</f>
        <v/>
      </c>
      <c r="AB779" s="0" t="str">
        <f aca="false">IF($A779="","",IF(AW779="Y",BY779&amp;"",BK779&amp;""))</f>
        <v/>
      </c>
      <c r="AC779" s="0" t="str">
        <f aca="false">IF($A779="","",IF(AW779="Y",BS779&amp;"",BE779&amp;""))</f>
        <v/>
      </c>
      <c r="AD779" s="0" t="str">
        <f aca="false">IF($A779="","",IF(AW779="Y",BT779&amp;"",BF779&amp;""))</f>
        <v/>
      </c>
      <c r="AE779" s="0" t="str">
        <f aca="false">IF($A779="","",IF(AW779="Y",BU779&amp;"",BG779&amp;""))</f>
        <v/>
      </c>
      <c r="AF779" s="0" t="str">
        <f aca="false">IF($A779="","",IF(AW779="Y",BV779&amp;"",BH779&amp;""))</f>
        <v/>
      </c>
      <c r="AG779" s="0" t="str">
        <f aca="false">IF($A779="","",IF(AW779="Y",BW779&amp;"",BI779&amp;""))</f>
        <v/>
      </c>
      <c r="AH779" s="0" t="str">
        <f aca="false">IF($A779="","",IF(AW779="Y",BX779&amp;"",BJ779&amp;""))</f>
        <v/>
      </c>
      <c r="AQ779" s="5"/>
      <c r="AT779" s="0" t="str">
        <f aca="false">IF($A779="","",IF(AND(CN779="pass",AQ779&lt;&gt;"Y",C779&lt;&gt;"",OR(AX779&lt;&gt;"Y",AV779="Y")),"Y","N"))</f>
        <v/>
      </c>
      <c r="AU779" s="0" t="str">
        <f aca="false">IF($A779="","",_xlfn.TEXTJOIN("; ",TRUE(),IF(CN779&lt;&gt;"pass","gated out",""),IF(AQ779="Y","on hold: "&amp;AR779,""),IF(C779="","no contact named on an opened page",""),IF(AND(AX779="Y",AV779&lt;&gt;"Y"),"Tuesday estimate band "&amp;L779&amp;": founder's call","")))</f>
        <v/>
      </c>
      <c r="BC779" s="0" t="str">
        <f aca="false">IF($A779="","",IFERROR(INDEX(Enrichment!$A$2:$GZ$2000,MATCH($A779,INDEX(Enrichment!$A$2:$GZ$2000,0,MATCH("row_id",Enrichment!$A$1:$GZ$1,0)),0),MATCH("work_email",Enrichment!$A$1:$GZ$1,0))&amp;"",""))</f>
        <v/>
      </c>
      <c r="BD779" s="0" t="str">
        <f aca="false">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Q779" s="0" t="str">
        <f aca="false">IF($A779="","",IFERROR(INDEX(Enrichment!$A$2:$GZ$2000,MATCH($A779,INDEX(Enrichment!$A$2:$GZ$2000,0,MATCH("row_id",Enrichment!$A$1:$GZ$1,0)),0),MATCH("backup_work_email",Enrichment!$A$1:$GZ$1,0))&amp;"",""))</f>
        <v/>
      </c>
      <c r="BR779" s="0" t="str">
        <f aca="false">IF($A779="","",IF(BQ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EQ779" s="0" t="str">
        <f aca="false">IF($A779="","",IF(AH779="exact",10,IF(AH779="adjacent",5,0)))</f>
        <v/>
      </c>
      <c r="ER779" s="0" t="str">
        <f aca="false">IF($A779="","",IF(R779="Y",15,0))</f>
        <v/>
      </c>
      <c r="FS779" s="0" t="str">
        <f aca="false">IF($A779="","",IF(ISNUMBER(MATCH(U779,{"queued","contacted","replied","call_booked","call_done","yes_in_principle","materials_sent"},0)),"Y","N"))</f>
        <v/>
      </c>
      <c r="FT779" s="0" t="str">
        <f aca="false">IF($A779="","",IF(OR(T779="Y",U779="do_not_contact",AS779&amp;""&lt;&gt;""),"Y","N"))</f>
        <v/>
      </c>
      <c r="FU779" s="0" t="str">
        <f aca="false">IF($A779="","",IF(AP779&amp;""&lt;&gt;"",AP779&amp;"",$A779))</f>
        <v/>
      </c>
      <c r="FV779" s="0" t="str">
        <f aca="false">IF($A779="","",IF(COUNTIFS($FU$2:$FU$1000,FU779,$FS$2:$FS$1000,"Y")+COUNTIFS($FU$2:$FU$1000,FU779,$FT$2:$FT$1000,"Y")&gt;0,"Y","N"))</f>
        <v/>
      </c>
      <c r="FW779" s="0" t="str">
        <f aca="false">IF($A779="","",IF(AND(U779="new",T779="N",FT779="N",AT779="Y",FV779="N"),"Y","N"))</f>
        <v/>
      </c>
      <c r="FX779" s="0" t="str">
        <f aca="false">IF($A779="","",IF(FW779&lt;&gt;"Y","N",IF(COUNTIFS($FU$2:$FU$1000,FU779,$FW$2:$FW$1000,"Y",$J$2:$J$1000,"&gt;"&amp;J779)+COUNTIFS($FU$2:$FU$1000,FU779,$FW$2:$FW$1000,"Y",$J$2:$J$1000,J779,$GD$2:$GD$1000,"&lt;"&amp;GD779)=0,"Y","N")))</f>
        <v/>
      </c>
      <c r="FY779" s="0" t="str">
        <f aca="false">IF($A779="","",IF(AND(FW779="Y",FX779="Y",Y779&amp;""&lt;&gt;""),IF(Y779&lt;=10,"Y","N"),"N"))</f>
        <v/>
      </c>
      <c r="FZ779" s="0" t="str">
        <f aca="false">IF(FY779="Y",Y779,"")</f>
        <v/>
      </c>
      <c r="GA779" s="0" t="str">
        <f aca="false">IF($A779="","",IF(AND(I779="walk-in",CN779="pass",U779="new",FT779="N",FV779="N",AQ779&lt;&gt;"Y"),"Y","N"))</f>
        <v/>
      </c>
      <c r="GB779" s="0" t="str">
        <f aca="false">IF(GA779&lt;&gt;"Y","",IF(COUNTIFS($GA$2:$GA$1000,"Y",$J$2:$J$1000,"&gt;"&amp;J779)+COUNTIFS($GA$2:$GA$1000,"Y",$J$2:$J$1000,J779,$GD$2:$GD$1000,"&lt;"&amp;GD779)+1&lt;=25,COUNTIFS($GA$2:$GA$1000,"Y",$J$2:$J$1000,"&gt;"&amp;J779)+COUNTIFS($GA$2:$GA$1000,"Y",$J$2:$J$1000,J779,$GD$2:$GD$1000,"&lt;"&amp;GD779)+1,""))</f>
        <v/>
      </c>
      <c r="GC779" s="0" t="str">
        <f aca="false">IF(AND(_xlfn.ISFORMULA(C779),_xlfn.ISFORMULA(J779)),"Y","N")</f>
        <v>Y</v>
      </c>
      <c r="GD779" s="0" t="n">
        <f aca="false">ROW()-1</f>
        <v>778</v>
      </c>
    </row>
    <row r="780" customFormat="false" ht="15" hidden="false" customHeight="false" outlineLevel="0" collapsed="false">
      <c r="C780" s="0" t="str">
        <f aca="false">IF($A780="","",IF(AW780="Y",BM780&amp;"",AY780&amp;""))</f>
        <v/>
      </c>
      <c r="D780" s="0" t="str">
        <f aca="false">IF($A780="","",IF(AW780="Y",BN780&amp;"",AZ780&amp;""))</f>
        <v/>
      </c>
      <c r="E780" s="0" t="str">
        <f aca="false">IF($A780="","",IF(AW780="Y",BO780&amp;"",BA780&amp;""))</f>
        <v/>
      </c>
      <c r="F780" s="0" t="str">
        <f aca="false">IF($A780="","",IF(AW780="Y",BP780&amp;"",BB780&amp;""))</f>
        <v/>
      </c>
      <c r="G780" s="0" t="str">
        <f aca="false">IF($A780="","",IF(AW780="Y",BQ780&amp;"",BC780&amp;""))</f>
        <v/>
      </c>
      <c r="H780" s="0" t="str">
        <f aca="false">IF($A780="","",IF(AW780="Y",BR780&amp;"",BD780&amp;""))</f>
        <v/>
      </c>
      <c r="I780" s="0" t="str">
        <f aca="false">IF($A780="","",IF(R780="Y","warm-intro",IF(H780="verified","email",IF(C780&lt;&gt;"","linkedin",CB780&amp;""))))</f>
        <v/>
      </c>
      <c r="J780" s="0" t="str">
        <f aca="false">IF($A780="","",IF(CN780="pass",ROUND(N(EM780)+N(EN780)+N(EO780)+N(EP780)+N(EQ780)+N(ER780),1),0))</f>
        <v/>
      </c>
      <c r="K780" s="0" t="str">
        <f aca="false">IF($A780="","",IF(CN780&lt;&gt;"pass",CA780&amp;"",CA780&amp;"; "&amp;IF(AW780="Y",BZ780&amp;"",BL780&amp;"")&amp;IF(R780="Y","; known to the founder (+15)","")&amp;"."))</f>
        <v/>
      </c>
      <c r="R780" s="5"/>
      <c r="U780" s="5"/>
      <c r="Y780" s="0" t="str">
        <f aca="false">IF(FX780&lt;&gt;"Y","",COUNTIFS($FX$2:$FX$1000,"Y",$J$2:$J$1000,"&gt;"&amp;J780)+COUNTIFS($FX$2:$FX$1000,"Y",$J$2:$J$1000,J780,$GD$2:$GD$1000,"&lt;"&amp;GD780)+1)</f>
        <v/>
      </c>
      <c r="AB780" s="0" t="str">
        <f aca="false">IF($A780="","",IF(AW780="Y",BY780&amp;"",BK780&amp;""))</f>
        <v/>
      </c>
      <c r="AC780" s="0" t="str">
        <f aca="false">IF($A780="","",IF(AW780="Y",BS780&amp;"",BE780&amp;""))</f>
        <v/>
      </c>
      <c r="AD780" s="0" t="str">
        <f aca="false">IF($A780="","",IF(AW780="Y",BT780&amp;"",BF780&amp;""))</f>
        <v/>
      </c>
      <c r="AE780" s="0" t="str">
        <f aca="false">IF($A780="","",IF(AW780="Y",BU780&amp;"",BG780&amp;""))</f>
        <v/>
      </c>
      <c r="AF780" s="0" t="str">
        <f aca="false">IF($A780="","",IF(AW780="Y",BV780&amp;"",BH780&amp;""))</f>
        <v/>
      </c>
      <c r="AG780" s="0" t="str">
        <f aca="false">IF($A780="","",IF(AW780="Y",BW780&amp;"",BI780&amp;""))</f>
        <v/>
      </c>
      <c r="AH780" s="0" t="str">
        <f aca="false">IF($A780="","",IF(AW780="Y",BX780&amp;"",BJ780&amp;""))</f>
        <v/>
      </c>
      <c r="AQ780" s="5"/>
      <c r="AT780" s="0" t="str">
        <f aca="false">IF($A780="","",IF(AND(CN780="pass",AQ780&lt;&gt;"Y",C780&lt;&gt;"",OR(AX780&lt;&gt;"Y",AV780="Y")),"Y","N"))</f>
        <v/>
      </c>
      <c r="AU780" s="0" t="str">
        <f aca="false">IF($A780="","",_xlfn.TEXTJOIN("; ",TRUE(),IF(CN780&lt;&gt;"pass","gated out",""),IF(AQ780="Y","on hold: "&amp;AR780,""),IF(C780="","no contact named on an opened page",""),IF(AND(AX780="Y",AV780&lt;&gt;"Y"),"Tuesday estimate band "&amp;L780&amp;": founder's call","")))</f>
        <v/>
      </c>
      <c r="BC780" s="0" t="str">
        <f aca="false">IF($A780="","",IFERROR(INDEX(Enrichment!$A$2:$GZ$2000,MATCH($A780,INDEX(Enrichment!$A$2:$GZ$2000,0,MATCH("row_id",Enrichment!$A$1:$GZ$1,0)),0),MATCH("work_email",Enrichment!$A$1:$GZ$1,0))&amp;"",""))</f>
        <v/>
      </c>
      <c r="BD780" s="0" t="str">
        <f aca="false">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Q780" s="0" t="str">
        <f aca="false">IF($A780="","",IFERROR(INDEX(Enrichment!$A$2:$GZ$2000,MATCH($A780,INDEX(Enrichment!$A$2:$GZ$2000,0,MATCH("row_id",Enrichment!$A$1:$GZ$1,0)),0),MATCH("backup_work_email",Enrichment!$A$1:$GZ$1,0))&amp;"",""))</f>
        <v/>
      </c>
      <c r="BR780" s="0" t="str">
        <f aca="false">IF($A780="","",IF(BQ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EQ780" s="0" t="str">
        <f aca="false">IF($A780="","",IF(AH780="exact",10,IF(AH780="adjacent",5,0)))</f>
        <v/>
      </c>
      <c r="ER780" s="0" t="str">
        <f aca="false">IF($A780="","",IF(R780="Y",15,0))</f>
        <v/>
      </c>
      <c r="FS780" s="0" t="str">
        <f aca="false">IF($A780="","",IF(ISNUMBER(MATCH(U780,{"queued","contacted","replied","call_booked","call_done","yes_in_principle","materials_sent"},0)),"Y","N"))</f>
        <v/>
      </c>
      <c r="FT780" s="0" t="str">
        <f aca="false">IF($A780="","",IF(OR(T780="Y",U780="do_not_contact",AS780&amp;""&lt;&gt;""),"Y","N"))</f>
        <v/>
      </c>
      <c r="FU780" s="0" t="str">
        <f aca="false">IF($A780="","",IF(AP780&amp;""&lt;&gt;"",AP780&amp;"",$A780))</f>
        <v/>
      </c>
      <c r="FV780" s="0" t="str">
        <f aca="false">IF($A780="","",IF(COUNTIFS($FU$2:$FU$1000,FU780,$FS$2:$FS$1000,"Y")+COUNTIFS($FU$2:$FU$1000,FU780,$FT$2:$FT$1000,"Y")&gt;0,"Y","N"))</f>
        <v/>
      </c>
      <c r="FW780" s="0" t="str">
        <f aca="false">IF($A780="","",IF(AND(U780="new",T780="N",FT780="N",AT780="Y",FV780="N"),"Y","N"))</f>
        <v/>
      </c>
      <c r="FX780" s="0" t="str">
        <f aca="false">IF($A780="","",IF(FW780&lt;&gt;"Y","N",IF(COUNTIFS($FU$2:$FU$1000,FU780,$FW$2:$FW$1000,"Y",$J$2:$J$1000,"&gt;"&amp;J780)+COUNTIFS($FU$2:$FU$1000,FU780,$FW$2:$FW$1000,"Y",$J$2:$J$1000,J780,$GD$2:$GD$1000,"&lt;"&amp;GD780)=0,"Y","N")))</f>
        <v/>
      </c>
      <c r="FY780" s="0" t="str">
        <f aca="false">IF($A780="","",IF(AND(FW780="Y",FX780="Y",Y780&amp;""&lt;&gt;""),IF(Y780&lt;=10,"Y","N"),"N"))</f>
        <v/>
      </c>
      <c r="FZ780" s="0" t="str">
        <f aca="false">IF(FY780="Y",Y780,"")</f>
        <v/>
      </c>
      <c r="GA780" s="0" t="str">
        <f aca="false">IF($A780="","",IF(AND(I780="walk-in",CN780="pass",U780="new",FT780="N",FV780="N",AQ780&lt;&gt;"Y"),"Y","N"))</f>
        <v/>
      </c>
      <c r="GB780" s="0" t="str">
        <f aca="false">IF(GA780&lt;&gt;"Y","",IF(COUNTIFS($GA$2:$GA$1000,"Y",$J$2:$J$1000,"&gt;"&amp;J780)+COUNTIFS($GA$2:$GA$1000,"Y",$J$2:$J$1000,J780,$GD$2:$GD$1000,"&lt;"&amp;GD780)+1&lt;=25,COUNTIFS($GA$2:$GA$1000,"Y",$J$2:$J$1000,"&gt;"&amp;J780)+COUNTIFS($GA$2:$GA$1000,"Y",$J$2:$J$1000,J780,$GD$2:$GD$1000,"&lt;"&amp;GD780)+1,""))</f>
        <v/>
      </c>
      <c r="GC780" s="0" t="str">
        <f aca="false">IF(AND(_xlfn.ISFORMULA(C780),_xlfn.ISFORMULA(J780)),"Y","N")</f>
        <v>Y</v>
      </c>
      <c r="GD780" s="0" t="n">
        <f aca="false">ROW()-1</f>
        <v>779</v>
      </c>
    </row>
    <row r="781" customFormat="false" ht="15" hidden="false" customHeight="false" outlineLevel="0" collapsed="false">
      <c r="C781" s="0" t="str">
        <f aca="false">IF($A781="","",IF(AW781="Y",BM781&amp;"",AY781&amp;""))</f>
        <v/>
      </c>
      <c r="D781" s="0" t="str">
        <f aca="false">IF($A781="","",IF(AW781="Y",BN781&amp;"",AZ781&amp;""))</f>
        <v/>
      </c>
      <c r="E781" s="0" t="str">
        <f aca="false">IF($A781="","",IF(AW781="Y",BO781&amp;"",BA781&amp;""))</f>
        <v/>
      </c>
      <c r="F781" s="0" t="str">
        <f aca="false">IF($A781="","",IF(AW781="Y",BP781&amp;"",BB781&amp;""))</f>
        <v/>
      </c>
      <c r="G781" s="0" t="str">
        <f aca="false">IF($A781="","",IF(AW781="Y",BQ781&amp;"",BC781&amp;""))</f>
        <v/>
      </c>
      <c r="H781" s="0" t="str">
        <f aca="false">IF($A781="","",IF(AW781="Y",BR781&amp;"",BD781&amp;""))</f>
        <v/>
      </c>
      <c r="I781" s="0" t="str">
        <f aca="false">IF($A781="","",IF(R781="Y","warm-intro",IF(H781="verified","email",IF(C781&lt;&gt;"","linkedin",CB781&amp;""))))</f>
        <v/>
      </c>
      <c r="J781" s="0" t="str">
        <f aca="false">IF($A781="","",IF(CN781="pass",ROUND(N(EM781)+N(EN781)+N(EO781)+N(EP781)+N(EQ781)+N(ER781),1),0))</f>
        <v/>
      </c>
      <c r="K781" s="0" t="str">
        <f aca="false">IF($A781="","",IF(CN781&lt;&gt;"pass",CA781&amp;"",CA781&amp;"; "&amp;IF(AW781="Y",BZ781&amp;"",BL781&amp;"")&amp;IF(R781="Y","; known to the founder (+15)","")&amp;"."))</f>
        <v/>
      </c>
      <c r="R781" s="5"/>
      <c r="U781" s="5"/>
      <c r="Y781" s="0" t="str">
        <f aca="false">IF(FX781&lt;&gt;"Y","",COUNTIFS($FX$2:$FX$1000,"Y",$J$2:$J$1000,"&gt;"&amp;J781)+COUNTIFS($FX$2:$FX$1000,"Y",$J$2:$J$1000,J781,$GD$2:$GD$1000,"&lt;"&amp;GD781)+1)</f>
        <v/>
      </c>
      <c r="AB781" s="0" t="str">
        <f aca="false">IF($A781="","",IF(AW781="Y",BY781&amp;"",BK781&amp;""))</f>
        <v/>
      </c>
      <c r="AC781" s="0" t="str">
        <f aca="false">IF($A781="","",IF(AW781="Y",BS781&amp;"",BE781&amp;""))</f>
        <v/>
      </c>
      <c r="AD781" s="0" t="str">
        <f aca="false">IF($A781="","",IF(AW781="Y",BT781&amp;"",BF781&amp;""))</f>
        <v/>
      </c>
      <c r="AE781" s="0" t="str">
        <f aca="false">IF($A781="","",IF(AW781="Y",BU781&amp;"",BG781&amp;""))</f>
        <v/>
      </c>
      <c r="AF781" s="0" t="str">
        <f aca="false">IF($A781="","",IF(AW781="Y",BV781&amp;"",BH781&amp;""))</f>
        <v/>
      </c>
      <c r="AG781" s="0" t="str">
        <f aca="false">IF($A781="","",IF(AW781="Y",BW781&amp;"",BI781&amp;""))</f>
        <v/>
      </c>
      <c r="AH781" s="0" t="str">
        <f aca="false">IF($A781="","",IF(AW781="Y",BX781&amp;"",BJ781&amp;""))</f>
        <v/>
      </c>
      <c r="AQ781" s="5"/>
      <c r="AT781" s="0" t="str">
        <f aca="false">IF($A781="","",IF(AND(CN781="pass",AQ781&lt;&gt;"Y",C781&lt;&gt;"",OR(AX781&lt;&gt;"Y",AV781="Y")),"Y","N"))</f>
        <v/>
      </c>
      <c r="AU781" s="0" t="str">
        <f aca="false">IF($A781="","",_xlfn.TEXTJOIN("; ",TRUE(),IF(CN781&lt;&gt;"pass","gated out",""),IF(AQ781="Y","on hold: "&amp;AR781,""),IF(C781="","no contact named on an opened page",""),IF(AND(AX781="Y",AV781&lt;&gt;"Y"),"Tuesday estimate band "&amp;L781&amp;": founder's call","")))</f>
        <v/>
      </c>
      <c r="BC781" s="0" t="str">
        <f aca="false">IF($A781="","",IFERROR(INDEX(Enrichment!$A$2:$GZ$2000,MATCH($A781,INDEX(Enrichment!$A$2:$GZ$2000,0,MATCH("row_id",Enrichment!$A$1:$GZ$1,0)),0),MATCH("work_email",Enrichment!$A$1:$GZ$1,0))&amp;"",""))</f>
        <v/>
      </c>
      <c r="BD781" s="0" t="str">
        <f aca="false">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Q781" s="0" t="str">
        <f aca="false">IF($A781="","",IFERROR(INDEX(Enrichment!$A$2:$GZ$2000,MATCH($A781,INDEX(Enrichment!$A$2:$GZ$2000,0,MATCH("row_id",Enrichment!$A$1:$GZ$1,0)),0),MATCH("backup_work_email",Enrichment!$A$1:$GZ$1,0))&amp;"",""))</f>
        <v/>
      </c>
      <c r="BR781" s="0" t="str">
        <f aca="false">IF($A781="","",IF(BQ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EQ781" s="0" t="str">
        <f aca="false">IF($A781="","",IF(AH781="exact",10,IF(AH781="adjacent",5,0)))</f>
        <v/>
      </c>
      <c r="ER781" s="0" t="str">
        <f aca="false">IF($A781="","",IF(R781="Y",15,0))</f>
        <v/>
      </c>
      <c r="FS781" s="0" t="str">
        <f aca="false">IF($A781="","",IF(ISNUMBER(MATCH(U781,{"queued","contacted","replied","call_booked","call_done","yes_in_principle","materials_sent"},0)),"Y","N"))</f>
        <v/>
      </c>
      <c r="FT781" s="0" t="str">
        <f aca="false">IF($A781="","",IF(OR(T781="Y",U781="do_not_contact",AS781&amp;""&lt;&gt;""),"Y","N"))</f>
        <v/>
      </c>
      <c r="FU781" s="0" t="str">
        <f aca="false">IF($A781="","",IF(AP781&amp;""&lt;&gt;"",AP781&amp;"",$A781))</f>
        <v/>
      </c>
      <c r="FV781" s="0" t="str">
        <f aca="false">IF($A781="","",IF(COUNTIFS($FU$2:$FU$1000,FU781,$FS$2:$FS$1000,"Y")+COUNTIFS($FU$2:$FU$1000,FU781,$FT$2:$FT$1000,"Y")&gt;0,"Y","N"))</f>
        <v/>
      </c>
      <c r="FW781" s="0" t="str">
        <f aca="false">IF($A781="","",IF(AND(U781="new",T781="N",FT781="N",AT781="Y",FV781="N"),"Y","N"))</f>
        <v/>
      </c>
      <c r="FX781" s="0" t="str">
        <f aca="false">IF($A781="","",IF(FW781&lt;&gt;"Y","N",IF(COUNTIFS($FU$2:$FU$1000,FU781,$FW$2:$FW$1000,"Y",$J$2:$J$1000,"&gt;"&amp;J781)+COUNTIFS($FU$2:$FU$1000,FU781,$FW$2:$FW$1000,"Y",$J$2:$J$1000,J781,$GD$2:$GD$1000,"&lt;"&amp;GD781)=0,"Y","N")))</f>
        <v/>
      </c>
      <c r="FY781" s="0" t="str">
        <f aca="false">IF($A781="","",IF(AND(FW781="Y",FX781="Y",Y781&amp;""&lt;&gt;""),IF(Y781&lt;=10,"Y","N"),"N"))</f>
        <v/>
      </c>
      <c r="FZ781" s="0" t="str">
        <f aca="false">IF(FY781="Y",Y781,"")</f>
        <v/>
      </c>
      <c r="GA781" s="0" t="str">
        <f aca="false">IF($A781="","",IF(AND(I781="walk-in",CN781="pass",U781="new",FT781="N",FV781="N",AQ781&lt;&gt;"Y"),"Y","N"))</f>
        <v/>
      </c>
      <c r="GB781" s="0" t="str">
        <f aca="false">IF(GA781&lt;&gt;"Y","",IF(COUNTIFS($GA$2:$GA$1000,"Y",$J$2:$J$1000,"&gt;"&amp;J781)+COUNTIFS($GA$2:$GA$1000,"Y",$J$2:$J$1000,J781,$GD$2:$GD$1000,"&lt;"&amp;GD781)+1&lt;=25,COUNTIFS($GA$2:$GA$1000,"Y",$J$2:$J$1000,"&gt;"&amp;J781)+COUNTIFS($GA$2:$GA$1000,"Y",$J$2:$J$1000,J781,$GD$2:$GD$1000,"&lt;"&amp;GD781)+1,""))</f>
        <v/>
      </c>
      <c r="GC781" s="0" t="str">
        <f aca="false">IF(AND(_xlfn.ISFORMULA(C781),_xlfn.ISFORMULA(J781)),"Y","N")</f>
        <v>Y</v>
      </c>
      <c r="GD781" s="0" t="n">
        <f aca="false">ROW()-1</f>
        <v>780</v>
      </c>
    </row>
    <row r="782" customFormat="false" ht="15" hidden="false" customHeight="false" outlineLevel="0" collapsed="false">
      <c r="C782" s="0" t="str">
        <f aca="false">IF($A782="","",IF(AW782="Y",BM782&amp;"",AY782&amp;""))</f>
        <v/>
      </c>
      <c r="D782" s="0" t="str">
        <f aca="false">IF($A782="","",IF(AW782="Y",BN782&amp;"",AZ782&amp;""))</f>
        <v/>
      </c>
      <c r="E782" s="0" t="str">
        <f aca="false">IF($A782="","",IF(AW782="Y",BO782&amp;"",BA782&amp;""))</f>
        <v/>
      </c>
      <c r="F782" s="0" t="str">
        <f aca="false">IF($A782="","",IF(AW782="Y",BP782&amp;"",BB782&amp;""))</f>
        <v/>
      </c>
      <c r="G782" s="0" t="str">
        <f aca="false">IF($A782="","",IF(AW782="Y",BQ782&amp;"",BC782&amp;""))</f>
        <v/>
      </c>
      <c r="H782" s="0" t="str">
        <f aca="false">IF($A782="","",IF(AW782="Y",BR782&amp;"",BD782&amp;""))</f>
        <v/>
      </c>
      <c r="I782" s="0" t="str">
        <f aca="false">IF($A782="","",IF(R782="Y","warm-intro",IF(H782="verified","email",IF(C782&lt;&gt;"","linkedin",CB782&amp;""))))</f>
        <v/>
      </c>
      <c r="J782" s="0" t="str">
        <f aca="false">IF($A782="","",IF(CN782="pass",ROUND(N(EM782)+N(EN782)+N(EO782)+N(EP782)+N(EQ782)+N(ER782),1),0))</f>
        <v/>
      </c>
      <c r="K782" s="0" t="str">
        <f aca="false">IF($A782="","",IF(CN782&lt;&gt;"pass",CA782&amp;"",CA782&amp;"; "&amp;IF(AW782="Y",BZ782&amp;"",BL782&amp;"")&amp;IF(R782="Y","; known to the founder (+15)","")&amp;"."))</f>
        <v/>
      </c>
      <c r="R782" s="5"/>
      <c r="U782" s="5"/>
      <c r="Y782" s="0" t="str">
        <f aca="false">IF(FX782&lt;&gt;"Y","",COUNTIFS($FX$2:$FX$1000,"Y",$J$2:$J$1000,"&gt;"&amp;J782)+COUNTIFS($FX$2:$FX$1000,"Y",$J$2:$J$1000,J782,$GD$2:$GD$1000,"&lt;"&amp;GD782)+1)</f>
        <v/>
      </c>
      <c r="AB782" s="0" t="str">
        <f aca="false">IF($A782="","",IF(AW782="Y",BY782&amp;"",BK782&amp;""))</f>
        <v/>
      </c>
      <c r="AC782" s="0" t="str">
        <f aca="false">IF($A782="","",IF(AW782="Y",BS782&amp;"",BE782&amp;""))</f>
        <v/>
      </c>
      <c r="AD782" s="0" t="str">
        <f aca="false">IF($A782="","",IF(AW782="Y",BT782&amp;"",BF782&amp;""))</f>
        <v/>
      </c>
      <c r="AE782" s="0" t="str">
        <f aca="false">IF($A782="","",IF(AW782="Y",BU782&amp;"",BG782&amp;""))</f>
        <v/>
      </c>
      <c r="AF782" s="0" t="str">
        <f aca="false">IF($A782="","",IF(AW782="Y",BV782&amp;"",BH782&amp;""))</f>
        <v/>
      </c>
      <c r="AG782" s="0" t="str">
        <f aca="false">IF($A782="","",IF(AW782="Y",BW782&amp;"",BI782&amp;""))</f>
        <v/>
      </c>
      <c r="AH782" s="0" t="str">
        <f aca="false">IF($A782="","",IF(AW782="Y",BX782&amp;"",BJ782&amp;""))</f>
        <v/>
      </c>
      <c r="AQ782" s="5"/>
      <c r="AT782" s="0" t="str">
        <f aca="false">IF($A782="","",IF(AND(CN782="pass",AQ782&lt;&gt;"Y",C782&lt;&gt;"",OR(AX782&lt;&gt;"Y",AV782="Y")),"Y","N"))</f>
        <v/>
      </c>
      <c r="AU782" s="0" t="str">
        <f aca="false">IF($A782="","",_xlfn.TEXTJOIN("; ",TRUE(),IF(CN782&lt;&gt;"pass","gated out",""),IF(AQ782="Y","on hold: "&amp;AR782,""),IF(C782="","no contact named on an opened page",""),IF(AND(AX782="Y",AV782&lt;&gt;"Y"),"Tuesday estimate band "&amp;L782&amp;": founder's call","")))</f>
        <v/>
      </c>
      <c r="BC782" s="0" t="str">
        <f aca="false">IF($A782="","",IFERROR(INDEX(Enrichment!$A$2:$GZ$2000,MATCH($A782,INDEX(Enrichment!$A$2:$GZ$2000,0,MATCH("row_id",Enrichment!$A$1:$GZ$1,0)),0),MATCH("work_email",Enrichment!$A$1:$GZ$1,0))&amp;"",""))</f>
        <v/>
      </c>
      <c r="BD782" s="0" t="str">
        <f aca="false">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Q782" s="0" t="str">
        <f aca="false">IF($A782="","",IFERROR(INDEX(Enrichment!$A$2:$GZ$2000,MATCH($A782,INDEX(Enrichment!$A$2:$GZ$2000,0,MATCH("row_id",Enrichment!$A$1:$GZ$1,0)),0),MATCH("backup_work_email",Enrichment!$A$1:$GZ$1,0))&amp;"",""))</f>
        <v/>
      </c>
      <c r="BR782" s="0" t="str">
        <f aca="false">IF($A782="","",IF(BQ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EQ782" s="0" t="str">
        <f aca="false">IF($A782="","",IF(AH782="exact",10,IF(AH782="adjacent",5,0)))</f>
        <v/>
      </c>
      <c r="ER782" s="0" t="str">
        <f aca="false">IF($A782="","",IF(R782="Y",15,0))</f>
        <v/>
      </c>
      <c r="FS782" s="0" t="str">
        <f aca="false">IF($A782="","",IF(ISNUMBER(MATCH(U782,{"queued","contacted","replied","call_booked","call_done","yes_in_principle","materials_sent"},0)),"Y","N"))</f>
        <v/>
      </c>
      <c r="FT782" s="0" t="str">
        <f aca="false">IF($A782="","",IF(OR(T782="Y",U782="do_not_contact",AS782&amp;""&lt;&gt;""),"Y","N"))</f>
        <v/>
      </c>
      <c r="FU782" s="0" t="str">
        <f aca="false">IF($A782="","",IF(AP782&amp;""&lt;&gt;"",AP782&amp;"",$A782))</f>
        <v/>
      </c>
      <c r="FV782" s="0" t="str">
        <f aca="false">IF($A782="","",IF(COUNTIFS($FU$2:$FU$1000,FU782,$FS$2:$FS$1000,"Y")+COUNTIFS($FU$2:$FU$1000,FU782,$FT$2:$FT$1000,"Y")&gt;0,"Y","N"))</f>
        <v/>
      </c>
      <c r="FW782" s="0" t="str">
        <f aca="false">IF($A782="","",IF(AND(U782="new",T782="N",FT782="N",AT782="Y",FV782="N"),"Y","N"))</f>
        <v/>
      </c>
      <c r="FX782" s="0" t="str">
        <f aca="false">IF($A782="","",IF(FW782&lt;&gt;"Y","N",IF(COUNTIFS($FU$2:$FU$1000,FU782,$FW$2:$FW$1000,"Y",$J$2:$J$1000,"&gt;"&amp;J782)+COUNTIFS($FU$2:$FU$1000,FU782,$FW$2:$FW$1000,"Y",$J$2:$J$1000,J782,$GD$2:$GD$1000,"&lt;"&amp;GD782)=0,"Y","N")))</f>
        <v/>
      </c>
      <c r="FY782" s="0" t="str">
        <f aca="false">IF($A782="","",IF(AND(FW782="Y",FX782="Y",Y782&amp;""&lt;&gt;""),IF(Y782&lt;=10,"Y","N"),"N"))</f>
        <v/>
      </c>
      <c r="FZ782" s="0" t="str">
        <f aca="false">IF(FY782="Y",Y782,"")</f>
        <v/>
      </c>
      <c r="GA782" s="0" t="str">
        <f aca="false">IF($A782="","",IF(AND(I782="walk-in",CN782="pass",U782="new",FT782="N",FV782="N",AQ782&lt;&gt;"Y"),"Y","N"))</f>
        <v/>
      </c>
      <c r="GB782" s="0" t="str">
        <f aca="false">IF(GA782&lt;&gt;"Y","",IF(COUNTIFS($GA$2:$GA$1000,"Y",$J$2:$J$1000,"&gt;"&amp;J782)+COUNTIFS($GA$2:$GA$1000,"Y",$J$2:$J$1000,J782,$GD$2:$GD$1000,"&lt;"&amp;GD782)+1&lt;=25,COUNTIFS($GA$2:$GA$1000,"Y",$J$2:$J$1000,"&gt;"&amp;J782)+COUNTIFS($GA$2:$GA$1000,"Y",$J$2:$J$1000,J782,$GD$2:$GD$1000,"&lt;"&amp;GD782)+1,""))</f>
        <v/>
      </c>
      <c r="GC782" s="0" t="str">
        <f aca="false">IF(AND(_xlfn.ISFORMULA(C782),_xlfn.ISFORMULA(J782)),"Y","N")</f>
        <v>Y</v>
      </c>
      <c r="GD782" s="0" t="n">
        <f aca="false">ROW()-1</f>
        <v>781</v>
      </c>
    </row>
    <row r="783" customFormat="false" ht="15" hidden="false" customHeight="false" outlineLevel="0" collapsed="false">
      <c r="C783" s="0" t="str">
        <f aca="false">IF($A783="","",IF(AW783="Y",BM783&amp;"",AY783&amp;""))</f>
        <v/>
      </c>
      <c r="D783" s="0" t="str">
        <f aca="false">IF($A783="","",IF(AW783="Y",BN783&amp;"",AZ783&amp;""))</f>
        <v/>
      </c>
      <c r="E783" s="0" t="str">
        <f aca="false">IF($A783="","",IF(AW783="Y",BO783&amp;"",BA783&amp;""))</f>
        <v/>
      </c>
      <c r="F783" s="0" t="str">
        <f aca="false">IF($A783="","",IF(AW783="Y",BP783&amp;"",BB783&amp;""))</f>
        <v/>
      </c>
      <c r="G783" s="0" t="str">
        <f aca="false">IF($A783="","",IF(AW783="Y",BQ783&amp;"",BC783&amp;""))</f>
        <v/>
      </c>
      <c r="H783" s="0" t="str">
        <f aca="false">IF($A783="","",IF(AW783="Y",BR783&amp;"",BD783&amp;""))</f>
        <v/>
      </c>
      <c r="I783" s="0" t="str">
        <f aca="false">IF($A783="","",IF(R783="Y","warm-intro",IF(H783="verified","email",IF(C783&lt;&gt;"","linkedin",CB783&amp;""))))</f>
        <v/>
      </c>
      <c r="J783" s="0" t="str">
        <f aca="false">IF($A783="","",IF(CN783="pass",ROUND(N(EM783)+N(EN783)+N(EO783)+N(EP783)+N(EQ783)+N(ER783),1),0))</f>
        <v/>
      </c>
      <c r="K783" s="0" t="str">
        <f aca="false">IF($A783="","",IF(CN783&lt;&gt;"pass",CA783&amp;"",CA783&amp;"; "&amp;IF(AW783="Y",BZ783&amp;"",BL783&amp;"")&amp;IF(R783="Y","; known to the founder (+15)","")&amp;"."))</f>
        <v/>
      </c>
      <c r="R783" s="5"/>
      <c r="U783" s="5"/>
      <c r="Y783" s="0" t="str">
        <f aca="false">IF(FX783&lt;&gt;"Y","",COUNTIFS($FX$2:$FX$1000,"Y",$J$2:$J$1000,"&gt;"&amp;J783)+COUNTIFS($FX$2:$FX$1000,"Y",$J$2:$J$1000,J783,$GD$2:$GD$1000,"&lt;"&amp;GD783)+1)</f>
        <v/>
      </c>
      <c r="AB783" s="0" t="str">
        <f aca="false">IF($A783="","",IF(AW783="Y",BY783&amp;"",BK783&amp;""))</f>
        <v/>
      </c>
      <c r="AC783" s="0" t="str">
        <f aca="false">IF($A783="","",IF(AW783="Y",BS783&amp;"",BE783&amp;""))</f>
        <v/>
      </c>
      <c r="AD783" s="0" t="str">
        <f aca="false">IF($A783="","",IF(AW783="Y",BT783&amp;"",BF783&amp;""))</f>
        <v/>
      </c>
      <c r="AE783" s="0" t="str">
        <f aca="false">IF($A783="","",IF(AW783="Y",BU783&amp;"",BG783&amp;""))</f>
        <v/>
      </c>
      <c r="AF783" s="0" t="str">
        <f aca="false">IF($A783="","",IF(AW783="Y",BV783&amp;"",BH783&amp;""))</f>
        <v/>
      </c>
      <c r="AG783" s="0" t="str">
        <f aca="false">IF($A783="","",IF(AW783="Y",BW783&amp;"",BI783&amp;""))</f>
        <v/>
      </c>
      <c r="AH783" s="0" t="str">
        <f aca="false">IF($A783="","",IF(AW783="Y",BX783&amp;"",BJ783&amp;""))</f>
        <v/>
      </c>
      <c r="AQ783" s="5"/>
      <c r="AT783" s="0" t="str">
        <f aca="false">IF($A783="","",IF(AND(CN783="pass",AQ783&lt;&gt;"Y",C783&lt;&gt;"",OR(AX783&lt;&gt;"Y",AV783="Y")),"Y","N"))</f>
        <v/>
      </c>
      <c r="AU783" s="0" t="str">
        <f aca="false">IF($A783="","",_xlfn.TEXTJOIN("; ",TRUE(),IF(CN783&lt;&gt;"pass","gated out",""),IF(AQ783="Y","on hold: "&amp;AR783,""),IF(C783="","no contact named on an opened page",""),IF(AND(AX783="Y",AV783&lt;&gt;"Y"),"Tuesday estimate band "&amp;L783&amp;": founder's call","")))</f>
        <v/>
      </c>
      <c r="BC783" s="0" t="str">
        <f aca="false">IF($A783="","",IFERROR(INDEX(Enrichment!$A$2:$GZ$2000,MATCH($A783,INDEX(Enrichment!$A$2:$GZ$2000,0,MATCH("row_id",Enrichment!$A$1:$GZ$1,0)),0),MATCH("work_email",Enrichment!$A$1:$GZ$1,0))&amp;"",""))</f>
        <v/>
      </c>
      <c r="BD783" s="0" t="str">
        <f aca="false">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Q783" s="0" t="str">
        <f aca="false">IF($A783="","",IFERROR(INDEX(Enrichment!$A$2:$GZ$2000,MATCH($A783,INDEX(Enrichment!$A$2:$GZ$2000,0,MATCH("row_id",Enrichment!$A$1:$GZ$1,0)),0),MATCH("backup_work_email",Enrichment!$A$1:$GZ$1,0))&amp;"",""))</f>
        <v/>
      </c>
      <c r="BR783" s="0" t="str">
        <f aca="false">IF($A783="","",IF(BQ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EQ783" s="0" t="str">
        <f aca="false">IF($A783="","",IF(AH783="exact",10,IF(AH783="adjacent",5,0)))</f>
        <v/>
      </c>
      <c r="ER783" s="0" t="str">
        <f aca="false">IF($A783="","",IF(R783="Y",15,0))</f>
        <v/>
      </c>
      <c r="FS783" s="0" t="str">
        <f aca="false">IF($A783="","",IF(ISNUMBER(MATCH(U783,{"queued","contacted","replied","call_booked","call_done","yes_in_principle","materials_sent"},0)),"Y","N"))</f>
        <v/>
      </c>
      <c r="FT783" s="0" t="str">
        <f aca="false">IF($A783="","",IF(OR(T783="Y",U783="do_not_contact",AS783&amp;""&lt;&gt;""),"Y","N"))</f>
        <v/>
      </c>
      <c r="FU783" s="0" t="str">
        <f aca="false">IF($A783="","",IF(AP783&amp;""&lt;&gt;"",AP783&amp;"",$A783))</f>
        <v/>
      </c>
      <c r="FV783" s="0" t="str">
        <f aca="false">IF($A783="","",IF(COUNTIFS($FU$2:$FU$1000,FU783,$FS$2:$FS$1000,"Y")+COUNTIFS($FU$2:$FU$1000,FU783,$FT$2:$FT$1000,"Y")&gt;0,"Y","N"))</f>
        <v/>
      </c>
      <c r="FW783" s="0" t="str">
        <f aca="false">IF($A783="","",IF(AND(U783="new",T783="N",FT783="N",AT783="Y",FV783="N"),"Y","N"))</f>
        <v/>
      </c>
      <c r="FX783" s="0" t="str">
        <f aca="false">IF($A783="","",IF(FW783&lt;&gt;"Y","N",IF(COUNTIFS($FU$2:$FU$1000,FU783,$FW$2:$FW$1000,"Y",$J$2:$J$1000,"&gt;"&amp;J783)+COUNTIFS($FU$2:$FU$1000,FU783,$FW$2:$FW$1000,"Y",$J$2:$J$1000,J783,$GD$2:$GD$1000,"&lt;"&amp;GD783)=0,"Y","N")))</f>
        <v/>
      </c>
      <c r="FY783" s="0" t="str">
        <f aca="false">IF($A783="","",IF(AND(FW783="Y",FX783="Y",Y783&amp;""&lt;&gt;""),IF(Y783&lt;=10,"Y","N"),"N"))</f>
        <v/>
      </c>
      <c r="FZ783" s="0" t="str">
        <f aca="false">IF(FY783="Y",Y783,"")</f>
        <v/>
      </c>
      <c r="GA783" s="0" t="str">
        <f aca="false">IF($A783="","",IF(AND(I783="walk-in",CN783="pass",U783="new",FT783="N",FV783="N",AQ783&lt;&gt;"Y"),"Y","N"))</f>
        <v/>
      </c>
      <c r="GB783" s="0" t="str">
        <f aca="false">IF(GA783&lt;&gt;"Y","",IF(COUNTIFS($GA$2:$GA$1000,"Y",$J$2:$J$1000,"&gt;"&amp;J783)+COUNTIFS($GA$2:$GA$1000,"Y",$J$2:$J$1000,J783,$GD$2:$GD$1000,"&lt;"&amp;GD783)+1&lt;=25,COUNTIFS($GA$2:$GA$1000,"Y",$J$2:$J$1000,"&gt;"&amp;J783)+COUNTIFS($GA$2:$GA$1000,"Y",$J$2:$J$1000,J783,$GD$2:$GD$1000,"&lt;"&amp;GD783)+1,""))</f>
        <v/>
      </c>
      <c r="GC783" s="0" t="str">
        <f aca="false">IF(AND(_xlfn.ISFORMULA(C783),_xlfn.ISFORMULA(J783)),"Y","N")</f>
        <v>Y</v>
      </c>
      <c r="GD783" s="0" t="n">
        <f aca="false">ROW()-1</f>
        <v>782</v>
      </c>
    </row>
    <row r="784" customFormat="false" ht="15" hidden="false" customHeight="false" outlineLevel="0" collapsed="false">
      <c r="C784" s="0" t="str">
        <f aca="false">IF($A784="","",IF(AW784="Y",BM784&amp;"",AY784&amp;""))</f>
        <v/>
      </c>
      <c r="D784" s="0" t="str">
        <f aca="false">IF($A784="","",IF(AW784="Y",BN784&amp;"",AZ784&amp;""))</f>
        <v/>
      </c>
      <c r="E784" s="0" t="str">
        <f aca="false">IF($A784="","",IF(AW784="Y",BO784&amp;"",BA784&amp;""))</f>
        <v/>
      </c>
      <c r="F784" s="0" t="str">
        <f aca="false">IF($A784="","",IF(AW784="Y",BP784&amp;"",BB784&amp;""))</f>
        <v/>
      </c>
      <c r="G784" s="0" t="str">
        <f aca="false">IF($A784="","",IF(AW784="Y",BQ784&amp;"",BC784&amp;""))</f>
        <v/>
      </c>
      <c r="H784" s="0" t="str">
        <f aca="false">IF($A784="","",IF(AW784="Y",BR784&amp;"",BD784&amp;""))</f>
        <v/>
      </c>
      <c r="I784" s="0" t="str">
        <f aca="false">IF($A784="","",IF(R784="Y","warm-intro",IF(H784="verified","email",IF(C784&lt;&gt;"","linkedin",CB784&amp;""))))</f>
        <v/>
      </c>
      <c r="J784" s="0" t="str">
        <f aca="false">IF($A784="","",IF(CN784="pass",ROUND(N(EM784)+N(EN784)+N(EO784)+N(EP784)+N(EQ784)+N(ER784),1),0))</f>
        <v/>
      </c>
      <c r="K784" s="0" t="str">
        <f aca="false">IF($A784="","",IF(CN784&lt;&gt;"pass",CA784&amp;"",CA784&amp;"; "&amp;IF(AW784="Y",BZ784&amp;"",BL784&amp;"")&amp;IF(R784="Y","; known to the founder (+15)","")&amp;"."))</f>
        <v/>
      </c>
      <c r="R784" s="5"/>
      <c r="U784" s="5"/>
      <c r="Y784" s="0" t="str">
        <f aca="false">IF(FX784&lt;&gt;"Y","",COUNTIFS($FX$2:$FX$1000,"Y",$J$2:$J$1000,"&gt;"&amp;J784)+COUNTIFS($FX$2:$FX$1000,"Y",$J$2:$J$1000,J784,$GD$2:$GD$1000,"&lt;"&amp;GD784)+1)</f>
        <v/>
      </c>
      <c r="AB784" s="0" t="str">
        <f aca="false">IF($A784="","",IF(AW784="Y",BY784&amp;"",BK784&amp;""))</f>
        <v/>
      </c>
      <c r="AC784" s="0" t="str">
        <f aca="false">IF($A784="","",IF(AW784="Y",BS784&amp;"",BE784&amp;""))</f>
        <v/>
      </c>
      <c r="AD784" s="0" t="str">
        <f aca="false">IF($A784="","",IF(AW784="Y",BT784&amp;"",BF784&amp;""))</f>
        <v/>
      </c>
      <c r="AE784" s="0" t="str">
        <f aca="false">IF($A784="","",IF(AW784="Y",BU784&amp;"",BG784&amp;""))</f>
        <v/>
      </c>
      <c r="AF784" s="0" t="str">
        <f aca="false">IF($A784="","",IF(AW784="Y",BV784&amp;"",BH784&amp;""))</f>
        <v/>
      </c>
      <c r="AG784" s="0" t="str">
        <f aca="false">IF($A784="","",IF(AW784="Y",BW784&amp;"",BI784&amp;""))</f>
        <v/>
      </c>
      <c r="AH784" s="0" t="str">
        <f aca="false">IF($A784="","",IF(AW784="Y",BX784&amp;"",BJ784&amp;""))</f>
        <v/>
      </c>
      <c r="AQ784" s="5"/>
      <c r="AT784" s="0" t="str">
        <f aca="false">IF($A784="","",IF(AND(CN784="pass",AQ784&lt;&gt;"Y",C784&lt;&gt;"",OR(AX784&lt;&gt;"Y",AV784="Y")),"Y","N"))</f>
        <v/>
      </c>
      <c r="AU784" s="0" t="str">
        <f aca="false">IF($A784="","",_xlfn.TEXTJOIN("; ",TRUE(),IF(CN784&lt;&gt;"pass","gated out",""),IF(AQ784="Y","on hold: "&amp;AR784,""),IF(C784="","no contact named on an opened page",""),IF(AND(AX784="Y",AV784&lt;&gt;"Y"),"Tuesday estimate band "&amp;L784&amp;": founder's call","")))</f>
        <v/>
      </c>
      <c r="BC784" s="0" t="str">
        <f aca="false">IF($A784="","",IFERROR(INDEX(Enrichment!$A$2:$GZ$2000,MATCH($A784,INDEX(Enrichment!$A$2:$GZ$2000,0,MATCH("row_id",Enrichment!$A$1:$GZ$1,0)),0),MATCH("work_email",Enrichment!$A$1:$GZ$1,0))&amp;"",""))</f>
        <v/>
      </c>
      <c r="BD784" s="0" t="str">
        <f aca="false">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Q784" s="0" t="str">
        <f aca="false">IF($A784="","",IFERROR(INDEX(Enrichment!$A$2:$GZ$2000,MATCH($A784,INDEX(Enrichment!$A$2:$GZ$2000,0,MATCH("row_id",Enrichment!$A$1:$GZ$1,0)),0),MATCH("backup_work_email",Enrichment!$A$1:$GZ$1,0))&amp;"",""))</f>
        <v/>
      </c>
      <c r="BR784" s="0" t="str">
        <f aca="false">IF($A784="","",IF(BQ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EQ784" s="0" t="str">
        <f aca="false">IF($A784="","",IF(AH784="exact",10,IF(AH784="adjacent",5,0)))</f>
        <v/>
      </c>
      <c r="ER784" s="0" t="str">
        <f aca="false">IF($A784="","",IF(R784="Y",15,0))</f>
        <v/>
      </c>
      <c r="FS784" s="0" t="str">
        <f aca="false">IF($A784="","",IF(ISNUMBER(MATCH(U784,{"queued","contacted","replied","call_booked","call_done","yes_in_principle","materials_sent"},0)),"Y","N"))</f>
        <v/>
      </c>
      <c r="FT784" s="0" t="str">
        <f aca="false">IF($A784="","",IF(OR(T784="Y",U784="do_not_contact",AS784&amp;""&lt;&gt;""),"Y","N"))</f>
        <v/>
      </c>
      <c r="FU784" s="0" t="str">
        <f aca="false">IF($A784="","",IF(AP784&amp;""&lt;&gt;"",AP784&amp;"",$A784))</f>
        <v/>
      </c>
      <c r="FV784" s="0" t="str">
        <f aca="false">IF($A784="","",IF(COUNTIFS($FU$2:$FU$1000,FU784,$FS$2:$FS$1000,"Y")+COUNTIFS($FU$2:$FU$1000,FU784,$FT$2:$FT$1000,"Y")&gt;0,"Y","N"))</f>
        <v/>
      </c>
      <c r="FW784" s="0" t="str">
        <f aca="false">IF($A784="","",IF(AND(U784="new",T784="N",FT784="N",AT784="Y",FV784="N"),"Y","N"))</f>
        <v/>
      </c>
      <c r="FX784" s="0" t="str">
        <f aca="false">IF($A784="","",IF(FW784&lt;&gt;"Y","N",IF(COUNTIFS($FU$2:$FU$1000,FU784,$FW$2:$FW$1000,"Y",$J$2:$J$1000,"&gt;"&amp;J784)+COUNTIFS($FU$2:$FU$1000,FU784,$FW$2:$FW$1000,"Y",$J$2:$J$1000,J784,$GD$2:$GD$1000,"&lt;"&amp;GD784)=0,"Y","N")))</f>
        <v/>
      </c>
      <c r="FY784" s="0" t="str">
        <f aca="false">IF($A784="","",IF(AND(FW784="Y",FX784="Y",Y784&amp;""&lt;&gt;""),IF(Y784&lt;=10,"Y","N"),"N"))</f>
        <v/>
      </c>
      <c r="FZ784" s="0" t="str">
        <f aca="false">IF(FY784="Y",Y784,"")</f>
        <v/>
      </c>
      <c r="GA784" s="0" t="str">
        <f aca="false">IF($A784="","",IF(AND(I784="walk-in",CN784="pass",U784="new",FT784="N",FV784="N",AQ784&lt;&gt;"Y"),"Y","N"))</f>
        <v/>
      </c>
      <c r="GB784" s="0" t="str">
        <f aca="false">IF(GA784&lt;&gt;"Y","",IF(COUNTIFS($GA$2:$GA$1000,"Y",$J$2:$J$1000,"&gt;"&amp;J784)+COUNTIFS($GA$2:$GA$1000,"Y",$J$2:$J$1000,J784,$GD$2:$GD$1000,"&lt;"&amp;GD784)+1&lt;=25,COUNTIFS($GA$2:$GA$1000,"Y",$J$2:$J$1000,"&gt;"&amp;J784)+COUNTIFS($GA$2:$GA$1000,"Y",$J$2:$J$1000,J784,$GD$2:$GD$1000,"&lt;"&amp;GD784)+1,""))</f>
        <v/>
      </c>
      <c r="GC784" s="0" t="str">
        <f aca="false">IF(AND(_xlfn.ISFORMULA(C784),_xlfn.ISFORMULA(J784)),"Y","N")</f>
        <v>Y</v>
      </c>
      <c r="GD784" s="0" t="n">
        <f aca="false">ROW()-1</f>
        <v>783</v>
      </c>
    </row>
    <row r="785" customFormat="false" ht="15" hidden="false" customHeight="false" outlineLevel="0" collapsed="false">
      <c r="C785" s="0" t="str">
        <f aca="false">IF($A785="","",IF(AW785="Y",BM785&amp;"",AY785&amp;""))</f>
        <v/>
      </c>
      <c r="D785" s="0" t="str">
        <f aca="false">IF($A785="","",IF(AW785="Y",BN785&amp;"",AZ785&amp;""))</f>
        <v/>
      </c>
      <c r="E785" s="0" t="str">
        <f aca="false">IF($A785="","",IF(AW785="Y",BO785&amp;"",BA785&amp;""))</f>
        <v/>
      </c>
      <c r="F785" s="0" t="str">
        <f aca="false">IF($A785="","",IF(AW785="Y",BP785&amp;"",BB785&amp;""))</f>
        <v/>
      </c>
      <c r="G785" s="0" t="str">
        <f aca="false">IF($A785="","",IF(AW785="Y",BQ785&amp;"",BC785&amp;""))</f>
        <v/>
      </c>
      <c r="H785" s="0" t="str">
        <f aca="false">IF($A785="","",IF(AW785="Y",BR785&amp;"",BD785&amp;""))</f>
        <v/>
      </c>
      <c r="I785" s="0" t="str">
        <f aca="false">IF($A785="","",IF(R785="Y","warm-intro",IF(H785="verified","email",IF(C785&lt;&gt;"","linkedin",CB785&amp;""))))</f>
        <v/>
      </c>
      <c r="J785" s="0" t="str">
        <f aca="false">IF($A785="","",IF(CN785="pass",ROUND(N(EM785)+N(EN785)+N(EO785)+N(EP785)+N(EQ785)+N(ER785),1),0))</f>
        <v/>
      </c>
      <c r="K785" s="0" t="str">
        <f aca="false">IF($A785="","",IF(CN785&lt;&gt;"pass",CA785&amp;"",CA785&amp;"; "&amp;IF(AW785="Y",BZ785&amp;"",BL785&amp;"")&amp;IF(R785="Y","; known to the founder (+15)","")&amp;"."))</f>
        <v/>
      </c>
      <c r="R785" s="5"/>
      <c r="U785" s="5"/>
      <c r="Y785" s="0" t="str">
        <f aca="false">IF(FX785&lt;&gt;"Y","",COUNTIFS($FX$2:$FX$1000,"Y",$J$2:$J$1000,"&gt;"&amp;J785)+COUNTIFS($FX$2:$FX$1000,"Y",$J$2:$J$1000,J785,$GD$2:$GD$1000,"&lt;"&amp;GD785)+1)</f>
        <v/>
      </c>
      <c r="AB785" s="0" t="str">
        <f aca="false">IF($A785="","",IF(AW785="Y",BY785&amp;"",BK785&amp;""))</f>
        <v/>
      </c>
      <c r="AC785" s="0" t="str">
        <f aca="false">IF($A785="","",IF(AW785="Y",BS785&amp;"",BE785&amp;""))</f>
        <v/>
      </c>
      <c r="AD785" s="0" t="str">
        <f aca="false">IF($A785="","",IF(AW785="Y",BT785&amp;"",BF785&amp;""))</f>
        <v/>
      </c>
      <c r="AE785" s="0" t="str">
        <f aca="false">IF($A785="","",IF(AW785="Y",BU785&amp;"",BG785&amp;""))</f>
        <v/>
      </c>
      <c r="AF785" s="0" t="str">
        <f aca="false">IF($A785="","",IF(AW785="Y",BV785&amp;"",BH785&amp;""))</f>
        <v/>
      </c>
      <c r="AG785" s="0" t="str">
        <f aca="false">IF($A785="","",IF(AW785="Y",BW785&amp;"",BI785&amp;""))</f>
        <v/>
      </c>
      <c r="AH785" s="0" t="str">
        <f aca="false">IF($A785="","",IF(AW785="Y",BX785&amp;"",BJ785&amp;""))</f>
        <v/>
      </c>
      <c r="AQ785" s="5"/>
      <c r="AT785" s="0" t="str">
        <f aca="false">IF($A785="","",IF(AND(CN785="pass",AQ785&lt;&gt;"Y",C785&lt;&gt;"",OR(AX785&lt;&gt;"Y",AV785="Y")),"Y","N"))</f>
        <v/>
      </c>
      <c r="AU785" s="0" t="str">
        <f aca="false">IF($A785="","",_xlfn.TEXTJOIN("; ",TRUE(),IF(CN785&lt;&gt;"pass","gated out",""),IF(AQ785="Y","on hold: "&amp;AR785,""),IF(C785="","no contact named on an opened page",""),IF(AND(AX785="Y",AV785&lt;&gt;"Y"),"Tuesday estimate band "&amp;L785&amp;": founder's call","")))</f>
        <v/>
      </c>
      <c r="BC785" s="0" t="str">
        <f aca="false">IF($A785="","",IFERROR(INDEX(Enrichment!$A$2:$GZ$2000,MATCH($A785,INDEX(Enrichment!$A$2:$GZ$2000,0,MATCH("row_id",Enrichment!$A$1:$GZ$1,0)),0),MATCH("work_email",Enrichment!$A$1:$GZ$1,0))&amp;"",""))</f>
        <v/>
      </c>
      <c r="BD785" s="0" t="str">
        <f aca="false">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Q785" s="0" t="str">
        <f aca="false">IF($A785="","",IFERROR(INDEX(Enrichment!$A$2:$GZ$2000,MATCH($A785,INDEX(Enrichment!$A$2:$GZ$2000,0,MATCH("row_id",Enrichment!$A$1:$GZ$1,0)),0),MATCH("backup_work_email",Enrichment!$A$1:$GZ$1,0))&amp;"",""))</f>
        <v/>
      </c>
      <c r="BR785" s="0" t="str">
        <f aca="false">IF($A785="","",IF(BQ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EQ785" s="0" t="str">
        <f aca="false">IF($A785="","",IF(AH785="exact",10,IF(AH785="adjacent",5,0)))</f>
        <v/>
      </c>
      <c r="ER785" s="0" t="str">
        <f aca="false">IF($A785="","",IF(R785="Y",15,0))</f>
        <v/>
      </c>
      <c r="FS785" s="0" t="str">
        <f aca="false">IF($A785="","",IF(ISNUMBER(MATCH(U785,{"queued","contacted","replied","call_booked","call_done","yes_in_principle","materials_sent"},0)),"Y","N"))</f>
        <v/>
      </c>
      <c r="FT785" s="0" t="str">
        <f aca="false">IF($A785="","",IF(OR(T785="Y",U785="do_not_contact",AS785&amp;""&lt;&gt;""),"Y","N"))</f>
        <v/>
      </c>
      <c r="FU785" s="0" t="str">
        <f aca="false">IF($A785="","",IF(AP785&amp;""&lt;&gt;"",AP785&amp;"",$A785))</f>
        <v/>
      </c>
      <c r="FV785" s="0" t="str">
        <f aca="false">IF($A785="","",IF(COUNTIFS($FU$2:$FU$1000,FU785,$FS$2:$FS$1000,"Y")+COUNTIFS($FU$2:$FU$1000,FU785,$FT$2:$FT$1000,"Y")&gt;0,"Y","N"))</f>
        <v/>
      </c>
      <c r="FW785" s="0" t="str">
        <f aca="false">IF($A785="","",IF(AND(U785="new",T785="N",FT785="N",AT785="Y",FV785="N"),"Y","N"))</f>
        <v/>
      </c>
      <c r="FX785" s="0" t="str">
        <f aca="false">IF($A785="","",IF(FW785&lt;&gt;"Y","N",IF(COUNTIFS($FU$2:$FU$1000,FU785,$FW$2:$FW$1000,"Y",$J$2:$J$1000,"&gt;"&amp;J785)+COUNTIFS($FU$2:$FU$1000,FU785,$FW$2:$FW$1000,"Y",$J$2:$J$1000,J785,$GD$2:$GD$1000,"&lt;"&amp;GD785)=0,"Y","N")))</f>
        <v/>
      </c>
      <c r="FY785" s="0" t="str">
        <f aca="false">IF($A785="","",IF(AND(FW785="Y",FX785="Y",Y785&amp;""&lt;&gt;""),IF(Y785&lt;=10,"Y","N"),"N"))</f>
        <v/>
      </c>
      <c r="FZ785" s="0" t="str">
        <f aca="false">IF(FY785="Y",Y785,"")</f>
        <v/>
      </c>
      <c r="GA785" s="0" t="str">
        <f aca="false">IF($A785="","",IF(AND(I785="walk-in",CN785="pass",U785="new",FT785="N",FV785="N",AQ785&lt;&gt;"Y"),"Y","N"))</f>
        <v/>
      </c>
      <c r="GB785" s="0" t="str">
        <f aca="false">IF(GA785&lt;&gt;"Y","",IF(COUNTIFS($GA$2:$GA$1000,"Y",$J$2:$J$1000,"&gt;"&amp;J785)+COUNTIFS($GA$2:$GA$1000,"Y",$J$2:$J$1000,J785,$GD$2:$GD$1000,"&lt;"&amp;GD785)+1&lt;=25,COUNTIFS($GA$2:$GA$1000,"Y",$J$2:$J$1000,"&gt;"&amp;J785)+COUNTIFS($GA$2:$GA$1000,"Y",$J$2:$J$1000,J785,$GD$2:$GD$1000,"&lt;"&amp;GD785)+1,""))</f>
        <v/>
      </c>
      <c r="GC785" s="0" t="str">
        <f aca="false">IF(AND(_xlfn.ISFORMULA(C785),_xlfn.ISFORMULA(J785)),"Y","N")</f>
        <v>Y</v>
      </c>
      <c r="GD785" s="0" t="n">
        <f aca="false">ROW()-1</f>
        <v>784</v>
      </c>
    </row>
    <row r="786" customFormat="false" ht="15" hidden="false" customHeight="false" outlineLevel="0" collapsed="false">
      <c r="C786" s="0" t="str">
        <f aca="false">IF($A786="","",IF(AW786="Y",BM786&amp;"",AY786&amp;""))</f>
        <v/>
      </c>
      <c r="D786" s="0" t="str">
        <f aca="false">IF($A786="","",IF(AW786="Y",BN786&amp;"",AZ786&amp;""))</f>
        <v/>
      </c>
      <c r="E786" s="0" t="str">
        <f aca="false">IF($A786="","",IF(AW786="Y",BO786&amp;"",BA786&amp;""))</f>
        <v/>
      </c>
      <c r="F786" s="0" t="str">
        <f aca="false">IF($A786="","",IF(AW786="Y",BP786&amp;"",BB786&amp;""))</f>
        <v/>
      </c>
      <c r="G786" s="0" t="str">
        <f aca="false">IF($A786="","",IF(AW786="Y",BQ786&amp;"",BC786&amp;""))</f>
        <v/>
      </c>
      <c r="H786" s="0" t="str">
        <f aca="false">IF($A786="","",IF(AW786="Y",BR786&amp;"",BD786&amp;""))</f>
        <v/>
      </c>
      <c r="I786" s="0" t="str">
        <f aca="false">IF($A786="","",IF(R786="Y","warm-intro",IF(H786="verified","email",IF(C786&lt;&gt;"","linkedin",CB786&amp;""))))</f>
        <v/>
      </c>
      <c r="J786" s="0" t="str">
        <f aca="false">IF($A786="","",IF(CN786="pass",ROUND(N(EM786)+N(EN786)+N(EO786)+N(EP786)+N(EQ786)+N(ER786),1),0))</f>
        <v/>
      </c>
      <c r="K786" s="0" t="str">
        <f aca="false">IF($A786="","",IF(CN786&lt;&gt;"pass",CA786&amp;"",CA786&amp;"; "&amp;IF(AW786="Y",BZ786&amp;"",BL786&amp;"")&amp;IF(R786="Y","; known to the founder (+15)","")&amp;"."))</f>
        <v/>
      </c>
      <c r="R786" s="5"/>
      <c r="U786" s="5"/>
      <c r="Y786" s="0" t="str">
        <f aca="false">IF(FX786&lt;&gt;"Y","",COUNTIFS($FX$2:$FX$1000,"Y",$J$2:$J$1000,"&gt;"&amp;J786)+COUNTIFS($FX$2:$FX$1000,"Y",$J$2:$J$1000,J786,$GD$2:$GD$1000,"&lt;"&amp;GD786)+1)</f>
        <v/>
      </c>
      <c r="AB786" s="0" t="str">
        <f aca="false">IF($A786="","",IF(AW786="Y",BY786&amp;"",BK786&amp;""))</f>
        <v/>
      </c>
      <c r="AC786" s="0" t="str">
        <f aca="false">IF($A786="","",IF(AW786="Y",BS786&amp;"",BE786&amp;""))</f>
        <v/>
      </c>
      <c r="AD786" s="0" t="str">
        <f aca="false">IF($A786="","",IF(AW786="Y",BT786&amp;"",BF786&amp;""))</f>
        <v/>
      </c>
      <c r="AE786" s="0" t="str">
        <f aca="false">IF($A786="","",IF(AW786="Y",BU786&amp;"",BG786&amp;""))</f>
        <v/>
      </c>
      <c r="AF786" s="0" t="str">
        <f aca="false">IF($A786="","",IF(AW786="Y",BV786&amp;"",BH786&amp;""))</f>
        <v/>
      </c>
      <c r="AG786" s="0" t="str">
        <f aca="false">IF($A786="","",IF(AW786="Y",BW786&amp;"",BI786&amp;""))</f>
        <v/>
      </c>
      <c r="AH786" s="0" t="str">
        <f aca="false">IF($A786="","",IF(AW786="Y",BX786&amp;"",BJ786&amp;""))</f>
        <v/>
      </c>
      <c r="AQ786" s="5"/>
      <c r="AT786" s="0" t="str">
        <f aca="false">IF($A786="","",IF(AND(CN786="pass",AQ786&lt;&gt;"Y",C786&lt;&gt;"",OR(AX786&lt;&gt;"Y",AV786="Y")),"Y","N"))</f>
        <v/>
      </c>
      <c r="AU786" s="0" t="str">
        <f aca="false">IF($A786="","",_xlfn.TEXTJOIN("; ",TRUE(),IF(CN786&lt;&gt;"pass","gated out",""),IF(AQ786="Y","on hold: "&amp;AR786,""),IF(C786="","no contact named on an opened page",""),IF(AND(AX786="Y",AV786&lt;&gt;"Y"),"Tuesday estimate band "&amp;L786&amp;": founder's call","")))</f>
        <v/>
      </c>
      <c r="BC786" s="0" t="str">
        <f aca="false">IF($A786="","",IFERROR(INDEX(Enrichment!$A$2:$GZ$2000,MATCH($A786,INDEX(Enrichment!$A$2:$GZ$2000,0,MATCH("row_id",Enrichment!$A$1:$GZ$1,0)),0),MATCH("work_email",Enrichment!$A$1:$GZ$1,0))&amp;"",""))</f>
        <v/>
      </c>
      <c r="BD786" s="0" t="str">
        <f aca="false">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Q786" s="0" t="str">
        <f aca="false">IF($A786="","",IFERROR(INDEX(Enrichment!$A$2:$GZ$2000,MATCH($A786,INDEX(Enrichment!$A$2:$GZ$2000,0,MATCH("row_id",Enrichment!$A$1:$GZ$1,0)),0),MATCH("backup_work_email",Enrichment!$A$1:$GZ$1,0))&amp;"",""))</f>
        <v/>
      </c>
      <c r="BR786" s="0" t="str">
        <f aca="false">IF($A786="","",IF(BQ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EQ786" s="0" t="str">
        <f aca="false">IF($A786="","",IF(AH786="exact",10,IF(AH786="adjacent",5,0)))</f>
        <v/>
      </c>
      <c r="ER786" s="0" t="str">
        <f aca="false">IF($A786="","",IF(R786="Y",15,0))</f>
        <v/>
      </c>
      <c r="FS786" s="0" t="str">
        <f aca="false">IF($A786="","",IF(ISNUMBER(MATCH(U786,{"queued","contacted","replied","call_booked","call_done","yes_in_principle","materials_sent"},0)),"Y","N"))</f>
        <v/>
      </c>
      <c r="FT786" s="0" t="str">
        <f aca="false">IF($A786="","",IF(OR(T786="Y",U786="do_not_contact",AS786&amp;""&lt;&gt;""),"Y","N"))</f>
        <v/>
      </c>
      <c r="FU786" s="0" t="str">
        <f aca="false">IF($A786="","",IF(AP786&amp;""&lt;&gt;"",AP786&amp;"",$A786))</f>
        <v/>
      </c>
      <c r="FV786" s="0" t="str">
        <f aca="false">IF($A786="","",IF(COUNTIFS($FU$2:$FU$1000,FU786,$FS$2:$FS$1000,"Y")+COUNTIFS($FU$2:$FU$1000,FU786,$FT$2:$FT$1000,"Y")&gt;0,"Y","N"))</f>
        <v/>
      </c>
      <c r="FW786" s="0" t="str">
        <f aca="false">IF($A786="","",IF(AND(U786="new",T786="N",FT786="N",AT786="Y",FV786="N"),"Y","N"))</f>
        <v/>
      </c>
      <c r="FX786" s="0" t="str">
        <f aca="false">IF($A786="","",IF(FW786&lt;&gt;"Y","N",IF(COUNTIFS($FU$2:$FU$1000,FU786,$FW$2:$FW$1000,"Y",$J$2:$J$1000,"&gt;"&amp;J786)+COUNTIFS($FU$2:$FU$1000,FU786,$FW$2:$FW$1000,"Y",$J$2:$J$1000,J786,$GD$2:$GD$1000,"&lt;"&amp;GD786)=0,"Y","N")))</f>
        <v/>
      </c>
      <c r="FY786" s="0" t="str">
        <f aca="false">IF($A786="","",IF(AND(FW786="Y",FX786="Y",Y786&amp;""&lt;&gt;""),IF(Y786&lt;=10,"Y","N"),"N"))</f>
        <v/>
      </c>
      <c r="FZ786" s="0" t="str">
        <f aca="false">IF(FY786="Y",Y786,"")</f>
        <v/>
      </c>
      <c r="GA786" s="0" t="str">
        <f aca="false">IF($A786="","",IF(AND(I786="walk-in",CN786="pass",U786="new",FT786="N",FV786="N",AQ786&lt;&gt;"Y"),"Y","N"))</f>
        <v/>
      </c>
      <c r="GB786" s="0" t="str">
        <f aca="false">IF(GA786&lt;&gt;"Y","",IF(COUNTIFS($GA$2:$GA$1000,"Y",$J$2:$J$1000,"&gt;"&amp;J786)+COUNTIFS($GA$2:$GA$1000,"Y",$J$2:$J$1000,J786,$GD$2:$GD$1000,"&lt;"&amp;GD786)+1&lt;=25,COUNTIFS($GA$2:$GA$1000,"Y",$J$2:$J$1000,"&gt;"&amp;J786)+COUNTIFS($GA$2:$GA$1000,"Y",$J$2:$J$1000,J786,$GD$2:$GD$1000,"&lt;"&amp;GD786)+1,""))</f>
        <v/>
      </c>
      <c r="GC786" s="0" t="str">
        <f aca="false">IF(AND(_xlfn.ISFORMULA(C786),_xlfn.ISFORMULA(J786)),"Y","N")</f>
        <v>Y</v>
      </c>
      <c r="GD786" s="0" t="n">
        <f aca="false">ROW()-1</f>
        <v>785</v>
      </c>
    </row>
    <row r="787" customFormat="false" ht="15" hidden="false" customHeight="false" outlineLevel="0" collapsed="false">
      <c r="C787" s="0" t="str">
        <f aca="false">IF($A787="","",IF(AW787="Y",BM787&amp;"",AY787&amp;""))</f>
        <v/>
      </c>
      <c r="D787" s="0" t="str">
        <f aca="false">IF($A787="","",IF(AW787="Y",BN787&amp;"",AZ787&amp;""))</f>
        <v/>
      </c>
      <c r="E787" s="0" t="str">
        <f aca="false">IF($A787="","",IF(AW787="Y",BO787&amp;"",BA787&amp;""))</f>
        <v/>
      </c>
      <c r="F787" s="0" t="str">
        <f aca="false">IF($A787="","",IF(AW787="Y",BP787&amp;"",BB787&amp;""))</f>
        <v/>
      </c>
      <c r="G787" s="0" t="str">
        <f aca="false">IF($A787="","",IF(AW787="Y",BQ787&amp;"",BC787&amp;""))</f>
        <v/>
      </c>
      <c r="H787" s="0" t="str">
        <f aca="false">IF($A787="","",IF(AW787="Y",BR787&amp;"",BD787&amp;""))</f>
        <v/>
      </c>
      <c r="I787" s="0" t="str">
        <f aca="false">IF($A787="","",IF(R787="Y","warm-intro",IF(H787="verified","email",IF(C787&lt;&gt;"","linkedin",CB787&amp;""))))</f>
        <v/>
      </c>
      <c r="J787" s="0" t="str">
        <f aca="false">IF($A787="","",IF(CN787="pass",ROUND(N(EM787)+N(EN787)+N(EO787)+N(EP787)+N(EQ787)+N(ER787),1),0))</f>
        <v/>
      </c>
      <c r="K787" s="0" t="str">
        <f aca="false">IF($A787="","",IF(CN787&lt;&gt;"pass",CA787&amp;"",CA787&amp;"; "&amp;IF(AW787="Y",BZ787&amp;"",BL787&amp;"")&amp;IF(R787="Y","; known to the founder (+15)","")&amp;"."))</f>
        <v/>
      </c>
      <c r="R787" s="5"/>
      <c r="U787" s="5"/>
      <c r="Y787" s="0" t="str">
        <f aca="false">IF(FX787&lt;&gt;"Y","",COUNTIFS($FX$2:$FX$1000,"Y",$J$2:$J$1000,"&gt;"&amp;J787)+COUNTIFS($FX$2:$FX$1000,"Y",$J$2:$J$1000,J787,$GD$2:$GD$1000,"&lt;"&amp;GD787)+1)</f>
        <v/>
      </c>
      <c r="AB787" s="0" t="str">
        <f aca="false">IF($A787="","",IF(AW787="Y",BY787&amp;"",BK787&amp;""))</f>
        <v/>
      </c>
      <c r="AC787" s="0" t="str">
        <f aca="false">IF($A787="","",IF(AW787="Y",BS787&amp;"",BE787&amp;""))</f>
        <v/>
      </c>
      <c r="AD787" s="0" t="str">
        <f aca="false">IF($A787="","",IF(AW787="Y",BT787&amp;"",BF787&amp;""))</f>
        <v/>
      </c>
      <c r="AE787" s="0" t="str">
        <f aca="false">IF($A787="","",IF(AW787="Y",BU787&amp;"",BG787&amp;""))</f>
        <v/>
      </c>
      <c r="AF787" s="0" t="str">
        <f aca="false">IF($A787="","",IF(AW787="Y",BV787&amp;"",BH787&amp;""))</f>
        <v/>
      </c>
      <c r="AG787" s="0" t="str">
        <f aca="false">IF($A787="","",IF(AW787="Y",BW787&amp;"",BI787&amp;""))</f>
        <v/>
      </c>
      <c r="AH787" s="0" t="str">
        <f aca="false">IF($A787="","",IF(AW787="Y",BX787&amp;"",BJ787&amp;""))</f>
        <v/>
      </c>
      <c r="AQ787" s="5"/>
      <c r="AT787" s="0" t="str">
        <f aca="false">IF($A787="","",IF(AND(CN787="pass",AQ787&lt;&gt;"Y",C787&lt;&gt;"",OR(AX787&lt;&gt;"Y",AV787="Y")),"Y","N"))</f>
        <v/>
      </c>
      <c r="AU787" s="0" t="str">
        <f aca="false">IF($A787="","",_xlfn.TEXTJOIN("; ",TRUE(),IF(CN787&lt;&gt;"pass","gated out",""),IF(AQ787="Y","on hold: "&amp;AR787,""),IF(C787="","no contact named on an opened page",""),IF(AND(AX787="Y",AV787&lt;&gt;"Y"),"Tuesday estimate band "&amp;L787&amp;": founder's call","")))</f>
        <v/>
      </c>
      <c r="BC787" s="0" t="str">
        <f aca="false">IF($A787="","",IFERROR(INDEX(Enrichment!$A$2:$GZ$2000,MATCH($A787,INDEX(Enrichment!$A$2:$GZ$2000,0,MATCH("row_id",Enrichment!$A$1:$GZ$1,0)),0),MATCH("work_email",Enrichment!$A$1:$GZ$1,0))&amp;"",""))</f>
        <v/>
      </c>
      <c r="BD787" s="0" t="str">
        <f aca="false">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Q787" s="0" t="str">
        <f aca="false">IF($A787="","",IFERROR(INDEX(Enrichment!$A$2:$GZ$2000,MATCH($A787,INDEX(Enrichment!$A$2:$GZ$2000,0,MATCH("row_id",Enrichment!$A$1:$GZ$1,0)),0),MATCH("backup_work_email",Enrichment!$A$1:$GZ$1,0))&amp;"",""))</f>
        <v/>
      </c>
      <c r="BR787" s="0" t="str">
        <f aca="false">IF($A787="","",IF(BQ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EQ787" s="0" t="str">
        <f aca="false">IF($A787="","",IF(AH787="exact",10,IF(AH787="adjacent",5,0)))</f>
        <v/>
      </c>
      <c r="ER787" s="0" t="str">
        <f aca="false">IF($A787="","",IF(R787="Y",15,0))</f>
        <v/>
      </c>
      <c r="FS787" s="0" t="str">
        <f aca="false">IF($A787="","",IF(ISNUMBER(MATCH(U787,{"queued","contacted","replied","call_booked","call_done","yes_in_principle","materials_sent"},0)),"Y","N"))</f>
        <v/>
      </c>
      <c r="FT787" s="0" t="str">
        <f aca="false">IF($A787="","",IF(OR(T787="Y",U787="do_not_contact",AS787&amp;""&lt;&gt;""),"Y","N"))</f>
        <v/>
      </c>
      <c r="FU787" s="0" t="str">
        <f aca="false">IF($A787="","",IF(AP787&amp;""&lt;&gt;"",AP787&amp;"",$A787))</f>
        <v/>
      </c>
      <c r="FV787" s="0" t="str">
        <f aca="false">IF($A787="","",IF(COUNTIFS($FU$2:$FU$1000,FU787,$FS$2:$FS$1000,"Y")+COUNTIFS($FU$2:$FU$1000,FU787,$FT$2:$FT$1000,"Y")&gt;0,"Y","N"))</f>
        <v/>
      </c>
      <c r="FW787" s="0" t="str">
        <f aca="false">IF($A787="","",IF(AND(U787="new",T787="N",FT787="N",AT787="Y",FV787="N"),"Y","N"))</f>
        <v/>
      </c>
      <c r="FX787" s="0" t="str">
        <f aca="false">IF($A787="","",IF(FW787&lt;&gt;"Y","N",IF(COUNTIFS($FU$2:$FU$1000,FU787,$FW$2:$FW$1000,"Y",$J$2:$J$1000,"&gt;"&amp;J787)+COUNTIFS($FU$2:$FU$1000,FU787,$FW$2:$FW$1000,"Y",$J$2:$J$1000,J787,$GD$2:$GD$1000,"&lt;"&amp;GD787)=0,"Y","N")))</f>
        <v/>
      </c>
      <c r="FY787" s="0" t="str">
        <f aca="false">IF($A787="","",IF(AND(FW787="Y",FX787="Y",Y787&amp;""&lt;&gt;""),IF(Y787&lt;=10,"Y","N"),"N"))</f>
        <v/>
      </c>
      <c r="FZ787" s="0" t="str">
        <f aca="false">IF(FY787="Y",Y787,"")</f>
        <v/>
      </c>
      <c r="GA787" s="0" t="str">
        <f aca="false">IF($A787="","",IF(AND(I787="walk-in",CN787="pass",U787="new",FT787="N",FV787="N",AQ787&lt;&gt;"Y"),"Y","N"))</f>
        <v/>
      </c>
      <c r="GB787" s="0" t="str">
        <f aca="false">IF(GA787&lt;&gt;"Y","",IF(COUNTIFS($GA$2:$GA$1000,"Y",$J$2:$J$1000,"&gt;"&amp;J787)+COUNTIFS($GA$2:$GA$1000,"Y",$J$2:$J$1000,J787,$GD$2:$GD$1000,"&lt;"&amp;GD787)+1&lt;=25,COUNTIFS($GA$2:$GA$1000,"Y",$J$2:$J$1000,"&gt;"&amp;J787)+COUNTIFS($GA$2:$GA$1000,"Y",$J$2:$J$1000,J787,$GD$2:$GD$1000,"&lt;"&amp;GD787)+1,""))</f>
        <v/>
      </c>
      <c r="GC787" s="0" t="str">
        <f aca="false">IF(AND(_xlfn.ISFORMULA(C787),_xlfn.ISFORMULA(J787)),"Y","N")</f>
        <v>Y</v>
      </c>
      <c r="GD787" s="0" t="n">
        <f aca="false">ROW()-1</f>
        <v>786</v>
      </c>
    </row>
    <row r="788" customFormat="false" ht="15" hidden="false" customHeight="false" outlineLevel="0" collapsed="false">
      <c r="C788" s="0" t="str">
        <f aca="false">IF($A788="","",IF(AW788="Y",BM788&amp;"",AY788&amp;""))</f>
        <v/>
      </c>
      <c r="D788" s="0" t="str">
        <f aca="false">IF($A788="","",IF(AW788="Y",BN788&amp;"",AZ788&amp;""))</f>
        <v/>
      </c>
      <c r="E788" s="0" t="str">
        <f aca="false">IF($A788="","",IF(AW788="Y",BO788&amp;"",BA788&amp;""))</f>
        <v/>
      </c>
      <c r="F788" s="0" t="str">
        <f aca="false">IF($A788="","",IF(AW788="Y",BP788&amp;"",BB788&amp;""))</f>
        <v/>
      </c>
      <c r="G788" s="0" t="str">
        <f aca="false">IF($A788="","",IF(AW788="Y",BQ788&amp;"",BC788&amp;""))</f>
        <v/>
      </c>
      <c r="H788" s="0" t="str">
        <f aca="false">IF($A788="","",IF(AW788="Y",BR788&amp;"",BD788&amp;""))</f>
        <v/>
      </c>
      <c r="I788" s="0" t="str">
        <f aca="false">IF($A788="","",IF(R788="Y","warm-intro",IF(H788="verified","email",IF(C788&lt;&gt;"","linkedin",CB788&amp;""))))</f>
        <v/>
      </c>
      <c r="J788" s="0" t="str">
        <f aca="false">IF($A788="","",IF(CN788="pass",ROUND(N(EM788)+N(EN788)+N(EO788)+N(EP788)+N(EQ788)+N(ER788),1),0))</f>
        <v/>
      </c>
      <c r="K788" s="0" t="str">
        <f aca="false">IF($A788="","",IF(CN788&lt;&gt;"pass",CA788&amp;"",CA788&amp;"; "&amp;IF(AW788="Y",BZ788&amp;"",BL788&amp;"")&amp;IF(R788="Y","; known to the founder (+15)","")&amp;"."))</f>
        <v/>
      </c>
      <c r="R788" s="5"/>
      <c r="U788" s="5"/>
      <c r="Y788" s="0" t="str">
        <f aca="false">IF(FX788&lt;&gt;"Y","",COUNTIFS($FX$2:$FX$1000,"Y",$J$2:$J$1000,"&gt;"&amp;J788)+COUNTIFS($FX$2:$FX$1000,"Y",$J$2:$J$1000,J788,$GD$2:$GD$1000,"&lt;"&amp;GD788)+1)</f>
        <v/>
      </c>
      <c r="AB788" s="0" t="str">
        <f aca="false">IF($A788="","",IF(AW788="Y",BY788&amp;"",BK788&amp;""))</f>
        <v/>
      </c>
      <c r="AC788" s="0" t="str">
        <f aca="false">IF($A788="","",IF(AW788="Y",BS788&amp;"",BE788&amp;""))</f>
        <v/>
      </c>
      <c r="AD788" s="0" t="str">
        <f aca="false">IF($A788="","",IF(AW788="Y",BT788&amp;"",BF788&amp;""))</f>
        <v/>
      </c>
      <c r="AE788" s="0" t="str">
        <f aca="false">IF($A788="","",IF(AW788="Y",BU788&amp;"",BG788&amp;""))</f>
        <v/>
      </c>
      <c r="AF788" s="0" t="str">
        <f aca="false">IF($A788="","",IF(AW788="Y",BV788&amp;"",BH788&amp;""))</f>
        <v/>
      </c>
      <c r="AG788" s="0" t="str">
        <f aca="false">IF($A788="","",IF(AW788="Y",BW788&amp;"",BI788&amp;""))</f>
        <v/>
      </c>
      <c r="AH788" s="0" t="str">
        <f aca="false">IF($A788="","",IF(AW788="Y",BX788&amp;"",BJ788&amp;""))</f>
        <v/>
      </c>
      <c r="AQ788" s="5"/>
      <c r="AT788" s="0" t="str">
        <f aca="false">IF($A788="","",IF(AND(CN788="pass",AQ788&lt;&gt;"Y",C788&lt;&gt;"",OR(AX788&lt;&gt;"Y",AV788="Y")),"Y","N"))</f>
        <v/>
      </c>
      <c r="AU788" s="0" t="str">
        <f aca="false">IF($A788="","",_xlfn.TEXTJOIN("; ",TRUE(),IF(CN788&lt;&gt;"pass","gated out",""),IF(AQ788="Y","on hold: "&amp;AR788,""),IF(C788="","no contact named on an opened page",""),IF(AND(AX788="Y",AV788&lt;&gt;"Y"),"Tuesday estimate band "&amp;L788&amp;": founder's call","")))</f>
        <v/>
      </c>
      <c r="BC788" s="0" t="str">
        <f aca="false">IF($A788="","",IFERROR(INDEX(Enrichment!$A$2:$GZ$2000,MATCH($A788,INDEX(Enrichment!$A$2:$GZ$2000,0,MATCH("row_id",Enrichment!$A$1:$GZ$1,0)),0),MATCH("work_email",Enrichment!$A$1:$GZ$1,0))&amp;"",""))</f>
        <v/>
      </c>
      <c r="BD788" s="0" t="str">
        <f aca="false">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Q788" s="0" t="str">
        <f aca="false">IF($A788="","",IFERROR(INDEX(Enrichment!$A$2:$GZ$2000,MATCH($A788,INDEX(Enrichment!$A$2:$GZ$2000,0,MATCH("row_id",Enrichment!$A$1:$GZ$1,0)),0),MATCH("backup_work_email",Enrichment!$A$1:$GZ$1,0))&amp;"",""))</f>
        <v/>
      </c>
      <c r="BR788" s="0" t="str">
        <f aca="false">IF($A788="","",IF(BQ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EQ788" s="0" t="str">
        <f aca="false">IF($A788="","",IF(AH788="exact",10,IF(AH788="adjacent",5,0)))</f>
        <v/>
      </c>
      <c r="ER788" s="0" t="str">
        <f aca="false">IF($A788="","",IF(R788="Y",15,0))</f>
        <v/>
      </c>
      <c r="FS788" s="0" t="str">
        <f aca="false">IF($A788="","",IF(ISNUMBER(MATCH(U788,{"queued","contacted","replied","call_booked","call_done","yes_in_principle","materials_sent"},0)),"Y","N"))</f>
        <v/>
      </c>
      <c r="FT788" s="0" t="str">
        <f aca="false">IF($A788="","",IF(OR(T788="Y",U788="do_not_contact",AS788&amp;""&lt;&gt;""),"Y","N"))</f>
        <v/>
      </c>
      <c r="FU788" s="0" t="str">
        <f aca="false">IF($A788="","",IF(AP788&amp;""&lt;&gt;"",AP788&amp;"",$A788))</f>
        <v/>
      </c>
      <c r="FV788" s="0" t="str">
        <f aca="false">IF($A788="","",IF(COUNTIFS($FU$2:$FU$1000,FU788,$FS$2:$FS$1000,"Y")+COUNTIFS($FU$2:$FU$1000,FU788,$FT$2:$FT$1000,"Y")&gt;0,"Y","N"))</f>
        <v/>
      </c>
      <c r="FW788" s="0" t="str">
        <f aca="false">IF($A788="","",IF(AND(U788="new",T788="N",FT788="N",AT788="Y",FV788="N"),"Y","N"))</f>
        <v/>
      </c>
      <c r="FX788" s="0" t="str">
        <f aca="false">IF($A788="","",IF(FW788&lt;&gt;"Y","N",IF(COUNTIFS($FU$2:$FU$1000,FU788,$FW$2:$FW$1000,"Y",$J$2:$J$1000,"&gt;"&amp;J788)+COUNTIFS($FU$2:$FU$1000,FU788,$FW$2:$FW$1000,"Y",$J$2:$J$1000,J788,$GD$2:$GD$1000,"&lt;"&amp;GD788)=0,"Y","N")))</f>
        <v/>
      </c>
      <c r="FY788" s="0" t="str">
        <f aca="false">IF($A788="","",IF(AND(FW788="Y",FX788="Y",Y788&amp;""&lt;&gt;""),IF(Y788&lt;=10,"Y","N"),"N"))</f>
        <v/>
      </c>
      <c r="FZ788" s="0" t="str">
        <f aca="false">IF(FY788="Y",Y788,"")</f>
        <v/>
      </c>
      <c r="GA788" s="0" t="str">
        <f aca="false">IF($A788="","",IF(AND(I788="walk-in",CN788="pass",U788="new",FT788="N",FV788="N",AQ788&lt;&gt;"Y"),"Y","N"))</f>
        <v/>
      </c>
      <c r="GB788" s="0" t="str">
        <f aca="false">IF(GA788&lt;&gt;"Y","",IF(COUNTIFS($GA$2:$GA$1000,"Y",$J$2:$J$1000,"&gt;"&amp;J788)+COUNTIFS($GA$2:$GA$1000,"Y",$J$2:$J$1000,J788,$GD$2:$GD$1000,"&lt;"&amp;GD788)+1&lt;=25,COUNTIFS($GA$2:$GA$1000,"Y",$J$2:$J$1000,"&gt;"&amp;J788)+COUNTIFS($GA$2:$GA$1000,"Y",$J$2:$J$1000,J788,$GD$2:$GD$1000,"&lt;"&amp;GD788)+1,""))</f>
        <v/>
      </c>
      <c r="GC788" s="0" t="str">
        <f aca="false">IF(AND(_xlfn.ISFORMULA(C788),_xlfn.ISFORMULA(J788)),"Y","N")</f>
        <v>Y</v>
      </c>
      <c r="GD788" s="0" t="n">
        <f aca="false">ROW()-1</f>
        <v>787</v>
      </c>
    </row>
    <row r="789" customFormat="false" ht="15" hidden="false" customHeight="false" outlineLevel="0" collapsed="false">
      <c r="C789" s="0" t="str">
        <f aca="false">IF($A789="","",IF(AW789="Y",BM789&amp;"",AY789&amp;""))</f>
        <v/>
      </c>
      <c r="D789" s="0" t="str">
        <f aca="false">IF($A789="","",IF(AW789="Y",BN789&amp;"",AZ789&amp;""))</f>
        <v/>
      </c>
      <c r="E789" s="0" t="str">
        <f aca="false">IF($A789="","",IF(AW789="Y",BO789&amp;"",BA789&amp;""))</f>
        <v/>
      </c>
      <c r="F789" s="0" t="str">
        <f aca="false">IF($A789="","",IF(AW789="Y",BP789&amp;"",BB789&amp;""))</f>
        <v/>
      </c>
      <c r="G789" s="0" t="str">
        <f aca="false">IF($A789="","",IF(AW789="Y",BQ789&amp;"",BC789&amp;""))</f>
        <v/>
      </c>
      <c r="H789" s="0" t="str">
        <f aca="false">IF($A789="","",IF(AW789="Y",BR789&amp;"",BD789&amp;""))</f>
        <v/>
      </c>
      <c r="I789" s="0" t="str">
        <f aca="false">IF($A789="","",IF(R789="Y","warm-intro",IF(H789="verified","email",IF(C789&lt;&gt;"","linkedin",CB789&amp;""))))</f>
        <v/>
      </c>
      <c r="J789" s="0" t="str">
        <f aca="false">IF($A789="","",IF(CN789="pass",ROUND(N(EM789)+N(EN789)+N(EO789)+N(EP789)+N(EQ789)+N(ER789),1),0))</f>
        <v/>
      </c>
      <c r="K789" s="0" t="str">
        <f aca="false">IF($A789="","",IF(CN789&lt;&gt;"pass",CA789&amp;"",CA789&amp;"; "&amp;IF(AW789="Y",BZ789&amp;"",BL789&amp;"")&amp;IF(R789="Y","; known to the founder (+15)","")&amp;"."))</f>
        <v/>
      </c>
      <c r="R789" s="5"/>
      <c r="U789" s="5"/>
      <c r="Y789" s="0" t="str">
        <f aca="false">IF(FX789&lt;&gt;"Y","",COUNTIFS($FX$2:$FX$1000,"Y",$J$2:$J$1000,"&gt;"&amp;J789)+COUNTIFS($FX$2:$FX$1000,"Y",$J$2:$J$1000,J789,$GD$2:$GD$1000,"&lt;"&amp;GD789)+1)</f>
        <v/>
      </c>
      <c r="AB789" s="0" t="str">
        <f aca="false">IF($A789="","",IF(AW789="Y",BY789&amp;"",BK789&amp;""))</f>
        <v/>
      </c>
      <c r="AC789" s="0" t="str">
        <f aca="false">IF($A789="","",IF(AW789="Y",BS789&amp;"",BE789&amp;""))</f>
        <v/>
      </c>
      <c r="AD789" s="0" t="str">
        <f aca="false">IF($A789="","",IF(AW789="Y",BT789&amp;"",BF789&amp;""))</f>
        <v/>
      </c>
      <c r="AE789" s="0" t="str">
        <f aca="false">IF($A789="","",IF(AW789="Y",BU789&amp;"",BG789&amp;""))</f>
        <v/>
      </c>
      <c r="AF789" s="0" t="str">
        <f aca="false">IF($A789="","",IF(AW789="Y",BV789&amp;"",BH789&amp;""))</f>
        <v/>
      </c>
      <c r="AG789" s="0" t="str">
        <f aca="false">IF($A789="","",IF(AW789="Y",BW789&amp;"",BI789&amp;""))</f>
        <v/>
      </c>
      <c r="AH789" s="0" t="str">
        <f aca="false">IF($A789="","",IF(AW789="Y",BX789&amp;"",BJ789&amp;""))</f>
        <v/>
      </c>
      <c r="AQ789" s="5"/>
      <c r="AT789" s="0" t="str">
        <f aca="false">IF($A789="","",IF(AND(CN789="pass",AQ789&lt;&gt;"Y",C789&lt;&gt;"",OR(AX789&lt;&gt;"Y",AV789="Y")),"Y","N"))</f>
        <v/>
      </c>
      <c r="AU789" s="0" t="str">
        <f aca="false">IF($A789="","",_xlfn.TEXTJOIN("; ",TRUE(),IF(CN789&lt;&gt;"pass","gated out",""),IF(AQ789="Y","on hold: "&amp;AR789,""),IF(C789="","no contact named on an opened page",""),IF(AND(AX789="Y",AV789&lt;&gt;"Y"),"Tuesday estimate band "&amp;L789&amp;": founder's call","")))</f>
        <v/>
      </c>
      <c r="BC789" s="0" t="str">
        <f aca="false">IF($A789="","",IFERROR(INDEX(Enrichment!$A$2:$GZ$2000,MATCH($A789,INDEX(Enrichment!$A$2:$GZ$2000,0,MATCH("row_id",Enrichment!$A$1:$GZ$1,0)),0),MATCH("work_email",Enrichment!$A$1:$GZ$1,0))&amp;"",""))</f>
        <v/>
      </c>
      <c r="BD789" s="0" t="str">
        <f aca="false">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Q789" s="0" t="str">
        <f aca="false">IF($A789="","",IFERROR(INDEX(Enrichment!$A$2:$GZ$2000,MATCH($A789,INDEX(Enrichment!$A$2:$GZ$2000,0,MATCH("row_id",Enrichment!$A$1:$GZ$1,0)),0),MATCH("backup_work_email",Enrichment!$A$1:$GZ$1,0))&amp;"",""))</f>
        <v/>
      </c>
      <c r="BR789" s="0" t="str">
        <f aca="false">IF($A789="","",IF(BQ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EQ789" s="0" t="str">
        <f aca="false">IF($A789="","",IF(AH789="exact",10,IF(AH789="adjacent",5,0)))</f>
        <v/>
      </c>
      <c r="ER789" s="0" t="str">
        <f aca="false">IF($A789="","",IF(R789="Y",15,0))</f>
        <v/>
      </c>
      <c r="FS789" s="0" t="str">
        <f aca="false">IF($A789="","",IF(ISNUMBER(MATCH(U789,{"queued","contacted","replied","call_booked","call_done","yes_in_principle","materials_sent"},0)),"Y","N"))</f>
        <v/>
      </c>
      <c r="FT789" s="0" t="str">
        <f aca="false">IF($A789="","",IF(OR(T789="Y",U789="do_not_contact",AS789&amp;""&lt;&gt;""),"Y","N"))</f>
        <v/>
      </c>
      <c r="FU789" s="0" t="str">
        <f aca="false">IF($A789="","",IF(AP789&amp;""&lt;&gt;"",AP789&amp;"",$A789))</f>
        <v/>
      </c>
      <c r="FV789" s="0" t="str">
        <f aca="false">IF($A789="","",IF(COUNTIFS($FU$2:$FU$1000,FU789,$FS$2:$FS$1000,"Y")+COUNTIFS($FU$2:$FU$1000,FU789,$FT$2:$FT$1000,"Y")&gt;0,"Y","N"))</f>
        <v/>
      </c>
      <c r="FW789" s="0" t="str">
        <f aca="false">IF($A789="","",IF(AND(U789="new",T789="N",FT789="N",AT789="Y",FV789="N"),"Y","N"))</f>
        <v/>
      </c>
      <c r="FX789" s="0" t="str">
        <f aca="false">IF($A789="","",IF(FW789&lt;&gt;"Y","N",IF(COUNTIFS($FU$2:$FU$1000,FU789,$FW$2:$FW$1000,"Y",$J$2:$J$1000,"&gt;"&amp;J789)+COUNTIFS($FU$2:$FU$1000,FU789,$FW$2:$FW$1000,"Y",$J$2:$J$1000,J789,$GD$2:$GD$1000,"&lt;"&amp;GD789)=0,"Y","N")))</f>
        <v/>
      </c>
      <c r="FY789" s="0" t="str">
        <f aca="false">IF($A789="","",IF(AND(FW789="Y",FX789="Y",Y789&amp;""&lt;&gt;""),IF(Y789&lt;=10,"Y","N"),"N"))</f>
        <v/>
      </c>
      <c r="FZ789" s="0" t="str">
        <f aca="false">IF(FY789="Y",Y789,"")</f>
        <v/>
      </c>
      <c r="GA789" s="0" t="str">
        <f aca="false">IF($A789="","",IF(AND(I789="walk-in",CN789="pass",U789="new",FT789="N",FV789="N",AQ789&lt;&gt;"Y"),"Y","N"))</f>
        <v/>
      </c>
      <c r="GB789" s="0" t="str">
        <f aca="false">IF(GA789&lt;&gt;"Y","",IF(COUNTIFS($GA$2:$GA$1000,"Y",$J$2:$J$1000,"&gt;"&amp;J789)+COUNTIFS($GA$2:$GA$1000,"Y",$J$2:$J$1000,J789,$GD$2:$GD$1000,"&lt;"&amp;GD789)+1&lt;=25,COUNTIFS($GA$2:$GA$1000,"Y",$J$2:$J$1000,"&gt;"&amp;J789)+COUNTIFS($GA$2:$GA$1000,"Y",$J$2:$J$1000,J789,$GD$2:$GD$1000,"&lt;"&amp;GD789)+1,""))</f>
        <v/>
      </c>
      <c r="GC789" s="0" t="str">
        <f aca="false">IF(AND(_xlfn.ISFORMULA(C789),_xlfn.ISFORMULA(J789)),"Y","N")</f>
        <v>Y</v>
      </c>
      <c r="GD789" s="0" t="n">
        <f aca="false">ROW()-1</f>
        <v>788</v>
      </c>
    </row>
    <row r="790" customFormat="false" ht="15" hidden="false" customHeight="false" outlineLevel="0" collapsed="false">
      <c r="C790" s="0" t="str">
        <f aca="false">IF($A790="","",IF(AW790="Y",BM790&amp;"",AY790&amp;""))</f>
        <v/>
      </c>
      <c r="D790" s="0" t="str">
        <f aca="false">IF($A790="","",IF(AW790="Y",BN790&amp;"",AZ790&amp;""))</f>
        <v/>
      </c>
      <c r="E790" s="0" t="str">
        <f aca="false">IF($A790="","",IF(AW790="Y",BO790&amp;"",BA790&amp;""))</f>
        <v/>
      </c>
      <c r="F790" s="0" t="str">
        <f aca="false">IF($A790="","",IF(AW790="Y",BP790&amp;"",BB790&amp;""))</f>
        <v/>
      </c>
      <c r="G790" s="0" t="str">
        <f aca="false">IF($A790="","",IF(AW790="Y",BQ790&amp;"",BC790&amp;""))</f>
        <v/>
      </c>
      <c r="H790" s="0" t="str">
        <f aca="false">IF($A790="","",IF(AW790="Y",BR790&amp;"",BD790&amp;""))</f>
        <v/>
      </c>
      <c r="I790" s="0" t="str">
        <f aca="false">IF($A790="","",IF(R790="Y","warm-intro",IF(H790="verified","email",IF(C790&lt;&gt;"","linkedin",CB790&amp;""))))</f>
        <v/>
      </c>
      <c r="J790" s="0" t="str">
        <f aca="false">IF($A790="","",IF(CN790="pass",ROUND(N(EM790)+N(EN790)+N(EO790)+N(EP790)+N(EQ790)+N(ER790),1),0))</f>
        <v/>
      </c>
      <c r="K790" s="0" t="str">
        <f aca="false">IF($A790="","",IF(CN790&lt;&gt;"pass",CA790&amp;"",CA790&amp;"; "&amp;IF(AW790="Y",BZ790&amp;"",BL790&amp;"")&amp;IF(R790="Y","; known to the founder (+15)","")&amp;"."))</f>
        <v/>
      </c>
      <c r="R790" s="5"/>
      <c r="U790" s="5"/>
      <c r="Y790" s="0" t="str">
        <f aca="false">IF(FX790&lt;&gt;"Y","",COUNTIFS($FX$2:$FX$1000,"Y",$J$2:$J$1000,"&gt;"&amp;J790)+COUNTIFS($FX$2:$FX$1000,"Y",$J$2:$J$1000,J790,$GD$2:$GD$1000,"&lt;"&amp;GD790)+1)</f>
        <v/>
      </c>
      <c r="AB790" s="0" t="str">
        <f aca="false">IF($A790="","",IF(AW790="Y",BY790&amp;"",BK790&amp;""))</f>
        <v/>
      </c>
      <c r="AC790" s="0" t="str">
        <f aca="false">IF($A790="","",IF(AW790="Y",BS790&amp;"",BE790&amp;""))</f>
        <v/>
      </c>
      <c r="AD790" s="0" t="str">
        <f aca="false">IF($A790="","",IF(AW790="Y",BT790&amp;"",BF790&amp;""))</f>
        <v/>
      </c>
      <c r="AE790" s="0" t="str">
        <f aca="false">IF($A790="","",IF(AW790="Y",BU790&amp;"",BG790&amp;""))</f>
        <v/>
      </c>
      <c r="AF790" s="0" t="str">
        <f aca="false">IF($A790="","",IF(AW790="Y",BV790&amp;"",BH790&amp;""))</f>
        <v/>
      </c>
      <c r="AG790" s="0" t="str">
        <f aca="false">IF($A790="","",IF(AW790="Y",BW790&amp;"",BI790&amp;""))</f>
        <v/>
      </c>
      <c r="AH790" s="0" t="str">
        <f aca="false">IF($A790="","",IF(AW790="Y",BX790&amp;"",BJ790&amp;""))</f>
        <v/>
      </c>
      <c r="AQ790" s="5"/>
      <c r="AT790" s="0" t="str">
        <f aca="false">IF($A790="","",IF(AND(CN790="pass",AQ790&lt;&gt;"Y",C790&lt;&gt;"",OR(AX790&lt;&gt;"Y",AV790="Y")),"Y","N"))</f>
        <v/>
      </c>
      <c r="AU790" s="0" t="str">
        <f aca="false">IF($A790="","",_xlfn.TEXTJOIN("; ",TRUE(),IF(CN790&lt;&gt;"pass","gated out",""),IF(AQ790="Y","on hold: "&amp;AR790,""),IF(C790="","no contact named on an opened page",""),IF(AND(AX790="Y",AV790&lt;&gt;"Y"),"Tuesday estimate band "&amp;L790&amp;": founder's call","")))</f>
        <v/>
      </c>
      <c r="BC790" s="0" t="str">
        <f aca="false">IF($A790="","",IFERROR(INDEX(Enrichment!$A$2:$GZ$2000,MATCH($A790,INDEX(Enrichment!$A$2:$GZ$2000,0,MATCH("row_id",Enrichment!$A$1:$GZ$1,0)),0),MATCH("work_email",Enrichment!$A$1:$GZ$1,0))&amp;"",""))</f>
        <v/>
      </c>
      <c r="BD790" s="0" t="str">
        <f aca="false">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Q790" s="0" t="str">
        <f aca="false">IF($A790="","",IFERROR(INDEX(Enrichment!$A$2:$GZ$2000,MATCH($A790,INDEX(Enrichment!$A$2:$GZ$2000,0,MATCH("row_id",Enrichment!$A$1:$GZ$1,0)),0),MATCH("backup_work_email",Enrichment!$A$1:$GZ$1,0))&amp;"",""))</f>
        <v/>
      </c>
      <c r="BR790" s="0" t="str">
        <f aca="false">IF($A790="","",IF(BQ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EQ790" s="0" t="str">
        <f aca="false">IF($A790="","",IF(AH790="exact",10,IF(AH790="adjacent",5,0)))</f>
        <v/>
      </c>
      <c r="ER790" s="0" t="str">
        <f aca="false">IF($A790="","",IF(R790="Y",15,0))</f>
        <v/>
      </c>
      <c r="FS790" s="0" t="str">
        <f aca="false">IF($A790="","",IF(ISNUMBER(MATCH(U790,{"queued","contacted","replied","call_booked","call_done","yes_in_principle","materials_sent"},0)),"Y","N"))</f>
        <v/>
      </c>
      <c r="FT790" s="0" t="str">
        <f aca="false">IF($A790="","",IF(OR(T790="Y",U790="do_not_contact",AS790&amp;""&lt;&gt;""),"Y","N"))</f>
        <v/>
      </c>
      <c r="FU790" s="0" t="str">
        <f aca="false">IF($A790="","",IF(AP790&amp;""&lt;&gt;"",AP790&amp;"",$A790))</f>
        <v/>
      </c>
      <c r="FV790" s="0" t="str">
        <f aca="false">IF($A790="","",IF(COUNTIFS($FU$2:$FU$1000,FU790,$FS$2:$FS$1000,"Y")+COUNTIFS($FU$2:$FU$1000,FU790,$FT$2:$FT$1000,"Y")&gt;0,"Y","N"))</f>
        <v/>
      </c>
      <c r="FW790" s="0" t="str">
        <f aca="false">IF($A790="","",IF(AND(U790="new",T790="N",FT790="N",AT790="Y",FV790="N"),"Y","N"))</f>
        <v/>
      </c>
      <c r="FX790" s="0" t="str">
        <f aca="false">IF($A790="","",IF(FW790&lt;&gt;"Y","N",IF(COUNTIFS($FU$2:$FU$1000,FU790,$FW$2:$FW$1000,"Y",$J$2:$J$1000,"&gt;"&amp;J790)+COUNTIFS($FU$2:$FU$1000,FU790,$FW$2:$FW$1000,"Y",$J$2:$J$1000,J790,$GD$2:$GD$1000,"&lt;"&amp;GD790)=0,"Y","N")))</f>
        <v/>
      </c>
      <c r="FY790" s="0" t="str">
        <f aca="false">IF($A790="","",IF(AND(FW790="Y",FX790="Y",Y790&amp;""&lt;&gt;""),IF(Y790&lt;=10,"Y","N"),"N"))</f>
        <v/>
      </c>
      <c r="FZ790" s="0" t="str">
        <f aca="false">IF(FY790="Y",Y790,"")</f>
        <v/>
      </c>
      <c r="GA790" s="0" t="str">
        <f aca="false">IF($A790="","",IF(AND(I790="walk-in",CN790="pass",U790="new",FT790="N",FV790="N",AQ790&lt;&gt;"Y"),"Y","N"))</f>
        <v/>
      </c>
      <c r="GB790" s="0" t="str">
        <f aca="false">IF(GA790&lt;&gt;"Y","",IF(COUNTIFS($GA$2:$GA$1000,"Y",$J$2:$J$1000,"&gt;"&amp;J790)+COUNTIFS($GA$2:$GA$1000,"Y",$J$2:$J$1000,J790,$GD$2:$GD$1000,"&lt;"&amp;GD790)+1&lt;=25,COUNTIFS($GA$2:$GA$1000,"Y",$J$2:$J$1000,"&gt;"&amp;J790)+COUNTIFS($GA$2:$GA$1000,"Y",$J$2:$J$1000,J790,$GD$2:$GD$1000,"&lt;"&amp;GD790)+1,""))</f>
        <v/>
      </c>
      <c r="GC790" s="0" t="str">
        <f aca="false">IF(AND(_xlfn.ISFORMULA(C790),_xlfn.ISFORMULA(J790)),"Y","N")</f>
        <v>Y</v>
      </c>
      <c r="GD790" s="0" t="n">
        <f aca="false">ROW()-1</f>
        <v>789</v>
      </c>
    </row>
    <row r="791" customFormat="false" ht="15" hidden="false" customHeight="false" outlineLevel="0" collapsed="false">
      <c r="C791" s="0" t="str">
        <f aca="false">IF($A791="","",IF(AW791="Y",BM791&amp;"",AY791&amp;""))</f>
        <v/>
      </c>
      <c r="D791" s="0" t="str">
        <f aca="false">IF($A791="","",IF(AW791="Y",BN791&amp;"",AZ791&amp;""))</f>
        <v/>
      </c>
      <c r="E791" s="0" t="str">
        <f aca="false">IF($A791="","",IF(AW791="Y",BO791&amp;"",BA791&amp;""))</f>
        <v/>
      </c>
      <c r="F791" s="0" t="str">
        <f aca="false">IF($A791="","",IF(AW791="Y",BP791&amp;"",BB791&amp;""))</f>
        <v/>
      </c>
      <c r="G791" s="0" t="str">
        <f aca="false">IF($A791="","",IF(AW791="Y",BQ791&amp;"",BC791&amp;""))</f>
        <v/>
      </c>
      <c r="H791" s="0" t="str">
        <f aca="false">IF($A791="","",IF(AW791="Y",BR791&amp;"",BD791&amp;""))</f>
        <v/>
      </c>
      <c r="I791" s="0" t="str">
        <f aca="false">IF($A791="","",IF(R791="Y","warm-intro",IF(H791="verified","email",IF(C791&lt;&gt;"","linkedin",CB791&amp;""))))</f>
        <v/>
      </c>
      <c r="J791" s="0" t="str">
        <f aca="false">IF($A791="","",IF(CN791="pass",ROUND(N(EM791)+N(EN791)+N(EO791)+N(EP791)+N(EQ791)+N(ER791),1),0))</f>
        <v/>
      </c>
      <c r="K791" s="0" t="str">
        <f aca="false">IF($A791="","",IF(CN791&lt;&gt;"pass",CA791&amp;"",CA791&amp;"; "&amp;IF(AW791="Y",BZ791&amp;"",BL791&amp;"")&amp;IF(R791="Y","; known to the founder (+15)","")&amp;"."))</f>
        <v/>
      </c>
      <c r="R791" s="5"/>
      <c r="U791" s="5"/>
      <c r="Y791" s="0" t="str">
        <f aca="false">IF(FX791&lt;&gt;"Y","",COUNTIFS($FX$2:$FX$1000,"Y",$J$2:$J$1000,"&gt;"&amp;J791)+COUNTIFS($FX$2:$FX$1000,"Y",$J$2:$J$1000,J791,$GD$2:$GD$1000,"&lt;"&amp;GD791)+1)</f>
        <v/>
      </c>
      <c r="AB791" s="0" t="str">
        <f aca="false">IF($A791="","",IF(AW791="Y",BY791&amp;"",BK791&amp;""))</f>
        <v/>
      </c>
      <c r="AC791" s="0" t="str">
        <f aca="false">IF($A791="","",IF(AW791="Y",BS791&amp;"",BE791&amp;""))</f>
        <v/>
      </c>
      <c r="AD791" s="0" t="str">
        <f aca="false">IF($A791="","",IF(AW791="Y",BT791&amp;"",BF791&amp;""))</f>
        <v/>
      </c>
      <c r="AE791" s="0" t="str">
        <f aca="false">IF($A791="","",IF(AW791="Y",BU791&amp;"",BG791&amp;""))</f>
        <v/>
      </c>
      <c r="AF791" s="0" t="str">
        <f aca="false">IF($A791="","",IF(AW791="Y",BV791&amp;"",BH791&amp;""))</f>
        <v/>
      </c>
      <c r="AG791" s="0" t="str">
        <f aca="false">IF($A791="","",IF(AW791="Y",BW791&amp;"",BI791&amp;""))</f>
        <v/>
      </c>
      <c r="AH791" s="0" t="str">
        <f aca="false">IF($A791="","",IF(AW791="Y",BX791&amp;"",BJ791&amp;""))</f>
        <v/>
      </c>
      <c r="AQ791" s="5"/>
      <c r="AT791" s="0" t="str">
        <f aca="false">IF($A791="","",IF(AND(CN791="pass",AQ791&lt;&gt;"Y",C791&lt;&gt;"",OR(AX791&lt;&gt;"Y",AV791="Y")),"Y","N"))</f>
        <v/>
      </c>
      <c r="AU791" s="0" t="str">
        <f aca="false">IF($A791="","",_xlfn.TEXTJOIN("; ",TRUE(),IF(CN791&lt;&gt;"pass","gated out",""),IF(AQ791="Y","on hold: "&amp;AR791,""),IF(C791="","no contact named on an opened page",""),IF(AND(AX791="Y",AV791&lt;&gt;"Y"),"Tuesday estimate band "&amp;L791&amp;": founder's call","")))</f>
        <v/>
      </c>
      <c r="BC791" s="0" t="str">
        <f aca="false">IF($A791="","",IFERROR(INDEX(Enrichment!$A$2:$GZ$2000,MATCH($A791,INDEX(Enrichment!$A$2:$GZ$2000,0,MATCH("row_id",Enrichment!$A$1:$GZ$1,0)),0),MATCH("work_email",Enrichment!$A$1:$GZ$1,0))&amp;"",""))</f>
        <v/>
      </c>
      <c r="BD791" s="0" t="str">
        <f aca="false">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Q791" s="0" t="str">
        <f aca="false">IF($A791="","",IFERROR(INDEX(Enrichment!$A$2:$GZ$2000,MATCH($A791,INDEX(Enrichment!$A$2:$GZ$2000,0,MATCH("row_id",Enrichment!$A$1:$GZ$1,0)),0),MATCH("backup_work_email",Enrichment!$A$1:$GZ$1,0))&amp;"",""))</f>
        <v/>
      </c>
      <c r="BR791" s="0" t="str">
        <f aca="false">IF($A791="","",IF(BQ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EQ791" s="0" t="str">
        <f aca="false">IF($A791="","",IF(AH791="exact",10,IF(AH791="adjacent",5,0)))</f>
        <v/>
      </c>
      <c r="ER791" s="0" t="str">
        <f aca="false">IF($A791="","",IF(R791="Y",15,0))</f>
        <v/>
      </c>
      <c r="FS791" s="0" t="str">
        <f aca="false">IF($A791="","",IF(ISNUMBER(MATCH(U791,{"queued","contacted","replied","call_booked","call_done","yes_in_principle","materials_sent"},0)),"Y","N"))</f>
        <v/>
      </c>
      <c r="FT791" s="0" t="str">
        <f aca="false">IF($A791="","",IF(OR(T791="Y",U791="do_not_contact",AS791&amp;""&lt;&gt;""),"Y","N"))</f>
        <v/>
      </c>
      <c r="FU791" s="0" t="str">
        <f aca="false">IF($A791="","",IF(AP791&amp;""&lt;&gt;"",AP791&amp;"",$A791))</f>
        <v/>
      </c>
      <c r="FV791" s="0" t="str">
        <f aca="false">IF($A791="","",IF(COUNTIFS($FU$2:$FU$1000,FU791,$FS$2:$FS$1000,"Y")+COUNTIFS($FU$2:$FU$1000,FU791,$FT$2:$FT$1000,"Y")&gt;0,"Y","N"))</f>
        <v/>
      </c>
      <c r="FW791" s="0" t="str">
        <f aca="false">IF($A791="","",IF(AND(U791="new",T791="N",FT791="N",AT791="Y",FV791="N"),"Y","N"))</f>
        <v/>
      </c>
      <c r="FX791" s="0" t="str">
        <f aca="false">IF($A791="","",IF(FW791&lt;&gt;"Y","N",IF(COUNTIFS($FU$2:$FU$1000,FU791,$FW$2:$FW$1000,"Y",$J$2:$J$1000,"&gt;"&amp;J791)+COUNTIFS($FU$2:$FU$1000,FU791,$FW$2:$FW$1000,"Y",$J$2:$J$1000,J791,$GD$2:$GD$1000,"&lt;"&amp;GD791)=0,"Y","N")))</f>
        <v/>
      </c>
      <c r="FY791" s="0" t="str">
        <f aca="false">IF($A791="","",IF(AND(FW791="Y",FX791="Y",Y791&amp;""&lt;&gt;""),IF(Y791&lt;=10,"Y","N"),"N"))</f>
        <v/>
      </c>
      <c r="FZ791" s="0" t="str">
        <f aca="false">IF(FY791="Y",Y791,"")</f>
        <v/>
      </c>
      <c r="GA791" s="0" t="str">
        <f aca="false">IF($A791="","",IF(AND(I791="walk-in",CN791="pass",U791="new",FT791="N",FV791="N",AQ791&lt;&gt;"Y"),"Y","N"))</f>
        <v/>
      </c>
      <c r="GB791" s="0" t="str">
        <f aca="false">IF(GA791&lt;&gt;"Y","",IF(COUNTIFS($GA$2:$GA$1000,"Y",$J$2:$J$1000,"&gt;"&amp;J791)+COUNTIFS($GA$2:$GA$1000,"Y",$J$2:$J$1000,J791,$GD$2:$GD$1000,"&lt;"&amp;GD791)+1&lt;=25,COUNTIFS($GA$2:$GA$1000,"Y",$J$2:$J$1000,"&gt;"&amp;J791)+COUNTIFS($GA$2:$GA$1000,"Y",$J$2:$J$1000,J791,$GD$2:$GD$1000,"&lt;"&amp;GD791)+1,""))</f>
        <v/>
      </c>
      <c r="GC791" s="0" t="str">
        <f aca="false">IF(AND(_xlfn.ISFORMULA(C791),_xlfn.ISFORMULA(J791)),"Y","N")</f>
        <v>Y</v>
      </c>
      <c r="GD791" s="0" t="n">
        <f aca="false">ROW()-1</f>
        <v>790</v>
      </c>
    </row>
    <row r="792" customFormat="false" ht="15" hidden="false" customHeight="false" outlineLevel="0" collapsed="false">
      <c r="C792" s="0" t="str">
        <f aca="false">IF($A792="","",IF(AW792="Y",BM792&amp;"",AY792&amp;""))</f>
        <v/>
      </c>
      <c r="D792" s="0" t="str">
        <f aca="false">IF($A792="","",IF(AW792="Y",BN792&amp;"",AZ792&amp;""))</f>
        <v/>
      </c>
      <c r="E792" s="0" t="str">
        <f aca="false">IF($A792="","",IF(AW792="Y",BO792&amp;"",BA792&amp;""))</f>
        <v/>
      </c>
      <c r="F792" s="0" t="str">
        <f aca="false">IF($A792="","",IF(AW792="Y",BP792&amp;"",BB792&amp;""))</f>
        <v/>
      </c>
      <c r="G792" s="0" t="str">
        <f aca="false">IF($A792="","",IF(AW792="Y",BQ792&amp;"",BC792&amp;""))</f>
        <v/>
      </c>
      <c r="H792" s="0" t="str">
        <f aca="false">IF($A792="","",IF(AW792="Y",BR792&amp;"",BD792&amp;""))</f>
        <v/>
      </c>
      <c r="I792" s="0" t="str">
        <f aca="false">IF($A792="","",IF(R792="Y","warm-intro",IF(H792="verified","email",IF(C792&lt;&gt;"","linkedin",CB792&amp;""))))</f>
        <v/>
      </c>
      <c r="J792" s="0" t="str">
        <f aca="false">IF($A792="","",IF(CN792="pass",ROUND(N(EM792)+N(EN792)+N(EO792)+N(EP792)+N(EQ792)+N(ER792),1),0))</f>
        <v/>
      </c>
      <c r="K792" s="0" t="str">
        <f aca="false">IF($A792="","",IF(CN792&lt;&gt;"pass",CA792&amp;"",CA792&amp;"; "&amp;IF(AW792="Y",BZ792&amp;"",BL792&amp;"")&amp;IF(R792="Y","; known to the founder (+15)","")&amp;"."))</f>
        <v/>
      </c>
      <c r="R792" s="5"/>
      <c r="U792" s="5"/>
      <c r="Y792" s="0" t="str">
        <f aca="false">IF(FX792&lt;&gt;"Y","",COUNTIFS($FX$2:$FX$1000,"Y",$J$2:$J$1000,"&gt;"&amp;J792)+COUNTIFS($FX$2:$FX$1000,"Y",$J$2:$J$1000,J792,$GD$2:$GD$1000,"&lt;"&amp;GD792)+1)</f>
        <v/>
      </c>
      <c r="AB792" s="0" t="str">
        <f aca="false">IF($A792="","",IF(AW792="Y",BY792&amp;"",BK792&amp;""))</f>
        <v/>
      </c>
      <c r="AC792" s="0" t="str">
        <f aca="false">IF($A792="","",IF(AW792="Y",BS792&amp;"",BE792&amp;""))</f>
        <v/>
      </c>
      <c r="AD792" s="0" t="str">
        <f aca="false">IF($A792="","",IF(AW792="Y",BT792&amp;"",BF792&amp;""))</f>
        <v/>
      </c>
      <c r="AE792" s="0" t="str">
        <f aca="false">IF($A792="","",IF(AW792="Y",BU792&amp;"",BG792&amp;""))</f>
        <v/>
      </c>
      <c r="AF792" s="0" t="str">
        <f aca="false">IF($A792="","",IF(AW792="Y",BV792&amp;"",BH792&amp;""))</f>
        <v/>
      </c>
      <c r="AG792" s="0" t="str">
        <f aca="false">IF($A792="","",IF(AW792="Y",BW792&amp;"",BI792&amp;""))</f>
        <v/>
      </c>
      <c r="AH792" s="0" t="str">
        <f aca="false">IF($A792="","",IF(AW792="Y",BX792&amp;"",BJ792&amp;""))</f>
        <v/>
      </c>
      <c r="AQ792" s="5"/>
      <c r="AT792" s="0" t="str">
        <f aca="false">IF($A792="","",IF(AND(CN792="pass",AQ792&lt;&gt;"Y",C792&lt;&gt;"",OR(AX792&lt;&gt;"Y",AV792="Y")),"Y","N"))</f>
        <v/>
      </c>
      <c r="AU792" s="0" t="str">
        <f aca="false">IF($A792="","",_xlfn.TEXTJOIN("; ",TRUE(),IF(CN792&lt;&gt;"pass","gated out",""),IF(AQ792="Y","on hold: "&amp;AR792,""),IF(C792="","no contact named on an opened page",""),IF(AND(AX792="Y",AV792&lt;&gt;"Y"),"Tuesday estimate band "&amp;L792&amp;": founder's call","")))</f>
        <v/>
      </c>
      <c r="BC792" s="0" t="str">
        <f aca="false">IF($A792="","",IFERROR(INDEX(Enrichment!$A$2:$GZ$2000,MATCH($A792,INDEX(Enrichment!$A$2:$GZ$2000,0,MATCH("row_id",Enrichment!$A$1:$GZ$1,0)),0),MATCH("work_email",Enrichment!$A$1:$GZ$1,0))&amp;"",""))</f>
        <v/>
      </c>
      <c r="BD792" s="0" t="str">
        <f aca="false">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Q792" s="0" t="str">
        <f aca="false">IF($A792="","",IFERROR(INDEX(Enrichment!$A$2:$GZ$2000,MATCH($A792,INDEX(Enrichment!$A$2:$GZ$2000,0,MATCH("row_id",Enrichment!$A$1:$GZ$1,0)),0),MATCH("backup_work_email",Enrichment!$A$1:$GZ$1,0))&amp;"",""))</f>
        <v/>
      </c>
      <c r="BR792" s="0" t="str">
        <f aca="false">IF($A792="","",IF(BQ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EQ792" s="0" t="str">
        <f aca="false">IF($A792="","",IF(AH792="exact",10,IF(AH792="adjacent",5,0)))</f>
        <v/>
      </c>
      <c r="ER792" s="0" t="str">
        <f aca="false">IF($A792="","",IF(R792="Y",15,0))</f>
        <v/>
      </c>
      <c r="FS792" s="0" t="str">
        <f aca="false">IF($A792="","",IF(ISNUMBER(MATCH(U792,{"queued","contacted","replied","call_booked","call_done","yes_in_principle","materials_sent"},0)),"Y","N"))</f>
        <v/>
      </c>
      <c r="FT792" s="0" t="str">
        <f aca="false">IF($A792="","",IF(OR(T792="Y",U792="do_not_contact",AS792&amp;""&lt;&gt;""),"Y","N"))</f>
        <v/>
      </c>
      <c r="FU792" s="0" t="str">
        <f aca="false">IF($A792="","",IF(AP792&amp;""&lt;&gt;"",AP792&amp;"",$A792))</f>
        <v/>
      </c>
      <c r="FV792" s="0" t="str">
        <f aca="false">IF($A792="","",IF(COUNTIFS($FU$2:$FU$1000,FU792,$FS$2:$FS$1000,"Y")+COUNTIFS($FU$2:$FU$1000,FU792,$FT$2:$FT$1000,"Y")&gt;0,"Y","N"))</f>
        <v/>
      </c>
      <c r="FW792" s="0" t="str">
        <f aca="false">IF($A792="","",IF(AND(U792="new",T792="N",FT792="N",AT792="Y",FV792="N"),"Y","N"))</f>
        <v/>
      </c>
      <c r="FX792" s="0" t="str">
        <f aca="false">IF($A792="","",IF(FW792&lt;&gt;"Y","N",IF(COUNTIFS($FU$2:$FU$1000,FU792,$FW$2:$FW$1000,"Y",$J$2:$J$1000,"&gt;"&amp;J792)+COUNTIFS($FU$2:$FU$1000,FU792,$FW$2:$FW$1000,"Y",$J$2:$J$1000,J792,$GD$2:$GD$1000,"&lt;"&amp;GD792)=0,"Y","N")))</f>
        <v/>
      </c>
      <c r="FY792" s="0" t="str">
        <f aca="false">IF($A792="","",IF(AND(FW792="Y",FX792="Y",Y792&amp;""&lt;&gt;""),IF(Y792&lt;=10,"Y","N"),"N"))</f>
        <v/>
      </c>
      <c r="FZ792" s="0" t="str">
        <f aca="false">IF(FY792="Y",Y792,"")</f>
        <v/>
      </c>
      <c r="GA792" s="0" t="str">
        <f aca="false">IF($A792="","",IF(AND(I792="walk-in",CN792="pass",U792="new",FT792="N",FV792="N",AQ792&lt;&gt;"Y"),"Y","N"))</f>
        <v/>
      </c>
      <c r="GB792" s="0" t="str">
        <f aca="false">IF(GA792&lt;&gt;"Y","",IF(COUNTIFS($GA$2:$GA$1000,"Y",$J$2:$J$1000,"&gt;"&amp;J792)+COUNTIFS($GA$2:$GA$1000,"Y",$J$2:$J$1000,J792,$GD$2:$GD$1000,"&lt;"&amp;GD792)+1&lt;=25,COUNTIFS($GA$2:$GA$1000,"Y",$J$2:$J$1000,"&gt;"&amp;J792)+COUNTIFS($GA$2:$GA$1000,"Y",$J$2:$J$1000,J792,$GD$2:$GD$1000,"&lt;"&amp;GD792)+1,""))</f>
        <v/>
      </c>
      <c r="GC792" s="0" t="str">
        <f aca="false">IF(AND(_xlfn.ISFORMULA(C792),_xlfn.ISFORMULA(J792)),"Y","N")</f>
        <v>Y</v>
      </c>
      <c r="GD792" s="0" t="n">
        <f aca="false">ROW()-1</f>
        <v>791</v>
      </c>
    </row>
    <row r="793" customFormat="false" ht="15" hidden="false" customHeight="false" outlineLevel="0" collapsed="false">
      <c r="C793" s="0" t="str">
        <f aca="false">IF($A793="","",IF(AW793="Y",BM793&amp;"",AY793&amp;""))</f>
        <v/>
      </c>
      <c r="D793" s="0" t="str">
        <f aca="false">IF($A793="","",IF(AW793="Y",BN793&amp;"",AZ793&amp;""))</f>
        <v/>
      </c>
      <c r="E793" s="0" t="str">
        <f aca="false">IF($A793="","",IF(AW793="Y",BO793&amp;"",BA793&amp;""))</f>
        <v/>
      </c>
      <c r="F793" s="0" t="str">
        <f aca="false">IF($A793="","",IF(AW793="Y",BP793&amp;"",BB793&amp;""))</f>
        <v/>
      </c>
      <c r="G793" s="0" t="str">
        <f aca="false">IF($A793="","",IF(AW793="Y",BQ793&amp;"",BC793&amp;""))</f>
        <v/>
      </c>
      <c r="H793" s="0" t="str">
        <f aca="false">IF($A793="","",IF(AW793="Y",BR793&amp;"",BD793&amp;""))</f>
        <v/>
      </c>
      <c r="I793" s="0" t="str">
        <f aca="false">IF($A793="","",IF(R793="Y","warm-intro",IF(H793="verified","email",IF(C793&lt;&gt;"","linkedin",CB793&amp;""))))</f>
        <v/>
      </c>
      <c r="J793" s="0" t="str">
        <f aca="false">IF($A793="","",IF(CN793="pass",ROUND(N(EM793)+N(EN793)+N(EO793)+N(EP793)+N(EQ793)+N(ER793),1),0))</f>
        <v/>
      </c>
      <c r="K793" s="0" t="str">
        <f aca="false">IF($A793="","",IF(CN793&lt;&gt;"pass",CA793&amp;"",CA793&amp;"; "&amp;IF(AW793="Y",BZ793&amp;"",BL793&amp;"")&amp;IF(R793="Y","; known to the founder (+15)","")&amp;"."))</f>
        <v/>
      </c>
      <c r="R793" s="5"/>
      <c r="U793" s="5"/>
      <c r="Y793" s="0" t="str">
        <f aca="false">IF(FX793&lt;&gt;"Y","",COUNTIFS($FX$2:$FX$1000,"Y",$J$2:$J$1000,"&gt;"&amp;J793)+COUNTIFS($FX$2:$FX$1000,"Y",$J$2:$J$1000,J793,$GD$2:$GD$1000,"&lt;"&amp;GD793)+1)</f>
        <v/>
      </c>
      <c r="AB793" s="0" t="str">
        <f aca="false">IF($A793="","",IF(AW793="Y",BY793&amp;"",BK793&amp;""))</f>
        <v/>
      </c>
      <c r="AC793" s="0" t="str">
        <f aca="false">IF($A793="","",IF(AW793="Y",BS793&amp;"",BE793&amp;""))</f>
        <v/>
      </c>
      <c r="AD793" s="0" t="str">
        <f aca="false">IF($A793="","",IF(AW793="Y",BT793&amp;"",BF793&amp;""))</f>
        <v/>
      </c>
      <c r="AE793" s="0" t="str">
        <f aca="false">IF($A793="","",IF(AW793="Y",BU793&amp;"",BG793&amp;""))</f>
        <v/>
      </c>
      <c r="AF793" s="0" t="str">
        <f aca="false">IF($A793="","",IF(AW793="Y",BV793&amp;"",BH793&amp;""))</f>
        <v/>
      </c>
      <c r="AG793" s="0" t="str">
        <f aca="false">IF($A793="","",IF(AW793="Y",BW793&amp;"",BI793&amp;""))</f>
        <v/>
      </c>
      <c r="AH793" s="0" t="str">
        <f aca="false">IF($A793="","",IF(AW793="Y",BX793&amp;"",BJ793&amp;""))</f>
        <v/>
      </c>
      <c r="AQ793" s="5"/>
      <c r="AT793" s="0" t="str">
        <f aca="false">IF($A793="","",IF(AND(CN793="pass",AQ793&lt;&gt;"Y",C793&lt;&gt;"",OR(AX793&lt;&gt;"Y",AV793="Y")),"Y","N"))</f>
        <v/>
      </c>
      <c r="AU793" s="0" t="str">
        <f aca="false">IF($A793="","",_xlfn.TEXTJOIN("; ",TRUE(),IF(CN793&lt;&gt;"pass","gated out",""),IF(AQ793="Y","on hold: "&amp;AR793,""),IF(C793="","no contact named on an opened page",""),IF(AND(AX793="Y",AV793&lt;&gt;"Y"),"Tuesday estimate band "&amp;L793&amp;": founder's call","")))</f>
        <v/>
      </c>
      <c r="BC793" s="0" t="str">
        <f aca="false">IF($A793="","",IFERROR(INDEX(Enrichment!$A$2:$GZ$2000,MATCH($A793,INDEX(Enrichment!$A$2:$GZ$2000,0,MATCH("row_id",Enrichment!$A$1:$GZ$1,0)),0),MATCH("work_email",Enrichment!$A$1:$GZ$1,0))&amp;"",""))</f>
        <v/>
      </c>
      <c r="BD793" s="0" t="str">
        <f aca="false">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Q793" s="0" t="str">
        <f aca="false">IF($A793="","",IFERROR(INDEX(Enrichment!$A$2:$GZ$2000,MATCH($A793,INDEX(Enrichment!$A$2:$GZ$2000,0,MATCH("row_id",Enrichment!$A$1:$GZ$1,0)),0),MATCH("backup_work_email",Enrichment!$A$1:$GZ$1,0))&amp;"",""))</f>
        <v/>
      </c>
      <c r="BR793" s="0" t="str">
        <f aca="false">IF($A793="","",IF(BQ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EQ793" s="0" t="str">
        <f aca="false">IF($A793="","",IF(AH793="exact",10,IF(AH793="adjacent",5,0)))</f>
        <v/>
      </c>
      <c r="ER793" s="0" t="str">
        <f aca="false">IF($A793="","",IF(R793="Y",15,0))</f>
        <v/>
      </c>
      <c r="FS793" s="0" t="str">
        <f aca="false">IF($A793="","",IF(ISNUMBER(MATCH(U793,{"queued","contacted","replied","call_booked","call_done","yes_in_principle","materials_sent"},0)),"Y","N"))</f>
        <v/>
      </c>
      <c r="FT793" s="0" t="str">
        <f aca="false">IF($A793="","",IF(OR(T793="Y",U793="do_not_contact",AS793&amp;""&lt;&gt;""),"Y","N"))</f>
        <v/>
      </c>
      <c r="FU793" s="0" t="str">
        <f aca="false">IF($A793="","",IF(AP793&amp;""&lt;&gt;"",AP793&amp;"",$A793))</f>
        <v/>
      </c>
      <c r="FV793" s="0" t="str">
        <f aca="false">IF($A793="","",IF(COUNTIFS($FU$2:$FU$1000,FU793,$FS$2:$FS$1000,"Y")+COUNTIFS($FU$2:$FU$1000,FU793,$FT$2:$FT$1000,"Y")&gt;0,"Y","N"))</f>
        <v/>
      </c>
      <c r="FW793" s="0" t="str">
        <f aca="false">IF($A793="","",IF(AND(U793="new",T793="N",FT793="N",AT793="Y",FV793="N"),"Y","N"))</f>
        <v/>
      </c>
      <c r="FX793" s="0" t="str">
        <f aca="false">IF($A793="","",IF(FW793&lt;&gt;"Y","N",IF(COUNTIFS($FU$2:$FU$1000,FU793,$FW$2:$FW$1000,"Y",$J$2:$J$1000,"&gt;"&amp;J793)+COUNTIFS($FU$2:$FU$1000,FU793,$FW$2:$FW$1000,"Y",$J$2:$J$1000,J793,$GD$2:$GD$1000,"&lt;"&amp;GD793)=0,"Y","N")))</f>
        <v/>
      </c>
      <c r="FY793" s="0" t="str">
        <f aca="false">IF($A793="","",IF(AND(FW793="Y",FX793="Y",Y793&amp;""&lt;&gt;""),IF(Y793&lt;=10,"Y","N"),"N"))</f>
        <v/>
      </c>
      <c r="FZ793" s="0" t="str">
        <f aca="false">IF(FY793="Y",Y793,"")</f>
        <v/>
      </c>
      <c r="GA793" s="0" t="str">
        <f aca="false">IF($A793="","",IF(AND(I793="walk-in",CN793="pass",U793="new",FT793="N",FV793="N",AQ793&lt;&gt;"Y"),"Y","N"))</f>
        <v/>
      </c>
      <c r="GB793" s="0" t="str">
        <f aca="false">IF(GA793&lt;&gt;"Y","",IF(COUNTIFS($GA$2:$GA$1000,"Y",$J$2:$J$1000,"&gt;"&amp;J793)+COUNTIFS($GA$2:$GA$1000,"Y",$J$2:$J$1000,J793,$GD$2:$GD$1000,"&lt;"&amp;GD793)+1&lt;=25,COUNTIFS($GA$2:$GA$1000,"Y",$J$2:$J$1000,"&gt;"&amp;J793)+COUNTIFS($GA$2:$GA$1000,"Y",$J$2:$J$1000,J793,$GD$2:$GD$1000,"&lt;"&amp;GD793)+1,""))</f>
        <v/>
      </c>
      <c r="GC793" s="0" t="str">
        <f aca="false">IF(AND(_xlfn.ISFORMULA(C793),_xlfn.ISFORMULA(J793)),"Y","N")</f>
        <v>Y</v>
      </c>
      <c r="GD793" s="0" t="n">
        <f aca="false">ROW()-1</f>
        <v>792</v>
      </c>
    </row>
    <row r="794" customFormat="false" ht="15" hidden="false" customHeight="false" outlineLevel="0" collapsed="false">
      <c r="C794" s="0" t="str">
        <f aca="false">IF($A794="","",IF(AW794="Y",BM794&amp;"",AY794&amp;""))</f>
        <v/>
      </c>
      <c r="D794" s="0" t="str">
        <f aca="false">IF($A794="","",IF(AW794="Y",BN794&amp;"",AZ794&amp;""))</f>
        <v/>
      </c>
      <c r="E794" s="0" t="str">
        <f aca="false">IF($A794="","",IF(AW794="Y",BO794&amp;"",BA794&amp;""))</f>
        <v/>
      </c>
      <c r="F794" s="0" t="str">
        <f aca="false">IF($A794="","",IF(AW794="Y",BP794&amp;"",BB794&amp;""))</f>
        <v/>
      </c>
      <c r="G794" s="0" t="str">
        <f aca="false">IF($A794="","",IF(AW794="Y",BQ794&amp;"",BC794&amp;""))</f>
        <v/>
      </c>
      <c r="H794" s="0" t="str">
        <f aca="false">IF($A794="","",IF(AW794="Y",BR794&amp;"",BD794&amp;""))</f>
        <v/>
      </c>
      <c r="I794" s="0" t="str">
        <f aca="false">IF($A794="","",IF(R794="Y","warm-intro",IF(H794="verified","email",IF(C794&lt;&gt;"","linkedin",CB794&amp;""))))</f>
        <v/>
      </c>
      <c r="J794" s="0" t="str">
        <f aca="false">IF($A794="","",IF(CN794="pass",ROUND(N(EM794)+N(EN794)+N(EO794)+N(EP794)+N(EQ794)+N(ER794),1),0))</f>
        <v/>
      </c>
      <c r="K794" s="0" t="str">
        <f aca="false">IF($A794="","",IF(CN794&lt;&gt;"pass",CA794&amp;"",CA794&amp;"; "&amp;IF(AW794="Y",BZ794&amp;"",BL794&amp;"")&amp;IF(R794="Y","; known to the founder (+15)","")&amp;"."))</f>
        <v/>
      </c>
      <c r="R794" s="5"/>
      <c r="U794" s="5"/>
      <c r="Y794" s="0" t="str">
        <f aca="false">IF(FX794&lt;&gt;"Y","",COUNTIFS($FX$2:$FX$1000,"Y",$J$2:$J$1000,"&gt;"&amp;J794)+COUNTIFS($FX$2:$FX$1000,"Y",$J$2:$J$1000,J794,$GD$2:$GD$1000,"&lt;"&amp;GD794)+1)</f>
        <v/>
      </c>
      <c r="AB794" s="0" t="str">
        <f aca="false">IF($A794="","",IF(AW794="Y",BY794&amp;"",BK794&amp;""))</f>
        <v/>
      </c>
      <c r="AC794" s="0" t="str">
        <f aca="false">IF($A794="","",IF(AW794="Y",BS794&amp;"",BE794&amp;""))</f>
        <v/>
      </c>
      <c r="AD794" s="0" t="str">
        <f aca="false">IF($A794="","",IF(AW794="Y",BT794&amp;"",BF794&amp;""))</f>
        <v/>
      </c>
      <c r="AE794" s="0" t="str">
        <f aca="false">IF($A794="","",IF(AW794="Y",BU794&amp;"",BG794&amp;""))</f>
        <v/>
      </c>
      <c r="AF794" s="0" t="str">
        <f aca="false">IF($A794="","",IF(AW794="Y",BV794&amp;"",BH794&amp;""))</f>
        <v/>
      </c>
      <c r="AG794" s="0" t="str">
        <f aca="false">IF($A794="","",IF(AW794="Y",BW794&amp;"",BI794&amp;""))</f>
        <v/>
      </c>
      <c r="AH794" s="0" t="str">
        <f aca="false">IF($A794="","",IF(AW794="Y",BX794&amp;"",BJ794&amp;""))</f>
        <v/>
      </c>
      <c r="AQ794" s="5"/>
      <c r="AT794" s="0" t="str">
        <f aca="false">IF($A794="","",IF(AND(CN794="pass",AQ794&lt;&gt;"Y",C794&lt;&gt;"",OR(AX794&lt;&gt;"Y",AV794="Y")),"Y","N"))</f>
        <v/>
      </c>
      <c r="AU794" s="0" t="str">
        <f aca="false">IF($A794="","",_xlfn.TEXTJOIN("; ",TRUE(),IF(CN794&lt;&gt;"pass","gated out",""),IF(AQ794="Y","on hold: "&amp;AR794,""),IF(C794="","no contact named on an opened page",""),IF(AND(AX794="Y",AV794&lt;&gt;"Y"),"Tuesday estimate band "&amp;L794&amp;": founder's call","")))</f>
        <v/>
      </c>
      <c r="BC794" s="0" t="str">
        <f aca="false">IF($A794="","",IFERROR(INDEX(Enrichment!$A$2:$GZ$2000,MATCH($A794,INDEX(Enrichment!$A$2:$GZ$2000,0,MATCH("row_id",Enrichment!$A$1:$GZ$1,0)),0),MATCH("work_email",Enrichment!$A$1:$GZ$1,0))&amp;"",""))</f>
        <v/>
      </c>
      <c r="BD794" s="0" t="str">
        <f aca="false">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Q794" s="0" t="str">
        <f aca="false">IF($A794="","",IFERROR(INDEX(Enrichment!$A$2:$GZ$2000,MATCH($A794,INDEX(Enrichment!$A$2:$GZ$2000,0,MATCH("row_id",Enrichment!$A$1:$GZ$1,0)),0),MATCH("backup_work_email",Enrichment!$A$1:$GZ$1,0))&amp;"",""))</f>
        <v/>
      </c>
      <c r="BR794" s="0" t="str">
        <f aca="false">IF($A794="","",IF(BQ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EQ794" s="0" t="str">
        <f aca="false">IF($A794="","",IF(AH794="exact",10,IF(AH794="adjacent",5,0)))</f>
        <v/>
      </c>
      <c r="ER794" s="0" t="str">
        <f aca="false">IF($A794="","",IF(R794="Y",15,0))</f>
        <v/>
      </c>
      <c r="FS794" s="0" t="str">
        <f aca="false">IF($A794="","",IF(ISNUMBER(MATCH(U794,{"queued","contacted","replied","call_booked","call_done","yes_in_principle","materials_sent"},0)),"Y","N"))</f>
        <v/>
      </c>
      <c r="FT794" s="0" t="str">
        <f aca="false">IF($A794="","",IF(OR(T794="Y",U794="do_not_contact",AS794&amp;""&lt;&gt;""),"Y","N"))</f>
        <v/>
      </c>
      <c r="FU794" s="0" t="str">
        <f aca="false">IF($A794="","",IF(AP794&amp;""&lt;&gt;"",AP794&amp;"",$A794))</f>
        <v/>
      </c>
      <c r="FV794" s="0" t="str">
        <f aca="false">IF($A794="","",IF(COUNTIFS($FU$2:$FU$1000,FU794,$FS$2:$FS$1000,"Y")+COUNTIFS($FU$2:$FU$1000,FU794,$FT$2:$FT$1000,"Y")&gt;0,"Y","N"))</f>
        <v/>
      </c>
      <c r="FW794" s="0" t="str">
        <f aca="false">IF($A794="","",IF(AND(U794="new",T794="N",FT794="N",AT794="Y",FV794="N"),"Y","N"))</f>
        <v/>
      </c>
      <c r="FX794" s="0" t="str">
        <f aca="false">IF($A794="","",IF(FW794&lt;&gt;"Y","N",IF(COUNTIFS($FU$2:$FU$1000,FU794,$FW$2:$FW$1000,"Y",$J$2:$J$1000,"&gt;"&amp;J794)+COUNTIFS($FU$2:$FU$1000,FU794,$FW$2:$FW$1000,"Y",$J$2:$J$1000,J794,$GD$2:$GD$1000,"&lt;"&amp;GD794)=0,"Y","N")))</f>
        <v/>
      </c>
      <c r="FY794" s="0" t="str">
        <f aca="false">IF($A794="","",IF(AND(FW794="Y",FX794="Y",Y794&amp;""&lt;&gt;""),IF(Y794&lt;=10,"Y","N"),"N"))</f>
        <v/>
      </c>
      <c r="FZ794" s="0" t="str">
        <f aca="false">IF(FY794="Y",Y794,"")</f>
        <v/>
      </c>
      <c r="GA794" s="0" t="str">
        <f aca="false">IF($A794="","",IF(AND(I794="walk-in",CN794="pass",U794="new",FT794="N",FV794="N",AQ794&lt;&gt;"Y"),"Y","N"))</f>
        <v/>
      </c>
      <c r="GB794" s="0" t="str">
        <f aca="false">IF(GA794&lt;&gt;"Y","",IF(COUNTIFS($GA$2:$GA$1000,"Y",$J$2:$J$1000,"&gt;"&amp;J794)+COUNTIFS($GA$2:$GA$1000,"Y",$J$2:$J$1000,J794,$GD$2:$GD$1000,"&lt;"&amp;GD794)+1&lt;=25,COUNTIFS($GA$2:$GA$1000,"Y",$J$2:$J$1000,"&gt;"&amp;J794)+COUNTIFS($GA$2:$GA$1000,"Y",$J$2:$J$1000,J794,$GD$2:$GD$1000,"&lt;"&amp;GD794)+1,""))</f>
        <v/>
      </c>
      <c r="GC794" s="0" t="str">
        <f aca="false">IF(AND(_xlfn.ISFORMULA(C794),_xlfn.ISFORMULA(J794)),"Y","N")</f>
        <v>Y</v>
      </c>
      <c r="GD794" s="0" t="n">
        <f aca="false">ROW()-1</f>
        <v>793</v>
      </c>
    </row>
    <row r="795" customFormat="false" ht="15" hidden="false" customHeight="false" outlineLevel="0" collapsed="false">
      <c r="C795" s="0" t="str">
        <f aca="false">IF($A795="","",IF(AW795="Y",BM795&amp;"",AY795&amp;""))</f>
        <v/>
      </c>
      <c r="D795" s="0" t="str">
        <f aca="false">IF($A795="","",IF(AW795="Y",BN795&amp;"",AZ795&amp;""))</f>
        <v/>
      </c>
      <c r="E795" s="0" t="str">
        <f aca="false">IF($A795="","",IF(AW795="Y",BO795&amp;"",BA795&amp;""))</f>
        <v/>
      </c>
      <c r="F795" s="0" t="str">
        <f aca="false">IF($A795="","",IF(AW795="Y",BP795&amp;"",BB795&amp;""))</f>
        <v/>
      </c>
      <c r="G795" s="0" t="str">
        <f aca="false">IF($A795="","",IF(AW795="Y",BQ795&amp;"",BC795&amp;""))</f>
        <v/>
      </c>
      <c r="H795" s="0" t="str">
        <f aca="false">IF($A795="","",IF(AW795="Y",BR795&amp;"",BD795&amp;""))</f>
        <v/>
      </c>
      <c r="I795" s="0" t="str">
        <f aca="false">IF($A795="","",IF(R795="Y","warm-intro",IF(H795="verified","email",IF(C795&lt;&gt;"","linkedin",CB795&amp;""))))</f>
        <v/>
      </c>
      <c r="J795" s="0" t="str">
        <f aca="false">IF($A795="","",IF(CN795="pass",ROUND(N(EM795)+N(EN795)+N(EO795)+N(EP795)+N(EQ795)+N(ER795),1),0))</f>
        <v/>
      </c>
      <c r="K795" s="0" t="str">
        <f aca="false">IF($A795="","",IF(CN795&lt;&gt;"pass",CA795&amp;"",CA795&amp;"; "&amp;IF(AW795="Y",BZ795&amp;"",BL795&amp;"")&amp;IF(R795="Y","; known to the founder (+15)","")&amp;"."))</f>
        <v/>
      </c>
      <c r="R795" s="5"/>
      <c r="U795" s="5"/>
      <c r="Y795" s="0" t="str">
        <f aca="false">IF(FX795&lt;&gt;"Y","",COUNTIFS($FX$2:$FX$1000,"Y",$J$2:$J$1000,"&gt;"&amp;J795)+COUNTIFS($FX$2:$FX$1000,"Y",$J$2:$J$1000,J795,$GD$2:$GD$1000,"&lt;"&amp;GD795)+1)</f>
        <v/>
      </c>
      <c r="AB795" s="0" t="str">
        <f aca="false">IF($A795="","",IF(AW795="Y",BY795&amp;"",BK795&amp;""))</f>
        <v/>
      </c>
      <c r="AC795" s="0" t="str">
        <f aca="false">IF($A795="","",IF(AW795="Y",BS795&amp;"",BE795&amp;""))</f>
        <v/>
      </c>
      <c r="AD795" s="0" t="str">
        <f aca="false">IF($A795="","",IF(AW795="Y",BT795&amp;"",BF795&amp;""))</f>
        <v/>
      </c>
      <c r="AE795" s="0" t="str">
        <f aca="false">IF($A795="","",IF(AW795="Y",BU795&amp;"",BG795&amp;""))</f>
        <v/>
      </c>
      <c r="AF795" s="0" t="str">
        <f aca="false">IF($A795="","",IF(AW795="Y",BV795&amp;"",BH795&amp;""))</f>
        <v/>
      </c>
      <c r="AG795" s="0" t="str">
        <f aca="false">IF($A795="","",IF(AW795="Y",BW795&amp;"",BI795&amp;""))</f>
        <v/>
      </c>
      <c r="AH795" s="0" t="str">
        <f aca="false">IF($A795="","",IF(AW795="Y",BX795&amp;"",BJ795&amp;""))</f>
        <v/>
      </c>
      <c r="AQ795" s="5"/>
      <c r="AT795" s="0" t="str">
        <f aca="false">IF($A795="","",IF(AND(CN795="pass",AQ795&lt;&gt;"Y",C795&lt;&gt;"",OR(AX795&lt;&gt;"Y",AV795="Y")),"Y","N"))</f>
        <v/>
      </c>
      <c r="AU795" s="0" t="str">
        <f aca="false">IF($A795="","",_xlfn.TEXTJOIN("; ",TRUE(),IF(CN795&lt;&gt;"pass","gated out",""),IF(AQ795="Y","on hold: "&amp;AR795,""),IF(C795="","no contact named on an opened page",""),IF(AND(AX795="Y",AV795&lt;&gt;"Y"),"Tuesday estimate band "&amp;L795&amp;": founder's call","")))</f>
        <v/>
      </c>
      <c r="BC795" s="0" t="str">
        <f aca="false">IF($A795="","",IFERROR(INDEX(Enrichment!$A$2:$GZ$2000,MATCH($A795,INDEX(Enrichment!$A$2:$GZ$2000,0,MATCH("row_id",Enrichment!$A$1:$GZ$1,0)),0),MATCH("work_email",Enrichment!$A$1:$GZ$1,0))&amp;"",""))</f>
        <v/>
      </c>
      <c r="BD795" s="0" t="str">
        <f aca="false">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Q795" s="0" t="str">
        <f aca="false">IF($A795="","",IFERROR(INDEX(Enrichment!$A$2:$GZ$2000,MATCH($A795,INDEX(Enrichment!$A$2:$GZ$2000,0,MATCH("row_id",Enrichment!$A$1:$GZ$1,0)),0),MATCH("backup_work_email",Enrichment!$A$1:$GZ$1,0))&amp;"",""))</f>
        <v/>
      </c>
      <c r="BR795" s="0" t="str">
        <f aca="false">IF($A795="","",IF(BQ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EQ795" s="0" t="str">
        <f aca="false">IF($A795="","",IF(AH795="exact",10,IF(AH795="adjacent",5,0)))</f>
        <v/>
      </c>
      <c r="ER795" s="0" t="str">
        <f aca="false">IF($A795="","",IF(R795="Y",15,0))</f>
        <v/>
      </c>
      <c r="FS795" s="0" t="str">
        <f aca="false">IF($A795="","",IF(ISNUMBER(MATCH(U795,{"queued","contacted","replied","call_booked","call_done","yes_in_principle","materials_sent"},0)),"Y","N"))</f>
        <v/>
      </c>
      <c r="FT795" s="0" t="str">
        <f aca="false">IF($A795="","",IF(OR(T795="Y",U795="do_not_contact",AS795&amp;""&lt;&gt;""),"Y","N"))</f>
        <v/>
      </c>
      <c r="FU795" s="0" t="str">
        <f aca="false">IF($A795="","",IF(AP795&amp;""&lt;&gt;"",AP795&amp;"",$A795))</f>
        <v/>
      </c>
      <c r="FV795" s="0" t="str">
        <f aca="false">IF($A795="","",IF(COUNTIFS($FU$2:$FU$1000,FU795,$FS$2:$FS$1000,"Y")+COUNTIFS($FU$2:$FU$1000,FU795,$FT$2:$FT$1000,"Y")&gt;0,"Y","N"))</f>
        <v/>
      </c>
      <c r="FW795" s="0" t="str">
        <f aca="false">IF($A795="","",IF(AND(U795="new",T795="N",FT795="N",AT795="Y",FV795="N"),"Y","N"))</f>
        <v/>
      </c>
      <c r="FX795" s="0" t="str">
        <f aca="false">IF($A795="","",IF(FW795&lt;&gt;"Y","N",IF(COUNTIFS($FU$2:$FU$1000,FU795,$FW$2:$FW$1000,"Y",$J$2:$J$1000,"&gt;"&amp;J795)+COUNTIFS($FU$2:$FU$1000,FU795,$FW$2:$FW$1000,"Y",$J$2:$J$1000,J795,$GD$2:$GD$1000,"&lt;"&amp;GD795)=0,"Y","N")))</f>
        <v/>
      </c>
      <c r="FY795" s="0" t="str">
        <f aca="false">IF($A795="","",IF(AND(FW795="Y",FX795="Y",Y795&amp;""&lt;&gt;""),IF(Y795&lt;=10,"Y","N"),"N"))</f>
        <v/>
      </c>
      <c r="FZ795" s="0" t="str">
        <f aca="false">IF(FY795="Y",Y795,"")</f>
        <v/>
      </c>
      <c r="GA795" s="0" t="str">
        <f aca="false">IF($A795="","",IF(AND(I795="walk-in",CN795="pass",U795="new",FT795="N",FV795="N",AQ795&lt;&gt;"Y"),"Y","N"))</f>
        <v/>
      </c>
      <c r="GB795" s="0" t="str">
        <f aca="false">IF(GA795&lt;&gt;"Y","",IF(COUNTIFS($GA$2:$GA$1000,"Y",$J$2:$J$1000,"&gt;"&amp;J795)+COUNTIFS($GA$2:$GA$1000,"Y",$J$2:$J$1000,J795,$GD$2:$GD$1000,"&lt;"&amp;GD795)+1&lt;=25,COUNTIFS($GA$2:$GA$1000,"Y",$J$2:$J$1000,"&gt;"&amp;J795)+COUNTIFS($GA$2:$GA$1000,"Y",$J$2:$J$1000,J795,$GD$2:$GD$1000,"&lt;"&amp;GD795)+1,""))</f>
        <v/>
      </c>
      <c r="GC795" s="0" t="str">
        <f aca="false">IF(AND(_xlfn.ISFORMULA(C795),_xlfn.ISFORMULA(J795)),"Y","N")</f>
        <v>Y</v>
      </c>
      <c r="GD795" s="0" t="n">
        <f aca="false">ROW()-1</f>
        <v>794</v>
      </c>
    </row>
    <row r="796" customFormat="false" ht="15" hidden="false" customHeight="false" outlineLevel="0" collapsed="false">
      <c r="C796" s="0" t="str">
        <f aca="false">IF($A796="","",IF(AW796="Y",BM796&amp;"",AY796&amp;""))</f>
        <v/>
      </c>
      <c r="D796" s="0" t="str">
        <f aca="false">IF($A796="","",IF(AW796="Y",BN796&amp;"",AZ796&amp;""))</f>
        <v/>
      </c>
      <c r="E796" s="0" t="str">
        <f aca="false">IF($A796="","",IF(AW796="Y",BO796&amp;"",BA796&amp;""))</f>
        <v/>
      </c>
      <c r="F796" s="0" t="str">
        <f aca="false">IF($A796="","",IF(AW796="Y",BP796&amp;"",BB796&amp;""))</f>
        <v/>
      </c>
      <c r="G796" s="0" t="str">
        <f aca="false">IF($A796="","",IF(AW796="Y",BQ796&amp;"",BC796&amp;""))</f>
        <v/>
      </c>
      <c r="H796" s="0" t="str">
        <f aca="false">IF($A796="","",IF(AW796="Y",BR796&amp;"",BD796&amp;""))</f>
        <v/>
      </c>
      <c r="I796" s="0" t="str">
        <f aca="false">IF($A796="","",IF(R796="Y","warm-intro",IF(H796="verified","email",IF(C796&lt;&gt;"","linkedin",CB796&amp;""))))</f>
        <v/>
      </c>
      <c r="J796" s="0" t="str">
        <f aca="false">IF($A796="","",IF(CN796="pass",ROUND(N(EM796)+N(EN796)+N(EO796)+N(EP796)+N(EQ796)+N(ER796),1),0))</f>
        <v/>
      </c>
      <c r="K796" s="0" t="str">
        <f aca="false">IF($A796="","",IF(CN796&lt;&gt;"pass",CA796&amp;"",CA796&amp;"; "&amp;IF(AW796="Y",BZ796&amp;"",BL796&amp;"")&amp;IF(R796="Y","; known to the founder (+15)","")&amp;"."))</f>
        <v/>
      </c>
      <c r="R796" s="5"/>
      <c r="U796" s="5"/>
      <c r="Y796" s="0" t="str">
        <f aca="false">IF(FX796&lt;&gt;"Y","",COUNTIFS($FX$2:$FX$1000,"Y",$J$2:$J$1000,"&gt;"&amp;J796)+COUNTIFS($FX$2:$FX$1000,"Y",$J$2:$J$1000,J796,$GD$2:$GD$1000,"&lt;"&amp;GD796)+1)</f>
        <v/>
      </c>
      <c r="AB796" s="0" t="str">
        <f aca="false">IF($A796="","",IF(AW796="Y",BY796&amp;"",BK796&amp;""))</f>
        <v/>
      </c>
      <c r="AC796" s="0" t="str">
        <f aca="false">IF($A796="","",IF(AW796="Y",BS796&amp;"",BE796&amp;""))</f>
        <v/>
      </c>
      <c r="AD796" s="0" t="str">
        <f aca="false">IF($A796="","",IF(AW796="Y",BT796&amp;"",BF796&amp;""))</f>
        <v/>
      </c>
      <c r="AE796" s="0" t="str">
        <f aca="false">IF($A796="","",IF(AW796="Y",BU796&amp;"",BG796&amp;""))</f>
        <v/>
      </c>
      <c r="AF796" s="0" t="str">
        <f aca="false">IF($A796="","",IF(AW796="Y",BV796&amp;"",BH796&amp;""))</f>
        <v/>
      </c>
      <c r="AG796" s="0" t="str">
        <f aca="false">IF($A796="","",IF(AW796="Y",BW796&amp;"",BI796&amp;""))</f>
        <v/>
      </c>
      <c r="AH796" s="0" t="str">
        <f aca="false">IF($A796="","",IF(AW796="Y",BX796&amp;"",BJ796&amp;""))</f>
        <v/>
      </c>
      <c r="AQ796" s="5"/>
      <c r="AT796" s="0" t="str">
        <f aca="false">IF($A796="","",IF(AND(CN796="pass",AQ796&lt;&gt;"Y",C796&lt;&gt;"",OR(AX796&lt;&gt;"Y",AV796="Y")),"Y","N"))</f>
        <v/>
      </c>
      <c r="AU796" s="0" t="str">
        <f aca="false">IF($A796="","",_xlfn.TEXTJOIN("; ",TRUE(),IF(CN796&lt;&gt;"pass","gated out",""),IF(AQ796="Y","on hold: "&amp;AR796,""),IF(C796="","no contact named on an opened page",""),IF(AND(AX796="Y",AV796&lt;&gt;"Y"),"Tuesday estimate band "&amp;L796&amp;": founder's call","")))</f>
        <v/>
      </c>
      <c r="BC796" s="0" t="str">
        <f aca="false">IF($A796="","",IFERROR(INDEX(Enrichment!$A$2:$GZ$2000,MATCH($A796,INDEX(Enrichment!$A$2:$GZ$2000,0,MATCH("row_id",Enrichment!$A$1:$GZ$1,0)),0),MATCH("work_email",Enrichment!$A$1:$GZ$1,0))&amp;"",""))</f>
        <v/>
      </c>
      <c r="BD796" s="0" t="str">
        <f aca="false">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Q796" s="0" t="str">
        <f aca="false">IF($A796="","",IFERROR(INDEX(Enrichment!$A$2:$GZ$2000,MATCH($A796,INDEX(Enrichment!$A$2:$GZ$2000,0,MATCH("row_id",Enrichment!$A$1:$GZ$1,0)),0),MATCH("backup_work_email",Enrichment!$A$1:$GZ$1,0))&amp;"",""))</f>
        <v/>
      </c>
      <c r="BR796" s="0" t="str">
        <f aca="false">IF($A796="","",IF(BQ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EQ796" s="0" t="str">
        <f aca="false">IF($A796="","",IF(AH796="exact",10,IF(AH796="adjacent",5,0)))</f>
        <v/>
      </c>
      <c r="ER796" s="0" t="str">
        <f aca="false">IF($A796="","",IF(R796="Y",15,0))</f>
        <v/>
      </c>
      <c r="FS796" s="0" t="str">
        <f aca="false">IF($A796="","",IF(ISNUMBER(MATCH(U796,{"queued","contacted","replied","call_booked","call_done","yes_in_principle","materials_sent"},0)),"Y","N"))</f>
        <v/>
      </c>
      <c r="FT796" s="0" t="str">
        <f aca="false">IF($A796="","",IF(OR(T796="Y",U796="do_not_contact",AS796&amp;""&lt;&gt;""),"Y","N"))</f>
        <v/>
      </c>
      <c r="FU796" s="0" t="str">
        <f aca="false">IF($A796="","",IF(AP796&amp;""&lt;&gt;"",AP796&amp;"",$A796))</f>
        <v/>
      </c>
      <c r="FV796" s="0" t="str">
        <f aca="false">IF($A796="","",IF(COUNTIFS($FU$2:$FU$1000,FU796,$FS$2:$FS$1000,"Y")+COUNTIFS($FU$2:$FU$1000,FU796,$FT$2:$FT$1000,"Y")&gt;0,"Y","N"))</f>
        <v/>
      </c>
      <c r="FW796" s="0" t="str">
        <f aca="false">IF($A796="","",IF(AND(U796="new",T796="N",FT796="N",AT796="Y",FV796="N"),"Y","N"))</f>
        <v/>
      </c>
      <c r="FX796" s="0" t="str">
        <f aca="false">IF($A796="","",IF(FW796&lt;&gt;"Y","N",IF(COUNTIFS($FU$2:$FU$1000,FU796,$FW$2:$FW$1000,"Y",$J$2:$J$1000,"&gt;"&amp;J796)+COUNTIFS($FU$2:$FU$1000,FU796,$FW$2:$FW$1000,"Y",$J$2:$J$1000,J796,$GD$2:$GD$1000,"&lt;"&amp;GD796)=0,"Y","N")))</f>
        <v/>
      </c>
      <c r="FY796" s="0" t="str">
        <f aca="false">IF($A796="","",IF(AND(FW796="Y",FX796="Y",Y796&amp;""&lt;&gt;""),IF(Y796&lt;=10,"Y","N"),"N"))</f>
        <v/>
      </c>
      <c r="FZ796" s="0" t="str">
        <f aca="false">IF(FY796="Y",Y796,"")</f>
        <v/>
      </c>
      <c r="GA796" s="0" t="str">
        <f aca="false">IF($A796="","",IF(AND(I796="walk-in",CN796="pass",U796="new",FT796="N",FV796="N",AQ796&lt;&gt;"Y"),"Y","N"))</f>
        <v/>
      </c>
      <c r="GB796" s="0" t="str">
        <f aca="false">IF(GA796&lt;&gt;"Y","",IF(COUNTIFS($GA$2:$GA$1000,"Y",$J$2:$J$1000,"&gt;"&amp;J796)+COUNTIFS($GA$2:$GA$1000,"Y",$J$2:$J$1000,J796,$GD$2:$GD$1000,"&lt;"&amp;GD796)+1&lt;=25,COUNTIFS($GA$2:$GA$1000,"Y",$J$2:$J$1000,"&gt;"&amp;J796)+COUNTIFS($GA$2:$GA$1000,"Y",$J$2:$J$1000,J796,$GD$2:$GD$1000,"&lt;"&amp;GD796)+1,""))</f>
        <v/>
      </c>
      <c r="GC796" s="0" t="str">
        <f aca="false">IF(AND(_xlfn.ISFORMULA(C796),_xlfn.ISFORMULA(J796)),"Y","N")</f>
        <v>Y</v>
      </c>
      <c r="GD796" s="0" t="n">
        <f aca="false">ROW()-1</f>
        <v>795</v>
      </c>
    </row>
    <row r="797" customFormat="false" ht="15" hidden="false" customHeight="false" outlineLevel="0" collapsed="false">
      <c r="C797" s="0" t="str">
        <f aca="false">IF($A797="","",IF(AW797="Y",BM797&amp;"",AY797&amp;""))</f>
        <v/>
      </c>
      <c r="D797" s="0" t="str">
        <f aca="false">IF($A797="","",IF(AW797="Y",BN797&amp;"",AZ797&amp;""))</f>
        <v/>
      </c>
      <c r="E797" s="0" t="str">
        <f aca="false">IF($A797="","",IF(AW797="Y",BO797&amp;"",BA797&amp;""))</f>
        <v/>
      </c>
      <c r="F797" s="0" t="str">
        <f aca="false">IF($A797="","",IF(AW797="Y",BP797&amp;"",BB797&amp;""))</f>
        <v/>
      </c>
      <c r="G797" s="0" t="str">
        <f aca="false">IF($A797="","",IF(AW797="Y",BQ797&amp;"",BC797&amp;""))</f>
        <v/>
      </c>
      <c r="H797" s="0" t="str">
        <f aca="false">IF($A797="","",IF(AW797="Y",BR797&amp;"",BD797&amp;""))</f>
        <v/>
      </c>
      <c r="I797" s="0" t="str">
        <f aca="false">IF($A797="","",IF(R797="Y","warm-intro",IF(H797="verified","email",IF(C797&lt;&gt;"","linkedin",CB797&amp;""))))</f>
        <v/>
      </c>
      <c r="J797" s="0" t="str">
        <f aca="false">IF($A797="","",IF(CN797="pass",ROUND(N(EM797)+N(EN797)+N(EO797)+N(EP797)+N(EQ797)+N(ER797),1),0))</f>
        <v/>
      </c>
      <c r="K797" s="0" t="str">
        <f aca="false">IF($A797="","",IF(CN797&lt;&gt;"pass",CA797&amp;"",CA797&amp;"; "&amp;IF(AW797="Y",BZ797&amp;"",BL797&amp;"")&amp;IF(R797="Y","; known to the founder (+15)","")&amp;"."))</f>
        <v/>
      </c>
      <c r="R797" s="5"/>
      <c r="U797" s="5"/>
      <c r="Y797" s="0" t="str">
        <f aca="false">IF(FX797&lt;&gt;"Y","",COUNTIFS($FX$2:$FX$1000,"Y",$J$2:$J$1000,"&gt;"&amp;J797)+COUNTIFS($FX$2:$FX$1000,"Y",$J$2:$J$1000,J797,$GD$2:$GD$1000,"&lt;"&amp;GD797)+1)</f>
        <v/>
      </c>
      <c r="AB797" s="0" t="str">
        <f aca="false">IF($A797="","",IF(AW797="Y",BY797&amp;"",BK797&amp;""))</f>
        <v/>
      </c>
      <c r="AC797" s="0" t="str">
        <f aca="false">IF($A797="","",IF(AW797="Y",BS797&amp;"",BE797&amp;""))</f>
        <v/>
      </c>
      <c r="AD797" s="0" t="str">
        <f aca="false">IF($A797="","",IF(AW797="Y",BT797&amp;"",BF797&amp;""))</f>
        <v/>
      </c>
      <c r="AE797" s="0" t="str">
        <f aca="false">IF($A797="","",IF(AW797="Y",BU797&amp;"",BG797&amp;""))</f>
        <v/>
      </c>
      <c r="AF797" s="0" t="str">
        <f aca="false">IF($A797="","",IF(AW797="Y",BV797&amp;"",BH797&amp;""))</f>
        <v/>
      </c>
      <c r="AG797" s="0" t="str">
        <f aca="false">IF($A797="","",IF(AW797="Y",BW797&amp;"",BI797&amp;""))</f>
        <v/>
      </c>
      <c r="AH797" s="0" t="str">
        <f aca="false">IF($A797="","",IF(AW797="Y",BX797&amp;"",BJ797&amp;""))</f>
        <v/>
      </c>
      <c r="AQ797" s="5"/>
      <c r="AT797" s="0" t="str">
        <f aca="false">IF($A797="","",IF(AND(CN797="pass",AQ797&lt;&gt;"Y",C797&lt;&gt;"",OR(AX797&lt;&gt;"Y",AV797="Y")),"Y","N"))</f>
        <v/>
      </c>
      <c r="AU797" s="0" t="str">
        <f aca="false">IF($A797="","",_xlfn.TEXTJOIN("; ",TRUE(),IF(CN797&lt;&gt;"pass","gated out",""),IF(AQ797="Y","on hold: "&amp;AR797,""),IF(C797="","no contact named on an opened page",""),IF(AND(AX797="Y",AV797&lt;&gt;"Y"),"Tuesday estimate band "&amp;L797&amp;": founder's call","")))</f>
        <v/>
      </c>
      <c r="BC797" s="0" t="str">
        <f aca="false">IF($A797="","",IFERROR(INDEX(Enrichment!$A$2:$GZ$2000,MATCH($A797,INDEX(Enrichment!$A$2:$GZ$2000,0,MATCH("row_id",Enrichment!$A$1:$GZ$1,0)),0),MATCH("work_email",Enrichment!$A$1:$GZ$1,0))&amp;"",""))</f>
        <v/>
      </c>
      <c r="BD797" s="0" t="str">
        <f aca="false">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Q797" s="0" t="str">
        <f aca="false">IF($A797="","",IFERROR(INDEX(Enrichment!$A$2:$GZ$2000,MATCH($A797,INDEX(Enrichment!$A$2:$GZ$2000,0,MATCH("row_id",Enrichment!$A$1:$GZ$1,0)),0),MATCH("backup_work_email",Enrichment!$A$1:$GZ$1,0))&amp;"",""))</f>
        <v/>
      </c>
      <c r="BR797" s="0" t="str">
        <f aca="false">IF($A797="","",IF(BQ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EQ797" s="0" t="str">
        <f aca="false">IF($A797="","",IF(AH797="exact",10,IF(AH797="adjacent",5,0)))</f>
        <v/>
      </c>
      <c r="ER797" s="0" t="str">
        <f aca="false">IF($A797="","",IF(R797="Y",15,0))</f>
        <v/>
      </c>
      <c r="FS797" s="0" t="str">
        <f aca="false">IF($A797="","",IF(ISNUMBER(MATCH(U797,{"queued","contacted","replied","call_booked","call_done","yes_in_principle","materials_sent"},0)),"Y","N"))</f>
        <v/>
      </c>
      <c r="FT797" s="0" t="str">
        <f aca="false">IF($A797="","",IF(OR(T797="Y",U797="do_not_contact",AS797&amp;""&lt;&gt;""),"Y","N"))</f>
        <v/>
      </c>
      <c r="FU797" s="0" t="str">
        <f aca="false">IF($A797="","",IF(AP797&amp;""&lt;&gt;"",AP797&amp;"",$A797))</f>
        <v/>
      </c>
      <c r="FV797" s="0" t="str">
        <f aca="false">IF($A797="","",IF(COUNTIFS($FU$2:$FU$1000,FU797,$FS$2:$FS$1000,"Y")+COUNTIFS($FU$2:$FU$1000,FU797,$FT$2:$FT$1000,"Y")&gt;0,"Y","N"))</f>
        <v/>
      </c>
      <c r="FW797" s="0" t="str">
        <f aca="false">IF($A797="","",IF(AND(U797="new",T797="N",FT797="N",AT797="Y",FV797="N"),"Y","N"))</f>
        <v/>
      </c>
      <c r="FX797" s="0" t="str">
        <f aca="false">IF($A797="","",IF(FW797&lt;&gt;"Y","N",IF(COUNTIFS($FU$2:$FU$1000,FU797,$FW$2:$FW$1000,"Y",$J$2:$J$1000,"&gt;"&amp;J797)+COUNTIFS($FU$2:$FU$1000,FU797,$FW$2:$FW$1000,"Y",$J$2:$J$1000,J797,$GD$2:$GD$1000,"&lt;"&amp;GD797)=0,"Y","N")))</f>
        <v/>
      </c>
      <c r="FY797" s="0" t="str">
        <f aca="false">IF($A797="","",IF(AND(FW797="Y",FX797="Y",Y797&amp;""&lt;&gt;""),IF(Y797&lt;=10,"Y","N"),"N"))</f>
        <v/>
      </c>
      <c r="FZ797" s="0" t="str">
        <f aca="false">IF(FY797="Y",Y797,"")</f>
        <v/>
      </c>
      <c r="GA797" s="0" t="str">
        <f aca="false">IF($A797="","",IF(AND(I797="walk-in",CN797="pass",U797="new",FT797="N",FV797="N",AQ797&lt;&gt;"Y"),"Y","N"))</f>
        <v/>
      </c>
      <c r="GB797" s="0" t="str">
        <f aca="false">IF(GA797&lt;&gt;"Y","",IF(COUNTIFS($GA$2:$GA$1000,"Y",$J$2:$J$1000,"&gt;"&amp;J797)+COUNTIFS($GA$2:$GA$1000,"Y",$J$2:$J$1000,J797,$GD$2:$GD$1000,"&lt;"&amp;GD797)+1&lt;=25,COUNTIFS($GA$2:$GA$1000,"Y",$J$2:$J$1000,"&gt;"&amp;J797)+COUNTIFS($GA$2:$GA$1000,"Y",$J$2:$J$1000,J797,$GD$2:$GD$1000,"&lt;"&amp;GD797)+1,""))</f>
        <v/>
      </c>
      <c r="GC797" s="0" t="str">
        <f aca="false">IF(AND(_xlfn.ISFORMULA(C797),_xlfn.ISFORMULA(J797)),"Y","N")</f>
        <v>Y</v>
      </c>
      <c r="GD797" s="0" t="n">
        <f aca="false">ROW()-1</f>
        <v>796</v>
      </c>
    </row>
    <row r="798" customFormat="false" ht="15" hidden="false" customHeight="false" outlineLevel="0" collapsed="false">
      <c r="C798" s="0" t="str">
        <f aca="false">IF($A798="","",IF(AW798="Y",BM798&amp;"",AY798&amp;""))</f>
        <v/>
      </c>
      <c r="D798" s="0" t="str">
        <f aca="false">IF($A798="","",IF(AW798="Y",BN798&amp;"",AZ798&amp;""))</f>
        <v/>
      </c>
      <c r="E798" s="0" t="str">
        <f aca="false">IF($A798="","",IF(AW798="Y",BO798&amp;"",BA798&amp;""))</f>
        <v/>
      </c>
      <c r="F798" s="0" t="str">
        <f aca="false">IF($A798="","",IF(AW798="Y",BP798&amp;"",BB798&amp;""))</f>
        <v/>
      </c>
      <c r="G798" s="0" t="str">
        <f aca="false">IF($A798="","",IF(AW798="Y",BQ798&amp;"",BC798&amp;""))</f>
        <v/>
      </c>
      <c r="H798" s="0" t="str">
        <f aca="false">IF($A798="","",IF(AW798="Y",BR798&amp;"",BD798&amp;""))</f>
        <v/>
      </c>
      <c r="I798" s="0" t="str">
        <f aca="false">IF($A798="","",IF(R798="Y","warm-intro",IF(H798="verified","email",IF(C798&lt;&gt;"","linkedin",CB798&amp;""))))</f>
        <v/>
      </c>
      <c r="J798" s="0" t="str">
        <f aca="false">IF($A798="","",IF(CN798="pass",ROUND(N(EM798)+N(EN798)+N(EO798)+N(EP798)+N(EQ798)+N(ER798),1),0))</f>
        <v/>
      </c>
      <c r="K798" s="0" t="str">
        <f aca="false">IF($A798="","",IF(CN798&lt;&gt;"pass",CA798&amp;"",CA798&amp;"; "&amp;IF(AW798="Y",BZ798&amp;"",BL798&amp;"")&amp;IF(R798="Y","; known to the founder (+15)","")&amp;"."))</f>
        <v/>
      </c>
      <c r="R798" s="5"/>
      <c r="U798" s="5"/>
      <c r="Y798" s="0" t="str">
        <f aca="false">IF(FX798&lt;&gt;"Y","",COUNTIFS($FX$2:$FX$1000,"Y",$J$2:$J$1000,"&gt;"&amp;J798)+COUNTIFS($FX$2:$FX$1000,"Y",$J$2:$J$1000,J798,$GD$2:$GD$1000,"&lt;"&amp;GD798)+1)</f>
        <v/>
      </c>
      <c r="AB798" s="0" t="str">
        <f aca="false">IF($A798="","",IF(AW798="Y",BY798&amp;"",BK798&amp;""))</f>
        <v/>
      </c>
      <c r="AC798" s="0" t="str">
        <f aca="false">IF($A798="","",IF(AW798="Y",BS798&amp;"",BE798&amp;""))</f>
        <v/>
      </c>
      <c r="AD798" s="0" t="str">
        <f aca="false">IF($A798="","",IF(AW798="Y",BT798&amp;"",BF798&amp;""))</f>
        <v/>
      </c>
      <c r="AE798" s="0" t="str">
        <f aca="false">IF($A798="","",IF(AW798="Y",BU798&amp;"",BG798&amp;""))</f>
        <v/>
      </c>
      <c r="AF798" s="0" t="str">
        <f aca="false">IF($A798="","",IF(AW798="Y",BV798&amp;"",BH798&amp;""))</f>
        <v/>
      </c>
      <c r="AG798" s="0" t="str">
        <f aca="false">IF($A798="","",IF(AW798="Y",BW798&amp;"",BI798&amp;""))</f>
        <v/>
      </c>
      <c r="AH798" s="0" t="str">
        <f aca="false">IF($A798="","",IF(AW798="Y",BX798&amp;"",BJ798&amp;""))</f>
        <v/>
      </c>
      <c r="AQ798" s="5"/>
      <c r="AT798" s="0" t="str">
        <f aca="false">IF($A798="","",IF(AND(CN798="pass",AQ798&lt;&gt;"Y",C798&lt;&gt;"",OR(AX798&lt;&gt;"Y",AV798="Y")),"Y","N"))</f>
        <v/>
      </c>
      <c r="AU798" s="0" t="str">
        <f aca="false">IF($A798="","",_xlfn.TEXTJOIN("; ",TRUE(),IF(CN798&lt;&gt;"pass","gated out",""),IF(AQ798="Y","on hold: "&amp;AR798,""),IF(C798="","no contact named on an opened page",""),IF(AND(AX798="Y",AV798&lt;&gt;"Y"),"Tuesday estimate band "&amp;L798&amp;": founder's call","")))</f>
        <v/>
      </c>
      <c r="BC798" s="0" t="str">
        <f aca="false">IF($A798="","",IFERROR(INDEX(Enrichment!$A$2:$GZ$2000,MATCH($A798,INDEX(Enrichment!$A$2:$GZ$2000,0,MATCH("row_id",Enrichment!$A$1:$GZ$1,0)),0),MATCH("work_email",Enrichment!$A$1:$GZ$1,0))&amp;"",""))</f>
        <v/>
      </c>
      <c r="BD798" s="0" t="str">
        <f aca="false">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Q798" s="0" t="str">
        <f aca="false">IF($A798="","",IFERROR(INDEX(Enrichment!$A$2:$GZ$2000,MATCH($A798,INDEX(Enrichment!$A$2:$GZ$2000,0,MATCH("row_id",Enrichment!$A$1:$GZ$1,0)),0),MATCH("backup_work_email",Enrichment!$A$1:$GZ$1,0))&amp;"",""))</f>
        <v/>
      </c>
      <c r="BR798" s="0" t="str">
        <f aca="false">IF($A798="","",IF(BQ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EQ798" s="0" t="str">
        <f aca="false">IF($A798="","",IF(AH798="exact",10,IF(AH798="adjacent",5,0)))</f>
        <v/>
      </c>
      <c r="ER798" s="0" t="str">
        <f aca="false">IF($A798="","",IF(R798="Y",15,0))</f>
        <v/>
      </c>
      <c r="FS798" s="0" t="str">
        <f aca="false">IF($A798="","",IF(ISNUMBER(MATCH(U798,{"queued","contacted","replied","call_booked","call_done","yes_in_principle","materials_sent"},0)),"Y","N"))</f>
        <v/>
      </c>
      <c r="FT798" s="0" t="str">
        <f aca="false">IF($A798="","",IF(OR(T798="Y",U798="do_not_contact",AS798&amp;""&lt;&gt;""),"Y","N"))</f>
        <v/>
      </c>
      <c r="FU798" s="0" t="str">
        <f aca="false">IF($A798="","",IF(AP798&amp;""&lt;&gt;"",AP798&amp;"",$A798))</f>
        <v/>
      </c>
      <c r="FV798" s="0" t="str">
        <f aca="false">IF($A798="","",IF(COUNTIFS($FU$2:$FU$1000,FU798,$FS$2:$FS$1000,"Y")+COUNTIFS($FU$2:$FU$1000,FU798,$FT$2:$FT$1000,"Y")&gt;0,"Y","N"))</f>
        <v/>
      </c>
      <c r="FW798" s="0" t="str">
        <f aca="false">IF($A798="","",IF(AND(U798="new",T798="N",FT798="N",AT798="Y",FV798="N"),"Y","N"))</f>
        <v/>
      </c>
      <c r="FX798" s="0" t="str">
        <f aca="false">IF($A798="","",IF(FW798&lt;&gt;"Y","N",IF(COUNTIFS($FU$2:$FU$1000,FU798,$FW$2:$FW$1000,"Y",$J$2:$J$1000,"&gt;"&amp;J798)+COUNTIFS($FU$2:$FU$1000,FU798,$FW$2:$FW$1000,"Y",$J$2:$J$1000,J798,$GD$2:$GD$1000,"&lt;"&amp;GD798)=0,"Y","N")))</f>
        <v/>
      </c>
      <c r="FY798" s="0" t="str">
        <f aca="false">IF($A798="","",IF(AND(FW798="Y",FX798="Y",Y798&amp;""&lt;&gt;""),IF(Y798&lt;=10,"Y","N"),"N"))</f>
        <v/>
      </c>
      <c r="FZ798" s="0" t="str">
        <f aca="false">IF(FY798="Y",Y798,"")</f>
        <v/>
      </c>
      <c r="GA798" s="0" t="str">
        <f aca="false">IF($A798="","",IF(AND(I798="walk-in",CN798="pass",U798="new",FT798="N",FV798="N",AQ798&lt;&gt;"Y"),"Y","N"))</f>
        <v/>
      </c>
      <c r="GB798" s="0" t="str">
        <f aca="false">IF(GA798&lt;&gt;"Y","",IF(COUNTIFS($GA$2:$GA$1000,"Y",$J$2:$J$1000,"&gt;"&amp;J798)+COUNTIFS($GA$2:$GA$1000,"Y",$J$2:$J$1000,J798,$GD$2:$GD$1000,"&lt;"&amp;GD798)+1&lt;=25,COUNTIFS($GA$2:$GA$1000,"Y",$J$2:$J$1000,"&gt;"&amp;J798)+COUNTIFS($GA$2:$GA$1000,"Y",$J$2:$J$1000,J798,$GD$2:$GD$1000,"&lt;"&amp;GD798)+1,""))</f>
        <v/>
      </c>
      <c r="GC798" s="0" t="str">
        <f aca="false">IF(AND(_xlfn.ISFORMULA(C798),_xlfn.ISFORMULA(J798)),"Y","N")</f>
        <v>Y</v>
      </c>
      <c r="GD798" s="0" t="n">
        <f aca="false">ROW()-1</f>
        <v>797</v>
      </c>
    </row>
    <row r="799" customFormat="false" ht="15" hidden="false" customHeight="false" outlineLevel="0" collapsed="false">
      <c r="C799" s="0" t="str">
        <f aca="false">IF($A799="","",IF(AW799="Y",BM799&amp;"",AY799&amp;""))</f>
        <v/>
      </c>
      <c r="D799" s="0" t="str">
        <f aca="false">IF($A799="","",IF(AW799="Y",BN799&amp;"",AZ799&amp;""))</f>
        <v/>
      </c>
      <c r="E799" s="0" t="str">
        <f aca="false">IF($A799="","",IF(AW799="Y",BO799&amp;"",BA799&amp;""))</f>
        <v/>
      </c>
      <c r="F799" s="0" t="str">
        <f aca="false">IF($A799="","",IF(AW799="Y",BP799&amp;"",BB799&amp;""))</f>
        <v/>
      </c>
      <c r="G799" s="0" t="str">
        <f aca="false">IF($A799="","",IF(AW799="Y",BQ799&amp;"",BC799&amp;""))</f>
        <v/>
      </c>
      <c r="H799" s="0" t="str">
        <f aca="false">IF($A799="","",IF(AW799="Y",BR799&amp;"",BD799&amp;""))</f>
        <v/>
      </c>
      <c r="I799" s="0" t="str">
        <f aca="false">IF($A799="","",IF(R799="Y","warm-intro",IF(H799="verified","email",IF(C799&lt;&gt;"","linkedin",CB799&amp;""))))</f>
        <v/>
      </c>
      <c r="J799" s="0" t="str">
        <f aca="false">IF($A799="","",IF(CN799="pass",ROUND(N(EM799)+N(EN799)+N(EO799)+N(EP799)+N(EQ799)+N(ER799),1),0))</f>
        <v/>
      </c>
      <c r="K799" s="0" t="str">
        <f aca="false">IF($A799="","",IF(CN799&lt;&gt;"pass",CA799&amp;"",CA799&amp;"; "&amp;IF(AW799="Y",BZ799&amp;"",BL799&amp;"")&amp;IF(R799="Y","; known to the founder (+15)","")&amp;"."))</f>
        <v/>
      </c>
      <c r="R799" s="5"/>
      <c r="U799" s="5"/>
      <c r="Y799" s="0" t="str">
        <f aca="false">IF(FX799&lt;&gt;"Y","",COUNTIFS($FX$2:$FX$1000,"Y",$J$2:$J$1000,"&gt;"&amp;J799)+COUNTIFS($FX$2:$FX$1000,"Y",$J$2:$J$1000,J799,$GD$2:$GD$1000,"&lt;"&amp;GD799)+1)</f>
        <v/>
      </c>
      <c r="AB799" s="0" t="str">
        <f aca="false">IF($A799="","",IF(AW799="Y",BY799&amp;"",BK799&amp;""))</f>
        <v/>
      </c>
      <c r="AC799" s="0" t="str">
        <f aca="false">IF($A799="","",IF(AW799="Y",BS799&amp;"",BE799&amp;""))</f>
        <v/>
      </c>
      <c r="AD799" s="0" t="str">
        <f aca="false">IF($A799="","",IF(AW799="Y",BT799&amp;"",BF799&amp;""))</f>
        <v/>
      </c>
      <c r="AE799" s="0" t="str">
        <f aca="false">IF($A799="","",IF(AW799="Y",BU799&amp;"",BG799&amp;""))</f>
        <v/>
      </c>
      <c r="AF799" s="0" t="str">
        <f aca="false">IF($A799="","",IF(AW799="Y",BV799&amp;"",BH799&amp;""))</f>
        <v/>
      </c>
      <c r="AG799" s="0" t="str">
        <f aca="false">IF($A799="","",IF(AW799="Y",BW799&amp;"",BI799&amp;""))</f>
        <v/>
      </c>
      <c r="AH799" s="0" t="str">
        <f aca="false">IF($A799="","",IF(AW799="Y",BX799&amp;"",BJ799&amp;""))</f>
        <v/>
      </c>
      <c r="AQ799" s="5"/>
      <c r="AT799" s="0" t="str">
        <f aca="false">IF($A799="","",IF(AND(CN799="pass",AQ799&lt;&gt;"Y",C799&lt;&gt;"",OR(AX799&lt;&gt;"Y",AV799="Y")),"Y","N"))</f>
        <v/>
      </c>
      <c r="AU799" s="0" t="str">
        <f aca="false">IF($A799="","",_xlfn.TEXTJOIN("; ",TRUE(),IF(CN799&lt;&gt;"pass","gated out",""),IF(AQ799="Y","on hold: "&amp;AR799,""),IF(C799="","no contact named on an opened page",""),IF(AND(AX799="Y",AV799&lt;&gt;"Y"),"Tuesday estimate band "&amp;L799&amp;": founder's call","")))</f>
        <v/>
      </c>
      <c r="BC799" s="0" t="str">
        <f aca="false">IF($A799="","",IFERROR(INDEX(Enrichment!$A$2:$GZ$2000,MATCH($A799,INDEX(Enrichment!$A$2:$GZ$2000,0,MATCH("row_id",Enrichment!$A$1:$GZ$1,0)),0),MATCH("work_email",Enrichment!$A$1:$GZ$1,0))&amp;"",""))</f>
        <v/>
      </c>
      <c r="BD799" s="0" t="str">
        <f aca="false">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Q799" s="0" t="str">
        <f aca="false">IF($A799="","",IFERROR(INDEX(Enrichment!$A$2:$GZ$2000,MATCH($A799,INDEX(Enrichment!$A$2:$GZ$2000,0,MATCH("row_id",Enrichment!$A$1:$GZ$1,0)),0),MATCH("backup_work_email",Enrichment!$A$1:$GZ$1,0))&amp;"",""))</f>
        <v/>
      </c>
      <c r="BR799" s="0" t="str">
        <f aca="false">IF($A799="","",IF(BQ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EQ799" s="0" t="str">
        <f aca="false">IF($A799="","",IF(AH799="exact",10,IF(AH799="adjacent",5,0)))</f>
        <v/>
      </c>
      <c r="ER799" s="0" t="str">
        <f aca="false">IF($A799="","",IF(R799="Y",15,0))</f>
        <v/>
      </c>
      <c r="FS799" s="0" t="str">
        <f aca="false">IF($A799="","",IF(ISNUMBER(MATCH(U799,{"queued","contacted","replied","call_booked","call_done","yes_in_principle","materials_sent"},0)),"Y","N"))</f>
        <v/>
      </c>
      <c r="FT799" s="0" t="str">
        <f aca="false">IF($A799="","",IF(OR(T799="Y",U799="do_not_contact",AS799&amp;""&lt;&gt;""),"Y","N"))</f>
        <v/>
      </c>
      <c r="FU799" s="0" t="str">
        <f aca="false">IF($A799="","",IF(AP799&amp;""&lt;&gt;"",AP799&amp;"",$A799))</f>
        <v/>
      </c>
      <c r="FV799" s="0" t="str">
        <f aca="false">IF($A799="","",IF(COUNTIFS($FU$2:$FU$1000,FU799,$FS$2:$FS$1000,"Y")+COUNTIFS($FU$2:$FU$1000,FU799,$FT$2:$FT$1000,"Y")&gt;0,"Y","N"))</f>
        <v/>
      </c>
      <c r="FW799" s="0" t="str">
        <f aca="false">IF($A799="","",IF(AND(U799="new",T799="N",FT799="N",AT799="Y",FV799="N"),"Y","N"))</f>
        <v/>
      </c>
      <c r="FX799" s="0" t="str">
        <f aca="false">IF($A799="","",IF(FW799&lt;&gt;"Y","N",IF(COUNTIFS($FU$2:$FU$1000,FU799,$FW$2:$FW$1000,"Y",$J$2:$J$1000,"&gt;"&amp;J799)+COUNTIFS($FU$2:$FU$1000,FU799,$FW$2:$FW$1000,"Y",$J$2:$J$1000,J799,$GD$2:$GD$1000,"&lt;"&amp;GD799)=0,"Y","N")))</f>
        <v/>
      </c>
      <c r="FY799" s="0" t="str">
        <f aca="false">IF($A799="","",IF(AND(FW799="Y",FX799="Y",Y799&amp;""&lt;&gt;""),IF(Y799&lt;=10,"Y","N"),"N"))</f>
        <v/>
      </c>
      <c r="FZ799" s="0" t="str">
        <f aca="false">IF(FY799="Y",Y799,"")</f>
        <v/>
      </c>
      <c r="GA799" s="0" t="str">
        <f aca="false">IF($A799="","",IF(AND(I799="walk-in",CN799="pass",U799="new",FT799="N",FV799="N",AQ799&lt;&gt;"Y"),"Y","N"))</f>
        <v/>
      </c>
      <c r="GB799" s="0" t="str">
        <f aca="false">IF(GA799&lt;&gt;"Y","",IF(COUNTIFS($GA$2:$GA$1000,"Y",$J$2:$J$1000,"&gt;"&amp;J799)+COUNTIFS($GA$2:$GA$1000,"Y",$J$2:$J$1000,J799,$GD$2:$GD$1000,"&lt;"&amp;GD799)+1&lt;=25,COUNTIFS($GA$2:$GA$1000,"Y",$J$2:$J$1000,"&gt;"&amp;J799)+COUNTIFS($GA$2:$GA$1000,"Y",$J$2:$J$1000,J799,$GD$2:$GD$1000,"&lt;"&amp;GD799)+1,""))</f>
        <v/>
      </c>
      <c r="GC799" s="0" t="str">
        <f aca="false">IF(AND(_xlfn.ISFORMULA(C799),_xlfn.ISFORMULA(J799)),"Y","N")</f>
        <v>Y</v>
      </c>
      <c r="GD799" s="0" t="n">
        <f aca="false">ROW()-1</f>
        <v>798</v>
      </c>
    </row>
    <row r="800" customFormat="false" ht="15" hidden="false" customHeight="false" outlineLevel="0" collapsed="false">
      <c r="C800" s="0" t="str">
        <f aca="false">IF($A800="","",IF(AW800="Y",BM800&amp;"",AY800&amp;""))</f>
        <v/>
      </c>
      <c r="D800" s="0" t="str">
        <f aca="false">IF($A800="","",IF(AW800="Y",BN800&amp;"",AZ800&amp;""))</f>
        <v/>
      </c>
      <c r="E800" s="0" t="str">
        <f aca="false">IF($A800="","",IF(AW800="Y",BO800&amp;"",BA800&amp;""))</f>
        <v/>
      </c>
      <c r="F800" s="0" t="str">
        <f aca="false">IF($A800="","",IF(AW800="Y",BP800&amp;"",BB800&amp;""))</f>
        <v/>
      </c>
      <c r="G800" s="0" t="str">
        <f aca="false">IF($A800="","",IF(AW800="Y",BQ800&amp;"",BC800&amp;""))</f>
        <v/>
      </c>
      <c r="H800" s="0" t="str">
        <f aca="false">IF($A800="","",IF(AW800="Y",BR800&amp;"",BD800&amp;""))</f>
        <v/>
      </c>
      <c r="I800" s="0" t="str">
        <f aca="false">IF($A800="","",IF(R800="Y","warm-intro",IF(H800="verified","email",IF(C800&lt;&gt;"","linkedin",CB800&amp;""))))</f>
        <v/>
      </c>
      <c r="J800" s="0" t="str">
        <f aca="false">IF($A800="","",IF(CN800="pass",ROUND(N(EM800)+N(EN800)+N(EO800)+N(EP800)+N(EQ800)+N(ER800),1),0))</f>
        <v/>
      </c>
      <c r="K800" s="0" t="str">
        <f aca="false">IF($A800="","",IF(CN800&lt;&gt;"pass",CA800&amp;"",CA800&amp;"; "&amp;IF(AW800="Y",BZ800&amp;"",BL800&amp;"")&amp;IF(R800="Y","; known to the founder (+15)","")&amp;"."))</f>
        <v/>
      </c>
      <c r="R800" s="5"/>
      <c r="U800" s="5"/>
      <c r="Y800" s="0" t="str">
        <f aca="false">IF(FX800&lt;&gt;"Y","",COUNTIFS($FX$2:$FX$1000,"Y",$J$2:$J$1000,"&gt;"&amp;J800)+COUNTIFS($FX$2:$FX$1000,"Y",$J$2:$J$1000,J800,$GD$2:$GD$1000,"&lt;"&amp;GD800)+1)</f>
        <v/>
      </c>
      <c r="AB800" s="0" t="str">
        <f aca="false">IF($A800="","",IF(AW800="Y",BY800&amp;"",BK800&amp;""))</f>
        <v/>
      </c>
      <c r="AC800" s="0" t="str">
        <f aca="false">IF($A800="","",IF(AW800="Y",BS800&amp;"",BE800&amp;""))</f>
        <v/>
      </c>
      <c r="AD800" s="0" t="str">
        <f aca="false">IF($A800="","",IF(AW800="Y",BT800&amp;"",BF800&amp;""))</f>
        <v/>
      </c>
      <c r="AE800" s="0" t="str">
        <f aca="false">IF($A800="","",IF(AW800="Y",BU800&amp;"",BG800&amp;""))</f>
        <v/>
      </c>
      <c r="AF800" s="0" t="str">
        <f aca="false">IF($A800="","",IF(AW800="Y",BV800&amp;"",BH800&amp;""))</f>
        <v/>
      </c>
      <c r="AG800" s="0" t="str">
        <f aca="false">IF($A800="","",IF(AW800="Y",BW800&amp;"",BI800&amp;""))</f>
        <v/>
      </c>
      <c r="AH800" s="0" t="str">
        <f aca="false">IF($A800="","",IF(AW800="Y",BX800&amp;"",BJ800&amp;""))</f>
        <v/>
      </c>
      <c r="AQ800" s="5"/>
      <c r="AT800" s="0" t="str">
        <f aca="false">IF($A800="","",IF(AND(CN800="pass",AQ800&lt;&gt;"Y",C800&lt;&gt;"",OR(AX800&lt;&gt;"Y",AV800="Y")),"Y","N"))</f>
        <v/>
      </c>
      <c r="AU800" s="0" t="str">
        <f aca="false">IF($A800="","",_xlfn.TEXTJOIN("; ",TRUE(),IF(CN800&lt;&gt;"pass","gated out",""),IF(AQ800="Y","on hold: "&amp;AR800,""),IF(C800="","no contact named on an opened page",""),IF(AND(AX800="Y",AV800&lt;&gt;"Y"),"Tuesday estimate band "&amp;L800&amp;": founder's call","")))</f>
        <v/>
      </c>
      <c r="BC800" s="0" t="str">
        <f aca="false">IF($A800="","",IFERROR(INDEX(Enrichment!$A$2:$GZ$2000,MATCH($A800,INDEX(Enrichment!$A$2:$GZ$2000,0,MATCH("row_id",Enrichment!$A$1:$GZ$1,0)),0),MATCH("work_email",Enrichment!$A$1:$GZ$1,0))&amp;"",""))</f>
        <v/>
      </c>
      <c r="BD800" s="0" t="str">
        <f aca="false">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Q800" s="0" t="str">
        <f aca="false">IF($A800="","",IFERROR(INDEX(Enrichment!$A$2:$GZ$2000,MATCH($A800,INDEX(Enrichment!$A$2:$GZ$2000,0,MATCH("row_id",Enrichment!$A$1:$GZ$1,0)),0),MATCH("backup_work_email",Enrichment!$A$1:$GZ$1,0))&amp;"",""))</f>
        <v/>
      </c>
      <c r="BR800" s="0" t="str">
        <f aca="false">IF($A800="","",IF(BQ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EQ800" s="0" t="str">
        <f aca="false">IF($A800="","",IF(AH800="exact",10,IF(AH800="adjacent",5,0)))</f>
        <v/>
      </c>
      <c r="ER800" s="0" t="str">
        <f aca="false">IF($A800="","",IF(R800="Y",15,0))</f>
        <v/>
      </c>
      <c r="FS800" s="0" t="str">
        <f aca="false">IF($A800="","",IF(ISNUMBER(MATCH(U800,{"queued","contacted","replied","call_booked","call_done","yes_in_principle","materials_sent"},0)),"Y","N"))</f>
        <v/>
      </c>
      <c r="FT800" s="0" t="str">
        <f aca="false">IF($A800="","",IF(OR(T800="Y",U800="do_not_contact",AS800&amp;""&lt;&gt;""),"Y","N"))</f>
        <v/>
      </c>
      <c r="FU800" s="0" t="str">
        <f aca="false">IF($A800="","",IF(AP800&amp;""&lt;&gt;"",AP800&amp;"",$A800))</f>
        <v/>
      </c>
      <c r="FV800" s="0" t="str">
        <f aca="false">IF($A800="","",IF(COUNTIFS($FU$2:$FU$1000,FU800,$FS$2:$FS$1000,"Y")+COUNTIFS($FU$2:$FU$1000,FU800,$FT$2:$FT$1000,"Y")&gt;0,"Y","N"))</f>
        <v/>
      </c>
      <c r="FW800" s="0" t="str">
        <f aca="false">IF($A800="","",IF(AND(U800="new",T800="N",FT800="N",AT800="Y",FV800="N"),"Y","N"))</f>
        <v/>
      </c>
      <c r="FX800" s="0" t="str">
        <f aca="false">IF($A800="","",IF(FW800&lt;&gt;"Y","N",IF(COUNTIFS($FU$2:$FU$1000,FU800,$FW$2:$FW$1000,"Y",$J$2:$J$1000,"&gt;"&amp;J800)+COUNTIFS($FU$2:$FU$1000,FU800,$FW$2:$FW$1000,"Y",$J$2:$J$1000,J800,$GD$2:$GD$1000,"&lt;"&amp;GD800)=0,"Y","N")))</f>
        <v/>
      </c>
      <c r="FY800" s="0" t="str">
        <f aca="false">IF($A800="","",IF(AND(FW800="Y",FX800="Y",Y800&amp;""&lt;&gt;""),IF(Y800&lt;=10,"Y","N"),"N"))</f>
        <v/>
      </c>
      <c r="FZ800" s="0" t="str">
        <f aca="false">IF(FY800="Y",Y800,"")</f>
        <v/>
      </c>
      <c r="GA800" s="0" t="str">
        <f aca="false">IF($A800="","",IF(AND(I800="walk-in",CN800="pass",U800="new",FT800="N",FV800="N",AQ800&lt;&gt;"Y"),"Y","N"))</f>
        <v/>
      </c>
      <c r="GB800" s="0" t="str">
        <f aca="false">IF(GA800&lt;&gt;"Y","",IF(COUNTIFS($GA$2:$GA$1000,"Y",$J$2:$J$1000,"&gt;"&amp;J800)+COUNTIFS($GA$2:$GA$1000,"Y",$J$2:$J$1000,J800,$GD$2:$GD$1000,"&lt;"&amp;GD800)+1&lt;=25,COUNTIFS($GA$2:$GA$1000,"Y",$J$2:$J$1000,"&gt;"&amp;J800)+COUNTIFS($GA$2:$GA$1000,"Y",$J$2:$J$1000,J800,$GD$2:$GD$1000,"&lt;"&amp;GD800)+1,""))</f>
        <v/>
      </c>
      <c r="GC800" s="0" t="str">
        <f aca="false">IF(AND(_xlfn.ISFORMULA(C800),_xlfn.ISFORMULA(J800)),"Y","N")</f>
        <v>Y</v>
      </c>
      <c r="GD800" s="0" t="n">
        <f aca="false">ROW()-1</f>
        <v>799</v>
      </c>
    </row>
    <row r="801" customFormat="false" ht="15" hidden="false" customHeight="false" outlineLevel="0" collapsed="false">
      <c r="C801" s="0" t="str">
        <f aca="false">IF($A801="","",IF(AW801="Y",BM801&amp;"",AY801&amp;""))</f>
        <v/>
      </c>
      <c r="D801" s="0" t="str">
        <f aca="false">IF($A801="","",IF(AW801="Y",BN801&amp;"",AZ801&amp;""))</f>
        <v/>
      </c>
      <c r="E801" s="0" t="str">
        <f aca="false">IF($A801="","",IF(AW801="Y",BO801&amp;"",BA801&amp;""))</f>
        <v/>
      </c>
      <c r="F801" s="0" t="str">
        <f aca="false">IF($A801="","",IF(AW801="Y",BP801&amp;"",BB801&amp;""))</f>
        <v/>
      </c>
      <c r="G801" s="0" t="str">
        <f aca="false">IF($A801="","",IF(AW801="Y",BQ801&amp;"",BC801&amp;""))</f>
        <v/>
      </c>
      <c r="H801" s="0" t="str">
        <f aca="false">IF($A801="","",IF(AW801="Y",BR801&amp;"",BD801&amp;""))</f>
        <v/>
      </c>
      <c r="I801" s="0" t="str">
        <f aca="false">IF($A801="","",IF(R801="Y","warm-intro",IF(H801="verified","email",IF(C801&lt;&gt;"","linkedin",CB801&amp;""))))</f>
        <v/>
      </c>
      <c r="J801" s="0" t="str">
        <f aca="false">IF($A801="","",IF(CN801="pass",ROUND(N(EM801)+N(EN801)+N(EO801)+N(EP801)+N(EQ801)+N(ER801),1),0))</f>
        <v/>
      </c>
      <c r="K801" s="0" t="str">
        <f aca="false">IF($A801="","",IF(CN801&lt;&gt;"pass",CA801&amp;"",CA801&amp;"; "&amp;IF(AW801="Y",BZ801&amp;"",BL801&amp;"")&amp;IF(R801="Y","; known to the founder (+15)","")&amp;"."))</f>
        <v/>
      </c>
      <c r="R801" s="5"/>
      <c r="U801" s="5"/>
      <c r="Y801" s="0" t="str">
        <f aca="false">IF(FX801&lt;&gt;"Y","",COUNTIFS($FX$2:$FX$1000,"Y",$J$2:$J$1000,"&gt;"&amp;J801)+COUNTIFS($FX$2:$FX$1000,"Y",$J$2:$J$1000,J801,$GD$2:$GD$1000,"&lt;"&amp;GD801)+1)</f>
        <v/>
      </c>
      <c r="AB801" s="0" t="str">
        <f aca="false">IF($A801="","",IF(AW801="Y",BY801&amp;"",BK801&amp;""))</f>
        <v/>
      </c>
      <c r="AC801" s="0" t="str">
        <f aca="false">IF($A801="","",IF(AW801="Y",BS801&amp;"",BE801&amp;""))</f>
        <v/>
      </c>
      <c r="AD801" s="0" t="str">
        <f aca="false">IF($A801="","",IF(AW801="Y",BT801&amp;"",BF801&amp;""))</f>
        <v/>
      </c>
      <c r="AE801" s="0" t="str">
        <f aca="false">IF($A801="","",IF(AW801="Y",BU801&amp;"",BG801&amp;""))</f>
        <v/>
      </c>
      <c r="AF801" s="0" t="str">
        <f aca="false">IF($A801="","",IF(AW801="Y",BV801&amp;"",BH801&amp;""))</f>
        <v/>
      </c>
      <c r="AG801" s="0" t="str">
        <f aca="false">IF($A801="","",IF(AW801="Y",BW801&amp;"",BI801&amp;""))</f>
        <v/>
      </c>
      <c r="AH801" s="0" t="str">
        <f aca="false">IF($A801="","",IF(AW801="Y",BX801&amp;"",BJ801&amp;""))</f>
        <v/>
      </c>
      <c r="AQ801" s="5"/>
      <c r="AT801" s="0" t="str">
        <f aca="false">IF($A801="","",IF(AND(CN801="pass",AQ801&lt;&gt;"Y",C801&lt;&gt;"",OR(AX801&lt;&gt;"Y",AV801="Y")),"Y","N"))</f>
        <v/>
      </c>
      <c r="AU801" s="0" t="str">
        <f aca="false">IF($A801="","",_xlfn.TEXTJOIN("; ",TRUE(),IF(CN801&lt;&gt;"pass","gated out",""),IF(AQ801="Y","on hold: "&amp;AR801,""),IF(C801="","no contact named on an opened page",""),IF(AND(AX801="Y",AV801&lt;&gt;"Y"),"Tuesday estimate band "&amp;L801&amp;": founder's call","")))</f>
        <v/>
      </c>
      <c r="BC801" s="0" t="str">
        <f aca="false">IF($A801="","",IFERROR(INDEX(Enrichment!$A$2:$GZ$2000,MATCH($A801,INDEX(Enrichment!$A$2:$GZ$2000,0,MATCH("row_id",Enrichment!$A$1:$GZ$1,0)),0),MATCH("work_email",Enrichment!$A$1:$GZ$1,0))&amp;"",""))</f>
        <v/>
      </c>
      <c r="BD801" s="0" t="str">
        <f aca="false">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Q801" s="0" t="str">
        <f aca="false">IF($A801="","",IFERROR(INDEX(Enrichment!$A$2:$GZ$2000,MATCH($A801,INDEX(Enrichment!$A$2:$GZ$2000,0,MATCH("row_id",Enrichment!$A$1:$GZ$1,0)),0),MATCH("backup_work_email",Enrichment!$A$1:$GZ$1,0))&amp;"",""))</f>
        <v/>
      </c>
      <c r="BR801" s="0" t="str">
        <f aca="false">IF($A801="","",IF(BQ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EQ801" s="0" t="str">
        <f aca="false">IF($A801="","",IF(AH801="exact",10,IF(AH801="adjacent",5,0)))</f>
        <v/>
      </c>
      <c r="ER801" s="0" t="str">
        <f aca="false">IF($A801="","",IF(R801="Y",15,0))</f>
        <v/>
      </c>
      <c r="FS801" s="0" t="str">
        <f aca="false">IF($A801="","",IF(ISNUMBER(MATCH(U801,{"queued","contacted","replied","call_booked","call_done","yes_in_principle","materials_sent"},0)),"Y","N"))</f>
        <v/>
      </c>
      <c r="FT801" s="0" t="str">
        <f aca="false">IF($A801="","",IF(OR(T801="Y",U801="do_not_contact",AS801&amp;""&lt;&gt;""),"Y","N"))</f>
        <v/>
      </c>
      <c r="FU801" s="0" t="str">
        <f aca="false">IF($A801="","",IF(AP801&amp;""&lt;&gt;"",AP801&amp;"",$A801))</f>
        <v/>
      </c>
      <c r="FV801" s="0" t="str">
        <f aca="false">IF($A801="","",IF(COUNTIFS($FU$2:$FU$1000,FU801,$FS$2:$FS$1000,"Y")+COUNTIFS($FU$2:$FU$1000,FU801,$FT$2:$FT$1000,"Y")&gt;0,"Y","N"))</f>
        <v/>
      </c>
      <c r="FW801" s="0" t="str">
        <f aca="false">IF($A801="","",IF(AND(U801="new",T801="N",FT801="N",AT801="Y",FV801="N"),"Y","N"))</f>
        <v/>
      </c>
      <c r="FX801" s="0" t="str">
        <f aca="false">IF($A801="","",IF(FW801&lt;&gt;"Y","N",IF(COUNTIFS($FU$2:$FU$1000,FU801,$FW$2:$FW$1000,"Y",$J$2:$J$1000,"&gt;"&amp;J801)+COUNTIFS($FU$2:$FU$1000,FU801,$FW$2:$FW$1000,"Y",$J$2:$J$1000,J801,$GD$2:$GD$1000,"&lt;"&amp;GD801)=0,"Y","N")))</f>
        <v/>
      </c>
      <c r="FY801" s="0" t="str">
        <f aca="false">IF($A801="","",IF(AND(FW801="Y",FX801="Y",Y801&amp;""&lt;&gt;""),IF(Y801&lt;=10,"Y","N"),"N"))</f>
        <v/>
      </c>
      <c r="FZ801" s="0" t="str">
        <f aca="false">IF(FY801="Y",Y801,"")</f>
        <v/>
      </c>
      <c r="GA801" s="0" t="str">
        <f aca="false">IF($A801="","",IF(AND(I801="walk-in",CN801="pass",U801="new",FT801="N",FV801="N",AQ801&lt;&gt;"Y"),"Y","N"))</f>
        <v/>
      </c>
      <c r="GB801" s="0" t="str">
        <f aca="false">IF(GA801&lt;&gt;"Y","",IF(COUNTIFS($GA$2:$GA$1000,"Y",$J$2:$J$1000,"&gt;"&amp;J801)+COUNTIFS($GA$2:$GA$1000,"Y",$J$2:$J$1000,J801,$GD$2:$GD$1000,"&lt;"&amp;GD801)+1&lt;=25,COUNTIFS($GA$2:$GA$1000,"Y",$J$2:$J$1000,"&gt;"&amp;J801)+COUNTIFS($GA$2:$GA$1000,"Y",$J$2:$J$1000,J801,$GD$2:$GD$1000,"&lt;"&amp;GD801)+1,""))</f>
        <v/>
      </c>
      <c r="GC801" s="0" t="str">
        <f aca="false">IF(AND(_xlfn.ISFORMULA(C801),_xlfn.ISFORMULA(J801)),"Y","N")</f>
        <v>Y</v>
      </c>
      <c r="GD801" s="0" t="n">
        <f aca="false">ROW()-1</f>
        <v>800</v>
      </c>
    </row>
    <row r="802" customFormat="false" ht="15" hidden="false" customHeight="false" outlineLevel="0" collapsed="false">
      <c r="C802" s="0" t="str">
        <f aca="false">IF($A802="","",IF(AW802="Y",BM802&amp;"",AY802&amp;""))</f>
        <v/>
      </c>
      <c r="D802" s="0" t="str">
        <f aca="false">IF($A802="","",IF(AW802="Y",BN802&amp;"",AZ802&amp;""))</f>
        <v/>
      </c>
      <c r="E802" s="0" t="str">
        <f aca="false">IF($A802="","",IF(AW802="Y",BO802&amp;"",BA802&amp;""))</f>
        <v/>
      </c>
      <c r="F802" s="0" t="str">
        <f aca="false">IF($A802="","",IF(AW802="Y",BP802&amp;"",BB802&amp;""))</f>
        <v/>
      </c>
      <c r="G802" s="0" t="str">
        <f aca="false">IF($A802="","",IF(AW802="Y",BQ802&amp;"",BC802&amp;""))</f>
        <v/>
      </c>
      <c r="H802" s="0" t="str">
        <f aca="false">IF($A802="","",IF(AW802="Y",BR802&amp;"",BD802&amp;""))</f>
        <v/>
      </c>
      <c r="I802" s="0" t="str">
        <f aca="false">IF($A802="","",IF(R802="Y","warm-intro",IF(H802="verified","email",IF(C802&lt;&gt;"","linkedin",CB802&amp;""))))</f>
        <v/>
      </c>
      <c r="J802" s="0" t="str">
        <f aca="false">IF($A802="","",IF(CN802="pass",ROUND(N(EM802)+N(EN802)+N(EO802)+N(EP802)+N(EQ802)+N(ER802),1),0))</f>
        <v/>
      </c>
      <c r="K802" s="0" t="str">
        <f aca="false">IF($A802="","",IF(CN802&lt;&gt;"pass",CA802&amp;"",CA802&amp;"; "&amp;IF(AW802="Y",BZ802&amp;"",BL802&amp;"")&amp;IF(R802="Y","; known to the founder (+15)","")&amp;"."))</f>
        <v/>
      </c>
      <c r="R802" s="5"/>
      <c r="U802" s="5"/>
      <c r="Y802" s="0" t="str">
        <f aca="false">IF(FX802&lt;&gt;"Y","",COUNTIFS($FX$2:$FX$1000,"Y",$J$2:$J$1000,"&gt;"&amp;J802)+COUNTIFS($FX$2:$FX$1000,"Y",$J$2:$J$1000,J802,$GD$2:$GD$1000,"&lt;"&amp;GD802)+1)</f>
        <v/>
      </c>
      <c r="AB802" s="0" t="str">
        <f aca="false">IF($A802="","",IF(AW802="Y",BY802&amp;"",BK802&amp;""))</f>
        <v/>
      </c>
      <c r="AC802" s="0" t="str">
        <f aca="false">IF($A802="","",IF(AW802="Y",BS802&amp;"",BE802&amp;""))</f>
        <v/>
      </c>
      <c r="AD802" s="0" t="str">
        <f aca="false">IF($A802="","",IF(AW802="Y",BT802&amp;"",BF802&amp;""))</f>
        <v/>
      </c>
      <c r="AE802" s="0" t="str">
        <f aca="false">IF($A802="","",IF(AW802="Y",BU802&amp;"",BG802&amp;""))</f>
        <v/>
      </c>
      <c r="AF802" s="0" t="str">
        <f aca="false">IF($A802="","",IF(AW802="Y",BV802&amp;"",BH802&amp;""))</f>
        <v/>
      </c>
      <c r="AG802" s="0" t="str">
        <f aca="false">IF($A802="","",IF(AW802="Y",BW802&amp;"",BI802&amp;""))</f>
        <v/>
      </c>
      <c r="AH802" s="0" t="str">
        <f aca="false">IF($A802="","",IF(AW802="Y",BX802&amp;"",BJ802&amp;""))</f>
        <v/>
      </c>
      <c r="AQ802" s="5"/>
      <c r="AT802" s="0" t="str">
        <f aca="false">IF($A802="","",IF(AND(CN802="pass",AQ802&lt;&gt;"Y",C802&lt;&gt;"",OR(AX802&lt;&gt;"Y",AV802="Y")),"Y","N"))</f>
        <v/>
      </c>
      <c r="AU802" s="0" t="str">
        <f aca="false">IF($A802="","",_xlfn.TEXTJOIN("; ",TRUE(),IF(CN802&lt;&gt;"pass","gated out",""),IF(AQ802="Y","on hold: "&amp;AR802,""),IF(C802="","no contact named on an opened page",""),IF(AND(AX802="Y",AV802&lt;&gt;"Y"),"Tuesday estimate band "&amp;L802&amp;": founder's call","")))</f>
        <v/>
      </c>
      <c r="BC802" s="0" t="str">
        <f aca="false">IF($A802="","",IFERROR(INDEX(Enrichment!$A$2:$GZ$2000,MATCH($A802,INDEX(Enrichment!$A$2:$GZ$2000,0,MATCH("row_id",Enrichment!$A$1:$GZ$1,0)),0),MATCH("work_email",Enrichment!$A$1:$GZ$1,0))&amp;"",""))</f>
        <v/>
      </c>
      <c r="BD802" s="0" t="str">
        <f aca="false">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Q802" s="0" t="str">
        <f aca="false">IF($A802="","",IFERROR(INDEX(Enrichment!$A$2:$GZ$2000,MATCH($A802,INDEX(Enrichment!$A$2:$GZ$2000,0,MATCH("row_id",Enrichment!$A$1:$GZ$1,0)),0),MATCH("backup_work_email",Enrichment!$A$1:$GZ$1,0))&amp;"",""))</f>
        <v/>
      </c>
      <c r="BR802" s="0" t="str">
        <f aca="false">IF($A802="","",IF(BQ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EQ802" s="0" t="str">
        <f aca="false">IF($A802="","",IF(AH802="exact",10,IF(AH802="adjacent",5,0)))</f>
        <v/>
      </c>
      <c r="ER802" s="0" t="str">
        <f aca="false">IF($A802="","",IF(R802="Y",15,0))</f>
        <v/>
      </c>
      <c r="FS802" s="0" t="str">
        <f aca="false">IF($A802="","",IF(ISNUMBER(MATCH(U802,{"queued","contacted","replied","call_booked","call_done","yes_in_principle","materials_sent"},0)),"Y","N"))</f>
        <v/>
      </c>
      <c r="FT802" s="0" t="str">
        <f aca="false">IF($A802="","",IF(OR(T802="Y",U802="do_not_contact",AS802&amp;""&lt;&gt;""),"Y","N"))</f>
        <v/>
      </c>
      <c r="FU802" s="0" t="str">
        <f aca="false">IF($A802="","",IF(AP802&amp;""&lt;&gt;"",AP802&amp;"",$A802))</f>
        <v/>
      </c>
      <c r="FV802" s="0" t="str">
        <f aca="false">IF($A802="","",IF(COUNTIFS($FU$2:$FU$1000,FU802,$FS$2:$FS$1000,"Y")+COUNTIFS($FU$2:$FU$1000,FU802,$FT$2:$FT$1000,"Y")&gt;0,"Y","N"))</f>
        <v/>
      </c>
      <c r="FW802" s="0" t="str">
        <f aca="false">IF($A802="","",IF(AND(U802="new",T802="N",FT802="N",AT802="Y",FV802="N"),"Y","N"))</f>
        <v/>
      </c>
      <c r="FX802" s="0" t="str">
        <f aca="false">IF($A802="","",IF(FW802&lt;&gt;"Y","N",IF(COUNTIFS($FU$2:$FU$1000,FU802,$FW$2:$FW$1000,"Y",$J$2:$J$1000,"&gt;"&amp;J802)+COUNTIFS($FU$2:$FU$1000,FU802,$FW$2:$FW$1000,"Y",$J$2:$J$1000,J802,$GD$2:$GD$1000,"&lt;"&amp;GD802)=0,"Y","N")))</f>
        <v/>
      </c>
      <c r="FY802" s="0" t="str">
        <f aca="false">IF($A802="","",IF(AND(FW802="Y",FX802="Y",Y802&amp;""&lt;&gt;""),IF(Y802&lt;=10,"Y","N"),"N"))</f>
        <v/>
      </c>
      <c r="FZ802" s="0" t="str">
        <f aca="false">IF(FY802="Y",Y802,"")</f>
        <v/>
      </c>
      <c r="GA802" s="0" t="str">
        <f aca="false">IF($A802="","",IF(AND(I802="walk-in",CN802="pass",U802="new",FT802="N",FV802="N",AQ802&lt;&gt;"Y"),"Y","N"))</f>
        <v/>
      </c>
      <c r="GB802" s="0" t="str">
        <f aca="false">IF(GA802&lt;&gt;"Y","",IF(COUNTIFS($GA$2:$GA$1000,"Y",$J$2:$J$1000,"&gt;"&amp;J802)+COUNTIFS($GA$2:$GA$1000,"Y",$J$2:$J$1000,J802,$GD$2:$GD$1000,"&lt;"&amp;GD802)+1&lt;=25,COUNTIFS($GA$2:$GA$1000,"Y",$J$2:$J$1000,"&gt;"&amp;J802)+COUNTIFS($GA$2:$GA$1000,"Y",$J$2:$J$1000,J802,$GD$2:$GD$1000,"&lt;"&amp;GD802)+1,""))</f>
        <v/>
      </c>
      <c r="GC802" s="0" t="str">
        <f aca="false">IF(AND(_xlfn.ISFORMULA(C802),_xlfn.ISFORMULA(J802)),"Y","N")</f>
        <v>Y</v>
      </c>
      <c r="GD802" s="0" t="n">
        <f aca="false">ROW()-1</f>
        <v>801</v>
      </c>
    </row>
    <row r="803" customFormat="false" ht="15" hidden="false" customHeight="false" outlineLevel="0" collapsed="false">
      <c r="C803" s="0" t="str">
        <f aca="false">IF($A803="","",IF(AW803="Y",BM803&amp;"",AY803&amp;""))</f>
        <v/>
      </c>
      <c r="D803" s="0" t="str">
        <f aca="false">IF($A803="","",IF(AW803="Y",BN803&amp;"",AZ803&amp;""))</f>
        <v/>
      </c>
      <c r="E803" s="0" t="str">
        <f aca="false">IF($A803="","",IF(AW803="Y",BO803&amp;"",BA803&amp;""))</f>
        <v/>
      </c>
      <c r="F803" s="0" t="str">
        <f aca="false">IF($A803="","",IF(AW803="Y",BP803&amp;"",BB803&amp;""))</f>
        <v/>
      </c>
      <c r="G803" s="0" t="str">
        <f aca="false">IF($A803="","",IF(AW803="Y",BQ803&amp;"",BC803&amp;""))</f>
        <v/>
      </c>
      <c r="H803" s="0" t="str">
        <f aca="false">IF($A803="","",IF(AW803="Y",BR803&amp;"",BD803&amp;""))</f>
        <v/>
      </c>
      <c r="I803" s="0" t="str">
        <f aca="false">IF($A803="","",IF(R803="Y","warm-intro",IF(H803="verified","email",IF(C803&lt;&gt;"","linkedin",CB803&amp;""))))</f>
        <v/>
      </c>
      <c r="J803" s="0" t="str">
        <f aca="false">IF($A803="","",IF(CN803="pass",ROUND(N(EM803)+N(EN803)+N(EO803)+N(EP803)+N(EQ803)+N(ER803),1),0))</f>
        <v/>
      </c>
      <c r="K803" s="0" t="str">
        <f aca="false">IF($A803="","",IF(CN803&lt;&gt;"pass",CA803&amp;"",CA803&amp;"; "&amp;IF(AW803="Y",BZ803&amp;"",BL803&amp;"")&amp;IF(R803="Y","; known to the founder (+15)","")&amp;"."))</f>
        <v/>
      </c>
      <c r="R803" s="5"/>
      <c r="U803" s="5"/>
      <c r="Y803" s="0" t="str">
        <f aca="false">IF(FX803&lt;&gt;"Y","",COUNTIFS($FX$2:$FX$1000,"Y",$J$2:$J$1000,"&gt;"&amp;J803)+COUNTIFS($FX$2:$FX$1000,"Y",$J$2:$J$1000,J803,$GD$2:$GD$1000,"&lt;"&amp;GD803)+1)</f>
        <v/>
      </c>
      <c r="AB803" s="0" t="str">
        <f aca="false">IF($A803="","",IF(AW803="Y",BY803&amp;"",BK803&amp;""))</f>
        <v/>
      </c>
      <c r="AC803" s="0" t="str">
        <f aca="false">IF($A803="","",IF(AW803="Y",BS803&amp;"",BE803&amp;""))</f>
        <v/>
      </c>
      <c r="AD803" s="0" t="str">
        <f aca="false">IF($A803="","",IF(AW803="Y",BT803&amp;"",BF803&amp;""))</f>
        <v/>
      </c>
      <c r="AE803" s="0" t="str">
        <f aca="false">IF($A803="","",IF(AW803="Y",BU803&amp;"",BG803&amp;""))</f>
        <v/>
      </c>
      <c r="AF803" s="0" t="str">
        <f aca="false">IF($A803="","",IF(AW803="Y",BV803&amp;"",BH803&amp;""))</f>
        <v/>
      </c>
      <c r="AG803" s="0" t="str">
        <f aca="false">IF($A803="","",IF(AW803="Y",BW803&amp;"",BI803&amp;""))</f>
        <v/>
      </c>
      <c r="AH803" s="0" t="str">
        <f aca="false">IF($A803="","",IF(AW803="Y",BX803&amp;"",BJ803&amp;""))</f>
        <v/>
      </c>
      <c r="AQ803" s="5"/>
      <c r="AT803" s="0" t="str">
        <f aca="false">IF($A803="","",IF(AND(CN803="pass",AQ803&lt;&gt;"Y",C803&lt;&gt;"",OR(AX803&lt;&gt;"Y",AV803="Y")),"Y","N"))</f>
        <v/>
      </c>
      <c r="AU803" s="0" t="str">
        <f aca="false">IF($A803="","",_xlfn.TEXTJOIN("; ",TRUE(),IF(CN803&lt;&gt;"pass","gated out",""),IF(AQ803="Y","on hold: "&amp;AR803,""),IF(C803="","no contact named on an opened page",""),IF(AND(AX803="Y",AV803&lt;&gt;"Y"),"Tuesday estimate band "&amp;L803&amp;": founder's call","")))</f>
        <v/>
      </c>
      <c r="BC803" s="0" t="str">
        <f aca="false">IF($A803="","",IFERROR(INDEX(Enrichment!$A$2:$GZ$2000,MATCH($A803,INDEX(Enrichment!$A$2:$GZ$2000,0,MATCH("row_id",Enrichment!$A$1:$GZ$1,0)),0),MATCH("work_email",Enrichment!$A$1:$GZ$1,0))&amp;"",""))</f>
        <v/>
      </c>
      <c r="BD803" s="0" t="str">
        <f aca="false">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Q803" s="0" t="str">
        <f aca="false">IF($A803="","",IFERROR(INDEX(Enrichment!$A$2:$GZ$2000,MATCH($A803,INDEX(Enrichment!$A$2:$GZ$2000,0,MATCH("row_id",Enrichment!$A$1:$GZ$1,0)),0),MATCH("backup_work_email",Enrichment!$A$1:$GZ$1,0))&amp;"",""))</f>
        <v/>
      </c>
      <c r="BR803" s="0" t="str">
        <f aca="false">IF($A803="","",IF(BQ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EQ803" s="0" t="str">
        <f aca="false">IF($A803="","",IF(AH803="exact",10,IF(AH803="adjacent",5,0)))</f>
        <v/>
      </c>
      <c r="ER803" s="0" t="str">
        <f aca="false">IF($A803="","",IF(R803="Y",15,0))</f>
        <v/>
      </c>
      <c r="FS803" s="0" t="str">
        <f aca="false">IF($A803="","",IF(ISNUMBER(MATCH(U803,{"queued","contacted","replied","call_booked","call_done","yes_in_principle","materials_sent"},0)),"Y","N"))</f>
        <v/>
      </c>
      <c r="FT803" s="0" t="str">
        <f aca="false">IF($A803="","",IF(OR(T803="Y",U803="do_not_contact",AS803&amp;""&lt;&gt;""),"Y","N"))</f>
        <v/>
      </c>
      <c r="FU803" s="0" t="str">
        <f aca="false">IF($A803="","",IF(AP803&amp;""&lt;&gt;"",AP803&amp;"",$A803))</f>
        <v/>
      </c>
      <c r="FV803" s="0" t="str">
        <f aca="false">IF($A803="","",IF(COUNTIFS($FU$2:$FU$1000,FU803,$FS$2:$FS$1000,"Y")+COUNTIFS($FU$2:$FU$1000,FU803,$FT$2:$FT$1000,"Y")&gt;0,"Y","N"))</f>
        <v/>
      </c>
      <c r="FW803" s="0" t="str">
        <f aca="false">IF($A803="","",IF(AND(U803="new",T803="N",FT803="N",AT803="Y",FV803="N"),"Y","N"))</f>
        <v/>
      </c>
      <c r="FX803" s="0" t="str">
        <f aca="false">IF($A803="","",IF(FW803&lt;&gt;"Y","N",IF(COUNTIFS($FU$2:$FU$1000,FU803,$FW$2:$FW$1000,"Y",$J$2:$J$1000,"&gt;"&amp;J803)+COUNTIFS($FU$2:$FU$1000,FU803,$FW$2:$FW$1000,"Y",$J$2:$J$1000,J803,$GD$2:$GD$1000,"&lt;"&amp;GD803)=0,"Y","N")))</f>
        <v/>
      </c>
      <c r="FY803" s="0" t="str">
        <f aca="false">IF($A803="","",IF(AND(FW803="Y",FX803="Y",Y803&amp;""&lt;&gt;""),IF(Y803&lt;=10,"Y","N"),"N"))</f>
        <v/>
      </c>
      <c r="FZ803" s="0" t="str">
        <f aca="false">IF(FY803="Y",Y803,"")</f>
        <v/>
      </c>
      <c r="GA803" s="0" t="str">
        <f aca="false">IF($A803="","",IF(AND(I803="walk-in",CN803="pass",U803="new",FT803="N",FV803="N",AQ803&lt;&gt;"Y"),"Y","N"))</f>
        <v/>
      </c>
      <c r="GB803" s="0" t="str">
        <f aca="false">IF(GA803&lt;&gt;"Y","",IF(COUNTIFS($GA$2:$GA$1000,"Y",$J$2:$J$1000,"&gt;"&amp;J803)+COUNTIFS($GA$2:$GA$1000,"Y",$J$2:$J$1000,J803,$GD$2:$GD$1000,"&lt;"&amp;GD803)+1&lt;=25,COUNTIFS($GA$2:$GA$1000,"Y",$J$2:$J$1000,"&gt;"&amp;J803)+COUNTIFS($GA$2:$GA$1000,"Y",$J$2:$J$1000,J803,$GD$2:$GD$1000,"&lt;"&amp;GD803)+1,""))</f>
        <v/>
      </c>
      <c r="GC803" s="0" t="str">
        <f aca="false">IF(AND(_xlfn.ISFORMULA(C803),_xlfn.ISFORMULA(J803)),"Y","N")</f>
        <v>Y</v>
      </c>
      <c r="GD803" s="0" t="n">
        <f aca="false">ROW()-1</f>
        <v>802</v>
      </c>
    </row>
    <row r="804" customFormat="false" ht="15" hidden="false" customHeight="false" outlineLevel="0" collapsed="false">
      <c r="C804" s="0" t="str">
        <f aca="false">IF($A804="","",IF(AW804="Y",BM804&amp;"",AY804&amp;""))</f>
        <v/>
      </c>
      <c r="D804" s="0" t="str">
        <f aca="false">IF($A804="","",IF(AW804="Y",BN804&amp;"",AZ804&amp;""))</f>
        <v/>
      </c>
      <c r="E804" s="0" t="str">
        <f aca="false">IF($A804="","",IF(AW804="Y",BO804&amp;"",BA804&amp;""))</f>
        <v/>
      </c>
      <c r="F804" s="0" t="str">
        <f aca="false">IF($A804="","",IF(AW804="Y",BP804&amp;"",BB804&amp;""))</f>
        <v/>
      </c>
      <c r="G804" s="0" t="str">
        <f aca="false">IF($A804="","",IF(AW804="Y",BQ804&amp;"",BC804&amp;""))</f>
        <v/>
      </c>
      <c r="H804" s="0" t="str">
        <f aca="false">IF($A804="","",IF(AW804="Y",BR804&amp;"",BD804&amp;""))</f>
        <v/>
      </c>
      <c r="I804" s="0" t="str">
        <f aca="false">IF($A804="","",IF(R804="Y","warm-intro",IF(H804="verified","email",IF(C804&lt;&gt;"","linkedin",CB804&amp;""))))</f>
        <v/>
      </c>
      <c r="J804" s="0" t="str">
        <f aca="false">IF($A804="","",IF(CN804="pass",ROUND(N(EM804)+N(EN804)+N(EO804)+N(EP804)+N(EQ804)+N(ER804),1),0))</f>
        <v/>
      </c>
      <c r="K804" s="0" t="str">
        <f aca="false">IF($A804="","",IF(CN804&lt;&gt;"pass",CA804&amp;"",CA804&amp;"; "&amp;IF(AW804="Y",BZ804&amp;"",BL804&amp;"")&amp;IF(R804="Y","; known to the founder (+15)","")&amp;"."))</f>
        <v/>
      </c>
      <c r="R804" s="5"/>
      <c r="U804" s="5"/>
      <c r="Y804" s="0" t="str">
        <f aca="false">IF(FX804&lt;&gt;"Y","",COUNTIFS($FX$2:$FX$1000,"Y",$J$2:$J$1000,"&gt;"&amp;J804)+COUNTIFS($FX$2:$FX$1000,"Y",$J$2:$J$1000,J804,$GD$2:$GD$1000,"&lt;"&amp;GD804)+1)</f>
        <v/>
      </c>
      <c r="AB804" s="0" t="str">
        <f aca="false">IF($A804="","",IF(AW804="Y",BY804&amp;"",BK804&amp;""))</f>
        <v/>
      </c>
      <c r="AC804" s="0" t="str">
        <f aca="false">IF($A804="","",IF(AW804="Y",BS804&amp;"",BE804&amp;""))</f>
        <v/>
      </c>
      <c r="AD804" s="0" t="str">
        <f aca="false">IF($A804="","",IF(AW804="Y",BT804&amp;"",BF804&amp;""))</f>
        <v/>
      </c>
      <c r="AE804" s="0" t="str">
        <f aca="false">IF($A804="","",IF(AW804="Y",BU804&amp;"",BG804&amp;""))</f>
        <v/>
      </c>
      <c r="AF804" s="0" t="str">
        <f aca="false">IF($A804="","",IF(AW804="Y",BV804&amp;"",BH804&amp;""))</f>
        <v/>
      </c>
      <c r="AG804" s="0" t="str">
        <f aca="false">IF($A804="","",IF(AW804="Y",BW804&amp;"",BI804&amp;""))</f>
        <v/>
      </c>
      <c r="AH804" s="0" t="str">
        <f aca="false">IF($A804="","",IF(AW804="Y",BX804&amp;"",BJ804&amp;""))</f>
        <v/>
      </c>
      <c r="AQ804" s="5"/>
      <c r="AT804" s="0" t="str">
        <f aca="false">IF($A804="","",IF(AND(CN804="pass",AQ804&lt;&gt;"Y",C804&lt;&gt;"",OR(AX804&lt;&gt;"Y",AV804="Y")),"Y","N"))</f>
        <v/>
      </c>
      <c r="AU804" s="0" t="str">
        <f aca="false">IF($A804="","",_xlfn.TEXTJOIN("; ",TRUE(),IF(CN804&lt;&gt;"pass","gated out",""),IF(AQ804="Y","on hold: "&amp;AR804,""),IF(C804="","no contact named on an opened page",""),IF(AND(AX804="Y",AV804&lt;&gt;"Y"),"Tuesday estimate band "&amp;L804&amp;": founder's call","")))</f>
        <v/>
      </c>
      <c r="BC804" s="0" t="str">
        <f aca="false">IF($A804="","",IFERROR(INDEX(Enrichment!$A$2:$GZ$2000,MATCH($A804,INDEX(Enrichment!$A$2:$GZ$2000,0,MATCH("row_id",Enrichment!$A$1:$GZ$1,0)),0),MATCH("work_email",Enrichment!$A$1:$GZ$1,0))&amp;"",""))</f>
        <v/>
      </c>
      <c r="BD804" s="0" t="str">
        <f aca="false">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Q804" s="0" t="str">
        <f aca="false">IF($A804="","",IFERROR(INDEX(Enrichment!$A$2:$GZ$2000,MATCH($A804,INDEX(Enrichment!$A$2:$GZ$2000,0,MATCH("row_id",Enrichment!$A$1:$GZ$1,0)),0),MATCH("backup_work_email",Enrichment!$A$1:$GZ$1,0))&amp;"",""))</f>
        <v/>
      </c>
      <c r="BR804" s="0" t="str">
        <f aca="false">IF($A804="","",IF(BQ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EQ804" s="0" t="str">
        <f aca="false">IF($A804="","",IF(AH804="exact",10,IF(AH804="adjacent",5,0)))</f>
        <v/>
      </c>
      <c r="ER804" s="0" t="str">
        <f aca="false">IF($A804="","",IF(R804="Y",15,0))</f>
        <v/>
      </c>
      <c r="FS804" s="0" t="str">
        <f aca="false">IF($A804="","",IF(ISNUMBER(MATCH(U804,{"queued","contacted","replied","call_booked","call_done","yes_in_principle","materials_sent"},0)),"Y","N"))</f>
        <v/>
      </c>
      <c r="FT804" s="0" t="str">
        <f aca="false">IF($A804="","",IF(OR(T804="Y",U804="do_not_contact",AS804&amp;""&lt;&gt;""),"Y","N"))</f>
        <v/>
      </c>
      <c r="FU804" s="0" t="str">
        <f aca="false">IF($A804="","",IF(AP804&amp;""&lt;&gt;"",AP804&amp;"",$A804))</f>
        <v/>
      </c>
      <c r="FV804" s="0" t="str">
        <f aca="false">IF($A804="","",IF(COUNTIFS($FU$2:$FU$1000,FU804,$FS$2:$FS$1000,"Y")+COUNTIFS($FU$2:$FU$1000,FU804,$FT$2:$FT$1000,"Y")&gt;0,"Y","N"))</f>
        <v/>
      </c>
      <c r="FW804" s="0" t="str">
        <f aca="false">IF($A804="","",IF(AND(U804="new",T804="N",FT804="N",AT804="Y",FV804="N"),"Y","N"))</f>
        <v/>
      </c>
      <c r="FX804" s="0" t="str">
        <f aca="false">IF($A804="","",IF(FW804&lt;&gt;"Y","N",IF(COUNTIFS($FU$2:$FU$1000,FU804,$FW$2:$FW$1000,"Y",$J$2:$J$1000,"&gt;"&amp;J804)+COUNTIFS($FU$2:$FU$1000,FU804,$FW$2:$FW$1000,"Y",$J$2:$J$1000,J804,$GD$2:$GD$1000,"&lt;"&amp;GD804)=0,"Y","N")))</f>
        <v/>
      </c>
      <c r="FY804" s="0" t="str">
        <f aca="false">IF($A804="","",IF(AND(FW804="Y",FX804="Y",Y804&amp;""&lt;&gt;""),IF(Y804&lt;=10,"Y","N"),"N"))</f>
        <v/>
      </c>
      <c r="FZ804" s="0" t="str">
        <f aca="false">IF(FY804="Y",Y804,"")</f>
        <v/>
      </c>
      <c r="GA804" s="0" t="str">
        <f aca="false">IF($A804="","",IF(AND(I804="walk-in",CN804="pass",U804="new",FT804="N",FV804="N",AQ804&lt;&gt;"Y"),"Y","N"))</f>
        <v/>
      </c>
      <c r="GB804" s="0" t="str">
        <f aca="false">IF(GA804&lt;&gt;"Y","",IF(COUNTIFS($GA$2:$GA$1000,"Y",$J$2:$J$1000,"&gt;"&amp;J804)+COUNTIFS($GA$2:$GA$1000,"Y",$J$2:$J$1000,J804,$GD$2:$GD$1000,"&lt;"&amp;GD804)+1&lt;=25,COUNTIFS($GA$2:$GA$1000,"Y",$J$2:$J$1000,"&gt;"&amp;J804)+COUNTIFS($GA$2:$GA$1000,"Y",$J$2:$J$1000,J804,$GD$2:$GD$1000,"&lt;"&amp;GD804)+1,""))</f>
        <v/>
      </c>
      <c r="GC804" s="0" t="str">
        <f aca="false">IF(AND(_xlfn.ISFORMULA(C804),_xlfn.ISFORMULA(J804)),"Y","N")</f>
        <v>Y</v>
      </c>
      <c r="GD804" s="0" t="n">
        <f aca="false">ROW()-1</f>
        <v>803</v>
      </c>
    </row>
    <row r="805" customFormat="false" ht="15" hidden="false" customHeight="false" outlineLevel="0" collapsed="false">
      <c r="C805" s="0" t="str">
        <f aca="false">IF($A805="","",IF(AW805="Y",BM805&amp;"",AY805&amp;""))</f>
        <v/>
      </c>
      <c r="D805" s="0" t="str">
        <f aca="false">IF($A805="","",IF(AW805="Y",BN805&amp;"",AZ805&amp;""))</f>
        <v/>
      </c>
      <c r="E805" s="0" t="str">
        <f aca="false">IF($A805="","",IF(AW805="Y",BO805&amp;"",BA805&amp;""))</f>
        <v/>
      </c>
      <c r="F805" s="0" t="str">
        <f aca="false">IF($A805="","",IF(AW805="Y",BP805&amp;"",BB805&amp;""))</f>
        <v/>
      </c>
      <c r="G805" s="0" t="str">
        <f aca="false">IF($A805="","",IF(AW805="Y",BQ805&amp;"",BC805&amp;""))</f>
        <v/>
      </c>
      <c r="H805" s="0" t="str">
        <f aca="false">IF($A805="","",IF(AW805="Y",BR805&amp;"",BD805&amp;""))</f>
        <v/>
      </c>
      <c r="I805" s="0" t="str">
        <f aca="false">IF($A805="","",IF(R805="Y","warm-intro",IF(H805="verified","email",IF(C805&lt;&gt;"","linkedin",CB805&amp;""))))</f>
        <v/>
      </c>
      <c r="J805" s="0" t="str">
        <f aca="false">IF($A805="","",IF(CN805="pass",ROUND(N(EM805)+N(EN805)+N(EO805)+N(EP805)+N(EQ805)+N(ER805),1),0))</f>
        <v/>
      </c>
      <c r="K805" s="0" t="str">
        <f aca="false">IF($A805="","",IF(CN805&lt;&gt;"pass",CA805&amp;"",CA805&amp;"; "&amp;IF(AW805="Y",BZ805&amp;"",BL805&amp;"")&amp;IF(R805="Y","; known to the founder (+15)","")&amp;"."))</f>
        <v/>
      </c>
      <c r="R805" s="5"/>
      <c r="U805" s="5"/>
      <c r="Y805" s="0" t="str">
        <f aca="false">IF(FX805&lt;&gt;"Y","",COUNTIFS($FX$2:$FX$1000,"Y",$J$2:$J$1000,"&gt;"&amp;J805)+COUNTIFS($FX$2:$FX$1000,"Y",$J$2:$J$1000,J805,$GD$2:$GD$1000,"&lt;"&amp;GD805)+1)</f>
        <v/>
      </c>
      <c r="AB805" s="0" t="str">
        <f aca="false">IF($A805="","",IF(AW805="Y",BY805&amp;"",BK805&amp;""))</f>
        <v/>
      </c>
      <c r="AC805" s="0" t="str">
        <f aca="false">IF($A805="","",IF(AW805="Y",BS805&amp;"",BE805&amp;""))</f>
        <v/>
      </c>
      <c r="AD805" s="0" t="str">
        <f aca="false">IF($A805="","",IF(AW805="Y",BT805&amp;"",BF805&amp;""))</f>
        <v/>
      </c>
      <c r="AE805" s="0" t="str">
        <f aca="false">IF($A805="","",IF(AW805="Y",BU805&amp;"",BG805&amp;""))</f>
        <v/>
      </c>
      <c r="AF805" s="0" t="str">
        <f aca="false">IF($A805="","",IF(AW805="Y",BV805&amp;"",BH805&amp;""))</f>
        <v/>
      </c>
      <c r="AG805" s="0" t="str">
        <f aca="false">IF($A805="","",IF(AW805="Y",BW805&amp;"",BI805&amp;""))</f>
        <v/>
      </c>
      <c r="AH805" s="0" t="str">
        <f aca="false">IF($A805="","",IF(AW805="Y",BX805&amp;"",BJ805&amp;""))</f>
        <v/>
      </c>
      <c r="AQ805" s="5"/>
      <c r="AT805" s="0" t="str">
        <f aca="false">IF($A805="","",IF(AND(CN805="pass",AQ805&lt;&gt;"Y",C805&lt;&gt;"",OR(AX805&lt;&gt;"Y",AV805="Y")),"Y","N"))</f>
        <v/>
      </c>
      <c r="AU805" s="0" t="str">
        <f aca="false">IF($A805="","",_xlfn.TEXTJOIN("; ",TRUE(),IF(CN805&lt;&gt;"pass","gated out",""),IF(AQ805="Y","on hold: "&amp;AR805,""),IF(C805="","no contact named on an opened page",""),IF(AND(AX805="Y",AV805&lt;&gt;"Y"),"Tuesday estimate band "&amp;L805&amp;": founder's call","")))</f>
        <v/>
      </c>
      <c r="BC805" s="0" t="str">
        <f aca="false">IF($A805="","",IFERROR(INDEX(Enrichment!$A$2:$GZ$2000,MATCH($A805,INDEX(Enrichment!$A$2:$GZ$2000,0,MATCH("row_id",Enrichment!$A$1:$GZ$1,0)),0),MATCH("work_email",Enrichment!$A$1:$GZ$1,0))&amp;"",""))</f>
        <v/>
      </c>
      <c r="BD805" s="0" t="str">
        <f aca="false">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Q805" s="0" t="str">
        <f aca="false">IF($A805="","",IFERROR(INDEX(Enrichment!$A$2:$GZ$2000,MATCH($A805,INDEX(Enrichment!$A$2:$GZ$2000,0,MATCH("row_id",Enrichment!$A$1:$GZ$1,0)),0),MATCH("backup_work_email",Enrichment!$A$1:$GZ$1,0))&amp;"",""))</f>
        <v/>
      </c>
      <c r="BR805" s="0" t="str">
        <f aca="false">IF($A805="","",IF(BQ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EQ805" s="0" t="str">
        <f aca="false">IF($A805="","",IF(AH805="exact",10,IF(AH805="adjacent",5,0)))</f>
        <v/>
      </c>
      <c r="ER805" s="0" t="str">
        <f aca="false">IF($A805="","",IF(R805="Y",15,0))</f>
        <v/>
      </c>
      <c r="FS805" s="0" t="str">
        <f aca="false">IF($A805="","",IF(ISNUMBER(MATCH(U805,{"queued","contacted","replied","call_booked","call_done","yes_in_principle","materials_sent"},0)),"Y","N"))</f>
        <v/>
      </c>
      <c r="FT805" s="0" t="str">
        <f aca="false">IF($A805="","",IF(OR(T805="Y",U805="do_not_contact",AS805&amp;""&lt;&gt;""),"Y","N"))</f>
        <v/>
      </c>
      <c r="FU805" s="0" t="str">
        <f aca="false">IF($A805="","",IF(AP805&amp;""&lt;&gt;"",AP805&amp;"",$A805))</f>
        <v/>
      </c>
      <c r="FV805" s="0" t="str">
        <f aca="false">IF($A805="","",IF(COUNTIFS($FU$2:$FU$1000,FU805,$FS$2:$FS$1000,"Y")+COUNTIFS($FU$2:$FU$1000,FU805,$FT$2:$FT$1000,"Y")&gt;0,"Y","N"))</f>
        <v/>
      </c>
      <c r="FW805" s="0" t="str">
        <f aca="false">IF($A805="","",IF(AND(U805="new",T805="N",FT805="N",AT805="Y",FV805="N"),"Y","N"))</f>
        <v/>
      </c>
      <c r="FX805" s="0" t="str">
        <f aca="false">IF($A805="","",IF(FW805&lt;&gt;"Y","N",IF(COUNTIFS($FU$2:$FU$1000,FU805,$FW$2:$FW$1000,"Y",$J$2:$J$1000,"&gt;"&amp;J805)+COUNTIFS($FU$2:$FU$1000,FU805,$FW$2:$FW$1000,"Y",$J$2:$J$1000,J805,$GD$2:$GD$1000,"&lt;"&amp;GD805)=0,"Y","N")))</f>
        <v/>
      </c>
      <c r="FY805" s="0" t="str">
        <f aca="false">IF($A805="","",IF(AND(FW805="Y",FX805="Y",Y805&amp;""&lt;&gt;""),IF(Y805&lt;=10,"Y","N"),"N"))</f>
        <v/>
      </c>
      <c r="FZ805" s="0" t="str">
        <f aca="false">IF(FY805="Y",Y805,"")</f>
        <v/>
      </c>
      <c r="GA805" s="0" t="str">
        <f aca="false">IF($A805="","",IF(AND(I805="walk-in",CN805="pass",U805="new",FT805="N",FV805="N",AQ805&lt;&gt;"Y"),"Y","N"))</f>
        <v/>
      </c>
      <c r="GB805" s="0" t="str">
        <f aca="false">IF(GA805&lt;&gt;"Y","",IF(COUNTIFS($GA$2:$GA$1000,"Y",$J$2:$J$1000,"&gt;"&amp;J805)+COUNTIFS($GA$2:$GA$1000,"Y",$J$2:$J$1000,J805,$GD$2:$GD$1000,"&lt;"&amp;GD805)+1&lt;=25,COUNTIFS($GA$2:$GA$1000,"Y",$J$2:$J$1000,"&gt;"&amp;J805)+COUNTIFS($GA$2:$GA$1000,"Y",$J$2:$J$1000,J805,$GD$2:$GD$1000,"&lt;"&amp;GD805)+1,""))</f>
        <v/>
      </c>
      <c r="GC805" s="0" t="str">
        <f aca="false">IF(AND(_xlfn.ISFORMULA(C805),_xlfn.ISFORMULA(J805)),"Y","N")</f>
        <v>Y</v>
      </c>
      <c r="GD805" s="0" t="n">
        <f aca="false">ROW()-1</f>
        <v>804</v>
      </c>
    </row>
    <row r="806" customFormat="false" ht="15" hidden="false" customHeight="false" outlineLevel="0" collapsed="false">
      <c r="C806" s="0" t="str">
        <f aca="false">IF($A806="","",IF(AW806="Y",BM806&amp;"",AY806&amp;""))</f>
        <v/>
      </c>
      <c r="D806" s="0" t="str">
        <f aca="false">IF($A806="","",IF(AW806="Y",BN806&amp;"",AZ806&amp;""))</f>
        <v/>
      </c>
      <c r="E806" s="0" t="str">
        <f aca="false">IF($A806="","",IF(AW806="Y",BO806&amp;"",BA806&amp;""))</f>
        <v/>
      </c>
      <c r="F806" s="0" t="str">
        <f aca="false">IF($A806="","",IF(AW806="Y",BP806&amp;"",BB806&amp;""))</f>
        <v/>
      </c>
      <c r="G806" s="0" t="str">
        <f aca="false">IF($A806="","",IF(AW806="Y",BQ806&amp;"",BC806&amp;""))</f>
        <v/>
      </c>
      <c r="H806" s="0" t="str">
        <f aca="false">IF($A806="","",IF(AW806="Y",BR806&amp;"",BD806&amp;""))</f>
        <v/>
      </c>
      <c r="I806" s="0" t="str">
        <f aca="false">IF($A806="","",IF(R806="Y","warm-intro",IF(H806="verified","email",IF(C806&lt;&gt;"","linkedin",CB806&amp;""))))</f>
        <v/>
      </c>
      <c r="J806" s="0" t="str">
        <f aca="false">IF($A806="","",IF(CN806="pass",ROUND(N(EM806)+N(EN806)+N(EO806)+N(EP806)+N(EQ806)+N(ER806),1),0))</f>
        <v/>
      </c>
      <c r="K806" s="0" t="str">
        <f aca="false">IF($A806="","",IF(CN806&lt;&gt;"pass",CA806&amp;"",CA806&amp;"; "&amp;IF(AW806="Y",BZ806&amp;"",BL806&amp;"")&amp;IF(R806="Y","; known to the founder (+15)","")&amp;"."))</f>
        <v/>
      </c>
      <c r="R806" s="5"/>
      <c r="U806" s="5"/>
      <c r="Y806" s="0" t="str">
        <f aca="false">IF(FX806&lt;&gt;"Y","",COUNTIFS($FX$2:$FX$1000,"Y",$J$2:$J$1000,"&gt;"&amp;J806)+COUNTIFS($FX$2:$FX$1000,"Y",$J$2:$J$1000,J806,$GD$2:$GD$1000,"&lt;"&amp;GD806)+1)</f>
        <v/>
      </c>
      <c r="AB806" s="0" t="str">
        <f aca="false">IF($A806="","",IF(AW806="Y",BY806&amp;"",BK806&amp;""))</f>
        <v/>
      </c>
      <c r="AC806" s="0" t="str">
        <f aca="false">IF($A806="","",IF(AW806="Y",BS806&amp;"",BE806&amp;""))</f>
        <v/>
      </c>
      <c r="AD806" s="0" t="str">
        <f aca="false">IF($A806="","",IF(AW806="Y",BT806&amp;"",BF806&amp;""))</f>
        <v/>
      </c>
      <c r="AE806" s="0" t="str">
        <f aca="false">IF($A806="","",IF(AW806="Y",BU806&amp;"",BG806&amp;""))</f>
        <v/>
      </c>
      <c r="AF806" s="0" t="str">
        <f aca="false">IF($A806="","",IF(AW806="Y",BV806&amp;"",BH806&amp;""))</f>
        <v/>
      </c>
      <c r="AG806" s="0" t="str">
        <f aca="false">IF($A806="","",IF(AW806="Y",BW806&amp;"",BI806&amp;""))</f>
        <v/>
      </c>
      <c r="AH806" s="0" t="str">
        <f aca="false">IF($A806="","",IF(AW806="Y",BX806&amp;"",BJ806&amp;""))</f>
        <v/>
      </c>
      <c r="AQ806" s="5"/>
      <c r="AT806" s="0" t="str">
        <f aca="false">IF($A806="","",IF(AND(CN806="pass",AQ806&lt;&gt;"Y",C806&lt;&gt;"",OR(AX806&lt;&gt;"Y",AV806="Y")),"Y","N"))</f>
        <v/>
      </c>
      <c r="AU806" s="0" t="str">
        <f aca="false">IF($A806="","",_xlfn.TEXTJOIN("; ",TRUE(),IF(CN806&lt;&gt;"pass","gated out",""),IF(AQ806="Y","on hold: "&amp;AR806,""),IF(C806="","no contact named on an opened page",""),IF(AND(AX806="Y",AV806&lt;&gt;"Y"),"Tuesday estimate band "&amp;L806&amp;": founder's call","")))</f>
        <v/>
      </c>
      <c r="BC806" s="0" t="str">
        <f aca="false">IF($A806="","",IFERROR(INDEX(Enrichment!$A$2:$GZ$2000,MATCH($A806,INDEX(Enrichment!$A$2:$GZ$2000,0,MATCH("row_id",Enrichment!$A$1:$GZ$1,0)),0),MATCH("work_email",Enrichment!$A$1:$GZ$1,0))&amp;"",""))</f>
        <v/>
      </c>
      <c r="BD806" s="0" t="str">
        <f aca="false">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Q806" s="0" t="str">
        <f aca="false">IF($A806="","",IFERROR(INDEX(Enrichment!$A$2:$GZ$2000,MATCH($A806,INDEX(Enrichment!$A$2:$GZ$2000,0,MATCH("row_id",Enrichment!$A$1:$GZ$1,0)),0),MATCH("backup_work_email",Enrichment!$A$1:$GZ$1,0))&amp;"",""))</f>
        <v/>
      </c>
      <c r="BR806" s="0" t="str">
        <f aca="false">IF($A806="","",IF(BQ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EQ806" s="0" t="str">
        <f aca="false">IF($A806="","",IF(AH806="exact",10,IF(AH806="adjacent",5,0)))</f>
        <v/>
      </c>
      <c r="ER806" s="0" t="str">
        <f aca="false">IF($A806="","",IF(R806="Y",15,0))</f>
        <v/>
      </c>
      <c r="FS806" s="0" t="str">
        <f aca="false">IF($A806="","",IF(ISNUMBER(MATCH(U806,{"queued","contacted","replied","call_booked","call_done","yes_in_principle","materials_sent"},0)),"Y","N"))</f>
        <v/>
      </c>
      <c r="FT806" s="0" t="str">
        <f aca="false">IF($A806="","",IF(OR(T806="Y",U806="do_not_contact",AS806&amp;""&lt;&gt;""),"Y","N"))</f>
        <v/>
      </c>
      <c r="FU806" s="0" t="str">
        <f aca="false">IF($A806="","",IF(AP806&amp;""&lt;&gt;"",AP806&amp;"",$A806))</f>
        <v/>
      </c>
      <c r="FV806" s="0" t="str">
        <f aca="false">IF($A806="","",IF(COUNTIFS($FU$2:$FU$1000,FU806,$FS$2:$FS$1000,"Y")+COUNTIFS($FU$2:$FU$1000,FU806,$FT$2:$FT$1000,"Y")&gt;0,"Y","N"))</f>
        <v/>
      </c>
      <c r="FW806" s="0" t="str">
        <f aca="false">IF($A806="","",IF(AND(U806="new",T806="N",FT806="N",AT806="Y",FV806="N"),"Y","N"))</f>
        <v/>
      </c>
      <c r="FX806" s="0" t="str">
        <f aca="false">IF($A806="","",IF(FW806&lt;&gt;"Y","N",IF(COUNTIFS($FU$2:$FU$1000,FU806,$FW$2:$FW$1000,"Y",$J$2:$J$1000,"&gt;"&amp;J806)+COUNTIFS($FU$2:$FU$1000,FU806,$FW$2:$FW$1000,"Y",$J$2:$J$1000,J806,$GD$2:$GD$1000,"&lt;"&amp;GD806)=0,"Y","N")))</f>
        <v/>
      </c>
      <c r="FY806" s="0" t="str">
        <f aca="false">IF($A806="","",IF(AND(FW806="Y",FX806="Y",Y806&amp;""&lt;&gt;""),IF(Y806&lt;=10,"Y","N"),"N"))</f>
        <v/>
      </c>
      <c r="FZ806" s="0" t="str">
        <f aca="false">IF(FY806="Y",Y806,"")</f>
        <v/>
      </c>
      <c r="GA806" s="0" t="str">
        <f aca="false">IF($A806="","",IF(AND(I806="walk-in",CN806="pass",U806="new",FT806="N",FV806="N",AQ806&lt;&gt;"Y"),"Y","N"))</f>
        <v/>
      </c>
      <c r="GB806" s="0" t="str">
        <f aca="false">IF(GA806&lt;&gt;"Y","",IF(COUNTIFS($GA$2:$GA$1000,"Y",$J$2:$J$1000,"&gt;"&amp;J806)+COUNTIFS($GA$2:$GA$1000,"Y",$J$2:$J$1000,J806,$GD$2:$GD$1000,"&lt;"&amp;GD806)+1&lt;=25,COUNTIFS($GA$2:$GA$1000,"Y",$J$2:$J$1000,"&gt;"&amp;J806)+COUNTIFS($GA$2:$GA$1000,"Y",$J$2:$J$1000,J806,$GD$2:$GD$1000,"&lt;"&amp;GD806)+1,""))</f>
        <v/>
      </c>
      <c r="GC806" s="0" t="str">
        <f aca="false">IF(AND(_xlfn.ISFORMULA(C806),_xlfn.ISFORMULA(J806)),"Y","N")</f>
        <v>Y</v>
      </c>
      <c r="GD806" s="0" t="n">
        <f aca="false">ROW()-1</f>
        <v>805</v>
      </c>
    </row>
    <row r="807" customFormat="false" ht="15" hidden="false" customHeight="false" outlineLevel="0" collapsed="false">
      <c r="C807" s="0" t="str">
        <f aca="false">IF($A807="","",IF(AW807="Y",BM807&amp;"",AY807&amp;""))</f>
        <v/>
      </c>
      <c r="D807" s="0" t="str">
        <f aca="false">IF($A807="","",IF(AW807="Y",BN807&amp;"",AZ807&amp;""))</f>
        <v/>
      </c>
      <c r="E807" s="0" t="str">
        <f aca="false">IF($A807="","",IF(AW807="Y",BO807&amp;"",BA807&amp;""))</f>
        <v/>
      </c>
      <c r="F807" s="0" t="str">
        <f aca="false">IF($A807="","",IF(AW807="Y",BP807&amp;"",BB807&amp;""))</f>
        <v/>
      </c>
      <c r="G807" s="0" t="str">
        <f aca="false">IF($A807="","",IF(AW807="Y",BQ807&amp;"",BC807&amp;""))</f>
        <v/>
      </c>
      <c r="H807" s="0" t="str">
        <f aca="false">IF($A807="","",IF(AW807="Y",BR807&amp;"",BD807&amp;""))</f>
        <v/>
      </c>
      <c r="I807" s="0" t="str">
        <f aca="false">IF($A807="","",IF(R807="Y","warm-intro",IF(H807="verified","email",IF(C807&lt;&gt;"","linkedin",CB807&amp;""))))</f>
        <v/>
      </c>
      <c r="J807" s="0" t="str">
        <f aca="false">IF($A807="","",IF(CN807="pass",ROUND(N(EM807)+N(EN807)+N(EO807)+N(EP807)+N(EQ807)+N(ER807),1),0))</f>
        <v/>
      </c>
      <c r="K807" s="0" t="str">
        <f aca="false">IF($A807="","",IF(CN807&lt;&gt;"pass",CA807&amp;"",CA807&amp;"; "&amp;IF(AW807="Y",BZ807&amp;"",BL807&amp;"")&amp;IF(R807="Y","; known to the founder (+15)","")&amp;"."))</f>
        <v/>
      </c>
      <c r="R807" s="5"/>
      <c r="U807" s="5"/>
      <c r="Y807" s="0" t="str">
        <f aca="false">IF(FX807&lt;&gt;"Y","",COUNTIFS($FX$2:$FX$1000,"Y",$J$2:$J$1000,"&gt;"&amp;J807)+COUNTIFS($FX$2:$FX$1000,"Y",$J$2:$J$1000,J807,$GD$2:$GD$1000,"&lt;"&amp;GD807)+1)</f>
        <v/>
      </c>
      <c r="AB807" s="0" t="str">
        <f aca="false">IF($A807="","",IF(AW807="Y",BY807&amp;"",BK807&amp;""))</f>
        <v/>
      </c>
      <c r="AC807" s="0" t="str">
        <f aca="false">IF($A807="","",IF(AW807="Y",BS807&amp;"",BE807&amp;""))</f>
        <v/>
      </c>
      <c r="AD807" s="0" t="str">
        <f aca="false">IF($A807="","",IF(AW807="Y",BT807&amp;"",BF807&amp;""))</f>
        <v/>
      </c>
      <c r="AE807" s="0" t="str">
        <f aca="false">IF($A807="","",IF(AW807="Y",BU807&amp;"",BG807&amp;""))</f>
        <v/>
      </c>
      <c r="AF807" s="0" t="str">
        <f aca="false">IF($A807="","",IF(AW807="Y",BV807&amp;"",BH807&amp;""))</f>
        <v/>
      </c>
      <c r="AG807" s="0" t="str">
        <f aca="false">IF($A807="","",IF(AW807="Y",BW807&amp;"",BI807&amp;""))</f>
        <v/>
      </c>
      <c r="AH807" s="0" t="str">
        <f aca="false">IF($A807="","",IF(AW807="Y",BX807&amp;"",BJ807&amp;""))</f>
        <v/>
      </c>
      <c r="AQ807" s="5"/>
      <c r="AT807" s="0" t="str">
        <f aca="false">IF($A807="","",IF(AND(CN807="pass",AQ807&lt;&gt;"Y",C807&lt;&gt;"",OR(AX807&lt;&gt;"Y",AV807="Y")),"Y","N"))</f>
        <v/>
      </c>
      <c r="AU807" s="0" t="str">
        <f aca="false">IF($A807="","",_xlfn.TEXTJOIN("; ",TRUE(),IF(CN807&lt;&gt;"pass","gated out",""),IF(AQ807="Y","on hold: "&amp;AR807,""),IF(C807="","no contact named on an opened page",""),IF(AND(AX807="Y",AV807&lt;&gt;"Y"),"Tuesday estimate band "&amp;L807&amp;": founder's call","")))</f>
        <v/>
      </c>
      <c r="BC807" s="0" t="str">
        <f aca="false">IF($A807="","",IFERROR(INDEX(Enrichment!$A$2:$GZ$2000,MATCH($A807,INDEX(Enrichment!$A$2:$GZ$2000,0,MATCH("row_id",Enrichment!$A$1:$GZ$1,0)),0),MATCH("work_email",Enrichment!$A$1:$GZ$1,0))&amp;"",""))</f>
        <v/>
      </c>
      <c r="BD807" s="0" t="str">
        <f aca="false">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Q807" s="0" t="str">
        <f aca="false">IF($A807="","",IFERROR(INDEX(Enrichment!$A$2:$GZ$2000,MATCH($A807,INDEX(Enrichment!$A$2:$GZ$2000,0,MATCH("row_id",Enrichment!$A$1:$GZ$1,0)),0),MATCH("backup_work_email",Enrichment!$A$1:$GZ$1,0))&amp;"",""))</f>
        <v/>
      </c>
      <c r="BR807" s="0" t="str">
        <f aca="false">IF($A807="","",IF(BQ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EQ807" s="0" t="str">
        <f aca="false">IF($A807="","",IF(AH807="exact",10,IF(AH807="adjacent",5,0)))</f>
        <v/>
      </c>
      <c r="ER807" s="0" t="str">
        <f aca="false">IF($A807="","",IF(R807="Y",15,0))</f>
        <v/>
      </c>
      <c r="FS807" s="0" t="str">
        <f aca="false">IF($A807="","",IF(ISNUMBER(MATCH(U807,{"queued","contacted","replied","call_booked","call_done","yes_in_principle","materials_sent"},0)),"Y","N"))</f>
        <v/>
      </c>
      <c r="FT807" s="0" t="str">
        <f aca="false">IF($A807="","",IF(OR(T807="Y",U807="do_not_contact",AS807&amp;""&lt;&gt;""),"Y","N"))</f>
        <v/>
      </c>
      <c r="FU807" s="0" t="str">
        <f aca="false">IF($A807="","",IF(AP807&amp;""&lt;&gt;"",AP807&amp;"",$A807))</f>
        <v/>
      </c>
      <c r="FV807" s="0" t="str">
        <f aca="false">IF($A807="","",IF(COUNTIFS($FU$2:$FU$1000,FU807,$FS$2:$FS$1000,"Y")+COUNTIFS($FU$2:$FU$1000,FU807,$FT$2:$FT$1000,"Y")&gt;0,"Y","N"))</f>
        <v/>
      </c>
      <c r="FW807" s="0" t="str">
        <f aca="false">IF($A807="","",IF(AND(U807="new",T807="N",FT807="N",AT807="Y",FV807="N"),"Y","N"))</f>
        <v/>
      </c>
      <c r="FX807" s="0" t="str">
        <f aca="false">IF($A807="","",IF(FW807&lt;&gt;"Y","N",IF(COUNTIFS($FU$2:$FU$1000,FU807,$FW$2:$FW$1000,"Y",$J$2:$J$1000,"&gt;"&amp;J807)+COUNTIFS($FU$2:$FU$1000,FU807,$FW$2:$FW$1000,"Y",$J$2:$J$1000,J807,$GD$2:$GD$1000,"&lt;"&amp;GD807)=0,"Y","N")))</f>
        <v/>
      </c>
      <c r="FY807" s="0" t="str">
        <f aca="false">IF($A807="","",IF(AND(FW807="Y",FX807="Y",Y807&amp;""&lt;&gt;""),IF(Y807&lt;=10,"Y","N"),"N"))</f>
        <v/>
      </c>
      <c r="FZ807" s="0" t="str">
        <f aca="false">IF(FY807="Y",Y807,"")</f>
        <v/>
      </c>
      <c r="GA807" s="0" t="str">
        <f aca="false">IF($A807="","",IF(AND(I807="walk-in",CN807="pass",U807="new",FT807="N",FV807="N",AQ807&lt;&gt;"Y"),"Y","N"))</f>
        <v/>
      </c>
      <c r="GB807" s="0" t="str">
        <f aca="false">IF(GA807&lt;&gt;"Y","",IF(COUNTIFS($GA$2:$GA$1000,"Y",$J$2:$J$1000,"&gt;"&amp;J807)+COUNTIFS($GA$2:$GA$1000,"Y",$J$2:$J$1000,J807,$GD$2:$GD$1000,"&lt;"&amp;GD807)+1&lt;=25,COUNTIFS($GA$2:$GA$1000,"Y",$J$2:$J$1000,"&gt;"&amp;J807)+COUNTIFS($GA$2:$GA$1000,"Y",$J$2:$J$1000,J807,$GD$2:$GD$1000,"&lt;"&amp;GD807)+1,""))</f>
        <v/>
      </c>
      <c r="GC807" s="0" t="str">
        <f aca="false">IF(AND(_xlfn.ISFORMULA(C807),_xlfn.ISFORMULA(J807)),"Y","N")</f>
        <v>Y</v>
      </c>
      <c r="GD807" s="0" t="n">
        <f aca="false">ROW()-1</f>
        <v>806</v>
      </c>
    </row>
    <row r="808" customFormat="false" ht="15" hidden="false" customHeight="false" outlineLevel="0" collapsed="false">
      <c r="C808" s="0" t="str">
        <f aca="false">IF($A808="","",IF(AW808="Y",BM808&amp;"",AY808&amp;""))</f>
        <v/>
      </c>
      <c r="D808" s="0" t="str">
        <f aca="false">IF($A808="","",IF(AW808="Y",BN808&amp;"",AZ808&amp;""))</f>
        <v/>
      </c>
      <c r="E808" s="0" t="str">
        <f aca="false">IF($A808="","",IF(AW808="Y",BO808&amp;"",BA808&amp;""))</f>
        <v/>
      </c>
      <c r="F808" s="0" t="str">
        <f aca="false">IF($A808="","",IF(AW808="Y",BP808&amp;"",BB808&amp;""))</f>
        <v/>
      </c>
      <c r="G808" s="0" t="str">
        <f aca="false">IF($A808="","",IF(AW808="Y",BQ808&amp;"",BC808&amp;""))</f>
        <v/>
      </c>
      <c r="H808" s="0" t="str">
        <f aca="false">IF($A808="","",IF(AW808="Y",BR808&amp;"",BD808&amp;""))</f>
        <v/>
      </c>
      <c r="I808" s="0" t="str">
        <f aca="false">IF($A808="","",IF(R808="Y","warm-intro",IF(H808="verified","email",IF(C808&lt;&gt;"","linkedin",CB808&amp;""))))</f>
        <v/>
      </c>
      <c r="J808" s="0" t="str">
        <f aca="false">IF($A808="","",IF(CN808="pass",ROUND(N(EM808)+N(EN808)+N(EO808)+N(EP808)+N(EQ808)+N(ER808),1),0))</f>
        <v/>
      </c>
      <c r="K808" s="0" t="str">
        <f aca="false">IF($A808="","",IF(CN808&lt;&gt;"pass",CA808&amp;"",CA808&amp;"; "&amp;IF(AW808="Y",BZ808&amp;"",BL808&amp;"")&amp;IF(R808="Y","; known to the founder (+15)","")&amp;"."))</f>
        <v/>
      </c>
      <c r="R808" s="5"/>
      <c r="U808" s="5"/>
      <c r="Y808" s="0" t="str">
        <f aca="false">IF(FX808&lt;&gt;"Y","",COUNTIFS($FX$2:$FX$1000,"Y",$J$2:$J$1000,"&gt;"&amp;J808)+COUNTIFS($FX$2:$FX$1000,"Y",$J$2:$J$1000,J808,$GD$2:$GD$1000,"&lt;"&amp;GD808)+1)</f>
        <v/>
      </c>
      <c r="AB808" s="0" t="str">
        <f aca="false">IF($A808="","",IF(AW808="Y",BY808&amp;"",BK808&amp;""))</f>
        <v/>
      </c>
      <c r="AC808" s="0" t="str">
        <f aca="false">IF($A808="","",IF(AW808="Y",BS808&amp;"",BE808&amp;""))</f>
        <v/>
      </c>
      <c r="AD808" s="0" t="str">
        <f aca="false">IF($A808="","",IF(AW808="Y",BT808&amp;"",BF808&amp;""))</f>
        <v/>
      </c>
      <c r="AE808" s="0" t="str">
        <f aca="false">IF($A808="","",IF(AW808="Y",BU808&amp;"",BG808&amp;""))</f>
        <v/>
      </c>
      <c r="AF808" s="0" t="str">
        <f aca="false">IF($A808="","",IF(AW808="Y",BV808&amp;"",BH808&amp;""))</f>
        <v/>
      </c>
      <c r="AG808" s="0" t="str">
        <f aca="false">IF($A808="","",IF(AW808="Y",BW808&amp;"",BI808&amp;""))</f>
        <v/>
      </c>
      <c r="AH808" s="0" t="str">
        <f aca="false">IF($A808="","",IF(AW808="Y",BX808&amp;"",BJ808&amp;""))</f>
        <v/>
      </c>
      <c r="AQ808" s="5"/>
      <c r="AT808" s="0" t="str">
        <f aca="false">IF($A808="","",IF(AND(CN808="pass",AQ808&lt;&gt;"Y",C808&lt;&gt;"",OR(AX808&lt;&gt;"Y",AV808="Y")),"Y","N"))</f>
        <v/>
      </c>
      <c r="AU808" s="0" t="str">
        <f aca="false">IF($A808="","",_xlfn.TEXTJOIN("; ",TRUE(),IF(CN808&lt;&gt;"pass","gated out",""),IF(AQ808="Y","on hold: "&amp;AR808,""),IF(C808="","no contact named on an opened page",""),IF(AND(AX808="Y",AV808&lt;&gt;"Y"),"Tuesday estimate band "&amp;L808&amp;": founder's call","")))</f>
        <v/>
      </c>
      <c r="BC808" s="0" t="str">
        <f aca="false">IF($A808="","",IFERROR(INDEX(Enrichment!$A$2:$GZ$2000,MATCH($A808,INDEX(Enrichment!$A$2:$GZ$2000,0,MATCH("row_id",Enrichment!$A$1:$GZ$1,0)),0),MATCH("work_email",Enrichment!$A$1:$GZ$1,0))&amp;"",""))</f>
        <v/>
      </c>
      <c r="BD808" s="0" t="str">
        <f aca="false">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Q808" s="0" t="str">
        <f aca="false">IF($A808="","",IFERROR(INDEX(Enrichment!$A$2:$GZ$2000,MATCH($A808,INDEX(Enrichment!$A$2:$GZ$2000,0,MATCH("row_id",Enrichment!$A$1:$GZ$1,0)),0),MATCH("backup_work_email",Enrichment!$A$1:$GZ$1,0))&amp;"",""))</f>
        <v/>
      </c>
      <c r="BR808" s="0" t="str">
        <f aca="false">IF($A808="","",IF(BQ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EQ808" s="0" t="str">
        <f aca="false">IF($A808="","",IF(AH808="exact",10,IF(AH808="adjacent",5,0)))</f>
        <v/>
      </c>
      <c r="ER808" s="0" t="str">
        <f aca="false">IF($A808="","",IF(R808="Y",15,0))</f>
        <v/>
      </c>
      <c r="FS808" s="0" t="str">
        <f aca="false">IF($A808="","",IF(ISNUMBER(MATCH(U808,{"queued","contacted","replied","call_booked","call_done","yes_in_principle","materials_sent"},0)),"Y","N"))</f>
        <v/>
      </c>
      <c r="FT808" s="0" t="str">
        <f aca="false">IF($A808="","",IF(OR(T808="Y",U808="do_not_contact",AS808&amp;""&lt;&gt;""),"Y","N"))</f>
        <v/>
      </c>
      <c r="FU808" s="0" t="str">
        <f aca="false">IF($A808="","",IF(AP808&amp;""&lt;&gt;"",AP808&amp;"",$A808))</f>
        <v/>
      </c>
      <c r="FV808" s="0" t="str">
        <f aca="false">IF($A808="","",IF(COUNTIFS($FU$2:$FU$1000,FU808,$FS$2:$FS$1000,"Y")+COUNTIFS($FU$2:$FU$1000,FU808,$FT$2:$FT$1000,"Y")&gt;0,"Y","N"))</f>
        <v/>
      </c>
      <c r="FW808" s="0" t="str">
        <f aca="false">IF($A808="","",IF(AND(U808="new",T808="N",FT808="N",AT808="Y",FV808="N"),"Y","N"))</f>
        <v/>
      </c>
      <c r="FX808" s="0" t="str">
        <f aca="false">IF($A808="","",IF(FW808&lt;&gt;"Y","N",IF(COUNTIFS($FU$2:$FU$1000,FU808,$FW$2:$FW$1000,"Y",$J$2:$J$1000,"&gt;"&amp;J808)+COUNTIFS($FU$2:$FU$1000,FU808,$FW$2:$FW$1000,"Y",$J$2:$J$1000,J808,$GD$2:$GD$1000,"&lt;"&amp;GD808)=0,"Y","N")))</f>
        <v/>
      </c>
      <c r="FY808" s="0" t="str">
        <f aca="false">IF($A808="","",IF(AND(FW808="Y",FX808="Y",Y808&amp;""&lt;&gt;""),IF(Y808&lt;=10,"Y","N"),"N"))</f>
        <v/>
      </c>
      <c r="FZ808" s="0" t="str">
        <f aca="false">IF(FY808="Y",Y808,"")</f>
        <v/>
      </c>
      <c r="GA808" s="0" t="str">
        <f aca="false">IF($A808="","",IF(AND(I808="walk-in",CN808="pass",U808="new",FT808="N",FV808="N",AQ808&lt;&gt;"Y"),"Y","N"))</f>
        <v/>
      </c>
      <c r="GB808" s="0" t="str">
        <f aca="false">IF(GA808&lt;&gt;"Y","",IF(COUNTIFS($GA$2:$GA$1000,"Y",$J$2:$J$1000,"&gt;"&amp;J808)+COUNTIFS($GA$2:$GA$1000,"Y",$J$2:$J$1000,J808,$GD$2:$GD$1000,"&lt;"&amp;GD808)+1&lt;=25,COUNTIFS($GA$2:$GA$1000,"Y",$J$2:$J$1000,"&gt;"&amp;J808)+COUNTIFS($GA$2:$GA$1000,"Y",$J$2:$J$1000,J808,$GD$2:$GD$1000,"&lt;"&amp;GD808)+1,""))</f>
        <v/>
      </c>
      <c r="GC808" s="0" t="str">
        <f aca="false">IF(AND(_xlfn.ISFORMULA(C808),_xlfn.ISFORMULA(J808)),"Y","N")</f>
        <v>Y</v>
      </c>
      <c r="GD808" s="0" t="n">
        <f aca="false">ROW()-1</f>
        <v>807</v>
      </c>
    </row>
    <row r="809" customFormat="false" ht="15" hidden="false" customHeight="false" outlineLevel="0" collapsed="false">
      <c r="C809" s="0" t="str">
        <f aca="false">IF($A809="","",IF(AW809="Y",BM809&amp;"",AY809&amp;""))</f>
        <v/>
      </c>
      <c r="D809" s="0" t="str">
        <f aca="false">IF($A809="","",IF(AW809="Y",BN809&amp;"",AZ809&amp;""))</f>
        <v/>
      </c>
      <c r="E809" s="0" t="str">
        <f aca="false">IF($A809="","",IF(AW809="Y",BO809&amp;"",BA809&amp;""))</f>
        <v/>
      </c>
      <c r="F809" s="0" t="str">
        <f aca="false">IF($A809="","",IF(AW809="Y",BP809&amp;"",BB809&amp;""))</f>
        <v/>
      </c>
      <c r="G809" s="0" t="str">
        <f aca="false">IF($A809="","",IF(AW809="Y",BQ809&amp;"",BC809&amp;""))</f>
        <v/>
      </c>
      <c r="H809" s="0" t="str">
        <f aca="false">IF($A809="","",IF(AW809="Y",BR809&amp;"",BD809&amp;""))</f>
        <v/>
      </c>
      <c r="I809" s="0" t="str">
        <f aca="false">IF($A809="","",IF(R809="Y","warm-intro",IF(H809="verified","email",IF(C809&lt;&gt;"","linkedin",CB809&amp;""))))</f>
        <v/>
      </c>
      <c r="J809" s="0" t="str">
        <f aca="false">IF($A809="","",IF(CN809="pass",ROUND(N(EM809)+N(EN809)+N(EO809)+N(EP809)+N(EQ809)+N(ER809),1),0))</f>
        <v/>
      </c>
      <c r="K809" s="0" t="str">
        <f aca="false">IF($A809="","",IF(CN809&lt;&gt;"pass",CA809&amp;"",CA809&amp;"; "&amp;IF(AW809="Y",BZ809&amp;"",BL809&amp;"")&amp;IF(R809="Y","; known to the founder (+15)","")&amp;"."))</f>
        <v/>
      </c>
      <c r="R809" s="5"/>
      <c r="U809" s="5"/>
      <c r="Y809" s="0" t="str">
        <f aca="false">IF(FX809&lt;&gt;"Y","",COUNTIFS($FX$2:$FX$1000,"Y",$J$2:$J$1000,"&gt;"&amp;J809)+COUNTIFS($FX$2:$FX$1000,"Y",$J$2:$J$1000,J809,$GD$2:$GD$1000,"&lt;"&amp;GD809)+1)</f>
        <v/>
      </c>
      <c r="AB809" s="0" t="str">
        <f aca="false">IF($A809="","",IF(AW809="Y",BY809&amp;"",BK809&amp;""))</f>
        <v/>
      </c>
      <c r="AC809" s="0" t="str">
        <f aca="false">IF($A809="","",IF(AW809="Y",BS809&amp;"",BE809&amp;""))</f>
        <v/>
      </c>
      <c r="AD809" s="0" t="str">
        <f aca="false">IF($A809="","",IF(AW809="Y",BT809&amp;"",BF809&amp;""))</f>
        <v/>
      </c>
      <c r="AE809" s="0" t="str">
        <f aca="false">IF($A809="","",IF(AW809="Y",BU809&amp;"",BG809&amp;""))</f>
        <v/>
      </c>
      <c r="AF809" s="0" t="str">
        <f aca="false">IF($A809="","",IF(AW809="Y",BV809&amp;"",BH809&amp;""))</f>
        <v/>
      </c>
      <c r="AG809" s="0" t="str">
        <f aca="false">IF($A809="","",IF(AW809="Y",BW809&amp;"",BI809&amp;""))</f>
        <v/>
      </c>
      <c r="AH809" s="0" t="str">
        <f aca="false">IF($A809="","",IF(AW809="Y",BX809&amp;"",BJ809&amp;""))</f>
        <v/>
      </c>
      <c r="AQ809" s="5"/>
      <c r="AT809" s="0" t="str">
        <f aca="false">IF($A809="","",IF(AND(CN809="pass",AQ809&lt;&gt;"Y",C809&lt;&gt;"",OR(AX809&lt;&gt;"Y",AV809="Y")),"Y","N"))</f>
        <v/>
      </c>
      <c r="AU809" s="0" t="str">
        <f aca="false">IF($A809="","",_xlfn.TEXTJOIN("; ",TRUE(),IF(CN809&lt;&gt;"pass","gated out",""),IF(AQ809="Y","on hold: "&amp;AR809,""),IF(C809="","no contact named on an opened page",""),IF(AND(AX809="Y",AV809&lt;&gt;"Y"),"Tuesday estimate band "&amp;L809&amp;": founder's call","")))</f>
        <v/>
      </c>
      <c r="BC809" s="0" t="str">
        <f aca="false">IF($A809="","",IFERROR(INDEX(Enrichment!$A$2:$GZ$2000,MATCH($A809,INDEX(Enrichment!$A$2:$GZ$2000,0,MATCH("row_id",Enrichment!$A$1:$GZ$1,0)),0),MATCH("work_email",Enrichment!$A$1:$GZ$1,0))&amp;"",""))</f>
        <v/>
      </c>
      <c r="BD809" s="0" t="str">
        <f aca="false">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Q809" s="0" t="str">
        <f aca="false">IF($A809="","",IFERROR(INDEX(Enrichment!$A$2:$GZ$2000,MATCH($A809,INDEX(Enrichment!$A$2:$GZ$2000,0,MATCH("row_id",Enrichment!$A$1:$GZ$1,0)),0),MATCH("backup_work_email",Enrichment!$A$1:$GZ$1,0))&amp;"",""))</f>
        <v/>
      </c>
      <c r="BR809" s="0" t="str">
        <f aca="false">IF($A809="","",IF(BQ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EQ809" s="0" t="str">
        <f aca="false">IF($A809="","",IF(AH809="exact",10,IF(AH809="adjacent",5,0)))</f>
        <v/>
      </c>
      <c r="ER809" s="0" t="str">
        <f aca="false">IF($A809="","",IF(R809="Y",15,0))</f>
        <v/>
      </c>
      <c r="FS809" s="0" t="str">
        <f aca="false">IF($A809="","",IF(ISNUMBER(MATCH(U809,{"queued","contacted","replied","call_booked","call_done","yes_in_principle","materials_sent"},0)),"Y","N"))</f>
        <v/>
      </c>
      <c r="FT809" s="0" t="str">
        <f aca="false">IF($A809="","",IF(OR(T809="Y",U809="do_not_contact",AS809&amp;""&lt;&gt;""),"Y","N"))</f>
        <v/>
      </c>
      <c r="FU809" s="0" t="str">
        <f aca="false">IF($A809="","",IF(AP809&amp;""&lt;&gt;"",AP809&amp;"",$A809))</f>
        <v/>
      </c>
      <c r="FV809" s="0" t="str">
        <f aca="false">IF($A809="","",IF(COUNTIFS($FU$2:$FU$1000,FU809,$FS$2:$FS$1000,"Y")+COUNTIFS($FU$2:$FU$1000,FU809,$FT$2:$FT$1000,"Y")&gt;0,"Y","N"))</f>
        <v/>
      </c>
      <c r="FW809" s="0" t="str">
        <f aca="false">IF($A809="","",IF(AND(U809="new",T809="N",FT809="N",AT809="Y",FV809="N"),"Y","N"))</f>
        <v/>
      </c>
      <c r="FX809" s="0" t="str">
        <f aca="false">IF($A809="","",IF(FW809&lt;&gt;"Y","N",IF(COUNTIFS($FU$2:$FU$1000,FU809,$FW$2:$FW$1000,"Y",$J$2:$J$1000,"&gt;"&amp;J809)+COUNTIFS($FU$2:$FU$1000,FU809,$FW$2:$FW$1000,"Y",$J$2:$J$1000,J809,$GD$2:$GD$1000,"&lt;"&amp;GD809)=0,"Y","N")))</f>
        <v/>
      </c>
      <c r="FY809" s="0" t="str">
        <f aca="false">IF($A809="","",IF(AND(FW809="Y",FX809="Y",Y809&amp;""&lt;&gt;""),IF(Y809&lt;=10,"Y","N"),"N"))</f>
        <v/>
      </c>
      <c r="FZ809" s="0" t="str">
        <f aca="false">IF(FY809="Y",Y809,"")</f>
        <v/>
      </c>
      <c r="GA809" s="0" t="str">
        <f aca="false">IF($A809="","",IF(AND(I809="walk-in",CN809="pass",U809="new",FT809="N",FV809="N",AQ809&lt;&gt;"Y"),"Y","N"))</f>
        <v/>
      </c>
      <c r="GB809" s="0" t="str">
        <f aca="false">IF(GA809&lt;&gt;"Y","",IF(COUNTIFS($GA$2:$GA$1000,"Y",$J$2:$J$1000,"&gt;"&amp;J809)+COUNTIFS($GA$2:$GA$1000,"Y",$J$2:$J$1000,J809,$GD$2:$GD$1000,"&lt;"&amp;GD809)+1&lt;=25,COUNTIFS($GA$2:$GA$1000,"Y",$J$2:$J$1000,"&gt;"&amp;J809)+COUNTIFS($GA$2:$GA$1000,"Y",$J$2:$J$1000,J809,$GD$2:$GD$1000,"&lt;"&amp;GD809)+1,""))</f>
        <v/>
      </c>
      <c r="GC809" s="0" t="str">
        <f aca="false">IF(AND(_xlfn.ISFORMULA(C809),_xlfn.ISFORMULA(J809)),"Y","N")</f>
        <v>Y</v>
      </c>
      <c r="GD809" s="0" t="n">
        <f aca="false">ROW()-1</f>
        <v>808</v>
      </c>
    </row>
    <row r="810" customFormat="false" ht="15" hidden="false" customHeight="false" outlineLevel="0" collapsed="false">
      <c r="C810" s="0" t="str">
        <f aca="false">IF($A810="","",IF(AW810="Y",BM810&amp;"",AY810&amp;""))</f>
        <v/>
      </c>
      <c r="D810" s="0" t="str">
        <f aca="false">IF($A810="","",IF(AW810="Y",BN810&amp;"",AZ810&amp;""))</f>
        <v/>
      </c>
      <c r="E810" s="0" t="str">
        <f aca="false">IF($A810="","",IF(AW810="Y",BO810&amp;"",BA810&amp;""))</f>
        <v/>
      </c>
      <c r="F810" s="0" t="str">
        <f aca="false">IF($A810="","",IF(AW810="Y",BP810&amp;"",BB810&amp;""))</f>
        <v/>
      </c>
      <c r="G810" s="0" t="str">
        <f aca="false">IF($A810="","",IF(AW810="Y",BQ810&amp;"",BC810&amp;""))</f>
        <v/>
      </c>
      <c r="H810" s="0" t="str">
        <f aca="false">IF($A810="","",IF(AW810="Y",BR810&amp;"",BD810&amp;""))</f>
        <v/>
      </c>
      <c r="I810" s="0" t="str">
        <f aca="false">IF($A810="","",IF(R810="Y","warm-intro",IF(H810="verified","email",IF(C810&lt;&gt;"","linkedin",CB810&amp;""))))</f>
        <v/>
      </c>
      <c r="J810" s="0" t="str">
        <f aca="false">IF($A810="","",IF(CN810="pass",ROUND(N(EM810)+N(EN810)+N(EO810)+N(EP810)+N(EQ810)+N(ER810),1),0))</f>
        <v/>
      </c>
      <c r="K810" s="0" t="str">
        <f aca="false">IF($A810="","",IF(CN810&lt;&gt;"pass",CA810&amp;"",CA810&amp;"; "&amp;IF(AW810="Y",BZ810&amp;"",BL810&amp;"")&amp;IF(R810="Y","; known to the founder (+15)","")&amp;"."))</f>
        <v/>
      </c>
      <c r="R810" s="5"/>
      <c r="U810" s="5"/>
      <c r="Y810" s="0" t="str">
        <f aca="false">IF(FX810&lt;&gt;"Y","",COUNTIFS($FX$2:$FX$1000,"Y",$J$2:$J$1000,"&gt;"&amp;J810)+COUNTIFS($FX$2:$FX$1000,"Y",$J$2:$J$1000,J810,$GD$2:$GD$1000,"&lt;"&amp;GD810)+1)</f>
        <v/>
      </c>
      <c r="AB810" s="0" t="str">
        <f aca="false">IF($A810="","",IF(AW810="Y",BY810&amp;"",BK810&amp;""))</f>
        <v/>
      </c>
      <c r="AC810" s="0" t="str">
        <f aca="false">IF($A810="","",IF(AW810="Y",BS810&amp;"",BE810&amp;""))</f>
        <v/>
      </c>
      <c r="AD810" s="0" t="str">
        <f aca="false">IF($A810="","",IF(AW810="Y",BT810&amp;"",BF810&amp;""))</f>
        <v/>
      </c>
      <c r="AE810" s="0" t="str">
        <f aca="false">IF($A810="","",IF(AW810="Y",BU810&amp;"",BG810&amp;""))</f>
        <v/>
      </c>
      <c r="AF810" s="0" t="str">
        <f aca="false">IF($A810="","",IF(AW810="Y",BV810&amp;"",BH810&amp;""))</f>
        <v/>
      </c>
      <c r="AG810" s="0" t="str">
        <f aca="false">IF($A810="","",IF(AW810="Y",BW810&amp;"",BI810&amp;""))</f>
        <v/>
      </c>
      <c r="AH810" s="0" t="str">
        <f aca="false">IF($A810="","",IF(AW810="Y",BX810&amp;"",BJ810&amp;""))</f>
        <v/>
      </c>
      <c r="AQ810" s="5"/>
      <c r="AT810" s="0" t="str">
        <f aca="false">IF($A810="","",IF(AND(CN810="pass",AQ810&lt;&gt;"Y",C810&lt;&gt;"",OR(AX810&lt;&gt;"Y",AV810="Y")),"Y","N"))</f>
        <v/>
      </c>
      <c r="AU810" s="0" t="str">
        <f aca="false">IF($A810="","",_xlfn.TEXTJOIN("; ",TRUE(),IF(CN810&lt;&gt;"pass","gated out",""),IF(AQ810="Y","on hold: "&amp;AR810,""),IF(C810="","no contact named on an opened page",""),IF(AND(AX810="Y",AV810&lt;&gt;"Y"),"Tuesday estimate band "&amp;L810&amp;": founder's call","")))</f>
        <v/>
      </c>
      <c r="BC810" s="0" t="str">
        <f aca="false">IF($A810="","",IFERROR(INDEX(Enrichment!$A$2:$GZ$2000,MATCH($A810,INDEX(Enrichment!$A$2:$GZ$2000,0,MATCH("row_id",Enrichment!$A$1:$GZ$1,0)),0),MATCH("work_email",Enrichment!$A$1:$GZ$1,0))&amp;"",""))</f>
        <v/>
      </c>
      <c r="BD810" s="0" t="str">
        <f aca="false">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Q810" s="0" t="str">
        <f aca="false">IF($A810="","",IFERROR(INDEX(Enrichment!$A$2:$GZ$2000,MATCH($A810,INDEX(Enrichment!$A$2:$GZ$2000,0,MATCH("row_id",Enrichment!$A$1:$GZ$1,0)),0),MATCH("backup_work_email",Enrichment!$A$1:$GZ$1,0))&amp;"",""))</f>
        <v/>
      </c>
      <c r="BR810" s="0" t="str">
        <f aca="false">IF($A810="","",IF(BQ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EQ810" s="0" t="str">
        <f aca="false">IF($A810="","",IF(AH810="exact",10,IF(AH810="adjacent",5,0)))</f>
        <v/>
      </c>
      <c r="ER810" s="0" t="str">
        <f aca="false">IF($A810="","",IF(R810="Y",15,0))</f>
        <v/>
      </c>
      <c r="FS810" s="0" t="str">
        <f aca="false">IF($A810="","",IF(ISNUMBER(MATCH(U810,{"queued","contacted","replied","call_booked","call_done","yes_in_principle","materials_sent"},0)),"Y","N"))</f>
        <v/>
      </c>
      <c r="FT810" s="0" t="str">
        <f aca="false">IF($A810="","",IF(OR(T810="Y",U810="do_not_contact",AS810&amp;""&lt;&gt;""),"Y","N"))</f>
        <v/>
      </c>
      <c r="FU810" s="0" t="str">
        <f aca="false">IF($A810="","",IF(AP810&amp;""&lt;&gt;"",AP810&amp;"",$A810))</f>
        <v/>
      </c>
      <c r="FV810" s="0" t="str">
        <f aca="false">IF($A810="","",IF(COUNTIFS($FU$2:$FU$1000,FU810,$FS$2:$FS$1000,"Y")+COUNTIFS($FU$2:$FU$1000,FU810,$FT$2:$FT$1000,"Y")&gt;0,"Y","N"))</f>
        <v/>
      </c>
      <c r="FW810" s="0" t="str">
        <f aca="false">IF($A810="","",IF(AND(U810="new",T810="N",FT810="N",AT810="Y",FV810="N"),"Y","N"))</f>
        <v/>
      </c>
      <c r="FX810" s="0" t="str">
        <f aca="false">IF($A810="","",IF(FW810&lt;&gt;"Y","N",IF(COUNTIFS($FU$2:$FU$1000,FU810,$FW$2:$FW$1000,"Y",$J$2:$J$1000,"&gt;"&amp;J810)+COUNTIFS($FU$2:$FU$1000,FU810,$FW$2:$FW$1000,"Y",$J$2:$J$1000,J810,$GD$2:$GD$1000,"&lt;"&amp;GD810)=0,"Y","N")))</f>
        <v/>
      </c>
      <c r="FY810" s="0" t="str">
        <f aca="false">IF($A810="","",IF(AND(FW810="Y",FX810="Y",Y810&amp;""&lt;&gt;""),IF(Y810&lt;=10,"Y","N"),"N"))</f>
        <v/>
      </c>
      <c r="FZ810" s="0" t="str">
        <f aca="false">IF(FY810="Y",Y810,"")</f>
        <v/>
      </c>
      <c r="GA810" s="0" t="str">
        <f aca="false">IF($A810="","",IF(AND(I810="walk-in",CN810="pass",U810="new",FT810="N",FV810="N",AQ810&lt;&gt;"Y"),"Y","N"))</f>
        <v/>
      </c>
      <c r="GB810" s="0" t="str">
        <f aca="false">IF(GA810&lt;&gt;"Y","",IF(COUNTIFS($GA$2:$GA$1000,"Y",$J$2:$J$1000,"&gt;"&amp;J810)+COUNTIFS($GA$2:$GA$1000,"Y",$J$2:$J$1000,J810,$GD$2:$GD$1000,"&lt;"&amp;GD810)+1&lt;=25,COUNTIFS($GA$2:$GA$1000,"Y",$J$2:$J$1000,"&gt;"&amp;J810)+COUNTIFS($GA$2:$GA$1000,"Y",$J$2:$J$1000,J810,$GD$2:$GD$1000,"&lt;"&amp;GD810)+1,""))</f>
        <v/>
      </c>
      <c r="GC810" s="0" t="str">
        <f aca="false">IF(AND(_xlfn.ISFORMULA(C810),_xlfn.ISFORMULA(J810)),"Y","N")</f>
        <v>Y</v>
      </c>
      <c r="GD810" s="0" t="n">
        <f aca="false">ROW()-1</f>
        <v>809</v>
      </c>
    </row>
    <row r="811" customFormat="false" ht="15" hidden="false" customHeight="false" outlineLevel="0" collapsed="false">
      <c r="C811" s="0" t="str">
        <f aca="false">IF($A811="","",IF(AW811="Y",BM811&amp;"",AY811&amp;""))</f>
        <v/>
      </c>
      <c r="D811" s="0" t="str">
        <f aca="false">IF($A811="","",IF(AW811="Y",BN811&amp;"",AZ811&amp;""))</f>
        <v/>
      </c>
      <c r="E811" s="0" t="str">
        <f aca="false">IF($A811="","",IF(AW811="Y",BO811&amp;"",BA811&amp;""))</f>
        <v/>
      </c>
      <c r="F811" s="0" t="str">
        <f aca="false">IF($A811="","",IF(AW811="Y",BP811&amp;"",BB811&amp;""))</f>
        <v/>
      </c>
      <c r="G811" s="0" t="str">
        <f aca="false">IF($A811="","",IF(AW811="Y",BQ811&amp;"",BC811&amp;""))</f>
        <v/>
      </c>
      <c r="H811" s="0" t="str">
        <f aca="false">IF($A811="","",IF(AW811="Y",BR811&amp;"",BD811&amp;""))</f>
        <v/>
      </c>
      <c r="I811" s="0" t="str">
        <f aca="false">IF($A811="","",IF(R811="Y","warm-intro",IF(H811="verified","email",IF(C811&lt;&gt;"","linkedin",CB811&amp;""))))</f>
        <v/>
      </c>
      <c r="J811" s="0" t="str">
        <f aca="false">IF($A811="","",IF(CN811="pass",ROUND(N(EM811)+N(EN811)+N(EO811)+N(EP811)+N(EQ811)+N(ER811),1),0))</f>
        <v/>
      </c>
      <c r="K811" s="0" t="str">
        <f aca="false">IF($A811="","",IF(CN811&lt;&gt;"pass",CA811&amp;"",CA811&amp;"; "&amp;IF(AW811="Y",BZ811&amp;"",BL811&amp;"")&amp;IF(R811="Y","; known to the founder (+15)","")&amp;"."))</f>
        <v/>
      </c>
      <c r="R811" s="5"/>
      <c r="U811" s="5"/>
      <c r="Y811" s="0" t="str">
        <f aca="false">IF(FX811&lt;&gt;"Y","",COUNTIFS($FX$2:$FX$1000,"Y",$J$2:$J$1000,"&gt;"&amp;J811)+COUNTIFS($FX$2:$FX$1000,"Y",$J$2:$J$1000,J811,$GD$2:$GD$1000,"&lt;"&amp;GD811)+1)</f>
        <v/>
      </c>
      <c r="AB811" s="0" t="str">
        <f aca="false">IF($A811="","",IF(AW811="Y",BY811&amp;"",BK811&amp;""))</f>
        <v/>
      </c>
      <c r="AC811" s="0" t="str">
        <f aca="false">IF($A811="","",IF(AW811="Y",BS811&amp;"",BE811&amp;""))</f>
        <v/>
      </c>
      <c r="AD811" s="0" t="str">
        <f aca="false">IF($A811="","",IF(AW811="Y",BT811&amp;"",BF811&amp;""))</f>
        <v/>
      </c>
      <c r="AE811" s="0" t="str">
        <f aca="false">IF($A811="","",IF(AW811="Y",BU811&amp;"",BG811&amp;""))</f>
        <v/>
      </c>
      <c r="AF811" s="0" t="str">
        <f aca="false">IF($A811="","",IF(AW811="Y",BV811&amp;"",BH811&amp;""))</f>
        <v/>
      </c>
      <c r="AG811" s="0" t="str">
        <f aca="false">IF($A811="","",IF(AW811="Y",BW811&amp;"",BI811&amp;""))</f>
        <v/>
      </c>
      <c r="AH811" s="0" t="str">
        <f aca="false">IF($A811="","",IF(AW811="Y",BX811&amp;"",BJ811&amp;""))</f>
        <v/>
      </c>
      <c r="AQ811" s="5"/>
      <c r="AT811" s="0" t="str">
        <f aca="false">IF($A811="","",IF(AND(CN811="pass",AQ811&lt;&gt;"Y",C811&lt;&gt;"",OR(AX811&lt;&gt;"Y",AV811="Y")),"Y","N"))</f>
        <v/>
      </c>
      <c r="AU811" s="0" t="str">
        <f aca="false">IF($A811="","",_xlfn.TEXTJOIN("; ",TRUE(),IF(CN811&lt;&gt;"pass","gated out",""),IF(AQ811="Y","on hold: "&amp;AR811,""),IF(C811="","no contact named on an opened page",""),IF(AND(AX811="Y",AV811&lt;&gt;"Y"),"Tuesday estimate band "&amp;L811&amp;": founder's call","")))</f>
        <v/>
      </c>
      <c r="BC811" s="0" t="str">
        <f aca="false">IF($A811="","",IFERROR(INDEX(Enrichment!$A$2:$GZ$2000,MATCH($A811,INDEX(Enrichment!$A$2:$GZ$2000,0,MATCH("row_id",Enrichment!$A$1:$GZ$1,0)),0),MATCH("work_email",Enrichment!$A$1:$GZ$1,0))&amp;"",""))</f>
        <v/>
      </c>
      <c r="BD811" s="0" t="str">
        <f aca="false">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Q811" s="0" t="str">
        <f aca="false">IF($A811="","",IFERROR(INDEX(Enrichment!$A$2:$GZ$2000,MATCH($A811,INDEX(Enrichment!$A$2:$GZ$2000,0,MATCH("row_id",Enrichment!$A$1:$GZ$1,0)),0),MATCH("backup_work_email",Enrichment!$A$1:$GZ$1,0))&amp;"",""))</f>
        <v/>
      </c>
      <c r="BR811" s="0" t="str">
        <f aca="false">IF($A811="","",IF(BQ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EQ811" s="0" t="str">
        <f aca="false">IF($A811="","",IF(AH811="exact",10,IF(AH811="adjacent",5,0)))</f>
        <v/>
      </c>
      <c r="ER811" s="0" t="str">
        <f aca="false">IF($A811="","",IF(R811="Y",15,0))</f>
        <v/>
      </c>
      <c r="FS811" s="0" t="str">
        <f aca="false">IF($A811="","",IF(ISNUMBER(MATCH(U811,{"queued","contacted","replied","call_booked","call_done","yes_in_principle","materials_sent"},0)),"Y","N"))</f>
        <v/>
      </c>
      <c r="FT811" s="0" t="str">
        <f aca="false">IF($A811="","",IF(OR(T811="Y",U811="do_not_contact",AS811&amp;""&lt;&gt;""),"Y","N"))</f>
        <v/>
      </c>
      <c r="FU811" s="0" t="str">
        <f aca="false">IF($A811="","",IF(AP811&amp;""&lt;&gt;"",AP811&amp;"",$A811))</f>
        <v/>
      </c>
      <c r="FV811" s="0" t="str">
        <f aca="false">IF($A811="","",IF(COUNTIFS($FU$2:$FU$1000,FU811,$FS$2:$FS$1000,"Y")+COUNTIFS($FU$2:$FU$1000,FU811,$FT$2:$FT$1000,"Y")&gt;0,"Y","N"))</f>
        <v/>
      </c>
      <c r="FW811" s="0" t="str">
        <f aca="false">IF($A811="","",IF(AND(U811="new",T811="N",FT811="N",AT811="Y",FV811="N"),"Y","N"))</f>
        <v/>
      </c>
      <c r="FX811" s="0" t="str">
        <f aca="false">IF($A811="","",IF(FW811&lt;&gt;"Y","N",IF(COUNTIFS($FU$2:$FU$1000,FU811,$FW$2:$FW$1000,"Y",$J$2:$J$1000,"&gt;"&amp;J811)+COUNTIFS($FU$2:$FU$1000,FU811,$FW$2:$FW$1000,"Y",$J$2:$J$1000,J811,$GD$2:$GD$1000,"&lt;"&amp;GD811)=0,"Y","N")))</f>
        <v/>
      </c>
      <c r="FY811" s="0" t="str">
        <f aca="false">IF($A811="","",IF(AND(FW811="Y",FX811="Y",Y811&amp;""&lt;&gt;""),IF(Y811&lt;=10,"Y","N"),"N"))</f>
        <v/>
      </c>
      <c r="FZ811" s="0" t="str">
        <f aca="false">IF(FY811="Y",Y811,"")</f>
        <v/>
      </c>
      <c r="GA811" s="0" t="str">
        <f aca="false">IF($A811="","",IF(AND(I811="walk-in",CN811="pass",U811="new",FT811="N",FV811="N",AQ811&lt;&gt;"Y"),"Y","N"))</f>
        <v/>
      </c>
      <c r="GB811" s="0" t="str">
        <f aca="false">IF(GA811&lt;&gt;"Y","",IF(COUNTIFS($GA$2:$GA$1000,"Y",$J$2:$J$1000,"&gt;"&amp;J811)+COUNTIFS($GA$2:$GA$1000,"Y",$J$2:$J$1000,J811,$GD$2:$GD$1000,"&lt;"&amp;GD811)+1&lt;=25,COUNTIFS($GA$2:$GA$1000,"Y",$J$2:$J$1000,"&gt;"&amp;J811)+COUNTIFS($GA$2:$GA$1000,"Y",$J$2:$J$1000,J811,$GD$2:$GD$1000,"&lt;"&amp;GD811)+1,""))</f>
        <v/>
      </c>
      <c r="GC811" s="0" t="str">
        <f aca="false">IF(AND(_xlfn.ISFORMULA(C811),_xlfn.ISFORMULA(J811)),"Y","N")</f>
        <v>Y</v>
      </c>
      <c r="GD811" s="0" t="n">
        <f aca="false">ROW()-1</f>
        <v>810</v>
      </c>
    </row>
    <row r="812" customFormat="false" ht="15" hidden="false" customHeight="false" outlineLevel="0" collapsed="false">
      <c r="C812" s="0" t="str">
        <f aca="false">IF($A812="","",IF(AW812="Y",BM812&amp;"",AY812&amp;""))</f>
        <v/>
      </c>
      <c r="D812" s="0" t="str">
        <f aca="false">IF($A812="","",IF(AW812="Y",BN812&amp;"",AZ812&amp;""))</f>
        <v/>
      </c>
      <c r="E812" s="0" t="str">
        <f aca="false">IF($A812="","",IF(AW812="Y",BO812&amp;"",BA812&amp;""))</f>
        <v/>
      </c>
      <c r="F812" s="0" t="str">
        <f aca="false">IF($A812="","",IF(AW812="Y",BP812&amp;"",BB812&amp;""))</f>
        <v/>
      </c>
      <c r="G812" s="0" t="str">
        <f aca="false">IF($A812="","",IF(AW812="Y",BQ812&amp;"",BC812&amp;""))</f>
        <v/>
      </c>
      <c r="H812" s="0" t="str">
        <f aca="false">IF($A812="","",IF(AW812="Y",BR812&amp;"",BD812&amp;""))</f>
        <v/>
      </c>
      <c r="I812" s="0" t="str">
        <f aca="false">IF($A812="","",IF(R812="Y","warm-intro",IF(H812="verified","email",IF(C812&lt;&gt;"","linkedin",CB812&amp;""))))</f>
        <v/>
      </c>
      <c r="J812" s="0" t="str">
        <f aca="false">IF($A812="","",IF(CN812="pass",ROUND(N(EM812)+N(EN812)+N(EO812)+N(EP812)+N(EQ812)+N(ER812),1),0))</f>
        <v/>
      </c>
      <c r="K812" s="0" t="str">
        <f aca="false">IF($A812="","",IF(CN812&lt;&gt;"pass",CA812&amp;"",CA812&amp;"; "&amp;IF(AW812="Y",BZ812&amp;"",BL812&amp;"")&amp;IF(R812="Y","; known to the founder (+15)","")&amp;"."))</f>
        <v/>
      </c>
      <c r="R812" s="5"/>
      <c r="U812" s="5"/>
      <c r="Y812" s="0" t="str">
        <f aca="false">IF(FX812&lt;&gt;"Y","",COUNTIFS($FX$2:$FX$1000,"Y",$J$2:$J$1000,"&gt;"&amp;J812)+COUNTIFS($FX$2:$FX$1000,"Y",$J$2:$J$1000,J812,$GD$2:$GD$1000,"&lt;"&amp;GD812)+1)</f>
        <v/>
      </c>
      <c r="AB812" s="0" t="str">
        <f aca="false">IF($A812="","",IF(AW812="Y",BY812&amp;"",BK812&amp;""))</f>
        <v/>
      </c>
      <c r="AC812" s="0" t="str">
        <f aca="false">IF($A812="","",IF(AW812="Y",BS812&amp;"",BE812&amp;""))</f>
        <v/>
      </c>
      <c r="AD812" s="0" t="str">
        <f aca="false">IF($A812="","",IF(AW812="Y",BT812&amp;"",BF812&amp;""))</f>
        <v/>
      </c>
      <c r="AE812" s="0" t="str">
        <f aca="false">IF($A812="","",IF(AW812="Y",BU812&amp;"",BG812&amp;""))</f>
        <v/>
      </c>
      <c r="AF812" s="0" t="str">
        <f aca="false">IF($A812="","",IF(AW812="Y",BV812&amp;"",BH812&amp;""))</f>
        <v/>
      </c>
      <c r="AG812" s="0" t="str">
        <f aca="false">IF($A812="","",IF(AW812="Y",BW812&amp;"",BI812&amp;""))</f>
        <v/>
      </c>
      <c r="AH812" s="0" t="str">
        <f aca="false">IF($A812="","",IF(AW812="Y",BX812&amp;"",BJ812&amp;""))</f>
        <v/>
      </c>
      <c r="AQ812" s="5"/>
      <c r="AT812" s="0" t="str">
        <f aca="false">IF($A812="","",IF(AND(CN812="pass",AQ812&lt;&gt;"Y",C812&lt;&gt;"",OR(AX812&lt;&gt;"Y",AV812="Y")),"Y","N"))</f>
        <v/>
      </c>
      <c r="AU812" s="0" t="str">
        <f aca="false">IF($A812="","",_xlfn.TEXTJOIN("; ",TRUE(),IF(CN812&lt;&gt;"pass","gated out",""),IF(AQ812="Y","on hold: "&amp;AR812,""),IF(C812="","no contact named on an opened page",""),IF(AND(AX812="Y",AV812&lt;&gt;"Y"),"Tuesday estimate band "&amp;L812&amp;": founder's call","")))</f>
        <v/>
      </c>
      <c r="BC812" s="0" t="str">
        <f aca="false">IF($A812="","",IFERROR(INDEX(Enrichment!$A$2:$GZ$2000,MATCH($A812,INDEX(Enrichment!$A$2:$GZ$2000,0,MATCH("row_id",Enrichment!$A$1:$GZ$1,0)),0),MATCH("work_email",Enrichment!$A$1:$GZ$1,0))&amp;"",""))</f>
        <v/>
      </c>
      <c r="BD812" s="0" t="str">
        <f aca="false">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Q812" s="0" t="str">
        <f aca="false">IF($A812="","",IFERROR(INDEX(Enrichment!$A$2:$GZ$2000,MATCH($A812,INDEX(Enrichment!$A$2:$GZ$2000,0,MATCH("row_id",Enrichment!$A$1:$GZ$1,0)),0),MATCH("backup_work_email",Enrichment!$A$1:$GZ$1,0))&amp;"",""))</f>
        <v/>
      </c>
      <c r="BR812" s="0" t="str">
        <f aca="false">IF($A812="","",IF(BQ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EQ812" s="0" t="str">
        <f aca="false">IF($A812="","",IF(AH812="exact",10,IF(AH812="adjacent",5,0)))</f>
        <v/>
      </c>
      <c r="ER812" s="0" t="str">
        <f aca="false">IF($A812="","",IF(R812="Y",15,0))</f>
        <v/>
      </c>
      <c r="FS812" s="0" t="str">
        <f aca="false">IF($A812="","",IF(ISNUMBER(MATCH(U812,{"queued","contacted","replied","call_booked","call_done","yes_in_principle","materials_sent"},0)),"Y","N"))</f>
        <v/>
      </c>
      <c r="FT812" s="0" t="str">
        <f aca="false">IF($A812="","",IF(OR(T812="Y",U812="do_not_contact",AS812&amp;""&lt;&gt;""),"Y","N"))</f>
        <v/>
      </c>
      <c r="FU812" s="0" t="str">
        <f aca="false">IF($A812="","",IF(AP812&amp;""&lt;&gt;"",AP812&amp;"",$A812))</f>
        <v/>
      </c>
      <c r="FV812" s="0" t="str">
        <f aca="false">IF($A812="","",IF(COUNTIFS($FU$2:$FU$1000,FU812,$FS$2:$FS$1000,"Y")+COUNTIFS($FU$2:$FU$1000,FU812,$FT$2:$FT$1000,"Y")&gt;0,"Y","N"))</f>
        <v/>
      </c>
      <c r="FW812" s="0" t="str">
        <f aca="false">IF($A812="","",IF(AND(U812="new",T812="N",FT812="N",AT812="Y",FV812="N"),"Y","N"))</f>
        <v/>
      </c>
      <c r="FX812" s="0" t="str">
        <f aca="false">IF($A812="","",IF(FW812&lt;&gt;"Y","N",IF(COUNTIFS($FU$2:$FU$1000,FU812,$FW$2:$FW$1000,"Y",$J$2:$J$1000,"&gt;"&amp;J812)+COUNTIFS($FU$2:$FU$1000,FU812,$FW$2:$FW$1000,"Y",$J$2:$J$1000,J812,$GD$2:$GD$1000,"&lt;"&amp;GD812)=0,"Y","N")))</f>
        <v/>
      </c>
      <c r="FY812" s="0" t="str">
        <f aca="false">IF($A812="","",IF(AND(FW812="Y",FX812="Y",Y812&amp;""&lt;&gt;""),IF(Y812&lt;=10,"Y","N"),"N"))</f>
        <v/>
      </c>
      <c r="FZ812" s="0" t="str">
        <f aca="false">IF(FY812="Y",Y812,"")</f>
        <v/>
      </c>
      <c r="GA812" s="0" t="str">
        <f aca="false">IF($A812="","",IF(AND(I812="walk-in",CN812="pass",U812="new",FT812="N",FV812="N",AQ812&lt;&gt;"Y"),"Y","N"))</f>
        <v/>
      </c>
      <c r="GB812" s="0" t="str">
        <f aca="false">IF(GA812&lt;&gt;"Y","",IF(COUNTIFS($GA$2:$GA$1000,"Y",$J$2:$J$1000,"&gt;"&amp;J812)+COUNTIFS($GA$2:$GA$1000,"Y",$J$2:$J$1000,J812,$GD$2:$GD$1000,"&lt;"&amp;GD812)+1&lt;=25,COUNTIFS($GA$2:$GA$1000,"Y",$J$2:$J$1000,"&gt;"&amp;J812)+COUNTIFS($GA$2:$GA$1000,"Y",$J$2:$J$1000,J812,$GD$2:$GD$1000,"&lt;"&amp;GD812)+1,""))</f>
        <v/>
      </c>
      <c r="GC812" s="0" t="str">
        <f aca="false">IF(AND(_xlfn.ISFORMULA(C812),_xlfn.ISFORMULA(J812)),"Y","N")</f>
        <v>Y</v>
      </c>
      <c r="GD812" s="0" t="n">
        <f aca="false">ROW()-1</f>
        <v>811</v>
      </c>
    </row>
    <row r="813" customFormat="false" ht="15" hidden="false" customHeight="false" outlineLevel="0" collapsed="false">
      <c r="C813" s="0" t="str">
        <f aca="false">IF($A813="","",IF(AW813="Y",BM813&amp;"",AY813&amp;""))</f>
        <v/>
      </c>
      <c r="D813" s="0" t="str">
        <f aca="false">IF($A813="","",IF(AW813="Y",BN813&amp;"",AZ813&amp;""))</f>
        <v/>
      </c>
      <c r="E813" s="0" t="str">
        <f aca="false">IF($A813="","",IF(AW813="Y",BO813&amp;"",BA813&amp;""))</f>
        <v/>
      </c>
      <c r="F813" s="0" t="str">
        <f aca="false">IF($A813="","",IF(AW813="Y",BP813&amp;"",BB813&amp;""))</f>
        <v/>
      </c>
      <c r="G813" s="0" t="str">
        <f aca="false">IF($A813="","",IF(AW813="Y",BQ813&amp;"",BC813&amp;""))</f>
        <v/>
      </c>
      <c r="H813" s="0" t="str">
        <f aca="false">IF($A813="","",IF(AW813="Y",BR813&amp;"",BD813&amp;""))</f>
        <v/>
      </c>
      <c r="I813" s="0" t="str">
        <f aca="false">IF($A813="","",IF(R813="Y","warm-intro",IF(H813="verified","email",IF(C813&lt;&gt;"","linkedin",CB813&amp;""))))</f>
        <v/>
      </c>
      <c r="J813" s="0" t="str">
        <f aca="false">IF($A813="","",IF(CN813="pass",ROUND(N(EM813)+N(EN813)+N(EO813)+N(EP813)+N(EQ813)+N(ER813),1),0))</f>
        <v/>
      </c>
      <c r="K813" s="0" t="str">
        <f aca="false">IF($A813="","",IF(CN813&lt;&gt;"pass",CA813&amp;"",CA813&amp;"; "&amp;IF(AW813="Y",BZ813&amp;"",BL813&amp;"")&amp;IF(R813="Y","; known to the founder (+15)","")&amp;"."))</f>
        <v/>
      </c>
      <c r="R813" s="5"/>
      <c r="U813" s="5"/>
      <c r="Y813" s="0" t="str">
        <f aca="false">IF(FX813&lt;&gt;"Y","",COUNTIFS($FX$2:$FX$1000,"Y",$J$2:$J$1000,"&gt;"&amp;J813)+COUNTIFS($FX$2:$FX$1000,"Y",$J$2:$J$1000,J813,$GD$2:$GD$1000,"&lt;"&amp;GD813)+1)</f>
        <v/>
      </c>
      <c r="AB813" s="0" t="str">
        <f aca="false">IF($A813="","",IF(AW813="Y",BY813&amp;"",BK813&amp;""))</f>
        <v/>
      </c>
      <c r="AC813" s="0" t="str">
        <f aca="false">IF($A813="","",IF(AW813="Y",BS813&amp;"",BE813&amp;""))</f>
        <v/>
      </c>
      <c r="AD813" s="0" t="str">
        <f aca="false">IF($A813="","",IF(AW813="Y",BT813&amp;"",BF813&amp;""))</f>
        <v/>
      </c>
      <c r="AE813" s="0" t="str">
        <f aca="false">IF($A813="","",IF(AW813="Y",BU813&amp;"",BG813&amp;""))</f>
        <v/>
      </c>
      <c r="AF813" s="0" t="str">
        <f aca="false">IF($A813="","",IF(AW813="Y",BV813&amp;"",BH813&amp;""))</f>
        <v/>
      </c>
      <c r="AG813" s="0" t="str">
        <f aca="false">IF($A813="","",IF(AW813="Y",BW813&amp;"",BI813&amp;""))</f>
        <v/>
      </c>
      <c r="AH813" s="0" t="str">
        <f aca="false">IF($A813="","",IF(AW813="Y",BX813&amp;"",BJ813&amp;""))</f>
        <v/>
      </c>
      <c r="AQ813" s="5"/>
      <c r="AT813" s="0" t="str">
        <f aca="false">IF($A813="","",IF(AND(CN813="pass",AQ813&lt;&gt;"Y",C813&lt;&gt;"",OR(AX813&lt;&gt;"Y",AV813="Y")),"Y","N"))</f>
        <v/>
      </c>
      <c r="AU813" s="0" t="str">
        <f aca="false">IF($A813="","",_xlfn.TEXTJOIN("; ",TRUE(),IF(CN813&lt;&gt;"pass","gated out",""),IF(AQ813="Y","on hold: "&amp;AR813,""),IF(C813="","no contact named on an opened page",""),IF(AND(AX813="Y",AV813&lt;&gt;"Y"),"Tuesday estimate band "&amp;L813&amp;": founder's call","")))</f>
        <v/>
      </c>
      <c r="BC813" s="0" t="str">
        <f aca="false">IF($A813="","",IFERROR(INDEX(Enrichment!$A$2:$GZ$2000,MATCH($A813,INDEX(Enrichment!$A$2:$GZ$2000,0,MATCH("row_id",Enrichment!$A$1:$GZ$1,0)),0),MATCH("work_email",Enrichment!$A$1:$GZ$1,0))&amp;"",""))</f>
        <v/>
      </c>
      <c r="BD813" s="0" t="str">
        <f aca="false">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Q813" s="0" t="str">
        <f aca="false">IF($A813="","",IFERROR(INDEX(Enrichment!$A$2:$GZ$2000,MATCH($A813,INDEX(Enrichment!$A$2:$GZ$2000,0,MATCH("row_id",Enrichment!$A$1:$GZ$1,0)),0),MATCH("backup_work_email",Enrichment!$A$1:$GZ$1,0))&amp;"",""))</f>
        <v/>
      </c>
      <c r="BR813" s="0" t="str">
        <f aca="false">IF($A813="","",IF(BQ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EQ813" s="0" t="str">
        <f aca="false">IF($A813="","",IF(AH813="exact",10,IF(AH813="adjacent",5,0)))</f>
        <v/>
      </c>
      <c r="ER813" s="0" t="str">
        <f aca="false">IF($A813="","",IF(R813="Y",15,0))</f>
        <v/>
      </c>
      <c r="FS813" s="0" t="str">
        <f aca="false">IF($A813="","",IF(ISNUMBER(MATCH(U813,{"queued","contacted","replied","call_booked","call_done","yes_in_principle","materials_sent"},0)),"Y","N"))</f>
        <v/>
      </c>
      <c r="FT813" s="0" t="str">
        <f aca="false">IF($A813="","",IF(OR(T813="Y",U813="do_not_contact",AS813&amp;""&lt;&gt;""),"Y","N"))</f>
        <v/>
      </c>
      <c r="FU813" s="0" t="str">
        <f aca="false">IF($A813="","",IF(AP813&amp;""&lt;&gt;"",AP813&amp;"",$A813))</f>
        <v/>
      </c>
      <c r="FV813" s="0" t="str">
        <f aca="false">IF($A813="","",IF(COUNTIFS($FU$2:$FU$1000,FU813,$FS$2:$FS$1000,"Y")+COUNTIFS($FU$2:$FU$1000,FU813,$FT$2:$FT$1000,"Y")&gt;0,"Y","N"))</f>
        <v/>
      </c>
      <c r="FW813" s="0" t="str">
        <f aca="false">IF($A813="","",IF(AND(U813="new",T813="N",FT813="N",AT813="Y",FV813="N"),"Y","N"))</f>
        <v/>
      </c>
      <c r="FX813" s="0" t="str">
        <f aca="false">IF($A813="","",IF(FW813&lt;&gt;"Y","N",IF(COUNTIFS($FU$2:$FU$1000,FU813,$FW$2:$FW$1000,"Y",$J$2:$J$1000,"&gt;"&amp;J813)+COUNTIFS($FU$2:$FU$1000,FU813,$FW$2:$FW$1000,"Y",$J$2:$J$1000,J813,$GD$2:$GD$1000,"&lt;"&amp;GD813)=0,"Y","N")))</f>
        <v/>
      </c>
      <c r="FY813" s="0" t="str">
        <f aca="false">IF($A813="","",IF(AND(FW813="Y",FX813="Y",Y813&amp;""&lt;&gt;""),IF(Y813&lt;=10,"Y","N"),"N"))</f>
        <v/>
      </c>
      <c r="FZ813" s="0" t="str">
        <f aca="false">IF(FY813="Y",Y813,"")</f>
        <v/>
      </c>
      <c r="GA813" s="0" t="str">
        <f aca="false">IF($A813="","",IF(AND(I813="walk-in",CN813="pass",U813="new",FT813="N",FV813="N",AQ813&lt;&gt;"Y"),"Y","N"))</f>
        <v/>
      </c>
      <c r="GB813" s="0" t="str">
        <f aca="false">IF(GA813&lt;&gt;"Y","",IF(COUNTIFS($GA$2:$GA$1000,"Y",$J$2:$J$1000,"&gt;"&amp;J813)+COUNTIFS($GA$2:$GA$1000,"Y",$J$2:$J$1000,J813,$GD$2:$GD$1000,"&lt;"&amp;GD813)+1&lt;=25,COUNTIFS($GA$2:$GA$1000,"Y",$J$2:$J$1000,"&gt;"&amp;J813)+COUNTIFS($GA$2:$GA$1000,"Y",$J$2:$J$1000,J813,$GD$2:$GD$1000,"&lt;"&amp;GD813)+1,""))</f>
        <v/>
      </c>
      <c r="GC813" s="0" t="str">
        <f aca="false">IF(AND(_xlfn.ISFORMULA(C813),_xlfn.ISFORMULA(J813)),"Y","N")</f>
        <v>Y</v>
      </c>
      <c r="GD813" s="0" t="n">
        <f aca="false">ROW()-1</f>
        <v>812</v>
      </c>
    </row>
    <row r="814" customFormat="false" ht="15" hidden="false" customHeight="false" outlineLevel="0" collapsed="false">
      <c r="C814" s="0" t="str">
        <f aca="false">IF($A814="","",IF(AW814="Y",BM814&amp;"",AY814&amp;""))</f>
        <v/>
      </c>
      <c r="D814" s="0" t="str">
        <f aca="false">IF($A814="","",IF(AW814="Y",BN814&amp;"",AZ814&amp;""))</f>
        <v/>
      </c>
      <c r="E814" s="0" t="str">
        <f aca="false">IF($A814="","",IF(AW814="Y",BO814&amp;"",BA814&amp;""))</f>
        <v/>
      </c>
      <c r="F814" s="0" t="str">
        <f aca="false">IF($A814="","",IF(AW814="Y",BP814&amp;"",BB814&amp;""))</f>
        <v/>
      </c>
      <c r="G814" s="0" t="str">
        <f aca="false">IF($A814="","",IF(AW814="Y",BQ814&amp;"",BC814&amp;""))</f>
        <v/>
      </c>
      <c r="H814" s="0" t="str">
        <f aca="false">IF($A814="","",IF(AW814="Y",BR814&amp;"",BD814&amp;""))</f>
        <v/>
      </c>
      <c r="I814" s="0" t="str">
        <f aca="false">IF($A814="","",IF(R814="Y","warm-intro",IF(H814="verified","email",IF(C814&lt;&gt;"","linkedin",CB814&amp;""))))</f>
        <v/>
      </c>
      <c r="J814" s="0" t="str">
        <f aca="false">IF($A814="","",IF(CN814="pass",ROUND(N(EM814)+N(EN814)+N(EO814)+N(EP814)+N(EQ814)+N(ER814),1),0))</f>
        <v/>
      </c>
      <c r="K814" s="0" t="str">
        <f aca="false">IF($A814="","",IF(CN814&lt;&gt;"pass",CA814&amp;"",CA814&amp;"; "&amp;IF(AW814="Y",BZ814&amp;"",BL814&amp;"")&amp;IF(R814="Y","; known to the founder (+15)","")&amp;"."))</f>
        <v/>
      </c>
      <c r="R814" s="5"/>
      <c r="U814" s="5"/>
      <c r="Y814" s="0" t="str">
        <f aca="false">IF(FX814&lt;&gt;"Y","",COUNTIFS($FX$2:$FX$1000,"Y",$J$2:$J$1000,"&gt;"&amp;J814)+COUNTIFS($FX$2:$FX$1000,"Y",$J$2:$J$1000,J814,$GD$2:$GD$1000,"&lt;"&amp;GD814)+1)</f>
        <v/>
      </c>
      <c r="AB814" s="0" t="str">
        <f aca="false">IF($A814="","",IF(AW814="Y",BY814&amp;"",BK814&amp;""))</f>
        <v/>
      </c>
      <c r="AC814" s="0" t="str">
        <f aca="false">IF($A814="","",IF(AW814="Y",BS814&amp;"",BE814&amp;""))</f>
        <v/>
      </c>
      <c r="AD814" s="0" t="str">
        <f aca="false">IF($A814="","",IF(AW814="Y",BT814&amp;"",BF814&amp;""))</f>
        <v/>
      </c>
      <c r="AE814" s="0" t="str">
        <f aca="false">IF($A814="","",IF(AW814="Y",BU814&amp;"",BG814&amp;""))</f>
        <v/>
      </c>
      <c r="AF814" s="0" t="str">
        <f aca="false">IF($A814="","",IF(AW814="Y",BV814&amp;"",BH814&amp;""))</f>
        <v/>
      </c>
      <c r="AG814" s="0" t="str">
        <f aca="false">IF($A814="","",IF(AW814="Y",BW814&amp;"",BI814&amp;""))</f>
        <v/>
      </c>
      <c r="AH814" s="0" t="str">
        <f aca="false">IF($A814="","",IF(AW814="Y",BX814&amp;"",BJ814&amp;""))</f>
        <v/>
      </c>
      <c r="AQ814" s="5"/>
      <c r="AT814" s="0" t="str">
        <f aca="false">IF($A814="","",IF(AND(CN814="pass",AQ814&lt;&gt;"Y",C814&lt;&gt;"",OR(AX814&lt;&gt;"Y",AV814="Y")),"Y","N"))</f>
        <v/>
      </c>
      <c r="AU814" s="0" t="str">
        <f aca="false">IF($A814="","",_xlfn.TEXTJOIN("; ",TRUE(),IF(CN814&lt;&gt;"pass","gated out",""),IF(AQ814="Y","on hold: "&amp;AR814,""),IF(C814="","no contact named on an opened page",""),IF(AND(AX814="Y",AV814&lt;&gt;"Y"),"Tuesday estimate band "&amp;L814&amp;": founder's call","")))</f>
        <v/>
      </c>
      <c r="BC814" s="0" t="str">
        <f aca="false">IF($A814="","",IFERROR(INDEX(Enrichment!$A$2:$GZ$2000,MATCH($A814,INDEX(Enrichment!$A$2:$GZ$2000,0,MATCH("row_id",Enrichment!$A$1:$GZ$1,0)),0),MATCH("work_email",Enrichment!$A$1:$GZ$1,0))&amp;"",""))</f>
        <v/>
      </c>
      <c r="BD814" s="0" t="str">
        <f aca="false">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Q814" s="0" t="str">
        <f aca="false">IF($A814="","",IFERROR(INDEX(Enrichment!$A$2:$GZ$2000,MATCH($A814,INDEX(Enrichment!$A$2:$GZ$2000,0,MATCH("row_id",Enrichment!$A$1:$GZ$1,0)),0),MATCH("backup_work_email",Enrichment!$A$1:$GZ$1,0))&amp;"",""))</f>
        <v/>
      </c>
      <c r="BR814" s="0" t="str">
        <f aca="false">IF($A814="","",IF(BQ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EQ814" s="0" t="str">
        <f aca="false">IF($A814="","",IF(AH814="exact",10,IF(AH814="adjacent",5,0)))</f>
        <v/>
      </c>
      <c r="ER814" s="0" t="str">
        <f aca="false">IF($A814="","",IF(R814="Y",15,0))</f>
        <v/>
      </c>
      <c r="FS814" s="0" t="str">
        <f aca="false">IF($A814="","",IF(ISNUMBER(MATCH(U814,{"queued","contacted","replied","call_booked","call_done","yes_in_principle","materials_sent"},0)),"Y","N"))</f>
        <v/>
      </c>
      <c r="FT814" s="0" t="str">
        <f aca="false">IF($A814="","",IF(OR(T814="Y",U814="do_not_contact",AS814&amp;""&lt;&gt;""),"Y","N"))</f>
        <v/>
      </c>
      <c r="FU814" s="0" t="str">
        <f aca="false">IF($A814="","",IF(AP814&amp;""&lt;&gt;"",AP814&amp;"",$A814))</f>
        <v/>
      </c>
      <c r="FV814" s="0" t="str">
        <f aca="false">IF($A814="","",IF(COUNTIFS($FU$2:$FU$1000,FU814,$FS$2:$FS$1000,"Y")+COUNTIFS($FU$2:$FU$1000,FU814,$FT$2:$FT$1000,"Y")&gt;0,"Y","N"))</f>
        <v/>
      </c>
      <c r="FW814" s="0" t="str">
        <f aca="false">IF($A814="","",IF(AND(U814="new",T814="N",FT814="N",AT814="Y",FV814="N"),"Y","N"))</f>
        <v/>
      </c>
      <c r="FX814" s="0" t="str">
        <f aca="false">IF($A814="","",IF(FW814&lt;&gt;"Y","N",IF(COUNTIFS($FU$2:$FU$1000,FU814,$FW$2:$FW$1000,"Y",$J$2:$J$1000,"&gt;"&amp;J814)+COUNTIFS($FU$2:$FU$1000,FU814,$FW$2:$FW$1000,"Y",$J$2:$J$1000,J814,$GD$2:$GD$1000,"&lt;"&amp;GD814)=0,"Y","N")))</f>
        <v/>
      </c>
      <c r="FY814" s="0" t="str">
        <f aca="false">IF($A814="","",IF(AND(FW814="Y",FX814="Y",Y814&amp;""&lt;&gt;""),IF(Y814&lt;=10,"Y","N"),"N"))</f>
        <v/>
      </c>
      <c r="FZ814" s="0" t="str">
        <f aca="false">IF(FY814="Y",Y814,"")</f>
        <v/>
      </c>
      <c r="GA814" s="0" t="str">
        <f aca="false">IF($A814="","",IF(AND(I814="walk-in",CN814="pass",U814="new",FT814="N",FV814="N",AQ814&lt;&gt;"Y"),"Y","N"))</f>
        <v/>
      </c>
      <c r="GB814" s="0" t="str">
        <f aca="false">IF(GA814&lt;&gt;"Y","",IF(COUNTIFS($GA$2:$GA$1000,"Y",$J$2:$J$1000,"&gt;"&amp;J814)+COUNTIFS($GA$2:$GA$1000,"Y",$J$2:$J$1000,J814,$GD$2:$GD$1000,"&lt;"&amp;GD814)+1&lt;=25,COUNTIFS($GA$2:$GA$1000,"Y",$J$2:$J$1000,"&gt;"&amp;J814)+COUNTIFS($GA$2:$GA$1000,"Y",$J$2:$J$1000,J814,$GD$2:$GD$1000,"&lt;"&amp;GD814)+1,""))</f>
        <v/>
      </c>
      <c r="GC814" s="0" t="str">
        <f aca="false">IF(AND(_xlfn.ISFORMULA(C814),_xlfn.ISFORMULA(J814)),"Y","N")</f>
        <v>Y</v>
      </c>
      <c r="GD814" s="0" t="n">
        <f aca="false">ROW()-1</f>
        <v>813</v>
      </c>
    </row>
    <row r="815" customFormat="false" ht="15" hidden="false" customHeight="false" outlineLevel="0" collapsed="false">
      <c r="C815" s="0" t="str">
        <f aca="false">IF($A815="","",IF(AW815="Y",BM815&amp;"",AY815&amp;""))</f>
        <v/>
      </c>
      <c r="D815" s="0" t="str">
        <f aca="false">IF($A815="","",IF(AW815="Y",BN815&amp;"",AZ815&amp;""))</f>
        <v/>
      </c>
      <c r="E815" s="0" t="str">
        <f aca="false">IF($A815="","",IF(AW815="Y",BO815&amp;"",BA815&amp;""))</f>
        <v/>
      </c>
      <c r="F815" s="0" t="str">
        <f aca="false">IF($A815="","",IF(AW815="Y",BP815&amp;"",BB815&amp;""))</f>
        <v/>
      </c>
      <c r="G815" s="0" t="str">
        <f aca="false">IF($A815="","",IF(AW815="Y",BQ815&amp;"",BC815&amp;""))</f>
        <v/>
      </c>
      <c r="H815" s="0" t="str">
        <f aca="false">IF($A815="","",IF(AW815="Y",BR815&amp;"",BD815&amp;""))</f>
        <v/>
      </c>
      <c r="I815" s="0" t="str">
        <f aca="false">IF($A815="","",IF(R815="Y","warm-intro",IF(H815="verified","email",IF(C815&lt;&gt;"","linkedin",CB815&amp;""))))</f>
        <v/>
      </c>
      <c r="J815" s="0" t="str">
        <f aca="false">IF($A815="","",IF(CN815="pass",ROUND(N(EM815)+N(EN815)+N(EO815)+N(EP815)+N(EQ815)+N(ER815),1),0))</f>
        <v/>
      </c>
      <c r="K815" s="0" t="str">
        <f aca="false">IF($A815="","",IF(CN815&lt;&gt;"pass",CA815&amp;"",CA815&amp;"; "&amp;IF(AW815="Y",BZ815&amp;"",BL815&amp;"")&amp;IF(R815="Y","; known to the founder (+15)","")&amp;"."))</f>
        <v/>
      </c>
      <c r="R815" s="5"/>
      <c r="U815" s="5"/>
      <c r="Y815" s="0" t="str">
        <f aca="false">IF(FX815&lt;&gt;"Y","",COUNTIFS($FX$2:$FX$1000,"Y",$J$2:$J$1000,"&gt;"&amp;J815)+COUNTIFS($FX$2:$FX$1000,"Y",$J$2:$J$1000,J815,$GD$2:$GD$1000,"&lt;"&amp;GD815)+1)</f>
        <v/>
      </c>
      <c r="AB815" s="0" t="str">
        <f aca="false">IF($A815="","",IF(AW815="Y",BY815&amp;"",BK815&amp;""))</f>
        <v/>
      </c>
      <c r="AC815" s="0" t="str">
        <f aca="false">IF($A815="","",IF(AW815="Y",BS815&amp;"",BE815&amp;""))</f>
        <v/>
      </c>
      <c r="AD815" s="0" t="str">
        <f aca="false">IF($A815="","",IF(AW815="Y",BT815&amp;"",BF815&amp;""))</f>
        <v/>
      </c>
      <c r="AE815" s="0" t="str">
        <f aca="false">IF($A815="","",IF(AW815="Y",BU815&amp;"",BG815&amp;""))</f>
        <v/>
      </c>
      <c r="AF815" s="0" t="str">
        <f aca="false">IF($A815="","",IF(AW815="Y",BV815&amp;"",BH815&amp;""))</f>
        <v/>
      </c>
      <c r="AG815" s="0" t="str">
        <f aca="false">IF($A815="","",IF(AW815="Y",BW815&amp;"",BI815&amp;""))</f>
        <v/>
      </c>
      <c r="AH815" s="0" t="str">
        <f aca="false">IF($A815="","",IF(AW815="Y",BX815&amp;"",BJ815&amp;""))</f>
        <v/>
      </c>
      <c r="AQ815" s="5"/>
      <c r="AT815" s="0" t="str">
        <f aca="false">IF($A815="","",IF(AND(CN815="pass",AQ815&lt;&gt;"Y",C815&lt;&gt;"",OR(AX815&lt;&gt;"Y",AV815="Y")),"Y","N"))</f>
        <v/>
      </c>
      <c r="AU815" s="0" t="str">
        <f aca="false">IF($A815="","",_xlfn.TEXTJOIN("; ",TRUE(),IF(CN815&lt;&gt;"pass","gated out",""),IF(AQ815="Y","on hold: "&amp;AR815,""),IF(C815="","no contact named on an opened page",""),IF(AND(AX815="Y",AV815&lt;&gt;"Y"),"Tuesday estimate band "&amp;L815&amp;": founder's call","")))</f>
        <v/>
      </c>
      <c r="BC815" s="0" t="str">
        <f aca="false">IF($A815="","",IFERROR(INDEX(Enrichment!$A$2:$GZ$2000,MATCH($A815,INDEX(Enrichment!$A$2:$GZ$2000,0,MATCH("row_id",Enrichment!$A$1:$GZ$1,0)),0),MATCH("work_email",Enrichment!$A$1:$GZ$1,0))&amp;"",""))</f>
        <v/>
      </c>
      <c r="BD815" s="0" t="str">
        <f aca="false">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Q815" s="0" t="str">
        <f aca="false">IF($A815="","",IFERROR(INDEX(Enrichment!$A$2:$GZ$2000,MATCH($A815,INDEX(Enrichment!$A$2:$GZ$2000,0,MATCH("row_id",Enrichment!$A$1:$GZ$1,0)),0),MATCH("backup_work_email",Enrichment!$A$1:$GZ$1,0))&amp;"",""))</f>
        <v/>
      </c>
      <c r="BR815" s="0" t="str">
        <f aca="false">IF($A815="","",IF(BQ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EQ815" s="0" t="str">
        <f aca="false">IF($A815="","",IF(AH815="exact",10,IF(AH815="adjacent",5,0)))</f>
        <v/>
      </c>
      <c r="ER815" s="0" t="str">
        <f aca="false">IF($A815="","",IF(R815="Y",15,0))</f>
        <v/>
      </c>
      <c r="FS815" s="0" t="str">
        <f aca="false">IF($A815="","",IF(ISNUMBER(MATCH(U815,{"queued","contacted","replied","call_booked","call_done","yes_in_principle","materials_sent"},0)),"Y","N"))</f>
        <v/>
      </c>
      <c r="FT815" s="0" t="str">
        <f aca="false">IF($A815="","",IF(OR(T815="Y",U815="do_not_contact",AS815&amp;""&lt;&gt;""),"Y","N"))</f>
        <v/>
      </c>
      <c r="FU815" s="0" t="str">
        <f aca="false">IF($A815="","",IF(AP815&amp;""&lt;&gt;"",AP815&amp;"",$A815))</f>
        <v/>
      </c>
      <c r="FV815" s="0" t="str">
        <f aca="false">IF($A815="","",IF(COUNTIFS($FU$2:$FU$1000,FU815,$FS$2:$FS$1000,"Y")+COUNTIFS($FU$2:$FU$1000,FU815,$FT$2:$FT$1000,"Y")&gt;0,"Y","N"))</f>
        <v/>
      </c>
      <c r="FW815" s="0" t="str">
        <f aca="false">IF($A815="","",IF(AND(U815="new",T815="N",FT815="N",AT815="Y",FV815="N"),"Y","N"))</f>
        <v/>
      </c>
      <c r="FX815" s="0" t="str">
        <f aca="false">IF($A815="","",IF(FW815&lt;&gt;"Y","N",IF(COUNTIFS($FU$2:$FU$1000,FU815,$FW$2:$FW$1000,"Y",$J$2:$J$1000,"&gt;"&amp;J815)+COUNTIFS($FU$2:$FU$1000,FU815,$FW$2:$FW$1000,"Y",$J$2:$J$1000,J815,$GD$2:$GD$1000,"&lt;"&amp;GD815)=0,"Y","N")))</f>
        <v/>
      </c>
      <c r="FY815" s="0" t="str">
        <f aca="false">IF($A815="","",IF(AND(FW815="Y",FX815="Y",Y815&amp;""&lt;&gt;""),IF(Y815&lt;=10,"Y","N"),"N"))</f>
        <v/>
      </c>
      <c r="FZ815" s="0" t="str">
        <f aca="false">IF(FY815="Y",Y815,"")</f>
        <v/>
      </c>
      <c r="GA815" s="0" t="str">
        <f aca="false">IF($A815="","",IF(AND(I815="walk-in",CN815="pass",U815="new",FT815="N",FV815="N",AQ815&lt;&gt;"Y"),"Y","N"))</f>
        <v/>
      </c>
      <c r="GB815" s="0" t="str">
        <f aca="false">IF(GA815&lt;&gt;"Y","",IF(COUNTIFS($GA$2:$GA$1000,"Y",$J$2:$J$1000,"&gt;"&amp;J815)+COUNTIFS($GA$2:$GA$1000,"Y",$J$2:$J$1000,J815,$GD$2:$GD$1000,"&lt;"&amp;GD815)+1&lt;=25,COUNTIFS($GA$2:$GA$1000,"Y",$J$2:$J$1000,"&gt;"&amp;J815)+COUNTIFS($GA$2:$GA$1000,"Y",$J$2:$J$1000,J815,$GD$2:$GD$1000,"&lt;"&amp;GD815)+1,""))</f>
        <v/>
      </c>
      <c r="GC815" s="0" t="str">
        <f aca="false">IF(AND(_xlfn.ISFORMULA(C815),_xlfn.ISFORMULA(J815)),"Y","N")</f>
        <v>Y</v>
      </c>
      <c r="GD815" s="0" t="n">
        <f aca="false">ROW()-1</f>
        <v>814</v>
      </c>
    </row>
    <row r="816" customFormat="false" ht="15" hidden="false" customHeight="false" outlineLevel="0" collapsed="false">
      <c r="C816" s="0" t="str">
        <f aca="false">IF($A816="","",IF(AW816="Y",BM816&amp;"",AY816&amp;""))</f>
        <v/>
      </c>
      <c r="D816" s="0" t="str">
        <f aca="false">IF($A816="","",IF(AW816="Y",BN816&amp;"",AZ816&amp;""))</f>
        <v/>
      </c>
      <c r="E816" s="0" t="str">
        <f aca="false">IF($A816="","",IF(AW816="Y",BO816&amp;"",BA816&amp;""))</f>
        <v/>
      </c>
      <c r="F816" s="0" t="str">
        <f aca="false">IF($A816="","",IF(AW816="Y",BP816&amp;"",BB816&amp;""))</f>
        <v/>
      </c>
      <c r="G816" s="0" t="str">
        <f aca="false">IF($A816="","",IF(AW816="Y",BQ816&amp;"",BC816&amp;""))</f>
        <v/>
      </c>
      <c r="H816" s="0" t="str">
        <f aca="false">IF($A816="","",IF(AW816="Y",BR816&amp;"",BD816&amp;""))</f>
        <v/>
      </c>
      <c r="I816" s="0" t="str">
        <f aca="false">IF($A816="","",IF(R816="Y","warm-intro",IF(H816="verified","email",IF(C816&lt;&gt;"","linkedin",CB816&amp;""))))</f>
        <v/>
      </c>
      <c r="J816" s="0" t="str">
        <f aca="false">IF($A816="","",IF(CN816="pass",ROUND(N(EM816)+N(EN816)+N(EO816)+N(EP816)+N(EQ816)+N(ER816),1),0))</f>
        <v/>
      </c>
      <c r="K816" s="0" t="str">
        <f aca="false">IF($A816="","",IF(CN816&lt;&gt;"pass",CA816&amp;"",CA816&amp;"; "&amp;IF(AW816="Y",BZ816&amp;"",BL816&amp;"")&amp;IF(R816="Y","; known to the founder (+15)","")&amp;"."))</f>
        <v/>
      </c>
      <c r="R816" s="5"/>
      <c r="U816" s="5"/>
      <c r="Y816" s="0" t="str">
        <f aca="false">IF(FX816&lt;&gt;"Y","",COUNTIFS($FX$2:$FX$1000,"Y",$J$2:$J$1000,"&gt;"&amp;J816)+COUNTIFS($FX$2:$FX$1000,"Y",$J$2:$J$1000,J816,$GD$2:$GD$1000,"&lt;"&amp;GD816)+1)</f>
        <v/>
      </c>
      <c r="AB816" s="0" t="str">
        <f aca="false">IF($A816="","",IF(AW816="Y",BY816&amp;"",BK816&amp;""))</f>
        <v/>
      </c>
      <c r="AC816" s="0" t="str">
        <f aca="false">IF($A816="","",IF(AW816="Y",BS816&amp;"",BE816&amp;""))</f>
        <v/>
      </c>
      <c r="AD816" s="0" t="str">
        <f aca="false">IF($A816="","",IF(AW816="Y",BT816&amp;"",BF816&amp;""))</f>
        <v/>
      </c>
      <c r="AE816" s="0" t="str">
        <f aca="false">IF($A816="","",IF(AW816="Y",BU816&amp;"",BG816&amp;""))</f>
        <v/>
      </c>
      <c r="AF816" s="0" t="str">
        <f aca="false">IF($A816="","",IF(AW816="Y",BV816&amp;"",BH816&amp;""))</f>
        <v/>
      </c>
      <c r="AG816" s="0" t="str">
        <f aca="false">IF($A816="","",IF(AW816="Y",BW816&amp;"",BI816&amp;""))</f>
        <v/>
      </c>
      <c r="AH816" s="0" t="str">
        <f aca="false">IF($A816="","",IF(AW816="Y",BX816&amp;"",BJ816&amp;""))</f>
        <v/>
      </c>
      <c r="AQ816" s="5"/>
      <c r="AT816" s="0" t="str">
        <f aca="false">IF($A816="","",IF(AND(CN816="pass",AQ816&lt;&gt;"Y",C816&lt;&gt;"",OR(AX816&lt;&gt;"Y",AV816="Y")),"Y","N"))</f>
        <v/>
      </c>
      <c r="AU816" s="0" t="str">
        <f aca="false">IF($A816="","",_xlfn.TEXTJOIN("; ",TRUE(),IF(CN816&lt;&gt;"pass","gated out",""),IF(AQ816="Y","on hold: "&amp;AR816,""),IF(C816="","no contact named on an opened page",""),IF(AND(AX816="Y",AV816&lt;&gt;"Y"),"Tuesday estimate band "&amp;L816&amp;": founder's call","")))</f>
        <v/>
      </c>
      <c r="BC816" s="0" t="str">
        <f aca="false">IF($A816="","",IFERROR(INDEX(Enrichment!$A$2:$GZ$2000,MATCH($A816,INDEX(Enrichment!$A$2:$GZ$2000,0,MATCH("row_id",Enrichment!$A$1:$GZ$1,0)),0),MATCH("work_email",Enrichment!$A$1:$GZ$1,0))&amp;"",""))</f>
        <v/>
      </c>
      <c r="BD816" s="0" t="str">
        <f aca="false">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Q816" s="0" t="str">
        <f aca="false">IF($A816="","",IFERROR(INDEX(Enrichment!$A$2:$GZ$2000,MATCH($A816,INDEX(Enrichment!$A$2:$GZ$2000,0,MATCH("row_id",Enrichment!$A$1:$GZ$1,0)),0),MATCH("backup_work_email",Enrichment!$A$1:$GZ$1,0))&amp;"",""))</f>
        <v/>
      </c>
      <c r="BR816" s="0" t="str">
        <f aca="false">IF($A816="","",IF(BQ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EQ816" s="0" t="str">
        <f aca="false">IF($A816="","",IF(AH816="exact",10,IF(AH816="adjacent",5,0)))</f>
        <v/>
      </c>
      <c r="ER816" s="0" t="str">
        <f aca="false">IF($A816="","",IF(R816="Y",15,0))</f>
        <v/>
      </c>
      <c r="FS816" s="0" t="str">
        <f aca="false">IF($A816="","",IF(ISNUMBER(MATCH(U816,{"queued","contacted","replied","call_booked","call_done","yes_in_principle","materials_sent"},0)),"Y","N"))</f>
        <v/>
      </c>
      <c r="FT816" s="0" t="str">
        <f aca="false">IF($A816="","",IF(OR(T816="Y",U816="do_not_contact",AS816&amp;""&lt;&gt;""),"Y","N"))</f>
        <v/>
      </c>
      <c r="FU816" s="0" t="str">
        <f aca="false">IF($A816="","",IF(AP816&amp;""&lt;&gt;"",AP816&amp;"",$A816))</f>
        <v/>
      </c>
      <c r="FV816" s="0" t="str">
        <f aca="false">IF($A816="","",IF(COUNTIFS($FU$2:$FU$1000,FU816,$FS$2:$FS$1000,"Y")+COUNTIFS($FU$2:$FU$1000,FU816,$FT$2:$FT$1000,"Y")&gt;0,"Y","N"))</f>
        <v/>
      </c>
      <c r="FW816" s="0" t="str">
        <f aca="false">IF($A816="","",IF(AND(U816="new",T816="N",FT816="N",AT816="Y",FV816="N"),"Y","N"))</f>
        <v/>
      </c>
      <c r="FX816" s="0" t="str">
        <f aca="false">IF($A816="","",IF(FW816&lt;&gt;"Y","N",IF(COUNTIFS($FU$2:$FU$1000,FU816,$FW$2:$FW$1000,"Y",$J$2:$J$1000,"&gt;"&amp;J816)+COUNTIFS($FU$2:$FU$1000,FU816,$FW$2:$FW$1000,"Y",$J$2:$J$1000,J816,$GD$2:$GD$1000,"&lt;"&amp;GD816)=0,"Y","N")))</f>
        <v/>
      </c>
      <c r="FY816" s="0" t="str">
        <f aca="false">IF($A816="","",IF(AND(FW816="Y",FX816="Y",Y816&amp;""&lt;&gt;""),IF(Y816&lt;=10,"Y","N"),"N"))</f>
        <v/>
      </c>
      <c r="FZ816" s="0" t="str">
        <f aca="false">IF(FY816="Y",Y816,"")</f>
        <v/>
      </c>
      <c r="GA816" s="0" t="str">
        <f aca="false">IF($A816="","",IF(AND(I816="walk-in",CN816="pass",U816="new",FT816="N",FV816="N",AQ816&lt;&gt;"Y"),"Y","N"))</f>
        <v/>
      </c>
      <c r="GB816" s="0" t="str">
        <f aca="false">IF(GA816&lt;&gt;"Y","",IF(COUNTIFS($GA$2:$GA$1000,"Y",$J$2:$J$1000,"&gt;"&amp;J816)+COUNTIFS($GA$2:$GA$1000,"Y",$J$2:$J$1000,J816,$GD$2:$GD$1000,"&lt;"&amp;GD816)+1&lt;=25,COUNTIFS($GA$2:$GA$1000,"Y",$J$2:$J$1000,"&gt;"&amp;J816)+COUNTIFS($GA$2:$GA$1000,"Y",$J$2:$J$1000,J816,$GD$2:$GD$1000,"&lt;"&amp;GD816)+1,""))</f>
        <v/>
      </c>
      <c r="GC816" s="0" t="str">
        <f aca="false">IF(AND(_xlfn.ISFORMULA(C816),_xlfn.ISFORMULA(J816)),"Y","N")</f>
        <v>Y</v>
      </c>
      <c r="GD816" s="0" t="n">
        <f aca="false">ROW()-1</f>
        <v>815</v>
      </c>
    </row>
    <row r="817" customFormat="false" ht="15" hidden="false" customHeight="false" outlineLevel="0" collapsed="false">
      <c r="C817" s="0" t="str">
        <f aca="false">IF($A817="","",IF(AW817="Y",BM817&amp;"",AY817&amp;""))</f>
        <v/>
      </c>
      <c r="D817" s="0" t="str">
        <f aca="false">IF($A817="","",IF(AW817="Y",BN817&amp;"",AZ817&amp;""))</f>
        <v/>
      </c>
      <c r="E817" s="0" t="str">
        <f aca="false">IF($A817="","",IF(AW817="Y",BO817&amp;"",BA817&amp;""))</f>
        <v/>
      </c>
      <c r="F817" s="0" t="str">
        <f aca="false">IF($A817="","",IF(AW817="Y",BP817&amp;"",BB817&amp;""))</f>
        <v/>
      </c>
      <c r="G817" s="0" t="str">
        <f aca="false">IF($A817="","",IF(AW817="Y",BQ817&amp;"",BC817&amp;""))</f>
        <v/>
      </c>
      <c r="H817" s="0" t="str">
        <f aca="false">IF($A817="","",IF(AW817="Y",BR817&amp;"",BD817&amp;""))</f>
        <v/>
      </c>
      <c r="I817" s="0" t="str">
        <f aca="false">IF($A817="","",IF(R817="Y","warm-intro",IF(H817="verified","email",IF(C817&lt;&gt;"","linkedin",CB817&amp;""))))</f>
        <v/>
      </c>
      <c r="J817" s="0" t="str">
        <f aca="false">IF($A817="","",IF(CN817="pass",ROUND(N(EM817)+N(EN817)+N(EO817)+N(EP817)+N(EQ817)+N(ER817),1),0))</f>
        <v/>
      </c>
      <c r="K817" s="0" t="str">
        <f aca="false">IF($A817="","",IF(CN817&lt;&gt;"pass",CA817&amp;"",CA817&amp;"; "&amp;IF(AW817="Y",BZ817&amp;"",BL817&amp;"")&amp;IF(R817="Y","; known to the founder (+15)","")&amp;"."))</f>
        <v/>
      </c>
      <c r="R817" s="5"/>
      <c r="U817" s="5"/>
      <c r="Y817" s="0" t="str">
        <f aca="false">IF(FX817&lt;&gt;"Y","",COUNTIFS($FX$2:$FX$1000,"Y",$J$2:$J$1000,"&gt;"&amp;J817)+COUNTIFS($FX$2:$FX$1000,"Y",$J$2:$J$1000,J817,$GD$2:$GD$1000,"&lt;"&amp;GD817)+1)</f>
        <v/>
      </c>
      <c r="AB817" s="0" t="str">
        <f aca="false">IF($A817="","",IF(AW817="Y",BY817&amp;"",BK817&amp;""))</f>
        <v/>
      </c>
      <c r="AC817" s="0" t="str">
        <f aca="false">IF($A817="","",IF(AW817="Y",BS817&amp;"",BE817&amp;""))</f>
        <v/>
      </c>
      <c r="AD817" s="0" t="str">
        <f aca="false">IF($A817="","",IF(AW817="Y",BT817&amp;"",BF817&amp;""))</f>
        <v/>
      </c>
      <c r="AE817" s="0" t="str">
        <f aca="false">IF($A817="","",IF(AW817="Y",BU817&amp;"",BG817&amp;""))</f>
        <v/>
      </c>
      <c r="AF817" s="0" t="str">
        <f aca="false">IF($A817="","",IF(AW817="Y",BV817&amp;"",BH817&amp;""))</f>
        <v/>
      </c>
      <c r="AG817" s="0" t="str">
        <f aca="false">IF($A817="","",IF(AW817="Y",BW817&amp;"",BI817&amp;""))</f>
        <v/>
      </c>
      <c r="AH817" s="0" t="str">
        <f aca="false">IF($A817="","",IF(AW817="Y",BX817&amp;"",BJ817&amp;""))</f>
        <v/>
      </c>
      <c r="AQ817" s="5"/>
      <c r="AT817" s="0" t="str">
        <f aca="false">IF($A817="","",IF(AND(CN817="pass",AQ817&lt;&gt;"Y",C817&lt;&gt;"",OR(AX817&lt;&gt;"Y",AV817="Y")),"Y","N"))</f>
        <v/>
      </c>
      <c r="AU817" s="0" t="str">
        <f aca="false">IF($A817="","",_xlfn.TEXTJOIN("; ",TRUE(),IF(CN817&lt;&gt;"pass","gated out",""),IF(AQ817="Y","on hold: "&amp;AR817,""),IF(C817="","no contact named on an opened page",""),IF(AND(AX817="Y",AV817&lt;&gt;"Y"),"Tuesday estimate band "&amp;L817&amp;": founder's call","")))</f>
        <v/>
      </c>
      <c r="BC817" s="0" t="str">
        <f aca="false">IF($A817="","",IFERROR(INDEX(Enrichment!$A$2:$GZ$2000,MATCH($A817,INDEX(Enrichment!$A$2:$GZ$2000,0,MATCH("row_id",Enrichment!$A$1:$GZ$1,0)),0),MATCH("work_email",Enrichment!$A$1:$GZ$1,0))&amp;"",""))</f>
        <v/>
      </c>
      <c r="BD817" s="0" t="str">
        <f aca="false">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Q817" s="0" t="str">
        <f aca="false">IF($A817="","",IFERROR(INDEX(Enrichment!$A$2:$GZ$2000,MATCH($A817,INDEX(Enrichment!$A$2:$GZ$2000,0,MATCH("row_id",Enrichment!$A$1:$GZ$1,0)),0),MATCH("backup_work_email",Enrichment!$A$1:$GZ$1,0))&amp;"",""))</f>
        <v/>
      </c>
      <c r="BR817" s="0" t="str">
        <f aca="false">IF($A817="","",IF(BQ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EQ817" s="0" t="str">
        <f aca="false">IF($A817="","",IF(AH817="exact",10,IF(AH817="adjacent",5,0)))</f>
        <v/>
      </c>
      <c r="ER817" s="0" t="str">
        <f aca="false">IF($A817="","",IF(R817="Y",15,0))</f>
        <v/>
      </c>
      <c r="FS817" s="0" t="str">
        <f aca="false">IF($A817="","",IF(ISNUMBER(MATCH(U817,{"queued","contacted","replied","call_booked","call_done","yes_in_principle","materials_sent"},0)),"Y","N"))</f>
        <v/>
      </c>
      <c r="FT817" s="0" t="str">
        <f aca="false">IF($A817="","",IF(OR(T817="Y",U817="do_not_contact",AS817&amp;""&lt;&gt;""),"Y","N"))</f>
        <v/>
      </c>
      <c r="FU817" s="0" t="str">
        <f aca="false">IF($A817="","",IF(AP817&amp;""&lt;&gt;"",AP817&amp;"",$A817))</f>
        <v/>
      </c>
      <c r="FV817" s="0" t="str">
        <f aca="false">IF($A817="","",IF(COUNTIFS($FU$2:$FU$1000,FU817,$FS$2:$FS$1000,"Y")+COUNTIFS($FU$2:$FU$1000,FU817,$FT$2:$FT$1000,"Y")&gt;0,"Y","N"))</f>
        <v/>
      </c>
      <c r="FW817" s="0" t="str">
        <f aca="false">IF($A817="","",IF(AND(U817="new",T817="N",FT817="N",AT817="Y",FV817="N"),"Y","N"))</f>
        <v/>
      </c>
      <c r="FX817" s="0" t="str">
        <f aca="false">IF($A817="","",IF(FW817&lt;&gt;"Y","N",IF(COUNTIFS($FU$2:$FU$1000,FU817,$FW$2:$FW$1000,"Y",$J$2:$J$1000,"&gt;"&amp;J817)+COUNTIFS($FU$2:$FU$1000,FU817,$FW$2:$FW$1000,"Y",$J$2:$J$1000,J817,$GD$2:$GD$1000,"&lt;"&amp;GD817)=0,"Y","N")))</f>
        <v/>
      </c>
      <c r="FY817" s="0" t="str">
        <f aca="false">IF($A817="","",IF(AND(FW817="Y",FX817="Y",Y817&amp;""&lt;&gt;""),IF(Y817&lt;=10,"Y","N"),"N"))</f>
        <v/>
      </c>
      <c r="FZ817" s="0" t="str">
        <f aca="false">IF(FY817="Y",Y817,"")</f>
        <v/>
      </c>
      <c r="GA817" s="0" t="str">
        <f aca="false">IF($A817="","",IF(AND(I817="walk-in",CN817="pass",U817="new",FT817="N",FV817="N",AQ817&lt;&gt;"Y"),"Y","N"))</f>
        <v/>
      </c>
      <c r="GB817" s="0" t="str">
        <f aca="false">IF(GA817&lt;&gt;"Y","",IF(COUNTIFS($GA$2:$GA$1000,"Y",$J$2:$J$1000,"&gt;"&amp;J817)+COUNTIFS($GA$2:$GA$1000,"Y",$J$2:$J$1000,J817,$GD$2:$GD$1000,"&lt;"&amp;GD817)+1&lt;=25,COUNTIFS($GA$2:$GA$1000,"Y",$J$2:$J$1000,"&gt;"&amp;J817)+COUNTIFS($GA$2:$GA$1000,"Y",$J$2:$J$1000,J817,$GD$2:$GD$1000,"&lt;"&amp;GD817)+1,""))</f>
        <v/>
      </c>
      <c r="GC817" s="0" t="str">
        <f aca="false">IF(AND(_xlfn.ISFORMULA(C817),_xlfn.ISFORMULA(J817)),"Y","N")</f>
        <v>Y</v>
      </c>
      <c r="GD817" s="0" t="n">
        <f aca="false">ROW()-1</f>
        <v>816</v>
      </c>
    </row>
    <row r="818" customFormat="false" ht="15" hidden="false" customHeight="false" outlineLevel="0" collapsed="false">
      <c r="C818" s="0" t="str">
        <f aca="false">IF($A818="","",IF(AW818="Y",BM818&amp;"",AY818&amp;""))</f>
        <v/>
      </c>
      <c r="D818" s="0" t="str">
        <f aca="false">IF($A818="","",IF(AW818="Y",BN818&amp;"",AZ818&amp;""))</f>
        <v/>
      </c>
      <c r="E818" s="0" t="str">
        <f aca="false">IF($A818="","",IF(AW818="Y",BO818&amp;"",BA818&amp;""))</f>
        <v/>
      </c>
      <c r="F818" s="0" t="str">
        <f aca="false">IF($A818="","",IF(AW818="Y",BP818&amp;"",BB818&amp;""))</f>
        <v/>
      </c>
      <c r="G818" s="0" t="str">
        <f aca="false">IF($A818="","",IF(AW818="Y",BQ818&amp;"",BC818&amp;""))</f>
        <v/>
      </c>
      <c r="H818" s="0" t="str">
        <f aca="false">IF($A818="","",IF(AW818="Y",BR818&amp;"",BD818&amp;""))</f>
        <v/>
      </c>
      <c r="I818" s="0" t="str">
        <f aca="false">IF($A818="","",IF(R818="Y","warm-intro",IF(H818="verified","email",IF(C818&lt;&gt;"","linkedin",CB818&amp;""))))</f>
        <v/>
      </c>
      <c r="J818" s="0" t="str">
        <f aca="false">IF($A818="","",IF(CN818="pass",ROUND(N(EM818)+N(EN818)+N(EO818)+N(EP818)+N(EQ818)+N(ER818),1),0))</f>
        <v/>
      </c>
      <c r="K818" s="0" t="str">
        <f aca="false">IF($A818="","",IF(CN818&lt;&gt;"pass",CA818&amp;"",CA818&amp;"; "&amp;IF(AW818="Y",BZ818&amp;"",BL818&amp;"")&amp;IF(R818="Y","; known to the founder (+15)","")&amp;"."))</f>
        <v/>
      </c>
      <c r="R818" s="5"/>
      <c r="U818" s="5"/>
      <c r="Y818" s="0" t="str">
        <f aca="false">IF(FX818&lt;&gt;"Y","",COUNTIFS($FX$2:$FX$1000,"Y",$J$2:$J$1000,"&gt;"&amp;J818)+COUNTIFS($FX$2:$FX$1000,"Y",$J$2:$J$1000,J818,$GD$2:$GD$1000,"&lt;"&amp;GD818)+1)</f>
        <v/>
      </c>
      <c r="AB818" s="0" t="str">
        <f aca="false">IF($A818="","",IF(AW818="Y",BY818&amp;"",BK818&amp;""))</f>
        <v/>
      </c>
      <c r="AC818" s="0" t="str">
        <f aca="false">IF($A818="","",IF(AW818="Y",BS818&amp;"",BE818&amp;""))</f>
        <v/>
      </c>
      <c r="AD818" s="0" t="str">
        <f aca="false">IF($A818="","",IF(AW818="Y",BT818&amp;"",BF818&amp;""))</f>
        <v/>
      </c>
      <c r="AE818" s="0" t="str">
        <f aca="false">IF($A818="","",IF(AW818="Y",BU818&amp;"",BG818&amp;""))</f>
        <v/>
      </c>
      <c r="AF818" s="0" t="str">
        <f aca="false">IF($A818="","",IF(AW818="Y",BV818&amp;"",BH818&amp;""))</f>
        <v/>
      </c>
      <c r="AG818" s="0" t="str">
        <f aca="false">IF($A818="","",IF(AW818="Y",BW818&amp;"",BI818&amp;""))</f>
        <v/>
      </c>
      <c r="AH818" s="0" t="str">
        <f aca="false">IF($A818="","",IF(AW818="Y",BX818&amp;"",BJ818&amp;""))</f>
        <v/>
      </c>
      <c r="AQ818" s="5"/>
      <c r="AT818" s="0" t="str">
        <f aca="false">IF($A818="","",IF(AND(CN818="pass",AQ818&lt;&gt;"Y",C818&lt;&gt;"",OR(AX818&lt;&gt;"Y",AV818="Y")),"Y","N"))</f>
        <v/>
      </c>
      <c r="AU818" s="0" t="str">
        <f aca="false">IF($A818="","",_xlfn.TEXTJOIN("; ",TRUE(),IF(CN818&lt;&gt;"pass","gated out",""),IF(AQ818="Y","on hold: "&amp;AR818,""),IF(C818="","no contact named on an opened page",""),IF(AND(AX818="Y",AV818&lt;&gt;"Y"),"Tuesday estimate band "&amp;L818&amp;": founder's call","")))</f>
        <v/>
      </c>
      <c r="BC818" s="0" t="str">
        <f aca="false">IF($A818="","",IFERROR(INDEX(Enrichment!$A$2:$GZ$2000,MATCH($A818,INDEX(Enrichment!$A$2:$GZ$2000,0,MATCH("row_id",Enrichment!$A$1:$GZ$1,0)),0),MATCH("work_email",Enrichment!$A$1:$GZ$1,0))&amp;"",""))</f>
        <v/>
      </c>
      <c r="BD818" s="0" t="str">
        <f aca="false">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Q818" s="0" t="str">
        <f aca="false">IF($A818="","",IFERROR(INDEX(Enrichment!$A$2:$GZ$2000,MATCH($A818,INDEX(Enrichment!$A$2:$GZ$2000,0,MATCH("row_id",Enrichment!$A$1:$GZ$1,0)),0),MATCH("backup_work_email",Enrichment!$A$1:$GZ$1,0))&amp;"",""))</f>
        <v/>
      </c>
      <c r="BR818" s="0" t="str">
        <f aca="false">IF($A818="","",IF(BQ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EQ818" s="0" t="str">
        <f aca="false">IF($A818="","",IF(AH818="exact",10,IF(AH818="adjacent",5,0)))</f>
        <v/>
      </c>
      <c r="ER818" s="0" t="str">
        <f aca="false">IF($A818="","",IF(R818="Y",15,0))</f>
        <v/>
      </c>
      <c r="FS818" s="0" t="str">
        <f aca="false">IF($A818="","",IF(ISNUMBER(MATCH(U818,{"queued","contacted","replied","call_booked","call_done","yes_in_principle","materials_sent"},0)),"Y","N"))</f>
        <v/>
      </c>
      <c r="FT818" s="0" t="str">
        <f aca="false">IF($A818="","",IF(OR(T818="Y",U818="do_not_contact",AS818&amp;""&lt;&gt;""),"Y","N"))</f>
        <v/>
      </c>
      <c r="FU818" s="0" t="str">
        <f aca="false">IF($A818="","",IF(AP818&amp;""&lt;&gt;"",AP818&amp;"",$A818))</f>
        <v/>
      </c>
      <c r="FV818" s="0" t="str">
        <f aca="false">IF($A818="","",IF(COUNTIFS($FU$2:$FU$1000,FU818,$FS$2:$FS$1000,"Y")+COUNTIFS($FU$2:$FU$1000,FU818,$FT$2:$FT$1000,"Y")&gt;0,"Y","N"))</f>
        <v/>
      </c>
      <c r="FW818" s="0" t="str">
        <f aca="false">IF($A818="","",IF(AND(U818="new",T818="N",FT818="N",AT818="Y",FV818="N"),"Y","N"))</f>
        <v/>
      </c>
      <c r="FX818" s="0" t="str">
        <f aca="false">IF($A818="","",IF(FW818&lt;&gt;"Y","N",IF(COUNTIFS($FU$2:$FU$1000,FU818,$FW$2:$FW$1000,"Y",$J$2:$J$1000,"&gt;"&amp;J818)+COUNTIFS($FU$2:$FU$1000,FU818,$FW$2:$FW$1000,"Y",$J$2:$J$1000,J818,$GD$2:$GD$1000,"&lt;"&amp;GD818)=0,"Y","N")))</f>
        <v/>
      </c>
      <c r="FY818" s="0" t="str">
        <f aca="false">IF($A818="","",IF(AND(FW818="Y",FX818="Y",Y818&amp;""&lt;&gt;""),IF(Y818&lt;=10,"Y","N"),"N"))</f>
        <v/>
      </c>
      <c r="FZ818" s="0" t="str">
        <f aca="false">IF(FY818="Y",Y818,"")</f>
        <v/>
      </c>
      <c r="GA818" s="0" t="str">
        <f aca="false">IF($A818="","",IF(AND(I818="walk-in",CN818="pass",U818="new",FT818="N",FV818="N",AQ818&lt;&gt;"Y"),"Y","N"))</f>
        <v/>
      </c>
      <c r="GB818" s="0" t="str">
        <f aca="false">IF(GA818&lt;&gt;"Y","",IF(COUNTIFS($GA$2:$GA$1000,"Y",$J$2:$J$1000,"&gt;"&amp;J818)+COUNTIFS($GA$2:$GA$1000,"Y",$J$2:$J$1000,J818,$GD$2:$GD$1000,"&lt;"&amp;GD818)+1&lt;=25,COUNTIFS($GA$2:$GA$1000,"Y",$J$2:$J$1000,"&gt;"&amp;J818)+COUNTIFS($GA$2:$GA$1000,"Y",$J$2:$J$1000,J818,$GD$2:$GD$1000,"&lt;"&amp;GD818)+1,""))</f>
        <v/>
      </c>
      <c r="GC818" s="0" t="str">
        <f aca="false">IF(AND(_xlfn.ISFORMULA(C818),_xlfn.ISFORMULA(J818)),"Y","N")</f>
        <v>Y</v>
      </c>
      <c r="GD818" s="0" t="n">
        <f aca="false">ROW()-1</f>
        <v>817</v>
      </c>
    </row>
    <row r="819" customFormat="false" ht="15" hidden="false" customHeight="false" outlineLevel="0" collapsed="false">
      <c r="C819" s="0" t="str">
        <f aca="false">IF($A819="","",IF(AW819="Y",BM819&amp;"",AY819&amp;""))</f>
        <v/>
      </c>
      <c r="D819" s="0" t="str">
        <f aca="false">IF($A819="","",IF(AW819="Y",BN819&amp;"",AZ819&amp;""))</f>
        <v/>
      </c>
      <c r="E819" s="0" t="str">
        <f aca="false">IF($A819="","",IF(AW819="Y",BO819&amp;"",BA819&amp;""))</f>
        <v/>
      </c>
      <c r="F819" s="0" t="str">
        <f aca="false">IF($A819="","",IF(AW819="Y",BP819&amp;"",BB819&amp;""))</f>
        <v/>
      </c>
      <c r="G819" s="0" t="str">
        <f aca="false">IF($A819="","",IF(AW819="Y",BQ819&amp;"",BC819&amp;""))</f>
        <v/>
      </c>
      <c r="H819" s="0" t="str">
        <f aca="false">IF($A819="","",IF(AW819="Y",BR819&amp;"",BD819&amp;""))</f>
        <v/>
      </c>
      <c r="I819" s="0" t="str">
        <f aca="false">IF($A819="","",IF(R819="Y","warm-intro",IF(H819="verified","email",IF(C819&lt;&gt;"","linkedin",CB819&amp;""))))</f>
        <v/>
      </c>
      <c r="J819" s="0" t="str">
        <f aca="false">IF($A819="","",IF(CN819="pass",ROUND(N(EM819)+N(EN819)+N(EO819)+N(EP819)+N(EQ819)+N(ER819),1),0))</f>
        <v/>
      </c>
      <c r="K819" s="0" t="str">
        <f aca="false">IF($A819="","",IF(CN819&lt;&gt;"pass",CA819&amp;"",CA819&amp;"; "&amp;IF(AW819="Y",BZ819&amp;"",BL819&amp;"")&amp;IF(R819="Y","; known to the founder (+15)","")&amp;"."))</f>
        <v/>
      </c>
      <c r="R819" s="5"/>
      <c r="U819" s="5"/>
      <c r="Y819" s="0" t="str">
        <f aca="false">IF(FX819&lt;&gt;"Y","",COUNTIFS($FX$2:$FX$1000,"Y",$J$2:$J$1000,"&gt;"&amp;J819)+COUNTIFS($FX$2:$FX$1000,"Y",$J$2:$J$1000,J819,$GD$2:$GD$1000,"&lt;"&amp;GD819)+1)</f>
        <v/>
      </c>
      <c r="AB819" s="0" t="str">
        <f aca="false">IF($A819="","",IF(AW819="Y",BY819&amp;"",BK819&amp;""))</f>
        <v/>
      </c>
      <c r="AC819" s="0" t="str">
        <f aca="false">IF($A819="","",IF(AW819="Y",BS819&amp;"",BE819&amp;""))</f>
        <v/>
      </c>
      <c r="AD819" s="0" t="str">
        <f aca="false">IF($A819="","",IF(AW819="Y",BT819&amp;"",BF819&amp;""))</f>
        <v/>
      </c>
      <c r="AE819" s="0" t="str">
        <f aca="false">IF($A819="","",IF(AW819="Y",BU819&amp;"",BG819&amp;""))</f>
        <v/>
      </c>
      <c r="AF819" s="0" t="str">
        <f aca="false">IF($A819="","",IF(AW819="Y",BV819&amp;"",BH819&amp;""))</f>
        <v/>
      </c>
      <c r="AG819" s="0" t="str">
        <f aca="false">IF($A819="","",IF(AW819="Y",BW819&amp;"",BI819&amp;""))</f>
        <v/>
      </c>
      <c r="AH819" s="0" t="str">
        <f aca="false">IF($A819="","",IF(AW819="Y",BX819&amp;"",BJ819&amp;""))</f>
        <v/>
      </c>
      <c r="AQ819" s="5"/>
      <c r="AT819" s="0" t="str">
        <f aca="false">IF($A819="","",IF(AND(CN819="pass",AQ819&lt;&gt;"Y",C819&lt;&gt;"",OR(AX819&lt;&gt;"Y",AV819="Y")),"Y","N"))</f>
        <v/>
      </c>
      <c r="AU819" s="0" t="str">
        <f aca="false">IF($A819="","",_xlfn.TEXTJOIN("; ",TRUE(),IF(CN819&lt;&gt;"pass","gated out",""),IF(AQ819="Y","on hold: "&amp;AR819,""),IF(C819="","no contact named on an opened page",""),IF(AND(AX819="Y",AV819&lt;&gt;"Y"),"Tuesday estimate band "&amp;L819&amp;": founder's call","")))</f>
        <v/>
      </c>
      <c r="BC819" s="0" t="str">
        <f aca="false">IF($A819="","",IFERROR(INDEX(Enrichment!$A$2:$GZ$2000,MATCH($A819,INDEX(Enrichment!$A$2:$GZ$2000,0,MATCH("row_id",Enrichment!$A$1:$GZ$1,0)),0),MATCH("work_email",Enrichment!$A$1:$GZ$1,0))&amp;"",""))</f>
        <v/>
      </c>
      <c r="BD819" s="0" t="str">
        <f aca="false">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Q819" s="0" t="str">
        <f aca="false">IF($A819="","",IFERROR(INDEX(Enrichment!$A$2:$GZ$2000,MATCH($A819,INDEX(Enrichment!$A$2:$GZ$2000,0,MATCH("row_id",Enrichment!$A$1:$GZ$1,0)),0),MATCH("backup_work_email",Enrichment!$A$1:$GZ$1,0))&amp;"",""))</f>
        <v/>
      </c>
      <c r="BR819" s="0" t="str">
        <f aca="false">IF($A819="","",IF(BQ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EQ819" s="0" t="str">
        <f aca="false">IF($A819="","",IF(AH819="exact",10,IF(AH819="adjacent",5,0)))</f>
        <v/>
      </c>
      <c r="ER819" s="0" t="str">
        <f aca="false">IF($A819="","",IF(R819="Y",15,0))</f>
        <v/>
      </c>
      <c r="FS819" s="0" t="str">
        <f aca="false">IF($A819="","",IF(ISNUMBER(MATCH(U819,{"queued","contacted","replied","call_booked","call_done","yes_in_principle","materials_sent"},0)),"Y","N"))</f>
        <v/>
      </c>
      <c r="FT819" s="0" t="str">
        <f aca="false">IF($A819="","",IF(OR(T819="Y",U819="do_not_contact",AS819&amp;""&lt;&gt;""),"Y","N"))</f>
        <v/>
      </c>
      <c r="FU819" s="0" t="str">
        <f aca="false">IF($A819="","",IF(AP819&amp;""&lt;&gt;"",AP819&amp;"",$A819))</f>
        <v/>
      </c>
      <c r="FV819" s="0" t="str">
        <f aca="false">IF($A819="","",IF(COUNTIFS($FU$2:$FU$1000,FU819,$FS$2:$FS$1000,"Y")+COUNTIFS($FU$2:$FU$1000,FU819,$FT$2:$FT$1000,"Y")&gt;0,"Y","N"))</f>
        <v/>
      </c>
      <c r="FW819" s="0" t="str">
        <f aca="false">IF($A819="","",IF(AND(U819="new",T819="N",FT819="N",AT819="Y",FV819="N"),"Y","N"))</f>
        <v/>
      </c>
      <c r="FX819" s="0" t="str">
        <f aca="false">IF($A819="","",IF(FW819&lt;&gt;"Y","N",IF(COUNTIFS($FU$2:$FU$1000,FU819,$FW$2:$FW$1000,"Y",$J$2:$J$1000,"&gt;"&amp;J819)+COUNTIFS($FU$2:$FU$1000,FU819,$FW$2:$FW$1000,"Y",$J$2:$J$1000,J819,$GD$2:$GD$1000,"&lt;"&amp;GD819)=0,"Y","N")))</f>
        <v/>
      </c>
      <c r="FY819" s="0" t="str">
        <f aca="false">IF($A819="","",IF(AND(FW819="Y",FX819="Y",Y819&amp;""&lt;&gt;""),IF(Y819&lt;=10,"Y","N"),"N"))</f>
        <v/>
      </c>
      <c r="FZ819" s="0" t="str">
        <f aca="false">IF(FY819="Y",Y819,"")</f>
        <v/>
      </c>
      <c r="GA819" s="0" t="str">
        <f aca="false">IF($A819="","",IF(AND(I819="walk-in",CN819="pass",U819="new",FT819="N",FV819="N",AQ819&lt;&gt;"Y"),"Y","N"))</f>
        <v/>
      </c>
      <c r="GB819" s="0" t="str">
        <f aca="false">IF(GA819&lt;&gt;"Y","",IF(COUNTIFS($GA$2:$GA$1000,"Y",$J$2:$J$1000,"&gt;"&amp;J819)+COUNTIFS($GA$2:$GA$1000,"Y",$J$2:$J$1000,J819,$GD$2:$GD$1000,"&lt;"&amp;GD819)+1&lt;=25,COUNTIFS($GA$2:$GA$1000,"Y",$J$2:$J$1000,"&gt;"&amp;J819)+COUNTIFS($GA$2:$GA$1000,"Y",$J$2:$J$1000,J819,$GD$2:$GD$1000,"&lt;"&amp;GD819)+1,""))</f>
        <v/>
      </c>
      <c r="GC819" s="0" t="str">
        <f aca="false">IF(AND(_xlfn.ISFORMULA(C819),_xlfn.ISFORMULA(J819)),"Y","N")</f>
        <v>Y</v>
      </c>
      <c r="GD819" s="0" t="n">
        <f aca="false">ROW()-1</f>
        <v>818</v>
      </c>
    </row>
    <row r="820" customFormat="false" ht="15" hidden="false" customHeight="false" outlineLevel="0" collapsed="false">
      <c r="C820" s="0" t="str">
        <f aca="false">IF($A820="","",IF(AW820="Y",BM820&amp;"",AY820&amp;""))</f>
        <v/>
      </c>
      <c r="D820" s="0" t="str">
        <f aca="false">IF($A820="","",IF(AW820="Y",BN820&amp;"",AZ820&amp;""))</f>
        <v/>
      </c>
      <c r="E820" s="0" t="str">
        <f aca="false">IF($A820="","",IF(AW820="Y",BO820&amp;"",BA820&amp;""))</f>
        <v/>
      </c>
      <c r="F820" s="0" t="str">
        <f aca="false">IF($A820="","",IF(AW820="Y",BP820&amp;"",BB820&amp;""))</f>
        <v/>
      </c>
      <c r="G820" s="0" t="str">
        <f aca="false">IF($A820="","",IF(AW820="Y",BQ820&amp;"",BC820&amp;""))</f>
        <v/>
      </c>
      <c r="H820" s="0" t="str">
        <f aca="false">IF($A820="","",IF(AW820="Y",BR820&amp;"",BD820&amp;""))</f>
        <v/>
      </c>
      <c r="I820" s="0" t="str">
        <f aca="false">IF($A820="","",IF(R820="Y","warm-intro",IF(H820="verified","email",IF(C820&lt;&gt;"","linkedin",CB820&amp;""))))</f>
        <v/>
      </c>
      <c r="J820" s="0" t="str">
        <f aca="false">IF($A820="","",IF(CN820="pass",ROUND(N(EM820)+N(EN820)+N(EO820)+N(EP820)+N(EQ820)+N(ER820),1),0))</f>
        <v/>
      </c>
      <c r="K820" s="0" t="str">
        <f aca="false">IF($A820="","",IF(CN820&lt;&gt;"pass",CA820&amp;"",CA820&amp;"; "&amp;IF(AW820="Y",BZ820&amp;"",BL820&amp;"")&amp;IF(R820="Y","; known to the founder (+15)","")&amp;"."))</f>
        <v/>
      </c>
      <c r="R820" s="5"/>
      <c r="U820" s="5"/>
      <c r="Y820" s="0" t="str">
        <f aca="false">IF(FX820&lt;&gt;"Y","",COUNTIFS($FX$2:$FX$1000,"Y",$J$2:$J$1000,"&gt;"&amp;J820)+COUNTIFS($FX$2:$FX$1000,"Y",$J$2:$J$1000,J820,$GD$2:$GD$1000,"&lt;"&amp;GD820)+1)</f>
        <v/>
      </c>
      <c r="AB820" s="0" t="str">
        <f aca="false">IF($A820="","",IF(AW820="Y",BY820&amp;"",BK820&amp;""))</f>
        <v/>
      </c>
      <c r="AC820" s="0" t="str">
        <f aca="false">IF($A820="","",IF(AW820="Y",BS820&amp;"",BE820&amp;""))</f>
        <v/>
      </c>
      <c r="AD820" s="0" t="str">
        <f aca="false">IF($A820="","",IF(AW820="Y",BT820&amp;"",BF820&amp;""))</f>
        <v/>
      </c>
      <c r="AE820" s="0" t="str">
        <f aca="false">IF($A820="","",IF(AW820="Y",BU820&amp;"",BG820&amp;""))</f>
        <v/>
      </c>
      <c r="AF820" s="0" t="str">
        <f aca="false">IF($A820="","",IF(AW820="Y",BV820&amp;"",BH820&amp;""))</f>
        <v/>
      </c>
      <c r="AG820" s="0" t="str">
        <f aca="false">IF($A820="","",IF(AW820="Y",BW820&amp;"",BI820&amp;""))</f>
        <v/>
      </c>
      <c r="AH820" s="0" t="str">
        <f aca="false">IF($A820="","",IF(AW820="Y",BX820&amp;"",BJ820&amp;""))</f>
        <v/>
      </c>
      <c r="AQ820" s="5"/>
      <c r="AT820" s="0" t="str">
        <f aca="false">IF($A820="","",IF(AND(CN820="pass",AQ820&lt;&gt;"Y",C820&lt;&gt;"",OR(AX820&lt;&gt;"Y",AV820="Y")),"Y","N"))</f>
        <v/>
      </c>
      <c r="AU820" s="0" t="str">
        <f aca="false">IF($A820="","",_xlfn.TEXTJOIN("; ",TRUE(),IF(CN820&lt;&gt;"pass","gated out",""),IF(AQ820="Y","on hold: "&amp;AR820,""),IF(C820="","no contact named on an opened page",""),IF(AND(AX820="Y",AV820&lt;&gt;"Y"),"Tuesday estimate band "&amp;L820&amp;": founder's call","")))</f>
        <v/>
      </c>
      <c r="BC820" s="0" t="str">
        <f aca="false">IF($A820="","",IFERROR(INDEX(Enrichment!$A$2:$GZ$2000,MATCH($A820,INDEX(Enrichment!$A$2:$GZ$2000,0,MATCH("row_id",Enrichment!$A$1:$GZ$1,0)),0),MATCH("work_email",Enrichment!$A$1:$GZ$1,0))&amp;"",""))</f>
        <v/>
      </c>
      <c r="BD820" s="0" t="str">
        <f aca="false">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Q820" s="0" t="str">
        <f aca="false">IF($A820="","",IFERROR(INDEX(Enrichment!$A$2:$GZ$2000,MATCH($A820,INDEX(Enrichment!$A$2:$GZ$2000,0,MATCH("row_id",Enrichment!$A$1:$GZ$1,0)),0),MATCH("backup_work_email",Enrichment!$A$1:$GZ$1,0))&amp;"",""))</f>
        <v/>
      </c>
      <c r="BR820" s="0" t="str">
        <f aca="false">IF($A820="","",IF(BQ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EQ820" s="0" t="str">
        <f aca="false">IF($A820="","",IF(AH820="exact",10,IF(AH820="adjacent",5,0)))</f>
        <v/>
      </c>
      <c r="ER820" s="0" t="str">
        <f aca="false">IF($A820="","",IF(R820="Y",15,0))</f>
        <v/>
      </c>
      <c r="FS820" s="0" t="str">
        <f aca="false">IF($A820="","",IF(ISNUMBER(MATCH(U820,{"queued","contacted","replied","call_booked","call_done","yes_in_principle","materials_sent"},0)),"Y","N"))</f>
        <v/>
      </c>
      <c r="FT820" s="0" t="str">
        <f aca="false">IF($A820="","",IF(OR(T820="Y",U820="do_not_contact",AS820&amp;""&lt;&gt;""),"Y","N"))</f>
        <v/>
      </c>
      <c r="FU820" s="0" t="str">
        <f aca="false">IF($A820="","",IF(AP820&amp;""&lt;&gt;"",AP820&amp;"",$A820))</f>
        <v/>
      </c>
      <c r="FV820" s="0" t="str">
        <f aca="false">IF($A820="","",IF(COUNTIFS($FU$2:$FU$1000,FU820,$FS$2:$FS$1000,"Y")+COUNTIFS($FU$2:$FU$1000,FU820,$FT$2:$FT$1000,"Y")&gt;0,"Y","N"))</f>
        <v/>
      </c>
      <c r="FW820" s="0" t="str">
        <f aca="false">IF($A820="","",IF(AND(U820="new",T820="N",FT820="N",AT820="Y",FV820="N"),"Y","N"))</f>
        <v/>
      </c>
      <c r="FX820" s="0" t="str">
        <f aca="false">IF($A820="","",IF(FW820&lt;&gt;"Y","N",IF(COUNTIFS($FU$2:$FU$1000,FU820,$FW$2:$FW$1000,"Y",$J$2:$J$1000,"&gt;"&amp;J820)+COUNTIFS($FU$2:$FU$1000,FU820,$FW$2:$FW$1000,"Y",$J$2:$J$1000,J820,$GD$2:$GD$1000,"&lt;"&amp;GD820)=0,"Y","N")))</f>
        <v/>
      </c>
      <c r="FY820" s="0" t="str">
        <f aca="false">IF($A820="","",IF(AND(FW820="Y",FX820="Y",Y820&amp;""&lt;&gt;""),IF(Y820&lt;=10,"Y","N"),"N"))</f>
        <v/>
      </c>
      <c r="FZ820" s="0" t="str">
        <f aca="false">IF(FY820="Y",Y820,"")</f>
        <v/>
      </c>
      <c r="GA820" s="0" t="str">
        <f aca="false">IF($A820="","",IF(AND(I820="walk-in",CN820="pass",U820="new",FT820="N",FV820="N",AQ820&lt;&gt;"Y"),"Y","N"))</f>
        <v/>
      </c>
      <c r="GB820" s="0" t="str">
        <f aca="false">IF(GA820&lt;&gt;"Y","",IF(COUNTIFS($GA$2:$GA$1000,"Y",$J$2:$J$1000,"&gt;"&amp;J820)+COUNTIFS($GA$2:$GA$1000,"Y",$J$2:$J$1000,J820,$GD$2:$GD$1000,"&lt;"&amp;GD820)+1&lt;=25,COUNTIFS($GA$2:$GA$1000,"Y",$J$2:$J$1000,"&gt;"&amp;J820)+COUNTIFS($GA$2:$GA$1000,"Y",$J$2:$J$1000,J820,$GD$2:$GD$1000,"&lt;"&amp;GD820)+1,""))</f>
        <v/>
      </c>
      <c r="GC820" s="0" t="str">
        <f aca="false">IF(AND(_xlfn.ISFORMULA(C820),_xlfn.ISFORMULA(J820)),"Y","N")</f>
        <v>Y</v>
      </c>
      <c r="GD820" s="0" t="n">
        <f aca="false">ROW()-1</f>
        <v>819</v>
      </c>
    </row>
    <row r="821" customFormat="false" ht="15" hidden="false" customHeight="false" outlineLevel="0" collapsed="false">
      <c r="C821" s="0" t="str">
        <f aca="false">IF($A821="","",IF(AW821="Y",BM821&amp;"",AY821&amp;""))</f>
        <v/>
      </c>
      <c r="D821" s="0" t="str">
        <f aca="false">IF($A821="","",IF(AW821="Y",BN821&amp;"",AZ821&amp;""))</f>
        <v/>
      </c>
      <c r="E821" s="0" t="str">
        <f aca="false">IF($A821="","",IF(AW821="Y",BO821&amp;"",BA821&amp;""))</f>
        <v/>
      </c>
      <c r="F821" s="0" t="str">
        <f aca="false">IF($A821="","",IF(AW821="Y",BP821&amp;"",BB821&amp;""))</f>
        <v/>
      </c>
      <c r="G821" s="0" t="str">
        <f aca="false">IF($A821="","",IF(AW821="Y",BQ821&amp;"",BC821&amp;""))</f>
        <v/>
      </c>
      <c r="H821" s="0" t="str">
        <f aca="false">IF($A821="","",IF(AW821="Y",BR821&amp;"",BD821&amp;""))</f>
        <v/>
      </c>
      <c r="I821" s="0" t="str">
        <f aca="false">IF($A821="","",IF(R821="Y","warm-intro",IF(H821="verified","email",IF(C821&lt;&gt;"","linkedin",CB821&amp;""))))</f>
        <v/>
      </c>
      <c r="J821" s="0" t="str">
        <f aca="false">IF($A821="","",IF(CN821="pass",ROUND(N(EM821)+N(EN821)+N(EO821)+N(EP821)+N(EQ821)+N(ER821),1),0))</f>
        <v/>
      </c>
      <c r="K821" s="0" t="str">
        <f aca="false">IF($A821="","",IF(CN821&lt;&gt;"pass",CA821&amp;"",CA821&amp;"; "&amp;IF(AW821="Y",BZ821&amp;"",BL821&amp;"")&amp;IF(R821="Y","; known to the founder (+15)","")&amp;"."))</f>
        <v/>
      </c>
      <c r="R821" s="5"/>
      <c r="U821" s="5"/>
      <c r="Y821" s="0" t="str">
        <f aca="false">IF(FX821&lt;&gt;"Y","",COUNTIFS($FX$2:$FX$1000,"Y",$J$2:$J$1000,"&gt;"&amp;J821)+COUNTIFS($FX$2:$FX$1000,"Y",$J$2:$J$1000,J821,$GD$2:$GD$1000,"&lt;"&amp;GD821)+1)</f>
        <v/>
      </c>
      <c r="AB821" s="0" t="str">
        <f aca="false">IF($A821="","",IF(AW821="Y",BY821&amp;"",BK821&amp;""))</f>
        <v/>
      </c>
      <c r="AC821" s="0" t="str">
        <f aca="false">IF($A821="","",IF(AW821="Y",BS821&amp;"",BE821&amp;""))</f>
        <v/>
      </c>
      <c r="AD821" s="0" t="str">
        <f aca="false">IF($A821="","",IF(AW821="Y",BT821&amp;"",BF821&amp;""))</f>
        <v/>
      </c>
      <c r="AE821" s="0" t="str">
        <f aca="false">IF($A821="","",IF(AW821="Y",BU821&amp;"",BG821&amp;""))</f>
        <v/>
      </c>
      <c r="AF821" s="0" t="str">
        <f aca="false">IF($A821="","",IF(AW821="Y",BV821&amp;"",BH821&amp;""))</f>
        <v/>
      </c>
      <c r="AG821" s="0" t="str">
        <f aca="false">IF($A821="","",IF(AW821="Y",BW821&amp;"",BI821&amp;""))</f>
        <v/>
      </c>
      <c r="AH821" s="0" t="str">
        <f aca="false">IF($A821="","",IF(AW821="Y",BX821&amp;"",BJ821&amp;""))</f>
        <v/>
      </c>
      <c r="AQ821" s="5"/>
      <c r="AT821" s="0" t="str">
        <f aca="false">IF($A821="","",IF(AND(CN821="pass",AQ821&lt;&gt;"Y",C821&lt;&gt;"",OR(AX821&lt;&gt;"Y",AV821="Y")),"Y","N"))</f>
        <v/>
      </c>
      <c r="AU821" s="0" t="str">
        <f aca="false">IF($A821="","",_xlfn.TEXTJOIN("; ",TRUE(),IF(CN821&lt;&gt;"pass","gated out",""),IF(AQ821="Y","on hold: "&amp;AR821,""),IF(C821="","no contact named on an opened page",""),IF(AND(AX821="Y",AV821&lt;&gt;"Y"),"Tuesday estimate band "&amp;L821&amp;": founder's call","")))</f>
        <v/>
      </c>
      <c r="BC821" s="0" t="str">
        <f aca="false">IF($A821="","",IFERROR(INDEX(Enrichment!$A$2:$GZ$2000,MATCH($A821,INDEX(Enrichment!$A$2:$GZ$2000,0,MATCH("row_id",Enrichment!$A$1:$GZ$1,0)),0),MATCH("work_email",Enrichment!$A$1:$GZ$1,0))&amp;"",""))</f>
        <v/>
      </c>
      <c r="BD821" s="0" t="str">
        <f aca="false">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Q821" s="0" t="str">
        <f aca="false">IF($A821="","",IFERROR(INDEX(Enrichment!$A$2:$GZ$2000,MATCH($A821,INDEX(Enrichment!$A$2:$GZ$2000,0,MATCH("row_id",Enrichment!$A$1:$GZ$1,0)),0),MATCH("backup_work_email",Enrichment!$A$1:$GZ$1,0))&amp;"",""))</f>
        <v/>
      </c>
      <c r="BR821" s="0" t="str">
        <f aca="false">IF($A821="","",IF(BQ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EQ821" s="0" t="str">
        <f aca="false">IF($A821="","",IF(AH821="exact",10,IF(AH821="adjacent",5,0)))</f>
        <v/>
      </c>
      <c r="ER821" s="0" t="str">
        <f aca="false">IF($A821="","",IF(R821="Y",15,0))</f>
        <v/>
      </c>
      <c r="FS821" s="0" t="str">
        <f aca="false">IF($A821="","",IF(ISNUMBER(MATCH(U821,{"queued","contacted","replied","call_booked","call_done","yes_in_principle","materials_sent"},0)),"Y","N"))</f>
        <v/>
      </c>
      <c r="FT821" s="0" t="str">
        <f aca="false">IF($A821="","",IF(OR(T821="Y",U821="do_not_contact",AS821&amp;""&lt;&gt;""),"Y","N"))</f>
        <v/>
      </c>
      <c r="FU821" s="0" t="str">
        <f aca="false">IF($A821="","",IF(AP821&amp;""&lt;&gt;"",AP821&amp;"",$A821))</f>
        <v/>
      </c>
      <c r="FV821" s="0" t="str">
        <f aca="false">IF($A821="","",IF(COUNTIFS($FU$2:$FU$1000,FU821,$FS$2:$FS$1000,"Y")+COUNTIFS($FU$2:$FU$1000,FU821,$FT$2:$FT$1000,"Y")&gt;0,"Y","N"))</f>
        <v/>
      </c>
      <c r="FW821" s="0" t="str">
        <f aca="false">IF($A821="","",IF(AND(U821="new",T821="N",FT821="N",AT821="Y",FV821="N"),"Y","N"))</f>
        <v/>
      </c>
      <c r="FX821" s="0" t="str">
        <f aca="false">IF($A821="","",IF(FW821&lt;&gt;"Y","N",IF(COUNTIFS($FU$2:$FU$1000,FU821,$FW$2:$FW$1000,"Y",$J$2:$J$1000,"&gt;"&amp;J821)+COUNTIFS($FU$2:$FU$1000,FU821,$FW$2:$FW$1000,"Y",$J$2:$J$1000,J821,$GD$2:$GD$1000,"&lt;"&amp;GD821)=0,"Y","N")))</f>
        <v/>
      </c>
      <c r="FY821" s="0" t="str">
        <f aca="false">IF($A821="","",IF(AND(FW821="Y",FX821="Y",Y821&amp;""&lt;&gt;""),IF(Y821&lt;=10,"Y","N"),"N"))</f>
        <v/>
      </c>
      <c r="FZ821" s="0" t="str">
        <f aca="false">IF(FY821="Y",Y821,"")</f>
        <v/>
      </c>
      <c r="GA821" s="0" t="str">
        <f aca="false">IF($A821="","",IF(AND(I821="walk-in",CN821="pass",U821="new",FT821="N",FV821="N",AQ821&lt;&gt;"Y"),"Y","N"))</f>
        <v/>
      </c>
      <c r="GB821" s="0" t="str">
        <f aca="false">IF(GA821&lt;&gt;"Y","",IF(COUNTIFS($GA$2:$GA$1000,"Y",$J$2:$J$1000,"&gt;"&amp;J821)+COUNTIFS($GA$2:$GA$1000,"Y",$J$2:$J$1000,J821,$GD$2:$GD$1000,"&lt;"&amp;GD821)+1&lt;=25,COUNTIFS($GA$2:$GA$1000,"Y",$J$2:$J$1000,"&gt;"&amp;J821)+COUNTIFS($GA$2:$GA$1000,"Y",$J$2:$J$1000,J821,$GD$2:$GD$1000,"&lt;"&amp;GD821)+1,""))</f>
        <v/>
      </c>
      <c r="GC821" s="0" t="str">
        <f aca="false">IF(AND(_xlfn.ISFORMULA(C821),_xlfn.ISFORMULA(J821)),"Y","N")</f>
        <v>Y</v>
      </c>
      <c r="GD821" s="0" t="n">
        <f aca="false">ROW()-1</f>
        <v>820</v>
      </c>
    </row>
    <row r="822" customFormat="false" ht="15" hidden="false" customHeight="false" outlineLevel="0" collapsed="false">
      <c r="C822" s="0" t="str">
        <f aca="false">IF($A822="","",IF(AW822="Y",BM822&amp;"",AY822&amp;""))</f>
        <v/>
      </c>
      <c r="D822" s="0" t="str">
        <f aca="false">IF($A822="","",IF(AW822="Y",BN822&amp;"",AZ822&amp;""))</f>
        <v/>
      </c>
      <c r="E822" s="0" t="str">
        <f aca="false">IF($A822="","",IF(AW822="Y",BO822&amp;"",BA822&amp;""))</f>
        <v/>
      </c>
      <c r="F822" s="0" t="str">
        <f aca="false">IF($A822="","",IF(AW822="Y",BP822&amp;"",BB822&amp;""))</f>
        <v/>
      </c>
      <c r="G822" s="0" t="str">
        <f aca="false">IF($A822="","",IF(AW822="Y",BQ822&amp;"",BC822&amp;""))</f>
        <v/>
      </c>
      <c r="H822" s="0" t="str">
        <f aca="false">IF($A822="","",IF(AW822="Y",BR822&amp;"",BD822&amp;""))</f>
        <v/>
      </c>
      <c r="I822" s="0" t="str">
        <f aca="false">IF($A822="","",IF(R822="Y","warm-intro",IF(H822="verified","email",IF(C822&lt;&gt;"","linkedin",CB822&amp;""))))</f>
        <v/>
      </c>
      <c r="J822" s="0" t="str">
        <f aca="false">IF($A822="","",IF(CN822="pass",ROUND(N(EM822)+N(EN822)+N(EO822)+N(EP822)+N(EQ822)+N(ER822),1),0))</f>
        <v/>
      </c>
      <c r="K822" s="0" t="str">
        <f aca="false">IF($A822="","",IF(CN822&lt;&gt;"pass",CA822&amp;"",CA822&amp;"; "&amp;IF(AW822="Y",BZ822&amp;"",BL822&amp;"")&amp;IF(R822="Y","; known to the founder (+15)","")&amp;"."))</f>
        <v/>
      </c>
      <c r="R822" s="5"/>
      <c r="U822" s="5"/>
      <c r="Y822" s="0" t="str">
        <f aca="false">IF(FX822&lt;&gt;"Y","",COUNTIFS($FX$2:$FX$1000,"Y",$J$2:$J$1000,"&gt;"&amp;J822)+COUNTIFS($FX$2:$FX$1000,"Y",$J$2:$J$1000,J822,$GD$2:$GD$1000,"&lt;"&amp;GD822)+1)</f>
        <v/>
      </c>
      <c r="AB822" s="0" t="str">
        <f aca="false">IF($A822="","",IF(AW822="Y",BY822&amp;"",BK822&amp;""))</f>
        <v/>
      </c>
      <c r="AC822" s="0" t="str">
        <f aca="false">IF($A822="","",IF(AW822="Y",BS822&amp;"",BE822&amp;""))</f>
        <v/>
      </c>
      <c r="AD822" s="0" t="str">
        <f aca="false">IF($A822="","",IF(AW822="Y",BT822&amp;"",BF822&amp;""))</f>
        <v/>
      </c>
      <c r="AE822" s="0" t="str">
        <f aca="false">IF($A822="","",IF(AW822="Y",BU822&amp;"",BG822&amp;""))</f>
        <v/>
      </c>
      <c r="AF822" s="0" t="str">
        <f aca="false">IF($A822="","",IF(AW822="Y",BV822&amp;"",BH822&amp;""))</f>
        <v/>
      </c>
      <c r="AG822" s="0" t="str">
        <f aca="false">IF($A822="","",IF(AW822="Y",BW822&amp;"",BI822&amp;""))</f>
        <v/>
      </c>
      <c r="AH822" s="0" t="str">
        <f aca="false">IF($A822="","",IF(AW822="Y",BX822&amp;"",BJ822&amp;""))</f>
        <v/>
      </c>
      <c r="AQ822" s="5"/>
      <c r="AT822" s="0" t="str">
        <f aca="false">IF($A822="","",IF(AND(CN822="pass",AQ822&lt;&gt;"Y",C822&lt;&gt;"",OR(AX822&lt;&gt;"Y",AV822="Y")),"Y","N"))</f>
        <v/>
      </c>
      <c r="AU822" s="0" t="str">
        <f aca="false">IF($A822="","",_xlfn.TEXTJOIN("; ",TRUE(),IF(CN822&lt;&gt;"pass","gated out",""),IF(AQ822="Y","on hold: "&amp;AR822,""),IF(C822="","no contact named on an opened page",""),IF(AND(AX822="Y",AV822&lt;&gt;"Y"),"Tuesday estimate band "&amp;L822&amp;": founder's call","")))</f>
        <v/>
      </c>
      <c r="BC822" s="0" t="str">
        <f aca="false">IF($A822="","",IFERROR(INDEX(Enrichment!$A$2:$GZ$2000,MATCH($A822,INDEX(Enrichment!$A$2:$GZ$2000,0,MATCH("row_id",Enrichment!$A$1:$GZ$1,0)),0),MATCH("work_email",Enrichment!$A$1:$GZ$1,0))&amp;"",""))</f>
        <v/>
      </c>
      <c r="BD822" s="0" t="str">
        <f aca="false">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Q822" s="0" t="str">
        <f aca="false">IF($A822="","",IFERROR(INDEX(Enrichment!$A$2:$GZ$2000,MATCH($A822,INDEX(Enrichment!$A$2:$GZ$2000,0,MATCH("row_id",Enrichment!$A$1:$GZ$1,0)),0),MATCH("backup_work_email",Enrichment!$A$1:$GZ$1,0))&amp;"",""))</f>
        <v/>
      </c>
      <c r="BR822" s="0" t="str">
        <f aca="false">IF($A822="","",IF(BQ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EQ822" s="0" t="str">
        <f aca="false">IF($A822="","",IF(AH822="exact",10,IF(AH822="adjacent",5,0)))</f>
        <v/>
      </c>
      <c r="ER822" s="0" t="str">
        <f aca="false">IF($A822="","",IF(R822="Y",15,0))</f>
        <v/>
      </c>
      <c r="FS822" s="0" t="str">
        <f aca="false">IF($A822="","",IF(ISNUMBER(MATCH(U822,{"queued","contacted","replied","call_booked","call_done","yes_in_principle","materials_sent"},0)),"Y","N"))</f>
        <v/>
      </c>
      <c r="FT822" s="0" t="str">
        <f aca="false">IF($A822="","",IF(OR(T822="Y",U822="do_not_contact",AS822&amp;""&lt;&gt;""),"Y","N"))</f>
        <v/>
      </c>
      <c r="FU822" s="0" t="str">
        <f aca="false">IF($A822="","",IF(AP822&amp;""&lt;&gt;"",AP822&amp;"",$A822))</f>
        <v/>
      </c>
      <c r="FV822" s="0" t="str">
        <f aca="false">IF($A822="","",IF(COUNTIFS($FU$2:$FU$1000,FU822,$FS$2:$FS$1000,"Y")+COUNTIFS($FU$2:$FU$1000,FU822,$FT$2:$FT$1000,"Y")&gt;0,"Y","N"))</f>
        <v/>
      </c>
      <c r="FW822" s="0" t="str">
        <f aca="false">IF($A822="","",IF(AND(U822="new",T822="N",FT822="N",AT822="Y",FV822="N"),"Y","N"))</f>
        <v/>
      </c>
      <c r="FX822" s="0" t="str">
        <f aca="false">IF($A822="","",IF(FW822&lt;&gt;"Y","N",IF(COUNTIFS($FU$2:$FU$1000,FU822,$FW$2:$FW$1000,"Y",$J$2:$J$1000,"&gt;"&amp;J822)+COUNTIFS($FU$2:$FU$1000,FU822,$FW$2:$FW$1000,"Y",$J$2:$J$1000,J822,$GD$2:$GD$1000,"&lt;"&amp;GD822)=0,"Y","N")))</f>
        <v/>
      </c>
      <c r="FY822" s="0" t="str">
        <f aca="false">IF($A822="","",IF(AND(FW822="Y",FX822="Y",Y822&amp;""&lt;&gt;""),IF(Y822&lt;=10,"Y","N"),"N"))</f>
        <v/>
      </c>
      <c r="FZ822" s="0" t="str">
        <f aca="false">IF(FY822="Y",Y822,"")</f>
        <v/>
      </c>
      <c r="GA822" s="0" t="str">
        <f aca="false">IF($A822="","",IF(AND(I822="walk-in",CN822="pass",U822="new",FT822="N",FV822="N",AQ822&lt;&gt;"Y"),"Y","N"))</f>
        <v/>
      </c>
      <c r="GB822" s="0" t="str">
        <f aca="false">IF(GA822&lt;&gt;"Y","",IF(COUNTIFS($GA$2:$GA$1000,"Y",$J$2:$J$1000,"&gt;"&amp;J822)+COUNTIFS($GA$2:$GA$1000,"Y",$J$2:$J$1000,J822,$GD$2:$GD$1000,"&lt;"&amp;GD822)+1&lt;=25,COUNTIFS($GA$2:$GA$1000,"Y",$J$2:$J$1000,"&gt;"&amp;J822)+COUNTIFS($GA$2:$GA$1000,"Y",$J$2:$J$1000,J822,$GD$2:$GD$1000,"&lt;"&amp;GD822)+1,""))</f>
        <v/>
      </c>
      <c r="GC822" s="0" t="str">
        <f aca="false">IF(AND(_xlfn.ISFORMULA(C822),_xlfn.ISFORMULA(J822)),"Y","N")</f>
        <v>Y</v>
      </c>
      <c r="GD822" s="0" t="n">
        <f aca="false">ROW()-1</f>
        <v>821</v>
      </c>
    </row>
    <row r="823" customFormat="false" ht="15" hidden="false" customHeight="false" outlineLevel="0" collapsed="false">
      <c r="C823" s="0" t="str">
        <f aca="false">IF($A823="","",IF(AW823="Y",BM823&amp;"",AY823&amp;""))</f>
        <v/>
      </c>
      <c r="D823" s="0" t="str">
        <f aca="false">IF($A823="","",IF(AW823="Y",BN823&amp;"",AZ823&amp;""))</f>
        <v/>
      </c>
      <c r="E823" s="0" t="str">
        <f aca="false">IF($A823="","",IF(AW823="Y",BO823&amp;"",BA823&amp;""))</f>
        <v/>
      </c>
      <c r="F823" s="0" t="str">
        <f aca="false">IF($A823="","",IF(AW823="Y",BP823&amp;"",BB823&amp;""))</f>
        <v/>
      </c>
      <c r="G823" s="0" t="str">
        <f aca="false">IF($A823="","",IF(AW823="Y",BQ823&amp;"",BC823&amp;""))</f>
        <v/>
      </c>
      <c r="H823" s="0" t="str">
        <f aca="false">IF($A823="","",IF(AW823="Y",BR823&amp;"",BD823&amp;""))</f>
        <v/>
      </c>
      <c r="I823" s="0" t="str">
        <f aca="false">IF($A823="","",IF(R823="Y","warm-intro",IF(H823="verified","email",IF(C823&lt;&gt;"","linkedin",CB823&amp;""))))</f>
        <v/>
      </c>
      <c r="J823" s="0" t="str">
        <f aca="false">IF($A823="","",IF(CN823="pass",ROUND(N(EM823)+N(EN823)+N(EO823)+N(EP823)+N(EQ823)+N(ER823),1),0))</f>
        <v/>
      </c>
      <c r="K823" s="0" t="str">
        <f aca="false">IF($A823="","",IF(CN823&lt;&gt;"pass",CA823&amp;"",CA823&amp;"; "&amp;IF(AW823="Y",BZ823&amp;"",BL823&amp;"")&amp;IF(R823="Y","; known to the founder (+15)","")&amp;"."))</f>
        <v/>
      </c>
      <c r="R823" s="5"/>
      <c r="U823" s="5"/>
      <c r="Y823" s="0" t="str">
        <f aca="false">IF(FX823&lt;&gt;"Y","",COUNTIFS($FX$2:$FX$1000,"Y",$J$2:$J$1000,"&gt;"&amp;J823)+COUNTIFS($FX$2:$FX$1000,"Y",$J$2:$J$1000,J823,$GD$2:$GD$1000,"&lt;"&amp;GD823)+1)</f>
        <v/>
      </c>
      <c r="AB823" s="0" t="str">
        <f aca="false">IF($A823="","",IF(AW823="Y",BY823&amp;"",BK823&amp;""))</f>
        <v/>
      </c>
      <c r="AC823" s="0" t="str">
        <f aca="false">IF($A823="","",IF(AW823="Y",BS823&amp;"",BE823&amp;""))</f>
        <v/>
      </c>
      <c r="AD823" s="0" t="str">
        <f aca="false">IF($A823="","",IF(AW823="Y",BT823&amp;"",BF823&amp;""))</f>
        <v/>
      </c>
      <c r="AE823" s="0" t="str">
        <f aca="false">IF($A823="","",IF(AW823="Y",BU823&amp;"",BG823&amp;""))</f>
        <v/>
      </c>
      <c r="AF823" s="0" t="str">
        <f aca="false">IF($A823="","",IF(AW823="Y",BV823&amp;"",BH823&amp;""))</f>
        <v/>
      </c>
      <c r="AG823" s="0" t="str">
        <f aca="false">IF($A823="","",IF(AW823="Y",BW823&amp;"",BI823&amp;""))</f>
        <v/>
      </c>
      <c r="AH823" s="0" t="str">
        <f aca="false">IF($A823="","",IF(AW823="Y",BX823&amp;"",BJ823&amp;""))</f>
        <v/>
      </c>
      <c r="AQ823" s="5"/>
      <c r="AT823" s="0" t="str">
        <f aca="false">IF($A823="","",IF(AND(CN823="pass",AQ823&lt;&gt;"Y",C823&lt;&gt;"",OR(AX823&lt;&gt;"Y",AV823="Y")),"Y","N"))</f>
        <v/>
      </c>
      <c r="AU823" s="0" t="str">
        <f aca="false">IF($A823="","",_xlfn.TEXTJOIN("; ",TRUE(),IF(CN823&lt;&gt;"pass","gated out",""),IF(AQ823="Y","on hold: "&amp;AR823,""),IF(C823="","no contact named on an opened page",""),IF(AND(AX823="Y",AV823&lt;&gt;"Y"),"Tuesday estimate band "&amp;L823&amp;": founder's call","")))</f>
        <v/>
      </c>
      <c r="BC823" s="0" t="str">
        <f aca="false">IF($A823="","",IFERROR(INDEX(Enrichment!$A$2:$GZ$2000,MATCH($A823,INDEX(Enrichment!$A$2:$GZ$2000,0,MATCH("row_id",Enrichment!$A$1:$GZ$1,0)),0),MATCH("work_email",Enrichment!$A$1:$GZ$1,0))&amp;"",""))</f>
        <v/>
      </c>
      <c r="BD823" s="0" t="str">
        <f aca="false">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Q823" s="0" t="str">
        <f aca="false">IF($A823="","",IFERROR(INDEX(Enrichment!$A$2:$GZ$2000,MATCH($A823,INDEX(Enrichment!$A$2:$GZ$2000,0,MATCH("row_id",Enrichment!$A$1:$GZ$1,0)),0),MATCH("backup_work_email",Enrichment!$A$1:$GZ$1,0))&amp;"",""))</f>
        <v/>
      </c>
      <c r="BR823" s="0" t="str">
        <f aca="false">IF($A823="","",IF(BQ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EQ823" s="0" t="str">
        <f aca="false">IF($A823="","",IF(AH823="exact",10,IF(AH823="adjacent",5,0)))</f>
        <v/>
      </c>
      <c r="ER823" s="0" t="str">
        <f aca="false">IF($A823="","",IF(R823="Y",15,0))</f>
        <v/>
      </c>
      <c r="FS823" s="0" t="str">
        <f aca="false">IF($A823="","",IF(ISNUMBER(MATCH(U823,{"queued","contacted","replied","call_booked","call_done","yes_in_principle","materials_sent"},0)),"Y","N"))</f>
        <v/>
      </c>
      <c r="FT823" s="0" t="str">
        <f aca="false">IF($A823="","",IF(OR(T823="Y",U823="do_not_contact",AS823&amp;""&lt;&gt;""),"Y","N"))</f>
        <v/>
      </c>
      <c r="FU823" s="0" t="str">
        <f aca="false">IF($A823="","",IF(AP823&amp;""&lt;&gt;"",AP823&amp;"",$A823))</f>
        <v/>
      </c>
      <c r="FV823" s="0" t="str">
        <f aca="false">IF($A823="","",IF(COUNTIFS($FU$2:$FU$1000,FU823,$FS$2:$FS$1000,"Y")+COUNTIFS($FU$2:$FU$1000,FU823,$FT$2:$FT$1000,"Y")&gt;0,"Y","N"))</f>
        <v/>
      </c>
      <c r="FW823" s="0" t="str">
        <f aca="false">IF($A823="","",IF(AND(U823="new",T823="N",FT823="N",AT823="Y",FV823="N"),"Y","N"))</f>
        <v/>
      </c>
      <c r="FX823" s="0" t="str">
        <f aca="false">IF($A823="","",IF(FW823&lt;&gt;"Y","N",IF(COUNTIFS($FU$2:$FU$1000,FU823,$FW$2:$FW$1000,"Y",$J$2:$J$1000,"&gt;"&amp;J823)+COUNTIFS($FU$2:$FU$1000,FU823,$FW$2:$FW$1000,"Y",$J$2:$J$1000,J823,$GD$2:$GD$1000,"&lt;"&amp;GD823)=0,"Y","N")))</f>
        <v/>
      </c>
      <c r="FY823" s="0" t="str">
        <f aca="false">IF($A823="","",IF(AND(FW823="Y",FX823="Y",Y823&amp;""&lt;&gt;""),IF(Y823&lt;=10,"Y","N"),"N"))</f>
        <v/>
      </c>
      <c r="FZ823" s="0" t="str">
        <f aca="false">IF(FY823="Y",Y823,"")</f>
        <v/>
      </c>
      <c r="GA823" s="0" t="str">
        <f aca="false">IF($A823="","",IF(AND(I823="walk-in",CN823="pass",U823="new",FT823="N",FV823="N",AQ823&lt;&gt;"Y"),"Y","N"))</f>
        <v/>
      </c>
      <c r="GB823" s="0" t="str">
        <f aca="false">IF(GA823&lt;&gt;"Y","",IF(COUNTIFS($GA$2:$GA$1000,"Y",$J$2:$J$1000,"&gt;"&amp;J823)+COUNTIFS($GA$2:$GA$1000,"Y",$J$2:$J$1000,J823,$GD$2:$GD$1000,"&lt;"&amp;GD823)+1&lt;=25,COUNTIFS($GA$2:$GA$1000,"Y",$J$2:$J$1000,"&gt;"&amp;J823)+COUNTIFS($GA$2:$GA$1000,"Y",$J$2:$J$1000,J823,$GD$2:$GD$1000,"&lt;"&amp;GD823)+1,""))</f>
        <v/>
      </c>
      <c r="GC823" s="0" t="str">
        <f aca="false">IF(AND(_xlfn.ISFORMULA(C823),_xlfn.ISFORMULA(J823)),"Y","N")</f>
        <v>Y</v>
      </c>
      <c r="GD823" s="0" t="n">
        <f aca="false">ROW()-1</f>
        <v>822</v>
      </c>
    </row>
    <row r="824" customFormat="false" ht="15" hidden="false" customHeight="false" outlineLevel="0" collapsed="false">
      <c r="C824" s="0" t="str">
        <f aca="false">IF($A824="","",IF(AW824="Y",BM824&amp;"",AY824&amp;""))</f>
        <v/>
      </c>
      <c r="D824" s="0" t="str">
        <f aca="false">IF($A824="","",IF(AW824="Y",BN824&amp;"",AZ824&amp;""))</f>
        <v/>
      </c>
      <c r="E824" s="0" t="str">
        <f aca="false">IF($A824="","",IF(AW824="Y",BO824&amp;"",BA824&amp;""))</f>
        <v/>
      </c>
      <c r="F824" s="0" t="str">
        <f aca="false">IF($A824="","",IF(AW824="Y",BP824&amp;"",BB824&amp;""))</f>
        <v/>
      </c>
      <c r="G824" s="0" t="str">
        <f aca="false">IF($A824="","",IF(AW824="Y",BQ824&amp;"",BC824&amp;""))</f>
        <v/>
      </c>
      <c r="H824" s="0" t="str">
        <f aca="false">IF($A824="","",IF(AW824="Y",BR824&amp;"",BD824&amp;""))</f>
        <v/>
      </c>
      <c r="I824" s="0" t="str">
        <f aca="false">IF($A824="","",IF(R824="Y","warm-intro",IF(H824="verified","email",IF(C824&lt;&gt;"","linkedin",CB824&amp;""))))</f>
        <v/>
      </c>
      <c r="J824" s="0" t="str">
        <f aca="false">IF($A824="","",IF(CN824="pass",ROUND(N(EM824)+N(EN824)+N(EO824)+N(EP824)+N(EQ824)+N(ER824),1),0))</f>
        <v/>
      </c>
      <c r="K824" s="0" t="str">
        <f aca="false">IF($A824="","",IF(CN824&lt;&gt;"pass",CA824&amp;"",CA824&amp;"; "&amp;IF(AW824="Y",BZ824&amp;"",BL824&amp;"")&amp;IF(R824="Y","; known to the founder (+15)","")&amp;"."))</f>
        <v/>
      </c>
      <c r="R824" s="5"/>
      <c r="U824" s="5"/>
      <c r="Y824" s="0" t="str">
        <f aca="false">IF(FX824&lt;&gt;"Y","",COUNTIFS($FX$2:$FX$1000,"Y",$J$2:$J$1000,"&gt;"&amp;J824)+COUNTIFS($FX$2:$FX$1000,"Y",$J$2:$J$1000,J824,$GD$2:$GD$1000,"&lt;"&amp;GD824)+1)</f>
        <v/>
      </c>
      <c r="AB824" s="0" t="str">
        <f aca="false">IF($A824="","",IF(AW824="Y",BY824&amp;"",BK824&amp;""))</f>
        <v/>
      </c>
      <c r="AC824" s="0" t="str">
        <f aca="false">IF($A824="","",IF(AW824="Y",BS824&amp;"",BE824&amp;""))</f>
        <v/>
      </c>
      <c r="AD824" s="0" t="str">
        <f aca="false">IF($A824="","",IF(AW824="Y",BT824&amp;"",BF824&amp;""))</f>
        <v/>
      </c>
      <c r="AE824" s="0" t="str">
        <f aca="false">IF($A824="","",IF(AW824="Y",BU824&amp;"",BG824&amp;""))</f>
        <v/>
      </c>
      <c r="AF824" s="0" t="str">
        <f aca="false">IF($A824="","",IF(AW824="Y",BV824&amp;"",BH824&amp;""))</f>
        <v/>
      </c>
      <c r="AG824" s="0" t="str">
        <f aca="false">IF($A824="","",IF(AW824="Y",BW824&amp;"",BI824&amp;""))</f>
        <v/>
      </c>
      <c r="AH824" s="0" t="str">
        <f aca="false">IF($A824="","",IF(AW824="Y",BX824&amp;"",BJ824&amp;""))</f>
        <v/>
      </c>
      <c r="AQ824" s="5"/>
      <c r="AT824" s="0" t="str">
        <f aca="false">IF($A824="","",IF(AND(CN824="pass",AQ824&lt;&gt;"Y",C824&lt;&gt;"",OR(AX824&lt;&gt;"Y",AV824="Y")),"Y","N"))</f>
        <v/>
      </c>
      <c r="AU824" s="0" t="str">
        <f aca="false">IF($A824="","",_xlfn.TEXTJOIN("; ",TRUE(),IF(CN824&lt;&gt;"pass","gated out",""),IF(AQ824="Y","on hold: "&amp;AR824,""),IF(C824="","no contact named on an opened page",""),IF(AND(AX824="Y",AV824&lt;&gt;"Y"),"Tuesday estimate band "&amp;L824&amp;": founder's call","")))</f>
        <v/>
      </c>
      <c r="BC824" s="0" t="str">
        <f aca="false">IF($A824="","",IFERROR(INDEX(Enrichment!$A$2:$GZ$2000,MATCH($A824,INDEX(Enrichment!$A$2:$GZ$2000,0,MATCH("row_id",Enrichment!$A$1:$GZ$1,0)),0),MATCH("work_email",Enrichment!$A$1:$GZ$1,0))&amp;"",""))</f>
        <v/>
      </c>
      <c r="BD824" s="0" t="str">
        <f aca="false">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Q824" s="0" t="str">
        <f aca="false">IF($A824="","",IFERROR(INDEX(Enrichment!$A$2:$GZ$2000,MATCH($A824,INDEX(Enrichment!$A$2:$GZ$2000,0,MATCH("row_id",Enrichment!$A$1:$GZ$1,0)),0),MATCH("backup_work_email",Enrichment!$A$1:$GZ$1,0))&amp;"",""))</f>
        <v/>
      </c>
      <c r="BR824" s="0" t="str">
        <f aca="false">IF($A824="","",IF(BQ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EQ824" s="0" t="str">
        <f aca="false">IF($A824="","",IF(AH824="exact",10,IF(AH824="adjacent",5,0)))</f>
        <v/>
      </c>
      <c r="ER824" s="0" t="str">
        <f aca="false">IF($A824="","",IF(R824="Y",15,0))</f>
        <v/>
      </c>
      <c r="FS824" s="0" t="str">
        <f aca="false">IF($A824="","",IF(ISNUMBER(MATCH(U824,{"queued","contacted","replied","call_booked","call_done","yes_in_principle","materials_sent"},0)),"Y","N"))</f>
        <v/>
      </c>
      <c r="FT824" s="0" t="str">
        <f aca="false">IF($A824="","",IF(OR(T824="Y",U824="do_not_contact",AS824&amp;""&lt;&gt;""),"Y","N"))</f>
        <v/>
      </c>
      <c r="FU824" s="0" t="str">
        <f aca="false">IF($A824="","",IF(AP824&amp;""&lt;&gt;"",AP824&amp;"",$A824))</f>
        <v/>
      </c>
      <c r="FV824" s="0" t="str">
        <f aca="false">IF($A824="","",IF(COUNTIFS($FU$2:$FU$1000,FU824,$FS$2:$FS$1000,"Y")+COUNTIFS($FU$2:$FU$1000,FU824,$FT$2:$FT$1000,"Y")&gt;0,"Y","N"))</f>
        <v/>
      </c>
      <c r="FW824" s="0" t="str">
        <f aca="false">IF($A824="","",IF(AND(U824="new",T824="N",FT824="N",AT824="Y",FV824="N"),"Y","N"))</f>
        <v/>
      </c>
      <c r="FX824" s="0" t="str">
        <f aca="false">IF($A824="","",IF(FW824&lt;&gt;"Y","N",IF(COUNTIFS($FU$2:$FU$1000,FU824,$FW$2:$FW$1000,"Y",$J$2:$J$1000,"&gt;"&amp;J824)+COUNTIFS($FU$2:$FU$1000,FU824,$FW$2:$FW$1000,"Y",$J$2:$J$1000,J824,$GD$2:$GD$1000,"&lt;"&amp;GD824)=0,"Y","N")))</f>
        <v/>
      </c>
      <c r="FY824" s="0" t="str">
        <f aca="false">IF($A824="","",IF(AND(FW824="Y",FX824="Y",Y824&amp;""&lt;&gt;""),IF(Y824&lt;=10,"Y","N"),"N"))</f>
        <v/>
      </c>
      <c r="FZ824" s="0" t="str">
        <f aca="false">IF(FY824="Y",Y824,"")</f>
        <v/>
      </c>
      <c r="GA824" s="0" t="str">
        <f aca="false">IF($A824="","",IF(AND(I824="walk-in",CN824="pass",U824="new",FT824="N",FV824="N",AQ824&lt;&gt;"Y"),"Y","N"))</f>
        <v/>
      </c>
      <c r="GB824" s="0" t="str">
        <f aca="false">IF(GA824&lt;&gt;"Y","",IF(COUNTIFS($GA$2:$GA$1000,"Y",$J$2:$J$1000,"&gt;"&amp;J824)+COUNTIFS($GA$2:$GA$1000,"Y",$J$2:$J$1000,J824,$GD$2:$GD$1000,"&lt;"&amp;GD824)+1&lt;=25,COUNTIFS($GA$2:$GA$1000,"Y",$J$2:$J$1000,"&gt;"&amp;J824)+COUNTIFS($GA$2:$GA$1000,"Y",$J$2:$J$1000,J824,$GD$2:$GD$1000,"&lt;"&amp;GD824)+1,""))</f>
        <v/>
      </c>
      <c r="GC824" s="0" t="str">
        <f aca="false">IF(AND(_xlfn.ISFORMULA(C824),_xlfn.ISFORMULA(J824)),"Y","N")</f>
        <v>Y</v>
      </c>
      <c r="GD824" s="0" t="n">
        <f aca="false">ROW()-1</f>
        <v>823</v>
      </c>
    </row>
    <row r="825" customFormat="false" ht="15" hidden="false" customHeight="false" outlineLevel="0" collapsed="false">
      <c r="C825" s="0" t="str">
        <f aca="false">IF($A825="","",IF(AW825="Y",BM825&amp;"",AY825&amp;""))</f>
        <v/>
      </c>
      <c r="D825" s="0" t="str">
        <f aca="false">IF($A825="","",IF(AW825="Y",BN825&amp;"",AZ825&amp;""))</f>
        <v/>
      </c>
      <c r="E825" s="0" t="str">
        <f aca="false">IF($A825="","",IF(AW825="Y",BO825&amp;"",BA825&amp;""))</f>
        <v/>
      </c>
      <c r="F825" s="0" t="str">
        <f aca="false">IF($A825="","",IF(AW825="Y",BP825&amp;"",BB825&amp;""))</f>
        <v/>
      </c>
      <c r="G825" s="0" t="str">
        <f aca="false">IF($A825="","",IF(AW825="Y",BQ825&amp;"",BC825&amp;""))</f>
        <v/>
      </c>
      <c r="H825" s="0" t="str">
        <f aca="false">IF($A825="","",IF(AW825="Y",BR825&amp;"",BD825&amp;""))</f>
        <v/>
      </c>
      <c r="I825" s="0" t="str">
        <f aca="false">IF($A825="","",IF(R825="Y","warm-intro",IF(H825="verified","email",IF(C825&lt;&gt;"","linkedin",CB825&amp;""))))</f>
        <v/>
      </c>
      <c r="J825" s="0" t="str">
        <f aca="false">IF($A825="","",IF(CN825="pass",ROUND(N(EM825)+N(EN825)+N(EO825)+N(EP825)+N(EQ825)+N(ER825),1),0))</f>
        <v/>
      </c>
      <c r="K825" s="0" t="str">
        <f aca="false">IF($A825="","",IF(CN825&lt;&gt;"pass",CA825&amp;"",CA825&amp;"; "&amp;IF(AW825="Y",BZ825&amp;"",BL825&amp;"")&amp;IF(R825="Y","; known to the founder (+15)","")&amp;"."))</f>
        <v/>
      </c>
      <c r="R825" s="5"/>
      <c r="U825" s="5"/>
      <c r="Y825" s="0" t="str">
        <f aca="false">IF(FX825&lt;&gt;"Y","",COUNTIFS($FX$2:$FX$1000,"Y",$J$2:$J$1000,"&gt;"&amp;J825)+COUNTIFS($FX$2:$FX$1000,"Y",$J$2:$J$1000,J825,$GD$2:$GD$1000,"&lt;"&amp;GD825)+1)</f>
        <v/>
      </c>
      <c r="AB825" s="0" t="str">
        <f aca="false">IF($A825="","",IF(AW825="Y",BY825&amp;"",BK825&amp;""))</f>
        <v/>
      </c>
      <c r="AC825" s="0" t="str">
        <f aca="false">IF($A825="","",IF(AW825="Y",BS825&amp;"",BE825&amp;""))</f>
        <v/>
      </c>
      <c r="AD825" s="0" t="str">
        <f aca="false">IF($A825="","",IF(AW825="Y",BT825&amp;"",BF825&amp;""))</f>
        <v/>
      </c>
      <c r="AE825" s="0" t="str">
        <f aca="false">IF($A825="","",IF(AW825="Y",BU825&amp;"",BG825&amp;""))</f>
        <v/>
      </c>
      <c r="AF825" s="0" t="str">
        <f aca="false">IF($A825="","",IF(AW825="Y",BV825&amp;"",BH825&amp;""))</f>
        <v/>
      </c>
      <c r="AG825" s="0" t="str">
        <f aca="false">IF($A825="","",IF(AW825="Y",BW825&amp;"",BI825&amp;""))</f>
        <v/>
      </c>
      <c r="AH825" s="0" t="str">
        <f aca="false">IF($A825="","",IF(AW825="Y",BX825&amp;"",BJ825&amp;""))</f>
        <v/>
      </c>
      <c r="AQ825" s="5"/>
      <c r="AT825" s="0" t="str">
        <f aca="false">IF($A825="","",IF(AND(CN825="pass",AQ825&lt;&gt;"Y",C825&lt;&gt;"",OR(AX825&lt;&gt;"Y",AV825="Y")),"Y","N"))</f>
        <v/>
      </c>
      <c r="AU825" s="0" t="str">
        <f aca="false">IF($A825="","",_xlfn.TEXTJOIN("; ",TRUE(),IF(CN825&lt;&gt;"pass","gated out",""),IF(AQ825="Y","on hold: "&amp;AR825,""),IF(C825="","no contact named on an opened page",""),IF(AND(AX825="Y",AV825&lt;&gt;"Y"),"Tuesday estimate band "&amp;L825&amp;": founder's call","")))</f>
        <v/>
      </c>
      <c r="BC825" s="0" t="str">
        <f aca="false">IF($A825="","",IFERROR(INDEX(Enrichment!$A$2:$GZ$2000,MATCH($A825,INDEX(Enrichment!$A$2:$GZ$2000,0,MATCH("row_id",Enrichment!$A$1:$GZ$1,0)),0),MATCH("work_email",Enrichment!$A$1:$GZ$1,0))&amp;"",""))</f>
        <v/>
      </c>
      <c r="BD825" s="0" t="str">
        <f aca="false">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Q825" s="0" t="str">
        <f aca="false">IF($A825="","",IFERROR(INDEX(Enrichment!$A$2:$GZ$2000,MATCH($A825,INDEX(Enrichment!$A$2:$GZ$2000,0,MATCH("row_id",Enrichment!$A$1:$GZ$1,0)),0),MATCH("backup_work_email",Enrichment!$A$1:$GZ$1,0))&amp;"",""))</f>
        <v/>
      </c>
      <c r="BR825" s="0" t="str">
        <f aca="false">IF($A825="","",IF(BQ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EQ825" s="0" t="str">
        <f aca="false">IF($A825="","",IF(AH825="exact",10,IF(AH825="adjacent",5,0)))</f>
        <v/>
      </c>
      <c r="ER825" s="0" t="str">
        <f aca="false">IF($A825="","",IF(R825="Y",15,0))</f>
        <v/>
      </c>
      <c r="FS825" s="0" t="str">
        <f aca="false">IF($A825="","",IF(ISNUMBER(MATCH(U825,{"queued","contacted","replied","call_booked","call_done","yes_in_principle","materials_sent"},0)),"Y","N"))</f>
        <v/>
      </c>
      <c r="FT825" s="0" t="str">
        <f aca="false">IF($A825="","",IF(OR(T825="Y",U825="do_not_contact",AS825&amp;""&lt;&gt;""),"Y","N"))</f>
        <v/>
      </c>
      <c r="FU825" s="0" t="str">
        <f aca="false">IF($A825="","",IF(AP825&amp;""&lt;&gt;"",AP825&amp;"",$A825))</f>
        <v/>
      </c>
      <c r="FV825" s="0" t="str">
        <f aca="false">IF($A825="","",IF(COUNTIFS($FU$2:$FU$1000,FU825,$FS$2:$FS$1000,"Y")+COUNTIFS($FU$2:$FU$1000,FU825,$FT$2:$FT$1000,"Y")&gt;0,"Y","N"))</f>
        <v/>
      </c>
      <c r="FW825" s="0" t="str">
        <f aca="false">IF($A825="","",IF(AND(U825="new",T825="N",FT825="N",AT825="Y",FV825="N"),"Y","N"))</f>
        <v/>
      </c>
      <c r="FX825" s="0" t="str">
        <f aca="false">IF($A825="","",IF(FW825&lt;&gt;"Y","N",IF(COUNTIFS($FU$2:$FU$1000,FU825,$FW$2:$FW$1000,"Y",$J$2:$J$1000,"&gt;"&amp;J825)+COUNTIFS($FU$2:$FU$1000,FU825,$FW$2:$FW$1000,"Y",$J$2:$J$1000,J825,$GD$2:$GD$1000,"&lt;"&amp;GD825)=0,"Y","N")))</f>
        <v/>
      </c>
      <c r="FY825" s="0" t="str">
        <f aca="false">IF($A825="","",IF(AND(FW825="Y",FX825="Y",Y825&amp;""&lt;&gt;""),IF(Y825&lt;=10,"Y","N"),"N"))</f>
        <v/>
      </c>
      <c r="FZ825" s="0" t="str">
        <f aca="false">IF(FY825="Y",Y825,"")</f>
        <v/>
      </c>
      <c r="GA825" s="0" t="str">
        <f aca="false">IF($A825="","",IF(AND(I825="walk-in",CN825="pass",U825="new",FT825="N",FV825="N",AQ825&lt;&gt;"Y"),"Y","N"))</f>
        <v/>
      </c>
      <c r="GB825" s="0" t="str">
        <f aca="false">IF(GA825&lt;&gt;"Y","",IF(COUNTIFS($GA$2:$GA$1000,"Y",$J$2:$J$1000,"&gt;"&amp;J825)+COUNTIFS($GA$2:$GA$1000,"Y",$J$2:$J$1000,J825,$GD$2:$GD$1000,"&lt;"&amp;GD825)+1&lt;=25,COUNTIFS($GA$2:$GA$1000,"Y",$J$2:$J$1000,"&gt;"&amp;J825)+COUNTIFS($GA$2:$GA$1000,"Y",$J$2:$J$1000,J825,$GD$2:$GD$1000,"&lt;"&amp;GD825)+1,""))</f>
        <v/>
      </c>
      <c r="GC825" s="0" t="str">
        <f aca="false">IF(AND(_xlfn.ISFORMULA(C825),_xlfn.ISFORMULA(J825)),"Y","N")</f>
        <v>Y</v>
      </c>
      <c r="GD825" s="0" t="n">
        <f aca="false">ROW()-1</f>
        <v>824</v>
      </c>
    </row>
    <row r="826" customFormat="false" ht="15" hidden="false" customHeight="false" outlineLevel="0" collapsed="false">
      <c r="C826" s="0" t="str">
        <f aca="false">IF($A826="","",IF(AW826="Y",BM826&amp;"",AY826&amp;""))</f>
        <v/>
      </c>
      <c r="D826" s="0" t="str">
        <f aca="false">IF($A826="","",IF(AW826="Y",BN826&amp;"",AZ826&amp;""))</f>
        <v/>
      </c>
      <c r="E826" s="0" t="str">
        <f aca="false">IF($A826="","",IF(AW826="Y",BO826&amp;"",BA826&amp;""))</f>
        <v/>
      </c>
      <c r="F826" s="0" t="str">
        <f aca="false">IF($A826="","",IF(AW826="Y",BP826&amp;"",BB826&amp;""))</f>
        <v/>
      </c>
      <c r="G826" s="0" t="str">
        <f aca="false">IF($A826="","",IF(AW826="Y",BQ826&amp;"",BC826&amp;""))</f>
        <v/>
      </c>
      <c r="H826" s="0" t="str">
        <f aca="false">IF($A826="","",IF(AW826="Y",BR826&amp;"",BD826&amp;""))</f>
        <v/>
      </c>
      <c r="I826" s="0" t="str">
        <f aca="false">IF($A826="","",IF(R826="Y","warm-intro",IF(H826="verified","email",IF(C826&lt;&gt;"","linkedin",CB826&amp;""))))</f>
        <v/>
      </c>
      <c r="J826" s="0" t="str">
        <f aca="false">IF($A826="","",IF(CN826="pass",ROUND(N(EM826)+N(EN826)+N(EO826)+N(EP826)+N(EQ826)+N(ER826),1),0))</f>
        <v/>
      </c>
      <c r="K826" s="0" t="str">
        <f aca="false">IF($A826="","",IF(CN826&lt;&gt;"pass",CA826&amp;"",CA826&amp;"; "&amp;IF(AW826="Y",BZ826&amp;"",BL826&amp;"")&amp;IF(R826="Y","; known to the founder (+15)","")&amp;"."))</f>
        <v/>
      </c>
      <c r="R826" s="5"/>
      <c r="U826" s="5"/>
      <c r="Y826" s="0" t="str">
        <f aca="false">IF(FX826&lt;&gt;"Y","",COUNTIFS($FX$2:$FX$1000,"Y",$J$2:$J$1000,"&gt;"&amp;J826)+COUNTIFS($FX$2:$FX$1000,"Y",$J$2:$J$1000,J826,$GD$2:$GD$1000,"&lt;"&amp;GD826)+1)</f>
        <v/>
      </c>
      <c r="AB826" s="0" t="str">
        <f aca="false">IF($A826="","",IF(AW826="Y",BY826&amp;"",BK826&amp;""))</f>
        <v/>
      </c>
      <c r="AC826" s="0" t="str">
        <f aca="false">IF($A826="","",IF(AW826="Y",BS826&amp;"",BE826&amp;""))</f>
        <v/>
      </c>
      <c r="AD826" s="0" t="str">
        <f aca="false">IF($A826="","",IF(AW826="Y",BT826&amp;"",BF826&amp;""))</f>
        <v/>
      </c>
      <c r="AE826" s="0" t="str">
        <f aca="false">IF($A826="","",IF(AW826="Y",BU826&amp;"",BG826&amp;""))</f>
        <v/>
      </c>
      <c r="AF826" s="0" t="str">
        <f aca="false">IF($A826="","",IF(AW826="Y",BV826&amp;"",BH826&amp;""))</f>
        <v/>
      </c>
      <c r="AG826" s="0" t="str">
        <f aca="false">IF($A826="","",IF(AW826="Y",BW826&amp;"",BI826&amp;""))</f>
        <v/>
      </c>
      <c r="AH826" s="0" t="str">
        <f aca="false">IF($A826="","",IF(AW826="Y",BX826&amp;"",BJ826&amp;""))</f>
        <v/>
      </c>
      <c r="AQ826" s="5"/>
      <c r="AT826" s="0" t="str">
        <f aca="false">IF($A826="","",IF(AND(CN826="pass",AQ826&lt;&gt;"Y",C826&lt;&gt;"",OR(AX826&lt;&gt;"Y",AV826="Y")),"Y","N"))</f>
        <v/>
      </c>
      <c r="AU826" s="0" t="str">
        <f aca="false">IF($A826="","",_xlfn.TEXTJOIN("; ",TRUE(),IF(CN826&lt;&gt;"pass","gated out",""),IF(AQ826="Y","on hold: "&amp;AR826,""),IF(C826="","no contact named on an opened page",""),IF(AND(AX826="Y",AV826&lt;&gt;"Y"),"Tuesday estimate band "&amp;L826&amp;": founder's call","")))</f>
        <v/>
      </c>
      <c r="BC826" s="0" t="str">
        <f aca="false">IF($A826="","",IFERROR(INDEX(Enrichment!$A$2:$GZ$2000,MATCH($A826,INDEX(Enrichment!$A$2:$GZ$2000,0,MATCH("row_id",Enrichment!$A$1:$GZ$1,0)),0),MATCH("work_email",Enrichment!$A$1:$GZ$1,0))&amp;"",""))</f>
        <v/>
      </c>
      <c r="BD826" s="0" t="str">
        <f aca="false">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Q826" s="0" t="str">
        <f aca="false">IF($A826="","",IFERROR(INDEX(Enrichment!$A$2:$GZ$2000,MATCH($A826,INDEX(Enrichment!$A$2:$GZ$2000,0,MATCH("row_id",Enrichment!$A$1:$GZ$1,0)),0),MATCH("backup_work_email",Enrichment!$A$1:$GZ$1,0))&amp;"",""))</f>
        <v/>
      </c>
      <c r="BR826" s="0" t="str">
        <f aca="false">IF($A826="","",IF(BQ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EQ826" s="0" t="str">
        <f aca="false">IF($A826="","",IF(AH826="exact",10,IF(AH826="adjacent",5,0)))</f>
        <v/>
      </c>
      <c r="ER826" s="0" t="str">
        <f aca="false">IF($A826="","",IF(R826="Y",15,0))</f>
        <v/>
      </c>
      <c r="FS826" s="0" t="str">
        <f aca="false">IF($A826="","",IF(ISNUMBER(MATCH(U826,{"queued","contacted","replied","call_booked","call_done","yes_in_principle","materials_sent"},0)),"Y","N"))</f>
        <v/>
      </c>
      <c r="FT826" s="0" t="str">
        <f aca="false">IF($A826="","",IF(OR(T826="Y",U826="do_not_contact",AS826&amp;""&lt;&gt;""),"Y","N"))</f>
        <v/>
      </c>
      <c r="FU826" s="0" t="str">
        <f aca="false">IF($A826="","",IF(AP826&amp;""&lt;&gt;"",AP826&amp;"",$A826))</f>
        <v/>
      </c>
      <c r="FV826" s="0" t="str">
        <f aca="false">IF($A826="","",IF(COUNTIFS($FU$2:$FU$1000,FU826,$FS$2:$FS$1000,"Y")+COUNTIFS($FU$2:$FU$1000,FU826,$FT$2:$FT$1000,"Y")&gt;0,"Y","N"))</f>
        <v/>
      </c>
      <c r="FW826" s="0" t="str">
        <f aca="false">IF($A826="","",IF(AND(U826="new",T826="N",FT826="N",AT826="Y",FV826="N"),"Y","N"))</f>
        <v/>
      </c>
      <c r="FX826" s="0" t="str">
        <f aca="false">IF($A826="","",IF(FW826&lt;&gt;"Y","N",IF(COUNTIFS($FU$2:$FU$1000,FU826,$FW$2:$FW$1000,"Y",$J$2:$J$1000,"&gt;"&amp;J826)+COUNTIFS($FU$2:$FU$1000,FU826,$FW$2:$FW$1000,"Y",$J$2:$J$1000,J826,$GD$2:$GD$1000,"&lt;"&amp;GD826)=0,"Y","N")))</f>
        <v/>
      </c>
      <c r="FY826" s="0" t="str">
        <f aca="false">IF($A826="","",IF(AND(FW826="Y",FX826="Y",Y826&amp;""&lt;&gt;""),IF(Y826&lt;=10,"Y","N"),"N"))</f>
        <v/>
      </c>
      <c r="FZ826" s="0" t="str">
        <f aca="false">IF(FY826="Y",Y826,"")</f>
        <v/>
      </c>
      <c r="GA826" s="0" t="str">
        <f aca="false">IF($A826="","",IF(AND(I826="walk-in",CN826="pass",U826="new",FT826="N",FV826="N",AQ826&lt;&gt;"Y"),"Y","N"))</f>
        <v/>
      </c>
      <c r="GB826" s="0" t="str">
        <f aca="false">IF(GA826&lt;&gt;"Y","",IF(COUNTIFS($GA$2:$GA$1000,"Y",$J$2:$J$1000,"&gt;"&amp;J826)+COUNTIFS($GA$2:$GA$1000,"Y",$J$2:$J$1000,J826,$GD$2:$GD$1000,"&lt;"&amp;GD826)+1&lt;=25,COUNTIFS($GA$2:$GA$1000,"Y",$J$2:$J$1000,"&gt;"&amp;J826)+COUNTIFS($GA$2:$GA$1000,"Y",$J$2:$J$1000,J826,$GD$2:$GD$1000,"&lt;"&amp;GD826)+1,""))</f>
        <v/>
      </c>
      <c r="GC826" s="0" t="str">
        <f aca="false">IF(AND(_xlfn.ISFORMULA(C826),_xlfn.ISFORMULA(J826)),"Y","N")</f>
        <v>Y</v>
      </c>
      <c r="GD826" s="0" t="n">
        <f aca="false">ROW()-1</f>
        <v>825</v>
      </c>
    </row>
    <row r="827" customFormat="false" ht="15" hidden="false" customHeight="false" outlineLevel="0" collapsed="false">
      <c r="C827" s="0" t="str">
        <f aca="false">IF($A827="","",IF(AW827="Y",BM827&amp;"",AY827&amp;""))</f>
        <v/>
      </c>
      <c r="D827" s="0" t="str">
        <f aca="false">IF($A827="","",IF(AW827="Y",BN827&amp;"",AZ827&amp;""))</f>
        <v/>
      </c>
      <c r="E827" s="0" t="str">
        <f aca="false">IF($A827="","",IF(AW827="Y",BO827&amp;"",BA827&amp;""))</f>
        <v/>
      </c>
      <c r="F827" s="0" t="str">
        <f aca="false">IF($A827="","",IF(AW827="Y",BP827&amp;"",BB827&amp;""))</f>
        <v/>
      </c>
      <c r="G827" s="0" t="str">
        <f aca="false">IF($A827="","",IF(AW827="Y",BQ827&amp;"",BC827&amp;""))</f>
        <v/>
      </c>
      <c r="H827" s="0" t="str">
        <f aca="false">IF($A827="","",IF(AW827="Y",BR827&amp;"",BD827&amp;""))</f>
        <v/>
      </c>
      <c r="I827" s="0" t="str">
        <f aca="false">IF($A827="","",IF(R827="Y","warm-intro",IF(H827="verified","email",IF(C827&lt;&gt;"","linkedin",CB827&amp;""))))</f>
        <v/>
      </c>
      <c r="J827" s="0" t="str">
        <f aca="false">IF($A827="","",IF(CN827="pass",ROUND(N(EM827)+N(EN827)+N(EO827)+N(EP827)+N(EQ827)+N(ER827),1),0))</f>
        <v/>
      </c>
      <c r="K827" s="0" t="str">
        <f aca="false">IF($A827="","",IF(CN827&lt;&gt;"pass",CA827&amp;"",CA827&amp;"; "&amp;IF(AW827="Y",BZ827&amp;"",BL827&amp;"")&amp;IF(R827="Y","; known to the founder (+15)","")&amp;"."))</f>
        <v/>
      </c>
      <c r="R827" s="5"/>
      <c r="U827" s="5"/>
      <c r="Y827" s="0" t="str">
        <f aca="false">IF(FX827&lt;&gt;"Y","",COUNTIFS($FX$2:$FX$1000,"Y",$J$2:$J$1000,"&gt;"&amp;J827)+COUNTIFS($FX$2:$FX$1000,"Y",$J$2:$J$1000,J827,$GD$2:$GD$1000,"&lt;"&amp;GD827)+1)</f>
        <v/>
      </c>
      <c r="AB827" s="0" t="str">
        <f aca="false">IF($A827="","",IF(AW827="Y",BY827&amp;"",BK827&amp;""))</f>
        <v/>
      </c>
      <c r="AC827" s="0" t="str">
        <f aca="false">IF($A827="","",IF(AW827="Y",BS827&amp;"",BE827&amp;""))</f>
        <v/>
      </c>
      <c r="AD827" s="0" t="str">
        <f aca="false">IF($A827="","",IF(AW827="Y",BT827&amp;"",BF827&amp;""))</f>
        <v/>
      </c>
      <c r="AE827" s="0" t="str">
        <f aca="false">IF($A827="","",IF(AW827="Y",BU827&amp;"",BG827&amp;""))</f>
        <v/>
      </c>
      <c r="AF827" s="0" t="str">
        <f aca="false">IF($A827="","",IF(AW827="Y",BV827&amp;"",BH827&amp;""))</f>
        <v/>
      </c>
      <c r="AG827" s="0" t="str">
        <f aca="false">IF($A827="","",IF(AW827="Y",BW827&amp;"",BI827&amp;""))</f>
        <v/>
      </c>
      <c r="AH827" s="0" t="str">
        <f aca="false">IF($A827="","",IF(AW827="Y",BX827&amp;"",BJ827&amp;""))</f>
        <v/>
      </c>
      <c r="AQ827" s="5"/>
      <c r="AT827" s="0" t="str">
        <f aca="false">IF($A827="","",IF(AND(CN827="pass",AQ827&lt;&gt;"Y",C827&lt;&gt;"",OR(AX827&lt;&gt;"Y",AV827="Y")),"Y","N"))</f>
        <v/>
      </c>
      <c r="AU827" s="0" t="str">
        <f aca="false">IF($A827="","",_xlfn.TEXTJOIN("; ",TRUE(),IF(CN827&lt;&gt;"pass","gated out",""),IF(AQ827="Y","on hold: "&amp;AR827,""),IF(C827="","no contact named on an opened page",""),IF(AND(AX827="Y",AV827&lt;&gt;"Y"),"Tuesday estimate band "&amp;L827&amp;": founder's call","")))</f>
        <v/>
      </c>
      <c r="BC827" s="0" t="str">
        <f aca="false">IF($A827="","",IFERROR(INDEX(Enrichment!$A$2:$GZ$2000,MATCH($A827,INDEX(Enrichment!$A$2:$GZ$2000,0,MATCH("row_id",Enrichment!$A$1:$GZ$1,0)),0),MATCH("work_email",Enrichment!$A$1:$GZ$1,0))&amp;"",""))</f>
        <v/>
      </c>
      <c r="BD827" s="0" t="str">
        <f aca="false">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Q827" s="0" t="str">
        <f aca="false">IF($A827="","",IFERROR(INDEX(Enrichment!$A$2:$GZ$2000,MATCH($A827,INDEX(Enrichment!$A$2:$GZ$2000,0,MATCH("row_id",Enrichment!$A$1:$GZ$1,0)),0),MATCH("backup_work_email",Enrichment!$A$1:$GZ$1,0))&amp;"",""))</f>
        <v/>
      </c>
      <c r="BR827" s="0" t="str">
        <f aca="false">IF($A827="","",IF(BQ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EQ827" s="0" t="str">
        <f aca="false">IF($A827="","",IF(AH827="exact",10,IF(AH827="adjacent",5,0)))</f>
        <v/>
      </c>
      <c r="ER827" s="0" t="str">
        <f aca="false">IF($A827="","",IF(R827="Y",15,0))</f>
        <v/>
      </c>
      <c r="FS827" s="0" t="str">
        <f aca="false">IF($A827="","",IF(ISNUMBER(MATCH(U827,{"queued","contacted","replied","call_booked","call_done","yes_in_principle","materials_sent"},0)),"Y","N"))</f>
        <v/>
      </c>
      <c r="FT827" s="0" t="str">
        <f aca="false">IF($A827="","",IF(OR(T827="Y",U827="do_not_contact",AS827&amp;""&lt;&gt;""),"Y","N"))</f>
        <v/>
      </c>
      <c r="FU827" s="0" t="str">
        <f aca="false">IF($A827="","",IF(AP827&amp;""&lt;&gt;"",AP827&amp;"",$A827))</f>
        <v/>
      </c>
      <c r="FV827" s="0" t="str">
        <f aca="false">IF($A827="","",IF(COUNTIFS($FU$2:$FU$1000,FU827,$FS$2:$FS$1000,"Y")+COUNTIFS($FU$2:$FU$1000,FU827,$FT$2:$FT$1000,"Y")&gt;0,"Y","N"))</f>
        <v/>
      </c>
      <c r="FW827" s="0" t="str">
        <f aca="false">IF($A827="","",IF(AND(U827="new",T827="N",FT827="N",AT827="Y",FV827="N"),"Y","N"))</f>
        <v/>
      </c>
      <c r="FX827" s="0" t="str">
        <f aca="false">IF($A827="","",IF(FW827&lt;&gt;"Y","N",IF(COUNTIFS($FU$2:$FU$1000,FU827,$FW$2:$FW$1000,"Y",$J$2:$J$1000,"&gt;"&amp;J827)+COUNTIFS($FU$2:$FU$1000,FU827,$FW$2:$FW$1000,"Y",$J$2:$J$1000,J827,$GD$2:$GD$1000,"&lt;"&amp;GD827)=0,"Y","N")))</f>
        <v/>
      </c>
      <c r="FY827" s="0" t="str">
        <f aca="false">IF($A827="","",IF(AND(FW827="Y",FX827="Y",Y827&amp;""&lt;&gt;""),IF(Y827&lt;=10,"Y","N"),"N"))</f>
        <v/>
      </c>
      <c r="FZ827" s="0" t="str">
        <f aca="false">IF(FY827="Y",Y827,"")</f>
        <v/>
      </c>
      <c r="GA827" s="0" t="str">
        <f aca="false">IF($A827="","",IF(AND(I827="walk-in",CN827="pass",U827="new",FT827="N",FV827="N",AQ827&lt;&gt;"Y"),"Y","N"))</f>
        <v/>
      </c>
      <c r="GB827" s="0" t="str">
        <f aca="false">IF(GA827&lt;&gt;"Y","",IF(COUNTIFS($GA$2:$GA$1000,"Y",$J$2:$J$1000,"&gt;"&amp;J827)+COUNTIFS($GA$2:$GA$1000,"Y",$J$2:$J$1000,J827,$GD$2:$GD$1000,"&lt;"&amp;GD827)+1&lt;=25,COUNTIFS($GA$2:$GA$1000,"Y",$J$2:$J$1000,"&gt;"&amp;J827)+COUNTIFS($GA$2:$GA$1000,"Y",$J$2:$J$1000,J827,$GD$2:$GD$1000,"&lt;"&amp;GD827)+1,""))</f>
        <v/>
      </c>
      <c r="GC827" s="0" t="str">
        <f aca="false">IF(AND(_xlfn.ISFORMULA(C827),_xlfn.ISFORMULA(J827)),"Y","N")</f>
        <v>Y</v>
      </c>
      <c r="GD827" s="0" t="n">
        <f aca="false">ROW()-1</f>
        <v>826</v>
      </c>
    </row>
    <row r="828" customFormat="false" ht="15" hidden="false" customHeight="false" outlineLevel="0" collapsed="false">
      <c r="C828" s="0" t="str">
        <f aca="false">IF($A828="","",IF(AW828="Y",BM828&amp;"",AY828&amp;""))</f>
        <v/>
      </c>
      <c r="D828" s="0" t="str">
        <f aca="false">IF($A828="","",IF(AW828="Y",BN828&amp;"",AZ828&amp;""))</f>
        <v/>
      </c>
      <c r="E828" s="0" t="str">
        <f aca="false">IF($A828="","",IF(AW828="Y",BO828&amp;"",BA828&amp;""))</f>
        <v/>
      </c>
      <c r="F828" s="0" t="str">
        <f aca="false">IF($A828="","",IF(AW828="Y",BP828&amp;"",BB828&amp;""))</f>
        <v/>
      </c>
      <c r="G828" s="0" t="str">
        <f aca="false">IF($A828="","",IF(AW828="Y",BQ828&amp;"",BC828&amp;""))</f>
        <v/>
      </c>
      <c r="H828" s="0" t="str">
        <f aca="false">IF($A828="","",IF(AW828="Y",BR828&amp;"",BD828&amp;""))</f>
        <v/>
      </c>
      <c r="I828" s="0" t="str">
        <f aca="false">IF($A828="","",IF(R828="Y","warm-intro",IF(H828="verified","email",IF(C828&lt;&gt;"","linkedin",CB828&amp;""))))</f>
        <v/>
      </c>
      <c r="J828" s="0" t="str">
        <f aca="false">IF($A828="","",IF(CN828="pass",ROUND(N(EM828)+N(EN828)+N(EO828)+N(EP828)+N(EQ828)+N(ER828),1),0))</f>
        <v/>
      </c>
      <c r="K828" s="0" t="str">
        <f aca="false">IF($A828="","",IF(CN828&lt;&gt;"pass",CA828&amp;"",CA828&amp;"; "&amp;IF(AW828="Y",BZ828&amp;"",BL828&amp;"")&amp;IF(R828="Y","; known to the founder (+15)","")&amp;"."))</f>
        <v/>
      </c>
      <c r="R828" s="5"/>
      <c r="U828" s="5"/>
      <c r="Y828" s="0" t="str">
        <f aca="false">IF(FX828&lt;&gt;"Y","",COUNTIFS($FX$2:$FX$1000,"Y",$J$2:$J$1000,"&gt;"&amp;J828)+COUNTIFS($FX$2:$FX$1000,"Y",$J$2:$J$1000,J828,$GD$2:$GD$1000,"&lt;"&amp;GD828)+1)</f>
        <v/>
      </c>
      <c r="AB828" s="0" t="str">
        <f aca="false">IF($A828="","",IF(AW828="Y",BY828&amp;"",BK828&amp;""))</f>
        <v/>
      </c>
      <c r="AC828" s="0" t="str">
        <f aca="false">IF($A828="","",IF(AW828="Y",BS828&amp;"",BE828&amp;""))</f>
        <v/>
      </c>
      <c r="AD828" s="0" t="str">
        <f aca="false">IF($A828="","",IF(AW828="Y",BT828&amp;"",BF828&amp;""))</f>
        <v/>
      </c>
      <c r="AE828" s="0" t="str">
        <f aca="false">IF($A828="","",IF(AW828="Y",BU828&amp;"",BG828&amp;""))</f>
        <v/>
      </c>
      <c r="AF828" s="0" t="str">
        <f aca="false">IF($A828="","",IF(AW828="Y",BV828&amp;"",BH828&amp;""))</f>
        <v/>
      </c>
      <c r="AG828" s="0" t="str">
        <f aca="false">IF($A828="","",IF(AW828="Y",BW828&amp;"",BI828&amp;""))</f>
        <v/>
      </c>
      <c r="AH828" s="0" t="str">
        <f aca="false">IF($A828="","",IF(AW828="Y",BX828&amp;"",BJ828&amp;""))</f>
        <v/>
      </c>
      <c r="AQ828" s="5"/>
      <c r="AT828" s="0" t="str">
        <f aca="false">IF($A828="","",IF(AND(CN828="pass",AQ828&lt;&gt;"Y",C828&lt;&gt;"",OR(AX828&lt;&gt;"Y",AV828="Y")),"Y","N"))</f>
        <v/>
      </c>
      <c r="AU828" s="0" t="str">
        <f aca="false">IF($A828="","",_xlfn.TEXTJOIN("; ",TRUE(),IF(CN828&lt;&gt;"pass","gated out",""),IF(AQ828="Y","on hold: "&amp;AR828,""),IF(C828="","no contact named on an opened page",""),IF(AND(AX828="Y",AV828&lt;&gt;"Y"),"Tuesday estimate band "&amp;L828&amp;": founder's call","")))</f>
        <v/>
      </c>
      <c r="BC828" s="0" t="str">
        <f aca="false">IF($A828="","",IFERROR(INDEX(Enrichment!$A$2:$GZ$2000,MATCH($A828,INDEX(Enrichment!$A$2:$GZ$2000,0,MATCH("row_id",Enrichment!$A$1:$GZ$1,0)),0),MATCH("work_email",Enrichment!$A$1:$GZ$1,0))&amp;"",""))</f>
        <v/>
      </c>
      <c r="BD828" s="0" t="str">
        <f aca="false">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Q828" s="0" t="str">
        <f aca="false">IF($A828="","",IFERROR(INDEX(Enrichment!$A$2:$GZ$2000,MATCH($A828,INDEX(Enrichment!$A$2:$GZ$2000,0,MATCH("row_id",Enrichment!$A$1:$GZ$1,0)),0),MATCH("backup_work_email",Enrichment!$A$1:$GZ$1,0))&amp;"",""))</f>
        <v/>
      </c>
      <c r="BR828" s="0" t="str">
        <f aca="false">IF($A828="","",IF(BQ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EQ828" s="0" t="str">
        <f aca="false">IF($A828="","",IF(AH828="exact",10,IF(AH828="adjacent",5,0)))</f>
        <v/>
      </c>
      <c r="ER828" s="0" t="str">
        <f aca="false">IF($A828="","",IF(R828="Y",15,0))</f>
        <v/>
      </c>
      <c r="FS828" s="0" t="str">
        <f aca="false">IF($A828="","",IF(ISNUMBER(MATCH(U828,{"queued","contacted","replied","call_booked","call_done","yes_in_principle","materials_sent"},0)),"Y","N"))</f>
        <v/>
      </c>
      <c r="FT828" s="0" t="str">
        <f aca="false">IF($A828="","",IF(OR(T828="Y",U828="do_not_contact",AS828&amp;""&lt;&gt;""),"Y","N"))</f>
        <v/>
      </c>
      <c r="FU828" s="0" t="str">
        <f aca="false">IF($A828="","",IF(AP828&amp;""&lt;&gt;"",AP828&amp;"",$A828))</f>
        <v/>
      </c>
      <c r="FV828" s="0" t="str">
        <f aca="false">IF($A828="","",IF(COUNTIFS($FU$2:$FU$1000,FU828,$FS$2:$FS$1000,"Y")+COUNTIFS($FU$2:$FU$1000,FU828,$FT$2:$FT$1000,"Y")&gt;0,"Y","N"))</f>
        <v/>
      </c>
      <c r="FW828" s="0" t="str">
        <f aca="false">IF($A828="","",IF(AND(U828="new",T828="N",FT828="N",AT828="Y",FV828="N"),"Y","N"))</f>
        <v/>
      </c>
      <c r="FX828" s="0" t="str">
        <f aca="false">IF($A828="","",IF(FW828&lt;&gt;"Y","N",IF(COUNTIFS($FU$2:$FU$1000,FU828,$FW$2:$FW$1000,"Y",$J$2:$J$1000,"&gt;"&amp;J828)+COUNTIFS($FU$2:$FU$1000,FU828,$FW$2:$FW$1000,"Y",$J$2:$J$1000,J828,$GD$2:$GD$1000,"&lt;"&amp;GD828)=0,"Y","N")))</f>
        <v/>
      </c>
      <c r="FY828" s="0" t="str">
        <f aca="false">IF($A828="","",IF(AND(FW828="Y",FX828="Y",Y828&amp;""&lt;&gt;""),IF(Y828&lt;=10,"Y","N"),"N"))</f>
        <v/>
      </c>
      <c r="FZ828" s="0" t="str">
        <f aca="false">IF(FY828="Y",Y828,"")</f>
        <v/>
      </c>
      <c r="GA828" s="0" t="str">
        <f aca="false">IF($A828="","",IF(AND(I828="walk-in",CN828="pass",U828="new",FT828="N",FV828="N",AQ828&lt;&gt;"Y"),"Y","N"))</f>
        <v/>
      </c>
      <c r="GB828" s="0" t="str">
        <f aca="false">IF(GA828&lt;&gt;"Y","",IF(COUNTIFS($GA$2:$GA$1000,"Y",$J$2:$J$1000,"&gt;"&amp;J828)+COUNTIFS($GA$2:$GA$1000,"Y",$J$2:$J$1000,J828,$GD$2:$GD$1000,"&lt;"&amp;GD828)+1&lt;=25,COUNTIFS($GA$2:$GA$1000,"Y",$J$2:$J$1000,"&gt;"&amp;J828)+COUNTIFS($GA$2:$GA$1000,"Y",$J$2:$J$1000,J828,$GD$2:$GD$1000,"&lt;"&amp;GD828)+1,""))</f>
        <v/>
      </c>
      <c r="GC828" s="0" t="str">
        <f aca="false">IF(AND(_xlfn.ISFORMULA(C828),_xlfn.ISFORMULA(J828)),"Y","N")</f>
        <v>Y</v>
      </c>
      <c r="GD828" s="0" t="n">
        <f aca="false">ROW()-1</f>
        <v>827</v>
      </c>
    </row>
    <row r="829" customFormat="false" ht="15" hidden="false" customHeight="false" outlineLevel="0" collapsed="false">
      <c r="C829" s="0" t="str">
        <f aca="false">IF($A829="","",IF(AW829="Y",BM829&amp;"",AY829&amp;""))</f>
        <v/>
      </c>
      <c r="D829" s="0" t="str">
        <f aca="false">IF($A829="","",IF(AW829="Y",BN829&amp;"",AZ829&amp;""))</f>
        <v/>
      </c>
      <c r="E829" s="0" t="str">
        <f aca="false">IF($A829="","",IF(AW829="Y",BO829&amp;"",BA829&amp;""))</f>
        <v/>
      </c>
      <c r="F829" s="0" t="str">
        <f aca="false">IF($A829="","",IF(AW829="Y",BP829&amp;"",BB829&amp;""))</f>
        <v/>
      </c>
      <c r="G829" s="0" t="str">
        <f aca="false">IF($A829="","",IF(AW829="Y",BQ829&amp;"",BC829&amp;""))</f>
        <v/>
      </c>
      <c r="H829" s="0" t="str">
        <f aca="false">IF($A829="","",IF(AW829="Y",BR829&amp;"",BD829&amp;""))</f>
        <v/>
      </c>
      <c r="I829" s="0" t="str">
        <f aca="false">IF($A829="","",IF(R829="Y","warm-intro",IF(H829="verified","email",IF(C829&lt;&gt;"","linkedin",CB829&amp;""))))</f>
        <v/>
      </c>
      <c r="J829" s="0" t="str">
        <f aca="false">IF($A829="","",IF(CN829="pass",ROUND(N(EM829)+N(EN829)+N(EO829)+N(EP829)+N(EQ829)+N(ER829),1),0))</f>
        <v/>
      </c>
      <c r="K829" s="0" t="str">
        <f aca="false">IF($A829="","",IF(CN829&lt;&gt;"pass",CA829&amp;"",CA829&amp;"; "&amp;IF(AW829="Y",BZ829&amp;"",BL829&amp;"")&amp;IF(R829="Y","; known to the founder (+15)","")&amp;"."))</f>
        <v/>
      </c>
      <c r="R829" s="5"/>
      <c r="U829" s="5"/>
      <c r="Y829" s="0" t="str">
        <f aca="false">IF(FX829&lt;&gt;"Y","",COUNTIFS($FX$2:$FX$1000,"Y",$J$2:$J$1000,"&gt;"&amp;J829)+COUNTIFS($FX$2:$FX$1000,"Y",$J$2:$J$1000,J829,$GD$2:$GD$1000,"&lt;"&amp;GD829)+1)</f>
        <v/>
      </c>
      <c r="AB829" s="0" t="str">
        <f aca="false">IF($A829="","",IF(AW829="Y",BY829&amp;"",BK829&amp;""))</f>
        <v/>
      </c>
      <c r="AC829" s="0" t="str">
        <f aca="false">IF($A829="","",IF(AW829="Y",BS829&amp;"",BE829&amp;""))</f>
        <v/>
      </c>
      <c r="AD829" s="0" t="str">
        <f aca="false">IF($A829="","",IF(AW829="Y",BT829&amp;"",BF829&amp;""))</f>
        <v/>
      </c>
      <c r="AE829" s="0" t="str">
        <f aca="false">IF($A829="","",IF(AW829="Y",BU829&amp;"",BG829&amp;""))</f>
        <v/>
      </c>
      <c r="AF829" s="0" t="str">
        <f aca="false">IF($A829="","",IF(AW829="Y",BV829&amp;"",BH829&amp;""))</f>
        <v/>
      </c>
      <c r="AG829" s="0" t="str">
        <f aca="false">IF($A829="","",IF(AW829="Y",BW829&amp;"",BI829&amp;""))</f>
        <v/>
      </c>
      <c r="AH829" s="0" t="str">
        <f aca="false">IF($A829="","",IF(AW829="Y",BX829&amp;"",BJ829&amp;""))</f>
        <v/>
      </c>
      <c r="AQ829" s="5"/>
      <c r="AT829" s="0" t="str">
        <f aca="false">IF($A829="","",IF(AND(CN829="pass",AQ829&lt;&gt;"Y",C829&lt;&gt;"",OR(AX829&lt;&gt;"Y",AV829="Y")),"Y","N"))</f>
        <v/>
      </c>
      <c r="AU829" s="0" t="str">
        <f aca="false">IF($A829="","",_xlfn.TEXTJOIN("; ",TRUE(),IF(CN829&lt;&gt;"pass","gated out",""),IF(AQ829="Y","on hold: "&amp;AR829,""),IF(C829="","no contact named on an opened page",""),IF(AND(AX829="Y",AV829&lt;&gt;"Y"),"Tuesday estimate band "&amp;L829&amp;": founder's call","")))</f>
        <v/>
      </c>
      <c r="BC829" s="0" t="str">
        <f aca="false">IF($A829="","",IFERROR(INDEX(Enrichment!$A$2:$GZ$2000,MATCH($A829,INDEX(Enrichment!$A$2:$GZ$2000,0,MATCH("row_id",Enrichment!$A$1:$GZ$1,0)),0),MATCH("work_email",Enrichment!$A$1:$GZ$1,0))&amp;"",""))</f>
        <v/>
      </c>
      <c r="BD829" s="0" t="str">
        <f aca="false">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Q829" s="0" t="str">
        <f aca="false">IF($A829="","",IFERROR(INDEX(Enrichment!$A$2:$GZ$2000,MATCH($A829,INDEX(Enrichment!$A$2:$GZ$2000,0,MATCH("row_id",Enrichment!$A$1:$GZ$1,0)),0),MATCH("backup_work_email",Enrichment!$A$1:$GZ$1,0))&amp;"",""))</f>
        <v/>
      </c>
      <c r="BR829" s="0" t="str">
        <f aca="false">IF($A829="","",IF(BQ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EQ829" s="0" t="str">
        <f aca="false">IF($A829="","",IF(AH829="exact",10,IF(AH829="adjacent",5,0)))</f>
        <v/>
      </c>
      <c r="ER829" s="0" t="str">
        <f aca="false">IF($A829="","",IF(R829="Y",15,0))</f>
        <v/>
      </c>
      <c r="FS829" s="0" t="str">
        <f aca="false">IF($A829="","",IF(ISNUMBER(MATCH(U829,{"queued","contacted","replied","call_booked","call_done","yes_in_principle","materials_sent"},0)),"Y","N"))</f>
        <v/>
      </c>
      <c r="FT829" s="0" t="str">
        <f aca="false">IF($A829="","",IF(OR(T829="Y",U829="do_not_contact",AS829&amp;""&lt;&gt;""),"Y","N"))</f>
        <v/>
      </c>
      <c r="FU829" s="0" t="str">
        <f aca="false">IF($A829="","",IF(AP829&amp;""&lt;&gt;"",AP829&amp;"",$A829))</f>
        <v/>
      </c>
      <c r="FV829" s="0" t="str">
        <f aca="false">IF($A829="","",IF(COUNTIFS($FU$2:$FU$1000,FU829,$FS$2:$FS$1000,"Y")+COUNTIFS($FU$2:$FU$1000,FU829,$FT$2:$FT$1000,"Y")&gt;0,"Y","N"))</f>
        <v/>
      </c>
      <c r="FW829" s="0" t="str">
        <f aca="false">IF($A829="","",IF(AND(U829="new",T829="N",FT829="N",AT829="Y",FV829="N"),"Y","N"))</f>
        <v/>
      </c>
      <c r="FX829" s="0" t="str">
        <f aca="false">IF($A829="","",IF(FW829&lt;&gt;"Y","N",IF(COUNTIFS($FU$2:$FU$1000,FU829,$FW$2:$FW$1000,"Y",$J$2:$J$1000,"&gt;"&amp;J829)+COUNTIFS($FU$2:$FU$1000,FU829,$FW$2:$FW$1000,"Y",$J$2:$J$1000,J829,$GD$2:$GD$1000,"&lt;"&amp;GD829)=0,"Y","N")))</f>
        <v/>
      </c>
      <c r="FY829" s="0" t="str">
        <f aca="false">IF($A829="","",IF(AND(FW829="Y",FX829="Y",Y829&amp;""&lt;&gt;""),IF(Y829&lt;=10,"Y","N"),"N"))</f>
        <v/>
      </c>
      <c r="FZ829" s="0" t="str">
        <f aca="false">IF(FY829="Y",Y829,"")</f>
        <v/>
      </c>
      <c r="GA829" s="0" t="str">
        <f aca="false">IF($A829="","",IF(AND(I829="walk-in",CN829="pass",U829="new",FT829="N",FV829="N",AQ829&lt;&gt;"Y"),"Y","N"))</f>
        <v/>
      </c>
      <c r="GB829" s="0" t="str">
        <f aca="false">IF(GA829&lt;&gt;"Y","",IF(COUNTIFS($GA$2:$GA$1000,"Y",$J$2:$J$1000,"&gt;"&amp;J829)+COUNTIFS($GA$2:$GA$1000,"Y",$J$2:$J$1000,J829,$GD$2:$GD$1000,"&lt;"&amp;GD829)+1&lt;=25,COUNTIFS($GA$2:$GA$1000,"Y",$J$2:$J$1000,"&gt;"&amp;J829)+COUNTIFS($GA$2:$GA$1000,"Y",$J$2:$J$1000,J829,$GD$2:$GD$1000,"&lt;"&amp;GD829)+1,""))</f>
        <v/>
      </c>
      <c r="GC829" s="0" t="str">
        <f aca="false">IF(AND(_xlfn.ISFORMULA(C829),_xlfn.ISFORMULA(J829)),"Y","N")</f>
        <v>Y</v>
      </c>
      <c r="GD829" s="0" t="n">
        <f aca="false">ROW()-1</f>
        <v>828</v>
      </c>
    </row>
    <row r="830" customFormat="false" ht="15" hidden="false" customHeight="false" outlineLevel="0" collapsed="false">
      <c r="C830" s="0" t="str">
        <f aca="false">IF($A830="","",IF(AW830="Y",BM830&amp;"",AY830&amp;""))</f>
        <v/>
      </c>
      <c r="D830" s="0" t="str">
        <f aca="false">IF($A830="","",IF(AW830="Y",BN830&amp;"",AZ830&amp;""))</f>
        <v/>
      </c>
      <c r="E830" s="0" t="str">
        <f aca="false">IF($A830="","",IF(AW830="Y",BO830&amp;"",BA830&amp;""))</f>
        <v/>
      </c>
      <c r="F830" s="0" t="str">
        <f aca="false">IF($A830="","",IF(AW830="Y",BP830&amp;"",BB830&amp;""))</f>
        <v/>
      </c>
      <c r="G830" s="0" t="str">
        <f aca="false">IF($A830="","",IF(AW830="Y",BQ830&amp;"",BC830&amp;""))</f>
        <v/>
      </c>
      <c r="H830" s="0" t="str">
        <f aca="false">IF($A830="","",IF(AW830="Y",BR830&amp;"",BD830&amp;""))</f>
        <v/>
      </c>
      <c r="I830" s="0" t="str">
        <f aca="false">IF($A830="","",IF(R830="Y","warm-intro",IF(H830="verified","email",IF(C830&lt;&gt;"","linkedin",CB830&amp;""))))</f>
        <v/>
      </c>
      <c r="J830" s="0" t="str">
        <f aca="false">IF($A830="","",IF(CN830="pass",ROUND(N(EM830)+N(EN830)+N(EO830)+N(EP830)+N(EQ830)+N(ER830),1),0))</f>
        <v/>
      </c>
      <c r="K830" s="0" t="str">
        <f aca="false">IF($A830="","",IF(CN830&lt;&gt;"pass",CA830&amp;"",CA830&amp;"; "&amp;IF(AW830="Y",BZ830&amp;"",BL830&amp;"")&amp;IF(R830="Y","; known to the founder (+15)","")&amp;"."))</f>
        <v/>
      </c>
      <c r="R830" s="5"/>
      <c r="U830" s="5"/>
      <c r="Y830" s="0" t="str">
        <f aca="false">IF(FX830&lt;&gt;"Y","",COUNTIFS($FX$2:$FX$1000,"Y",$J$2:$J$1000,"&gt;"&amp;J830)+COUNTIFS($FX$2:$FX$1000,"Y",$J$2:$J$1000,J830,$GD$2:$GD$1000,"&lt;"&amp;GD830)+1)</f>
        <v/>
      </c>
      <c r="AB830" s="0" t="str">
        <f aca="false">IF($A830="","",IF(AW830="Y",BY830&amp;"",BK830&amp;""))</f>
        <v/>
      </c>
      <c r="AC830" s="0" t="str">
        <f aca="false">IF($A830="","",IF(AW830="Y",BS830&amp;"",BE830&amp;""))</f>
        <v/>
      </c>
      <c r="AD830" s="0" t="str">
        <f aca="false">IF($A830="","",IF(AW830="Y",BT830&amp;"",BF830&amp;""))</f>
        <v/>
      </c>
      <c r="AE830" s="0" t="str">
        <f aca="false">IF($A830="","",IF(AW830="Y",BU830&amp;"",BG830&amp;""))</f>
        <v/>
      </c>
      <c r="AF830" s="0" t="str">
        <f aca="false">IF($A830="","",IF(AW830="Y",BV830&amp;"",BH830&amp;""))</f>
        <v/>
      </c>
      <c r="AG830" s="0" t="str">
        <f aca="false">IF($A830="","",IF(AW830="Y",BW830&amp;"",BI830&amp;""))</f>
        <v/>
      </c>
      <c r="AH830" s="0" t="str">
        <f aca="false">IF($A830="","",IF(AW830="Y",BX830&amp;"",BJ830&amp;""))</f>
        <v/>
      </c>
      <c r="AQ830" s="5"/>
      <c r="AT830" s="0" t="str">
        <f aca="false">IF($A830="","",IF(AND(CN830="pass",AQ830&lt;&gt;"Y",C830&lt;&gt;"",OR(AX830&lt;&gt;"Y",AV830="Y")),"Y","N"))</f>
        <v/>
      </c>
      <c r="AU830" s="0" t="str">
        <f aca="false">IF($A830="","",_xlfn.TEXTJOIN("; ",TRUE(),IF(CN830&lt;&gt;"pass","gated out",""),IF(AQ830="Y","on hold: "&amp;AR830,""),IF(C830="","no contact named on an opened page",""),IF(AND(AX830="Y",AV830&lt;&gt;"Y"),"Tuesday estimate band "&amp;L830&amp;": founder's call","")))</f>
        <v/>
      </c>
      <c r="BC830" s="0" t="str">
        <f aca="false">IF($A830="","",IFERROR(INDEX(Enrichment!$A$2:$GZ$2000,MATCH($A830,INDEX(Enrichment!$A$2:$GZ$2000,0,MATCH("row_id",Enrichment!$A$1:$GZ$1,0)),0),MATCH("work_email",Enrichment!$A$1:$GZ$1,0))&amp;"",""))</f>
        <v/>
      </c>
      <c r="BD830" s="0" t="str">
        <f aca="false">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Q830" s="0" t="str">
        <f aca="false">IF($A830="","",IFERROR(INDEX(Enrichment!$A$2:$GZ$2000,MATCH($A830,INDEX(Enrichment!$A$2:$GZ$2000,0,MATCH("row_id",Enrichment!$A$1:$GZ$1,0)),0),MATCH("backup_work_email",Enrichment!$A$1:$GZ$1,0))&amp;"",""))</f>
        <v/>
      </c>
      <c r="BR830" s="0" t="str">
        <f aca="false">IF($A830="","",IF(BQ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EQ830" s="0" t="str">
        <f aca="false">IF($A830="","",IF(AH830="exact",10,IF(AH830="adjacent",5,0)))</f>
        <v/>
      </c>
      <c r="ER830" s="0" t="str">
        <f aca="false">IF($A830="","",IF(R830="Y",15,0))</f>
        <v/>
      </c>
      <c r="FS830" s="0" t="str">
        <f aca="false">IF($A830="","",IF(ISNUMBER(MATCH(U830,{"queued","contacted","replied","call_booked","call_done","yes_in_principle","materials_sent"},0)),"Y","N"))</f>
        <v/>
      </c>
      <c r="FT830" s="0" t="str">
        <f aca="false">IF($A830="","",IF(OR(T830="Y",U830="do_not_contact",AS830&amp;""&lt;&gt;""),"Y","N"))</f>
        <v/>
      </c>
      <c r="FU830" s="0" t="str">
        <f aca="false">IF($A830="","",IF(AP830&amp;""&lt;&gt;"",AP830&amp;"",$A830))</f>
        <v/>
      </c>
      <c r="FV830" s="0" t="str">
        <f aca="false">IF($A830="","",IF(COUNTIFS($FU$2:$FU$1000,FU830,$FS$2:$FS$1000,"Y")+COUNTIFS($FU$2:$FU$1000,FU830,$FT$2:$FT$1000,"Y")&gt;0,"Y","N"))</f>
        <v/>
      </c>
      <c r="FW830" s="0" t="str">
        <f aca="false">IF($A830="","",IF(AND(U830="new",T830="N",FT830="N",AT830="Y",FV830="N"),"Y","N"))</f>
        <v/>
      </c>
      <c r="FX830" s="0" t="str">
        <f aca="false">IF($A830="","",IF(FW830&lt;&gt;"Y","N",IF(COUNTIFS($FU$2:$FU$1000,FU830,$FW$2:$FW$1000,"Y",$J$2:$J$1000,"&gt;"&amp;J830)+COUNTIFS($FU$2:$FU$1000,FU830,$FW$2:$FW$1000,"Y",$J$2:$J$1000,J830,$GD$2:$GD$1000,"&lt;"&amp;GD830)=0,"Y","N")))</f>
        <v/>
      </c>
      <c r="FY830" s="0" t="str">
        <f aca="false">IF($A830="","",IF(AND(FW830="Y",FX830="Y",Y830&amp;""&lt;&gt;""),IF(Y830&lt;=10,"Y","N"),"N"))</f>
        <v/>
      </c>
      <c r="FZ830" s="0" t="str">
        <f aca="false">IF(FY830="Y",Y830,"")</f>
        <v/>
      </c>
      <c r="GA830" s="0" t="str">
        <f aca="false">IF($A830="","",IF(AND(I830="walk-in",CN830="pass",U830="new",FT830="N",FV830="N",AQ830&lt;&gt;"Y"),"Y","N"))</f>
        <v/>
      </c>
      <c r="GB830" s="0" t="str">
        <f aca="false">IF(GA830&lt;&gt;"Y","",IF(COUNTIFS($GA$2:$GA$1000,"Y",$J$2:$J$1000,"&gt;"&amp;J830)+COUNTIFS($GA$2:$GA$1000,"Y",$J$2:$J$1000,J830,$GD$2:$GD$1000,"&lt;"&amp;GD830)+1&lt;=25,COUNTIFS($GA$2:$GA$1000,"Y",$J$2:$J$1000,"&gt;"&amp;J830)+COUNTIFS($GA$2:$GA$1000,"Y",$J$2:$J$1000,J830,$GD$2:$GD$1000,"&lt;"&amp;GD830)+1,""))</f>
        <v/>
      </c>
      <c r="GC830" s="0" t="str">
        <f aca="false">IF(AND(_xlfn.ISFORMULA(C830),_xlfn.ISFORMULA(J830)),"Y","N")</f>
        <v>Y</v>
      </c>
      <c r="GD830" s="0" t="n">
        <f aca="false">ROW()-1</f>
        <v>829</v>
      </c>
    </row>
    <row r="831" customFormat="false" ht="15" hidden="false" customHeight="false" outlineLevel="0" collapsed="false">
      <c r="C831" s="0" t="str">
        <f aca="false">IF($A831="","",IF(AW831="Y",BM831&amp;"",AY831&amp;""))</f>
        <v/>
      </c>
      <c r="D831" s="0" t="str">
        <f aca="false">IF($A831="","",IF(AW831="Y",BN831&amp;"",AZ831&amp;""))</f>
        <v/>
      </c>
      <c r="E831" s="0" t="str">
        <f aca="false">IF($A831="","",IF(AW831="Y",BO831&amp;"",BA831&amp;""))</f>
        <v/>
      </c>
      <c r="F831" s="0" t="str">
        <f aca="false">IF($A831="","",IF(AW831="Y",BP831&amp;"",BB831&amp;""))</f>
        <v/>
      </c>
      <c r="G831" s="0" t="str">
        <f aca="false">IF($A831="","",IF(AW831="Y",BQ831&amp;"",BC831&amp;""))</f>
        <v/>
      </c>
      <c r="H831" s="0" t="str">
        <f aca="false">IF($A831="","",IF(AW831="Y",BR831&amp;"",BD831&amp;""))</f>
        <v/>
      </c>
      <c r="I831" s="0" t="str">
        <f aca="false">IF($A831="","",IF(R831="Y","warm-intro",IF(H831="verified","email",IF(C831&lt;&gt;"","linkedin",CB831&amp;""))))</f>
        <v/>
      </c>
      <c r="J831" s="0" t="str">
        <f aca="false">IF($A831="","",IF(CN831="pass",ROUND(N(EM831)+N(EN831)+N(EO831)+N(EP831)+N(EQ831)+N(ER831),1),0))</f>
        <v/>
      </c>
      <c r="K831" s="0" t="str">
        <f aca="false">IF($A831="","",IF(CN831&lt;&gt;"pass",CA831&amp;"",CA831&amp;"; "&amp;IF(AW831="Y",BZ831&amp;"",BL831&amp;"")&amp;IF(R831="Y","; known to the founder (+15)","")&amp;"."))</f>
        <v/>
      </c>
      <c r="R831" s="5"/>
      <c r="U831" s="5"/>
      <c r="Y831" s="0" t="str">
        <f aca="false">IF(FX831&lt;&gt;"Y","",COUNTIFS($FX$2:$FX$1000,"Y",$J$2:$J$1000,"&gt;"&amp;J831)+COUNTIFS($FX$2:$FX$1000,"Y",$J$2:$J$1000,J831,$GD$2:$GD$1000,"&lt;"&amp;GD831)+1)</f>
        <v/>
      </c>
      <c r="AB831" s="0" t="str">
        <f aca="false">IF($A831="","",IF(AW831="Y",BY831&amp;"",BK831&amp;""))</f>
        <v/>
      </c>
      <c r="AC831" s="0" t="str">
        <f aca="false">IF($A831="","",IF(AW831="Y",BS831&amp;"",BE831&amp;""))</f>
        <v/>
      </c>
      <c r="AD831" s="0" t="str">
        <f aca="false">IF($A831="","",IF(AW831="Y",BT831&amp;"",BF831&amp;""))</f>
        <v/>
      </c>
      <c r="AE831" s="0" t="str">
        <f aca="false">IF($A831="","",IF(AW831="Y",BU831&amp;"",BG831&amp;""))</f>
        <v/>
      </c>
      <c r="AF831" s="0" t="str">
        <f aca="false">IF($A831="","",IF(AW831="Y",BV831&amp;"",BH831&amp;""))</f>
        <v/>
      </c>
      <c r="AG831" s="0" t="str">
        <f aca="false">IF($A831="","",IF(AW831="Y",BW831&amp;"",BI831&amp;""))</f>
        <v/>
      </c>
      <c r="AH831" s="0" t="str">
        <f aca="false">IF($A831="","",IF(AW831="Y",BX831&amp;"",BJ831&amp;""))</f>
        <v/>
      </c>
      <c r="AQ831" s="5"/>
      <c r="AT831" s="0" t="str">
        <f aca="false">IF($A831="","",IF(AND(CN831="pass",AQ831&lt;&gt;"Y",C831&lt;&gt;"",OR(AX831&lt;&gt;"Y",AV831="Y")),"Y","N"))</f>
        <v/>
      </c>
      <c r="AU831" s="0" t="str">
        <f aca="false">IF($A831="","",_xlfn.TEXTJOIN("; ",TRUE(),IF(CN831&lt;&gt;"pass","gated out",""),IF(AQ831="Y","on hold: "&amp;AR831,""),IF(C831="","no contact named on an opened page",""),IF(AND(AX831="Y",AV831&lt;&gt;"Y"),"Tuesday estimate band "&amp;L831&amp;": founder's call","")))</f>
        <v/>
      </c>
      <c r="BC831" s="0" t="str">
        <f aca="false">IF($A831="","",IFERROR(INDEX(Enrichment!$A$2:$GZ$2000,MATCH($A831,INDEX(Enrichment!$A$2:$GZ$2000,0,MATCH("row_id",Enrichment!$A$1:$GZ$1,0)),0),MATCH("work_email",Enrichment!$A$1:$GZ$1,0))&amp;"",""))</f>
        <v/>
      </c>
      <c r="BD831" s="0" t="str">
        <f aca="false">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Q831" s="0" t="str">
        <f aca="false">IF($A831="","",IFERROR(INDEX(Enrichment!$A$2:$GZ$2000,MATCH($A831,INDEX(Enrichment!$A$2:$GZ$2000,0,MATCH("row_id",Enrichment!$A$1:$GZ$1,0)),0),MATCH("backup_work_email",Enrichment!$A$1:$GZ$1,0))&amp;"",""))</f>
        <v/>
      </c>
      <c r="BR831" s="0" t="str">
        <f aca="false">IF($A831="","",IF(BQ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EQ831" s="0" t="str">
        <f aca="false">IF($A831="","",IF(AH831="exact",10,IF(AH831="adjacent",5,0)))</f>
        <v/>
      </c>
      <c r="ER831" s="0" t="str">
        <f aca="false">IF($A831="","",IF(R831="Y",15,0))</f>
        <v/>
      </c>
      <c r="FS831" s="0" t="str">
        <f aca="false">IF($A831="","",IF(ISNUMBER(MATCH(U831,{"queued","contacted","replied","call_booked","call_done","yes_in_principle","materials_sent"},0)),"Y","N"))</f>
        <v/>
      </c>
      <c r="FT831" s="0" t="str">
        <f aca="false">IF($A831="","",IF(OR(T831="Y",U831="do_not_contact",AS831&amp;""&lt;&gt;""),"Y","N"))</f>
        <v/>
      </c>
      <c r="FU831" s="0" t="str">
        <f aca="false">IF($A831="","",IF(AP831&amp;""&lt;&gt;"",AP831&amp;"",$A831))</f>
        <v/>
      </c>
      <c r="FV831" s="0" t="str">
        <f aca="false">IF($A831="","",IF(COUNTIFS($FU$2:$FU$1000,FU831,$FS$2:$FS$1000,"Y")+COUNTIFS($FU$2:$FU$1000,FU831,$FT$2:$FT$1000,"Y")&gt;0,"Y","N"))</f>
        <v/>
      </c>
      <c r="FW831" s="0" t="str">
        <f aca="false">IF($A831="","",IF(AND(U831="new",T831="N",FT831="N",AT831="Y",FV831="N"),"Y","N"))</f>
        <v/>
      </c>
      <c r="FX831" s="0" t="str">
        <f aca="false">IF($A831="","",IF(FW831&lt;&gt;"Y","N",IF(COUNTIFS($FU$2:$FU$1000,FU831,$FW$2:$FW$1000,"Y",$J$2:$J$1000,"&gt;"&amp;J831)+COUNTIFS($FU$2:$FU$1000,FU831,$FW$2:$FW$1000,"Y",$J$2:$J$1000,J831,$GD$2:$GD$1000,"&lt;"&amp;GD831)=0,"Y","N")))</f>
        <v/>
      </c>
      <c r="FY831" s="0" t="str">
        <f aca="false">IF($A831="","",IF(AND(FW831="Y",FX831="Y",Y831&amp;""&lt;&gt;""),IF(Y831&lt;=10,"Y","N"),"N"))</f>
        <v/>
      </c>
      <c r="FZ831" s="0" t="str">
        <f aca="false">IF(FY831="Y",Y831,"")</f>
        <v/>
      </c>
      <c r="GA831" s="0" t="str">
        <f aca="false">IF($A831="","",IF(AND(I831="walk-in",CN831="pass",U831="new",FT831="N",FV831="N",AQ831&lt;&gt;"Y"),"Y","N"))</f>
        <v/>
      </c>
      <c r="GB831" s="0" t="str">
        <f aca="false">IF(GA831&lt;&gt;"Y","",IF(COUNTIFS($GA$2:$GA$1000,"Y",$J$2:$J$1000,"&gt;"&amp;J831)+COUNTIFS($GA$2:$GA$1000,"Y",$J$2:$J$1000,J831,$GD$2:$GD$1000,"&lt;"&amp;GD831)+1&lt;=25,COUNTIFS($GA$2:$GA$1000,"Y",$J$2:$J$1000,"&gt;"&amp;J831)+COUNTIFS($GA$2:$GA$1000,"Y",$J$2:$J$1000,J831,$GD$2:$GD$1000,"&lt;"&amp;GD831)+1,""))</f>
        <v/>
      </c>
      <c r="GC831" s="0" t="str">
        <f aca="false">IF(AND(_xlfn.ISFORMULA(C831),_xlfn.ISFORMULA(J831)),"Y","N")</f>
        <v>Y</v>
      </c>
      <c r="GD831" s="0" t="n">
        <f aca="false">ROW()-1</f>
        <v>830</v>
      </c>
    </row>
    <row r="832" customFormat="false" ht="15" hidden="false" customHeight="false" outlineLevel="0" collapsed="false">
      <c r="C832" s="0" t="str">
        <f aca="false">IF($A832="","",IF(AW832="Y",BM832&amp;"",AY832&amp;""))</f>
        <v/>
      </c>
      <c r="D832" s="0" t="str">
        <f aca="false">IF($A832="","",IF(AW832="Y",BN832&amp;"",AZ832&amp;""))</f>
        <v/>
      </c>
      <c r="E832" s="0" t="str">
        <f aca="false">IF($A832="","",IF(AW832="Y",BO832&amp;"",BA832&amp;""))</f>
        <v/>
      </c>
      <c r="F832" s="0" t="str">
        <f aca="false">IF($A832="","",IF(AW832="Y",BP832&amp;"",BB832&amp;""))</f>
        <v/>
      </c>
      <c r="G832" s="0" t="str">
        <f aca="false">IF($A832="","",IF(AW832="Y",BQ832&amp;"",BC832&amp;""))</f>
        <v/>
      </c>
      <c r="H832" s="0" t="str">
        <f aca="false">IF($A832="","",IF(AW832="Y",BR832&amp;"",BD832&amp;""))</f>
        <v/>
      </c>
      <c r="I832" s="0" t="str">
        <f aca="false">IF($A832="","",IF(R832="Y","warm-intro",IF(H832="verified","email",IF(C832&lt;&gt;"","linkedin",CB832&amp;""))))</f>
        <v/>
      </c>
      <c r="J832" s="0" t="str">
        <f aca="false">IF($A832="","",IF(CN832="pass",ROUND(N(EM832)+N(EN832)+N(EO832)+N(EP832)+N(EQ832)+N(ER832),1),0))</f>
        <v/>
      </c>
      <c r="K832" s="0" t="str">
        <f aca="false">IF($A832="","",IF(CN832&lt;&gt;"pass",CA832&amp;"",CA832&amp;"; "&amp;IF(AW832="Y",BZ832&amp;"",BL832&amp;"")&amp;IF(R832="Y","; known to the founder (+15)","")&amp;"."))</f>
        <v/>
      </c>
      <c r="R832" s="5"/>
      <c r="U832" s="5"/>
      <c r="Y832" s="0" t="str">
        <f aca="false">IF(FX832&lt;&gt;"Y","",COUNTIFS($FX$2:$FX$1000,"Y",$J$2:$J$1000,"&gt;"&amp;J832)+COUNTIFS($FX$2:$FX$1000,"Y",$J$2:$J$1000,J832,$GD$2:$GD$1000,"&lt;"&amp;GD832)+1)</f>
        <v/>
      </c>
      <c r="AB832" s="0" t="str">
        <f aca="false">IF($A832="","",IF(AW832="Y",BY832&amp;"",BK832&amp;""))</f>
        <v/>
      </c>
      <c r="AC832" s="0" t="str">
        <f aca="false">IF($A832="","",IF(AW832="Y",BS832&amp;"",BE832&amp;""))</f>
        <v/>
      </c>
      <c r="AD832" s="0" t="str">
        <f aca="false">IF($A832="","",IF(AW832="Y",BT832&amp;"",BF832&amp;""))</f>
        <v/>
      </c>
      <c r="AE832" s="0" t="str">
        <f aca="false">IF($A832="","",IF(AW832="Y",BU832&amp;"",BG832&amp;""))</f>
        <v/>
      </c>
      <c r="AF832" s="0" t="str">
        <f aca="false">IF($A832="","",IF(AW832="Y",BV832&amp;"",BH832&amp;""))</f>
        <v/>
      </c>
      <c r="AG832" s="0" t="str">
        <f aca="false">IF($A832="","",IF(AW832="Y",BW832&amp;"",BI832&amp;""))</f>
        <v/>
      </c>
      <c r="AH832" s="0" t="str">
        <f aca="false">IF($A832="","",IF(AW832="Y",BX832&amp;"",BJ832&amp;""))</f>
        <v/>
      </c>
      <c r="AQ832" s="5"/>
      <c r="AT832" s="0" t="str">
        <f aca="false">IF($A832="","",IF(AND(CN832="pass",AQ832&lt;&gt;"Y",C832&lt;&gt;"",OR(AX832&lt;&gt;"Y",AV832="Y")),"Y","N"))</f>
        <v/>
      </c>
      <c r="AU832" s="0" t="str">
        <f aca="false">IF($A832="","",_xlfn.TEXTJOIN("; ",TRUE(),IF(CN832&lt;&gt;"pass","gated out",""),IF(AQ832="Y","on hold: "&amp;AR832,""),IF(C832="","no contact named on an opened page",""),IF(AND(AX832="Y",AV832&lt;&gt;"Y"),"Tuesday estimate band "&amp;L832&amp;": founder's call","")))</f>
        <v/>
      </c>
      <c r="BC832" s="0" t="str">
        <f aca="false">IF($A832="","",IFERROR(INDEX(Enrichment!$A$2:$GZ$2000,MATCH($A832,INDEX(Enrichment!$A$2:$GZ$2000,0,MATCH("row_id",Enrichment!$A$1:$GZ$1,0)),0),MATCH("work_email",Enrichment!$A$1:$GZ$1,0))&amp;"",""))</f>
        <v/>
      </c>
      <c r="BD832" s="0" t="str">
        <f aca="false">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Q832" s="0" t="str">
        <f aca="false">IF($A832="","",IFERROR(INDEX(Enrichment!$A$2:$GZ$2000,MATCH($A832,INDEX(Enrichment!$A$2:$GZ$2000,0,MATCH("row_id",Enrichment!$A$1:$GZ$1,0)),0),MATCH("backup_work_email",Enrichment!$A$1:$GZ$1,0))&amp;"",""))</f>
        <v/>
      </c>
      <c r="BR832" s="0" t="str">
        <f aca="false">IF($A832="","",IF(BQ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EQ832" s="0" t="str">
        <f aca="false">IF($A832="","",IF(AH832="exact",10,IF(AH832="adjacent",5,0)))</f>
        <v/>
      </c>
      <c r="ER832" s="0" t="str">
        <f aca="false">IF($A832="","",IF(R832="Y",15,0))</f>
        <v/>
      </c>
      <c r="FS832" s="0" t="str">
        <f aca="false">IF($A832="","",IF(ISNUMBER(MATCH(U832,{"queued","contacted","replied","call_booked","call_done","yes_in_principle","materials_sent"},0)),"Y","N"))</f>
        <v/>
      </c>
      <c r="FT832" s="0" t="str">
        <f aca="false">IF($A832="","",IF(OR(T832="Y",U832="do_not_contact",AS832&amp;""&lt;&gt;""),"Y","N"))</f>
        <v/>
      </c>
      <c r="FU832" s="0" t="str">
        <f aca="false">IF($A832="","",IF(AP832&amp;""&lt;&gt;"",AP832&amp;"",$A832))</f>
        <v/>
      </c>
      <c r="FV832" s="0" t="str">
        <f aca="false">IF($A832="","",IF(COUNTIFS($FU$2:$FU$1000,FU832,$FS$2:$FS$1000,"Y")+COUNTIFS($FU$2:$FU$1000,FU832,$FT$2:$FT$1000,"Y")&gt;0,"Y","N"))</f>
        <v/>
      </c>
      <c r="FW832" s="0" t="str">
        <f aca="false">IF($A832="","",IF(AND(U832="new",T832="N",FT832="N",AT832="Y",FV832="N"),"Y","N"))</f>
        <v/>
      </c>
      <c r="FX832" s="0" t="str">
        <f aca="false">IF($A832="","",IF(FW832&lt;&gt;"Y","N",IF(COUNTIFS($FU$2:$FU$1000,FU832,$FW$2:$FW$1000,"Y",$J$2:$J$1000,"&gt;"&amp;J832)+COUNTIFS($FU$2:$FU$1000,FU832,$FW$2:$FW$1000,"Y",$J$2:$J$1000,J832,$GD$2:$GD$1000,"&lt;"&amp;GD832)=0,"Y","N")))</f>
        <v/>
      </c>
      <c r="FY832" s="0" t="str">
        <f aca="false">IF($A832="","",IF(AND(FW832="Y",FX832="Y",Y832&amp;""&lt;&gt;""),IF(Y832&lt;=10,"Y","N"),"N"))</f>
        <v/>
      </c>
      <c r="FZ832" s="0" t="str">
        <f aca="false">IF(FY832="Y",Y832,"")</f>
        <v/>
      </c>
      <c r="GA832" s="0" t="str">
        <f aca="false">IF($A832="","",IF(AND(I832="walk-in",CN832="pass",U832="new",FT832="N",FV832="N",AQ832&lt;&gt;"Y"),"Y","N"))</f>
        <v/>
      </c>
      <c r="GB832" s="0" t="str">
        <f aca="false">IF(GA832&lt;&gt;"Y","",IF(COUNTIFS($GA$2:$GA$1000,"Y",$J$2:$J$1000,"&gt;"&amp;J832)+COUNTIFS($GA$2:$GA$1000,"Y",$J$2:$J$1000,J832,$GD$2:$GD$1000,"&lt;"&amp;GD832)+1&lt;=25,COUNTIFS($GA$2:$GA$1000,"Y",$J$2:$J$1000,"&gt;"&amp;J832)+COUNTIFS($GA$2:$GA$1000,"Y",$J$2:$J$1000,J832,$GD$2:$GD$1000,"&lt;"&amp;GD832)+1,""))</f>
        <v/>
      </c>
      <c r="GC832" s="0" t="str">
        <f aca="false">IF(AND(_xlfn.ISFORMULA(C832),_xlfn.ISFORMULA(J832)),"Y","N")</f>
        <v>Y</v>
      </c>
      <c r="GD832" s="0" t="n">
        <f aca="false">ROW()-1</f>
        <v>831</v>
      </c>
    </row>
    <row r="833" customFormat="false" ht="15" hidden="false" customHeight="false" outlineLevel="0" collapsed="false">
      <c r="C833" s="0" t="str">
        <f aca="false">IF($A833="","",IF(AW833="Y",BM833&amp;"",AY833&amp;""))</f>
        <v/>
      </c>
      <c r="D833" s="0" t="str">
        <f aca="false">IF($A833="","",IF(AW833="Y",BN833&amp;"",AZ833&amp;""))</f>
        <v/>
      </c>
      <c r="E833" s="0" t="str">
        <f aca="false">IF($A833="","",IF(AW833="Y",BO833&amp;"",BA833&amp;""))</f>
        <v/>
      </c>
      <c r="F833" s="0" t="str">
        <f aca="false">IF($A833="","",IF(AW833="Y",BP833&amp;"",BB833&amp;""))</f>
        <v/>
      </c>
      <c r="G833" s="0" t="str">
        <f aca="false">IF($A833="","",IF(AW833="Y",BQ833&amp;"",BC833&amp;""))</f>
        <v/>
      </c>
      <c r="H833" s="0" t="str">
        <f aca="false">IF($A833="","",IF(AW833="Y",BR833&amp;"",BD833&amp;""))</f>
        <v/>
      </c>
      <c r="I833" s="0" t="str">
        <f aca="false">IF($A833="","",IF(R833="Y","warm-intro",IF(H833="verified","email",IF(C833&lt;&gt;"","linkedin",CB833&amp;""))))</f>
        <v/>
      </c>
      <c r="J833" s="0" t="str">
        <f aca="false">IF($A833="","",IF(CN833="pass",ROUND(N(EM833)+N(EN833)+N(EO833)+N(EP833)+N(EQ833)+N(ER833),1),0))</f>
        <v/>
      </c>
      <c r="K833" s="0" t="str">
        <f aca="false">IF($A833="","",IF(CN833&lt;&gt;"pass",CA833&amp;"",CA833&amp;"; "&amp;IF(AW833="Y",BZ833&amp;"",BL833&amp;"")&amp;IF(R833="Y","; known to the founder (+15)","")&amp;"."))</f>
        <v/>
      </c>
      <c r="R833" s="5"/>
      <c r="U833" s="5"/>
      <c r="Y833" s="0" t="str">
        <f aca="false">IF(FX833&lt;&gt;"Y","",COUNTIFS($FX$2:$FX$1000,"Y",$J$2:$J$1000,"&gt;"&amp;J833)+COUNTIFS($FX$2:$FX$1000,"Y",$J$2:$J$1000,J833,$GD$2:$GD$1000,"&lt;"&amp;GD833)+1)</f>
        <v/>
      </c>
      <c r="AB833" s="0" t="str">
        <f aca="false">IF($A833="","",IF(AW833="Y",BY833&amp;"",BK833&amp;""))</f>
        <v/>
      </c>
      <c r="AC833" s="0" t="str">
        <f aca="false">IF($A833="","",IF(AW833="Y",BS833&amp;"",BE833&amp;""))</f>
        <v/>
      </c>
      <c r="AD833" s="0" t="str">
        <f aca="false">IF($A833="","",IF(AW833="Y",BT833&amp;"",BF833&amp;""))</f>
        <v/>
      </c>
      <c r="AE833" s="0" t="str">
        <f aca="false">IF($A833="","",IF(AW833="Y",BU833&amp;"",BG833&amp;""))</f>
        <v/>
      </c>
      <c r="AF833" s="0" t="str">
        <f aca="false">IF($A833="","",IF(AW833="Y",BV833&amp;"",BH833&amp;""))</f>
        <v/>
      </c>
      <c r="AG833" s="0" t="str">
        <f aca="false">IF($A833="","",IF(AW833="Y",BW833&amp;"",BI833&amp;""))</f>
        <v/>
      </c>
      <c r="AH833" s="0" t="str">
        <f aca="false">IF($A833="","",IF(AW833="Y",BX833&amp;"",BJ833&amp;""))</f>
        <v/>
      </c>
      <c r="AQ833" s="5"/>
      <c r="AT833" s="0" t="str">
        <f aca="false">IF($A833="","",IF(AND(CN833="pass",AQ833&lt;&gt;"Y",C833&lt;&gt;"",OR(AX833&lt;&gt;"Y",AV833="Y")),"Y","N"))</f>
        <v/>
      </c>
      <c r="AU833" s="0" t="str">
        <f aca="false">IF($A833="","",_xlfn.TEXTJOIN("; ",TRUE(),IF(CN833&lt;&gt;"pass","gated out",""),IF(AQ833="Y","on hold: "&amp;AR833,""),IF(C833="","no contact named on an opened page",""),IF(AND(AX833="Y",AV833&lt;&gt;"Y"),"Tuesday estimate band "&amp;L833&amp;": founder's call","")))</f>
        <v/>
      </c>
      <c r="BC833" s="0" t="str">
        <f aca="false">IF($A833="","",IFERROR(INDEX(Enrichment!$A$2:$GZ$2000,MATCH($A833,INDEX(Enrichment!$A$2:$GZ$2000,0,MATCH("row_id",Enrichment!$A$1:$GZ$1,0)),0),MATCH("work_email",Enrichment!$A$1:$GZ$1,0))&amp;"",""))</f>
        <v/>
      </c>
      <c r="BD833" s="0" t="str">
        <f aca="false">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Q833" s="0" t="str">
        <f aca="false">IF($A833="","",IFERROR(INDEX(Enrichment!$A$2:$GZ$2000,MATCH($A833,INDEX(Enrichment!$A$2:$GZ$2000,0,MATCH("row_id",Enrichment!$A$1:$GZ$1,0)),0),MATCH("backup_work_email",Enrichment!$A$1:$GZ$1,0))&amp;"",""))</f>
        <v/>
      </c>
      <c r="BR833" s="0" t="str">
        <f aca="false">IF($A833="","",IF(BQ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EQ833" s="0" t="str">
        <f aca="false">IF($A833="","",IF(AH833="exact",10,IF(AH833="adjacent",5,0)))</f>
        <v/>
      </c>
      <c r="ER833" s="0" t="str">
        <f aca="false">IF($A833="","",IF(R833="Y",15,0))</f>
        <v/>
      </c>
      <c r="FS833" s="0" t="str">
        <f aca="false">IF($A833="","",IF(ISNUMBER(MATCH(U833,{"queued","contacted","replied","call_booked","call_done","yes_in_principle","materials_sent"},0)),"Y","N"))</f>
        <v/>
      </c>
      <c r="FT833" s="0" t="str">
        <f aca="false">IF($A833="","",IF(OR(T833="Y",U833="do_not_contact",AS833&amp;""&lt;&gt;""),"Y","N"))</f>
        <v/>
      </c>
      <c r="FU833" s="0" t="str">
        <f aca="false">IF($A833="","",IF(AP833&amp;""&lt;&gt;"",AP833&amp;"",$A833))</f>
        <v/>
      </c>
      <c r="FV833" s="0" t="str">
        <f aca="false">IF($A833="","",IF(COUNTIFS($FU$2:$FU$1000,FU833,$FS$2:$FS$1000,"Y")+COUNTIFS($FU$2:$FU$1000,FU833,$FT$2:$FT$1000,"Y")&gt;0,"Y","N"))</f>
        <v/>
      </c>
      <c r="FW833" s="0" t="str">
        <f aca="false">IF($A833="","",IF(AND(U833="new",T833="N",FT833="N",AT833="Y",FV833="N"),"Y","N"))</f>
        <v/>
      </c>
      <c r="FX833" s="0" t="str">
        <f aca="false">IF($A833="","",IF(FW833&lt;&gt;"Y","N",IF(COUNTIFS($FU$2:$FU$1000,FU833,$FW$2:$FW$1000,"Y",$J$2:$J$1000,"&gt;"&amp;J833)+COUNTIFS($FU$2:$FU$1000,FU833,$FW$2:$FW$1000,"Y",$J$2:$J$1000,J833,$GD$2:$GD$1000,"&lt;"&amp;GD833)=0,"Y","N")))</f>
        <v/>
      </c>
      <c r="FY833" s="0" t="str">
        <f aca="false">IF($A833="","",IF(AND(FW833="Y",FX833="Y",Y833&amp;""&lt;&gt;""),IF(Y833&lt;=10,"Y","N"),"N"))</f>
        <v/>
      </c>
      <c r="FZ833" s="0" t="str">
        <f aca="false">IF(FY833="Y",Y833,"")</f>
        <v/>
      </c>
      <c r="GA833" s="0" t="str">
        <f aca="false">IF($A833="","",IF(AND(I833="walk-in",CN833="pass",U833="new",FT833="N",FV833="N",AQ833&lt;&gt;"Y"),"Y","N"))</f>
        <v/>
      </c>
      <c r="GB833" s="0" t="str">
        <f aca="false">IF(GA833&lt;&gt;"Y","",IF(COUNTIFS($GA$2:$GA$1000,"Y",$J$2:$J$1000,"&gt;"&amp;J833)+COUNTIFS($GA$2:$GA$1000,"Y",$J$2:$J$1000,J833,$GD$2:$GD$1000,"&lt;"&amp;GD833)+1&lt;=25,COUNTIFS($GA$2:$GA$1000,"Y",$J$2:$J$1000,"&gt;"&amp;J833)+COUNTIFS($GA$2:$GA$1000,"Y",$J$2:$J$1000,J833,$GD$2:$GD$1000,"&lt;"&amp;GD833)+1,""))</f>
        <v/>
      </c>
      <c r="GC833" s="0" t="str">
        <f aca="false">IF(AND(_xlfn.ISFORMULA(C833),_xlfn.ISFORMULA(J833)),"Y","N")</f>
        <v>Y</v>
      </c>
      <c r="GD833" s="0" t="n">
        <f aca="false">ROW()-1</f>
        <v>832</v>
      </c>
    </row>
    <row r="834" customFormat="false" ht="15" hidden="false" customHeight="false" outlineLevel="0" collapsed="false">
      <c r="C834" s="0" t="str">
        <f aca="false">IF($A834="","",IF(AW834="Y",BM834&amp;"",AY834&amp;""))</f>
        <v/>
      </c>
      <c r="D834" s="0" t="str">
        <f aca="false">IF($A834="","",IF(AW834="Y",BN834&amp;"",AZ834&amp;""))</f>
        <v/>
      </c>
      <c r="E834" s="0" t="str">
        <f aca="false">IF($A834="","",IF(AW834="Y",BO834&amp;"",BA834&amp;""))</f>
        <v/>
      </c>
      <c r="F834" s="0" t="str">
        <f aca="false">IF($A834="","",IF(AW834="Y",BP834&amp;"",BB834&amp;""))</f>
        <v/>
      </c>
      <c r="G834" s="0" t="str">
        <f aca="false">IF($A834="","",IF(AW834="Y",BQ834&amp;"",BC834&amp;""))</f>
        <v/>
      </c>
      <c r="H834" s="0" t="str">
        <f aca="false">IF($A834="","",IF(AW834="Y",BR834&amp;"",BD834&amp;""))</f>
        <v/>
      </c>
      <c r="I834" s="0" t="str">
        <f aca="false">IF($A834="","",IF(R834="Y","warm-intro",IF(H834="verified","email",IF(C834&lt;&gt;"","linkedin",CB834&amp;""))))</f>
        <v/>
      </c>
      <c r="J834" s="0" t="str">
        <f aca="false">IF($A834="","",IF(CN834="pass",ROUND(N(EM834)+N(EN834)+N(EO834)+N(EP834)+N(EQ834)+N(ER834),1),0))</f>
        <v/>
      </c>
      <c r="K834" s="0" t="str">
        <f aca="false">IF($A834="","",IF(CN834&lt;&gt;"pass",CA834&amp;"",CA834&amp;"; "&amp;IF(AW834="Y",BZ834&amp;"",BL834&amp;"")&amp;IF(R834="Y","; known to the founder (+15)","")&amp;"."))</f>
        <v/>
      </c>
      <c r="R834" s="5"/>
      <c r="U834" s="5"/>
      <c r="Y834" s="0" t="str">
        <f aca="false">IF(FX834&lt;&gt;"Y","",COUNTIFS($FX$2:$FX$1000,"Y",$J$2:$J$1000,"&gt;"&amp;J834)+COUNTIFS($FX$2:$FX$1000,"Y",$J$2:$J$1000,J834,$GD$2:$GD$1000,"&lt;"&amp;GD834)+1)</f>
        <v/>
      </c>
      <c r="AB834" s="0" t="str">
        <f aca="false">IF($A834="","",IF(AW834="Y",BY834&amp;"",BK834&amp;""))</f>
        <v/>
      </c>
      <c r="AC834" s="0" t="str">
        <f aca="false">IF($A834="","",IF(AW834="Y",BS834&amp;"",BE834&amp;""))</f>
        <v/>
      </c>
      <c r="AD834" s="0" t="str">
        <f aca="false">IF($A834="","",IF(AW834="Y",BT834&amp;"",BF834&amp;""))</f>
        <v/>
      </c>
      <c r="AE834" s="0" t="str">
        <f aca="false">IF($A834="","",IF(AW834="Y",BU834&amp;"",BG834&amp;""))</f>
        <v/>
      </c>
      <c r="AF834" s="0" t="str">
        <f aca="false">IF($A834="","",IF(AW834="Y",BV834&amp;"",BH834&amp;""))</f>
        <v/>
      </c>
      <c r="AG834" s="0" t="str">
        <f aca="false">IF($A834="","",IF(AW834="Y",BW834&amp;"",BI834&amp;""))</f>
        <v/>
      </c>
      <c r="AH834" s="0" t="str">
        <f aca="false">IF($A834="","",IF(AW834="Y",BX834&amp;"",BJ834&amp;""))</f>
        <v/>
      </c>
      <c r="AQ834" s="5"/>
      <c r="AT834" s="0" t="str">
        <f aca="false">IF($A834="","",IF(AND(CN834="pass",AQ834&lt;&gt;"Y",C834&lt;&gt;"",OR(AX834&lt;&gt;"Y",AV834="Y")),"Y","N"))</f>
        <v/>
      </c>
      <c r="AU834" s="0" t="str">
        <f aca="false">IF($A834="","",_xlfn.TEXTJOIN("; ",TRUE(),IF(CN834&lt;&gt;"pass","gated out",""),IF(AQ834="Y","on hold: "&amp;AR834,""),IF(C834="","no contact named on an opened page",""),IF(AND(AX834="Y",AV834&lt;&gt;"Y"),"Tuesday estimate band "&amp;L834&amp;": founder's call","")))</f>
        <v/>
      </c>
      <c r="BC834" s="0" t="str">
        <f aca="false">IF($A834="","",IFERROR(INDEX(Enrichment!$A$2:$GZ$2000,MATCH($A834,INDEX(Enrichment!$A$2:$GZ$2000,0,MATCH("row_id",Enrichment!$A$1:$GZ$1,0)),0),MATCH("work_email",Enrichment!$A$1:$GZ$1,0))&amp;"",""))</f>
        <v/>
      </c>
      <c r="BD834" s="0" t="str">
        <f aca="false">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Q834" s="0" t="str">
        <f aca="false">IF($A834="","",IFERROR(INDEX(Enrichment!$A$2:$GZ$2000,MATCH($A834,INDEX(Enrichment!$A$2:$GZ$2000,0,MATCH("row_id",Enrichment!$A$1:$GZ$1,0)),0),MATCH("backup_work_email",Enrichment!$A$1:$GZ$1,0))&amp;"",""))</f>
        <v/>
      </c>
      <c r="BR834" s="0" t="str">
        <f aca="false">IF($A834="","",IF(BQ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EQ834" s="0" t="str">
        <f aca="false">IF($A834="","",IF(AH834="exact",10,IF(AH834="adjacent",5,0)))</f>
        <v/>
      </c>
      <c r="ER834" s="0" t="str">
        <f aca="false">IF($A834="","",IF(R834="Y",15,0))</f>
        <v/>
      </c>
      <c r="FS834" s="0" t="str">
        <f aca="false">IF($A834="","",IF(ISNUMBER(MATCH(U834,{"queued","contacted","replied","call_booked","call_done","yes_in_principle","materials_sent"},0)),"Y","N"))</f>
        <v/>
      </c>
      <c r="FT834" s="0" t="str">
        <f aca="false">IF($A834="","",IF(OR(T834="Y",U834="do_not_contact",AS834&amp;""&lt;&gt;""),"Y","N"))</f>
        <v/>
      </c>
      <c r="FU834" s="0" t="str">
        <f aca="false">IF($A834="","",IF(AP834&amp;""&lt;&gt;"",AP834&amp;"",$A834))</f>
        <v/>
      </c>
      <c r="FV834" s="0" t="str">
        <f aca="false">IF($A834="","",IF(COUNTIFS($FU$2:$FU$1000,FU834,$FS$2:$FS$1000,"Y")+COUNTIFS($FU$2:$FU$1000,FU834,$FT$2:$FT$1000,"Y")&gt;0,"Y","N"))</f>
        <v/>
      </c>
      <c r="FW834" s="0" t="str">
        <f aca="false">IF($A834="","",IF(AND(U834="new",T834="N",FT834="N",AT834="Y",FV834="N"),"Y","N"))</f>
        <v/>
      </c>
      <c r="FX834" s="0" t="str">
        <f aca="false">IF($A834="","",IF(FW834&lt;&gt;"Y","N",IF(COUNTIFS($FU$2:$FU$1000,FU834,$FW$2:$FW$1000,"Y",$J$2:$J$1000,"&gt;"&amp;J834)+COUNTIFS($FU$2:$FU$1000,FU834,$FW$2:$FW$1000,"Y",$J$2:$J$1000,J834,$GD$2:$GD$1000,"&lt;"&amp;GD834)=0,"Y","N")))</f>
        <v/>
      </c>
      <c r="FY834" s="0" t="str">
        <f aca="false">IF($A834="","",IF(AND(FW834="Y",FX834="Y",Y834&amp;""&lt;&gt;""),IF(Y834&lt;=10,"Y","N"),"N"))</f>
        <v/>
      </c>
      <c r="FZ834" s="0" t="str">
        <f aca="false">IF(FY834="Y",Y834,"")</f>
        <v/>
      </c>
      <c r="GA834" s="0" t="str">
        <f aca="false">IF($A834="","",IF(AND(I834="walk-in",CN834="pass",U834="new",FT834="N",FV834="N",AQ834&lt;&gt;"Y"),"Y","N"))</f>
        <v/>
      </c>
      <c r="GB834" s="0" t="str">
        <f aca="false">IF(GA834&lt;&gt;"Y","",IF(COUNTIFS($GA$2:$GA$1000,"Y",$J$2:$J$1000,"&gt;"&amp;J834)+COUNTIFS($GA$2:$GA$1000,"Y",$J$2:$J$1000,J834,$GD$2:$GD$1000,"&lt;"&amp;GD834)+1&lt;=25,COUNTIFS($GA$2:$GA$1000,"Y",$J$2:$J$1000,"&gt;"&amp;J834)+COUNTIFS($GA$2:$GA$1000,"Y",$J$2:$J$1000,J834,$GD$2:$GD$1000,"&lt;"&amp;GD834)+1,""))</f>
        <v/>
      </c>
      <c r="GC834" s="0" t="str">
        <f aca="false">IF(AND(_xlfn.ISFORMULA(C834),_xlfn.ISFORMULA(J834)),"Y","N")</f>
        <v>Y</v>
      </c>
      <c r="GD834" s="0" t="n">
        <f aca="false">ROW()-1</f>
        <v>833</v>
      </c>
    </row>
    <row r="835" customFormat="false" ht="15" hidden="false" customHeight="false" outlineLevel="0" collapsed="false">
      <c r="C835" s="0" t="str">
        <f aca="false">IF($A835="","",IF(AW835="Y",BM835&amp;"",AY835&amp;""))</f>
        <v/>
      </c>
      <c r="D835" s="0" t="str">
        <f aca="false">IF($A835="","",IF(AW835="Y",BN835&amp;"",AZ835&amp;""))</f>
        <v/>
      </c>
      <c r="E835" s="0" t="str">
        <f aca="false">IF($A835="","",IF(AW835="Y",BO835&amp;"",BA835&amp;""))</f>
        <v/>
      </c>
      <c r="F835" s="0" t="str">
        <f aca="false">IF($A835="","",IF(AW835="Y",BP835&amp;"",BB835&amp;""))</f>
        <v/>
      </c>
      <c r="G835" s="0" t="str">
        <f aca="false">IF($A835="","",IF(AW835="Y",BQ835&amp;"",BC835&amp;""))</f>
        <v/>
      </c>
      <c r="H835" s="0" t="str">
        <f aca="false">IF($A835="","",IF(AW835="Y",BR835&amp;"",BD835&amp;""))</f>
        <v/>
      </c>
      <c r="I835" s="0" t="str">
        <f aca="false">IF($A835="","",IF(R835="Y","warm-intro",IF(H835="verified","email",IF(C835&lt;&gt;"","linkedin",CB835&amp;""))))</f>
        <v/>
      </c>
      <c r="J835" s="0" t="str">
        <f aca="false">IF($A835="","",IF(CN835="pass",ROUND(N(EM835)+N(EN835)+N(EO835)+N(EP835)+N(EQ835)+N(ER835),1),0))</f>
        <v/>
      </c>
      <c r="K835" s="0" t="str">
        <f aca="false">IF($A835="","",IF(CN835&lt;&gt;"pass",CA835&amp;"",CA835&amp;"; "&amp;IF(AW835="Y",BZ835&amp;"",BL835&amp;"")&amp;IF(R835="Y","; known to the founder (+15)","")&amp;"."))</f>
        <v/>
      </c>
      <c r="R835" s="5"/>
      <c r="U835" s="5"/>
      <c r="Y835" s="0" t="str">
        <f aca="false">IF(FX835&lt;&gt;"Y","",COUNTIFS($FX$2:$FX$1000,"Y",$J$2:$J$1000,"&gt;"&amp;J835)+COUNTIFS($FX$2:$FX$1000,"Y",$J$2:$J$1000,J835,$GD$2:$GD$1000,"&lt;"&amp;GD835)+1)</f>
        <v/>
      </c>
      <c r="AB835" s="0" t="str">
        <f aca="false">IF($A835="","",IF(AW835="Y",BY835&amp;"",BK835&amp;""))</f>
        <v/>
      </c>
      <c r="AC835" s="0" t="str">
        <f aca="false">IF($A835="","",IF(AW835="Y",BS835&amp;"",BE835&amp;""))</f>
        <v/>
      </c>
      <c r="AD835" s="0" t="str">
        <f aca="false">IF($A835="","",IF(AW835="Y",BT835&amp;"",BF835&amp;""))</f>
        <v/>
      </c>
      <c r="AE835" s="0" t="str">
        <f aca="false">IF($A835="","",IF(AW835="Y",BU835&amp;"",BG835&amp;""))</f>
        <v/>
      </c>
      <c r="AF835" s="0" t="str">
        <f aca="false">IF($A835="","",IF(AW835="Y",BV835&amp;"",BH835&amp;""))</f>
        <v/>
      </c>
      <c r="AG835" s="0" t="str">
        <f aca="false">IF($A835="","",IF(AW835="Y",BW835&amp;"",BI835&amp;""))</f>
        <v/>
      </c>
      <c r="AH835" s="0" t="str">
        <f aca="false">IF($A835="","",IF(AW835="Y",BX835&amp;"",BJ835&amp;""))</f>
        <v/>
      </c>
      <c r="AQ835" s="5"/>
      <c r="AT835" s="0" t="str">
        <f aca="false">IF($A835="","",IF(AND(CN835="pass",AQ835&lt;&gt;"Y",C835&lt;&gt;"",OR(AX835&lt;&gt;"Y",AV835="Y")),"Y","N"))</f>
        <v/>
      </c>
      <c r="AU835" s="0" t="str">
        <f aca="false">IF($A835="","",_xlfn.TEXTJOIN("; ",TRUE(),IF(CN835&lt;&gt;"pass","gated out",""),IF(AQ835="Y","on hold: "&amp;AR835,""),IF(C835="","no contact named on an opened page",""),IF(AND(AX835="Y",AV835&lt;&gt;"Y"),"Tuesday estimate band "&amp;L835&amp;": founder's call","")))</f>
        <v/>
      </c>
      <c r="BC835" s="0" t="str">
        <f aca="false">IF($A835="","",IFERROR(INDEX(Enrichment!$A$2:$GZ$2000,MATCH($A835,INDEX(Enrichment!$A$2:$GZ$2000,0,MATCH("row_id",Enrichment!$A$1:$GZ$1,0)),0),MATCH("work_email",Enrichment!$A$1:$GZ$1,0))&amp;"",""))</f>
        <v/>
      </c>
      <c r="BD835" s="0" t="str">
        <f aca="false">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Q835" s="0" t="str">
        <f aca="false">IF($A835="","",IFERROR(INDEX(Enrichment!$A$2:$GZ$2000,MATCH($A835,INDEX(Enrichment!$A$2:$GZ$2000,0,MATCH("row_id",Enrichment!$A$1:$GZ$1,0)),0),MATCH("backup_work_email",Enrichment!$A$1:$GZ$1,0))&amp;"",""))</f>
        <v/>
      </c>
      <c r="BR835" s="0" t="str">
        <f aca="false">IF($A835="","",IF(BQ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EQ835" s="0" t="str">
        <f aca="false">IF($A835="","",IF(AH835="exact",10,IF(AH835="adjacent",5,0)))</f>
        <v/>
      </c>
      <c r="ER835" s="0" t="str">
        <f aca="false">IF($A835="","",IF(R835="Y",15,0))</f>
        <v/>
      </c>
      <c r="FS835" s="0" t="str">
        <f aca="false">IF($A835="","",IF(ISNUMBER(MATCH(U835,{"queued","contacted","replied","call_booked","call_done","yes_in_principle","materials_sent"},0)),"Y","N"))</f>
        <v/>
      </c>
      <c r="FT835" s="0" t="str">
        <f aca="false">IF($A835="","",IF(OR(T835="Y",U835="do_not_contact",AS835&amp;""&lt;&gt;""),"Y","N"))</f>
        <v/>
      </c>
      <c r="FU835" s="0" t="str">
        <f aca="false">IF($A835="","",IF(AP835&amp;""&lt;&gt;"",AP835&amp;"",$A835))</f>
        <v/>
      </c>
      <c r="FV835" s="0" t="str">
        <f aca="false">IF($A835="","",IF(COUNTIFS($FU$2:$FU$1000,FU835,$FS$2:$FS$1000,"Y")+COUNTIFS($FU$2:$FU$1000,FU835,$FT$2:$FT$1000,"Y")&gt;0,"Y","N"))</f>
        <v/>
      </c>
      <c r="FW835" s="0" t="str">
        <f aca="false">IF($A835="","",IF(AND(U835="new",T835="N",FT835="N",AT835="Y",FV835="N"),"Y","N"))</f>
        <v/>
      </c>
      <c r="FX835" s="0" t="str">
        <f aca="false">IF($A835="","",IF(FW835&lt;&gt;"Y","N",IF(COUNTIFS($FU$2:$FU$1000,FU835,$FW$2:$FW$1000,"Y",$J$2:$J$1000,"&gt;"&amp;J835)+COUNTIFS($FU$2:$FU$1000,FU835,$FW$2:$FW$1000,"Y",$J$2:$J$1000,J835,$GD$2:$GD$1000,"&lt;"&amp;GD835)=0,"Y","N")))</f>
        <v/>
      </c>
      <c r="FY835" s="0" t="str">
        <f aca="false">IF($A835="","",IF(AND(FW835="Y",FX835="Y",Y835&amp;""&lt;&gt;""),IF(Y835&lt;=10,"Y","N"),"N"))</f>
        <v/>
      </c>
      <c r="FZ835" s="0" t="str">
        <f aca="false">IF(FY835="Y",Y835,"")</f>
        <v/>
      </c>
      <c r="GA835" s="0" t="str">
        <f aca="false">IF($A835="","",IF(AND(I835="walk-in",CN835="pass",U835="new",FT835="N",FV835="N",AQ835&lt;&gt;"Y"),"Y","N"))</f>
        <v/>
      </c>
      <c r="GB835" s="0" t="str">
        <f aca="false">IF(GA835&lt;&gt;"Y","",IF(COUNTIFS($GA$2:$GA$1000,"Y",$J$2:$J$1000,"&gt;"&amp;J835)+COUNTIFS($GA$2:$GA$1000,"Y",$J$2:$J$1000,J835,$GD$2:$GD$1000,"&lt;"&amp;GD835)+1&lt;=25,COUNTIFS($GA$2:$GA$1000,"Y",$J$2:$J$1000,"&gt;"&amp;J835)+COUNTIFS($GA$2:$GA$1000,"Y",$J$2:$J$1000,J835,$GD$2:$GD$1000,"&lt;"&amp;GD835)+1,""))</f>
        <v/>
      </c>
      <c r="GC835" s="0" t="str">
        <f aca="false">IF(AND(_xlfn.ISFORMULA(C835),_xlfn.ISFORMULA(J835)),"Y","N")</f>
        <v>Y</v>
      </c>
      <c r="GD835" s="0" t="n">
        <f aca="false">ROW()-1</f>
        <v>834</v>
      </c>
    </row>
    <row r="836" customFormat="false" ht="15" hidden="false" customHeight="false" outlineLevel="0" collapsed="false">
      <c r="C836" s="0" t="str">
        <f aca="false">IF($A836="","",IF(AW836="Y",BM836&amp;"",AY836&amp;""))</f>
        <v/>
      </c>
      <c r="D836" s="0" t="str">
        <f aca="false">IF($A836="","",IF(AW836="Y",BN836&amp;"",AZ836&amp;""))</f>
        <v/>
      </c>
      <c r="E836" s="0" t="str">
        <f aca="false">IF($A836="","",IF(AW836="Y",BO836&amp;"",BA836&amp;""))</f>
        <v/>
      </c>
      <c r="F836" s="0" t="str">
        <f aca="false">IF($A836="","",IF(AW836="Y",BP836&amp;"",BB836&amp;""))</f>
        <v/>
      </c>
      <c r="G836" s="0" t="str">
        <f aca="false">IF($A836="","",IF(AW836="Y",BQ836&amp;"",BC836&amp;""))</f>
        <v/>
      </c>
      <c r="H836" s="0" t="str">
        <f aca="false">IF($A836="","",IF(AW836="Y",BR836&amp;"",BD836&amp;""))</f>
        <v/>
      </c>
      <c r="I836" s="0" t="str">
        <f aca="false">IF($A836="","",IF(R836="Y","warm-intro",IF(H836="verified","email",IF(C836&lt;&gt;"","linkedin",CB836&amp;""))))</f>
        <v/>
      </c>
      <c r="J836" s="0" t="str">
        <f aca="false">IF($A836="","",IF(CN836="pass",ROUND(N(EM836)+N(EN836)+N(EO836)+N(EP836)+N(EQ836)+N(ER836),1),0))</f>
        <v/>
      </c>
      <c r="K836" s="0" t="str">
        <f aca="false">IF($A836="","",IF(CN836&lt;&gt;"pass",CA836&amp;"",CA836&amp;"; "&amp;IF(AW836="Y",BZ836&amp;"",BL836&amp;"")&amp;IF(R836="Y","; known to the founder (+15)","")&amp;"."))</f>
        <v/>
      </c>
      <c r="R836" s="5"/>
      <c r="U836" s="5"/>
      <c r="Y836" s="0" t="str">
        <f aca="false">IF(FX836&lt;&gt;"Y","",COUNTIFS($FX$2:$FX$1000,"Y",$J$2:$J$1000,"&gt;"&amp;J836)+COUNTIFS($FX$2:$FX$1000,"Y",$J$2:$J$1000,J836,$GD$2:$GD$1000,"&lt;"&amp;GD836)+1)</f>
        <v/>
      </c>
      <c r="AB836" s="0" t="str">
        <f aca="false">IF($A836="","",IF(AW836="Y",BY836&amp;"",BK836&amp;""))</f>
        <v/>
      </c>
      <c r="AC836" s="0" t="str">
        <f aca="false">IF($A836="","",IF(AW836="Y",BS836&amp;"",BE836&amp;""))</f>
        <v/>
      </c>
      <c r="AD836" s="0" t="str">
        <f aca="false">IF($A836="","",IF(AW836="Y",BT836&amp;"",BF836&amp;""))</f>
        <v/>
      </c>
      <c r="AE836" s="0" t="str">
        <f aca="false">IF($A836="","",IF(AW836="Y",BU836&amp;"",BG836&amp;""))</f>
        <v/>
      </c>
      <c r="AF836" s="0" t="str">
        <f aca="false">IF($A836="","",IF(AW836="Y",BV836&amp;"",BH836&amp;""))</f>
        <v/>
      </c>
      <c r="AG836" s="0" t="str">
        <f aca="false">IF($A836="","",IF(AW836="Y",BW836&amp;"",BI836&amp;""))</f>
        <v/>
      </c>
      <c r="AH836" s="0" t="str">
        <f aca="false">IF($A836="","",IF(AW836="Y",BX836&amp;"",BJ836&amp;""))</f>
        <v/>
      </c>
      <c r="AQ836" s="5"/>
      <c r="AT836" s="0" t="str">
        <f aca="false">IF($A836="","",IF(AND(CN836="pass",AQ836&lt;&gt;"Y",C836&lt;&gt;"",OR(AX836&lt;&gt;"Y",AV836="Y")),"Y","N"))</f>
        <v/>
      </c>
      <c r="AU836" s="0" t="str">
        <f aca="false">IF($A836="","",_xlfn.TEXTJOIN("; ",TRUE(),IF(CN836&lt;&gt;"pass","gated out",""),IF(AQ836="Y","on hold: "&amp;AR836,""),IF(C836="","no contact named on an opened page",""),IF(AND(AX836="Y",AV836&lt;&gt;"Y"),"Tuesday estimate band "&amp;L836&amp;": founder's call","")))</f>
        <v/>
      </c>
      <c r="BC836" s="0" t="str">
        <f aca="false">IF($A836="","",IFERROR(INDEX(Enrichment!$A$2:$GZ$2000,MATCH($A836,INDEX(Enrichment!$A$2:$GZ$2000,0,MATCH("row_id",Enrichment!$A$1:$GZ$1,0)),0),MATCH("work_email",Enrichment!$A$1:$GZ$1,0))&amp;"",""))</f>
        <v/>
      </c>
      <c r="BD836" s="0" t="str">
        <f aca="false">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Q836" s="0" t="str">
        <f aca="false">IF($A836="","",IFERROR(INDEX(Enrichment!$A$2:$GZ$2000,MATCH($A836,INDEX(Enrichment!$A$2:$GZ$2000,0,MATCH("row_id",Enrichment!$A$1:$GZ$1,0)),0),MATCH("backup_work_email",Enrichment!$A$1:$GZ$1,0))&amp;"",""))</f>
        <v/>
      </c>
      <c r="BR836" s="0" t="str">
        <f aca="false">IF($A836="","",IF(BQ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EQ836" s="0" t="str">
        <f aca="false">IF($A836="","",IF(AH836="exact",10,IF(AH836="adjacent",5,0)))</f>
        <v/>
      </c>
      <c r="ER836" s="0" t="str">
        <f aca="false">IF($A836="","",IF(R836="Y",15,0))</f>
        <v/>
      </c>
      <c r="FS836" s="0" t="str">
        <f aca="false">IF($A836="","",IF(ISNUMBER(MATCH(U836,{"queued","contacted","replied","call_booked","call_done","yes_in_principle","materials_sent"},0)),"Y","N"))</f>
        <v/>
      </c>
      <c r="FT836" s="0" t="str">
        <f aca="false">IF($A836="","",IF(OR(T836="Y",U836="do_not_contact",AS836&amp;""&lt;&gt;""),"Y","N"))</f>
        <v/>
      </c>
      <c r="FU836" s="0" t="str">
        <f aca="false">IF($A836="","",IF(AP836&amp;""&lt;&gt;"",AP836&amp;"",$A836))</f>
        <v/>
      </c>
      <c r="FV836" s="0" t="str">
        <f aca="false">IF($A836="","",IF(COUNTIFS($FU$2:$FU$1000,FU836,$FS$2:$FS$1000,"Y")+COUNTIFS($FU$2:$FU$1000,FU836,$FT$2:$FT$1000,"Y")&gt;0,"Y","N"))</f>
        <v/>
      </c>
      <c r="FW836" s="0" t="str">
        <f aca="false">IF($A836="","",IF(AND(U836="new",T836="N",FT836="N",AT836="Y",FV836="N"),"Y","N"))</f>
        <v/>
      </c>
      <c r="FX836" s="0" t="str">
        <f aca="false">IF($A836="","",IF(FW836&lt;&gt;"Y","N",IF(COUNTIFS($FU$2:$FU$1000,FU836,$FW$2:$FW$1000,"Y",$J$2:$J$1000,"&gt;"&amp;J836)+COUNTIFS($FU$2:$FU$1000,FU836,$FW$2:$FW$1000,"Y",$J$2:$J$1000,J836,$GD$2:$GD$1000,"&lt;"&amp;GD836)=0,"Y","N")))</f>
        <v/>
      </c>
      <c r="FY836" s="0" t="str">
        <f aca="false">IF($A836="","",IF(AND(FW836="Y",FX836="Y",Y836&amp;""&lt;&gt;""),IF(Y836&lt;=10,"Y","N"),"N"))</f>
        <v/>
      </c>
      <c r="FZ836" s="0" t="str">
        <f aca="false">IF(FY836="Y",Y836,"")</f>
        <v/>
      </c>
      <c r="GA836" s="0" t="str">
        <f aca="false">IF($A836="","",IF(AND(I836="walk-in",CN836="pass",U836="new",FT836="N",FV836="N",AQ836&lt;&gt;"Y"),"Y","N"))</f>
        <v/>
      </c>
      <c r="GB836" s="0" t="str">
        <f aca="false">IF(GA836&lt;&gt;"Y","",IF(COUNTIFS($GA$2:$GA$1000,"Y",$J$2:$J$1000,"&gt;"&amp;J836)+COUNTIFS($GA$2:$GA$1000,"Y",$J$2:$J$1000,J836,$GD$2:$GD$1000,"&lt;"&amp;GD836)+1&lt;=25,COUNTIFS($GA$2:$GA$1000,"Y",$J$2:$J$1000,"&gt;"&amp;J836)+COUNTIFS($GA$2:$GA$1000,"Y",$J$2:$J$1000,J836,$GD$2:$GD$1000,"&lt;"&amp;GD836)+1,""))</f>
        <v/>
      </c>
      <c r="GC836" s="0" t="str">
        <f aca="false">IF(AND(_xlfn.ISFORMULA(C836),_xlfn.ISFORMULA(J836)),"Y","N")</f>
        <v>Y</v>
      </c>
      <c r="GD836" s="0" t="n">
        <f aca="false">ROW()-1</f>
        <v>835</v>
      </c>
    </row>
    <row r="837" customFormat="false" ht="15" hidden="false" customHeight="false" outlineLevel="0" collapsed="false">
      <c r="C837" s="0" t="str">
        <f aca="false">IF($A837="","",IF(AW837="Y",BM837&amp;"",AY837&amp;""))</f>
        <v/>
      </c>
      <c r="D837" s="0" t="str">
        <f aca="false">IF($A837="","",IF(AW837="Y",BN837&amp;"",AZ837&amp;""))</f>
        <v/>
      </c>
      <c r="E837" s="0" t="str">
        <f aca="false">IF($A837="","",IF(AW837="Y",BO837&amp;"",BA837&amp;""))</f>
        <v/>
      </c>
      <c r="F837" s="0" t="str">
        <f aca="false">IF($A837="","",IF(AW837="Y",BP837&amp;"",BB837&amp;""))</f>
        <v/>
      </c>
      <c r="G837" s="0" t="str">
        <f aca="false">IF($A837="","",IF(AW837="Y",BQ837&amp;"",BC837&amp;""))</f>
        <v/>
      </c>
      <c r="H837" s="0" t="str">
        <f aca="false">IF($A837="","",IF(AW837="Y",BR837&amp;"",BD837&amp;""))</f>
        <v/>
      </c>
      <c r="I837" s="0" t="str">
        <f aca="false">IF($A837="","",IF(R837="Y","warm-intro",IF(H837="verified","email",IF(C837&lt;&gt;"","linkedin",CB837&amp;""))))</f>
        <v/>
      </c>
      <c r="J837" s="0" t="str">
        <f aca="false">IF($A837="","",IF(CN837="pass",ROUND(N(EM837)+N(EN837)+N(EO837)+N(EP837)+N(EQ837)+N(ER837),1),0))</f>
        <v/>
      </c>
      <c r="K837" s="0" t="str">
        <f aca="false">IF($A837="","",IF(CN837&lt;&gt;"pass",CA837&amp;"",CA837&amp;"; "&amp;IF(AW837="Y",BZ837&amp;"",BL837&amp;"")&amp;IF(R837="Y","; known to the founder (+15)","")&amp;"."))</f>
        <v/>
      </c>
      <c r="R837" s="5"/>
      <c r="U837" s="5"/>
      <c r="Y837" s="0" t="str">
        <f aca="false">IF(FX837&lt;&gt;"Y","",COUNTIFS($FX$2:$FX$1000,"Y",$J$2:$J$1000,"&gt;"&amp;J837)+COUNTIFS($FX$2:$FX$1000,"Y",$J$2:$J$1000,J837,$GD$2:$GD$1000,"&lt;"&amp;GD837)+1)</f>
        <v/>
      </c>
      <c r="AB837" s="0" t="str">
        <f aca="false">IF($A837="","",IF(AW837="Y",BY837&amp;"",BK837&amp;""))</f>
        <v/>
      </c>
      <c r="AC837" s="0" t="str">
        <f aca="false">IF($A837="","",IF(AW837="Y",BS837&amp;"",BE837&amp;""))</f>
        <v/>
      </c>
      <c r="AD837" s="0" t="str">
        <f aca="false">IF($A837="","",IF(AW837="Y",BT837&amp;"",BF837&amp;""))</f>
        <v/>
      </c>
      <c r="AE837" s="0" t="str">
        <f aca="false">IF($A837="","",IF(AW837="Y",BU837&amp;"",BG837&amp;""))</f>
        <v/>
      </c>
      <c r="AF837" s="0" t="str">
        <f aca="false">IF($A837="","",IF(AW837="Y",BV837&amp;"",BH837&amp;""))</f>
        <v/>
      </c>
      <c r="AG837" s="0" t="str">
        <f aca="false">IF($A837="","",IF(AW837="Y",BW837&amp;"",BI837&amp;""))</f>
        <v/>
      </c>
      <c r="AH837" s="0" t="str">
        <f aca="false">IF($A837="","",IF(AW837="Y",BX837&amp;"",BJ837&amp;""))</f>
        <v/>
      </c>
      <c r="AQ837" s="5"/>
      <c r="AT837" s="0" t="str">
        <f aca="false">IF($A837="","",IF(AND(CN837="pass",AQ837&lt;&gt;"Y",C837&lt;&gt;"",OR(AX837&lt;&gt;"Y",AV837="Y")),"Y","N"))</f>
        <v/>
      </c>
      <c r="AU837" s="0" t="str">
        <f aca="false">IF($A837="","",_xlfn.TEXTJOIN("; ",TRUE(),IF(CN837&lt;&gt;"pass","gated out",""),IF(AQ837="Y","on hold: "&amp;AR837,""),IF(C837="","no contact named on an opened page",""),IF(AND(AX837="Y",AV837&lt;&gt;"Y"),"Tuesday estimate band "&amp;L837&amp;": founder's call","")))</f>
        <v/>
      </c>
      <c r="BC837" s="0" t="str">
        <f aca="false">IF($A837="","",IFERROR(INDEX(Enrichment!$A$2:$GZ$2000,MATCH($A837,INDEX(Enrichment!$A$2:$GZ$2000,0,MATCH("row_id",Enrichment!$A$1:$GZ$1,0)),0),MATCH("work_email",Enrichment!$A$1:$GZ$1,0))&amp;"",""))</f>
        <v/>
      </c>
      <c r="BD837" s="0" t="str">
        <f aca="false">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Q837" s="0" t="str">
        <f aca="false">IF($A837="","",IFERROR(INDEX(Enrichment!$A$2:$GZ$2000,MATCH($A837,INDEX(Enrichment!$A$2:$GZ$2000,0,MATCH("row_id",Enrichment!$A$1:$GZ$1,0)),0),MATCH("backup_work_email",Enrichment!$A$1:$GZ$1,0))&amp;"",""))</f>
        <v/>
      </c>
      <c r="BR837" s="0" t="str">
        <f aca="false">IF($A837="","",IF(BQ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EQ837" s="0" t="str">
        <f aca="false">IF($A837="","",IF(AH837="exact",10,IF(AH837="adjacent",5,0)))</f>
        <v/>
      </c>
      <c r="ER837" s="0" t="str">
        <f aca="false">IF($A837="","",IF(R837="Y",15,0))</f>
        <v/>
      </c>
      <c r="FS837" s="0" t="str">
        <f aca="false">IF($A837="","",IF(ISNUMBER(MATCH(U837,{"queued","contacted","replied","call_booked","call_done","yes_in_principle","materials_sent"},0)),"Y","N"))</f>
        <v/>
      </c>
      <c r="FT837" s="0" t="str">
        <f aca="false">IF($A837="","",IF(OR(T837="Y",U837="do_not_contact",AS837&amp;""&lt;&gt;""),"Y","N"))</f>
        <v/>
      </c>
      <c r="FU837" s="0" t="str">
        <f aca="false">IF($A837="","",IF(AP837&amp;""&lt;&gt;"",AP837&amp;"",$A837))</f>
        <v/>
      </c>
      <c r="FV837" s="0" t="str">
        <f aca="false">IF($A837="","",IF(COUNTIFS($FU$2:$FU$1000,FU837,$FS$2:$FS$1000,"Y")+COUNTIFS($FU$2:$FU$1000,FU837,$FT$2:$FT$1000,"Y")&gt;0,"Y","N"))</f>
        <v/>
      </c>
      <c r="FW837" s="0" t="str">
        <f aca="false">IF($A837="","",IF(AND(U837="new",T837="N",FT837="N",AT837="Y",FV837="N"),"Y","N"))</f>
        <v/>
      </c>
      <c r="FX837" s="0" t="str">
        <f aca="false">IF($A837="","",IF(FW837&lt;&gt;"Y","N",IF(COUNTIFS($FU$2:$FU$1000,FU837,$FW$2:$FW$1000,"Y",$J$2:$J$1000,"&gt;"&amp;J837)+COUNTIFS($FU$2:$FU$1000,FU837,$FW$2:$FW$1000,"Y",$J$2:$J$1000,J837,$GD$2:$GD$1000,"&lt;"&amp;GD837)=0,"Y","N")))</f>
        <v/>
      </c>
      <c r="FY837" s="0" t="str">
        <f aca="false">IF($A837="","",IF(AND(FW837="Y",FX837="Y",Y837&amp;""&lt;&gt;""),IF(Y837&lt;=10,"Y","N"),"N"))</f>
        <v/>
      </c>
      <c r="FZ837" s="0" t="str">
        <f aca="false">IF(FY837="Y",Y837,"")</f>
        <v/>
      </c>
      <c r="GA837" s="0" t="str">
        <f aca="false">IF($A837="","",IF(AND(I837="walk-in",CN837="pass",U837="new",FT837="N",FV837="N",AQ837&lt;&gt;"Y"),"Y","N"))</f>
        <v/>
      </c>
      <c r="GB837" s="0" t="str">
        <f aca="false">IF(GA837&lt;&gt;"Y","",IF(COUNTIFS($GA$2:$GA$1000,"Y",$J$2:$J$1000,"&gt;"&amp;J837)+COUNTIFS($GA$2:$GA$1000,"Y",$J$2:$J$1000,J837,$GD$2:$GD$1000,"&lt;"&amp;GD837)+1&lt;=25,COUNTIFS($GA$2:$GA$1000,"Y",$J$2:$J$1000,"&gt;"&amp;J837)+COUNTIFS($GA$2:$GA$1000,"Y",$J$2:$J$1000,J837,$GD$2:$GD$1000,"&lt;"&amp;GD837)+1,""))</f>
        <v/>
      </c>
      <c r="GC837" s="0" t="str">
        <f aca="false">IF(AND(_xlfn.ISFORMULA(C837),_xlfn.ISFORMULA(J837)),"Y","N")</f>
        <v>Y</v>
      </c>
      <c r="GD837" s="0" t="n">
        <f aca="false">ROW()-1</f>
        <v>836</v>
      </c>
    </row>
    <row r="838" customFormat="false" ht="15" hidden="false" customHeight="false" outlineLevel="0" collapsed="false">
      <c r="C838" s="0" t="str">
        <f aca="false">IF($A838="","",IF(AW838="Y",BM838&amp;"",AY838&amp;""))</f>
        <v/>
      </c>
      <c r="D838" s="0" t="str">
        <f aca="false">IF($A838="","",IF(AW838="Y",BN838&amp;"",AZ838&amp;""))</f>
        <v/>
      </c>
      <c r="E838" s="0" t="str">
        <f aca="false">IF($A838="","",IF(AW838="Y",BO838&amp;"",BA838&amp;""))</f>
        <v/>
      </c>
      <c r="F838" s="0" t="str">
        <f aca="false">IF($A838="","",IF(AW838="Y",BP838&amp;"",BB838&amp;""))</f>
        <v/>
      </c>
      <c r="G838" s="0" t="str">
        <f aca="false">IF($A838="","",IF(AW838="Y",BQ838&amp;"",BC838&amp;""))</f>
        <v/>
      </c>
      <c r="H838" s="0" t="str">
        <f aca="false">IF($A838="","",IF(AW838="Y",BR838&amp;"",BD838&amp;""))</f>
        <v/>
      </c>
      <c r="I838" s="0" t="str">
        <f aca="false">IF($A838="","",IF(R838="Y","warm-intro",IF(H838="verified","email",IF(C838&lt;&gt;"","linkedin",CB838&amp;""))))</f>
        <v/>
      </c>
      <c r="J838" s="0" t="str">
        <f aca="false">IF($A838="","",IF(CN838="pass",ROUND(N(EM838)+N(EN838)+N(EO838)+N(EP838)+N(EQ838)+N(ER838),1),0))</f>
        <v/>
      </c>
      <c r="K838" s="0" t="str">
        <f aca="false">IF($A838="","",IF(CN838&lt;&gt;"pass",CA838&amp;"",CA838&amp;"; "&amp;IF(AW838="Y",BZ838&amp;"",BL838&amp;"")&amp;IF(R838="Y","; known to the founder (+15)","")&amp;"."))</f>
        <v/>
      </c>
      <c r="R838" s="5"/>
      <c r="U838" s="5"/>
      <c r="Y838" s="0" t="str">
        <f aca="false">IF(FX838&lt;&gt;"Y","",COUNTIFS($FX$2:$FX$1000,"Y",$J$2:$J$1000,"&gt;"&amp;J838)+COUNTIFS($FX$2:$FX$1000,"Y",$J$2:$J$1000,J838,$GD$2:$GD$1000,"&lt;"&amp;GD838)+1)</f>
        <v/>
      </c>
      <c r="AB838" s="0" t="str">
        <f aca="false">IF($A838="","",IF(AW838="Y",BY838&amp;"",BK838&amp;""))</f>
        <v/>
      </c>
      <c r="AC838" s="0" t="str">
        <f aca="false">IF($A838="","",IF(AW838="Y",BS838&amp;"",BE838&amp;""))</f>
        <v/>
      </c>
      <c r="AD838" s="0" t="str">
        <f aca="false">IF($A838="","",IF(AW838="Y",BT838&amp;"",BF838&amp;""))</f>
        <v/>
      </c>
      <c r="AE838" s="0" t="str">
        <f aca="false">IF($A838="","",IF(AW838="Y",BU838&amp;"",BG838&amp;""))</f>
        <v/>
      </c>
      <c r="AF838" s="0" t="str">
        <f aca="false">IF($A838="","",IF(AW838="Y",BV838&amp;"",BH838&amp;""))</f>
        <v/>
      </c>
      <c r="AG838" s="0" t="str">
        <f aca="false">IF($A838="","",IF(AW838="Y",BW838&amp;"",BI838&amp;""))</f>
        <v/>
      </c>
      <c r="AH838" s="0" t="str">
        <f aca="false">IF($A838="","",IF(AW838="Y",BX838&amp;"",BJ838&amp;""))</f>
        <v/>
      </c>
      <c r="AQ838" s="5"/>
      <c r="AT838" s="0" t="str">
        <f aca="false">IF($A838="","",IF(AND(CN838="pass",AQ838&lt;&gt;"Y",C838&lt;&gt;"",OR(AX838&lt;&gt;"Y",AV838="Y")),"Y","N"))</f>
        <v/>
      </c>
      <c r="AU838" s="0" t="str">
        <f aca="false">IF($A838="","",_xlfn.TEXTJOIN("; ",TRUE(),IF(CN838&lt;&gt;"pass","gated out",""),IF(AQ838="Y","on hold: "&amp;AR838,""),IF(C838="","no contact named on an opened page",""),IF(AND(AX838="Y",AV838&lt;&gt;"Y"),"Tuesday estimate band "&amp;L838&amp;": founder's call","")))</f>
        <v/>
      </c>
      <c r="BC838" s="0" t="str">
        <f aca="false">IF($A838="","",IFERROR(INDEX(Enrichment!$A$2:$GZ$2000,MATCH($A838,INDEX(Enrichment!$A$2:$GZ$2000,0,MATCH("row_id",Enrichment!$A$1:$GZ$1,0)),0),MATCH("work_email",Enrichment!$A$1:$GZ$1,0))&amp;"",""))</f>
        <v/>
      </c>
      <c r="BD838" s="0" t="str">
        <f aca="false">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Q838" s="0" t="str">
        <f aca="false">IF($A838="","",IFERROR(INDEX(Enrichment!$A$2:$GZ$2000,MATCH($A838,INDEX(Enrichment!$A$2:$GZ$2000,0,MATCH("row_id",Enrichment!$A$1:$GZ$1,0)),0),MATCH("backup_work_email",Enrichment!$A$1:$GZ$1,0))&amp;"",""))</f>
        <v/>
      </c>
      <c r="BR838" s="0" t="str">
        <f aca="false">IF($A838="","",IF(BQ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EQ838" s="0" t="str">
        <f aca="false">IF($A838="","",IF(AH838="exact",10,IF(AH838="adjacent",5,0)))</f>
        <v/>
      </c>
      <c r="ER838" s="0" t="str">
        <f aca="false">IF($A838="","",IF(R838="Y",15,0))</f>
        <v/>
      </c>
      <c r="FS838" s="0" t="str">
        <f aca="false">IF($A838="","",IF(ISNUMBER(MATCH(U838,{"queued","contacted","replied","call_booked","call_done","yes_in_principle","materials_sent"},0)),"Y","N"))</f>
        <v/>
      </c>
      <c r="FT838" s="0" t="str">
        <f aca="false">IF($A838="","",IF(OR(T838="Y",U838="do_not_contact",AS838&amp;""&lt;&gt;""),"Y","N"))</f>
        <v/>
      </c>
      <c r="FU838" s="0" t="str">
        <f aca="false">IF($A838="","",IF(AP838&amp;""&lt;&gt;"",AP838&amp;"",$A838))</f>
        <v/>
      </c>
      <c r="FV838" s="0" t="str">
        <f aca="false">IF($A838="","",IF(COUNTIFS($FU$2:$FU$1000,FU838,$FS$2:$FS$1000,"Y")+COUNTIFS($FU$2:$FU$1000,FU838,$FT$2:$FT$1000,"Y")&gt;0,"Y","N"))</f>
        <v/>
      </c>
      <c r="FW838" s="0" t="str">
        <f aca="false">IF($A838="","",IF(AND(U838="new",T838="N",FT838="N",AT838="Y",FV838="N"),"Y","N"))</f>
        <v/>
      </c>
      <c r="FX838" s="0" t="str">
        <f aca="false">IF($A838="","",IF(FW838&lt;&gt;"Y","N",IF(COUNTIFS($FU$2:$FU$1000,FU838,$FW$2:$FW$1000,"Y",$J$2:$J$1000,"&gt;"&amp;J838)+COUNTIFS($FU$2:$FU$1000,FU838,$FW$2:$FW$1000,"Y",$J$2:$J$1000,J838,$GD$2:$GD$1000,"&lt;"&amp;GD838)=0,"Y","N")))</f>
        <v/>
      </c>
      <c r="FY838" s="0" t="str">
        <f aca="false">IF($A838="","",IF(AND(FW838="Y",FX838="Y",Y838&amp;""&lt;&gt;""),IF(Y838&lt;=10,"Y","N"),"N"))</f>
        <v/>
      </c>
      <c r="FZ838" s="0" t="str">
        <f aca="false">IF(FY838="Y",Y838,"")</f>
        <v/>
      </c>
      <c r="GA838" s="0" t="str">
        <f aca="false">IF($A838="","",IF(AND(I838="walk-in",CN838="pass",U838="new",FT838="N",FV838="N",AQ838&lt;&gt;"Y"),"Y","N"))</f>
        <v/>
      </c>
      <c r="GB838" s="0" t="str">
        <f aca="false">IF(GA838&lt;&gt;"Y","",IF(COUNTIFS($GA$2:$GA$1000,"Y",$J$2:$J$1000,"&gt;"&amp;J838)+COUNTIFS($GA$2:$GA$1000,"Y",$J$2:$J$1000,J838,$GD$2:$GD$1000,"&lt;"&amp;GD838)+1&lt;=25,COUNTIFS($GA$2:$GA$1000,"Y",$J$2:$J$1000,"&gt;"&amp;J838)+COUNTIFS($GA$2:$GA$1000,"Y",$J$2:$J$1000,J838,$GD$2:$GD$1000,"&lt;"&amp;GD838)+1,""))</f>
        <v/>
      </c>
      <c r="GC838" s="0" t="str">
        <f aca="false">IF(AND(_xlfn.ISFORMULA(C838),_xlfn.ISFORMULA(J838)),"Y","N")</f>
        <v>Y</v>
      </c>
      <c r="GD838" s="0" t="n">
        <f aca="false">ROW()-1</f>
        <v>837</v>
      </c>
    </row>
    <row r="839" customFormat="false" ht="15" hidden="false" customHeight="false" outlineLevel="0" collapsed="false">
      <c r="C839" s="0" t="str">
        <f aca="false">IF($A839="","",IF(AW839="Y",BM839&amp;"",AY839&amp;""))</f>
        <v/>
      </c>
      <c r="D839" s="0" t="str">
        <f aca="false">IF($A839="","",IF(AW839="Y",BN839&amp;"",AZ839&amp;""))</f>
        <v/>
      </c>
      <c r="E839" s="0" t="str">
        <f aca="false">IF($A839="","",IF(AW839="Y",BO839&amp;"",BA839&amp;""))</f>
        <v/>
      </c>
      <c r="F839" s="0" t="str">
        <f aca="false">IF($A839="","",IF(AW839="Y",BP839&amp;"",BB839&amp;""))</f>
        <v/>
      </c>
      <c r="G839" s="0" t="str">
        <f aca="false">IF($A839="","",IF(AW839="Y",BQ839&amp;"",BC839&amp;""))</f>
        <v/>
      </c>
      <c r="H839" s="0" t="str">
        <f aca="false">IF($A839="","",IF(AW839="Y",BR839&amp;"",BD839&amp;""))</f>
        <v/>
      </c>
      <c r="I839" s="0" t="str">
        <f aca="false">IF($A839="","",IF(R839="Y","warm-intro",IF(H839="verified","email",IF(C839&lt;&gt;"","linkedin",CB839&amp;""))))</f>
        <v/>
      </c>
      <c r="J839" s="0" t="str">
        <f aca="false">IF($A839="","",IF(CN839="pass",ROUND(N(EM839)+N(EN839)+N(EO839)+N(EP839)+N(EQ839)+N(ER839),1),0))</f>
        <v/>
      </c>
      <c r="K839" s="0" t="str">
        <f aca="false">IF($A839="","",IF(CN839&lt;&gt;"pass",CA839&amp;"",CA839&amp;"; "&amp;IF(AW839="Y",BZ839&amp;"",BL839&amp;"")&amp;IF(R839="Y","; known to the founder (+15)","")&amp;"."))</f>
        <v/>
      </c>
      <c r="R839" s="5"/>
      <c r="U839" s="5"/>
      <c r="Y839" s="0" t="str">
        <f aca="false">IF(FX839&lt;&gt;"Y","",COUNTIFS($FX$2:$FX$1000,"Y",$J$2:$J$1000,"&gt;"&amp;J839)+COUNTIFS($FX$2:$FX$1000,"Y",$J$2:$J$1000,J839,$GD$2:$GD$1000,"&lt;"&amp;GD839)+1)</f>
        <v/>
      </c>
      <c r="AB839" s="0" t="str">
        <f aca="false">IF($A839="","",IF(AW839="Y",BY839&amp;"",BK839&amp;""))</f>
        <v/>
      </c>
      <c r="AC839" s="0" t="str">
        <f aca="false">IF($A839="","",IF(AW839="Y",BS839&amp;"",BE839&amp;""))</f>
        <v/>
      </c>
      <c r="AD839" s="0" t="str">
        <f aca="false">IF($A839="","",IF(AW839="Y",BT839&amp;"",BF839&amp;""))</f>
        <v/>
      </c>
      <c r="AE839" s="0" t="str">
        <f aca="false">IF($A839="","",IF(AW839="Y",BU839&amp;"",BG839&amp;""))</f>
        <v/>
      </c>
      <c r="AF839" s="0" t="str">
        <f aca="false">IF($A839="","",IF(AW839="Y",BV839&amp;"",BH839&amp;""))</f>
        <v/>
      </c>
      <c r="AG839" s="0" t="str">
        <f aca="false">IF($A839="","",IF(AW839="Y",BW839&amp;"",BI839&amp;""))</f>
        <v/>
      </c>
      <c r="AH839" s="0" t="str">
        <f aca="false">IF($A839="","",IF(AW839="Y",BX839&amp;"",BJ839&amp;""))</f>
        <v/>
      </c>
      <c r="AQ839" s="5"/>
      <c r="AT839" s="0" t="str">
        <f aca="false">IF($A839="","",IF(AND(CN839="pass",AQ839&lt;&gt;"Y",C839&lt;&gt;"",OR(AX839&lt;&gt;"Y",AV839="Y")),"Y","N"))</f>
        <v/>
      </c>
      <c r="AU839" s="0" t="str">
        <f aca="false">IF($A839="","",_xlfn.TEXTJOIN("; ",TRUE(),IF(CN839&lt;&gt;"pass","gated out",""),IF(AQ839="Y","on hold: "&amp;AR839,""),IF(C839="","no contact named on an opened page",""),IF(AND(AX839="Y",AV839&lt;&gt;"Y"),"Tuesday estimate band "&amp;L839&amp;": founder's call","")))</f>
        <v/>
      </c>
      <c r="BC839" s="0" t="str">
        <f aca="false">IF($A839="","",IFERROR(INDEX(Enrichment!$A$2:$GZ$2000,MATCH($A839,INDEX(Enrichment!$A$2:$GZ$2000,0,MATCH("row_id",Enrichment!$A$1:$GZ$1,0)),0),MATCH("work_email",Enrichment!$A$1:$GZ$1,0))&amp;"",""))</f>
        <v/>
      </c>
      <c r="BD839" s="0" t="str">
        <f aca="false">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Q839" s="0" t="str">
        <f aca="false">IF($A839="","",IFERROR(INDEX(Enrichment!$A$2:$GZ$2000,MATCH($A839,INDEX(Enrichment!$A$2:$GZ$2000,0,MATCH("row_id",Enrichment!$A$1:$GZ$1,0)),0),MATCH("backup_work_email",Enrichment!$A$1:$GZ$1,0))&amp;"",""))</f>
        <v/>
      </c>
      <c r="BR839" s="0" t="str">
        <f aca="false">IF($A839="","",IF(BQ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EQ839" s="0" t="str">
        <f aca="false">IF($A839="","",IF(AH839="exact",10,IF(AH839="adjacent",5,0)))</f>
        <v/>
      </c>
      <c r="ER839" s="0" t="str">
        <f aca="false">IF($A839="","",IF(R839="Y",15,0))</f>
        <v/>
      </c>
      <c r="FS839" s="0" t="str">
        <f aca="false">IF($A839="","",IF(ISNUMBER(MATCH(U839,{"queued","contacted","replied","call_booked","call_done","yes_in_principle","materials_sent"},0)),"Y","N"))</f>
        <v/>
      </c>
      <c r="FT839" s="0" t="str">
        <f aca="false">IF($A839="","",IF(OR(T839="Y",U839="do_not_contact",AS839&amp;""&lt;&gt;""),"Y","N"))</f>
        <v/>
      </c>
      <c r="FU839" s="0" t="str">
        <f aca="false">IF($A839="","",IF(AP839&amp;""&lt;&gt;"",AP839&amp;"",$A839))</f>
        <v/>
      </c>
      <c r="FV839" s="0" t="str">
        <f aca="false">IF($A839="","",IF(COUNTIFS($FU$2:$FU$1000,FU839,$FS$2:$FS$1000,"Y")+COUNTIFS($FU$2:$FU$1000,FU839,$FT$2:$FT$1000,"Y")&gt;0,"Y","N"))</f>
        <v/>
      </c>
      <c r="FW839" s="0" t="str">
        <f aca="false">IF($A839="","",IF(AND(U839="new",T839="N",FT839="N",AT839="Y",FV839="N"),"Y","N"))</f>
        <v/>
      </c>
      <c r="FX839" s="0" t="str">
        <f aca="false">IF($A839="","",IF(FW839&lt;&gt;"Y","N",IF(COUNTIFS($FU$2:$FU$1000,FU839,$FW$2:$FW$1000,"Y",$J$2:$J$1000,"&gt;"&amp;J839)+COUNTIFS($FU$2:$FU$1000,FU839,$FW$2:$FW$1000,"Y",$J$2:$J$1000,J839,$GD$2:$GD$1000,"&lt;"&amp;GD839)=0,"Y","N")))</f>
        <v/>
      </c>
      <c r="FY839" s="0" t="str">
        <f aca="false">IF($A839="","",IF(AND(FW839="Y",FX839="Y",Y839&amp;""&lt;&gt;""),IF(Y839&lt;=10,"Y","N"),"N"))</f>
        <v/>
      </c>
      <c r="FZ839" s="0" t="str">
        <f aca="false">IF(FY839="Y",Y839,"")</f>
        <v/>
      </c>
      <c r="GA839" s="0" t="str">
        <f aca="false">IF($A839="","",IF(AND(I839="walk-in",CN839="pass",U839="new",FT839="N",FV839="N",AQ839&lt;&gt;"Y"),"Y","N"))</f>
        <v/>
      </c>
      <c r="GB839" s="0" t="str">
        <f aca="false">IF(GA839&lt;&gt;"Y","",IF(COUNTIFS($GA$2:$GA$1000,"Y",$J$2:$J$1000,"&gt;"&amp;J839)+COUNTIFS($GA$2:$GA$1000,"Y",$J$2:$J$1000,J839,$GD$2:$GD$1000,"&lt;"&amp;GD839)+1&lt;=25,COUNTIFS($GA$2:$GA$1000,"Y",$J$2:$J$1000,"&gt;"&amp;J839)+COUNTIFS($GA$2:$GA$1000,"Y",$J$2:$J$1000,J839,$GD$2:$GD$1000,"&lt;"&amp;GD839)+1,""))</f>
        <v/>
      </c>
      <c r="GC839" s="0" t="str">
        <f aca="false">IF(AND(_xlfn.ISFORMULA(C839),_xlfn.ISFORMULA(J839)),"Y","N")</f>
        <v>Y</v>
      </c>
      <c r="GD839" s="0" t="n">
        <f aca="false">ROW()-1</f>
        <v>838</v>
      </c>
    </row>
    <row r="840" customFormat="false" ht="15" hidden="false" customHeight="false" outlineLevel="0" collapsed="false">
      <c r="C840" s="0" t="str">
        <f aca="false">IF($A840="","",IF(AW840="Y",BM840&amp;"",AY840&amp;""))</f>
        <v/>
      </c>
      <c r="D840" s="0" t="str">
        <f aca="false">IF($A840="","",IF(AW840="Y",BN840&amp;"",AZ840&amp;""))</f>
        <v/>
      </c>
      <c r="E840" s="0" t="str">
        <f aca="false">IF($A840="","",IF(AW840="Y",BO840&amp;"",BA840&amp;""))</f>
        <v/>
      </c>
      <c r="F840" s="0" t="str">
        <f aca="false">IF($A840="","",IF(AW840="Y",BP840&amp;"",BB840&amp;""))</f>
        <v/>
      </c>
      <c r="G840" s="0" t="str">
        <f aca="false">IF($A840="","",IF(AW840="Y",BQ840&amp;"",BC840&amp;""))</f>
        <v/>
      </c>
      <c r="H840" s="0" t="str">
        <f aca="false">IF($A840="","",IF(AW840="Y",BR840&amp;"",BD840&amp;""))</f>
        <v/>
      </c>
      <c r="I840" s="0" t="str">
        <f aca="false">IF($A840="","",IF(R840="Y","warm-intro",IF(H840="verified","email",IF(C840&lt;&gt;"","linkedin",CB840&amp;""))))</f>
        <v/>
      </c>
      <c r="J840" s="0" t="str">
        <f aca="false">IF($A840="","",IF(CN840="pass",ROUND(N(EM840)+N(EN840)+N(EO840)+N(EP840)+N(EQ840)+N(ER840),1),0))</f>
        <v/>
      </c>
      <c r="K840" s="0" t="str">
        <f aca="false">IF($A840="","",IF(CN840&lt;&gt;"pass",CA840&amp;"",CA840&amp;"; "&amp;IF(AW840="Y",BZ840&amp;"",BL840&amp;"")&amp;IF(R840="Y","; known to the founder (+15)","")&amp;"."))</f>
        <v/>
      </c>
      <c r="R840" s="5"/>
      <c r="U840" s="5"/>
      <c r="Y840" s="0" t="str">
        <f aca="false">IF(FX840&lt;&gt;"Y","",COUNTIFS($FX$2:$FX$1000,"Y",$J$2:$J$1000,"&gt;"&amp;J840)+COUNTIFS($FX$2:$FX$1000,"Y",$J$2:$J$1000,J840,$GD$2:$GD$1000,"&lt;"&amp;GD840)+1)</f>
        <v/>
      </c>
      <c r="AB840" s="0" t="str">
        <f aca="false">IF($A840="","",IF(AW840="Y",BY840&amp;"",BK840&amp;""))</f>
        <v/>
      </c>
      <c r="AC840" s="0" t="str">
        <f aca="false">IF($A840="","",IF(AW840="Y",BS840&amp;"",BE840&amp;""))</f>
        <v/>
      </c>
      <c r="AD840" s="0" t="str">
        <f aca="false">IF($A840="","",IF(AW840="Y",BT840&amp;"",BF840&amp;""))</f>
        <v/>
      </c>
      <c r="AE840" s="0" t="str">
        <f aca="false">IF($A840="","",IF(AW840="Y",BU840&amp;"",BG840&amp;""))</f>
        <v/>
      </c>
      <c r="AF840" s="0" t="str">
        <f aca="false">IF($A840="","",IF(AW840="Y",BV840&amp;"",BH840&amp;""))</f>
        <v/>
      </c>
      <c r="AG840" s="0" t="str">
        <f aca="false">IF($A840="","",IF(AW840="Y",BW840&amp;"",BI840&amp;""))</f>
        <v/>
      </c>
      <c r="AH840" s="0" t="str">
        <f aca="false">IF($A840="","",IF(AW840="Y",BX840&amp;"",BJ840&amp;""))</f>
        <v/>
      </c>
      <c r="AQ840" s="5"/>
      <c r="AT840" s="0" t="str">
        <f aca="false">IF($A840="","",IF(AND(CN840="pass",AQ840&lt;&gt;"Y",C840&lt;&gt;"",OR(AX840&lt;&gt;"Y",AV840="Y")),"Y","N"))</f>
        <v/>
      </c>
      <c r="AU840" s="0" t="str">
        <f aca="false">IF($A840="","",_xlfn.TEXTJOIN("; ",TRUE(),IF(CN840&lt;&gt;"pass","gated out",""),IF(AQ840="Y","on hold: "&amp;AR840,""),IF(C840="","no contact named on an opened page",""),IF(AND(AX840="Y",AV840&lt;&gt;"Y"),"Tuesday estimate band "&amp;L840&amp;": founder's call","")))</f>
        <v/>
      </c>
      <c r="BC840" s="0" t="str">
        <f aca="false">IF($A840="","",IFERROR(INDEX(Enrichment!$A$2:$GZ$2000,MATCH($A840,INDEX(Enrichment!$A$2:$GZ$2000,0,MATCH("row_id",Enrichment!$A$1:$GZ$1,0)),0),MATCH("work_email",Enrichment!$A$1:$GZ$1,0))&amp;"",""))</f>
        <v/>
      </c>
      <c r="BD840" s="0" t="str">
        <f aca="false">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Q840" s="0" t="str">
        <f aca="false">IF($A840="","",IFERROR(INDEX(Enrichment!$A$2:$GZ$2000,MATCH($A840,INDEX(Enrichment!$A$2:$GZ$2000,0,MATCH("row_id",Enrichment!$A$1:$GZ$1,0)),0),MATCH("backup_work_email",Enrichment!$A$1:$GZ$1,0))&amp;"",""))</f>
        <v/>
      </c>
      <c r="BR840" s="0" t="str">
        <f aca="false">IF($A840="","",IF(BQ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EQ840" s="0" t="str">
        <f aca="false">IF($A840="","",IF(AH840="exact",10,IF(AH840="adjacent",5,0)))</f>
        <v/>
      </c>
      <c r="ER840" s="0" t="str">
        <f aca="false">IF($A840="","",IF(R840="Y",15,0))</f>
        <v/>
      </c>
      <c r="FS840" s="0" t="str">
        <f aca="false">IF($A840="","",IF(ISNUMBER(MATCH(U840,{"queued","contacted","replied","call_booked","call_done","yes_in_principle","materials_sent"},0)),"Y","N"))</f>
        <v/>
      </c>
      <c r="FT840" s="0" t="str">
        <f aca="false">IF($A840="","",IF(OR(T840="Y",U840="do_not_contact",AS840&amp;""&lt;&gt;""),"Y","N"))</f>
        <v/>
      </c>
      <c r="FU840" s="0" t="str">
        <f aca="false">IF($A840="","",IF(AP840&amp;""&lt;&gt;"",AP840&amp;"",$A840))</f>
        <v/>
      </c>
      <c r="FV840" s="0" t="str">
        <f aca="false">IF($A840="","",IF(COUNTIFS($FU$2:$FU$1000,FU840,$FS$2:$FS$1000,"Y")+COUNTIFS($FU$2:$FU$1000,FU840,$FT$2:$FT$1000,"Y")&gt;0,"Y","N"))</f>
        <v/>
      </c>
      <c r="FW840" s="0" t="str">
        <f aca="false">IF($A840="","",IF(AND(U840="new",T840="N",FT840="N",AT840="Y",FV840="N"),"Y","N"))</f>
        <v/>
      </c>
      <c r="FX840" s="0" t="str">
        <f aca="false">IF($A840="","",IF(FW840&lt;&gt;"Y","N",IF(COUNTIFS($FU$2:$FU$1000,FU840,$FW$2:$FW$1000,"Y",$J$2:$J$1000,"&gt;"&amp;J840)+COUNTIFS($FU$2:$FU$1000,FU840,$FW$2:$FW$1000,"Y",$J$2:$J$1000,J840,$GD$2:$GD$1000,"&lt;"&amp;GD840)=0,"Y","N")))</f>
        <v/>
      </c>
      <c r="FY840" s="0" t="str">
        <f aca="false">IF($A840="","",IF(AND(FW840="Y",FX840="Y",Y840&amp;""&lt;&gt;""),IF(Y840&lt;=10,"Y","N"),"N"))</f>
        <v/>
      </c>
      <c r="FZ840" s="0" t="str">
        <f aca="false">IF(FY840="Y",Y840,"")</f>
        <v/>
      </c>
      <c r="GA840" s="0" t="str">
        <f aca="false">IF($A840="","",IF(AND(I840="walk-in",CN840="pass",U840="new",FT840="N",FV840="N",AQ840&lt;&gt;"Y"),"Y","N"))</f>
        <v/>
      </c>
      <c r="GB840" s="0" t="str">
        <f aca="false">IF(GA840&lt;&gt;"Y","",IF(COUNTIFS($GA$2:$GA$1000,"Y",$J$2:$J$1000,"&gt;"&amp;J840)+COUNTIFS($GA$2:$GA$1000,"Y",$J$2:$J$1000,J840,$GD$2:$GD$1000,"&lt;"&amp;GD840)+1&lt;=25,COUNTIFS($GA$2:$GA$1000,"Y",$J$2:$J$1000,"&gt;"&amp;J840)+COUNTIFS($GA$2:$GA$1000,"Y",$J$2:$J$1000,J840,$GD$2:$GD$1000,"&lt;"&amp;GD840)+1,""))</f>
        <v/>
      </c>
      <c r="GC840" s="0" t="str">
        <f aca="false">IF(AND(_xlfn.ISFORMULA(C840),_xlfn.ISFORMULA(J840)),"Y","N")</f>
        <v>Y</v>
      </c>
      <c r="GD840" s="0" t="n">
        <f aca="false">ROW()-1</f>
        <v>839</v>
      </c>
    </row>
    <row r="841" customFormat="false" ht="15" hidden="false" customHeight="false" outlineLevel="0" collapsed="false">
      <c r="C841" s="0" t="str">
        <f aca="false">IF($A841="","",IF(AW841="Y",BM841&amp;"",AY841&amp;""))</f>
        <v/>
      </c>
      <c r="D841" s="0" t="str">
        <f aca="false">IF($A841="","",IF(AW841="Y",BN841&amp;"",AZ841&amp;""))</f>
        <v/>
      </c>
      <c r="E841" s="0" t="str">
        <f aca="false">IF($A841="","",IF(AW841="Y",BO841&amp;"",BA841&amp;""))</f>
        <v/>
      </c>
      <c r="F841" s="0" t="str">
        <f aca="false">IF($A841="","",IF(AW841="Y",BP841&amp;"",BB841&amp;""))</f>
        <v/>
      </c>
      <c r="G841" s="0" t="str">
        <f aca="false">IF($A841="","",IF(AW841="Y",BQ841&amp;"",BC841&amp;""))</f>
        <v/>
      </c>
      <c r="H841" s="0" t="str">
        <f aca="false">IF($A841="","",IF(AW841="Y",BR841&amp;"",BD841&amp;""))</f>
        <v/>
      </c>
      <c r="I841" s="0" t="str">
        <f aca="false">IF($A841="","",IF(R841="Y","warm-intro",IF(H841="verified","email",IF(C841&lt;&gt;"","linkedin",CB841&amp;""))))</f>
        <v/>
      </c>
      <c r="J841" s="0" t="str">
        <f aca="false">IF($A841="","",IF(CN841="pass",ROUND(N(EM841)+N(EN841)+N(EO841)+N(EP841)+N(EQ841)+N(ER841),1),0))</f>
        <v/>
      </c>
      <c r="K841" s="0" t="str">
        <f aca="false">IF($A841="","",IF(CN841&lt;&gt;"pass",CA841&amp;"",CA841&amp;"; "&amp;IF(AW841="Y",BZ841&amp;"",BL841&amp;"")&amp;IF(R841="Y","; known to the founder (+15)","")&amp;"."))</f>
        <v/>
      </c>
      <c r="R841" s="5"/>
      <c r="U841" s="5"/>
      <c r="Y841" s="0" t="str">
        <f aca="false">IF(FX841&lt;&gt;"Y","",COUNTIFS($FX$2:$FX$1000,"Y",$J$2:$J$1000,"&gt;"&amp;J841)+COUNTIFS($FX$2:$FX$1000,"Y",$J$2:$J$1000,J841,$GD$2:$GD$1000,"&lt;"&amp;GD841)+1)</f>
        <v/>
      </c>
      <c r="AB841" s="0" t="str">
        <f aca="false">IF($A841="","",IF(AW841="Y",BY841&amp;"",BK841&amp;""))</f>
        <v/>
      </c>
      <c r="AC841" s="0" t="str">
        <f aca="false">IF($A841="","",IF(AW841="Y",BS841&amp;"",BE841&amp;""))</f>
        <v/>
      </c>
      <c r="AD841" s="0" t="str">
        <f aca="false">IF($A841="","",IF(AW841="Y",BT841&amp;"",BF841&amp;""))</f>
        <v/>
      </c>
      <c r="AE841" s="0" t="str">
        <f aca="false">IF($A841="","",IF(AW841="Y",BU841&amp;"",BG841&amp;""))</f>
        <v/>
      </c>
      <c r="AF841" s="0" t="str">
        <f aca="false">IF($A841="","",IF(AW841="Y",BV841&amp;"",BH841&amp;""))</f>
        <v/>
      </c>
      <c r="AG841" s="0" t="str">
        <f aca="false">IF($A841="","",IF(AW841="Y",BW841&amp;"",BI841&amp;""))</f>
        <v/>
      </c>
      <c r="AH841" s="0" t="str">
        <f aca="false">IF($A841="","",IF(AW841="Y",BX841&amp;"",BJ841&amp;""))</f>
        <v/>
      </c>
      <c r="AQ841" s="5"/>
      <c r="AT841" s="0" t="str">
        <f aca="false">IF($A841="","",IF(AND(CN841="pass",AQ841&lt;&gt;"Y",C841&lt;&gt;"",OR(AX841&lt;&gt;"Y",AV841="Y")),"Y","N"))</f>
        <v/>
      </c>
      <c r="AU841" s="0" t="str">
        <f aca="false">IF($A841="","",_xlfn.TEXTJOIN("; ",TRUE(),IF(CN841&lt;&gt;"pass","gated out",""),IF(AQ841="Y","on hold: "&amp;AR841,""),IF(C841="","no contact named on an opened page",""),IF(AND(AX841="Y",AV841&lt;&gt;"Y"),"Tuesday estimate band "&amp;L841&amp;": founder's call","")))</f>
        <v/>
      </c>
      <c r="BC841" s="0" t="str">
        <f aca="false">IF($A841="","",IFERROR(INDEX(Enrichment!$A$2:$GZ$2000,MATCH($A841,INDEX(Enrichment!$A$2:$GZ$2000,0,MATCH("row_id",Enrichment!$A$1:$GZ$1,0)),0),MATCH("work_email",Enrichment!$A$1:$GZ$1,0))&amp;"",""))</f>
        <v/>
      </c>
      <c r="BD841" s="0" t="str">
        <f aca="false">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Q841" s="0" t="str">
        <f aca="false">IF($A841="","",IFERROR(INDEX(Enrichment!$A$2:$GZ$2000,MATCH($A841,INDEX(Enrichment!$A$2:$GZ$2000,0,MATCH("row_id",Enrichment!$A$1:$GZ$1,0)),0),MATCH("backup_work_email",Enrichment!$A$1:$GZ$1,0))&amp;"",""))</f>
        <v/>
      </c>
      <c r="BR841" s="0" t="str">
        <f aca="false">IF($A841="","",IF(BQ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EQ841" s="0" t="str">
        <f aca="false">IF($A841="","",IF(AH841="exact",10,IF(AH841="adjacent",5,0)))</f>
        <v/>
      </c>
      <c r="ER841" s="0" t="str">
        <f aca="false">IF($A841="","",IF(R841="Y",15,0))</f>
        <v/>
      </c>
      <c r="FS841" s="0" t="str">
        <f aca="false">IF($A841="","",IF(ISNUMBER(MATCH(U841,{"queued","contacted","replied","call_booked","call_done","yes_in_principle","materials_sent"},0)),"Y","N"))</f>
        <v/>
      </c>
      <c r="FT841" s="0" t="str">
        <f aca="false">IF($A841="","",IF(OR(T841="Y",U841="do_not_contact",AS841&amp;""&lt;&gt;""),"Y","N"))</f>
        <v/>
      </c>
      <c r="FU841" s="0" t="str">
        <f aca="false">IF($A841="","",IF(AP841&amp;""&lt;&gt;"",AP841&amp;"",$A841))</f>
        <v/>
      </c>
      <c r="FV841" s="0" t="str">
        <f aca="false">IF($A841="","",IF(COUNTIFS($FU$2:$FU$1000,FU841,$FS$2:$FS$1000,"Y")+COUNTIFS($FU$2:$FU$1000,FU841,$FT$2:$FT$1000,"Y")&gt;0,"Y","N"))</f>
        <v/>
      </c>
      <c r="FW841" s="0" t="str">
        <f aca="false">IF($A841="","",IF(AND(U841="new",T841="N",FT841="N",AT841="Y",FV841="N"),"Y","N"))</f>
        <v/>
      </c>
      <c r="FX841" s="0" t="str">
        <f aca="false">IF($A841="","",IF(FW841&lt;&gt;"Y","N",IF(COUNTIFS($FU$2:$FU$1000,FU841,$FW$2:$FW$1000,"Y",$J$2:$J$1000,"&gt;"&amp;J841)+COUNTIFS($FU$2:$FU$1000,FU841,$FW$2:$FW$1000,"Y",$J$2:$J$1000,J841,$GD$2:$GD$1000,"&lt;"&amp;GD841)=0,"Y","N")))</f>
        <v/>
      </c>
      <c r="FY841" s="0" t="str">
        <f aca="false">IF($A841="","",IF(AND(FW841="Y",FX841="Y",Y841&amp;""&lt;&gt;""),IF(Y841&lt;=10,"Y","N"),"N"))</f>
        <v/>
      </c>
      <c r="FZ841" s="0" t="str">
        <f aca="false">IF(FY841="Y",Y841,"")</f>
        <v/>
      </c>
      <c r="GA841" s="0" t="str">
        <f aca="false">IF($A841="","",IF(AND(I841="walk-in",CN841="pass",U841="new",FT841="N",FV841="N",AQ841&lt;&gt;"Y"),"Y","N"))</f>
        <v/>
      </c>
      <c r="GB841" s="0" t="str">
        <f aca="false">IF(GA841&lt;&gt;"Y","",IF(COUNTIFS($GA$2:$GA$1000,"Y",$J$2:$J$1000,"&gt;"&amp;J841)+COUNTIFS($GA$2:$GA$1000,"Y",$J$2:$J$1000,J841,$GD$2:$GD$1000,"&lt;"&amp;GD841)+1&lt;=25,COUNTIFS($GA$2:$GA$1000,"Y",$J$2:$J$1000,"&gt;"&amp;J841)+COUNTIFS($GA$2:$GA$1000,"Y",$J$2:$J$1000,J841,$GD$2:$GD$1000,"&lt;"&amp;GD841)+1,""))</f>
        <v/>
      </c>
      <c r="GC841" s="0" t="str">
        <f aca="false">IF(AND(_xlfn.ISFORMULA(C841),_xlfn.ISFORMULA(J841)),"Y","N")</f>
        <v>Y</v>
      </c>
      <c r="GD841" s="0" t="n">
        <f aca="false">ROW()-1</f>
        <v>840</v>
      </c>
    </row>
    <row r="842" customFormat="false" ht="15" hidden="false" customHeight="false" outlineLevel="0" collapsed="false">
      <c r="C842" s="0" t="str">
        <f aca="false">IF($A842="","",IF(AW842="Y",BM842&amp;"",AY842&amp;""))</f>
        <v/>
      </c>
      <c r="D842" s="0" t="str">
        <f aca="false">IF($A842="","",IF(AW842="Y",BN842&amp;"",AZ842&amp;""))</f>
        <v/>
      </c>
      <c r="E842" s="0" t="str">
        <f aca="false">IF($A842="","",IF(AW842="Y",BO842&amp;"",BA842&amp;""))</f>
        <v/>
      </c>
      <c r="F842" s="0" t="str">
        <f aca="false">IF($A842="","",IF(AW842="Y",BP842&amp;"",BB842&amp;""))</f>
        <v/>
      </c>
      <c r="G842" s="0" t="str">
        <f aca="false">IF($A842="","",IF(AW842="Y",BQ842&amp;"",BC842&amp;""))</f>
        <v/>
      </c>
      <c r="H842" s="0" t="str">
        <f aca="false">IF($A842="","",IF(AW842="Y",BR842&amp;"",BD842&amp;""))</f>
        <v/>
      </c>
      <c r="I842" s="0" t="str">
        <f aca="false">IF($A842="","",IF(R842="Y","warm-intro",IF(H842="verified","email",IF(C842&lt;&gt;"","linkedin",CB842&amp;""))))</f>
        <v/>
      </c>
      <c r="J842" s="0" t="str">
        <f aca="false">IF($A842="","",IF(CN842="pass",ROUND(N(EM842)+N(EN842)+N(EO842)+N(EP842)+N(EQ842)+N(ER842),1),0))</f>
        <v/>
      </c>
      <c r="K842" s="0" t="str">
        <f aca="false">IF($A842="","",IF(CN842&lt;&gt;"pass",CA842&amp;"",CA842&amp;"; "&amp;IF(AW842="Y",BZ842&amp;"",BL842&amp;"")&amp;IF(R842="Y","; known to the founder (+15)","")&amp;"."))</f>
        <v/>
      </c>
      <c r="R842" s="5"/>
      <c r="U842" s="5"/>
      <c r="Y842" s="0" t="str">
        <f aca="false">IF(FX842&lt;&gt;"Y","",COUNTIFS($FX$2:$FX$1000,"Y",$J$2:$J$1000,"&gt;"&amp;J842)+COUNTIFS($FX$2:$FX$1000,"Y",$J$2:$J$1000,J842,$GD$2:$GD$1000,"&lt;"&amp;GD842)+1)</f>
        <v/>
      </c>
      <c r="AB842" s="0" t="str">
        <f aca="false">IF($A842="","",IF(AW842="Y",BY842&amp;"",BK842&amp;""))</f>
        <v/>
      </c>
      <c r="AC842" s="0" t="str">
        <f aca="false">IF($A842="","",IF(AW842="Y",BS842&amp;"",BE842&amp;""))</f>
        <v/>
      </c>
      <c r="AD842" s="0" t="str">
        <f aca="false">IF($A842="","",IF(AW842="Y",BT842&amp;"",BF842&amp;""))</f>
        <v/>
      </c>
      <c r="AE842" s="0" t="str">
        <f aca="false">IF($A842="","",IF(AW842="Y",BU842&amp;"",BG842&amp;""))</f>
        <v/>
      </c>
      <c r="AF842" s="0" t="str">
        <f aca="false">IF($A842="","",IF(AW842="Y",BV842&amp;"",BH842&amp;""))</f>
        <v/>
      </c>
      <c r="AG842" s="0" t="str">
        <f aca="false">IF($A842="","",IF(AW842="Y",BW842&amp;"",BI842&amp;""))</f>
        <v/>
      </c>
      <c r="AH842" s="0" t="str">
        <f aca="false">IF($A842="","",IF(AW842="Y",BX842&amp;"",BJ842&amp;""))</f>
        <v/>
      </c>
      <c r="AQ842" s="5"/>
      <c r="AT842" s="0" t="str">
        <f aca="false">IF($A842="","",IF(AND(CN842="pass",AQ842&lt;&gt;"Y",C842&lt;&gt;"",OR(AX842&lt;&gt;"Y",AV842="Y")),"Y","N"))</f>
        <v/>
      </c>
      <c r="AU842" s="0" t="str">
        <f aca="false">IF($A842="","",_xlfn.TEXTJOIN("; ",TRUE(),IF(CN842&lt;&gt;"pass","gated out",""),IF(AQ842="Y","on hold: "&amp;AR842,""),IF(C842="","no contact named on an opened page",""),IF(AND(AX842="Y",AV842&lt;&gt;"Y"),"Tuesday estimate band "&amp;L842&amp;": founder's call","")))</f>
        <v/>
      </c>
      <c r="BC842" s="0" t="str">
        <f aca="false">IF($A842="","",IFERROR(INDEX(Enrichment!$A$2:$GZ$2000,MATCH($A842,INDEX(Enrichment!$A$2:$GZ$2000,0,MATCH("row_id",Enrichment!$A$1:$GZ$1,0)),0),MATCH("work_email",Enrichment!$A$1:$GZ$1,0))&amp;"",""))</f>
        <v/>
      </c>
      <c r="BD842" s="0" t="str">
        <f aca="false">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Q842" s="0" t="str">
        <f aca="false">IF($A842="","",IFERROR(INDEX(Enrichment!$A$2:$GZ$2000,MATCH($A842,INDEX(Enrichment!$A$2:$GZ$2000,0,MATCH("row_id",Enrichment!$A$1:$GZ$1,0)),0),MATCH("backup_work_email",Enrichment!$A$1:$GZ$1,0))&amp;"",""))</f>
        <v/>
      </c>
      <c r="BR842" s="0" t="str">
        <f aca="false">IF($A842="","",IF(BQ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EQ842" s="0" t="str">
        <f aca="false">IF($A842="","",IF(AH842="exact",10,IF(AH842="adjacent",5,0)))</f>
        <v/>
      </c>
      <c r="ER842" s="0" t="str">
        <f aca="false">IF($A842="","",IF(R842="Y",15,0))</f>
        <v/>
      </c>
      <c r="FS842" s="0" t="str">
        <f aca="false">IF($A842="","",IF(ISNUMBER(MATCH(U842,{"queued","contacted","replied","call_booked","call_done","yes_in_principle","materials_sent"},0)),"Y","N"))</f>
        <v/>
      </c>
      <c r="FT842" s="0" t="str">
        <f aca="false">IF($A842="","",IF(OR(T842="Y",U842="do_not_contact",AS842&amp;""&lt;&gt;""),"Y","N"))</f>
        <v/>
      </c>
      <c r="FU842" s="0" t="str">
        <f aca="false">IF($A842="","",IF(AP842&amp;""&lt;&gt;"",AP842&amp;"",$A842))</f>
        <v/>
      </c>
      <c r="FV842" s="0" t="str">
        <f aca="false">IF($A842="","",IF(COUNTIFS($FU$2:$FU$1000,FU842,$FS$2:$FS$1000,"Y")+COUNTIFS($FU$2:$FU$1000,FU842,$FT$2:$FT$1000,"Y")&gt;0,"Y","N"))</f>
        <v/>
      </c>
      <c r="FW842" s="0" t="str">
        <f aca="false">IF($A842="","",IF(AND(U842="new",T842="N",FT842="N",AT842="Y",FV842="N"),"Y","N"))</f>
        <v/>
      </c>
      <c r="FX842" s="0" t="str">
        <f aca="false">IF($A842="","",IF(FW842&lt;&gt;"Y","N",IF(COUNTIFS($FU$2:$FU$1000,FU842,$FW$2:$FW$1000,"Y",$J$2:$J$1000,"&gt;"&amp;J842)+COUNTIFS($FU$2:$FU$1000,FU842,$FW$2:$FW$1000,"Y",$J$2:$J$1000,J842,$GD$2:$GD$1000,"&lt;"&amp;GD842)=0,"Y","N")))</f>
        <v/>
      </c>
      <c r="FY842" s="0" t="str">
        <f aca="false">IF($A842="","",IF(AND(FW842="Y",FX842="Y",Y842&amp;""&lt;&gt;""),IF(Y842&lt;=10,"Y","N"),"N"))</f>
        <v/>
      </c>
      <c r="FZ842" s="0" t="str">
        <f aca="false">IF(FY842="Y",Y842,"")</f>
        <v/>
      </c>
      <c r="GA842" s="0" t="str">
        <f aca="false">IF($A842="","",IF(AND(I842="walk-in",CN842="pass",U842="new",FT842="N",FV842="N",AQ842&lt;&gt;"Y"),"Y","N"))</f>
        <v/>
      </c>
      <c r="GB842" s="0" t="str">
        <f aca="false">IF(GA842&lt;&gt;"Y","",IF(COUNTIFS($GA$2:$GA$1000,"Y",$J$2:$J$1000,"&gt;"&amp;J842)+COUNTIFS($GA$2:$GA$1000,"Y",$J$2:$J$1000,J842,$GD$2:$GD$1000,"&lt;"&amp;GD842)+1&lt;=25,COUNTIFS($GA$2:$GA$1000,"Y",$J$2:$J$1000,"&gt;"&amp;J842)+COUNTIFS($GA$2:$GA$1000,"Y",$J$2:$J$1000,J842,$GD$2:$GD$1000,"&lt;"&amp;GD842)+1,""))</f>
        <v/>
      </c>
      <c r="GC842" s="0" t="str">
        <f aca="false">IF(AND(_xlfn.ISFORMULA(C842),_xlfn.ISFORMULA(J842)),"Y","N")</f>
        <v>Y</v>
      </c>
      <c r="GD842" s="0" t="n">
        <f aca="false">ROW()-1</f>
        <v>841</v>
      </c>
    </row>
    <row r="843" customFormat="false" ht="15" hidden="false" customHeight="false" outlineLevel="0" collapsed="false">
      <c r="C843" s="0" t="str">
        <f aca="false">IF($A843="","",IF(AW843="Y",BM843&amp;"",AY843&amp;""))</f>
        <v/>
      </c>
      <c r="D843" s="0" t="str">
        <f aca="false">IF($A843="","",IF(AW843="Y",BN843&amp;"",AZ843&amp;""))</f>
        <v/>
      </c>
      <c r="E843" s="0" t="str">
        <f aca="false">IF($A843="","",IF(AW843="Y",BO843&amp;"",BA843&amp;""))</f>
        <v/>
      </c>
      <c r="F843" s="0" t="str">
        <f aca="false">IF($A843="","",IF(AW843="Y",BP843&amp;"",BB843&amp;""))</f>
        <v/>
      </c>
      <c r="G843" s="0" t="str">
        <f aca="false">IF($A843="","",IF(AW843="Y",BQ843&amp;"",BC843&amp;""))</f>
        <v/>
      </c>
      <c r="H843" s="0" t="str">
        <f aca="false">IF($A843="","",IF(AW843="Y",BR843&amp;"",BD843&amp;""))</f>
        <v/>
      </c>
      <c r="I843" s="0" t="str">
        <f aca="false">IF($A843="","",IF(R843="Y","warm-intro",IF(H843="verified","email",IF(C843&lt;&gt;"","linkedin",CB843&amp;""))))</f>
        <v/>
      </c>
      <c r="J843" s="0" t="str">
        <f aca="false">IF($A843="","",IF(CN843="pass",ROUND(N(EM843)+N(EN843)+N(EO843)+N(EP843)+N(EQ843)+N(ER843),1),0))</f>
        <v/>
      </c>
      <c r="K843" s="0" t="str">
        <f aca="false">IF($A843="","",IF(CN843&lt;&gt;"pass",CA843&amp;"",CA843&amp;"; "&amp;IF(AW843="Y",BZ843&amp;"",BL843&amp;"")&amp;IF(R843="Y","; known to the founder (+15)","")&amp;"."))</f>
        <v/>
      </c>
      <c r="R843" s="5"/>
      <c r="U843" s="5"/>
      <c r="Y843" s="0" t="str">
        <f aca="false">IF(FX843&lt;&gt;"Y","",COUNTIFS($FX$2:$FX$1000,"Y",$J$2:$J$1000,"&gt;"&amp;J843)+COUNTIFS($FX$2:$FX$1000,"Y",$J$2:$J$1000,J843,$GD$2:$GD$1000,"&lt;"&amp;GD843)+1)</f>
        <v/>
      </c>
      <c r="AB843" s="0" t="str">
        <f aca="false">IF($A843="","",IF(AW843="Y",BY843&amp;"",BK843&amp;""))</f>
        <v/>
      </c>
      <c r="AC843" s="0" t="str">
        <f aca="false">IF($A843="","",IF(AW843="Y",BS843&amp;"",BE843&amp;""))</f>
        <v/>
      </c>
      <c r="AD843" s="0" t="str">
        <f aca="false">IF($A843="","",IF(AW843="Y",BT843&amp;"",BF843&amp;""))</f>
        <v/>
      </c>
      <c r="AE843" s="0" t="str">
        <f aca="false">IF($A843="","",IF(AW843="Y",BU843&amp;"",BG843&amp;""))</f>
        <v/>
      </c>
      <c r="AF843" s="0" t="str">
        <f aca="false">IF($A843="","",IF(AW843="Y",BV843&amp;"",BH843&amp;""))</f>
        <v/>
      </c>
      <c r="AG843" s="0" t="str">
        <f aca="false">IF($A843="","",IF(AW843="Y",BW843&amp;"",BI843&amp;""))</f>
        <v/>
      </c>
      <c r="AH843" s="0" t="str">
        <f aca="false">IF($A843="","",IF(AW843="Y",BX843&amp;"",BJ843&amp;""))</f>
        <v/>
      </c>
      <c r="AQ843" s="5"/>
      <c r="AT843" s="0" t="str">
        <f aca="false">IF($A843="","",IF(AND(CN843="pass",AQ843&lt;&gt;"Y",C843&lt;&gt;"",OR(AX843&lt;&gt;"Y",AV843="Y")),"Y","N"))</f>
        <v/>
      </c>
      <c r="AU843" s="0" t="str">
        <f aca="false">IF($A843="","",_xlfn.TEXTJOIN("; ",TRUE(),IF(CN843&lt;&gt;"pass","gated out",""),IF(AQ843="Y","on hold: "&amp;AR843,""),IF(C843="","no contact named on an opened page",""),IF(AND(AX843="Y",AV843&lt;&gt;"Y"),"Tuesday estimate band "&amp;L843&amp;": founder's call","")))</f>
        <v/>
      </c>
      <c r="BC843" s="0" t="str">
        <f aca="false">IF($A843="","",IFERROR(INDEX(Enrichment!$A$2:$GZ$2000,MATCH($A843,INDEX(Enrichment!$A$2:$GZ$2000,0,MATCH("row_id",Enrichment!$A$1:$GZ$1,0)),0),MATCH("work_email",Enrichment!$A$1:$GZ$1,0))&amp;"",""))</f>
        <v/>
      </c>
      <c r="BD843" s="0" t="str">
        <f aca="false">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Q843" s="0" t="str">
        <f aca="false">IF($A843="","",IFERROR(INDEX(Enrichment!$A$2:$GZ$2000,MATCH($A843,INDEX(Enrichment!$A$2:$GZ$2000,0,MATCH("row_id",Enrichment!$A$1:$GZ$1,0)),0),MATCH("backup_work_email",Enrichment!$A$1:$GZ$1,0))&amp;"",""))</f>
        <v/>
      </c>
      <c r="BR843" s="0" t="str">
        <f aca="false">IF($A843="","",IF(BQ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EQ843" s="0" t="str">
        <f aca="false">IF($A843="","",IF(AH843="exact",10,IF(AH843="adjacent",5,0)))</f>
        <v/>
      </c>
      <c r="ER843" s="0" t="str">
        <f aca="false">IF($A843="","",IF(R843="Y",15,0))</f>
        <v/>
      </c>
      <c r="FS843" s="0" t="str">
        <f aca="false">IF($A843="","",IF(ISNUMBER(MATCH(U843,{"queued","contacted","replied","call_booked","call_done","yes_in_principle","materials_sent"},0)),"Y","N"))</f>
        <v/>
      </c>
      <c r="FT843" s="0" t="str">
        <f aca="false">IF($A843="","",IF(OR(T843="Y",U843="do_not_contact",AS843&amp;""&lt;&gt;""),"Y","N"))</f>
        <v/>
      </c>
      <c r="FU843" s="0" t="str">
        <f aca="false">IF($A843="","",IF(AP843&amp;""&lt;&gt;"",AP843&amp;"",$A843))</f>
        <v/>
      </c>
      <c r="FV843" s="0" t="str">
        <f aca="false">IF($A843="","",IF(COUNTIFS($FU$2:$FU$1000,FU843,$FS$2:$FS$1000,"Y")+COUNTIFS($FU$2:$FU$1000,FU843,$FT$2:$FT$1000,"Y")&gt;0,"Y","N"))</f>
        <v/>
      </c>
      <c r="FW843" s="0" t="str">
        <f aca="false">IF($A843="","",IF(AND(U843="new",T843="N",FT843="N",AT843="Y",FV843="N"),"Y","N"))</f>
        <v/>
      </c>
      <c r="FX843" s="0" t="str">
        <f aca="false">IF($A843="","",IF(FW843&lt;&gt;"Y","N",IF(COUNTIFS($FU$2:$FU$1000,FU843,$FW$2:$FW$1000,"Y",$J$2:$J$1000,"&gt;"&amp;J843)+COUNTIFS($FU$2:$FU$1000,FU843,$FW$2:$FW$1000,"Y",$J$2:$J$1000,J843,$GD$2:$GD$1000,"&lt;"&amp;GD843)=0,"Y","N")))</f>
        <v/>
      </c>
      <c r="FY843" s="0" t="str">
        <f aca="false">IF($A843="","",IF(AND(FW843="Y",FX843="Y",Y843&amp;""&lt;&gt;""),IF(Y843&lt;=10,"Y","N"),"N"))</f>
        <v/>
      </c>
      <c r="FZ843" s="0" t="str">
        <f aca="false">IF(FY843="Y",Y843,"")</f>
        <v/>
      </c>
      <c r="GA843" s="0" t="str">
        <f aca="false">IF($A843="","",IF(AND(I843="walk-in",CN843="pass",U843="new",FT843="N",FV843="N",AQ843&lt;&gt;"Y"),"Y","N"))</f>
        <v/>
      </c>
      <c r="GB843" s="0" t="str">
        <f aca="false">IF(GA843&lt;&gt;"Y","",IF(COUNTIFS($GA$2:$GA$1000,"Y",$J$2:$J$1000,"&gt;"&amp;J843)+COUNTIFS($GA$2:$GA$1000,"Y",$J$2:$J$1000,J843,$GD$2:$GD$1000,"&lt;"&amp;GD843)+1&lt;=25,COUNTIFS($GA$2:$GA$1000,"Y",$J$2:$J$1000,"&gt;"&amp;J843)+COUNTIFS($GA$2:$GA$1000,"Y",$J$2:$J$1000,J843,$GD$2:$GD$1000,"&lt;"&amp;GD843)+1,""))</f>
        <v/>
      </c>
      <c r="GC843" s="0" t="str">
        <f aca="false">IF(AND(_xlfn.ISFORMULA(C843),_xlfn.ISFORMULA(J843)),"Y","N")</f>
        <v>Y</v>
      </c>
      <c r="GD843" s="0" t="n">
        <f aca="false">ROW()-1</f>
        <v>842</v>
      </c>
    </row>
    <row r="844" customFormat="false" ht="15" hidden="false" customHeight="false" outlineLevel="0" collapsed="false">
      <c r="C844" s="0" t="str">
        <f aca="false">IF($A844="","",IF(AW844="Y",BM844&amp;"",AY844&amp;""))</f>
        <v/>
      </c>
      <c r="D844" s="0" t="str">
        <f aca="false">IF($A844="","",IF(AW844="Y",BN844&amp;"",AZ844&amp;""))</f>
        <v/>
      </c>
      <c r="E844" s="0" t="str">
        <f aca="false">IF($A844="","",IF(AW844="Y",BO844&amp;"",BA844&amp;""))</f>
        <v/>
      </c>
      <c r="F844" s="0" t="str">
        <f aca="false">IF($A844="","",IF(AW844="Y",BP844&amp;"",BB844&amp;""))</f>
        <v/>
      </c>
      <c r="G844" s="0" t="str">
        <f aca="false">IF($A844="","",IF(AW844="Y",BQ844&amp;"",BC844&amp;""))</f>
        <v/>
      </c>
      <c r="H844" s="0" t="str">
        <f aca="false">IF($A844="","",IF(AW844="Y",BR844&amp;"",BD844&amp;""))</f>
        <v/>
      </c>
      <c r="I844" s="0" t="str">
        <f aca="false">IF($A844="","",IF(R844="Y","warm-intro",IF(H844="verified","email",IF(C844&lt;&gt;"","linkedin",CB844&amp;""))))</f>
        <v/>
      </c>
      <c r="J844" s="0" t="str">
        <f aca="false">IF($A844="","",IF(CN844="pass",ROUND(N(EM844)+N(EN844)+N(EO844)+N(EP844)+N(EQ844)+N(ER844),1),0))</f>
        <v/>
      </c>
      <c r="K844" s="0" t="str">
        <f aca="false">IF($A844="","",IF(CN844&lt;&gt;"pass",CA844&amp;"",CA844&amp;"; "&amp;IF(AW844="Y",BZ844&amp;"",BL844&amp;"")&amp;IF(R844="Y","; known to the founder (+15)","")&amp;"."))</f>
        <v/>
      </c>
      <c r="R844" s="5"/>
      <c r="U844" s="5"/>
      <c r="Y844" s="0" t="str">
        <f aca="false">IF(FX844&lt;&gt;"Y","",COUNTIFS($FX$2:$FX$1000,"Y",$J$2:$J$1000,"&gt;"&amp;J844)+COUNTIFS($FX$2:$FX$1000,"Y",$J$2:$J$1000,J844,$GD$2:$GD$1000,"&lt;"&amp;GD844)+1)</f>
        <v/>
      </c>
      <c r="AB844" s="0" t="str">
        <f aca="false">IF($A844="","",IF(AW844="Y",BY844&amp;"",BK844&amp;""))</f>
        <v/>
      </c>
      <c r="AC844" s="0" t="str">
        <f aca="false">IF($A844="","",IF(AW844="Y",BS844&amp;"",BE844&amp;""))</f>
        <v/>
      </c>
      <c r="AD844" s="0" t="str">
        <f aca="false">IF($A844="","",IF(AW844="Y",BT844&amp;"",BF844&amp;""))</f>
        <v/>
      </c>
      <c r="AE844" s="0" t="str">
        <f aca="false">IF($A844="","",IF(AW844="Y",BU844&amp;"",BG844&amp;""))</f>
        <v/>
      </c>
      <c r="AF844" s="0" t="str">
        <f aca="false">IF($A844="","",IF(AW844="Y",BV844&amp;"",BH844&amp;""))</f>
        <v/>
      </c>
      <c r="AG844" s="0" t="str">
        <f aca="false">IF($A844="","",IF(AW844="Y",BW844&amp;"",BI844&amp;""))</f>
        <v/>
      </c>
      <c r="AH844" s="0" t="str">
        <f aca="false">IF($A844="","",IF(AW844="Y",BX844&amp;"",BJ844&amp;""))</f>
        <v/>
      </c>
      <c r="AQ844" s="5"/>
      <c r="AT844" s="0" t="str">
        <f aca="false">IF($A844="","",IF(AND(CN844="pass",AQ844&lt;&gt;"Y",C844&lt;&gt;"",OR(AX844&lt;&gt;"Y",AV844="Y")),"Y","N"))</f>
        <v/>
      </c>
      <c r="AU844" s="0" t="str">
        <f aca="false">IF($A844="","",_xlfn.TEXTJOIN("; ",TRUE(),IF(CN844&lt;&gt;"pass","gated out",""),IF(AQ844="Y","on hold: "&amp;AR844,""),IF(C844="","no contact named on an opened page",""),IF(AND(AX844="Y",AV844&lt;&gt;"Y"),"Tuesday estimate band "&amp;L844&amp;": founder's call","")))</f>
        <v/>
      </c>
      <c r="BC844" s="0" t="str">
        <f aca="false">IF($A844="","",IFERROR(INDEX(Enrichment!$A$2:$GZ$2000,MATCH($A844,INDEX(Enrichment!$A$2:$GZ$2000,0,MATCH("row_id",Enrichment!$A$1:$GZ$1,0)),0),MATCH("work_email",Enrichment!$A$1:$GZ$1,0))&amp;"",""))</f>
        <v/>
      </c>
      <c r="BD844" s="0" t="str">
        <f aca="false">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Q844" s="0" t="str">
        <f aca="false">IF($A844="","",IFERROR(INDEX(Enrichment!$A$2:$GZ$2000,MATCH($A844,INDEX(Enrichment!$A$2:$GZ$2000,0,MATCH("row_id",Enrichment!$A$1:$GZ$1,0)),0),MATCH("backup_work_email",Enrichment!$A$1:$GZ$1,0))&amp;"",""))</f>
        <v/>
      </c>
      <c r="BR844" s="0" t="str">
        <f aca="false">IF($A844="","",IF(BQ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EQ844" s="0" t="str">
        <f aca="false">IF($A844="","",IF(AH844="exact",10,IF(AH844="adjacent",5,0)))</f>
        <v/>
      </c>
      <c r="ER844" s="0" t="str">
        <f aca="false">IF($A844="","",IF(R844="Y",15,0))</f>
        <v/>
      </c>
      <c r="FS844" s="0" t="str">
        <f aca="false">IF($A844="","",IF(ISNUMBER(MATCH(U844,{"queued","contacted","replied","call_booked","call_done","yes_in_principle","materials_sent"},0)),"Y","N"))</f>
        <v/>
      </c>
      <c r="FT844" s="0" t="str">
        <f aca="false">IF($A844="","",IF(OR(T844="Y",U844="do_not_contact",AS844&amp;""&lt;&gt;""),"Y","N"))</f>
        <v/>
      </c>
      <c r="FU844" s="0" t="str">
        <f aca="false">IF($A844="","",IF(AP844&amp;""&lt;&gt;"",AP844&amp;"",$A844))</f>
        <v/>
      </c>
      <c r="FV844" s="0" t="str">
        <f aca="false">IF($A844="","",IF(COUNTIFS($FU$2:$FU$1000,FU844,$FS$2:$FS$1000,"Y")+COUNTIFS($FU$2:$FU$1000,FU844,$FT$2:$FT$1000,"Y")&gt;0,"Y","N"))</f>
        <v/>
      </c>
      <c r="FW844" s="0" t="str">
        <f aca="false">IF($A844="","",IF(AND(U844="new",T844="N",FT844="N",AT844="Y",FV844="N"),"Y","N"))</f>
        <v/>
      </c>
      <c r="FX844" s="0" t="str">
        <f aca="false">IF($A844="","",IF(FW844&lt;&gt;"Y","N",IF(COUNTIFS($FU$2:$FU$1000,FU844,$FW$2:$FW$1000,"Y",$J$2:$J$1000,"&gt;"&amp;J844)+COUNTIFS($FU$2:$FU$1000,FU844,$FW$2:$FW$1000,"Y",$J$2:$J$1000,J844,$GD$2:$GD$1000,"&lt;"&amp;GD844)=0,"Y","N")))</f>
        <v/>
      </c>
      <c r="FY844" s="0" t="str">
        <f aca="false">IF($A844="","",IF(AND(FW844="Y",FX844="Y",Y844&amp;""&lt;&gt;""),IF(Y844&lt;=10,"Y","N"),"N"))</f>
        <v/>
      </c>
      <c r="FZ844" s="0" t="str">
        <f aca="false">IF(FY844="Y",Y844,"")</f>
        <v/>
      </c>
      <c r="GA844" s="0" t="str">
        <f aca="false">IF($A844="","",IF(AND(I844="walk-in",CN844="pass",U844="new",FT844="N",FV844="N",AQ844&lt;&gt;"Y"),"Y","N"))</f>
        <v/>
      </c>
      <c r="GB844" s="0" t="str">
        <f aca="false">IF(GA844&lt;&gt;"Y","",IF(COUNTIFS($GA$2:$GA$1000,"Y",$J$2:$J$1000,"&gt;"&amp;J844)+COUNTIFS($GA$2:$GA$1000,"Y",$J$2:$J$1000,J844,$GD$2:$GD$1000,"&lt;"&amp;GD844)+1&lt;=25,COUNTIFS($GA$2:$GA$1000,"Y",$J$2:$J$1000,"&gt;"&amp;J844)+COUNTIFS($GA$2:$GA$1000,"Y",$J$2:$J$1000,J844,$GD$2:$GD$1000,"&lt;"&amp;GD844)+1,""))</f>
        <v/>
      </c>
      <c r="GC844" s="0" t="str">
        <f aca="false">IF(AND(_xlfn.ISFORMULA(C844),_xlfn.ISFORMULA(J844)),"Y","N")</f>
        <v>Y</v>
      </c>
      <c r="GD844" s="0" t="n">
        <f aca="false">ROW()-1</f>
        <v>843</v>
      </c>
    </row>
    <row r="845" customFormat="false" ht="15" hidden="false" customHeight="false" outlineLevel="0" collapsed="false">
      <c r="C845" s="0" t="str">
        <f aca="false">IF($A845="","",IF(AW845="Y",BM845&amp;"",AY845&amp;""))</f>
        <v/>
      </c>
      <c r="D845" s="0" t="str">
        <f aca="false">IF($A845="","",IF(AW845="Y",BN845&amp;"",AZ845&amp;""))</f>
        <v/>
      </c>
      <c r="E845" s="0" t="str">
        <f aca="false">IF($A845="","",IF(AW845="Y",BO845&amp;"",BA845&amp;""))</f>
        <v/>
      </c>
      <c r="F845" s="0" t="str">
        <f aca="false">IF($A845="","",IF(AW845="Y",BP845&amp;"",BB845&amp;""))</f>
        <v/>
      </c>
      <c r="G845" s="0" t="str">
        <f aca="false">IF($A845="","",IF(AW845="Y",BQ845&amp;"",BC845&amp;""))</f>
        <v/>
      </c>
      <c r="H845" s="0" t="str">
        <f aca="false">IF($A845="","",IF(AW845="Y",BR845&amp;"",BD845&amp;""))</f>
        <v/>
      </c>
      <c r="I845" s="0" t="str">
        <f aca="false">IF($A845="","",IF(R845="Y","warm-intro",IF(H845="verified","email",IF(C845&lt;&gt;"","linkedin",CB845&amp;""))))</f>
        <v/>
      </c>
      <c r="J845" s="0" t="str">
        <f aca="false">IF($A845="","",IF(CN845="pass",ROUND(N(EM845)+N(EN845)+N(EO845)+N(EP845)+N(EQ845)+N(ER845),1),0))</f>
        <v/>
      </c>
      <c r="K845" s="0" t="str">
        <f aca="false">IF($A845="","",IF(CN845&lt;&gt;"pass",CA845&amp;"",CA845&amp;"; "&amp;IF(AW845="Y",BZ845&amp;"",BL845&amp;"")&amp;IF(R845="Y","; known to the founder (+15)","")&amp;"."))</f>
        <v/>
      </c>
      <c r="R845" s="5"/>
      <c r="U845" s="5"/>
      <c r="Y845" s="0" t="str">
        <f aca="false">IF(FX845&lt;&gt;"Y","",COUNTIFS($FX$2:$FX$1000,"Y",$J$2:$J$1000,"&gt;"&amp;J845)+COUNTIFS($FX$2:$FX$1000,"Y",$J$2:$J$1000,J845,$GD$2:$GD$1000,"&lt;"&amp;GD845)+1)</f>
        <v/>
      </c>
      <c r="AB845" s="0" t="str">
        <f aca="false">IF($A845="","",IF(AW845="Y",BY845&amp;"",BK845&amp;""))</f>
        <v/>
      </c>
      <c r="AC845" s="0" t="str">
        <f aca="false">IF($A845="","",IF(AW845="Y",BS845&amp;"",BE845&amp;""))</f>
        <v/>
      </c>
      <c r="AD845" s="0" t="str">
        <f aca="false">IF($A845="","",IF(AW845="Y",BT845&amp;"",BF845&amp;""))</f>
        <v/>
      </c>
      <c r="AE845" s="0" t="str">
        <f aca="false">IF($A845="","",IF(AW845="Y",BU845&amp;"",BG845&amp;""))</f>
        <v/>
      </c>
      <c r="AF845" s="0" t="str">
        <f aca="false">IF($A845="","",IF(AW845="Y",BV845&amp;"",BH845&amp;""))</f>
        <v/>
      </c>
      <c r="AG845" s="0" t="str">
        <f aca="false">IF($A845="","",IF(AW845="Y",BW845&amp;"",BI845&amp;""))</f>
        <v/>
      </c>
      <c r="AH845" s="0" t="str">
        <f aca="false">IF($A845="","",IF(AW845="Y",BX845&amp;"",BJ845&amp;""))</f>
        <v/>
      </c>
      <c r="AQ845" s="5"/>
      <c r="AT845" s="0" t="str">
        <f aca="false">IF($A845="","",IF(AND(CN845="pass",AQ845&lt;&gt;"Y",C845&lt;&gt;"",OR(AX845&lt;&gt;"Y",AV845="Y")),"Y","N"))</f>
        <v/>
      </c>
      <c r="AU845" s="0" t="str">
        <f aca="false">IF($A845="","",_xlfn.TEXTJOIN("; ",TRUE(),IF(CN845&lt;&gt;"pass","gated out",""),IF(AQ845="Y","on hold: "&amp;AR845,""),IF(C845="","no contact named on an opened page",""),IF(AND(AX845="Y",AV845&lt;&gt;"Y"),"Tuesday estimate band "&amp;L845&amp;": founder's call","")))</f>
        <v/>
      </c>
      <c r="BC845" s="0" t="str">
        <f aca="false">IF($A845="","",IFERROR(INDEX(Enrichment!$A$2:$GZ$2000,MATCH($A845,INDEX(Enrichment!$A$2:$GZ$2000,0,MATCH("row_id",Enrichment!$A$1:$GZ$1,0)),0),MATCH("work_email",Enrichment!$A$1:$GZ$1,0))&amp;"",""))</f>
        <v/>
      </c>
      <c r="BD845" s="0" t="str">
        <f aca="false">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Q845" s="0" t="str">
        <f aca="false">IF($A845="","",IFERROR(INDEX(Enrichment!$A$2:$GZ$2000,MATCH($A845,INDEX(Enrichment!$A$2:$GZ$2000,0,MATCH("row_id",Enrichment!$A$1:$GZ$1,0)),0),MATCH("backup_work_email",Enrichment!$A$1:$GZ$1,0))&amp;"",""))</f>
        <v/>
      </c>
      <c r="BR845" s="0" t="str">
        <f aca="false">IF($A845="","",IF(BQ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EQ845" s="0" t="str">
        <f aca="false">IF($A845="","",IF(AH845="exact",10,IF(AH845="adjacent",5,0)))</f>
        <v/>
      </c>
      <c r="ER845" s="0" t="str">
        <f aca="false">IF($A845="","",IF(R845="Y",15,0))</f>
        <v/>
      </c>
      <c r="FS845" s="0" t="str">
        <f aca="false">IF($A845="","",IF(ISNUMBER(MATCH(U845,{"queued","contacted","replied","call_booked","call_done","yes_in_principle","materials_sent"},0)),"Y","N"))</f>
        <v/>
      </c>
      <c r="FT845" s="0" t="str">
        <f aca="false">IF($A845="","",IF(OR(T845="Y",U845="do_not_contact",AS845&amp;""&lt;&gt;""),"Y","N"))</f>
        <v/>
      </c>
      <c r="FU845" s="0" t="str">
        <f aca="false">IF($A845="","",IF(AP845&amp;""&lt;&gt;"",AP845&amp;"",$A845))</f>
        <v/>
      </c>
      <c r="FV845" s="0" t="str">
        <f aca="false">IF($A845="","",IF(COUNTIFS($FU$2:$FU$1000,FU845,$FS$2:$FS$1000,"Y")+COUNTIFS($FU$2:$FU$1000,FU845,$FT$2:$FT$1000,"Y")&gt;0,"Y","N"))</f>
        <v/>
      </c>
      <c r="FW845" s="0" t="str">
        <f aca="false">IF($A845="","",IF(AND(U845="new",T845="N",FT845="N",AT845="Y",FV845="N"),"Y","N"))</f>
        <v/>
      </c>
      <c r="FX845" s="0" t="str">
        <f aca="false">IF($A845="","",IF(FW845&lt;&gt;"Y","N",IF(COUNTIFS($FU$2:$FU$1000,FU845,$FW$2:$FW$1000,"Y",$J$2:$J$1000,"&gt;"&amp;J845)+COUNTIFS($FU$2:$FU$1000,FU845,$FW$2:$FW$1000,"Y",$J$2:$J$1000,J845,$GD$2:$GD$1000,"&lt;"&amp;GD845)=0,"Y","N")))</f>
        <v/>
      </c>
      <c r="FY845" s="0" t="str">
        <f aca="false">IF($A845="","",IF(AND(FW845="Y",FX845="Y",Y845&amp;""&lt;&gt;""),IF(Y845&lt;=10,"Y","N"),"N"))</f>
        <v/>
      </c>
      <c r="FZ845" s="0" t="str">
        <f aca="false">IF(FY845="Y",Y845,"")</f>
        <v/>
      </c>
      <c r="GA845" s="0" t="str">
        <f aca="false">IF($A845="","",IF(AND(I845="walk-in",CN845="pass",U845="new",FT845="N",FV845="N",AQ845&lt;&gt;"Y"),"Y","N"))</f>
        <v/>
      </c>
      <c r="GB845" s="0" t="str">
        <f aca="false">IF(GA845&lt;&gt;"Y","",IF(COUNTIFS($GA$2:$GA$1000,"Y",$J$2:$J$1000,"&gt;"&amp;J845)+COUNTIFS($GA$2:$GA$1000,"Y",$J$2:$J$1000,J845,$GD$2:$GD$1000,"&lt;"&amp;GD845)+1&lt;=25,COUNTIFS($GA$2:$GA$1000,"Y",$J$2:$J$1000,"&gt;"&amp;J845)+COUNTIFS($GA$2:$GA$1000,"Y",$J$2:$J$1000,J845,$GD$2:$GD$1000,"&lt;"&amp;GD845)+1,""))</f>
        <v/>
      </c>
      <c r="GC845" s="0" t="str">
        <f aca="false">IF(AND(_xlfn.ISFORMULA(C845),_xlfn.ISFORMULA(J845)),"Y","N")</f>
        <v>Y</v>
      </c>
      <c r="GD845" s="0" t="n">
        <f aca="false">ROW()-1</f>
        <v>844</v>
      </c>
    </row>
    <row r="846" customFormat="false" ht="15" hidden="false" customHeight="false" outlineLevel="0" collapsed="false">
      <c r="C846" s="0" t="str">
        <f aca="false">IF($A846="","",IF(AW846="Y",BM846&amp;"",AY846&amp;""))</f>
        <v/>
      </c>
      <c r="D846" s="0" t="str">
        <f aca="false">IF($A846="","",IF(AW846="Y",BN846&amp;"",AZ846&amp;""))</f>
        <v/>
      </c>
      <c r="E846" s="0" t="str">
        <f aca="false">IF($A846="","",IF(AW846="Y",BO846&amp;"",BA846&amp;""))</f>
        <v/>
      </c>
      <c r="F846" s="0" t="str">
        <f aca="false">IF($A846="","",IF(AW846="Y",BP846&amp;"",BB846&amp;""))</f>
        <v/>
      </c>
      <c r="G846" s="0" t="str">
        <f aca="false">IF($A846="","",IF(AW846="Y",BQ846&amp;"",BC846&amp;""))</f>
        <v/>
      </c>
      <c r="H846" s="0" t="str">
        <f aca="false">IF($A846="","",IF(AW846="Y",BR846&amp;"",BD846&amp;""))</f>
        <v/>
      </c>
      <c r="I846" s="0" t="str">
        <f aca="false">IF($A846="","",IF(R846="Y","warm-intro",IF(H846="verified","email",IF(C846&lt;&gt;"","linkedin",CB846&amp;""))))</f>
        <v/>
      </c>
      <c r="J846" s="0" t="str">
        <f aca="false">IF($A846="","",IF(CN846="pass",ROUND(N(EM846)+N(EN846)+N(EO846)+N(EP846)+N(EQ846)+N(ER846),1),0))</f>
        <v/>
      </c>
      <c r="K846" s="0" t="str">
        <f aca="false">IF($A846="","",IF(CN846&lt;&gt;"pass",CA846&amp;"",CA846&amp;"; "&amp;IF(AW846="Y",BZ846&amp;"",BL846&amp;"")&amp;IF(R846="Y","; known to the founder (+15)","")&amp;"."))</f>
        <v/>
      </c>
      <c r="R846" s="5"/>
      <c r="U846" s="5"/>
      <c r="Y846" s="0" t="str">
        <f aca="false">IF(FX846&lt;&gt;"Y","",COUNTIFS($FX$2:$FX$1000,"Y",$J$2:$J$1000,"&gt;"&amp;J846)+COUNTIFS($FX$2:$FX$1000,"Y",$J$2:$J$1000,J846,$GD$2:$GD$1000,"&lt;"&amp;GD846)+1)</f>
        <v/>
      </c>
      <c r="AB846" s="0" t="str">
        <f aca="false">IF($A846="","",IF(AW846="Y",BY846&amp;"",BK846&amp;""))</f>
        <v/>
      </c>
      <c r="AC846" s="0" t="str">
        <f aca="false">IF($A846="","",IF(AW846="Y",BS846&amp;"",BE846&amp;""))</f>
        <v/>
      </c>
      <c r="AD846" s="0" t="str">
        <f aca="false">IF($A846="","",IF(AW846="Y",BT846&amp;"",BF846&amp;""))</f>
        <v/>
      </c>
      <c r="AE846" s="0" t="str">
        <f aca="false">IF($A846="","",IF(AW846="Y",BU846&amp;"",BG846&amp;""))</f>
        <v/>
      </c>
      <c r="AF846" s="0" t="str">
        <f aca="false">IF($A846="","",IF(AW846="Y",BV846&amp;"",BH846&amp;""))</f>
        <v/>
      </c>
      <c r="AG846" s="0" t="str">
        <f aca="false">IF($A846="","",IF(AW846="Y",BW846&amp;"",BI846&amp;""))</f>
        <v/>
      </c>
      <c r="AH846" s="0" t="str">
        <f aca="false">IF($A846="","",IF(AW846="Y",BX846&amp;"",BJ846&amp;""))</f>
        <v/>
      </c>
      <c r="AQ846" s="5"/>
      <c r="AT846" s="0" t="str">
        <f aca="false">IF($A846="","",IF(AND(CN846="pass",AQ846&lt;&gt;"Y",C846&lt;&gt;"",OR(AX846&lt;&gt;"Y",AV846="Y")),"Y","N"))</f>
        <v/>
      </c>
      <c r="AU846" s="0" t="str">
        <f aca="false">IF($A846="","",_xlfn.TEXTJOIN("; ",TRUE(),IF(CN846&lt;&gt;"pass","gated out",""),IF(AQ846="Y","on hold: "&amp;AR846,""),IF(C846="","no contact named on an opened page",""),IF(AND(AX846="Y",AV846&lt;&gt;"Y"),"Tuesday estimate band "&amp;L846&amp;": founder's call","")))</f>
        <v/>
      </c>
      <c r="BC846" s="0" t="str">
        <f aca="false">IF($A846="","",IFERROR(INDEX(Enrichment!$A$2:$GZ$2000,MATCH($A846,INDEX(Enrichment!$A$2:$GZ$2000,0,MATCH("row_id",Enrichment!$A$1:$GZ$1,0)),0),MATCH("work_email",Enrichment!$A$1:$GZ$1,0))&amp;"",""))</f>
        <v/>
      </c>
      <c r="BD846" s="0" t="str">
        <f aca="false">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Q846" s="0" t="str">
        <f aca="false">IF($A846="","",IFERROR(INDEX(Enrichment!$A$2:$GZ$2000,MATCH($A846,INDEX(Enrichment!$A$2:$GZ$2000,0,MATCH("row_id",Enrichment!$A$1:$GZ$1,0)),0),MATCH("backup_work_email",Enrichment!$A$1:$GZ$1,0))&amp;"",""))</f>
        <v/>
      </c>
      <c r="BR846" s="0" t="str">
        <f aca="false">IF($A846="","",IF(BQ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EQ846" s="0" t="str">
        <f aca="false">IF($A846="","",IF(AH846="exact",10,IF(AH846="adjacent",5,0)))</f>
        <v/>
      </c>
      <c r="ER846" s="0" t="str">
        <f aca="false">IF($A846="","",IF(R846="Y",15,0))</f>
        <v/>
      </c>
      <c r="FS846" s="0" t="str">
        <f aca="false">IF($A846="","",IF(ISNUMBER(MATCH(U846,{"queued","contacted","replied","call_booked","call_done","yes_in_principle","materials_sent"},0)),"Y","N"))</f>
        <v/>
      </c>
      <c r="FT846" s="0" t="str">
        <f aca="false">IF($A846="","",IF(OR(T846="Y",U846="do_not_contact",AS846&amp;""&lt;&gt;""),"Y","N"))</f>
        <v/>
      </c>
      <c r="FU846" s="0" t="str">
        <f aca="false">IF($A846="","",IF(AP846&amp;""&lt;&gt;"",AP846&amp;"",$A846))</f>
        <v/>
      </c>
      <c r="FV846" s="0" t="str">
        <f aca="false">IF($A846="","",IF(COUNTIFS($FU$2:$FU$1000,FU846,$FS$2:$FS$1000,"Y")+COUNTIFS($FU$2:$FU$1000,FU846,$FT$2:$FT$1000,"Y")&gt;0,"Y","N"))</f>
        <v/>
      </c>
      <c r="FW846" s="0" t="str">
        <f aca="false">IF($A846="","",IF(AND(U846="new",T846="N",FT846="N",AT846="Y",FV846="N"),"Y","N"))</f>
        <v/>
      </c>
      <c r="FX846" s="0" t="str">
        <f aca="false">IF($A846="","",IF(FW846&lt;&gt;"Y","N",IF(COUNTIFS($FU$2:$FU$1000,FU846,$FW$2:$FW$1000,"Y",$J$2:$J$1000,"&gt;"&amp;J846)+COUNTIFS($FU$2:$FU$1000,FU846,$FW$2:$FW$1000,"Y",$J$2:$J$1000,J846,$GD$2:$GD$1000,"&lt;"&amp;GD846)=0,"Y","N")))</f>
        <v/>
      </c>
      <c r="FY846" s="0" t="str">
        <f aca="false">IF($A846="","",IF(AND(FW846="Y",FX846="Y",Y846&amp;""&lt;&gt;""),IF(Y846&lt;=10,"Y","N"),"N"))</f>
        <v/>
      </c>
      <c r="FZ846" s="0" t="str">
        <f aca="false">IF(FY846="Y",Y846,"")</f>
        <v/>
      </c>
      <c r="GA846" s="0" t="str">
        <f aca="false">IF($A846="","",IF(AND(I846="walk-in",CN846="pass",U846="new",FT846="N",FV846="N",AQ846&lt;&gt;"Y"),"Y","N"))</f>
        <v/>
      </c>
      <c r="GB846" s="0" t="str">
        <f aca="false">IF(GA846&lt;&gt;"Y","",IF(COUNTIFS($GA$2:$GA$1000,"Y",$J$2:$J$1000,"&gt;"&amp;J846)+COUNTIFS($GA$2:$GA$1000,"Y",$J$2:$J$1000,J846,$GD$2:$GD$1000,"&lt;"&amp;GD846)+1&lt;=25,COUNTIFS($GA$2:$GA$1000,"Y",$J$2:$J$1000,"&gt;"&amp;J846)+COUNTIFS($GA$2:$GA$1000,"Y",$J$2:$J$1000,J846,$GD$2:$GD$1000,"&lt;"&amp;GD846)+1,""))</f>
        <v/>
      </c>
      <c r="GC846" s="0" t="str">
        <f aca="false">IF(AND(_xlfn.ISFORMULA(C846),_xlfn.ISFORMULA(J846)),"Y","N")</f>
        <v>Y</v>
      </c>
      <c r="GD846" s="0" t="n">
        <f aca="false">ROW()-1</f>
        <v>845</v>
      </c>
    </row>
    <row r="847" customFormat="false" ht="15" hidden="false" customHeight="false" outlineLevel="0" collapsed="false">
      <c r="C847" s="0" t="str">
        <f aca="false">IF($A847="","",IF(AW847="Y",BM847&amp;"",AY847&amp;""))</f>
        <v/>
      </c>
      <c r="D847" s="0" t="str">
        <f aca="false">IF($A847="","",IF(AW847="Y",BN847&amp;"",AZ847&amp;""))</f>
        <v/>
      </c>
      <c r="E847" s="0" t="str">
        <f aca="false">IF($A847="","",IF(AW847="Y",BO847&amp;"",BA847&amp;""))</f>
        <v/>
      </c>
      <c r="F847" s="0" t="str">
        <f aca="false">IF($A847="","",IF(AW847="Y",BP847&amp;"",BB847&amp;""))</f>
        <v/>
      </c>
      <c r="G847" s="0" t="str">
        <f aca="false">IF($A847="","",IF(AW847="Y",BQ847&amp;"",BC847&amp;""))</f>
        <v/>
      </c>
      <c r="H847" s="0" t="str">
        <f aca="false">IF($A847="","",IF(AW847="Y",BR847&amp;"",BD847&amp;""))</f>
        <v/>
      </c>
      <c r="I847" s="0" t="str">
        <f aca="false">IF($A847="","",IF(R847="Y","warm-intro",IF(H847="verified","email",IF(C847&lt;&gt;"","linkedin",CB847&amp;""))))</f>
        <v/>
      </c>
      <c r="J847" s="0" t="str">
        <f aca="false">IF($A847="","",IF(CN847="pass",ROUND(N(EM847)+N(EN847)+N(EO847)+N(EP847)+N(EQ847)+N(ER847),1),0))</f>
        <v/>
      </c>
      <c r="K847" s="0" t="str">
        <f aca="false">IF($A847="","",IF(CN847&lt;&gt;"pass",CA847&amp;"",CA847&amp;"; "&amp;IF(AW847="Y",BZ847&amp;"",BL847&amp;"")&amp;IF(R847="Y","; known to the founder (+15)","")&amp;"."))</f>
        <v/>
      </c>
      <c r="R847" s="5"/>
      <c r="U847" s="5"/>
      <c r="Y847" s="0" t="str">
        <f aca="false">IF(FX847&lt;&gt;"Y","",COUNTIFS($FX$2:$FX$1000,"Y",$J$2:$J$1000,"&gt;"&amp;J847)+COUNTIFS($FX$2:$FX$1000,"Y",$J$2:$J$1000,J847,$GD$2:$GD$1000,"&lt;"&amp;GD847)+1)</f>
        <v/>
      </c>
      <c r="AB847" s="0" t="str">
        <f aca="false">IF($A847="","",IF(AW847="Y",BY847&amp;"",BK847&amp;""))</f>
        <v/>
      </c>
      <c r="AC847" s="0" t="str">
        <f aca="false">IF($A847="","",IF(AW847="Y",BS847&amp;"",BE847&amp;""))</f>
        <v/>
      </c>
      <c r="AD847" s="0" t="str">
        <f aca="false">IF($A847="","",IF(AW847="Y",BT847&amp;"",BF847&amp;""))</f>
        <v/>
      </c>
      <c r="AE847" s="0" t="str">
        <f aca="false">IF($A847="","",IF(AW847="Y",BU847&amp;"",BG847&amp;""))</f>
        <v/>
      </c>
      <c r="AF847" s="0" t="str">
        <f aca="false">IF($A847="","",IF(AW847="Y",BV847&amp;"",BH847&amp;""))</f>
        <v/>
      </c>
      <c r="AG847" s="0" t="str">
        <f aca="false">IF($A847="","",IF(AW847="Y",BW847&amp;"",BI847&amp;""))</f>
        <v/>
      </c>
      <c r="AH847" s="0" t="str">
        <f aca="false">IF($A847="","",IF(AW847="Y",BX847&amp;"",BJ847&amp;""))</f>
        <v/>
      </c>
      <c r="AQ847" s="5"/>
      <c r="AT847" s="0" t="str">
        <f aca="false">IF($A847="","",IF(AND(CN847="pass",AQ847&lt;&gt;"Y",C847&lt;&gt;"",OR(AX847&lt;&gt;"Y",AV847="Y")),"Y","N"))</f>
        <v/>
      </c>
      <c r="AU847" s="0" t="str">
        <f aca="false">IF($A847="","",_xlfn.TEXTJOIN("; ",TRUE(),IF(CN847&lt;&gt;"pass","gated out",""),IF(AQ847="Y","on hold: "&amp;AR847,""),IF(C847="","no contact named on an opened page",""),IF(AND(AX847="Y",AV847&lt;&gt;"Y"),"Tuesday estimate band "&amp;L847&amp;": founder's call","")))</f>
        <v/>
      </c>
      <c r="BC847" s="0" t="str">
        <f aca="false">IF($A847="","",IFERROR(INDEX(Enrichment!$A$2:$GZ$2000,MATCH($A847,INDEX(Enrichment!$A$2:$GZ$2000,0,MATCH("row_id",Enrichment!$A$1:$GZ$1,0)),0),MATCH("work_email",Enrichment!$A$1:$GZ$1,0))&amp;"",""))</f>
        <v/>
      </c>
      <c r="BD847" s="0" t="str">
        <f aca="false">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Q847" s="0" t="str">
        <f aca="false">IF($A847="","",IFERROR(INDEX(Enrichment!$A$2:$GZ$2000,MATCH($A847,INDEX(Enrichment!$A$2:$GZ$2000,0,MATCH("row_id",Enrichment!$A$1:$GZ$1,0)),0),MATCH("backup_work_email",Enrichment!$A$1:$GZ$1,0))&amp;"",""))</f>
        <v/>
      </c>
      <c r="BR847" s="0" t="str">
        <f aca="false">IF($A847="","",IF(BQ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EQ847" s="0" t="str">
        <f aca="false">IF($A847="","",IF(AH847="exact",10,IF(AH847="adjacent",5,0)))</f>
        <v/>
      </c>
      <c r="ER847" s="0" t="str">
        <f aca="false">IF($A847="","",IF(R847="Y",15,0))</f>
        <v/>
      </c>
      <c r="FS847" s="0" t="str">
        <f aca="false">IF($A847="","",IF(ISNUMBER(MATCH(U847,{"queued","contacted","replied","call_booked","call_done","yes_in_principle","materials_sent"},0)),"Y","N"))</f>
        <v/>
      </c>
      <c r="FT847" s="0" t="str">
        <f aca="false">IF($A847="","",IF(OR(T847="Y",U847="do_not_contact",AS847&amp;""&lt;&gt;""),"Y","N"))</f>
        <v/>
      </c>
      <c r="FU847" s="0" t="str">
        <f aca="false">IF($A847="","",IF(AP847&amp;""&lt;&gt;"",AP847&amp;"",$A847))</f>
        <v/>
      </c>
      <c r="FV847" s="0" t="str">
        <f aca="false">IF($A847="","",IF(COUNTIFS($FU$2:$FU$1000,FU847,$FS$2:$FS$1000,"Y")+COUNTIFS($FU$2:$FU$1000,FU847,$FT$2:$FT$1000,"Y")&gt;0,"Y","N"))</f>
        <v/>
      </c>
      <c r="FW847" s="0" t="str">
        <f aca="false">IF($A847="","",IF(AND(U847="new",T847="N",FT847="N",AT847="Y",FV847="N"),"Y","N"))</f>
        <v/>
      </c>
      <c r="FX847" s="0" t="str">
        <f aca="false">IF($A847="","",IF(FW847&lt;&gt;"Y","N",IF(COUNTIFS($FU$2:$FU$1000,FU847,$FW$2:$FW$1000,"Y",$J$2:$J$1000,"&gt;"&amp;J847)+COUNTIFS($FU$2:$FU$1000,FU847,$FW$2:$FW$1000,"Y",$J$2:$J$1000,J847,$GD$2:$GD$1000,"&lt;"&amp;GD847)=0,"Y","N")))</f>
        <v/>
      </c>
      <c r="FY847" s="0" t="str">
        <f aca="false">IF($A847="","",IF(AND(FW847="Y",FX847="Y",Y847&amp;""&lt;&gt;""),IF(Y847&lt;=10,"Y","N"),"N"))</f>
        <v/>
      </c>
      <c r="FZ847" s="0" t="str">
        <f aca="false">IF(FY847="Y",Y847,"")</f>
        <v/>
      </c>
      <c r="GA847" s="0" t="str">
        <f aca="false">IF($A847="","",IF(AND(I847="walk-in",CN847="pass",U847="new",FT847="N",FV847="N",AQ847&lt;&gt;"Y"),"Y","N"))</f>
        <v/>
      </c>
      <c r="GB847" s="0" t="str">
        <f aca="false">IF(GA847&lt;&gt;"Y","",IF(COUNTIFS($GA$2:$GA$1000,"Y",$J$2:$J$1000,"&gt;"&amp;J847)+COUNTIFS($GA$2:$GA$1000,"Y",$J$2:$J$1000,J847,$GD$2:$GD$1000,"&lt;"&amp;GD847)+1&lt;=25,COUNTIFS($GA$2:$GA$1000,"Y",$J$2:$J$1000,"&gt;"&amp;J847)+COUNTIFS($GA$2:$GA$1000,"Y",$J$2:$J$1000,J847,$GD$2:$GD$1000,"&lt;"&amp;GD847)+1,""))</f>
        <v/>
      </c>
      <c r="GC847" s="0" t="str">
        <f aca="false">IF(AND(_xlfn.ISFORMULA(C847),_xlfn.ISFORMULA(J847)),"Y","N")</f>
        <v>Y</v>
      </c>
      <c r="GD847" s="0" t="n">
        <f aca="false">ROW()-1</f>
        <v>846</v>
      </c>
    </row>
    <row r="848" customFormat="false" ht="15" hidden="false" customHeight="false" outlineLevel="0" collapsed="false">
      <c r="C848" s="0" t="str">
        <f aca="false">IF($A848="","",IF(AW848="Y",BM848&amp;"",AY848&amp;""))</f>
        <v/>
      </c>
      <c r="D848" s="0" t="str">
        <f aca="false">IF($A848="","",IF(AW848="Y",BN848&amp;"",AZ848&amp;""))</f>
        <v/>
      </c>
      <c r="E848" s="0" t="str">
        <f aca="false">IF($A848="","",IF(AW848="Y",BO848&amp;"",BA848&amp;""))</f>
        <v/>
      </c>
      <c r="F848" s="0" t="str">
        <f aca="false">IF($A848="","",IF(AW848="Y",BP848&amp;"",BB848&amp;""))</f>
        <v/>
      </c>
      <c r="G848" s="0" t="str">
        <f aca="false">IF($A848="","",IF(AW848="Y",BQ848&amp;"",BC848&amp;""))</f>
        <v/>
      </c>
      <c r="H848" s="0" t="str">
        <f aca="false">IF($A848="","",IF(AW848="Y",BR848&amp;"",BD848&amp;""))</f>
        <v/>
      </c>
      <c r="I848" s="0" t="str">
        <f aca="false">IF($A848="","",IF(R848="Y","warm-intro",IF(H848="verified","email",IF(C848&lt;&gt;"","linkedin",CB848&amp;""))))</f>
        <v/>
      </c>
      <c r="J848" s="0" t="str">
        <f aca="false">IF($A848="","",IF(CN848="pass",ROUND(N(EM848)+N(EN848)+N(EO848)+N(EP848)+N(EQ848)+N(ER848),1),0))</f>
        <v/>
      </c>
      <c r="K848" s="0" t="str">
        <f aca="false">IF($A848="","",IF(CN848&lt;&gt;"pass",CA848&amp;"",CA848&amp;"; "&amp;IF(AW848="Y",BZ848&amp;"",BL848&amp;"")&amp;IF(R848="Y","; known to the founder (+15)","")&amp;"."))</f>
        <v/>
      </c>
      <c r="R848" s="5"/>
      <c r="U848" s="5"/>
      <c r="Y848" s="0" t="str">
        <f aca="false">IF(FX848&lt;&gt;"Y","",COUNTIFS($FX$2:$FX$1000,"Y",$J$2:$J$1000,"&gt;"&amp;J848)+COUNTIFS($FX$2:$FX$1000,"Y",$J$2:$J$1000,J848,$GD$2:$GD$1000,"&lt;"&amp;GD848)+1)</f>
        <v/>
      </c>
      <c r="AB848" s="0" t="str">
        <f aca="false">IF($A848="","",IF(AW848="Y",BY848&amp;"",BK848&amp;""))</f>
        <v/>
      </c>
      <c r="AC848" s="0" t="str">
        <f aca="false">IF($A848="","",IF(AW848="Y",BS848&amp;"",BE848&amp;""))</f>
        <v/>
      </c>
      <c r="AD848" s="0" t="str">
        <f aca="false">IF($A848="","",IF(AW848="Y",BT848&amp;"",BF848&amp;""))</f>
        <v/>
      </c>
      <c r="AE848" s="0" t="str">
        <f aca="false">IF($A848="","",IF(AW848="Y",BU848&amp;"",BG848&amp;""))</f>
        <v/>
      </c>
      <c r="AF848" s="0" t="str">
        <f aca="false">IF($A848="","",IF(AW848="Y",BV848&amp;"",BH848&amp;""))</f>
        <v/>
      </c>
      <c r="AG848" s="0" t="str">
        <f aca="false">IF($A848="","",IF(AW848="Y",BW848&amp;"",BI848&amp;""))</f>
        <v/>
      </c>
      <c r="AH848" s="0" t="str">
        <f aca="false">IF($A848="","",IF(AW848="Y",BX848&amp;"",BJ848&amp;""))</f>
        <v/>
      </c>
      <c r="AQ848" s="5"/>
      <c r="AT848" s="0" t="str">
        <f aca="false">IF($A848="","",IF(AND(CN848="pass",AQ848&lt;&gt;"Y",C848&lt;&gt;"",OR(AX848&lt;&gt;"Y",AV848="Y")),"Y","N"))</f>
        <v/>
      </c>
      <c r="AU848" s="0" t="str">
        <f aca="false">IF($A848="","",_xlfn.TEXTJOIN("; ",TRUE(),IF(CN848&lt;&gt;"pass","gated out",""),IF(AQ848="Y","on hold: "&amp;AR848,""),IF(C848="","no contact named on an opened page",""),IF(AND(AX848="Y",AV848&lt;&gt;"Y"),"Tuesday estimate band "&amp;L848&amp;": founder's call","")))</f>
        <v/>
      </c>
      <c r="BC848" s="0" t="str">
        <f aca="false">IF($A848="","",IFERROR(INDEX(Enrichment!$A$2:$GZ$2000,MATCH($A848,INDEX(Enrichment!$A$2:$GZ$2000,0,MATCH("row_id",Enrichment!$A$1:$GZ$1,0)),0),MATCH("work_email",Enrichment!$A$1:$GZ$1,0))&amp;"",""))</f>
        <v/>
      </c>
      <c r="BD848" s="0" t="str">
        <f aca="false">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Q848" s="0" t="str">
        <f aca="false">IF($A848="","",IFERROR(INDEX(Enrichment!$A$2:$GZ$2000,MATCH($A848,INDEX(Enrichment!$A$2:$GZ$2000,0,MATCH("row_id",Enrichment!$A$1:$GZ$1,0)),0),MATCH("backup_work_email",Enrichment!$A$1:$GZ$1,0))&amp;"",""))</f>
        <v/>
      </c>
      <c r="BR848" s="0" t="str">
        <f aca="false">IF($A848="","",IF(BQ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EQ848" s="0" t="str">
        <f aca="false">IF($A848="","",IF(AH848="exact",10,IF(AH848="adjacent",5,0)))</f>
        <v/>
      </c>
      <c r="ER848" s="0" t="str">
        <f aca="false">IF($A848="","",IF(R848="Y",15,0))</f>
        <v/>
      </c>
      <c r="FS848" s="0" t="str">
        <f aca="false">IF($A848="","",IF(ISNUMBER(MATCH(U848,{"queued","contacted","replied","call_booked","call_done","yes_in_principle","materials_sent"},0)),"Y","N"))</f>
        <v/>
      </c>
      <c r="FT848" s="0" t="str">
        <f aca="false">IF($A848="","",IF(OR(T848="Y",U848="do_not_contact",AS848&amp;""&lt;&gt;""),"Y","N"))</f>
        <v/>
      </c>
      <c r="FU848" s="0" t="str">
        <f aca="false">IF($A848="","",IF(AP848&amp;""&lt;&gt;"",AP848&amp;"",$A848))</f>
        <v/>
      </c>
      <c r="FV848" s="0" t="str">
        <f aca="false">IF($A848="","",IF(COUNTIFS($FU$2:$FU$1000,FU848,$FS$2:$FS$1000,"Y")+COUNTIFS($FU$2:$FU$1000,FU848,$FT$2:$FT$1000,"Y")&gt;0,"Y","N"))</f>
        <v/>
      </c>
      <c r="FW848" s="0" t="str">
        <f aca="false">IF($A848="","",IF(AND(U848="new",T848="N",FT848="N",AT848="Y",FV848="N"),"Y","N"))</f>
        <v/>
      </c>
      <c r="FX848" s="0" t="str">
        <f aca="false">IF($A848="","",IF(FW848&lt;&gt;"Y","N",IF(COUNTIFS($FU$2:$FU$1000,FU848,$FW$2:$FW$1000,"Y",$J$2:$J$1000,"&gt;"&amp;J848)+COUNTIFS($FU$2:$FU$1000,FU848,$FW$2:$FW$1000,"Y",$J$2:$J$1000,J848,$GD$2:$GD$1000,"&lt;"&amp;GD848)=0,"Y","N")))</f>
        <v/>
      </c>
      <c r="FY848" s="0" t="str">
        <f aca="false">IF($A848="","",IF(AND(FW848="Y",FX848="Y",Y848&amp;""&lt;&gt;""),IF(Y848&lt;=10,"Y","N"),"N"))</f>
        <v/>
      </c>
      <c r="FZ848" s="0" t="str">
        <f aca="false">IF(FY848="Y",Y848,"")</f>
        <v/>
      </c>
      <c r="GA848" s="0" t="str">
        <f aca="false">IF($A848="","",IF(AND(I848="walk-in",CN848="pass",U848="new",FT848="N",FV848="N",AQ848&lt;&gt;"Y"),"Y","N"))</f>
        <v/>
      </c>
      <c r="GB848" s="0" t="str">
        <f aca="false">IF(GA848&lt;&gt;"Y","",IF(COUNTIFS($GA$2:$GA$1000,"Y",$J$2:$J$1000,"&gt;"&amp;J848)+COUNTIFS($GA$2:$GA$1000,"Y",$J$2:$J$1000,J848,$GD$2:$GD$1000,"&lt;"&amp;GD848)+1&lt;=25,COUNTIFS($GA$2:$GA$1000,"Y",$J$2:$J$1000,"&gt;"&amp;J848)+COUNTIFS($GA$2:$GA$1000,"Y",$J$2:$J$1000,J848,$GD$2:$GD$1000,"&lt;"&amp;GD848)+1,""))</f>
        <v/>
      </c>
      <c r="GC848" s="0" t="str">
        <f aca="false">IF(AND(_xlfn.ISFORMULA(C848),_xlfn.ISFORMULA(J848)),"Y","N")</f>
        <v>Y</v>
      </c>
      <c r="GD848" s="0" t="n">
        <f aca="false">ROW()-1</f>
        <v>847</v>
      </c>
    </row>
    <row r="849" customFormat="false" ht="15" hidden="false" customHeight="false" outlineLevel="0" collapsed="false">
      <c r="C849" s="0" t="str">
        <f aca="false">IF($A849="","",IF(AW849="Y",BM849&amp;"",AY849&amp;""))</f>
        <v/>
      </c>
      <c r="D849" s="0" t="str">
        <f aca="false">IF($A849="","",IF(AW849="Y",BN849&amp;"",AZ849&amp;""))</f>
        <v/>
      </c>
      <c r="E849" s="0" t="str">
        <f aca="false">IF($A849="","",IF(AW849="Y",BO849&amp;"",BA849&amp;""))</f>
        <v/>
      </c>
      <c r="F849" s="0" t="str">
        <f aca="false">IF($A849="","",IF(AW849="Y",BP849&amp;"",BB849&amp;""))</f>
        <v/>
      </c>
      <c r="G849" s="0" t="str">
        <f aca="false">IF($A849="","",IF(AW849="Y",BQ849&amp;"",BC849&amp;""))</f>
        <v/>
      </c>
      <c r="H849" s="0" t="str">
        <f aca="false">IF($A849="","",IF(AW849="Y",BR849&amp;"",BD849&amp;""))</f>
        <v/>
      </c>
      <c r="I849" s="0" t="str">
        <f aca="false">IF($A849="","",IF(R849="Y","warm-intro",IF(H849="verified","email",IF(C849&lt;&gt;"","linkedin",CB849&amp;""))))</f>
        <v/>
      </c>
      <c r="J849" s="0" t="str">
        <f aca="false">IF($A849="","",IF(CN849="pass",ROUND(N(EM849)+N(EN849)+N(EO849)+N(EP849)+N(EQ849)+N(ER849),1),0))</f>
        <v/>
      </c>
      <c r="K849" s="0" t="str">
        <f aca="false">IF($A849="","",IF(CN849&lt;&gt;"pass",CA849&amp;"",CA849&amp;"; "&amp;IF(AW849="Y",BZ849&amp;"",BL849&amp;"")&amp;IF(R849="Y","; known to the founder (+15)","")&amp;"."))</f>
        <v/>
      </c>
      <c r="R849" s="5"/>
      <c r="U849" s="5"/>
      <c r="Y849" s="0" t="str">
        <f aca="false">IF(FX849&lt;&gt;"Y","",COUNTIFS($FX$2:$FX$1000,"Y",$J$2:$J$1000,"&gt;"&amp;J849)+COUNTIFS($FX$2:$FX$1000,"Y",$J$2:$J$1000,J849,$GD$2:$GD$1000,"&lt;"&amp;GD849)+1)</f>
        <v/>
      </c>
      <c r="AB849" s="0" t="str">
        <f aca="false">IF($A849="","",IF(AW849="Y",BY849&amp;"",BK849&amp;""))</f>
        <v/>
      </c>
      <c r="AC849" s="0" t="str">
        <f aca="false">IF($A849="","",IF(AW849="Y",BS849&amp;"",BE849&amp;""))</f>
        <v/>
      </c>
      <c r="AD849" s="0" t="str">
        <f aca="false">IF($A849="","",IF(AW849="Y",BT849&amp;"",BF849&amp;""))</f>
        <v/>
      </c>
      <c r="AE849" s="0" t="str">
        <f aca="false">IF($A849="","",IF(AW849="Y",BU849&amp;"",BG849&amp;""))</f>
        <v/>
      </c>
      <c r="AF849" s="0" t="str">
        <f aca="false">IF($A849="","",IF(AW849="Y",BV849&amp;"",BH849&amp;""))</f>
        <v/>
      </c>
      <c r="AG849" s="0" t="str">
        <f aca="false">IF($A849="","",IF(AW849="Y",BW849&amp;"",BI849&amp;""))</f>
        <v/>
      </c>
      <c r="AH849" s="0" t="str">
        <f aca="false">IF($A849="","",IF(AW849="Y",BX849&amp;"",BJ849&amp;""))</f>
        <v/>
      </c>
      <c r="AQ849" s="5"/>
      <c r="AT849" s="0" t="str">
        <f aca="false">IF($A849="","",IF(AND(CN849="pass",AQ849&lt;&gt;"Y",C849&lt;&gt;"",OR(AX849&lt;&gt;"Y",AV849="Y")),"Y","N"))</f>
        <v/>
      </c>
      <c r="AU849" s="0" t="str">
        <f aca="false">IF($A849="","",_xlfn.TEXTJOIN("; ",TRUE(),IF(CN849&lt;&gt;"pass","gated out",""),IF(AQ849="Y","on hold: "&amp;AR849,""),IF(C849="","no contact named on an opened page",""),IF(AND(AX849="Y",AV849&lt;&gt;"Y"),"Tuesday estimate band "&amp;L849&amp;": founder's call","")))</f>
        <v/>
      </c>
      <c r="BC849" s="0" t="str">
        <f aca="false">IF($A849="","",IFERROR(INDEX(Enrichment!$A$2:$GZ$2000,MATCH($A849,INDEX(Enrichment!$A$2:$GZ$2000,0,MATCH("row_id",Enrichment!$A$1:$GZ$1,0)),0),MATCH("work_email",Enrichment!$A$1:$GZ$1,0))&amp;"",""))</f>
        <v/>
      </c>
      <c r="BD849" s="0" t="str">
        <f aca="false">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Q849" s="0" t="str">
        <f aca="false">IF($A849="","",IFERROR(INDEX(Enrichment!$A$2:$GZ$2000,MATCH($A849,INDEX(Enrichment!$A$2:$GZ$2000,0,MATCH("row_id",Enrichment!$A$1:$GZ$1,0)),0),MATCH("backup_work_email",Enrichment!$A$1:$GZ$1,0))&amp;"",""))</f>
        <v/>
      </c>
      <c r="BR849" s="0" t="str">
        <f aca="false">IF($A849="","",IF(BQ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EQ849" s="0" t="str">
        <f aca="false">IF($A849="","",IF(AH849="exact",10,IF(AH849="adjacent",5,0)))</f>
        <v/>
      </c>
      <c r="ER849" s="0" t="str">
        <f aca="false">IF($A849="","",IF(R849="Y",15,0))</f>
        <v/>
      </c>
      <c r="FS849" s="0" t="str">
        <f aca="false">IF($A849="","",IF(ISNUMBER(MATCH(U849,{"queued","contacted","replied","call_booked","call_done","yes_in_principle","materials_sent"},0)),"Y","N"))</f>
        <v/>
      </c>
      <c r="FT849" s="0" t="str">
        <f aca="false">IF($A849="","",IF(OR(T849="Y",U849="do_not_contact",AS849&amp;""&lt;&gt;""),"Y","N"))</f>
        <v/>
      </c>
      <c r="FU849" s="0" t="str">
        <f aca="false">IF($A849="","",IF(AP849&amp;""&lt;&gt;"",AP849&amp;"",$A849))</f>
        <v/>
      </c>
      <c r="FV849" s="0" t="str">
        <f aca="false">IF($A849="","",IF(COUNTIFS($FU$2:$FU$1000,FU849,$FS$2:$FS$1000,"Y")+COUNTIFS($FU$2:$FU$1000,FU849,$FT$2:$FT$1000,"Y")&gt;0,"Y","N"))</f>
        <v/>
      </c>
      <c r="FW849" s="0" t="str">
        <f aca="false">IF($A849="","",IF(AND(U849="new",T849="N",FT849="N",AT849="Y",FV849="N"),"Y","N"))</f>
        <v/>
      </c>
      <c r="FX849" s="0" t="str">
        <f aca="false">IF($A849="","",IF(FW849&lt;&gt;"Y","N",IF(COUNTIFS($FU$2:$FU$1000,FU849,$FW$2:$FW$1000,"Y",$J$2:$J$1000,"&gt;"&amp;J849)+COUNTIFS($FU$2:$FU$1000,FU849,$FW$2:$FW$1000,"Y",$J$2:$J$1000,J849,$GD$2:$GD$1000,"&lt;"&amp;GD849)=0,"Y","N")))</f>
        <v/>
      </c>
      <c r="FY849" s="0" t="str">
        <f aca="false">IF($A849="","",IF(AND(FW849="Y",FX849="Y",Y849&amp;""&lt;&gt;""),IF(Y849&lt;=10,"Y","N"),"N"))</f>
        <v/>
      </c>
      <c r="FZ849" s="0" t="str">
        <f aca="false">IF(FY849="Y",Y849,"")</f>
        <v/>
      </c>
      <c r="GA849" s="0" t="str">
        <f aca="false">IF($A849="","",IF(AND(I849="walk-in",CN849="pass",U849="new",FT849="N",FV849="N",AQ849&lt;&gt;"Y"),"Y","N"))</f>
        <v/>
      </c>
      <c r="GB849" s="0" t="str">
        <f aca="false">IF(GA849&lt;&gt;"Y","",IF(COUNTIFS($GA$2:$GA$1000,"Y",$J$2:$J$1000,"&gt;"&amp;J849)+COUNTIFS($GA$2:$GA$1000,"Y",$J$2:$J$1000,J849,$GD$2:$GD$1000,"&lt;"&amp;GD849)+1&lt;=25,COUNTIFS($GA$2:$GA$1000,"Y",$J$2:$J$1000,"&gt;"&amp;J849)+COUNTIFS($GA$2:$GA$1000,"Y",$J$2:$J$1000,J849,$GD$2:$GD$1000,"&lt;"&amp;GD849)+1,""))</f>
        <v/>
      </c>
      <c r="GC849" s="0" t="str">
        <f aca="false">IF(AND(_xlfn.ISFORMULA(C849),_xlfn.ISFORMULA(J849)),"Y","N")</f>
        <v>Y</v>
      </c>
      <c r="GD849" s="0" t="n">
        <f aca="false">ROW()-1</f>
        <v>848</v>
      </c>
    </row>
    <row r="850" customFormat="false" ht="15" hidden="false" customHeight="false" outlineLevel="0" collapsed="false">
      <c r="C850" s="0" t="str">
        <f aca="false">IF($A850="","",IF(AW850="Y",BM850&amp;"",AY850&amp;""))</f>
        <v/>
      </c>
      <c r="D850" s="0" t="str">
        <f aca="false">IF($A850="","",IF(AW850="Y",BN850&amp;"",AZ850&amp;""))</f>
        <v/>
      </c>
      <c r="E850" s="0" t="str">
        <f aca="false">IF($A850="","",IF(AW850="Y",BO850&amp;"",BA850&amp;""))</f>
        <v/>
      </c>
      <c r="F850" s="0" t="str">
        <f aca="false">IF($A850="","",IF(AW850="Y",BP850&amp;"",BB850&amp;""))</f>
        <v/>
      </c>
      <c r="G850" s="0" t="str">
        <f aca="false">IF($A850="","",IF(AW850="Y",BQ850&amp;"",BC850&amp;""))</f>
        <v/>
      </c>
      <c r="H850" s="0" t="str">
        <f aca="false">IF($A850="","",IF(AW850="Y",BR850&amp;"",BD850&amp;""))</f>
        <v/>
      </c>
      <c r="I850" s="0" t="str">
        <f aca="false">IF($A850="","",IF(R850="Y","warm-intro",IF(H850="verified","email",IF(C850&lt;&gt;"","linkedin",CB850&amp;""))))</f>
        <v/>
      </c>
      <c r="J850" s="0" t="str">
        <f aca="false">IF($A850="","",IF(CN850="pass",ROUND(N(EM850)+N(EN850)+N(EO850)+N(EP850)+N(EQ850)+N(ER850),1),0))</f>
        <v/>
      </c>
      <c r="K850" s="0" t="str">
        <f aca="false">IF($A850="","",IF(CN850&lt;&gt;"pass",CA850&amp;"",CA850&amp;"; "&amp;IF(AW850="Y",BZ850&amp;"",BL850&amp;"")&amp;IF(R850="Y","; known to the founder (+15)","")&amp;"."))</f>
        <v/>
      </c>
      <c r="R850" s="5"/>
      <c r="U850" s="5"/>
      <c r="Y850" s="0" t="str">
        <f aca="false">IF(FX850&lt;&gt;"Y","",COUNTIFS($FX$2:$FX$1000,"Y",$J$2:$J$1000,"&gt;"&amp;J850)+COUNTIFS($FX$2:$FX$1000,"Y",$J$2:$J$1000,J850,$GD$2:$GD$1000,"&lt;"&amp;GD850)+1)</f>
        <v/>
      </c>
      <c r="AB850" s="0" t="str">
        <f aca="false">IF($A850="","",IF(AW850="Y",BY850&amp;"",BK850&amp;""))</f>
        <v/>
      </c>
      <c r="AC850" s="0" t="str">
        <f aca="false">IF($A850="","",IF(AW850="Y",BS850&amp;"",BE850&amp;""))</f>
        <v/>
      </c>
      <c r="AD850" s="0" t="str">
        <f aca="false">IF($A850="","",IF(AW850="Y",BT850&amp;"",BF850&amp;""))</f>
        <v/>
      </c>
      <c r="AE850" s="0" t="str">
        <f aca="false">IF($A850="","",IF(AW850="Y",BU850&amp;"",BG850&amp;""))</f>
        <v/>
      </c>
      <c r="AF850" s="0" t="str">
        <f aca="false">IF($A850="","",IF(AW850="Y",BV850&amp;"",BH850&amp;""))</f>
        <v/>
      </c>
      <c r="AG850" s="0" t="str">
        <f aca="false">IF($A850="","",IF(AW850="Y",BW850&amp;"",BI850&amp;""))</f>
        <v/>
      </c>
      <c r="AH850" s="0" t="str">
        <f aca="false">IF($A850="","",IF(AW850="Y",BX850&amp;"",BJ850&amp;""))</f>
        <v/>
      </c>
      <c r="AQ850" s="5"/>
      <c r="AT850" s="0" t="str">
        <f aca="false">IF($A850="","",IF(AND(CN850="pass",AQ850&lt;&gt;"Y",C850&lt;&gt;"",OR(AX850&lt;&gt;"Y",AV850="Y")),"Y","N"))</f>
        <v/>
      </c>
      <c r="AU850" s="0" t="str">
        <f aca="false">IF($A850="","",_xlfn.TEXTJOIN("; ",TRUE(),IF(CN850&lt;&gt;"pass","gated out",""),IF(AQ850="Y","on hold: "&amp;AR850,""),IF(C850="","no contact named on an opened page",""),IF(AND(AX850="Y",AV850&lt;&gt;"Y"),"Tuesday estimate band "&amp;L850&amp;": founder's call","")))</f>
        <v/>
      </c>
      <c r="BC850" s="0" t="str">
        <f aca="false">IF($A850="","",IFERROR(INDEX(Enrichment!$A$2:$GZ$2000,MATCH($A850,INDEX(Enrichment!$A$2:$GZ$2000,0,MATCH("row_id",Enrichment!$A$1:$GZ$1,0)),0),MATCH("work_email",Enrichment!$A$1:$GZ$1,0))&amp;"",""))</f>
        <v/>
      </c>
      <c r="BD850" s="0" t="str">
        <f aca="false">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Q850" s="0" t="str">
        <f aca="false">IF($A850="","",IFERROR(INDEX(Enrichment!$A$2:$GZ$2000,MATCH($A850,INDEX(Enrichment!$A$2:$GZ$2000,0,MATCH("row_id",Enrichment!$A$1:$GZ$1,0)),0),MATCH("backup_work_email",Enrichment!$A$1:$GZ$1,0))&amp;"",""))</f>
        <v/>
      </c>
      <c r="BR850" s="0" t="str">
        <f aca="false">IF($A850="","",IF(BQ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EQ850" s="0" t="str">
        <f aca="false">IF($A850="","",IF(AH850="exact",10,IF(AH850="adjacent",5,0)))</f>
        <v/>
      </c>
      <c r="ER850" s="0" t="str">
        <f aca="false">IF($A850="","",IF(R850="Y",15,0))</f>
        <v/>
      </c>
      <c r="FS850" s="0" t="str">
        <f aca="false">IF($A850="","",IF(ISNUMBER(MATCH(U850,{"queued","contacted","replied","call_booked","call_done","yes_in_principle","materials_sent"},0)),"Y","N"))</f>
        <v/>
      </c>
      <c r="FT850" s="0" t="str">
        <f aca="false">IF($A850="","",IF(OR(T850="Y",U850="do_not_contact",AS850&amp;""&lt;&gt;""),"Y","N"))</f>
        <v/>
      </c>
      <c r="FU850" s="0" t="str">
        <f aca="false">IF($A850="","",IF(AP850&amp;""&lt;&gt;"",AP850&amp;"",$A850))</f>
        <v/>
      </c>
      <c r="FV850" s="0" t="str">
        <f aca="false">IF($A850="","",IF(COUNTIFS($FU$2:$FU$1000,FU850,$FS$2:$FS$1000,"Y")+COUNTIFS($FU$2:$FU$1000,FU850,$FT$2:$FT$1000,"Y")&gt;0,"Y","N"))</f>
        <v/>
      </c>
      <c r="FW850" s="0" t="str">
        <f aca="false">IF($A850="","",IF(AND(U850="new",T850="N",FT850="N",AT850="Y",FV850="N"),"Y","N"))</f>
        <v/>
      </c>
      <c r="FX850" s="0" t="str">
        <f aca="false">IF($A850="","",IF(FW850&lt;&gt;"Y","N",IF(COUNTIFS($FU$2:$FU$1000,FU850,$FW$2:$FW$1000,"Y",$J$2:$J$1000,"&gt;"&amp;J850)+COUNTIFS($FU$2:$FU$1000,FU850,$FW$2:$FW$1000,"Y",$J$2:$J$1000,J850,$GD$2:$GD$1000,"&lt;"&amp;GD850)=0,"Y","N")))</f>
        <v/>
      </c>
      <c r="FY850" s="0" t="str">
        <f aca="false">IF($A850="","",IF(AND(FW850="Y",FX850="Y",Y850&amp;""&lt;&gt;""),IF(Y850&lt;=10,"Y","N"),"N"))</f>
        <v/>
      </c>
      <c r="FZ850" s="0" t="str">
        <f aca="false">IF(FY850="Y",Y850,"")</f>
        <v/>
      </c>
      <c r="GA850" s="0" t="str">
        <f aca="false">IF($A850="","",IF(AND(I850="walk-in",CN850="pass",U850="new",FT850="N",FV850="N",AQ850&lt;&gt;"Y"),"Y","N"))</f>
        <v/>
      </c>
      <c r="GB850" s="0" t="str">
        <f aca="false">IF(GA850&lt;&gt;"Y","",IF(COUNTIFS($GA$2:$GA$1000,"Y",$J$2:$J$1000,"&gt;"&amp;J850)+COUNTIFS($GA$2:$GA$1000,"Y",$J$2:$J$1000,J850,$GD$2:$GD$1000,"&lt;"&amp;GD850)+1&lt;=25,COUNTIFS($GA$2:$GA$1000,"Y",$J$2:$J$1000,"&gt;"&amp;J850)+COUNTIFS($GA$2:$GA$1000,"Y",$J$2:$J$1000,J850,$GD$2:$GD$1000,"&lt;"&amp;GD850)+1,""))</f>
        <v/>
      </c>
      <c r="GC850" s="0" t="str">
        <f aca="false">IF(AND(_xlfn.ISFORMULA(C850),_xlfn.ISFORMULA(J850)),"Y","N")</f>
        <v>Y</v>
      </c>
      <c r="GD850" s="0" t="n">
        <f aca="false">ROW()-1</f>
        <v>849</v>
      </c>
    </row>
    <row r="851" customFormat="false" ht="15" hidden="false" customHeight="false" outlineLevel="0" collapsed="false">
      <c r="C851" s="0" t="str">
        <f aca="false">IF($A851="","",IF(AW851="Y",BM851&amp;"",AY851&amp;""))</f>
        <v/>
      </c>
      <c r="D851" s="0" t="str">
        <f aca="false">IF($A851="","",IF(AW851="Y",BN851&amp;"",AZ851&amp;""))</f>
        <v/>
      </c>
      <c r="E851" s="0" t="str">
        <f aca="false">IF($A851="","",IF(AW851="Y",BO851&amp;"",BA851&amp;""))</f>
        <v/>
      </c>
      <c r="F851" s="0" t="str">
        <f aca="false">IF($A851="","",IF(AW851="Y",BP851&amp;"",BB851&amp;""))</f>
        <v/>
      </c>
      <c r="G851" s="0" t="str">
        <f aca="false">IF($A851="","",IF(AW851="Y",BQ851&amp;"",BC851&amp;""))</f>
        <v/>
      </c>
      <c r="H851" s="0" t="str">
        <f aca="false">IF($A851="","",IF(AW851="Y",BR851&amp;"",BD851&amp;""))</f>
        <v/>
      </c>
      <c r="I851" s="0" t="str">
        <f aca="false">IF($A851="","",IF(R851="Y","warm-intro",IF(H851="verified","email",IF(C851&lt;&gt;"","linkedin",CB851&amp;""))))</f>
        <v/>
      </c>
      <c r="J851" s="0" t="str">
        <f aca="false">IF($A851="","",IF(CN851="pass",ROUND(N(EM851)+N(EN851)+N(EO851)+N(EP851)+N(EQ851)+N(ER851),1),0))</f>
        <v/>
      </c>
      <c r="K851" s="0" t="str">
        <f aca="false">IF($A851="","",IF(CN851&lt;&gt;"pass",CA851&amp;"",CA851&amp;"; "&amp;IF(AW851="Y",BZ851&amp;"",BL851&amp;"")&amp;IF(R851="Y","; known to the founder (+15)","")&amp;"."))</f>
        <v/>
      </c>
      <c r="R851" s="5"/>
      <c r="U851" s="5"/>
      <c r="Y851" s="0" t="str">
        <f aca="false">IF(FX851&lt;&gt;"Y","",COUNTIFS($FX$2:$FX$1000,"Y",$J$2:$J$1000,"&gt;"&amp;J851)+COUNTIFS($FX$2:$FX$1000,"Y",$J$2:$J$1000,J851,$GD$2:$GD$1000,"&lt;"&amp;GD851)+1)</f>
        <v/>
      </c>
      <c r="AB851" s="0" t="str">
        <f aca="false">IF($A851="","",IF(AW851="Y",BY851&amp;"",BK851&amp;""))</f>
        <v/>
      </c>
      <c r="AC851" s="0" t="str">
        <f aca="false">IF($A851="","",IF(AW851="Y",BS851&amp;"",BE851&amp;""))</f>
        <v/>
      </c>
      <c r="AD851" s="0" t="str">
        <f aca="false">IF($A851="","",IF(AW851="Y",BT851&amp;"",BF851&amp;""))</f>
        <v/>
      </c>
      <c r="AE851" s="0" t="str">
        <f aca="false">IF($A851="","",IF(AW851="Y",BU851&amp;"",BG851&amp;""))</f>
        <v/>
      </c>
      <c r="AF851" s="0" t="str">
        <f aca="false">IF($A851="","",IF(AW851="Y",BV851&amp;"",BH851&amp;""))</f>
        <v/>
      </c>
      <c r="AG851" s="0" t="str">
        <f aca="false">IF($A851="","",IF(AW851="Y",BW851&amp;"",BI851&amp;""))</f>
        <v/>
      </c>
      <c r="AH851" s="0" t="str">
        <f aca="false">IF($A851="","",IF(AW851="Y",BX851&amp;"",BJ851&amp;""))</f>
        <v/>
      </c>
      <c r="AQ851" s="5"/>
      <c r="AT851" s="0" t="str">
        <f aca="false">IF($A851="","",IF(AND(CN851="pass",AQ851&lt;&gt;"Y",C851&lt;&gt;"",OR(AX851&lt;&gt;"Y",AV851="Y")),"Y","N"))</f>
        <v/>
      </c>
      <c r="AU851" s="0" t="str">
        <f aca="false">IF($A851="","",_xlfn.TEXTJOIN("; ",TRUE(),IF(CN851&lt;&gt;"pass","gated out",""),IF(AQ851="Y","on hold: "&amp;AR851,""),IF(C851="","no contact named on an opened page",""),IF(AND(AX851="Y",AV851&lt;&gt;"Y"),"Tuesday estimate band "&amp;L851&amp;": founder's call","")))</f>
        <v/>
      </c>
      <c r="BC851" s="0" t="str">
        <f aca="false">IF($A851="","",IFERROR(INDEX(Enrichment!$A$2:$GZ$2000,MATCH($A851,INDEX(Enrichment!$A$2:$GZ$2000,0,MATCH("row_id",Enrichment!$A$1:$GZ$1,0)),0),MATCH("work_email",Enrichment!$A$1:$GZ$1,0))&amp;"",""))</f>
        <v/>
      </c>
      <c r="BD851" s="0" t="str">
        <f aca="false">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Q851" s="0" t="str">
        <f aca="false">IF($A851="","",IFERROR(INDEX(Enrichment!$A$2:$GZ$2000,MATCH($A851,INDEX(Enrichment!$A$2:$GZ$2000,0,MATCH("row_id",Enrichment!$A$1:$GZ$1,0)),0),MATCH("backup_work_email",Enrichment!$A$1:$GZ$1,0))&amp;"",""))</f>
        <v/>
      </c>
      <c r="BR851" s="0" t="str">
        <f aca="false">IF($A851="","",IF(BQ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EQ851" s="0" t="str">
        <f aca="false">IF($A851="","",IF(AH851="exact",10,IF(AH851="adjacent",5,0)))</f>
        <v/>
      </c>
      <c r="ER851" s="0" t="str">
        <f aca="false">IF($A851="","",IF(R851="Y",15,0))</f>
        <v/>
      </c>
      <c r="FS851" s="0" t="str">
        <f aca="false">IF($A851="","",IF(ISNUMBER(MATCH(U851,{"queued","contacted","replied","call_booked","call_done","yes_in_principle","materials_sent"},0)),"Y","N"))</f>
        <v/>
      </c>
      <c r="FT851" s="0" t="str">
        <f aca="false">IF($A851="","",IF(OR(T851="Y",U851="do_not_contact",AS851&amp;""&lt;&gt;""),"Y","N"))</f>
        <v/>
      </c>
      <c r="FU851" s="0" t="str">
        <f aca="false">IF($A851="","",IF(AP851&amp;""&lt;&gt;"",AP851&amp;"",$A851))</f>
        <v/>
      </c>
      <c r="FV851" s="0" t="str">
        <f aca="false">IF($A851="","",IF(COUNTIFS($FU$2:$FU$1000,FU851,$FS$2:$FS$1000,"Y")+COUNTIFS($FU$2:$FU$1000,FU851,$FT$2:$FT$1000,"Y")&gt;0,"Y","N"))</f>
        <v/>
      </c>
      <c r="FW851" s="0" t="str">
        <f aca="false">IF($A851="","",IF(AND(U851="new",T851="N",FT851="N",AT851="Y",FV851="N"),"Y","N"))</f>
        <v/>
      </c>
      <c r="FX851" s="0" t="str">
        <f aca="false">IF($A851="","",IF(FW851&lt;&gt;"Y","N",IF(COUNTIFS($FU$2:$FU$1000,FU851,$FW$2:$FW$1000,"Y",$J$2:$J$1000,"&gt;"&amp;J851)+COUNTIFS($FU$2:$FU$1000,FU851,$FW$2:$FW$1000,"Y",$J$2:$J$1000,J851,$GD$2:$GD$1000,"&lt;"&amp;GD851)=0,"Y","N")))</f>
        <v/>
      </c>
      <c r="FY851" s="0" t="str">
        <f aca="false">IF($A851="","",IF(AND(FW851="Y",FX851="Y",Y851&amp;""&lt;&gt;""),IF(Y851&lt;=10,"Y","N"),"N"))</f>
        <v/>
      </c>
      <c r="FZ851" s="0" t="str">
        <f aca="false">IF(FY851="Y",Y851,"")</f>
        <v/>
      </c>
      <c r="GA851" s="0" t="str">
        <f aca="false">IF($A851="","",IF(AND(I851="walk-in",CN851="pass",U851="new",FT851="N",FV851="N",AQ851&lt;&gt;"Y"),"Y","N"))</f>
        <v/>
      </c>
      <c r="GB851" s="0" t="str">
        <f aca="false">IF(GA851&lt;&gt;"Y","",IF(COUNTIFS($GA$2:$GA$1000,"Y",$J$2:$J$1000,"&gt;"&amp;J851)+COUNTIFS($GA$2:$GA$1000,"Y",$J$2:$J$1000,J851,$GD$2:$GD$1000,"&lt;"&amp;GD851)+1&lt;=25,COUNTIFS($GA$2:$GA$1000,"Y",$J$2:$J$1000,"&gt;"&amp;J851)+COUNTIFS($GA$2:$GA$1000,"Y",$J$2:$J$1000,J851,$GD$2:$GD$1000,"&lt;"&amp;GD851)+1,""))</f>
        <v/>
      </c>
      <c r="GC851" s="0" t="str">
        <f aca="false">IF(AND(_xlfn.ISFORMULA(C851),_xlfn.ISFORMULA(J851)),"Y","N")</f>
        <v>Y</v>
      </c>
      <c r="GD851" s="0" t="n">
        <f aca="false">ROW()-1</f>
        <v>850</v>
      </c>
    </row>
    <row r="852" customFormat="false" ht="15" hidden="false" customHeight="false" outlineLevel="0" collapsed="false">
      <c r="C852" s="0" t="str">
        <f aca="false">IF($A852="","",IF(AW852="Y",BM852&amp;"",AY852&amp;""))</f>
        <v/>
      </c>
      <c r="D852" s="0" t="str">
        <f aca="false">IF($A852="","",IF(AW852="Y",BN852&amp;"",AZ852&amp;""))</f>
        <v/>
      </c>
      <c r="E852" s="0" t="str">
        <f aca="false">IF($A852="","",IF(AW852="Y",BO852&amp;"",BA852&amp;""))</f>
        <v/>
      </c>
      <c r="F852" s="0" t="str">
        <f aca="false">IF($A852="","",IF(AW852="Y",BP852&amp;"",BB852&amp;""))</f>
        <v/>
      </c>
      <c r="G852" s="0" t="str">
        <f aca="false">IF($A852="","",IF(AW852="Y",BQ852&amp;"",BC852&amp;""))</f>
        <v/>
      </c>
      <c r="H852" s="0" t="str">
        <f aca="false">IF($A852="","",IF(AW852="Y",BR852&amp;"",BD852&amp;""))</f>
        <v/>
      </c>
      <c r="I852" s="0" t="str">
        <f aca="false">IF($A852="","",IF(R852="Y","warm-intro",IF(H852="verified","email",IF(C852&lt;&gt;"","linkedin",CB852&amp;""))))</f>
        <v/>
      </c>
      <c r="J852" s="0" t="str">
        <f aca="false">IF($A852="","",IF(CN852="pass",ROUND(N(EM852)+N(EN852)+N(EO852)+N(EP852)+N(EQ852)+N(ER852),1),0))</f>
        <v/>
      </c>
      <c r="K852" s="0" t="str">
        <f aca="false">IF($A852="","",IF(CN852&lt;&gt;"pass",CA852&amp;"",CA852&amp;"; "&amp;IF(AW852="Y",BZ852&amp;"",BL852&amp;"")&amp;IF(R852="Y","; known to the founder (+15)","")&amp;"."))</f>
        <v/>
      </c>
      <c r="R852" s="5"/>
      <c r="U852" s="5"/>
      <c r="Y852" s="0" t="str">
        <f aca="false">IF(FX852&lt;&gt;"Y","",COUNTIFS($FX$2:$FX$1000,"Y",$J$2:$J$1000,"&gt;"&amp;J852)+COUNTIFS($FX$2:$FX$1000,"Y",$J$2:$J$1000,J852,$GD$2:$GD$1000,"&lt;"&amp;GD852)+1)</f>
        <v/>
      </c>
      <c r="AB852" s="0" t="str">
        <f aca="false">IF($A852="","",IF(AW852="Y",BY852&amp;"",BK852&amp;""))</f>
        <v/>
      </c>
      <c r="AC852" s="0" t="str">
        <f aca="false">IF($A852="","",IF(AW852="Y",BS852&amp;"",BE852&amp;""))</f>
        <v/>
      </c>
      <c r="AD852" s="0" t="str">
        <f aca="false">IF($A852="","",IF(AW852="Y",BT852&amp;"",BF852&amp;""))</f>
        <v/>
      </c>
      <c r="AE852" s="0" t="str">
        <f aca="false">IF($A852="","",IF(AW852="Y",BU852&amp;"",BG852&amp;""))</f>
        <v/>
      </c>
      <c r="AF852" s="0" t="str">
        <f aca="false">IF($A852="","",IF(AW852="Y",BV852&amp;"",BH852&amp;""))</f>
        <v/>
      </c>
      <c r="AG852" s="0" t="str">
        <f aca="false">IF($A852="","",IF(AW852="Y",BW852&amp;"",BI852&amp;""))</f>
        <v/>
      </c>
      <c r="AH852" s="0" t="str">
        <f aca="false">IF($A852="","",IF(AW852="Y",BX852&amp;"",BJ852&amp;""))</f>
        <v/>
      </c>
      <c r="AQ852" s="5"/>
      <c r="AT852" s="0" t="str">
        <f aca="false">IF($A852="","",IF(AND(CN852="pass",AQ852&lt;&gt;"Y",C852&lt;&gt;"",OR(AX852&lt;&gt;"Y",AV852="Y")),"Y","N"))</f>
        <v/>
      </c>
      <c r="AU852" s="0" t="str">
        <f aca="false">IF($A852="","",_xlfn.TEXTJOIN("; ",TRUE(),IF(CN852&lt;&gt;"pass","gated out",""),IF(AQ852="Y","on hold: "&amp;AR852,""),IF(C852="","no contact named on an opened page",""),IF(AND(AX852="Y",AV852&lt;&gt;"Y"),"Tuesday estimate band "&amp;L852&amp;": founder's call","")))</f>
        <v/>
      </c>
      <c r="BC852" s="0" t="str">
        <f aca="false">IF($A852="","",IFERROR(INDEX(Enrichment!$A$2:$GZ$2000,MATCH($A852,INDEX(Enrichment!$A$2:$GZ$2000,0,MATCH("row_id",Enrichment!$A$1:$GZ$1,0)),0),MATCH("work_email",Enrichment!$A$1:$GZ$1,0))&amp;"",""))</f>
        <v/>
      </c>
      <c r="BD852" s="0" t="str">
        <f aca="false">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Q852" s="0" t="str">
        <f aca="false">IF($A852="","",IFERROR(INDEX(Enrichment!$A$2:$GZ$2000,MATCH($A852,INDEX(Enrichment!$A$2:$GZ$2000,0,MATCH("row_id",Enrichment!$A$1:$GZ$1,0)),0),MATCH("backup_work_email",Enrichment!$A$1:$GZ$1,0))&amp;"",""))</f>
        <v/>
      </c>
      <c r="BR852" s="0" t="str">
        <f aca="false">IF($A852="","",IF(BQ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EQ852" s="0" t="str">
        <f aca="false">IF($A852="","",IF(AH852="exact",10,IF(AH852="adjacent",5,0)))</f>
        <v/>
      </c>
      <c r="ER852" s="0" t="str">
        <f aca="false">IF($A852="","",IF(R852="Y",15,0))</f>
        <v/>
      </c>
      <c r="FS852" s="0" t="str">
        <f aca="false">IF($A852="","",IF(ISNUMBER(MATCH(U852,{"queued","contacted","replied","call_booked","call_done","yes_in_principle","materials_sent"},0)),"Y","N"))</f>
        <v/>
      </c>
      <c r="FT852" s="0" t="str">
        <f aca="false">IF($A852="","",IF(OR(T852="Y",U852="do_not_contact",AS852&amp;""&lt;&gt;""),"Y","N"))</f>
        <v/>
      </c>
      <c r="FU852" s="0" t="str">
        <f aca="false">IF($A852="","",IF(AP852&amp;""&lt;&gt;"",AP852&amp;"",$A852))</f>
        <v/>
      </c>
      <c r="FV852" s="0" t="str">
        <f aca="false">IF($A852="","",IF(COUNTIFS($FU$2:$FU$1000,FU852,$FS$2:$FS$1000,"Y")+COUNTIFS($FU$2:$FU$1000,FU852,$FT$2:$FT$1000,"Y")&gt;0,"Y","N"))</f>
        <v/>
      </c>
      <c r="FW852" s="0" t="str">
        <f aca="false">IF($A852="","",IF(AND(U852="new",T852="N",FT852="N",AT852="Y",FV852="N"),"Y","N"))</f>
        <v/>
      </c>
      <c r="FX852" s="0" t="str">
        <f aca="false">IF($A852="","",IF(FW852&lt;&gt;"Y","N",IF(COUNTIFS($FU$2:$FU$1000,FU852,$FW$2:$FW$1000,"Y",$J$2:$J$1000,"&gt;"&amp;J852)+COUNTIFS($FU$2:$FU$1000,FU852,$FW$2:$FW$1000,"Y",$J$2:$J$1000,J852,$GD$2:$GD$1000,"&lt;"&amp;GD852)=0,"Y","N")))</f>
        <v/>
      </c>
      <c r="FY852" s="0" t="str">
        <f aca="false">IF($A852="","",IF(AND(FW852="Y",FX852="Y",Y852&amp;""&lt;&gt;""),IF(Y852&lt;=10,"Y","N"),"N"))</f>
        <v/>
      </c>
      <c r="FZ852" s="0" t="str">
        <f aca="false">IF(FY852="Y",Y852,"")</f>
        <v/>
      </c>
      <c r="GA852" s="0" t="str">
        <f aca="false">IF($A852="","",IF(AND(I852="walk-in",CN852="pass",U852="new",FT852="N",FV852="N",AQ852&lt;&gt;"Y"),"Y","N"))</f>
        <v/>
      </c>
      <c r="GB852" s="0" t="str">
        <f aca="false">IF(GA852&lt;&gt;"Y","",IF(COUNTIFS($GA$2:$GA$1000,"Y",$J$2:$J$1000,"&gt;"&amp;J852)+COUNTIFS($GA$2:$GA$1000,"Y",$J$2:$J$1000,J852,$GD$2:$GD$1000,"&lt;"&amp;GD852)+1&lt;=25,COUNTIFS($GA$2:$GA$1000,"Y",$J$2:$J$1000,"&gt;"&amp;J852)+COUNTIFS($GA$2:$GA$1000,"Y",$J$2:$J$1000,J852,$GD$2:$GD$1000,"&lt;"&amp;GD852)+1,""))</f>
        <v/>
      </c>
      <c r="GC852" s="0" t="str">
        <f aca="false">IF(AND(_xlfn.ISFORMULA(C852),_xlfn.ISFORMULA(J852)),"Y","N")</f>
        <v>Y</v>
      </c>
      <c r="GD852" s="0" t="n">
        <f aca="false">ROW()-1</f>
        <v>851</v>
      </c>
    </row>
    <row r="853" customFormat="false" ht="15" hidden="false" customHeight="false" outlineLevel="0" collapsed="false">
      <c r="C853" s="0" t="str">
        <f aca="false">IF($A853="","",IF(AW853="Y",BM853&amp;"",AY853&amp;""))</f>
        <v/>
      </c>
      <c r="D853" s="0" t="str">
        <f aca="false">IF($A853="","",IF(AW853="Y",BN853&amp;"",AZ853&amp;""))</f>
        <v/>
      </c>
      <c r="E853" s="0" t="str">
        <f aca="false">IF($A853="","",IF(AW853="Y",BO853&amp;"",BA853&amp;""))</f>
        <v/>
      </c>
      <c r="F853" s="0" t="str">
        <f aca="false">IF($A853="","",IF(AW853="Y",BP853&amp;"",BB853&amp;""))</f>
        <v/>
      </c>
      <c r="G853" s="0" t="str">
        <f aca="false">IF($A853="","",IF(AW853="Y",BQ853&amp;"",BC853&amp;""))</f>
        <v/>
      </c>
      <c r="H853" s="0" t="str">
        <f aca="false">IF($A853="","",IF(AW853="Y",BR853&amp;"",BD853&amp;""))</f>
        <v/>
      </c>
      <c r="I853" s="0" t="str">
        <f aca="false">IF($A853="","",IF(R853="Y","warm-intro",IF(H853="verified","email",IF(C853&lt;&gt;"","linkedin",CB853&amp;""))))</f>
        <v/>
      </c>
      <c r="J853" s="0" t="str">
        <f aca="false">IF($A853="","",IF(CN853="pass",ROUND(N(EM853)+N(EN853)+N(EO853)+N(EP853)+N(EQ853)+N(ER853),1),0))</f>
        <v/>
      </c>
      <c r="K853" s="0" t="str">
        <f aca="false">IF($A853="","",IF(CN853&lt;&gt;"pass",CA853&amp;"",CA853&amp;"; "&amp;IF(AW853="Y",BZ853&amp;"",BL853&amp;"")&amp;IF(R853="Y","; known to the founder (+15)","")&amp;"."))</f>
        <v/>
      </c>
      <c r="R853" s="5"/>
      <c r="U853" s="5"/>
      <c r="Y853" s="0" t="str">
        <f aca="false">IF(FX853&lt;&gt;"Y","",COUNTIFS($FX$2:$FX$1000,"Y",$J$2:$J$1000,"&gt;"&amp;J853)+COUNTIFS($FX$2:$FX$1000,"Y",$J$2:$J$1000,J853,$GD$2:$GD$1000,"&lt;"&amp;GD853)+1)</f>
        <v/>
      </c>
      <c r="AB853" s="0" t="str">
        <f aca="false">IF($A853="","",IF(AW853="Y",BY853&amp;"",BK853&amp;""))</f>
        <v/>
      </c>
      <c r="AC853" s="0" t="str">
        <f aca="false">IF($A853="","",IF(AW853="Y",BS853&amp;"",BE853&amp;""))</f>
        <v/>
      </c>
      <c r="AD853" s="0" t="str">
        <f aca="false">IF($A853="","",IF(AW853="Y",BT853&amp;"",BF853&amp;""))</f>
        <v/>
      </c>
      <c r="AE853" s="0" t="str">
        <f aca="false">IF($A853="","",IF(AW853="Y",BU853&amp;"",BG853&amp;""))</f>
        <v/>
      </c>
      <c r="AF853" s="0" t="str">
        <f aca="false">IF($A853="","",IF(AW853="Y",BV853&amp;"",BH853&amp;""))</f>
        <v/>
      </c>
      <c r="AG853" s="0" t="str">
        <f aca="false">IF($A853="","",IF(AW853="Y",BW853&amp;"",BI853&amp;""))</f>
        <v/>
      </c>
      <c r="AH853" s="0" t="str">
        <f aca="false">IF($A853="","",IF(AW853="Y",BX853&amp;"",BJ853&amp;""))</f>
        <v/>
      </c>
      <c r="AQ853" s="5"/>
      <c r="AT853" s="0" t="str">
        <f aca="false">IF($A853="","",IF(AND(CN853="pass",AQ853&lt;&gt;"Y",C853&lt;&gt;"",OR(AX853&lt;&gt;"Y",AV853="Y")),"Y","N"))</f>
        <v/>
      </c>
      <c r="AU853" s="0" t="str">
        <f aca="false">IF($A853="","",_xlfn.TEXTJOIN("; ",TRUE(),IF(CN853&lt;&gt;"pass","gated out",""),IF(AQ853="Y","on hold: "&amp;AR853,""),IF(C853="","no contact named on an opened page",""),IF(AND(AX853="Y",AV853&lt;&gt;"Y"),"Tuesday estimate band "&amp;L853&amp;": founder's call","")))</f>
        <v/>
      </c>
      <c r="BC853" s="0" t="str">
        <f aca="false">IF($A853="","",IFERROR(INDEX(Enrichment!$A$2:$GZ$2000,MATCH($A853,INDEX(Enrichment!$A$2:$GZ$2000,0,MATCH("row_id",Enrichment!$A$1:$GZ$1,0)),0),MATCH("work_email",Enrichment!$A$1:$GZ$1,0))&amp;"",""))</f>
        <v/>
      </c>
      <c r="BD853" s="0" t="str">
        <f aca="false">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Q853" s="0" t="str">
        <f aca="false">IF($A853="","",IFERROR(INDEX(Enrichment!$A$2:$GZ$2000,MATCH($A853,INDEX(Enrichment!$A$2:$GZ$2000,0,MATCH("row_id",Enrichment!$A$1:$GZ$1,0)),0),MATCH("backup_work_email",Enrichment!$A$1:$GZ$1,0))&amp;"",""))</f>
        <v/>
      </c>
      <c r="BR853" s="0" t="str">
        <f aca="false">IF($A853="","",IF(BQ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EQ853" s="0" t="str">
        <f aca="false">IF($A853="","",IF(AH853="exact",10,IF(AH853="adjacent",5,0)))</f>
        <v/>
      </c>
      <c r="ER853" s="0" t="str">
        <f aca="false">IF($A853="","",IF(R853="Y",15,0))</f>
        <v/>
      </c>
      <c r="FS853" s="0" t="str">
        <f aca="false">IF($A853="","",IF(ISNUMBER(MATCH(U853,{"queued","contacted","replied","call_booked","call_done","yes_in_principle","materials_sent"},0)),"Y","N"))</f>
        <v/>
      </c>
      <c r="FT853" s="0" t="str">
        <f aca="false">IF($A853="","",IF(OR(T853="Y",U853="do_not_contact",AS853&amp;""&lt;&gt;""),"Y","N"))</f>
        <v/>
      </c>
      <c r="FU853" s="0" t="str">
        <f aca="false">IF($A853="","",IF(AP853&amp;""&lt;&gt;"",AP853&amp;"",$A853))</f>
        <v/>
      </c>
      <c r="FV853" s="0" t="str">
        <f aca="false">IF($A853="","",IF(COUNTIFS($FU$2:$FU$1000,FU853,$FS$2:$FS$1000,"Y")+COUNTIFS($FU$2:$FU$1000,FU853,$FT$2:$FT$1000,"Y")&gt;0,"Y","N"))</f>
        <v/>
      </c>
      <c r="FW853" s="0" t="str">
        <f aca="false">IF($A853="","",IF(AND(U853="new",T853="N",FT853="N",AT853="Y",FV853="N"),"Y","N"))</f>
        <v/>
      </c>
      <c r="FX853" s="0" t="str">
        <f aca="false">IF($A853="","",IF(FW853&lt;&gt;"Y","N",IF(COUNTIFS($FU$2:$FU$1000,FU853,$FW$2:$FW$1000,"Y",$J$2:$J$1000,"&gt;"&amp;J853)+COUNTIFS($FU$2:$FU$1000,FU853,$FW$2:$FW$1000,"Y",$J$2:$J$1000,J853,$GD$2:$GD$1000,"&lt;"&amp;GD853)=0,"Y","N")))</f>
        <v/>
      </c>
      <c r="FY853" s="0" t="str">
        <f aca="false">IF($A853="","",IF(AND(FW853="Y",FX853="Y",Y853&amp;""&lt;&gt;""),IF(Y853&lt;=10,"Y","N"),"N"))</f>
        <v/>
      </c>
      <c r="FZ853" s="0" t="str">
        <f aca="false">IF(FY853="Y",Y853,"")</f>
        <v/>
      </c>
      <c r="GA853" s="0" t="str">
        <f aca="false">IF($A853="","",IF(AND(I853="walk-in",CN853="pass",U853="new",FT853="N",FV853="N",AQ853&lt;&gt;"Y"),"Y","N"))</f>
        <v/>
      </c>
      <c r="GB853" s="0" t="str">
        <f aca="false">IF(GA853&lt;&gt;"Y","",IF(COUNTIFS($GA$2:$GA$1000,"Y",$J$2:$J$1000,"&gt;"&amp;J853)+COUNTIFS($GA$2:$GA$1000,"Y",$J$2:$J$1000,J853,$GD$2:$GD$1000,"&lt;"&amp;GD853)+1&lt;=25,COUNTIFS($GA$2:$GA$1000,"Y",$J$2:$J$1000,"&gt;"&amp;J853)+COUNTIFS($GA$2:$GA$1000,"Y",$J$2:$J$1000,J853,$GD$2:$GD$1000,"&lt;"&amp;GD853)+1,""))</f>
        <v/>
      </c>
      <c r="GC853" s="0" t="str">
        <f aca="false">IF(AND(_xlfn.ISFORMULA(C853),_xlfn.ISFORMULA(J853)),"Y","N")</f>
        <v>Y</v>
      </c>
      <c r="GD853" s="0" t="n">
        <f aca="false">ROW()-1</f>
        <v>852</v>
      </c>
    </row>
    <row r="854" customFormat="false" ht="15" hidden="false" customHeight="false" outlineLevel="0" collapsed="false">
      <c r="C854" s="0" t="str">
        <f aca="false">IF($A854="","",IF(AW854="Y",BM854&amp;"",AY854&amp;""))</f>
        <v/>
      </c>
      <c r="D854" s="0" t="str">
        <f aca="false">IF($A854="","",IF(AW854="Y",BN854&amp;"",AZ854&amp;""))</f>
        <v/>
      </c>
      <c r="E854" s="0" t="str">
        <f aca="false">IF($A854="","",IF(AW854="Y",BO854&amp;"",BA854&amp;""))</f>
        <v/>
      </c>
      <c r="F854" s="0" t="str">
        <f aca="false">IF($A854="","",IF(AW854="Y",BP854&amp;"",BB854&amp;""))</f>
        <v/>
      </c>
      <c r="G854" s="0" t="str">
        <f aca="false">IF($A854="","",IF(AW854="Y",BQ854&amp;"",BC854&amp;""))</f>
        <v/>
      </c>
      <c r="H854" s="0" t="str">
        <f aca="false">IF($A854="","",IF(AW854="Y",BR854&amp;"",BD854&amp;""))</f>
        <v/>
      </c>
      <c r="I854" s="0" t="str">
        <f aca="false">IF($A854="","",IF(R854="Y","warm-intro",IF(H854="verified","email",IF(C854&lt;&gt;"","linkedin",CB854&amp;""))))</f>
        <v/>
      </c>
      <c r="J854" s="0" t="str">
        <f aca="false">IF($A854="","",IF(CN854="pass",ROUND(N(EM854)+N(EN854)+N(EO854)+N(EP854)+N(EQ854)+N(ER854),1),0))</f>
        <v/>
      </c>
      <c r="K854" s="0" t="str">
        <f aca="false">IF($A854="","",IF(CN854&lt;&gt;"pass",CA854&amp;"",CA854&amp;"; "&amp;IF(AW854="Y",BZ854&amp;"",BL854&amp;"")&amp;IF(R854="Y","; known to the founder (+15)","")&amp;"."))</f>
        <v/>
      </c>
      <c r="R854" s="5"/>
      <c r="U854" s="5"/>
      <c r="Y854" s="0" t="str">
        <f aca="false">IF(FX854&lt;&gt;"Y","",COUNTIFS($FX$2:$FX$1000,"Y",$J$2:$J$1000,"&gt;"&amp;J854)+COUNTIFS($FX$2:$FX$1000,"Y",$J$2:$J$1000,J854,$GD$2:$GD$1000,"&lt;"&amp;GD854)+1)</f>
        <v/>
      </c>
      <c r="AB854" s="0" t="str">
        <f aca="false">IF($A854="","",IF(AW854="Y",BY854&amp;"",BK854&amp;""))</f>
        <v/>
      </c>
      <c r="AC854" s="0" t="str">
        <f aca="false">IF($A854="","",IF(AW854="Y",BS854&amp;"",BE854&amp;""))</f>
        <v/>
      </c>
      <c r="AD854" s="0" t="str">
        <f aca="false">IF($A854="","",IF(AW854="Y",BT854&amp;"",BF854&amp;""))</f>
        <v/>
      </c>
      <c r="AE854" s="0" t="str">
        <f aca="false">IF($A854="","",IF(AW854="Y",BU854&amp;"",BG854&amp;""))</f>
        <v/>
      </c>
      <c r="AF854" s="0" t="str">
        <f aca="false">IF($A854="","",IF(AW854="Y",BV854&amp;"",BH854&amp;""))</f>
        <v/>
      </c>
      <c r="AG854" s="0" t="str">
        <f aca="false">IF($A854="","",IF(AW854="Y",BW854&amp;"",BI854&amp;""))</f>
        <v/>
      </c>
      <c r="AH854" s="0" t="str">
        <f aca="false">IF($A854="","",IF(AW854="Y",BX854&amp;"",BJ854&amp;""))</f>
        <v/>
      </c>
      <c r="AQ854" s="5"/>
      <c r="AT854" s="0" t="str">
        <f aca="false">IF($A854="","",IF(AND(CN854="pass",AQ854&lt;&gt;"Y",C854&lt;&gt;"",OR(AX854&lt;&gt;"Y",AV854="Y")),"Y","N"))</f>
        <v/>
      </c>
      <c r="AU854" s="0" t="str">
        <f aca="false">IF($A854="","",_xlfn.TEXTJOIN("; ",TRUE(),IF(CN854&lt;&gt;"pass","gated out",""),IF(AQ854="Y","on hold: "&amp;AR854,""),IF(C854="","no contact named on an opened page",""),IF(AND(AX854="Y",AV854&lt;&gt;"Y"),"Tuesday estimate band "&amp;L854&amp;": founder's call","")))</f>
        <v/>
      </c>
      <c r="BC854" s="0" t="str">
        <f aca="false">IF($A854="","",IFERROR(INDEX(Enrichment!$A$2:$GZ$2000,MATCH($A854,INDEX(Enrichment!$A$2:$GZ$2000,0,MATCH("row_id",Enrichment!$A$1:$GZ$1,0)),0),MATCH("work_email",Enrichment!$A$1:$GZ$1,0))&amp;"",""))</f>
        <v/>
      </c>
      <c r="BD854" s="0" t="str">
        <f aca="false">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Q854" s="0" t="str">
        <f aca="false">IF($A854="","",IFERROR(INDEX(Enrichment!$A$2:$GZ$2000,MATCH($A854,INDEX(Enrichment!$A$2:$GZ$2000,0,MATCH("row_id",Enrichment!$A$1:$GZ$1,0)),0),MATCH("backup_work_email",Enrichment!$A$1:$GZ$1,0))&amp;"",""))</f>
        <v/>
      </c>
      <c r="BR854" s="0" t="str">
        <f aca="false">IF($A854="","",IF(BQ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EQ854" s="0" t="str">
        <f aca="false">IF($A854="","",IF(AH854="exact",10,IF(AH854="adjacent",5,0)))</f>
        <v/>
      </c>
      <c r="ER854" s="0" t="str">
        <f aca="false">IF($A854="","",IF(R854="Y",15,0))</f>
        <v/>
      </c>
      <c r="FS854" s="0" t="str">
        <f aca="false">IF($A854="","",IF(ISNUMBER(MATCH(U854,{"queued","contacted","replied","call_booked","call_done","yes_in_principle","materials_sent"},0)),"Y","N"))</f>
        <v/>
      </c>
      <c r="FT854" s="0" t="str">
        <f aca="false">IF($A854="","",IF(OR(T854="Y",U854="do_not_contact",AS854&amp;""&lt;&gt;""),"Y","N"))</f>
        <v/>
      </c>
      <c r="FU854" s="0" t="str">
        <f aca="false">IF($A854="","",IF(AP854&amp;""&lt;&gt;"",AP854&amp;"",$A854))</f>
        <v/>
      </c>
      <c r="FV854" s="0" t="str">
        <f aca="false">IF($A854="","",IF(COUNTIFS($FU$2:$FU$1000,FU854,$FS$2:$FS$1000,"Y")+COUNTIFS($FU$2:$FU$1000,FU854,$FT$2:$FT$1000,"Y")&gt;0,"Y","N"))</f>
        <v/>
      </c>
      <c r="FW854" s="0" t="str">
        <f aca="false">IF($A854="","",IF(AND(U854="new",T854="N",FT854="N",AT854="Y",FV854="N"),"Y","N"))</f>
        <v/>
      </c>
      <c r="FX854" s="0" t="str">
        <f aca="false">IF($A854="","",IF(FW854&lt;&gt;"Y","N",IF(COUNTIFS($FU$2:$FU$1000,FU854,$FW$2:$FW$1000,"Y",$J$2:$J$1000,"&gt;"&amp;J854)+COUNTIFS($FU$2:$FU$1000,FU854,$FW$2:$FW$1000,"Y",$J$2:$J$1000,J854,$GD$2:$GD$1000,"&lt;"&amp;GD854)=0,"Y","N")))</f>
        <v/>
      </c>
      <c r="FY854" s="0" t="str">
        <f aca="false">IF($A854="","",IF(AND(FW854="Y",FX854="Y",Y854&amp;""&lt;&gt;""),IF(Y854&lt;=10,"Y","N"),"N"))</f>
        <v/>
      </c>
      <c r="FZ854" s="0" t="str">
        <f aca="false">IF(FY854="Y",Y854,"")</f>
        <v/>
      </c>
      <c r="GA854" s="0" t="str">
        <f aca="false">IF($A854="","",IF(AND(I854="walk-in",CN854="pass",U854="new",FT854="N",FV854="N",AQ854&lt;&gt;"Y"),"Y","N"))</f>
        <v/>
      </c>
      <c r="GB854" s="0" t="str">
        <f aca="false">IF(GA854&lt;&gt;"Y","",IF(COUNTIFS($GA$2:$GA$1000,"Y",$J$2:$J$1000,"&gt;"&amp;J854)+COUNTIFS($GA$2:$GA$1000,"Y",$J$2:$J$1000,J854,$GD$2:$GD$1000,"&lt;"&amp;GD854)+1&lt;=25,COUNTIFS($GA$2:$GA$1000,"Y",$J$2:$J$1000,"&gt;"&amp;J854)+COUNTIFS($GA$2:$GA$1000,"Y",$J$2:$J$1000,J854,$GD$2:$GD$1000,"&lt;"&amp;GD854)+1,""))</f>
        <v/>
      </c>
      <c r="GC854" s="0" t="str">
        <f aca="false">IF(AND(_xlfn.ISFORMULA(C854),_xlfn.ISFORMULA(J854)),"Y","N")</f>
        <v>Y</v>
      </c>
      <c r="GD854" s="0" t="n">
        <f aca="false">ROW()-1</f>
        <v>853</v>
      </c>
    </row>
    <row r="855" customFormat="false" ht="15" hidden="false" customHeight="false" outlineLevel="0" collapsed="false">
      <c r="C855" s="0" t="str">
        <f aca="false">IF($A855="","",IF(AW855="Y",BM855&amp;"",AY855&amp;""))</f>
        <v/>
      </c>
      <c r="D855" s="0" t="str">
        <f aca="false">IF($A855="","",IF(AW855="Y",BN855&amp;"",AZ855&amp;""))</f>
        <v/>
      </c>
      <c r="E855" s="0" t="str">
        <f aca="false">IF($A855="","",IF(AW855="Y",BO855&amp;"",BA855&amp;""))</f>
        <v/>
      </c>
      <c r="F855" s="0" t="str">
        <f aca="false">IF($A855="","",IF(AW855="Y",BP855&amp;"",BB855&amp;""))</f>
        <v/>
      </c>
      <c r="G855" s="0" t="str">
        <f aca="false">IF($A855="","",IF(AW855="Y",BQ855&amp;"",BC855&amp;""))</f>
        <v/>
      </c>
      <c r="H855" s="0" t="str">
        <f aca="false">IF($A855="","",IF(AW855="Y",BR855&amp;"",BD855&amp;""))</f>
        <v/>
      </c>
      <c r="I855" s="0" t="str">
        <f aca="false">IF($A855="","",IF(R855="Y","warm-intro",IF(H855="verified","email",IF(C855&lt;&gt;"","linkedin",CB855&amp;""))))</f>
        <v/>
      </c>
      <c r="J855" s="0" t="str">
        <f aca="false">IF($A855="","",IF(CN855="pass",ROUND(N(EM855)+N(EN855)+N(EO855)+N(EP855)+N(EQ855)+N(ER855),1),0))</f>
        <v/>
      </c>
      <c r="K855" s="0" t="str">
        <f aca="false">IF($A855="","",IF(CN855&lt;&gt;"pass",CA855&amp;"",CA855&amp;"; "&amp;IF(AW855="Y",BZ855&amp;"",BL855&amp;"")&amp;IF(R855="Y","; known to the founder (+15)","")&amp;"."))</f>
        <v/>
      </c>
      <c r="R855" s="5"/>
      <c r="U855" s="5"/>
      <c r="Y855" s="0" t="str">
        <f aca="false">IF(FX855&lt;&gt;"Y","",COUNTIFS($FX$2:$FX$1000,"Y",$J$2:$J$1000,"&gt;"&amp;J855)+COUNTIFS($FX$2:$FX$1000,"Y",$J$2:$J$1000,J855,$GD$2:$GD$1000,"&lt;"&amp;GD855)+1)</f>
        <v/>
      </c>
      <c r="AB855" s="0" t="str">
        <f aca="false">IF($A855="","",IF(AW855="Y",BY855&amp;"",BK855&amp;""))</f>
        <v/>
      </c>
      <c r="AC855" s="0" t="str">
        <f aca="false">IF($A855="","",IF(AW855="Y",BS855&amp;"",BE855&amp;""))</f>
        <v/>
      </c>
      <c r="AD855" s="0" t="str">
        <f aca="false">IF($A855="","",IF(AW855="Y",BT855&amp;"",BF855&amp;""))</f>
        <v/>
      </c>
      <c r="AE855" s="0" t="str">
        <f aca="false">IF($A855="","",IF(AW855="Y",BU855&amp;"",BG855&amp;""))</f>
        <v/>
      </c>
      <c r="AF855" s="0" t="str">
        <f aca="false">IF($A855="","",IF(AW855="Y",BV855&amp;"",BH855&amp;""))</f>
        <v/>
      </c>
      <c r="AG855" s="0" t="str">
        <f aca="false">IF($A855="","",IF(AW855="Y",BW855&amp;"",BI855&amp;""))</f>
        <v/>
      </c>
      <c r="AH855" s="0" t="str">
        <f aca="false">IF($A855="","",IF(AW855="Y",BX855&amp;"",BJ855&amp;""))</f>
        <v/>
      </c>
      <c r="AQ855" s="5"/>
      <c r="AT855" s="0" t="str">
        <f aca="false">IF($A855="","",IF(AND(CN855="pass",AQ855&lt;&gt;"Y",C855&lt;&gt;"",OR(AX855&lt;&gt;"Y",AV855="Y")),"Y","N"))</f>
        <v/>
      </c>
      <c r="AU855" s="0" t="str">
        <f aca="false">IF($A855="","",_xlfn.TEXTJOIN("; ",TRUE(),IF(CN855&lt;&gt;"pass","gated out",""),IF(AQ855="Y","on hold: "&amp;AR855,""),IF(C855="","no contact named on an opened page",""),IF(AND(AX855="Y",AV855&lt;&gt;"Y"),"Tuesday estimate band "&amp;L855&amp;": founder's call","")))</f>
        <v/>
      </c>
      <c r="BC855" s="0" t="str">
        <f aca="false">IF($A855="","",IFERROR(INDEX(Enrichment!$A$2:$GZ$2000,MATCH($A855,INDEX(Enrichment!$A$2:$GZ$2000,0,MATCH("row_id",Enrichment!$A$1:$GZ$1,0)),0),MATCH("work_email",Enrichment!$A$1:$GZ$1,0))&amp;"",""))</f>
        <v/>
      </c>
      <c r="BD855" s="0" t="str">
        <f aca="false">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Q855" s="0" t="str">
        <f aca="false">IF($A855="","",IFERROR(INDEX(Enrichment!$A$2:$GZ$2000,MATCH($A855,INDEX(Enrichment!$A$2:$GZ$2000,0,MATCH("row_id",Enrichment!$A$1:$GZ$1,0)),0),MATCH("backup_work_email",Enrichment!$A$1:$GZ$1,0))&amp;"",""))</f>
        <v/>
      </c>
      <c r="BR855" s="0" t="str">
        <f aca="false">IF($A855="","",IF(BQ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EQ855" s="0" t="str">
        <f aca="false">IF($A855="","",IF(AH855="exact",10,IF(AH855="adjacent",5,0)))</f>
        <v/>
      </c>
      <c r="ER855" s="0" t="str">
        <f aca="false">IF($A855="","",IF(R855="Y",15,0))</f>
        <v/>
      </c>
      <c r="FS855" s="0" t="str">
        <f aca="false">IF($A855="","",IF(ISNUMBER(MATCH(U855,{"queued","contacted","replied","call_booked","call_done","yes_in_principle","materials_sent"},0)),"Y","N"))</f>
        <v/>
      </c>
      <c r="FT855" s="0" t="str">
        <f aca="false">IF($A855="","",IF(OR(T855="Y",U855="do_not_contact",AS855&amp;""&lt;&gt;""),"Y","N"))</f>
        <v/>
      </c>
      <c r="FU855" s="0" t="str">
        <f aca="false">IF($A855="","",IF(AP855&amp;""&lt;&gt;"",AP855&amp;"",$A855))</f>
        <v/>
      </c>
      <c r="FV855" s="0" t="str">
        <f aca="false">IF($A855="","",IF(COUNTIFS($FU$2:$FU$1000,FU855,$FS$2:$FS$1000,"Y")+COUNTIFS($FU$2:$FU$1000,FU855,$FT$2:$FT$1000,"Y")&gt;0,"Y","N"))</f>
        <v/>
      </c>
      <c r="FW855" s="0" t="str">
        <f aca="false">IF($A855="","",IF(AND(U855="new",T855="N",FT855="N",AT855="Y",FV855="N"),"Y","N"))</f>
        <v/>
      </c>
      <c r="FX855" s="0" t="str">
        <f aca="false">IF($A855="","",IF(FW855&lt;&gt;"Y","N",IF(COUNTIFS($FU$2:$FU$1000,FU855,$FW$2:$FW$1000,"Y",$J$2:$J$1000,"&gt;"&amp;J855)+COUNTIFS($FU$2:$FU$1000,FU855,$FW$2:$FW$1000,"Y",$J$2:$J$1000,J855,$GD$2:$GD$1000,"&lt;"&amp;GD855)=0,"Y","N")))</f>
        <v/>
      </c>
      <c r="FY855" s="0" t="str">
        <f aca="false">IF($A855="","",IF(AND(FW855="Y",FX855="Y",Y855&amp;""&lt;&gt;""),IF(Y855&lt;=10,"Y","N"),"N"))</f>
        <v/>
      </c>
      <c r="FZ855" s="0" t="str">
        <f aca="false">IF(FY855="Y",Y855,"")</f>
        <v/>
      </c>
      <c r="GA855" s="0" t="str">
        <f aca="false">IF($A855="","",IF(AND(I855="walk-in",CN855="pass",U855="new",FT855="N",FV855="N",AQ855&lt;&gt;"Y"),"Y","N"))</f>
        <v/>
      </c>
      <c r="GB855" s="0" t="str">
        <f aca="false">IF(GA855&lt;&gt;"Y","",IF(COUNTIFS($GA$2:$GA$1000,"Y",$J$2:$J$1000,"&gt;"&amp;J855)+COUNTIFS($GA$2:$GA$1000,"Y",$J$2:$J$1000,J855,$GD$2:$GD$1000,"&lt;"&amp;GD855)+1&lt;=25,COUNTIFS($GA$2:$GA$1000,"Y",$J$2:$J$1000,"&gt;"&amp;J855)+COUNTIFS($GA$2:$GA$1000,"Y",$J$2:$J$1000,J855,$GD$2:$GD$1000,"&lt;"&amp;GD855)+1,""))</f>
        <v/>
      </c>
      <c r="GC855" s="0" t="str">
        <f aca="false">IF(AND(_xlfn.ISFORMULA(C855),_xlfn.ISFORMULA(J855)),"Y","N")</f>
        <v>Y</v>
      </c>
      <c r="GD855" s="0" t="n">
        <f aca="false">ROW()-1</f>
        <v>854</v>
      </c>
    </row>
    <row r="856" customFormat="false" ht="15" hidden="false" customHeight="false" outlineLevel="0" collapsed="false">
      <c r="C856" s="0" t="str">
        <f aca="false">IF($A856="","",IF(AW856="Y",BM856&amp;"",AY856&amp;""))</f>
        <v/>
      </c>
      <c r="D856" s="0" t="str">
        <f aca="false">IF($A856="","",IF(AW856="Y",BN856&amp;"",AZ856&amp;""))</f>
        <v/>
      </c>
      <c r="E856" s="0" t="str">
        <f aca="false">IF($A856="","",IF(AW856="Y",BO856&amp;"",BA856&amp;""))</f>
        <v/>
      </c>
      <c r="F856" s="0" t="str">
        <f aca="false">IF($A856="","",IF(AW856="Y",BP856&amp;"",BB856&amp;""))</f>
        <v/>
      </c>
      <c r="G856" s="0" t="str">
        <f aca="false">IF($A856="","",IF(AW856="Y",BQ856&amp;"",BC856&amp;""))</f>
        <v/>
      </c>
      <c r="H856" s="0" t="str">
        <f aca="false">IF($A856="","",IF(AW856="Y",BR856&amp;"",BD856&amp;""))</f>
        <v/>
      </c>
      <c r="I856" s="0" t="str">
        <f aca="false">IF($A856="","",IF(R856="Y","warm-intro",IF(H856="verified","email",IF(C856&lt;&gt;"","linkedin",CB856&amp;""))))</f>
        <v/>
      </c>
      <c r="J856" s="0" t="str">
        <f aca="false">IF($A856="","",IF(CN856="pass",ROUND(N(EM856)+N(EN856)+N(EO856)+N(EP856)+N(EQ856)+N(ER856),1),0))</f>
        <v/>
      </c>
      <c r="K856" s="0" t="str">
        <f aca="false">IF($A856="","",IF(CN856&lt;&gt;"pass",CA856&amp;"",CA856&amp;"; "&amp;IF(AW856="Y",BZ856&amp;"",BL856&amp;"")&amp;IF(R856="Y","; known to the founder (+15)","")&amp;"."))</f>
        <v/>
      </c>
      <c r="R856" s="5"/>
      <c r="U856" s="5"/>
      <c r="Y856" s="0" t="str">
        <f aca="false">IF(FX856&lt;&gt;"Y","",COUNTIFS($FX$2:$FX$1000,"Y",$J$2:$J$1000,"&gt;"&amp;J856)+COUNTIFS($FX$2:$FX$1000,"Y",$J$2:$J$1000,J856,$GD$2:$GD$1000,"&lt;"&amp;GD856)+1)</f>
        <v/>
      </c>
      <c r="AB856" s="0" t="str">
        <f aca="false">IF($A856="","",IF(AW856="Y",BY856&amp;"",BK856&amp;""))</f>
        <v/>
      </c>
      <c r="AC856" s="0" t="str">
        <f aca="false">IF($A856="","",IF(AW856="Y",BS856&amp;"",BE856&amp;""))</f>
        <v/>
      </c>
      <c r="AD856" s="0" t="str">
        <f aca="false">IF($A856="","",IF(AW856="Y",BT856&amp;"",BF856&amp;""))</f>
        <v/>
      </c>
      <c r="AE856" s="0" t="str">
        <f aca="false">IF($A856="","",IF(AW856="Y",BU856&amp;"",BG856&amp;""))</f>
        <v/>
      </c>
      <c r="AF856" s="0" t="str">
        <f aca="false">IF($A856="","",IF(AW856="Y",BV856&amp;"",BH856&amp;""))</f>
        <v/>
      </c>
      <c r="AG856" s="0" t="str">
        <f aca="false">IF($A856="","",IF(AW856="Y",BW856&amp;"",BI856&amp;""))</f>
        <v/>
      </c>
      <c r="AH856" s="0" t="str">
        <f aca="false">IF($A856="","",IF(AW856="Y",BX856&amp;"",BJ856&amp;""))</f>
        <v/>
      </c>
      <c r="AQ856" s="5"/>
      <c r="AT856" s="0" t="str">
        <f aca="false">IF($A856="","",IF(AND(CN856="pass",AQ856&lt;&gt;"Y",C856&lt;&gt;"",OR(AX856&lt;&gt;"Y",AV856="Y")),"Y","N"))</f>
        <v/>
      </c>
      <c r="AU856" s="0" t="str">
        <f aca="false">IF($A856="","",_xlfn.TEXTJOIN("; ",TRUE(),IF(CN856&lt;&gt;"pass","gated out",""),IF(AQ856="Y","on hold: "&amp;AR856,""),IF(C856="","no contact named on an opened page",""),IF(AND(AX856="Y",AV856&lt;&gt;"Y"),"Tuesday estimate band "&amp;L856&amp;": founder's call","")))</f>
        <v/>
      </c>
      <c r="BC856" s="0" t="str">
        <f aca="false">IF($A856="","",IFERROR(INDEX(Enrichment!$A$2:$GZ$2000,MATCH($A856,INDEX(Enrichment!$A$2:$GZ$2000,0,MATCH("row_id",Enrichment!$A$1:$GZ$1,0)),0),MATCH("work_email",Enrichment!$A$1:$GZ$1,0))&amp;"",""))</f>
        <v/>
      </c>
      <c r="BD856" s="0" t="str">
        <f aca="false">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Q856" s="0" t="str">
        <f aca="false">IF($A856="","",IFERROR(INDEX(Enrichment!$A$2:$GZ$2000,MATCH($A856,INDEX(Enrichment!$A$2:$GZ$2000,0,MATCH("row_id",Enrichment!$A$1:$GZ$1,0)),0),MATCH("backup_work_email",Enrichment!$A$1:$GZ$1,0))&amp;"",""))</f>
        <v/>
      </c>
      <c r="BR856" s="0" t="str">
        <f aca="false">IF($A856="","",IF(BQ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EQ856" s="0" t="str">
        <f aca="false">IF($A856="","",IF(AH856="exact",10,IF(AH856="adjacent",5,0)))</f>
        <v/>
      </c>
      <c r="ER856" s="0" t="str">
        <f aca="false">IF($A856="","",IF(R856="Y",15,0))</f>
        <v/>
      </c>
      <c r="FS856" s="0" t="str">
        <f aca="false">IF($A856="","",IF(ISNUMBER(MATCH(U856,{"queued","contacted","replied","call_booked","call_done","yes_in_principle","materials_sent"},0)),"Y","N"))</f>
        <v/>
      </c>
      <c r="FT856" s="0" t="str">
        <f aca="false">IF($A856="","",IF(OR(T856="Y",U856="do_not_contact",AS856&amp;""&lt;&gt;""),"Y","N"))</f>
        <v/>
      </c>
      <c r="FU856" s="0" t="str">
        <f aca="false">IF($A856="","",IF(AP856&amp;""&lt;&gt;"",AP856&amp;"",$A856))</f>
        <v/>
      </c>
      <c r="FV856" s="0" t="str">
        <f aca="false">IF($A856="","",IF(COUNTIFS($FU$2:$FU$1000,FU856,$FS$2:$FS$1000,"Y")+COUNTIFS($FU$2:$FU$1000,FU856,$FT$2:$FT$1000,"Y")&gt;0,"Y","N"))</f>
        <v/>
      </c>
      <c r="FW856" s="0" t="str">
        <f aca="false">IF($A856="","",IF(AND(U856="new",T856="N",FT856="N",AT856="Y",FV856="N"),"Y","N"))</f>
        <v/>
      </c>
      <c r="FX856" s="0" t="str">
        <f aca="false">IF($A856="","",IF(FW856&lt;&gt;"Y","N",IF(COUNTIFS($FU$2:$FU$1000,FU856,$FW$2:$FW$1000,"Y",$J$2:$J$1000,"&gt;"&amp;J856)+COUNTIFS($FU$2:$FU$1000,FU856,$FW$2:$FW$1000,"Y",$J$2:$J$1000,J856,$GD$2:$GD$1000,"&lt;"&amp;GD856)=0,"Y","N")))</f>
        <v/>
      </c>
      <c r="FY856" s="0" t="str">
        <f aca="false">IF($A856="","",IF(AND(FW856="Y",FX856="Y",Y856&amp;""&lt;&gt;""),IF(Y856&lt;=10,"Y","N"),"N"))</f>
        <v/>
      </c>
      <c r="FZ856" s="0" t="str">
        <f aca="false">IF(FY856="Y",Y856,"")</f>
        <v/>
      </c>
      <c r="GA856" s="0" t="str">
        <f aca="false">IF($A856="","",IF(AND(I856="walk-in",CN856="pass",U856="new",FT856="N",FV856="N",AQ856&lt;&gt;"Y"),"Y","N"))</f>
        <v/>
      </c>
      <c r="GB856" s="0" t="str">
        <f aca="false">IF(GA856&lt;&gt;"Y","",IF(COUNTIFS($GA$2:$GA$1000,"Y",$J$2:$J$1000,"&gt;"&amp;J856)+COUNTIFS($GA$2:$GA$1000,"Y",$J$2:$J$1000,J856,$GD$2:$GD$1000,"&lt;"&amp;GD856)+1&lt;=25,COUNTIFS($GA$2:$GA$1000,"Y",$J$2:$J$1000,"&gt;"&amp;J856)+COUNTIFS($GA$2:$GA$1000,"Y",$J$2:$J$1000,J856,$GD$2:$GD$1000,"&lt;"&amp;GD856)+1,""))</f>
        <v/>
      </c>
      <c r="GC856" s="0" t="str">
        <f aca="false">IF(AND(_xlfn.ISFORMULA(C856),_xlfn.ISFORMULA(J856)),"Y","N")</f>
        <v>Y</v>
      </c>
      <c r="GD856" s="0" t="n">
        <f aca="false">ROW()-1</f>
        <v>855</v>
      </c>
    </row>
    <row r="857" customFormat="false" ht="15" hidden="false" customHeight="false" outlineLevel="0" collapsed="false">
      <c r="C857" s="0" t="str">
        <f aca="false">IF($A857="","",IF(AW857="Y",BM857&amp;"",AY857&amp;""))</f>
        <v/>
      </c>
      <c r="D857" s="0" t="str">
        <f aca="false">IF($A857="","",IF(AW857="Y",BN857&amp;"",AZ857&amp;""))</f>
        <v/>
      </c>
      <c r="E857" s="0" t="str">
        <f aca="false">IF($A857="","",IF(AW857="Y",BO857&amp;"",BA857&amp;""))</f>
        <v/>
      </c>
      <c r="F857" s="0" t="str">
        <f aca="false">IF($A857="","",IF(AW857="Y",BP857&amp;"",BB857&amp;""))</f>
        <v/>
      </c>
      <c r="G857" s="0" t="str">
        <f aca="false">IF($A857="","",IF(AW857="Y",BQ857&amp;"",BC857&amp;""))</f>
        <v/>
      </c>
      <c r="H857" s="0" t="str">
        <f aca="false">IF($A857="","",IF(AW857="Y",BR857&amp;"",BD857&amp;""))</f>
        <v/>
      </c>
      <c r="I857" s="0" t="str">
        <f aca="false">IF($A857="","",IF(R857="Y","warm-intro",IF(H857="verified","email",IF(C857&lt;&gt;"","linkedin",CB857&amp;""))))</f>
        <v/>
      </c>
      <c r="J857" s="0" t="str">
        <f aca="false">IF($A857="","",IF(CN857="pass",ROUND(N(EM857)+N(EN857)+N(EO857)+N(EP857)+N(EQ857)+N(ER857),1),0))</f>
        <v/>
      </c>
      <c r="K857" s="0" t="str">
        <f aca="false">IF($A857="","",IF(CN857&lt;&gt;"pass",CA857&amp;"",CA857&amp;"; "&amp;IF(AW857="Y",BZ857&amp;"",BL857&amp;"")&amp;IF(R857="Y","; known to the founder (+15)","")&amp;"."))</f>
        <v/>
      </c>
      <c r="R857" s="5"/>
      <c r="U857" s="5"/>
      <c r="Y857" s="0" t="str">
        <f aca="false">IF(FX857&lt;&gt;"Y","",COUNTIFS($FX$2:$FX$1000,"Y",$J$2:$J$1000,"&gt;"&amp;J857)+COUNTIFS($FX$2:$FX$1000,"Y",$J$2:$J$1000,J857,$GD$2:$GD$1000,"&lt;"&amp;GD857)+1)</f>
        <v/>
      </c>
      <c r="AB857" s="0" t="str">
        <f aca="false">IF($A857="","",IF(AW857="Y",BY857&amp;"",BK857&amp;""))</f>
        <v/>
      </c>
      <c r="AC857" s="0" t="str">
        <f aca="false">IF($A857="","",IF(AW857="Y",BS857&amp;"",BE857&amp;""))</f>
        <v/>
      </c>
      <c r="AD857" s="0" t="str">
        <f aca="false">IF($A857="","",IF(AW857="Y",BT857&amp;"",BF857&amp;""))</f>
        <v/>
      </c>
      <c r="AE857" s="0" t="str">
        <f aca="false">IF($A857="","",IF(AW857="Y",BU857&amp;"",BG857&amp;""))</f>
        <v/>
      </c>
      <c r="AF857" s="0" t="str">
        <f aca="false">IF($A857="","",IF(AW857="Y",BV857&amp;"",BH857&amp;""))</f>
        <v/>
      </c>
      <c r="AG857" s="0" t="str">
        <f aca="false">IF($A857="","",IF(AW857="Y",BW857&amp;"",BI857&amp;""))</f>
        <v/>
      </c>
      <c r="AH857" s="0" t="str">
        <f aca="false">IF($A857="","",IF(AW857="Y",BX857&amp;"",BJ857&amp;""))</f>
        <v/>
      </c>
      <c r="AQ857" s="5"/>
      <c r="AT857" s="0" t="str">
        <f aca="false">IF($A857="","",IF(AND(CN857="pass",AQ857&lt;&gt;"Y",C857&lt;&gt;"",OR(AX857&lt;&gt;"Y",AV857="Y")),"Y","N"))</f>
        <v/>
      </c>
      <c r="AU857" s="0" t="str">
        <f aca="false">IF($A857="","",_xlfn.TEXTJOIN("; ",TRUE(),IF(CN857&lt;&gt;"pass","gated out",""),IF(AQ857="Y","on hold: "&amp;AR857,""),IF(C857="","no contact named on an opened page",""),IF(AND(AX857="Y",AV857&lt;&gt;"Y"),"Tuesday estimate band "&amp;L857&amp;": founder's call","")))</f>
        <v/>
      </c>
      <c r="BC857" s="0" t="str">
        <f aca="false">IF($A857="","",IFERROR(INDEX(Enrichment!$A$2:$GZ$2000,MATCH($A857,INDEX(Enrichment!$A$2:$GZ$2000,0,MATCH("row_id",Enrichment!$A$1:$GZ$1,0)),0),MATCH("work_email",Enrichment!$A$1:$GZ$1,0))&amp;"",""))</f>
        <v/>
      </c>
      <c r="BD857" s="0" t="str">
        <f aca="false">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Q857" s="0" t="str">
        <f aca="false">IF($A857="","",IFERROR(INDEX(Enrichment!$A$2:$GZ$2000,MATCH($A857,INDEX(Enrichment!$A$2:$GZ$2000,0,MATCH("row_id",Enrichment!$A$1:$GZ$1,0)),0),MATCH("backup_work_email",Enrichment!$A$1:$GZ$1,0))&amp;"",""))</f>
        <v/>
      </c>
      <c r="BR857" s="0" t="str">
        <f aca="false">IF($A857="","",IF(BQ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EQ857" s="0" t="str">
        <f aca="false">IF($A857="","",IF(AH857="exact",10,IF(AH857="adjacent",5,0)))</f>
        <v/>
      </c>
      <c r="ER857" s="0" t="str">
        <f aca="false">IF($A857="","",IF(R857="Y",15,0))</f>
        <v/>
      </c>
      <c r="FS857" s="0" t="str">
        <f aca="false">IF($A857="","",IF(ISNUMBER(MATCH(U857,{"queued","contacted","replied","call_booked","call_done","yes_in_principle","materials_sent"},0)),"Y","N"))</f>
        <v/>
      </c>
      <c r="FT857" s="0" t="str">
        <f aca="false">IF($A857="","",IF(OR(T857="Y",U857="do_not_contact",AS857&amp;""&lt;&gt;""),"Y","N"))</f>
        <v/>
      </c>
      <c r="FU857" s="0" t="str">
        <f aca="false">IF($A857="","",IF(AP857&amp;""&lt;&gt;"",AP857&amp;"",$A857))</f>
        <v/>
      </c>
      <c r="FV857" s="0" t="str">
        <f aca="false">IF($A857="","",IF(COUNTIFS($FU$2:$FU$1000,FU857,$FS$2:$FS$1000,"Y")+COUNTIFS($FU$2:$FU$1000,FU857,$FT$2:$FT$1000,"Y")&gt;0,"Y","N"))</f>
        <v/>
      </c>
      <c r="FW857" s="0" t="str">
        <f aca="false">IF($A857="","",IF(AND(U857="new",T857="N",FT857="N",AT857="Y",FV857="N"),"Y","N"))</f>
        <v/>
      </c>
      <c r="FX857" s="0" t="str">
        <f aca="false">IF($A857="","",IF(FW857&lt;&gt;"Y","N",IF(COUNTIFS($FU$2:$FU$1000,FU857,$FW$2:$FW$1000,"Y",$J$2:$J$1000,"&gt;"&amp;J857)+COUNTIFS($FU$2:$FU$1000,FU857,$FW$2:$FW$1000,"Y",$J$2:$J$1000,J857,$GD$2:$GD$1000,"&lt;"&amp;GD857)=0,"Y","N")))</f>
        <v/>
      </c>
      <c r="FY857" s="0" t="str">
        <f aca="false">IF($A857="","",IF(AND(FW857="Y",FX857="Y",Y857&amp;""&lt;&gt;""),IF(Y857&lt;=10,"Y","N"),"N"))</f>
        <v/>
      </c>
      <c r="FZ857" s="0" t="str">
        <f aca="false">IF(FY857="Y",Y857,"")</f>
        <v/>
      </c>
      <c r="GA857" s="0" t="str">
        <f aca="false">IF($A857="","",IF(AND(I857="walk-in",CN857="pass",U857="new",FT857="N",FV857="N",AQ857&lt;&gt;"Y"),"Y","N"))</f>
        <v/>
      </c>
      <c r="GB857" s="0" t="str">
        <f aca="false">IF(GA857&lt;&gt;"Y","",IF(COUNTIFS($GA$2:$GA$1000,"Y",$J$2:$J$1000,"&gt;"&amp;J857)+COUNTIFS($GA$2:$GA$1000,"Y",$J$2:$J$1000,J857,$GD$2:$GD$1000,"&lt;"&amp;GD857)+1&lt;=25,COUNTIFS($GA$2:$GA$1000,"Y",$J$2:$J$1000,"&gt;"&amp;J857)+COUNTIFS($GA$2:$GA$1000,"Y",$J$2:$J$1000,J857,$GD$2:$GD$1000,"&lt;"&amp;GD857)+1,""))</f>
        <v/>
      </c>
      <c r="GC857" s="0" t="str">
        <f aca="false">IF(AND(_xlfn.ISFORMULA(C857),_xlfn.ISFORMULA(J857)),"Y","N")</f>
        <v>Y</v>
      </c>
      <c r="GD857" s="0" t="n">
        <f aca="false">ROW()-1</f>
        <v>856</v>
      </c>
    </row>
    <row r="858" customFormat="false" ht="15" hidden="false" customHeight="false" outlineLevel="0" collapsed="false">
      <c r="C858" s="0" t="str">
        <f aca="false">IF($A858="","",IF(AW858="Y",BM858&amp;"",AY858&amp;""))</f>
        <v/>
      </c>
      <c r="D858" s="0" t="str">
        <f aca="false">IF($A858="","",IF(AW858="Y",BN858&amp;"",AZ858&amp;""))</f>
        <v/>
      </c>
      <c r="E858" s="0" t="str">
        <f aca="false">IF($A858="","",IF(AW858="Y",BO858&amp;"",BA858&amp;""))</f>
        <v/>
      </c>
      <c r="F858" s="0" t="str">
        <f aca="false">IF($A858="","",IF(AW858="Y",BP858&amp;"",BB858&amp;""))</f>
        <v/>
      </c>
      <c r="G858" s="0" t="str">
        <f aca="false">IF($A858="","",IF(AW858="Y",BQ858&amp;"",BC858&amp;""))</f>
        <v/>
      </c>
      <c r="H858" s="0" t="str">
        <f aca="false">IF($A858="","",IF(AW858="Y",BR858&amp;"",BD858&amp;""))</f>
        <v/>
      </c>
      <c r="I858" s="0" t="str">
        <f aca="false">IF($A858="","",IF(R858="Y","warm-intro",IF(H858="verified","email",IF(C858&lt;&gt;"","linkedin",CB858&amp;""))))</f>
        <v/>
      </c>
      <c r="J858" s="0" t="str">
        <f aca="false">IF($A858="","",IF(CN858="pass",ROUND(N(EM858)+N(EN858)+N(EO858)+N(EP858)+N(EQ858)+N(ER858),1),0))</f>
        <v/>
      </c>
      <c r="K858" s="0" t="str">
        <f aca="false">IF($A858="","",IF(CN858&lt;&gt;"pass",CA858&amp;"",CA858&amp;"; "&amp;IF(AW858="Y",BZ858&amp;"",BL858&amp;"")&amp;IF(R858="Y","; known to the founder (+15)","")&amp;"."))</f>
        <v/>
      </c>
      <c r="R858" s="5"/>
      <c r="U858" s="5"/>
      <c r="Y858" s="0" t="str">
        <f aca="false">IF(FX858&lt;&gt;"Y","",COUNTIFS($FX$2:$FX$1000,"Y",$J$2:$J$1000,"&gt;"&amp;J858)+COUNTIFS($FX$2:$FX$1000,"Y",$J$2:$J$1000,J858,$GD$2:$GD$1000,"&lt;"&amp;GD858)+1)</f>
        <v/>
      </c>
      <c r="AB858" s="0" t="str">
        <f aca="false">IF($A858="","",IF(AW858="Y",BY858&amp;"",BK858&amp;""))</f>
        <v/>
      </c>
      <c r="AC858" s="0" t="str">
        <f aca="false">IF($A858="","",IF(AW858="Y",BS858&amp;"",BE858&amp;""))</f>
        <v/>
      </c>
      <c r="AD858" s="0" t="str">
        <f aca="false">IF($A858="","",IF(AW858="Y",BT858&amp;"",BF858&amp;""))</f>
        <v/>
      </c>
      <c r="AE858" s="0" t="str">
        <f aca="false">IF($A858="","",IF(AW858="Y",BU858&amp;"",BG858&amp;""))</f>
        <v/>
      </c>
      <c r="AF858" s="0" t="str">
        <f aca="false">IF($A858="","",IF(AW858="Y",BV858&amp;"",BH858&amp;""))</f>
        <v/>
      </c>
      <c r="AG858" s="0" t="str">
        <f aca="false">IF($A858="","",IF(AW858="Y",BW858&amp;"",BI858&amp;""))</f>
        <v/>
      </c>
      <c r="AH858" s="0" t="str">
        <f aca="false">IF($A858="","",IF(AW858="Y",BX858&amp;"",BJ858&amp;""))</f>
        <v/>
      </c>
      <c r="AQ858" s="5"/>
      <c r="AT858" s="0" t="str">
        <f aca="false">IF($A858="","",IF(AND(CN858="pass",AQ858&lt;&gt;"Y",C858&lt;&gt;"",OR(AX858&lt;&gt;"Y",AV858="Y")),"Y","N"))</f>
        <v/>
      </c>
      <c r="AU858" s="0" t="str">
        <f aca="false">IF($A858="","",_xlfn.TEXTJOIN("; ",TRUE(),IF(CN858&lt;&gt;"pass","gated out",""),IF(AQ858="Y","on hold: "&amp;AR858,""),IF(C858="","no contact named on an opened page",""),IF(AND(AX858="Y",AV858&lt;&gt;"Y"),"Tuesday estimate band "&amp;L858&amp;": founder's call","")))</f>
        <v/>
      </c>
      <c r="BC858" s="0" t="str">
        <f aca="false">IF($A858="","",IFERROR(INDEX(Enrichment!$A$2:$GZ$2000,MATCH($A858,INDEX(Enrichment!$A$2:$GZ$2000,0,MATCH("row_id",Enrichment!$A$1:$GZ$1,0)),0),MATCH("work_email",Enrichment!$A$1:$GZ$1,0))&amp;"",""))</f>
        <v/>
      </c>
      <c r="BD858" s="0" t="str">
        <f aca="false">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Q858" s="0" t="str">
        <f aca="false">IF($A858="","",IFERROR(INDEX(Enrichment!$A$2:$GZ$2000,MATCH($A858,INDEX(Enrichment!$A$2:$GZ$2000,0,MATCH("row_id",Enrichment!$A$1:$GZ$1,0)),0),MATCH("backup_work_email",Enrichment!$A$1:$GZ$1,0))&amp;"",""))</f>
        <v/>
      </c>
      <c r="BR858" s="0" t="str">
        <f aca="false">IF($A858="","",IF(BQ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EQ858" s="0" t="str">
        <f aca="false">IF($A858="","",IF(AH858="exact",10,IF(AH858="adjacent",5,0)))</f>
        <v/>
      </c>
      <c r="ER858" s="0" t="str">
        <f aca="false">IF($A858="","",IF(R858="Y",15,0))</f>
        <v/>
      </c>
      <c r="FS858" s="0" t="str">
        <f aca="false">IF($A858="","",IF(ISNUMBER(MATCH(U858,{"queued","contacted","replied","call_booked","call_done","yes_in_principle","materials_sent"},0)),"Y","N"))</f>
        <v/>
      </c>
      <c r="FT858" s="0" t="str">
        <f aca="false">IF($A858="","",IF(OR(T858="Y",U858="do_not_contact",AS858&amp;""&lt;&gt;""),"Y","N"))</f>
        <v/>
      </c>
      <c r="FU858" s="0" t="str">
        <f aca="false">IF($A858="","",IF(AP858&amp;""&lt;&gt;"",AP858&amp;"",$A858))</f>
        <v/>
      </c>
      <c r="FV858" s="0" t="str">
        <f aca="false">IF($A858="","",IF(COUNTIFS($FU$2:$FU$1000,FU858,$FS$2:$FS$1000,"Y")+COUNTIFS($FU$2:$FU$1000,FU858,$FT$2:$FT$1000,"Y")&gt;0,"Y","N"))</f>
        <v/>
      </c>
      <c r="FW858" s="0" t="str">
        <f aca="false">IF($A858="","",IF(AND(U858="new",T858="N",FT858="N",AT858="Y",FV858="N"),"Y","N"))</f>
        <v/>
      </c>
      <c r="FX858" s="0" t="str">
        <f aca="false">IF($A858="","",IF(FW858&lt;&gt;"Y","N",IF(COUNTIFS($FU$2:$FU$1000,FU858,$FW$2:$FW$1000,"Y",$J$2:$J$1000,"&gt;"&amp;J858)+COUNTIFS($FU$2:$FU$1000,FU858,$FW$2:$FW$1000,"Y",$J$2:$J$1000,J858,$GD$2:$GD$1000,"&lt;"&amp;GD858)=0,"Y","N")))</f>
        <v/>
      </c>
      <c r="FY858" s="0" t="str">
        <f aca="false">IF($A858="","",IF(AND(FW858="Y",FX858="Y",Y858&amp;""&lt;&gt;""),IF(Y858&lt;=10,"Y","N"),"N"))</f>
        <v/>
      </c>
      <c r="FZ858" s="0" t="str">
        <f aca="false">IF(FY858="Y",Y858,"")</f>
        <v/>
      </c>
      <c r="GA858" s="0" t="str">
        <f aca="false">IF($A858="","",IF(AND(I858="walk-in",CN858="pass",U858="new",FT858="N",FV858="N",AQ858&lt;&gt;"Y"),"Y","N"))</f>
        <v/>
      </c>
      <c r="GB858" s="0" t="str">
        <f aca="false">IF(GA858&lt;&gt;"Y","",IF(COUNTIFS($GA$2:$GA$1000,"Y",$J$2:$J$1000,"&gt;"&amp;J858)+COUNTIFS($GA$2:$GA$1000,"Y",$J$2:$J$1000,J858,$GD$2:$GD$1000,"&lt;"&amp;GD858)+1&lt;=25,COUNTIFS($GA$2:$GA$1000,"Y",$J$2:$J$1000,"&gt;"&amp;J858)+COUNTIFS($GA$2:$GA$1000,"Y",$J$2:$J$1000,J858,$GD$2:$GD$1000,"&lt;"&amp;GD858)+1,""))</f>
        <v/>
      </c>
      <c r="GC858" s="0" t="str">
        <f aca="false">IF(AND(_xlfn.ISFORMULA(C858),_xlfn.ISFORMULA(J858)),"Y","N")</f>
        <v>Y</v>
      </c>
      <c r="GD858" s="0" t="n">
        <f aca="false">ROW()-1</f>
        <v>857</v>
      </c>
    </row>
    <row r="859" customFormat="false" ht="15" hidden="false" customHeight="false" outlineLevel="0" collapsed="false">
      <c r="C859" s="0" t="str">
        <f aca="false">IF($A859="","",IF(AW859="Y",BM859&amp;"",AY859&amp;""))</f>
        <v/>
      </c>
      <c r="D859" s="0" t="str">
        <f aca="false">IF($A859="","",IF(AW859="Y",BN859&amp;"",AZ859&amp;""))</f>
        <v/>
      </c>
      <c r="E859" s="0" t="str">
        <f aca="false">IF($A859="","",IF(AW859="Y",BO859&amp;"",BA859&amp;""))</f>
        <v/>
      </c>
      <c r="F859" s="0" t="str">
        <f aca="false">IF($A859="","",IF(AW859="Y",BP859&amp;"",BB859&amp;""))</f>
        <v/>
      </c>
      <c r="G859" s="0" t="str">
        <f aca="false">IF($A859="","",IF(AW859="Y",BQ859&amp;"",BC859&amp;""))</f>
        <v/>
      </c>
      <c r="H859" s="0" t="str">
        <f aca="false">IF($A859="","",IF(AW859="Y",BR859&amp;"",BD859&amp;""))</f>
        <v/>
      </c>
      <c r="I859" s="0" t="str">
        <f aca="false">IF($A859="","",IF(R859="Y","warm-intro",IF(H859="verified","email",IF(C859&lt;&gt;"","linkedin",CB859&amp;""))))</f>
        <v/>
      </c>
      <c r="J859" s="0" t="str">
        <f aca="false">IF($A859="","",IF(CN859="pass",ROUND(N(EM859)+N(EN859)+N(EO859)+N(EP859)+N(EQ859)+N(ER859),1),0))</f>
        <v/>
      </c>
      <c r="K859" s="0" t="str">
        <f aca="false">IF($A859="","",IF(CN859&lt;&gt;"pass",CA859&amp;"",CA859&amp;"; "&amp;IF(AW859="Y",BZ859&amp;"",BL859&amp;"")&amp;IF(R859="Y","; known to the founder (+15)","")&amp;"."))</f>
        <v/>
      </c>
      <c r="R859" s="5"/>
      <c r="U859" s="5"/>
      <c r="Y859" s="0" t="str">
        <f aca="false">IF(FX859&lt;&gt;"Y","",COUNTIFS($FX$2:$FX$1000,"Y",$J$2:$J$1000,"&gt;"&amp;J859)+COUNTIFS($FX$2:$FX$1000,"Y",$J$2:$J$1000,J859,$GD$2:$GD$1000,"&lt;"&amp;GD859)+1)</f>
        <v/>
      </c>
      <c r="AB859" s="0" t="str">
        <f aca="false">IF($A859="","",IF(AW859="Y",BY859&amp;"",BK859&amp;""))</f>
        <v/>
      </c>
      <c r="AC859" s="0" t="str">
        <f aca="false">IF($A859="","",IF(AW859="Y",BS859&amp;"",BE859&amp;""))</f>
        <v/>
      </c>
      <c r="AD859" s="0" t="str">
        <f aca="false">IF($A859="","",IF(AW859="Y",BT859&amp;"",BF859&amp;""))</f>
        <v/>
      </c>
      <c r="AE859" s="0" t="str">
        <f aca="false">IF($A859="","",IF(AW859="Y",BU859&amp;"",BG859&amp;""))</f>
        <v/>
      </c>
      <c r="AF859" s="0" t="str">
        <f aca="false">IF($A859="","",IF(AW859="Y",BV859&amp;"",BH859&amp;""))</f>
        <v/>
      </c>
      <c r="AG859" s="0" t="str">
        <f aca="false">IF($A859="","",IF(AW859="Y",BW859&amp;"",BI859&amp;""))</f>
        <v/>
      </c>
      <c r="AH859" s="0" t="str">
        <f aca="false">IF($A859="","",IF(AW859="Y",BX859&amp;"",BJ859&amp;""))</f>
        <v/>
      </c>
      <c r="AQ859" s="5"/>
      <c r="AT859" s="0" t="str">
        <f aca="false">IF($A859="","",IF(AND(CN859="pass",AQ859&lt;&gt;"Y",C859&lt;&gt;"",OR(AX859&lt;&gt;"Y",AV859="Y")),"Y","N"))</f>
        <v/>
      </c>
      <c r="AU859" s="0" t="str">
        <f aca="false">IF($A859="","",_xlfn.TEXTJOIN("; ",TRUE(),IF(CN859&lt;&gt;"pass","gated out",""),IF(AQ859="Y","on hold: "&amp;AR859,""),IF(C859="","no contact named on an opened page",""),IF(AND(AX859="Y",AV859&lt;&gt;"Y"),"Tuesday estimate band "&amp;L859&amp;": founder's call","")))</f>
        <v/>
      </c>
      <c r="BC859" s="0" t="str">
        <f aca="false">IF($A859="","",IFERROR(INDEX(Enrichment!$A$2:$GZ$2000,MATCH($A859,INDEX(Enrichment!$A$2:$GZ$2000,0,MATCH("row_id",Enrichment!$A$1:$GZ$1,0)),0),MATCH("work_email",Enrichment!$A$1:$GZ$1,0))&amp;"",""))</f>
        <v/>
      </c>
      <c r="BD859" s="0" t="str">
        <f aca="false">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Q859" s="0" t="str">
        <f aca="false">IF($A859="","",IFERROR(INDEX(Enrichment!$A$2:$GZ$2000,MATCH($A859,INDEX(Enrichment!$A$2:$GZ$2000,0,MATCH("row_id",Enrichment!$A$1:$GZ$1,0)),0),MATCH("backup_work_email",Enrichment!$A$1:$GZ$1,0))&amp;"",""))</f>
        <v/>
      </c>
      <c r="BR859" s="0" t="str">
        <f aca="false">IF($A859="","",IF(BQ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EQ859" s="0" t="str">
        <f aca="false">IF($A859="","",IF(AH859="exact",10,IF(AH859="adjacent",5,0)))</f>
        <v/>
      </c>
      <c r="ER859" s="0" t="str">
        <f aca="false">IF($A859="","",IF(R859="Y",15,0))</f>
        <v/>
      </c>
      <c r="FS859" s="0" t="str">
        <f aca="false">IF($A859="","",IF(ISNUMBER(MATCH(U859,{"queued","contacted","replied","call_booked","call_done","yes_in_principle","materials_sent"},0)),"Y","N"))</f>
        <v/>
      </c>
      <c r="FT859" s="0" t="str">
        <f aca="false">IF($A859="","",IF(OR(T859="Y",U859="do_not_contact",AS859&amp;""&lt;&gt;""),"Y","N"))</f>
        <v/>
      </c>
      <c r="FU859" s="0" t="str">
        <f aca="false">IF($A859="","",IF(AP859&amp;""&lt;&gt;"",AP859&amp;"",$A859))</f>
        <v/>
      </c>
      <c r="FV859" s="0" t="str">
        <f aca="false">IF($A859="","",IF(COUNTIFS($FU$2:$FU$1000,FU859,$FS$2:$FS$1000,"Y")+COUNTIFS($FU$2:$FU$1000,FU859,$FT$2:$FT$1000,"Y")&gt;0,"Y","N"))</f>
        <v/>
      </c>
      <c r="FW859" s="0" t="str">
        <f aca="false">IF($A859="","",IF(AND(U859="new",T859="N",FT859="N",AT859="Y",FV859="N"),"Y","N"))</f>
        <v/>
      </c>
      <c r="FX859" s="0" t="str">
        <f aca="false">IF($A859="","",IF(FW859&lt;&gt;"Y","N",IF(COUNTIFS($FU$2:$FU$1000,FU859,$FW$2:$FW$1000,"Y",$J$2:$J$1000,"&gt;"&amp;J859)+COUNTIFS($FU$2:$FU$1000,FU859,$FW$2:$FW$1000,"Y",$J$2:$J$1000,J859,$GD$2:$GD$1000,"&lt;"&amp;GD859)=0,"Y","N")))</f>
        <v/>
      </c>
      <c r="FY859" s="0" t="str">
        <f aca="false">IF($A859="","",IF(AND(FW859="Y",FX859="Y",Y859&amp;""&lt;&gt;""),IF(Y859&lt;=10,"Y","N"),"N"))</f>
        <v/>
      </c>
      <c r="FZ859" s="0" t="str">
        <f aca="false">IF(FY859="Y",Y859,"")</f>
        <v/>
      </c>
      <c r="GA859" s="0" t="str">
        <f aca="false">IF($A859="","",IF(AND(I859="walk-in",CN859="pass",U859="new",FT859="N",FV859="N",AQ859&lt;&gt;"Y"),"Y","N"))</f>
        <v/>
      </c>
      <c r="GB859" s="0" t="str">
        <f aca="false">IF(GA859&lt;&gt;"Y","",IF(COUNTIFS($GA$2:$GA$1000,"Y",$J$2:$J$1000,"&gt;"&amp;J859)+COUNTIFS($GA$2:$GA$1000,"Y",$J$2:$J$1000,J859,$GD$2:$GD$1000,"&lt;"&amp;GD859)+1&lt;=25,COUNTIFS($GA$2:$GA$1000,"Y",$J$2:$J$1000,"&gt;"&amp;J859)+COUNTIFS($GA$2:$GA$1000,"Y",$J$2:$J$1000,J859,$GD$2:$GD$1000,"&lt;"&amp;GD859)+1,""))</f>
        <v/>
      </c>
      <c r="GC859" s="0" t="str">
        <f aca="false">IF(AND(_xlfn.ISFORMULA(C859),_xlfn.ISFORMULA(J859)),"Y","N")</f>
        <v>Y</v>
      </c>
      <c r="GD859" s="0" t="n">
        <f aca="false">ROW()-1</f>
        <v>858</v>
      </c>
    </row>
    <row r="860" customFormat="false" ht="15" hidden="false" customHeight="false" outlineLevel="0" collapsed="false">
      <c r="C860" s="0" t="str">
        <f aca="false">IF($A860="","",IF(AW860="Y",BM860&amp;"",AY860&amp;""))</f>
        <v/>
      </c>
      <c r="D860" s="0" t="str">
        <f aca="false">IF($A860="","",IF(AW860="Y",BN860&amp;"",AZ860&amp;""))</f>
        <v/>
      </c>
      <c r="E860" s="0" t="str">
        <f aca="false">IF($A860="","",IF(AW860="Y",BO860&amp;"",BA860&amp;""))</f>
        <v/>
      </c>
      <c r="F860" s="0" t="str">
        <f aca="false">IF($A860="","",IF(AW860="Y",BP860&amp;"",BB860&amp;""))</f>
        <v/>
      </c>
      <c r="G860" s="0" t="str">
        <f aca="false">IF($A860="","",IF(AW860="Y",BQ860&amp;"",BC860&amp;""))</f>
        <v/>
      </c>
      <c r="H860" s="0" t="str">
        <f aca="false">IF($A860="","",IF(AW860="Y",BR860&amp;"",BD860&amp;""))</f>
        <v/>
      </c>
      <c r="I860" s="0" t="str">
        <f aca="false">IF($A860="","",IF(R860="Y","warm-intro",IF(H860="verified","email",IF(C860&lt;&gt;"","linkedin",CB860&amp;""))))</f>
        <v/>
      </c>
      <c r="J860" s="0" t="str">
        <f aca="false">IF($A860="","",IF(CN860="pass",ROUND(N(EM860)+N(EN860)+N(EO860)+N(EP860)+N(EQ860)+N(ER860),1),0))</f>
        <v/>
      </c>
      <c r="K860" s="0" t="str">
        <f aca="false">IF($A860="","",IF(CN860&lt;&gt;"pass",CA860&amp;"",CA860&amp;"; "&amp;IF(AW860="Y",BZ860&amp;"",BL860&amp;"")&amp;IF(R860="Y","; known to the founder (+15)","")&amp;"."))</f>
        <v/>
      </c>
      <c r="R860" s="5"/>
      <c r="U860" s="5"/>
      <c r="Y860" s="0" t="str">
        <f aca="false">IF(FX860&lt;&gt;"Y","",COUNTIFS($FX$2:$FX$1000,"Y",$J$2:$J$1000,"&gt;"&amp;J860)+COUNTIFS($FX$2:$FX$1000,"Y",$J$2:$J$1000,J860,$GD$2:$GD$1000,"&lt;"&amp;GD860)+1)</f>
        <v/>
      </c>
      <c r="AB860" s="0" t="str">
        <f aca="false">IF($A860="","",IF(AW860="Y",BY860&amp;"",BK860&amp;""))</f>
        <v/>
      </c>
      <c r="AC860" s="0" t="str">
        <f aca="false">IF($A860="","",IF(AW860="Y",BS860&amp;"",BE860&amp;""))</f>
        <v/>
      </c>
      <c r="AD860" s="0" t="str">
        <f aca="false">IF($A860="","",IF(AW860="Y",BT860&amp;"",BF860&amp;""))</f>
        <v/>
      </c>
      <c r="AE860" s="0" t="str">
        <f aca="false">IF($A860="","",IF(AW860="Y",BU860&amp;"",BG860&amp;""))</f>
        <v/>
      </c>
      <c r="AF860" s="0" t="str">
        <f aca="false">IF($A860="","",IF(AW860="Y",BV860&amp;"",BH860&amp;""))</f>
        <v/>
      </c>
      <c r="AG860" s="0" t="str">
        <f aca="false">IF($A860="","",IF(AW860="Y",BW860&amp;"",BI860&amp;""))</f>
        <v/>
      </c>
      <c r="AH860" s="0" t="str">
        <f aca="false">IF($A860="","",IF(AW860="Y",BX860&amp;"",BJ860&amp;""))</f>
        <v/>
      </c>
      <c r="AQ860" s="5"/>
      <c r="AT860" s="0" t="str">
        <f aca="false">IF($A860="","",IF(AND(CN860="pass",AQ860&lt;&gt;"Y",C860&lt;&gt;"",OR(AX860&lt;&gt;"Y",AV860="Y")),"Y","N"))</f>
        <v/>
      </c>
      <c r="AU860" s="0" t="str">
        <f aca="false">IF($A860="","",_xlfn.TEXTJOIN("; ",TRUE(),IF(CN860&lt;&gt;"pass","gated out",""),IF(AQ860="Y","on hold: "&amp;AR860,""),IF(C860="","no contact named on an opened page",""),IF(AND(AX860="Y",AV860&lt;&gt;"Y"),"Tuesday estimate band "&amp;L860&amp;": founder's call","")))</f>
        <v/>
      </c>
      <c r="BC860" s="0" t="str">
        <f aca="false">IF($A860="","",IFERROR(INDEX(Enrichment!$A$2:$GZ$2000,MATCH($A860,INDEX(Enrichment!$A$2:$GZ$2000,0,MATCH("row_id",Enrichment!$A$1:$GZ$1,0)),0),MATCH("work_email",Enrichment!$A$1:$GZ$1,0))&amp;"",""))</f>
        <v/>
      </c>
      <c r="BD860" s="0" t="str">
        <f aca="false">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Q860" s="0" t="str">
        <f aca="false">IF($A860="","",IFERROR(INDEX(Enrichment!$A$2:$GZ$2000,MATCH($A860,INDEX(Enrichment!$A$2:$GZ$2000,0,MATCH("row_id",Enrichment!$A$1:$GZ$1,0)),0),MATCH("backup_work_email",Enrichment!$A$1:$GZ$1,0))&amp;"",""))</f>
        <v/>
      </c>
      <c r="BR860" s="0" t="str">
        <f aca="false">IF($A860="","",IF(BQ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EQ860" s="0" t="str">
        <f aca="false">IF($A860="","",IF(AH860="exact",10,IF(AH860="adjacent",5,0)))</f>
        <v/>
      </c>
      <c r="ER860" s="0" t="str">
        <f aca="false">IF($A860="","",IF(R860="Y",15,0))</f>
        <v/>
      </c>
      <c r="FS860" s="0" t="str">
        <f aca="false">IF($A860="","",IF(ISNUMBER(MATCH(U860,{"queued","contacted","replied","call_booked","call_done","yes_in_principle","materials_sent"},0)),"Y","N"))</f>
        <v/>
      </c>
      <c r="FT860" s="0" t="str">
        <f aca="false">IF($A860="","",IF(OR(T860="Y",U860="do_not_contact",AS860&amp;""&lt;&gt;""),"Y","N"))</f>
        <v/>
      </c>
      <c r="FU860" s="0" t="str">
        <f aca="false">IF($A860="","",IF(AP860&amp;""&lt;&gt;"",AP860&amp;"",$A860))</f>
        <v/>
      </c>
      <c r="FV860" s="0" t="str">
        <f aca="false">IF($A860="","",IF(COUNTIFS($FU$2:$FU$1000,FU860,$FS$2:$FS$1000,"Y")+COUNTIFS($FU$2:$FU$1000,FU860,$FT$2:$FT$1000,"Y")&gt;0,"Y","N"))</f>
        <v/>
      </c>
      <c r="FW860" s="0" t="str">
        <f aca="false">IF($A860="","",IF(AND(U860="new",T860="N",FT860="N",AT860="Y",FV860="N"),"Y","N"))</f>
        <v/>
      </c>
      <c r="FX860" s="0" t="str">
        <f aca="false">IF($A860="","",IF(FW860&lt;&gt;"Y","N",IF(COUNTIFS($FU$2:$FU$1000,FU860,$FW$2:$FW$1000,"Y",$J$2:$J$1000,"&gt;"&amp;J860)+COUNTIFS($FU$2:$FU$1000,FU860,$FW$2:$FW$1000,"Y",$J$2:$J$1000,J860,$GD$2:$GD$1000,"&lt;"&amp;GD860)=0,"Y","N")))</f>
        <v/>
      </c>
      <c r="FY860" s="0" t="str">
        <f aca="false">IF($A860="","",IF(AND(FW860="Y",FX860="Y",Y860&amp;""&lt;&gt;""),IF(Y860&lt;=10,"Y","N"),"N"))</f>
        <v/>
      </c>
      <c r="FZ860" s="0" t="str">
        <f aca="false">IF(FY860="Y",Y860,"")</f>
        <v/>
      </c>
      <c r="GA860" s="0" t="str">
        <f aca="false">IF($A860="","",IF(AND(I860="walk-in",CN860="pass",U860="new",FT860="N",FV860="N",AQ860&lt;&gt;"Y"),"Y","N"))</f>
        <v/>
      </c>
      <c r="GB860" s="0" t="str">
        <f aca="false">IF(GA860&lt;&gt;"Y","",IF(COUNTIFS($GA$2:$GA$1000,"Y",$J$2:$J$1000,"&gt;"&amp;J860)+COUNTIFS($GA$2:$GA$1000,"Y",$J$2:$J$1000,J860,$GD$2:$GD$1000,"&lt;"&amp;GD860)+1&lt;=25,COUNTIFS($GA$2:$GA$1000,"Y",$J$2:$J$1000,"&gt;"&amp;J860)+COUNTIFS($GA$2:$GA$1000,"Y",$J$2:$J$1000,J860,$GD$2:$GD$1000,"&lt;"&amp;GD860)+1,""))</f>
        <v/>
      </c>
      <c r="GC860" s="0" t="str">
        <f aca="false">IF(AND(_xlfn.ISFORMULA(C860),_xlfn.ISFORMULA(J860)),"Y","N")</f>
        <v>Y</v>
      </c>
      <c r="GD860" s="0" t="n">
        <f aca="false">ROW()-1</f>
        <v>859</v>
      </c>
    </row>
    <row r="861" customFormat="false" ht="15" hidden="false" customHeight="false" outlineLevel="0" collapsed="false">
      <c r="C861" s="0" t="str">
        <f aca="false">IF($A861="","",IF(AW861="Y",BM861&amp;"",AY861&amp;""))</f>
        <v/>
      </c>
      <c r="D861" s="0" t="str">
        <f aca="false">IF($A861="","",IF(AW861="Y",BN861&amp;"",AZ861&amp;""))</f>
        <v/>
      </c>
      <c r="E861" s="0" t="str">
        <f aca="false">IF($A861="","",IF(AW861="Y",BO861&amp;"",BA861&amp;""))</f>
        <v/>
      </c>
      <c r="F861" s="0" t="str">
        <f aca="false">IF($A861="","",IF(AW861="Y",BP861&amp;"",BB861&amp;""))</f>
        <v/>
      </c>
      <c r="G861" s="0" t="str">
        <f aca="false">IF($A861="","",IF(AW861="Y",BQ861&amp;"",BC861&amp;""))</f>
        <v/>
      </c>
      <c r="H861" s="0" t="str">
        <f aca="false">IF($A861="","",IF(AW861="Y",BR861&amp;"",BD861&amp;""))</f>
        <v/>
      </c>
      <c r="I861" s="0" t="str">
        <f aca="false">IF($A861="","",IF(R861="Y","warm-intro",IF(H861="verified","email",IF(C861&lt;&gt;"","linkedin",CB861&amp;""))))</f>
        <v/>
      </c>
      <c r="J861" s="0" t="str">
        <f aca="false">IF($A861="","",IF(CN861="pass",ROUND(N(EM861)+N(EN861)+N(EO861)+N(EP861)+N(EQ861)+N(ER861),1),0))</f>
        <v/>
      </c>
      <c r="K861" s="0" t="str">
        <f aca="false">IF($A861="","",IF(CN861&lt;&gt;"pass",CA861&amp;"",CA861&amp;"; "&amp;IF(AW861="Y",BZ861&amp;"",BL861&amp;"")&amp;IF(R861="Y","; known to the founder (+15)","")&amp;"."))</f>
        <v/>
      </c>
      <c r="R861" s="5"/>
      <c r="U861" s="5"/>
      <c r="Y861" s="0" t="str">
        <f aca="false">IF(FX861&lt;&gt;"Y","",COUNTIFS($FX$2:$FX$1000,"Y",$J$2:$J$1000,"&gt;"&amp;J861)+COUNTIFS($FX$2:$FX$1000,"Y",$J$2:$J$1000,J861,$GD$2:$GD$1000,"&lt;"&amp;GD861)+1)</f>
        <v/>
      </c>
      <c r="AB861" s="0" t="str">
        <f aca="false">IF($A861="","",IF(AW861="Y",BY861&amp;"",BK861&amp;""))</f>
        <v/>
      </c>
      <c r="AC861" s="0" t="str">
        <f aca="false">IF($A861="","",IF(AW861="Y",BS861&amp;"",BE861&amp;""))</f>
        <v/>
      </c>
      <c r="AD861" s="0" t="str">
        <f aca="false">IF($A861="","",IF(AW861="Y",BT861&amp;"",BF861&amp;""))</f>
        <v/>
      </c>
      <c r="AE861" s="0" t="str">
        <f aca="false">IF($A861="","",IF(AW861="Y",BU861&amp;"",BG861&amp;""))</f>
        <v/>
      </c>
      <c r="AF861" s="0" t="str">
        <f aca="false">IF($A861="","",IF(AW861="Y",BV861&amp;"",BH861&amp;""))</f>
        <v/>
      </c>
      <c r="AG861" s="0" t="str">
        <f aca="false">IF($A861="","",IF(AW861="Y",BW861&amp;"",BI861&amp;""))</f>
        <v/>
      </c>
      <c r="AH861" s="0" t="str">
        <f aca="false">IF($A861="","",IF(AW861="Y",BX861&amp;"",BJ861&amp;""))</f>
        <v/>
      </c>
      <c r="AQ861" s="5"/>
      <c r="AT861" s="0" t="str">
        <f aca="false">IF($A861="","",IF(AND(CN861="pass",AQ861&lt;&gt;"Y",C861&lt;&gt;"",OR(AX861&lt;&gt;"Y",AV861="Y")),"Y","N"))</f>
        <v/>
      </c>
      <c r="AU861" s="0" t="str">
        <f aca="false">IF($A861="","",_xlfn.TEXTJOIN("; ",TRUE(),IF(CN861&lt;&gt;"pass","gated out",""),IF(AQ861="Y","on hold: "&amp;AR861,""),IF(C861="","no contact named on an opened page",""),IF(AND(AX861="Y",AV861&lt;&gt;"Y"),"Tuesday estimate band "&amp;L861&amp;": founder's call","")))</f>
        <v/>
      </c>
      <c r="BC861" s="0" t="str">
        <f aca="false">IF($A861="","",IFERROR(INDEX(Enrichment!$A$2:$GZ$2000,MATCH($A861,INDEX(Enrichment!$A$2:$GZ$2000,0,MATCH("row_id",Enrichment!$A$1:$GZ$1,0)),0),MATCH("work_email",Enrichment!$A$1:$GZ$1,0))&amp;"",""))</f>
        <v/>
      </c>
      <c r="BD861" s="0" t="str">
        <f aca="false">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Q861" s="0" t="str">
        <f aca="false">IF($A861="","",IFERROR(INDEX(Enrichment!$A$2:$GZ$2000,MATCH($A861,INDEX(Enrichment!$A$2:$GZ$2000,0,MATCH("row_id",Enrichment!$A$1:$GZ$1,0)),0),MATCH("backup_work_email",Enrichment!$A$1:$GZ$1,0))&amp;"",""))</f>
        <v/>
      </c>
      <c r="BR861" s="0" t="str">
        <f aca="false">IF($A861="","",IF(BQ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EQ861" s="0" t="str">
        <f aca="false">IF($A861="","",IF(AH861="exact",10,IF(AH861="adjacent",5,0)))</f>
        <v/>
      </c>
      <c r="ER861" s="0" t="str">
        <f aca="false">IF($A861="","",IF(R861="Y",15,0))</f>
        <v/>
      </c>
      <c r="FS861" s="0" t="str">
        <f aca="false">IF($A861="","",IF(ISNUMBER(MATCH(U861,{"queued","contacted","replied","call_booked","call_done","yes_in_principle","materials_sent"},0)),"Y","N"))</f>
        <v/>
      </c>
      <c r="FT861" s="0" t="str">
        <f aca="false">IF($A861="","",IF(OR(T861="Y",U861="do_not_contact",AS861&amp;""&lt;&gt;""),"Y","N"))</f>
        <v/>
      </c>
      <c r="FU861" s="0" t="str">
        <f aca="false">IF($A861="","",IF(AP861&amp;""&lt;&gt;"",AP861&amp;"",$A861))</f>
        <v/>
      </c>
      <c r="FV861" s="0" t="str">
        <f aca="false">IF($A861="","",IF(COUNTIFS($FU$2:$FU$1000,FU861,$FS$2:$FS$1000,"Y")+COUNTIFS($FU$2:$FU$1000,FU861,$FT$2:$FT$1000,"Y")&gt;0,"Y","N"))</f>
        <v/>
      </c>
      <c r="FW861" s="0" t="str">
        <f aca="false">IF($A861="","",IF(AND(U861="new",T861="N",FT861="N",AT861="Y",FV861="N"),"Y","N"))</f>
        <v/>
      </c>
      <c r="FX861" s="0" t="str">
        <f aca="false">IF($A861="","",IF(FW861&lt;&gt;"Y","N",IF(COUNTIFS($FU$2:$FU$1000,FU861,$FW$2:$FW$1000,"Y",$J$2:$J$1000,"&gt;"&amp;J861)+COUNTIFS($FU$2:$FU$1000,FU861,$FW$2:$FW$1000,"Y",$J$2:$J$1000,J861,$GD$2:$GD$1000,"&lt;"&amp;GD861)=0,"Y","N")))</f>
        <v/>
      </c>
      <c r="FY861" s="0" t="str">
        <f aca="false">IF($A861="","",IF(AND(FW861="Y",FX861="Y",Y861&amp;""&lt;&gt;""),IF(Y861&lt;=10,"Y","N"),"N"))</f>
        <v/>
      </c>
      <c r="FZ861" s="0" t="str">
        <f aca="false">IF(FY861="Y",Y861,"")</f>
        <v/>
      </c>
      <c r="GA861" s="0" t="str">
        <f aca="false">IF($A861="","",IF(AND(I861="walk-in",CN861="pass",U861="new",FT861="N",FV861="N",AQ861&lt;&gt;"Y"),"Y","N"))</f>
        <v/>
      </c>
      <c r="GB861" s="0" t="str">
        <f aca="false">IF(GA861&lt;&gt;"Y","",IF(COUNTIFS($GA$2:$GA$1000,"Y",$J$2:$J$1000,"&gt;"&amp;J861)+COUNTIFS($GA$2:$GA$1000,"Y",$J$2:$J$1000,J861,$GD$2:$GD$1000,"&lt;"&amp;GD861)+1&lt;=25,COUNTIFS($GA$2:$GA$1000,"Y",$J$2:$J$1000,"&gt;"&amp;J861)+COUNTIFS($GA$2:$GA$1000,"Y",$J$2:$J$1000,J861,$GD$2:$GD$1000,"&lt;"&amp;GD861)+1,""))</f>
        <v/>
      </c>
      <c r="GC861" s="0" t="str">
        <f aca="false">IF(AND(_xlfn.ISFORMULA(C861),_xlfn.ISFORMULA(J861)),"Y","N")</f>
        <v>Y</v>
      </c>
      <c r="GD861" s="0" t="n">
        <f aca="false">ROW()-1</f>
        <v>860</v>
      </c>
    </row>
    <row r="862" customFormat="false" ht="15" hidden="false" customHeight="false" outlineLevel="0" collapsed="false">
      <c r="C862" s="0" t="str">
        <f aca="false">IF($A862="","",IF(AW862="Y",BM862&amp;"",AY862&amp;""))</f>
        <v/>
      </c>
      <c r="D862" s="0" t="str">
        <f aca="false">IF($A862="","",IF(AW862="Y",BN862&amp;"",AZ862&amp;""))</f>
        <v/>
      </c>
      <c r="E862" s="0" t="str">
        <f aca="false">IF($A862="","",IF(AW862="Y",BO862&amp;"",BA862&amp;""))</f>
        <v/>
      </c>
      <c r="F862" s="0" t="str">
        <f aca="false">IF($A862="","",IF(AW862="Y",BP862&amp;"",BB862&amp;""))</f>
        <v/>
      </c>
      <c r="G862" s="0" t="str">
        <f aca="false">IF($A862="","",IF(AW862="Y",BQ862&amp;"",BC862&amp;""))</f>
        <v/>
      </c>
      <c r="H862" s="0" t="str">
        <f aca="false">IF($A862="","",IF(AW862="Y",BR862&amp;"",BD862&amp;""))</f>
        <v/>
      </c>
      <c r="I862" s="0" t="str">
        <f aca="false">IF($A862="","",IF(R862="Y","warm-intro",IF(H862="verified","email",IF(C862&lt;&gt;"","linkedin",CB862&amp;""))))</f>
        <v/>
      </c>
      <c r="J862" s="0" t="str">
        <f aca="false">IF($A862="","",IF(CN862="pass",ROUND(N(EM862)+N(EN862)+N(EO862)+N(EP862)+N(EQ862)+N(ER862),1),0))</f>
        <v/>
      </c>
      <c r="K862" s="0" t="str">
        <f aca="false">IF($A862="","",IF(CN862&lt;&gt;"pass",CA862&amp;"",CA862&amp;"; "&amp;IF(AW862="Y",BZ862&amp;"",BL862&amp;"")&amp;IF(R862="Y","; known to the founder (+15)","")&amp;"."))</f>
        <v/>
      </c>
      <c r="R862" s="5"/>
      <c r="U862" s="5"/>
      <c r="Y862" s="0" t="str">
        <f aca="false">IF(FX862&lt;&gt;"Y","",COUNTIFS($FX$2:$FX$1000,"Y",$J$2:$J$1000,"&gt;"&amp;J862)+COUNTIFS($FX$2:$FX$1000,"Y",$J$2:$J$1000,J862,$GD$2:$GD$1000,"&lt;"&amp;GD862)+1)</f>
        <v/>
      </c>
      <c r="AB862" s="0" t="str">
        <f aca="false">IF($A862="","",IF(AW862="Y",BY862&amp;"",BK862&amp;""))</f>
        <v/>
      </c>
      <c r="AC862" s="0" t="str">
        <f aca="false">IF($A862="","",IF(AW862="Y",BS862&amp;"",BE862&amp;""))</f>
        <v/>
      </c>
      <c r="AD862" s="0" t="str">
        <f aca="false">IF($A862="","",IF(AW862="Y",BT862&amp;"",BF862&amp;""))</f>
        <v/>
      </c>
      <c r="AE862" s="0" t="str">
        <f aca="false">IF($A862="","",IF(AW862="Y",BU862&amp;"",BG862&amp;""))</f>
        <v/>
      </c>
      <c r="AF862" s="0" t="str">
        <f aca="false">IF($A862="","",IF(AW862="Y",BV862&amp;"",BH862&amp;""))</f>
        <v/>
      </c>
      <c r="AG862" s="0" t="str">
        <f aca="false">IF($A862="","",IF(AW862="Y",BW862&amp;"",BI862&amp;""))</f>
        <v/>
      </c>
      <c r="AH862" s="0" t="str">
        <f aca="false">IF($A862="","",IF(AW862="Y",BX862&amp;"",BJ862&amp;""))</f>
        <v/>
      </c>
      <c r="AQ862" s="5"/>
      <c r="AT862" s="0" t="str">
        <f aca="false">IF($A862="","",IF(AND(CN862="pass",AQ862&lt;&gt;"Y",C862&lt;&gt;"",OR(AX862&lt;&gt;"Y",AV862="Y")),"Y","N"))</f>
        <v/>
      </c>
      <c r="AU862" s="0" t="str">
        <f aca="false">IF($A862="","",_xlfn.TEXTJOIN("; ",TRUE(),IF(CN862&lt;&gt;"pass","gated out",""),IF(AQ862="Y","on hold: "&amp;AR862,""),IF(C862="","no contact named on an opened page",""),IF(AND(AX862="Y",AV862&lt;&gt;"Y"),"Tuesday estimate band "&amp;L862&amp;": founder's call","")))</f>
        <v/>
      </c>
      <c r="BC862" s="0" t="str">
        <f aca="false">IF($A862="","",IFERROR(INDEX(Enrichment!$A$2:$GZ$2000,MATCH($A862,INDEX(Enrichment!$A$2:$GZ$2000,0,MATCH("row_id",Enrichment!$A$1:$GZ$1,0)),0),MATCH("work_email",Enrichment!$A$1:$GZ$1,0))&amp;"",""))</f>
        <v/>
      </c>
      <c r="BD862" s="0" t="str">
        <f aca="false">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Q862" s="0" t="str">
        <f aca="false">IF($A862="","",IFERROR(INDEX(Enrichment!$A$2:$GZ$2000,MATCH($A862,INDEX(Enrichment!$A$2:$GZ$2000,0,MATCH("row_id",Enrichment!$A$1:$GZ$1,0)),0),MATCH("backup_work_email",Enrichment!$A$1:$GZ$1,0))&amp;"",""))</f>
        <v/>
      </c>
      <c r="BR862" s="0" t="str">
        <f aca="false">IF($A862="","",IF(BQ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EQ862" s="0" t="str">
        <f aca="false">IF($A862="","",IF(AH862="exact",10,IF(AH862="adjacent",5,0)))</f>
        <v/>
      </c>
      <c r="ER862" s="0" t="str">
        <f aca="false">IF($A862="","",IF(R862="Y",15,0))</f>
        <v/>
      </c>
      <c r="FS862" s="0" t="str">
        <f aca="false">IF($A862="","",IF(ISNUMBER(MATCH(U862,{"queued","contacted","replied","call_booked","call_done","yes_in_principle","materials_sent"},0)),"Y","N"))</f>
        <v/>
      </c>
      <c r="FT862" s="0" t="str">
        <f aca="false">IF($A862="","",IF(OR(T862="Y",U862="do_not_contact",AS862&amp;""&lt;&gt;""),"Y","N"))</f>
        <v/>
      </c>
      <c r="FU862" s="0" t="str">
        <f aca="false">IF($A862="","",IF(AP862&amp;""&lt;&gt;"",AP862&amp;"",$A862))</f>
        <v/>
      </c>
      <c r="FV862" s="0" t="str">
        <f aca="false">IF($A862="","",IF(COUNTIFS($FU$2:$FU$1000,FU862,$FS$2:$FS$1000,"Y")+COUNTIFS($FU$2:$FU$1000,FU862,$FT$2:$FT$1000,"Y")&gt;0,"Y","N"))</f>
        <v/>
      </c>
      <c r="FW862" s="0" t="str">
        <f aca="false">IF($A862="","",IF(AND(U862="new",T862="N",FT862="N",AT862="Y",FV862="N"),"Y","N"))</f>
        <v/>
      </c>
      <c r="FX862" s="0" t="str">
        <f aca="false">IF($A862="","",IF(FW862&lt;&gt;"Y","N",IF(COUNTIFS($FU$2:$FU$1000,FU862,$FW$2:$FW$1000,"Y",$J$2:$J$1000,"&gt;"&amp;J862)+COUNTIFS($FU$2:$FU$1000,FU862,$FW$2:$FW$1000,"Y",$J$2:$J$1000,J862,$GD$2:$GD$1000,"&lt;"&amp;GD862)=0,"Y","N")))</f>
        <v/>
      </c>
      <c r="FY862" s="0" t="str">
        <f aca="false">IF($A862="","",IF(AND(FW862="Y",FX862="Y",Y862&amp;""&lt;&gt;""),IF(Y862&lt;=10,"Y","N"),"N"))</f>
        <v/>
      </c>
      <c r="FZ862" s="0" t="str">
        <f aca="false">IF(FY862="Y",Y862,"")</f>
        <v/>
      </c>
      <c r="GA862" s="0" t="str">
        <f aca="false">IF($A862="","",IF(AND(I862="walk-in",CN862="pass",U862="new",FT862="N",FV862="N",AQ862&lt;&gt;"Y"),"Y","N"))</f>
        <v/>
      </c>
      <c r="GB862" s="0" t="str">
        <f aca="false">IF(GA862&lt;&gt;"Y","",IF(COUNTIFS($GA$2:$GA$1000,"Y",$J$2:$J$1000,"&gt;"&amp;J862)+COUNTIFS($GA$2:$GA$1000,"Y",$J$2:$J$1000,J862,$GD$2:$GD$1000,"&lt;"&amp;GD862)+1&lt;=25,COUNTIFS($GA$2:$GA$1000,"Y",$J$2:$J$1000,"&gt;"&amp;J862)+COUNTIFS($GA$2:$GA$1000,"Y",$J$2:$J$1000,J862,$GD$2:$GD$1000,"&lt;"&amp;GD862)+1,""))</f>
        <v/>
      </c>
      <c r="GC862" s="0" t="str">
        <f aca="false">IF(AND(_xlfn.ISFORMULA(C862),_xlfn.ISFORMULA(J862)),"Y","N")</f>
        <v>Y</v>
      </c>
      <c r="GD862" s="0" t="n">
        <f aca="false">ROW()-1</f>
        <v>861</v>
      </c>
    </row>
    <row r="863" customFormat="false" ht="15" hidden="false" customHeight="false" outlineLevel="0" collapsed="false">
      <c r="C863" s="0" t="str">
        <f aca="false">IF($A863="","",IF(AW863="Y",BM863&amp;"",AY863&amp;""))</f>
        <v/>
      </c>
      <c r="D863" s="0" t="str">
        <f aca="false">IF($A863="","",IF(AW863="Y",BN863&amp;"",AZ863&amp;""))</f>
        <v/>
      </c>
      <c r="E863" s="0" t="str">
        <f aca="false">IF($A863="","",IF(AW863="Y",BO863&amp;"",BA863&amp;""))</f>
        <v/>
      </c>
      <c r="F863" s="0" t="str">
        <f aca="false">IF($A863="","",IF(AW863="Y",BP863&amp;"",BB863&amp;""))</f>
        <v/>
      </c>
      <c r="G863" s="0" t="str">
        <f aca="false">IF($A863="","",IF(AW863="Y",BQ863&amp;"",BC863&amp;""))</f>
        <v/>
      </c>
      <c r="H863" s="0" t="str">
        <f aca="false">IF($A863="","",IF(AW863="Y",BR863&amp;"",BD863&amp;""))</f>
        <v/>
      </c>
      <c r="I863" s="0" t="str">
        <f aca="false">IF($A863="","",IF(R863="Y","warm-intro",IF(H863="verified","email",IF(C863&lt;&gt;"","linkedin",CB863&amp;""))))</f>
        <v/>
      </c>
      <c r="J863" s="0" t="str">
        <f aca="false">IF($A863="","",IF(CN863="pass",ROUND(N(EM863)+N(EN863)+N(EO863)+N(EP863)+N(EQ863)+N(ER863),1),0))</f>
        <v/>
      </c>
      <c r="K863" s="0" t="str">
        <f aca="false">IF($A863="","",IF(CN863&lt;&gt;"pass",CA863&amp;"",CA863&amp;"; "&amp;IF(AW863="Y",BZ863&amp;"",BL863&amp;"")&amp;IF(R863="Y","; known to the founder (+15)","")&amp;"."))</f>
        <v/>
      </c>
      <c r="R863" s="5"/>
      <c r="U863" s="5"/>
      <c r="Y863" s="0" t="str">
        <f aca="false">IF(FX863&lt;&gt;"Y","",COUNTIFS($FX$2:$FX$1000,"Y",$J$2:$J$1000,"&gt;"&amp;J863)+COUNTIFS($FX$2:$FX$1000,"Y",$J$2:$J$1000,J863,$GD$2:$GD$1000,"&lt;"&amp;GD863)+1)</f>
        <v/>
      </c>
      <c r="AB863" s="0" t="str">
        <f aca="false">IF($A863="","",IF(AW863="Y",BY863&amp;"",BK863&amp;""))</f>
        <v/>
      </c>
      <c r="AC863" s="0" t="str">
        <f aca="false">IF($A863="","",IF(AW863="Y",BS863&amp;"",BE863&amp;""))</f>
        <v/>
      </c>
      <c r="AD863" s="0" t="str">
        <f aca="false">IF($A863="","",IF(AW863="Y",BT863&amp;"",BF863&amp;""))</f>
        <v/>
      </c>
      <c r="AE863" s="0" t="str">
        <f aca="false">IF($A863="","",IF(AW863="Y",BU863&amp;"",BG863&amp;""))</f>
        <v/>
      </c>
      <c r="AF863" s="0" t="str">
        <f aca="false">IF($A863="","",IF(AW863="Y",BV863&amp;"",BH863&amp;""))</f>
        <v/>
      </c>
      <c r="AG863" s="0" t="str">
        <f aca="false">IF($A863="","",IF(AW863="Y",BW863&amp;"",BI863&amp;""))</f>
        <v/>
      </c>
      <c r="AH863" s="0" t="str">
        <f aca="false">IF($A863="","",IF(AW863="Y",BX863&amp;"",BJ863&amp;""))</f>
        <v/>
      </c>
      <c r="AQ863" s="5"/>
      <c r="AT863" s="0" t="str">
        <f aca="false">IF($A863="","",IF(AND(CN863="pass",AQ863&lt;&gt;"Y",C863&lt;&gt;"",OR(AX863&lt;&gt;"Y",AV863="Y")),"Y","N"))</f>
        <v/>
      </c>
      <c r="AU863" s="0" t="str">
        <f aca="false">IF($A863="","",_xlfn.TEXTJOIN("; ",TRUE(),IF(CN863&lt;&gt;"pass","gated out",""),IF(AQ863="Y","on hold: "&amp;AR863,""),IF(C863="","no contact named on an opened page",""),IF(AND(AX863="Y",AV863&lt;&gt;"Y"),"Tuesday estimate band "&amp;L863&amp;": founder's call","")))</f>
        <v/>
      </c>
      <c r="BC863" s="0" t="str">
        <f aca="false">IF($A863="","",IFERROR(INDEX(Enrichment!$A$2:$GZ$2000,MATCH($A863,INDEX(Enrichment!$A$2:$GZ$2000,0,MATCH("row_id",Enrichment!$A$1:$GZ$1,0)),0),MATCH("work_email",Enrichment!$A$1:$GZ$1,0))&amp;"",""))</f>
        <v/>
      </c>
      <c r="BD863" s="0" t="str">
        <f aca="false">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Q863" s="0" t="str">
        <f aca="false">IF($A863="","",IFERROR(INDEX(Enrichment!$A$2:$GZ$2000,MATCH($A863,INDEX(Enrichment!$A$2:$GZ$2000,0,MATCH("row_id",Enrichment!$A$1:$GZ$1,0)),0),MATCH("backup_work_email",Enrichment!$A$1:$GZ$1,0))&amp;"",""))</f>
        <v/>
      </c>
      <c r="BR863" s="0" t="str">
        <f aca="false">IF($A863="","",IF(BQ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EQ863" s="0" t="str">
        <f aca="false">IF($A863="","",IF(AH863="exact",10,IF(AH863="adjacent",5,0)))</f>
        <v/>
      </c>
      <c r="ER863" s="0" t="str">
        <f aca="false">IF($A863="","",IF(R863="Y",15,0))</f>
        <v/>
      </c>
      <c r="FS863" s="0" t="str">
        <f aca="false">IF($A863="","",IF(ISNUMBER(MATCH(U863,{"queued","contacted","replied","call_booked","call_done","yes_in_principle","materials_sent"},0)),"Y","N"))</f>
        <v/>
      </c>
      <c r="FT863" s="0" t="str">
        <f aca="false">IF($A863="","",IF(OR(T863="Y",U863="do_not_contact",AS863&amp;""&lt;&gt;""),"Y","N"))</f>
        <v/>
      </c>
      <c r="FU863" s="0" t="str">
        <f aca="false">IF($A863="","",IF(AP863&amp;""&lt;&gt;"",AP863&amp;"",$A863))</f>
        <v/>
      </c>
      <c r="FV863" s="0" t="str">
        <f aca="false">IF($A863="","",IF(COUNTIFS($FU$2:$FU$1000,FU863,$FS$2:$FS$1000,"Y")+COUNTIFS($FU$2:$FU$1000,FU863,$FT$2:$FT$1000,"Y")&gt;0,"Y","N"))</f>
        <v/>
      </c>
      <c r="FW863" s="0" t="str">
        <f aca="false">IF($A863="","",IF(AND(U863="new",T863="N",FT863="N",AT863="Y",FV863="N"),"Y","N"))</f>
        <v/>
      </c>
      <c r="FX863" s="0" t="str">
        <f aca="false">IF($A863="","",IF(FW863&lt;&gt;"Y","N",IF(COUNTIFS($FU$2:$FU$1000,FU863,$FW$2:$FW$1000,"Y",$J$2:$J$1000,"&gt;"&amp;J863)+COUNTIFS($FU$2:$FU$1000,FU863,$FW$2:$FW$1000,"Y",$J$2:$J$1000,J863,$GD$2:$GD$1000,"&lt;"&amp;GD863)=0,"Y","N")))</f>
        <v/>
      </c>
      <c r="FY863" s="0" t="str">
        <f aca="false">IF($A863="","",IF(AND(FW863="Y",FX863="Y",Y863&amp;""&lt;&gt;""),IF(Y863&lt;=10,"Y","N"),"N"))</f>
        <v/>
      </c>
      <c r="FZ863" s="0" t="str">
        <f aca="false">IF(FY863="Y",Y863,"")</f>
        <v/>
      </c>
      <c r="GA863" s="0" t="str">
        <f aca="false">IF($A863="","",IF(AND(I863="walk-in",CN863="pass",U863="new",FT863="N",FV863="N",AQ863&lt;&gt;"Y"),"Y","N"))</f>
        <v/>
      </c>
      <c r="GB863" s="0" t="str">
        <f aca="false">IF(GA863&lt;&gt;"Y","",IF(COUNTIFS($GA$2:$GA$1000,"Y",$J$2:$J$1000,"&gt;"&amp;J863)+COUNTIFS($GA$2:$GA$1000,"Y",$J$2:$J$1000,J863,$GD$2:$GD$1000,"&lt;"&amp;GD863)+1&lt;=25,COUNTIFS($GA$2:$GA$1000,"Y",$J$2:$J$1000,"&gt;"&amp;J863)+COUNTIFS($GA$2:$GA$1000,"Y",$J$2:$J$1000,J863,$GD$2:$GD$1000,"&lt;"&amp;GD863)+1,""))</f>
        <v/>
      </c>
      <c r="GC863" s="0" t="str">
        <f aca="false">IF(AND(_xlfn.ISFORMULA(C863),_xlfn.ISFORMULA(J863)),"Y","N")</f>
        <v>Y</v>
      </c>
      <c r="GD863" s="0" t="n">
        <f aca="false">ROW()-1</f>
        <v>862</v>
      </c>
    </row>
    <row r="864" customFormat="false" ht="15" hidden="false" customHeight="false" outlineLevel="0" collapsed="false">
      <c r="C864" s="0" t="str">
        <f aca="false">IF($A864="","",IF(AW864="Y",BM864&amp;"",AY864&amp;""))</f>
        <v/>
      </c>
      <c r="D864" s="0" t="str">
        <f aca="false">IF($A864="","",IF(AW864="Y",BN864&amp;"",AZ864&amp;""))</f>
        <v/>
      </c>
      <c r="E864" s="0" t="str">
        <f aca="false">IF($A864="","",IF(AW864="Y",BO864&amp;"",BA864&amp;""))</f>
        <v/>
      </c>
      <c r="F864" s="0" t="str">
        <f aca="false">IF($A864="","",IF(AW864="Y",BP864&amp;"",BB864&amp;""))</f>
        <v/>
      </c>
      <c r="G864" s="0" t="str">
        <f aca="false">IF($A864="","",IF(AW864="Y",BQ864&amp;"",BC864&amp;""))</f>
        <v/>
      </c>
      <c r="H864" s="0" t="str">
        <f aca="false">IF($A864="","",IF(AW864="Y",BR864&amp;"",BD864&amp;""))</f>
        <v/>
      </c>
      <c r="I864" s="0" t="str">
        <f aca="false">IF($A864="","",IF(R864="Y","warm-intro",IF(H864="verified","email",IF(C864&lt;&gt;"","linkedin",CB864&amp;""))))</f>
        <v/>
      </c>
      <c r="J864" s="0" t="str">
        <f aca="false">IF($A864="","",IF(CN864="pass",ROUND(N(EM864)+N(EN864)+N(EO864)+N(EP864)+N(EQ864)+N(ER864),1),0))</f>
        <v/>
      </c>
      <c r="K864" s="0" t="str">
        <f aca="false">IF($A864="","",IF(CN864&lt;&gt;"pass",CA864&amp;"",CA864&amp;"; "&amp;IF(AW864="Y",BZ864&amp;"",BL864&amp;"")&amp;IF(R864="Y","; known to the founder (+15)","")&amp;"."))</f>
        <v/>
      </c>
      <c r="R864" s="5"/>
      <c r="U864" s="5"/>
      <c r="Y864" s="0" t="str">
        <f aca="false">IF(FX864&lt;&gt;"Y","",COUNTIFS($FX$2:$FX$1000,"Y",$J$2:$J$1000,"&gt;"&amp;J864)+COUNTIFS($FX$2:$FX$1000,"Y",$J$2:$J$1000,J864,$GD$2:$GD$1000,"&lt;"&amp;GD864)+1)</f>
        <v/>
      </c>
      <c r="AB864" s="0" t="str">
        <f aca="false">IF($A864="","",IF(AW864="Y",BY864&amp;"",BK864&amp;""))</f>
        <v/>
      </c>
      <c r="AC864" s="0" t="str">
        <f aca="false">IF($A864="","",IF(AW864="Y",BS864&amp;"",BE864&amp;""))</f>
        <v/>
      </c>
      <c r="AD864" s="0" t="str">
        <f aca="false">IF($A864="","",IF(AW864="Y",BT864&amp;"",BF864&amp;""))</f>
        <v/>
      </c>
      <c r="AE864" s="0" t="str">
        <f aca="false">IF($A864="","",IF(AW864="Y",BU864&amp;"",BG864&amp;""))</f>
        <v/>
      </c>
      <c r="AF864" s="0" t="str">
        <f aca="false">IF($A864="","",IF(AW864="Y",BV864&amp;"",BH864&amp;""))</f>
        <v/>
      </c>
      <c r="AG864" s="0" t="str">
        <f aca="false">IF($A864="","",IF(AW864="Y",BW864&amp;"",BI864&amp;""))</f>
        <v/>
      </c>
      <c r="AH864" s="0" t="str">
        <f aca="false">IF($A864="","",IF(AW864="Y",BX864&amp;"",BJ864&amp;""))</f>
        <v/>
      </c>
      <c r="AQ864" s="5"/>
      <c r="AT864" s="0" t="str">
        <f aca="false">IF($A864="","",IF(AND(CN864="pass",AQ864&lt;&gt;"Y",C864&lt;&gt;"",OR(AX864&lt;&gt;"Y",AV864="Y")),"Y","N"))</f>
        <v/>
      </c>
      <c r="AU864" s="0" t="str">
        <f aca="false">IF($A864="","",_xlfn.TEXTJOIN("; ",TRUE(),IF(CN864&lt;&gt;"pass","gated out",""),IF(AQ864="Y","on hold: "&amp;AR864,""),IF(C864="","no contact named on an opened page",""),IF(AND(AX864="Y",AV864&lt;&gt;"Y"),"Tuesday estimate band "&amp;L864&amp;": founder's call","")))</f>
        <v/>
      </c>
      <c r="BC864" s="0" t="str">
        <f aca="false">IF($A864="","",IFERROR(INDEX(Enrichment!$A$2:$GZ$2000,MATCH($A864,INDEX(Enrichment!$A$2:$GZ$2000,0,MATCH("row_id",Enrichment!$A$1:$GZ$1,0)),0),MATCH("work_email",Enrichment!$A$1:$GZ$1,0))&amp;"",""))</f>
        <v/>
      </c>
      <c r="BD864" s="0" t="str">
        <f aca="false">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Q864" s="0" t="str">
        <f aca="false">IF($A864="","",IFERROR(INDEX(Enrichment!$A$2:$GZ$2000,MATCH($A864,INDEX(Enrichment!$A$2:$GZ$2000,0,MATCH("row_id",Enrichment!$A$1:$GZ$1,0)),0),MATCH("backup_work_email",Enrichment!$A$1:$GZ$1,0))&amp;"",""))</f>
        <v/>
      </c>
      <c r="BR864" s="0" t="str">
        <f aca="false">IF($A864="","",IF(BQ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EQ864" s="0" t="str">
        <f aca="false">IF($A864="","",IF(AH864="exact",10,IF(AH864="adjacent",5,0)))</f>
        <v/>
      </c>
      <c r="ER864" s="0" t="str">
        <f aca="false">IF($A864="","",IF(R864="Y",15,0))</f>
        <v/>
      </c>
      <c r="FS864" s="0" t="str">
        <f aca="false">IF($A864="","",IF(ISNUMBER(MATCH(U864,{"queued","contacted","replied","call_booked","call_done","yes_in_principle","materials_sent"},0)),"Y","N"))</f>
        <v/>
      </c>
      <c r="FT864" s="0" t="str">
        <f aca="false">IF($A864="","",IF(OR(T864="Y",U864="do_not_contact",AS864&amp;""&lt;&gt;""),"Y","N"))</f>
        <v/>
      </c>
      <c r="FU864" s="0" t="str">
        <f aca="false">IF($A864="","",IF(AP864&amp;""&lt;&gt;"",AP864&amp;"",$A864))</f>
        <v/>
      </c>
      <c r="FV864" s="0" t="str">
        <f aca="false">IF($A864="","",IF(COUNTIFS($FU$2:$FU$1000,FU864,$FS$2:$FS$1000,"Y")+COUNTIFS($FU$2:$FU$1000,FU864,$FT$2:$FT$1000,"Y")&gt;0,"Y","N"))</f>
        <v/>
      </c>
      <c r="FW864" s="0" t="str">
        <f aca="false">IF($A864="","",IF(AND(U864="new",T864="N",FT864="N",AT864="Y",FV864="N"),"Y","N"))</f>
        <v/>
      </c>
      <c r="FX864" s="0" t="str">
        <f aca="false">IF($A864="","",IF(FW864&lt;&gt;"Y","N",IF(COUNTIFS($FU$2:$FU$1000,FU864,$FW$2:$FW$1000,"Y",$J$2:$J$1000,"&gt;"&amp;J864)+COUNTIFS($FU$2:$FU$1000,FU864,$FW$2:$FW$1000,"Y",$J$2:$J$1000,J864,$GD$2:$GD$1000,"&lt;"&amp;GD864)=0,"Y","N")))</f>
        <v/>
      </c>
      <c r="FY864" s="0" t="str">
        <f aca="false">IF($A864="","",IF(AND(FW864="Y",FX864="Y",Y864&amp;""&lt;&gt;""),IF(Y864&lt;=10,"Y","N"),"N"))</f>
        <v/>
      </c>
      <c r="FZ864" s="0" t="str">
        <f aca="false">IF(FY864="Y",Y864,"")</f>
        <v/>
      </c>
      <c r="GA864" s="0" t="str">
        <f aca="false">IF($A864="","",IF(AND(I864="walk-in",CN864="pass",U864="new",FT864="N",FV864="N",AQ864&lt;&gt;"Y"),"Y","N"))</f>
        <v/>
      </c>
      <c r="GB864" s="0" t="str">
        <f aca="false">IF(GA864&lt;&gt;"Y","",IF(COUNTIFS($GA$2:$GA$1000,"Y",$J$2:$J$1000,"&gt;"&amp;J864)+COUNTIFS($GA$2:$GA$1000,"Y",$J$2:$J$1000,J864,$GD$2:$GD$1000,"&lt;"&amp;GD864)+1&lt;=25,COUNTIFS($GA$2:$GA$1000,"Y",$J$2:$J$1000,"&gt;"&amp;J864)+COUNTIFS($GA$2:$GA$1000,"Y",$J$2:$J$1000,J864,$GD$2:$GD$1000,"&lt;"&amp;GD864)+1,""))</f>
        <v/>
      </c>
      <c r="GC864" s="0" t="str">
        <f aca="false">IF(AND(_xlfn.ISFORMULA(C864),_xlfn.ISFORMULA(J864)),"Y","N")</f>
        <v>Y</v>
      </c>
      <c r="GD864" s="0" t="n">
        <f aca="false">ROW()-1</f>
        <v>863</v>
      </c>
    </row>
    <row r="865" customFormat="false" ht="15" hidden="false" customHeight="false" outlineLevel="0" collapsed="false">
      <c r="C865" s="0" t="str">
        <f aca="false">IF($A865="","",IF(AW865="Y",BM865&amp;"",AY865&amp;""))</f>
        <v/>
      </c>
      <c r="D865" s="0" t="str">
        <f aca="false">IF($A865="","",IF(AW865="Y",BN865&amp;"",AZ865&amp;""))</f>
        <v/>
      </c>
      <c r="E865" s="0" t="str">
        <f aca="false">IF($A865="","",IF(AW865="Y",BO865&amp;"",BA865&amp;""))</f>
        <v/>
      </c>
      <c r="F865" s="0" t="str">
        <f aca="false">IF($A865="","",IF(AW865="Y",BP865&amp;"",BB865&amp;""))</f>
        <v/>
      </c>
      <c r="G865" s="0" t="str">
        <f aca="false">IF($A865="","",IF(AW865="Y",BQ865&amp;"",BC865&amp;""))</f>
        <v/>
      </c>
      <c r="H865" s="0" t="str">
        <f aca="false">IF($A865="","",IF(AW865="Y",BR865&amp;"",BD865&amp;""))</f>
        <v/>
      </c>
      <c r="I865" s="0" t="str">
        <f aca="false">IF($A865="","",IF(R865="Y","warm-intro",IF(H865="verified","email",IF(C865&lt;&gt;"","linkedin",CB865&amp;""))))</f>
        <v/>
      </c>
      <c r="J865" s="0" t="str">
        <f aca="false">IF($A865="","",IF(CN865="pass",ROUND(N(EM865)+N(EN865)+N(EO865)+N(EP865)+N(EQ865)+N(ER865),1),0))</f>
        <v/>
      </c>
      <c r="K865" s="0" t="str">
        <f aca="false">IF($A865="","",IF(CN865&lt;&gt;"pass",CA865&amp;"",CA865&amp;"; "&amp;IF(AW865="Y",BZ865&amp;"",BL865&amp;"")&amp;IF(R865="Y","; known to the founder (+15)","")&amp;"."))</f>
        <v/>
      </c>
      <c r="R865" s="5"/>
      <c r="U865" s="5"/>
      <c r="Y865" s="0" t="str">
        <f aca="false">IF(FX865&lt;&gt;"Y","",COUNTIFS($FX$2:$FX$1000,"Y",$J$2:$J$1000,"&gt;"&amp;J865)+COUNTIFS($FX$2:$FX$1000,"Y",$J$2:$J$1000,J865,$GD$2:$GD$1000,"&lt;"&amp;GD865)+1)</f>
        <v/>
      </c>
      <c r="AB865" s="0" t="str">
        <f aca="false">IF($A865="","",IF(AW865="Y",BY865&amp;"",BK865&amp;""))</f>
        <v/>
      </c>
      <c r="AC865" s="0" t="str">
        <f aca="false">IF($A865="","",IF(AW865="Y",BS865&amp;"",BE865&amp;""))</f>
        <v/>
      </c>
      <c r="AD865" s="0" t="str">
        <f aca="false">IF($A865="","",IF(AW865="Y",BT865&amp;"",BF865&amp;""))</f>
        <v/>
      </c>
      <c r="AE865" s="0" t="str">
        <f aca="false">IF($A865="","",IF(AW865="Y",BU865&amp;"",BG865&amp;""))</f>
        <v/>
      </c>
      <c r="AF865" s="0" t="str">
        <f aca="false">IF($A865="","",IF(AW865="Y",BV865&amp;"",BH865&amp;""))</f>
        <v/>
      </c>
      <c r="AG865" s="0" t="str">
        <f aca="false">IF($A865="","",IF(AW865="Y",BW865&amp;"",BI865&amp;""))</f>
        <v/>
      </c>
      <c r="AH865" s="0" t="str">
        <f aca="false">IF($A865="","",IF(AW865="Y",BX865&amp;"",BJ865&amp;""))</f>
        <v/>
      </c>
      <c r="AQ865" s="5"/>
      <c r="AT865" s="0" t="str">
        <f aca="false">IF($A865="","",IF(AND(CN865="pass",AQ865&lt;&gt;"Y",C865&lt;&gt;"",OR(AX865&lt;&gt;"Y",AV865="Y")),"Y","N"))</f>
        <v/>
      </c>
      <c r="AU865" s="0" t="str">
        <f aca="false">IF($A865="","",_xlfn.TEXTJOIN("; ",TRUE(),IF(CN865&lt;&gt;"pass","gated out",""),IF(AQ865="Y","on hold: "&amp;AR865,""),IF(C865="","no contact named on an opened page",""),IF(AND(AX865="Y",AV865&lt;&gt;"Y"),"Tuesday estimate band "&amp;L865&amp;": founder's call","")))</f>
        <v/>
      </c>
      <c r="BC865" s="0" t="str">
        <f aca="false">IF($A865="","",IFERROR(INDEX(Enrichment!$A$2:$GZ$2000,MATCH($A865,INDEX(Enrichment!$A$2:$GZ$2000,0,MATCH("row_id",Enrichment!$A$1:$GZ$1,0)),0),MATCH("work_email",Enrichment!$A$1:$GZ$1,0))&amp;"",""))</f>
        <v/>
      </c>
      <c r="BD865" s="0" t="str">
        <f aca="false">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Q865" s="0" t="str">
        <f aca="false">IF($A865="","",IFERROR(INDEX(Enrichment!$A$2:$GZ$2000,MATCH($A865,INDEX(Enrichment!$A$2:$GZ$2000,0,MATCH("row_id",Enrichment!$A$1:$GZ$1,0)),0),MATCH("backup_work_email",Enrichment!$A$1:$GZ$1,0))&amp;"",""))</f>
        <v/>
      </c>
      <c r="BR865" s="0" t="str">
        <f aca="false">IF($A865="","",IF(BQ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EQ865" s="0" t="str">
        <f aca="false">IF($A865="","",IF(AH865="exact",10,IF(AH865="adjacent",5,0)))</f>
        <v/>
      </c>
      <c r="ER865" s="0" t="str">
        <f aca="false">IF($A865="","",IF(R865="Y",15,0))</f>
        <v/>
      </c>
      <c r="FS865" s="0" t="str">
        <f aca="false">IF($A865="","",IF(ISNUMBER(MATCH(U865,{"queued","contacted","replied","call_booked","call_done","yes_in_principle","materials_sent"},0)),"Y","N"))</f>
        <v/>
      </c>
      <c r="FT865" s="0" t="str">
        <f aca="false">IF($A865="","",IF(OR(T865="Y",U865="do_not_contact",AS865&amp;""&lt;&gt;""),"Y","N"))</f>
        <v/>
      </c>
      <c r="FU865" s="0" t="str">
        <f aca="false">IF($A865="","",IF(AP865&amp;""&lt;&gt;"",AP865&amp;"",$A865))</f>
        <v/>
      </c>
      <c r="FV865" s="0" t="str">
        <f aca="false">IF($A865="","",IF(COUNTIFS($FU$2:$FU$1000,FU865,$FS$2:$FS$1000,"Y")+COUNTIFS($FU$2:$FU$1000,FU865,$FT$2:$FT$1000,"Y")&gt;0,"Y","N"))</f>
        <v/>
      </c>
      <c r="FW865" s="0" t="str">
        <f aca="false">IF($A865="","",IF(AND(U865="new",T865="N",FT865="N",AT865="Y",FV865="N"),"Y","N"))</f>
        <v/>
      </c>
      <c r="FX865" s="0" t="str">
        <f aca="false">IF($A865="","",IF(FW865&lt;&gt;"Y","N",IF(COUNTIFS($FU$2:$FU$1000,FU865,$FW$2:$FW$1000,"Y",$J$2:$J$1000,"&gt;"&amp;J865)+COUNTIFS($FU$2:$FU$1000,FU865,$FW$2:$FW$1000,"Y",$J$2:$J$1000,J865,$GD$2:$GD$1000,"&lt;"&amp;GD865)=0,"Y","N")))</f>
        <v/>
      </c>
      <c r="FY865" s="0" t="str">
        <f aca="false">IF($A865="","",IF(AND(FW865="Y",FX865="Y",Y865&amp;""&lt;&gt;""),IF(Y865&lt;=10,"Y","N"),"N"))</f>
        <v/>
      </c>
      <c r="FZ865" s="0" t="str">
        <f aca="false">IF(FY865="Y",Y865,"")</f>
        <v/>
      </c>
      <c r="GA865" s="0" t="str">
        <f aca="false">IF($A865="","",IF(AND(I865="walk-in",CN865="pass",U865="new",FT865="N",FV865="N",AQ865&lt;&gt;"Y"),"Y","N"))</f>
        <v/>
      </c>
      <c r="GB865" s="0" t="str">
        <f aca="false">IF(GA865&lt;&gt;"Y","",IF(COUNTIFS($GA$2:$GA$1000,"Y",$J$2:$J$1000,"&gt;"&amp;J865)+COUNTIFS($GA$2:$GA$1000,"Y",$J$2:$J$1000,J865,$GD$2:$GD$1000,"&lt;"&amp;GD865)+1&lt;=25,COUNTIFS($GA$2:$GA$1000,"Y",$J$2:$J$1000,"&gt;"&amp;J865)+COUNTIFS($GA$2:$GA$1000,"Y",$J$2:$J$1000,J865,$GD$2:$GD$1000,"&lt;"&amp;GD865)+1,""))</f>
        <v/>
      </c>
      <c r="GC865" s="0" t="str">
        <f aca="false">IF(AND(_xlfn.ISFORMULA(C865),_xlfn.ISFORMULA(J865)),"Y","N")</f>
        <v>Y</v>
      </c>
      <c r="GD865" s="0" t="n">
        <f aca="false">ROW()-1</f>
        <v>864</v>
      </c>
    </row>
    <row r="866" customFormat="false" ht="15" hidden="false" customHeight="false" outlineLevel="0" collapsed="false">
      <c r="C866" s="0" t="str">
        <f aca="false">IF($A866="","",IF(AW866="Y",BM866&amp;"",AY866&amp;""))</f>
        <v/>
      </c>
      <c r="D866" s="0" t="str">
        <f aca="false">IF($A866="","",IF(AW866="Y",BN866&amp;"",AZ866&amp;""))</f>
        <v/>
      </c>
      <c r="E866" s="0" t="str">
        <f aca="false">IF($A866="","",IF(AW866="Y",BO866&amp;"",BA866&amp;""))</f>
        <v/>
      </c>
      <c r="F866" s="0" t="str">
        <f aca="false">IF($A866="","",IF(AW866="Y",BP866&amp;"",BB866&amp;""))</f>
        <v/>
      </c>
      <c r="G866" s="0" t="str">
        <f aca="false">IF($A866="","",IF(AW866="Y",BQ866&amp;"",BC866&amp;""))</f>
        <v/>
      </c>
      <c r="H866" s="0" t="str">
        <f aca="false">IF($A866="","",IF(AW866="Y",BR866&amp;"",BD866&amp;""))</f>
        <v/>
      </c>
      <c r="I866" s="0" t="str">
        <f aca="false">IF($A866="","",IF(R866="Y","warm-intro",IF(H866="verified","email",IF(C866&lt;&gt;"","linkedin",CB866&amp;""))))</f>
        <v/>
      </c>
      <c r="J866" s="0" t="str">
        <f aca="false">IF($A866="","",IF(CN866="pass",ROUND(N(EM866)+N(EN866)+N(EO866)+N(EP866)+N(EQ866)+N(ER866),1),0))</f>
        <v/>
      </c>
      <c r="K866" s="0" t="str">
        <f aca="false">IF($A866="","",IF(CN866&lt;&gt;"pass",CA866&amp;"",CA866&amp;"; "&amp;IF(AW866="Y",BZ866&amp;"",BL866&amp;"")&amp;IF(R866="Y","; known to the founder (+15)","")&amp;"."))</f>
        <v/>
      </c>
      <c r="R866" s="5"/>
      <c r="U866" s="5"/>
      <c r="Y866" s="0" t="str">
        <f aca="false">IF(FX866&lt;&gt;"Y","",COUNTIFS($FX$2:$FX$1000,"Y",$J$2:$J$1000,"&gt;"&amp;J866)+COUNTIFS($FX$2:$FX$1000,"Y",$J$2:$J$1000,J866,$GD$2:$GD$1000,"&lt;"&amp;GD866)+1)</f>
        <v/>
      </c>
      <c r="AB866" s="0" t="str">
        <f aca="false">IF($A866="","",IF(AW866="Y",BY866&amp;"",BK866&amp;""))</f>
        <v/>
      </c>
      <c r="AC866" s="0" t="str">
        <f aca="false">IF($A866="","",IF(AW866="Y",BS866&amp;"",BE866&amp;""))</f>
        <v/>
      </c>
      <c r="AD866" s="0" t="str">
        <f aca="false">IF($A866="","",IF(AW866="Y",BT866&amp;"",BF866&amp;""))</f>
        <v/>
      </c>
      <c r="AE866" s="0" t="str">
        <f aca="false">IF($A866="","",IF(AW866="Y",BU866&amp;"",BG866&amp;""))</f>
        <v/>
      </c>
      <c r="AF866" s="0" t="str">
        <f aca="false">IF($A866="","",IF(AW866="Y",BV866&amp;"",BH866&amp;""))</f>
        <v/>
      </c>
      <c r="AG866" s="0" t="str">
        <f aca="false">IF($A866="","",IF(AW866="Y",BW866&amp;"",BI866&amp;""))</f>
        <v/>
      </c>
      <c r="AH866" s="0" t="str">
        <f aca="false">IF($A866="","",IF(AW866="Y",BX866&amp;"",BJ866&amp;""))</f>
        <v/>
      </c>
      <c r="AQ866" s="5"/>
      <c r="AT866" s="0" t="str">
        <f aca="false">IF($A866="","",IF(AND(CN866="pass",AQ866&lt;&gt;"Y",C866&lt;&gt;"",OR(AX866&lt;&gt;"Y",AV866="Y")),"Y","N"))</f>
        <v/>
      </c>
      <c r="AU866" s="0" t="str">
        <f aca="false">IF($A866="","",_xlfn.TEXTJOIN("; ",TRUE(),IF(CN866&lt;&gt;"pass","gated out",""),IF(AQ866="Y","on hold: "&amp;AR866,""),IF(C866="","no contact named on an opened page",""),IF(AND(AX866="Y",AV866&lt;&gt;"Y"),"Tuesday estimate band "&amp;L866&amp;": founder's call","")))</f>
        <v/>
      </c>
      <c r="BC866" s="0" t="str">
        <f aca="false">IF($A866="","",IFERROR(INDEX(Enrichment!$A$2:$GZ$2000,MATCH($A866,INDEX(Enrichment!$A$2:$GZ$2000,0,MATCH("row_id",Enrichment!$A$1:$GZ$1,0)),0),MATCH("work_email",Enrichment!$A$1:$GZ$1,0))&amp;"",""))</f>
        <v/>
      </c>
      <c r="BD866" s="0" t="str">
        <f aca="false">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Q866" s="0" t="str">
        <f aca="false">IF($A866="","",IFERROR(INDEX(Enrichment!$A$2:$GZ$2000,MATCH($A866,INDEX(Enrichment!$A$2:$GZ$2000,0,MATCH("row_id",Enrichment!$A$1:$GZ$1,0)),0),MATCH("backup_work_email",Enrichment!$A$1:$GZ$1,0))&amp;"",""))</f>
        <v/>
      </c>
      <c r="BR866" s="0" t="str">
        <f aca="false">IF($A866="","",IF(BQ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EQ866" s="0" t="str">
        <f aca="false">IF($A866="","",IF(AH866="exact",10,IF(AH866="adjacent",5,0)))</f>
        <v/>
      </c>
      <c r="ER866" s="0" t="str">
        <f aca="false">IF($A866="","",IF(R866="Y",15,0))</f>
        <v/>
      </c>
      <c r="FS866" s="0" t="str">
        <f aca="false">IF($A866="","",IF(ISNUMBER(MATCH(U866,{"queued","contacted","replied","call_booked","call_done","yes_in_principle","materials_sent"},0)),"Y","N"))</f>
        <v/>
      </c>
      <c r="FT866" s="0" t="str">
        <f aca="false">IF($A866="","",IF(OR(T866="Y",U866="do_not_contact",AS866&amp;""&lt;&gt;""),"Y","N"))</f>
        <v/>
      </c>
      <c r="FU866" s="0" t="str">
        <f aca="false">IF($A866="","",IF(AP866&amp;""&lt;&gt;"",AP866&amp;"",$A866))</f>
        <v/>
      </c>
      <c r="FV866" s="0" t="str">
        <f aca="false">IF($A866="","",IF(COUNTIFS($FU$2:$FU$1000,FU866,$FS$2:$FS$1000,"Y")+COUNTIFS($FU$2:$FU$1000,FU866,$FT$2:$FT$1000,"Y")&gt;0,"Y","N"))</f>
        <v/>
      </c>
      <c r="FW866" s="0" t="str">
        <f aca="false">IF($A866="","",IF(AND(U866="new",T866="N",FT866="N",AT866="Y",FV866="N"),"Y","N"))</f>
        <v/>
      </c>
      <c r="FX866" s="0" t="str">
        <f aca="false">IF($A866="","",IF(FW866&lt;&gt;"Y","N",IF(COUNTIFS($FU$2:$FU$1000,FU866,$FW$2:$FW$1000,"Y",$J$2:$J$1000,"&gt;"&amp;J866)+COUNTIFS($FU$2:$FU$1000,FU866,$FW$2:$FW$1000,"Y",$J$2:$J$1000,J866,$GD$2:$GD$1000,"&lt;"&amp;GD866)=0,"Y","N")))</f>
        <v/>
      </c>
      <c r="FY866" s="0" t="str">
        <f aca="false">IF($A866="","",IF(AND(FW866="Y",FX866="Y",Y866&amp;""&lt;&gt;""),IF(Y866&lt;=10,"Y","N"),"N"))</f>
        <v/>
      </c>
      <c r="FZ866" s="0" t="str">
        <f aca="false">IF(FY866="Y",Y866,"")</f>
        <v/>
      </c>
      <c r="GA866" s="0" t="str">
        <f aca="false">IF($A866="","",IF(AND(I866="walk-in",CN866="pass",U866="new",FT866="N",FV866="N",AQ866&lt;&gt;"Y"),"Y","N"))</f>
        <v/>
      </c>
      <c r="GB866" s="0" t="str">
        <f aca="false">IF(GA866&lt;&gt;"Y","",IF(COUNTIFS($GA$2:$GA$1000,"Y",$J$2:$J$1000,"&gt;"&amp;J866)+COUNTIFS($GA$2:$GA$1000,"Y",$J$2:$J$1000,J866,$GD$2:$GD$1000,"&lt;"&amp;GD866)+1&lt;=25,COUNTIFS($GA$2:$GA$1000,"Y",$J$2:$J$1000,"&gt;"&amp;J866)+COUNTIFS($GA$2:$GA$1000,"Y",$J$2:$J$1000,J866,$GD$2:$GD$1000,"&lt;"&amp;GD866)+1,""))</f>
        <v/>
      </c>
      <c r="GC866" s="0" t="str">
        <f aca="false">IF(AND(_xlfn.ISFORMULA(C866),_xlfn.ISFORMULA(J866)),"Y","N")</f>
        <v>Y</v>
      </c>
      <c r="GD866" s="0" t="n">
        <f aca="false">ROW()-1</f>
        <v>865</v>
      </c>
    </row>
    <row r="867" customFormat="false" ht="15" hidden="false" customHeight="false" outlineLevel="0" collapsed="false">
      <c r="C867" s="0" t="str">
        <f aca="false">IF($A867="","",IF(AW867="Y",BM867&amp;"",AY867&amp;""))</f>
        <v/>
      </c>
      <c r="D867" s="0" t="str">
        <f aca="false">IF($A867="","",IF(AW867="Y",BN867&amp;"",AZ867&amp;""))</f>
        <v/>
      </c>
      <c r="E867" s="0" t="str">
        <f aca="false">IF($A867="","",IF(AW867="Y",BO867&amp;"",BA867&amp;""))</f>
        <v/>
      </c>
      <c r="F867" s="0" t="str">
        <f aca="false">IF($A867="","",IF(AW867="Y",BP867&amp;"",BB867&amp;""))</f>
        <v/>
      </c>
      <c r="G867" s="0" t="str">
        <f aca="false">IF($A867="","",IF(AW867="Y",BQ867&amp;"",BC867&amp;""))</f>
        <v/>
      </c>
      <c r="H867" s="0" t="str">
        <f aca="false">IF($A867="","",IF(AW867="Y",BR867&amp;"",BD867&amp;""))</f>
        <v/>
      </c>
      <c r="I867" s="0" t="str">
        <f aca="false">IF($A867="","",IF(R867="Y","warm-intro",IF(H867="verified","email",IF(C867&lt;&gt;"","linkedin",CB867&amp;""))))</f>
        <v/>
      </c>
      <c r="J867" s="0" t="str">
        <f aca="false">IF($A867="","",IF(CN867="pass",ROUND(N(EM867)+N(EN867)+N(EO867)+N(EP867)+N(EQ867)+N(ER867),1),0))</f>
        <v/>
      </c>
      <c r="K867" s="0" t="str">
        <f aca="false">IF($A867="","",IF(CN867&lt;&gt;"pass",CA867&amp;"",CA867&amp;"; "&amp;IF(AW867="Y",BZ867&amp;"",BL867&amp;"")&amp;IF(R867="Y","; known to the founder (+15)","")&amp;"."))</f>
        <v/>
      </c>
      <c r="R867" s="5"/>
      <c r="U867" s="5"/>
      <c r="Y867" s="0" t="str">
        <f aca="false">IF(FX867&lt;&gt;"Y","",COUNTIFS($FX$2:$FX$1000,"Y",$J$2:$J$1000,"&gt;"&amp;J867)+COUNTIFS($FX$2:$FX$1000,"Y",$J$2:$J$1000,J867,$GD$2:$GD$1000,"&lt;"&amp;GD867)+1)</f>
        <v/>
      </c>
      <c r="AB867" s="0" t="str">
        <f aca="false">IF($A867="","",IF(AW867="Y",BY867&amp;"",BK867&amp;""))</f>
        <v/>
      </c>
      <c r="AC867" s="0" t="str">
        <f aca="false">IF($A867="","",IF(AW867="Y",BS867&amp;"",BE867&amp;""))</f>
        <v/>
      </c>
      <c r="AD867" s="0" t="str">
        <f aca="false">IF($A867="","",IF(AW867="Y",BT867&amp;"",BF867&amp;""))</f>
        <v/>
      </c>
      <c r="AE867" s="0" t="str">
        <f aca="false">IF($A867="","",IF(AW867="Y",BU867&amp;"",BG867&amp;""))</f>
        <v/>
      </c>
      <c r="AF867" s="0" t="str">
        <f aca="false">IF($A867="","",IF(AW867="Y",BV867&amp;"",BH867&amp;""))</f>
        <v/>
      </c>
      <c r="AG867" s="0" t="str">
        <f aca="false">IF($A867="","",IF(AW867="Y",BW867&amp;"",BI867&amp;""))</f>
        <v/>
      </c>
      <c r="AH867" s="0" t="str">
        <f aca="false">IF($A867="","",IF(AW867="Y",BX867&amp;"",BJ867&amp;""))</f>
        <v/>
      </c>
      <c r="AQ867" s="5"/>
      <c r="AT867" s="0" t="str">
        <f aca="false">IF($A867="","",IF(AND(CN867="pass",AQ867&lt;&gt;"Y",C867&lt;&gt;"",OR(AX867&lt;&gt;"Y",AV867="Y")),"Y","N"))</f>
        <v/>
      </c>
      <c r="AU867" s="0" t="str">
        <f aca="false">IF($A867="","",_xlfn.TEXTJOIN("; ",TRUE(),IF(CN867&lt;&gt;"pass","gated out",""),IF(AQ867="Y","on hold: "&amp;AR867,""),IF(C867="","no contact named on an opened page",""),IF(AND(AX867="Y",AV867&lt;&gt;"Y"),"Tuesday estimate band "&amp;L867&amp;": founder's call","")))</f>
        <v/>
      </c>
      <c r="BC867" s="0" t="str">
        <f aca="false">IF($A867="","",IFERROR(INDEX(Enrichment!$A$2:$GZ$2000,MATCH($A867,INDEX(Enrichment!$A$2:$GZ$2000,0,MATCH("row_id",Enrichment!$A$1:$GZ$1,0)),0),MATCH("work_email",Enrichment!$A$1:$GZ$1,0))&amp;"",""))</f>
        <v/>
      </c>
      <c r="BD867" s="0" t="str">
        <f aca="false">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Q867" s="0" t="str">
        <f aca="false">IF($A867="","",IFERROR(INDEX(Enrichment!$A$2:$GZ$2000,MATCH($A867,INDEX(Enrichment!$A$2:$GZ$2000,0,MATCH("row_id",Enrichment!$A$1:$GZ$1,0)),0),MATCH("backup_work_email",Enrichment!$A$1:$GZ$1,0))&amp;"",""))</f>
        <v/>
      </c>
      <c r="BR867" s="0" t="str">
        <f aca="false">IF($A867="","",IF(BQ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EQ867" s="0" t="str">
        <f aca="false">IF($A867="","",IF(AH867="exact",10,IF(AH867="adjacent",5,0)))</f>
        <v/>
      </c>
      <c r="ER867" s="0" t="str">
        <f aca="false">IF($A867="","",IF(R867="Y",15,0))</f>
        <v/>
      </c>
      <c r="FS867" s="0" t="str">
        <f aca="false">IF($A867="","",IF(ISNUMBER(MATCH(U867,{"queued","contacted","replied","call_booked","call_done","yes_in_principle","materials_sent"},0)),"Y","N"))</f>
        <v/>
      </c>
      <c r="FT867" s="0" t="str">
        <f aca="false">IF($A867="","",IF(OR(T867="Y",U867="do_not_contact",AS867&amp;""&lt;&gt;""),"Y","N"))</f>
        <v/>
      </c>
      <c r="FU867" s="0" t="str">
        <f aca="false">IF($A867="","",IF(AP867&amp;""&lt;&gt;"",AP867&amp;"",$A867))</f>
        <v/>
      </c>
      <c r="FV867" s="0" t="str">
        <f aca="false">IF($A867="","",IF(COUNTIFS($FU$2:$FU$1000,FU867,$FS$2:$FS$1000,"Y")+COUNTIFS($FU$2:$FU$1000,FU867,$FT$2:$FT$1000,"Y")&gt;0,"Y","N"))</f>
        <v/>
      </c>
      <c r="FW867" s="0" t="str">
        <f aca="false">IF($A867="","",IF(AND(U867="new",T867="N",FT867="N",AT867="Y",FV867="N"),"Y","N"))</f>
        <v/>
      </c>
      <c r="FX867" s="0" t="str">
        <f aca="false">IF($A867="","",IF(FW867&lt;&gt;"Y","N",IF(COUNTIFS($FU$2:$FU$1000,FU867,$FW$2:$FW$1000,"Y",$J$2:$J$1000,"&gt;"&amp;J867)+COUNTIFS($FU$2:$FU$1000,FU867,$FW$2:$FW$1000,"Y",$J$2:$J$1000,J867,$GD$2:$GD$1000,"&lt;"&amp;GD867)=0,"Y","N")))</f>
        <v/>
      </c>
      <c r="FY867" s="0" t="str">
        <f aca="false">IF($A867="","",IF(AND(FW867="Y",FX867="Y",Y867&amp;""&lt;&gt;""),IF(Y867&lt;=10,"Y","N"),"N"))</f>
        <v/>
      </c>
      <c r="FZ867" s="0" t="str">
        <f aca="false">IF(FY867="Y",Y867,"")</f>
        <v/>
      </c>
      <c r="GA867" s="0" t="str">
        <f aca="false">IF($A867="","",IF(AND(I867="walk-in",CN867="pass",U867="new",FT867="N",FV867="N",AQ867&lt;&gt;"Y"),"Y","N"))</f>
        <v/>
      </c>
      <c r="GB867" s="0" t="str">
        <f aca="false">IF(GA867&lt;&gt;"Y","",IF(COUNTIFS($GA$2:$GA$1000,"Y",$J$2:$J$1000,"&gt;"&amp;J867)+COUNTIFS($GA$2:$GA$1000,"Y",$J$2:$J$1000,J867,$GD$2:$GD$1000,"&lt;"&amp;GD867)+1&lt;=25,COUNTIFS($GA$2:$GA$1000,"Y",$J$2:$J$1000,"&gt;"&amp;J867)+COUNTIFS($GA$2:$GA$1000,"Y",$J$2:$J$1000,J867,$GD$2:$GD$1000,"&lt;"&amp;GD867)+1,""))</f>
        <v/>
      </c>
      <c r="GC867" s="0" t="str">
        <f aca="false">IF(AND(_xlfn.ISFORMULA(C867),_xlfn.ISFORMULA(J867)),"Y","N")</f>
        <v>Y</v>
      </c>
      <c r="GD867" s="0" t="n">
        <f aca="false">ROW()-1</f>
        <v>866</v>
      </c>
    </row>
    <row r="868" customFormat="false" ht="15" hidden="false" customHeight="false" outlineLevel="0" collapsed="false">
      <c r="C868" s="0" t="str">
        <f aca="false">IF($A868="","",IF(AW868="Y",BM868&amp;"",AY868&amp;""))</f>
        <v/>
      </c>
      <c r="D868" s="0" t="str">
        <f aca="false">IF($A868="","",IF(AW868="Y",BN868&amp;"",AZ868&amp;""))</f>
        <v/>
      </c>
      <c r="E868" s="0" t="str">
        <f aca="false">IF($A868="","",IF(AW868="Y",BO868&amp;"",BA868&amp;""))</f>
        <v/>
      </c>
      <c r="F868" s="0" t="str">
        <f aca="false">IF($A868="","",IF(AW868="Y",BP868&amp;"",BB868&amp;""))</f>
        <v/>
      </c>
      <c r="G868" s="0" t="str">
        <f aca="false">IF($A868="","",IF(AW868="Y",BQ868&amp;"",BC868&amp;""))</f>
        <v/>
      </c>
      <c r="H868" s="0" t="str">
        <f aca="false">IF($A868="","",IF(AW868="Y",BR868&amp;"",BD868&amp;""))</f>
        <v/>
      </c>
      <c r="I868" s="0" t="str">
        <f aca="false">IF($A868="","",IF(R868="Y","warm-intro",IF(H868="verified","email",IF(C868&lt;&gt;"","linkedin",CB868&amp;""))))</f>
        <v/>
      </c>
      <c r="J868" s="0" t="str">
        <f aca="false">IF($A868="","",IF(CN868="pass",ROUND(N(EM868)+N(EN868)+N(EO868)+N(EP868)+N(EQ868)+N(ER868),1),0))</f>
        <v/>
      </c>
      <c r="K868" s="0" t="str">
        <f aca="false">IF($A868="","",IF(CN868&lt;&gt;"pass",CA868&amp;"",CA868&amp;"; "&amp;IF(AW868="Y",BZ868&amp;"",BL868&amp;"")&amp;IF(R868="Y","; known to the founder (+15)","")&amp;"."))</f>
        <v/>
      </c>
      <c r="R868" s="5"/>
      <c r="U868" s="5"/>
      <c r="Y868" s="0" t="str">
        <f aca="false">IF(FX868&lt;&gt;"Y","",COUNTIFS($FX$2:$FX$1000,"Y",$J$2:$J$1000,"&gt;"&amp;J868)+COUNTIFS($FX$2:$FX$1000,"Y",$J$2:$J$1000,J868,$GD$2:$GD$1000,"&lt;"&amp;GD868)+1)</f>
        <v/>
      </c>
      <c r="AB868" s="0" t="str">
        <f aca="false">IF($A868="","",IF(AW868="Y",BY868&amp;"",BK868&amp;""))</f>
        <v/>
      </c>
      <c r="AC868" s="0" t="str">
        <f aca="false">IF($A868="","",IF(AW868="Y",BS868&amp;"",BE868&amp;""))</f>
        <v/>
      </c>
      <c r="AD868" s="0" t="str">
        <f aca="false">IF($A868="","",IF(AW868="Y",BT868&amp;"",BF868&amp;""))</f>
        <v/>
      </c>
      <c r="AE868" s="0" t="str">
        <f aca="false">IF($A868="","",IF(AW868="Y",BU868&amp;"",BG868&amp;""))</f>
        <v/>
      </c>
      <c r="AF868" s="0" t="str">
        <f aca="false">IF($A868="","",IF(AW868="Y",BV868&amp;"",BH868&amp;""))</f>
        <v/>
      </c>
      <c r="AG868" s="0" t="str">
        <f aca="false">IF($A868="","",IF(AW868="Y",BW868&amp;"",BI868&amp;""))</f>
        <v/>
      </c>
      <c r="AH868" s="0" t="str">
        <f aca="false">IF($A868="","",IF(AW868="Y",BX868&amp;"",BJ868&amp;""))</f>
        <v/>
      </c>
      <c r="AQ868" s="5"/>
      <c r="AT868" s="0" t="str">
        <f aca="false">IF($A868="","",IF(AND(CN868="pass",AQ868&lt;&gt;"Y",C868&lt;&gt;"",OR(AX868&lt;&gt;"Y",AV868="Y")),"Y","N"))</f>
        <v/>
      </c>
      <c r="AU868" s="0" t="str">
        <f aca="false">IF($A868="","",_xlfn.TEXTJOIN("; ",TRUE(),IF(CN868&lt;&gt;"pass","gated out",""),IF(AQ868="Y","on hold: "&amp;AR868,""),IF(C868="","no contact named on an opened page",""),IF(AND(AX868="Y",AV868&lt;&gt;"Y"),"Tuesday estimate band "&amp;L868&amp;": founder's call","")))</f>
        <v/>
      </c>
      <c r="BC868" s="0" t="str">
        <f aca="false">IF($A868="","",IFERROR(INDEX(Enrichment!$A$2:$GZ$2000,MATCH($A868,INDEX(Enrichment!$A$2:$GZ$2000,0,MATCH("row_id",Enrichment!$A$1:$GZ$1,0)),0),MATCH("work_email",Enrichment!$A$1:$GZ$1,0))&amp;"",""))</f>
        <v/>
      </c>
      <c r="BD868" s="0" t="str">
        <f aca="false">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Q868" s="0" t="str">
        <f aca="false">IF($A868="","",IFERROR(INDEX(Enrichment!$A$2:$GZ$2000,MATCH($A868,INDEX(Enrichment!$A$2:$GZ$2000,0,MATCH("row_id",Enrichment!$A$1:$GZ$1,0)),0),MATCH("backup_work_email",Enrichment!$A$1:$GZ$1,0))&amp;"",""))</f>
        <v/>
      </c>
      <c r="BR868" s="0" t="str">
        <f aca="false">IF($A868="","",IF(BQ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EQ868" s="0" t="str">
        <f aca="false">IF($A868="","",IF(AH868="exact",10,IF(AH868="adjacent",5,0)))</f>
        <v/>
      </c>
      <c r="ER868" s="0" t="str">
        <f aca="false">IF($A868="","",IF(R868="Y",15,0))</f>
        <v/>
      </c>
      <c r="FS868" s="0" t="str">
        <f aca="false">IF($A868="","",IF(ISNUMBER(MATCH(U868,{"queued","contacted","replied","call_booked","call_done","yes_in_principle","materials_sent"},0)),"Y","N"))</f>
        <v/>
      </c>
      <c r="FT868" s="0" t="str">
        <f aca="false">IF($A868="","",IF(OR(T868="Y",U868="do_not_contact",AS868&amp;""&lt;&gt;""),"Y","N"))</f>
        <v/>
      </c>
      <c r="FU868" s="0" t="str">
        <f aca="false">IF($A868="","",IF(AP868&amp;""&lt;&gt;"",AP868&amp;"",$A868))</f>
        <v/>
      </c>
      <c r="FV868" s="0" t="str">
        <f aca="false">IF($A868="","",IF(COUNTIFS($FU$2:$FU$1000,FU868,$FS$2:$FS$1000,"Y")+COUNTIFS($FU$2:$FU$1000,FU868,$FT$2:$FT$1000,"Y")&gt;0,"Y","N"))</f>
        <v/>
      </c>
      <c r="FW868" s="0" t="str">
        <f aca="false">IF($A868="","",IF(AND(U868="new",T868="N",FT868="N",AT868="Y",FV868="N"),"Y","N"))</f>
        <v/>
      </c>
      <c r="FX868" s="0" t="str">
        <f aca="false">IF($A868="","",IF(FW868&lt;&gt;"Y","N",IF(COUNTIFS($FU$2:$FU$1000,FU868,$FW$2:$FW$1000,"Y",$J$2:$J$1000,"&gt;"&amp;J868)+COUNTIFS($FU$2:$FU$1000,FU868,$FW$2:$FW$1000,"Y",$J$2:$J$1000,J868,$GD$2:$GD$1000,"&lt;"&amp;GD868)=0,"Y","N")))</f>
        <v/>
      </c>
      <c r="FY868" s="0" t="str">
        <f aca="false">IF($A868="","",IF(AND(FW868="Y",FX868="Y",Y868&amp;""&lt;&gt;""),IF(Y868&lt;=10,"Y","N"),"N"))</f>
        <v/>
      </c>
      <c r="FZ868" s="0" t="str">
        <f aca="false">IF(FY868="Y",Y868,"")</f>
        <v/>
      </c>
      <c r="GA868" s="0" t="str">
        <f aca="false">IF($A868="","",IF(AND(I868="walk-in",CN868="pass",U868="new",FT868="N",FV868="N",AQ868&lt;&gt;"Y"),"Y","N"))</f>
        <v/>
      </c>
      <c r="GB868" s="0" t="str">
        <f aca="false">IF(GA868&lt;&gt;"Y","",IF(COUNTIFS($GA$2:$GA$1000,"Y",$J$2:$J$1000,"&gt;"&amp;J868)+COUNTIFS($GA$2:$GA$1000,"Y",$J$2:$J$1000,J868,$GD$2:$GD$1000,"&lt;"&amp;GD868)+1&lt;=25,COUNTIFS($GA$2:$GA$1000,"Y",$J$2:$J$1000,"&gt;"&amp;J868)+COUNTIFS($GA$2:$GA$1000,"Y",$J$2:$J$1000,J868,$GD$2:$GD$1000,"&lt;"&amp;GD868)+1,""))</f>
        <v/>
      </c>
      <c r="GC868" s="0" t="str">
        <f aca="false">IF(AND(_xlfn.ISFORMULA(C868),_xlfn.ISFORMULA(J868)),"Y","N")</f>
        <v>Y</v>
      </c>
      <c r="GD868" s="0" t="n">
        <f aca="false">ROW()-1</f>
        <v>867</v>
      </c>
    </row>
    <row r="869" customFormat="false" ht="15" hidden="false" customHeight="false" outlineLevel="0" collapsed="false">
      <c r="C869" s="0" t="str">
        <f aca="false">IF($A869="","",IF(AW869="Y",BM869&amp;"",AY869&amp;""))</f>
        <v/>
      </c>
      <c r="D869" s="0" t="str">
        <f aca="false">IF($A869="","",IF(AW869="Y",BN869&amp;"",AZ869&amp;""))</f>
        <v/>
      </c>
      <c r="E869" s="0" t="str">
        <f aca="false">IF($A869="","",IF(AW869="Y",BO869&amp;"",BA869&amp;""))</f>
        <v/>
      </c>
      <c r="F869" s="0" t="str">
        <f aca="false">IF($A869="","",IF(AW869="Y",BP869&amp;"",BB869&amp;""))</f>
        <v/>
      </c>
      <c r="G869" s="0" t="str">
        <f aca="false">IF($A869="","",IF(AW869="Y",BQ869&amp;"",BC869&amp;""))</f>
        <v/>
      </c>
      <c r="H869" s="0" t="str">
        <f aca="false">IF($A869="","",IF(AW869="Y",BR869&amp;"",BD869&amp;""))</f>
        <v/>
      </c>
      <c r="I869" s="0" t="str">
        <f aca="false">IF($A869="","",IF(R869="Y","warm-intro",IF(H869="verified","email",IF(C869&lt;&gt;"","linkedin",CB869&amp;""))))</f>
        <v/>
      </c>
      <c r="J869" s="0" t="str">
        <f aca="false">IF($A869="","",IF(CN869="pass",ROUND(N(EM869)+N(EN869)+N(EO869)+N(EP869)+N(EQ869)+N(ER869),1),0))</f>
        <v/>
      </c>
      <c r="K869" s="0" t="str">
        <f aca="false">IF($A869="","",IF(CN869&lt;&gt;"pass",CA869&amp;"",CA869&amp;"; "&amp;IF(AW869="Y",BZ869&amp;"",BL869&amp;"")&amp;IF(R869="Y","; known to the founder (+15)","")&amp;"."))</f>
        <v/>
      </c>
      <c r="R869" s="5"/>
      <c r="U869" s="5"/>
      <c r="Y869" s="0" t="str">
        <f aca="false">IF(FX869&lt;&gt;"Y","",COUNTIFS($FX$2:$FX$1000,"Y",$J$2:$J$1000,"&gt;"&amp;J869)+COUNTIFS($FX$2:$FX$1000,"Y",$J$2:$J$1000,J869,$GD$2:$GD$1000,"&lt;"&amp;GD869)+1)</f>
        <v/>
      </c>
      <c r="AB869" s="0" t="str">
        <f aca="false">IF($A869="","",IF(AW869="Y",BY869&amp;"",BK869&amp;""))</f>
        <v/>
      </c>
      <c r="AC869" s="0" t="str">
        <f aca="false">IF($A869="","",IF(AW869="Y",BS869&amp;"",BE869&amp;""))</f>
        <v/>
      </c>
      <c r="AD869" s="0" t="str">
        <f aca="false">IF($A869="","",IF(AW869="Y",BT869&amp;"",BF869&amp;""))</f>
        <v/>
      </c>
      <c r="AE869" s="0" t="str">
        <f aca="false">IF($A869="","",IF(AW869="Y",BU869&amp;"",BG869&amp;""))</f>
        <v/>
      </c>
      <c r="AF869" s="0" t="str">
        <f aca="false">IF($A869="","",IF(AW869="Y",BV869&amp;"",BH869&amp;""))</f>
        <v/>
      </c>
      <c r="AG869" s="0" t="str">
        <f aca="false">IF($A869="","",IF(AW869="Y",BW869&amp;"",BI869&amp;""))</f>
        <v/>
      </c>
      <c r="AH869" s="0" t="str">
        <f aca="false">IF($A869="","",IF(AW869="Y",BX869&amp;"",BJ869&amp;""))</f>
        <v/>
      </c>
      <c r="AQ869" s="5"/>
      <c r="AT869" s="0" t="str">
        <f aca="false">IF($A869="","",IF(AND(CN869="pass",AQ869&lt;&gt;"Y",C869&lt;&gt;"",OR(AX869&lt;&gt;"Y",AV869="Y")),"Y","N"))</f>
        <v/>
      </c>
      <c r="AU869" s="0" t="str">
        <f aca="false">IF($A869="","",_xlfn.TEXTJOIN("; ",TRUE(),IF(CN869&lt;&gt;"pass","gated out",""),IF(AQ869="Y","on hold: "&amp;AR869,""),IF(C869="","no contact named on an opened page",""),IF(AND(AX869="Y",AV869&lt;&gt;"Y"),"Tuesday estimate band "&amp;L869&amp;": founder's call","")))</f>
        <v/>
      </c>
      <c r="BC869" s="0" t="str">
        <f aca="false">IF($A869="","",IFERROR(INDEX(Enrichment!$A$2:$GZ$2000,MATCH($A869,INDEX(Enrichment!$A$2:$GZ$2000,0,MATCH("row_id",Enrichment!$A$1:$GZ$1,0)),0),MATCH("work_email",Enrichment!$A$1:$GZ$1,0))&amp;"",""))</f>
        <v/>
      </c>
      <c r="BD869" s="0" t="str">
        <f aca="false">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Q869" s="0" t="str">
        <f aca="false">IF($A869="","",IFERROR(INDEX(Enrichment!$A$2:$GZ$2000,MATCH($A869,INDEX(Enrichment!$A$2:$GZ$2000,0,MATCH("row_id",Enrichment!$A$1:$GZ$1,0)),0),MATCH("backup_work_email",Enrichment!$A$1:$GZ$1,0))&amp;"",""))</f>
        <v/>
      </c>
      <c r="BR869" s="0" t="str">
        <f aca="false">IF($A869="","",IF(BQ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EQ869" s="0" t="str">
        <f aca="false">IF($A869="","",IF(AH869="exact",10,IF(AH869="adjacent",5,0)))</f>
        <v/>
      </c>
      <c r="ER869" s="0" t="str">
        <f aca="false">IF($A869="","",IF(R869="Y",15,0))</f>
        <v/>
      </c>
      <c r="FS869" s="0" t="str">
        <f aca="false">IF($A869="","",IF(ISNUMBER(MATCH(U869,{"queued","contacted","replied","call_booked","call_done","yes_in_principle","materials_sent"},0)),"Y","N"))</f>
        <v/>
      </c>
      <c r="FT869" s="0" t="str">
        <f aca="false">IF($A869="","",IF(OR(T869="Y",U869="do_not_contact",AS869&amp;""&lt;&gt;""),"Y","N"))</f>
        <v/>
      </c>
      <c r="FU869" s="0" t="str">
        <f aca="false">IF($A869="","",IF(AP869&amp;""&lt;&gt;"",AP869&amp;"",$A869))</f>
        <v/>
      </c>
      <c r="FV869" s="0" t="str">
        <f aca="false">IF($A869="","",IF(COUNTIFS($FU$2:$FU$1000,FU869,$FS$2:$FS$1000,"Y")+COUNTIFS($FU$2:$FU$1000,FU869,$FT$2:$FT$1000,"Y")&gt;0,"Y","N"))</f>
        <v/>
      </c>
      <c r="FW869" s="0" t="str">
        <f aca="false">IF($A869="","",IF(AND(U869="new",T869="N",FT869="N",AT869="Y",FV869="N"),"Y","N"))</f>
        <v/>
      </c>
      <c r="FX869" s="0" t="str">
        <f aca="false">IF($A869="","",IF(FW869&lt;&gt;"Y","N",IF(COUNTIFS($FU$2:$FU$1000,FU869,$FW$2:$FW$1000,"Y",$J$2:$J$1000,"&gt;"&amp;J869)+COUNTIFS($FU$2:$FU$1000,FU869,$FW$2:$FW$1000,"Y",$J$2:$J$1000,J869,$GD$2:$GD$1000,"&lt;"&amp;GD869)=0,"Y","N")))</f>
        <v/>
      </c>
      <c r="FY869" s="0" t="str">
        <f aca="false">IF($A869="","",IF(AND(FW869="Y",FX869="Y",Y869&amp;""&lt;&gt;""),IF(Y869&lt;=10,"Y","N"),"N"))</f>
        <v/>
      </c>
      <c r="FZ869" s="0" t="str">
        <f aca="false">IF(FY869="Y",Y869,"")</f>
        <v/>
      </c>
      <c r="GA869" s="0" t="str">
        <f aca="false">IF($A869="","",IF(AND(I869="walk-in",CN869="pass",U869="new",FT869="N",FV869="N",AQ869&lt;&gt;"Y"),"Y","N"))</f>
        <v/>
      </c>
      <c r="GB869" s="0" t="str">
        <f aca="false">IF(GA869&lt;&gt;"Y","",IF(COUNTIFS($GA$2:$GA$1000,"Y",$J$2:$J$1000,"&gt;"&amp;J869)+COUNTIFS($GA$2:$GA$1000,"Y",$J$2:$J$1000,J869,$GD$2:$GD$1000,"&lt;"&amp;GD869)+1&lt;=25,COUNTIFS($GA$2:$GA$1000,"Y",$J$2:$J$1000,"&gt;"&amp;J869)+COUNTIFS($GA$2:$GA$1000,"Y",$J$2:$J$1000,J869,$GD$2:$GD$1000,"&lt;"&amp;GD869)+1,""))</f>
        <v/>
      </c>
      <c r="GC869" s="0" t="str">
        <f aca="false">IF(AND(_xlfn.ISFORMULA(C869),_xlfn.ISFORMULA(J869)),"Y","N")</f>
        <v>Y</v>
      </c>
      <c r="GD869" s="0" t="n">
        <f aca="false">ROW()-1</f>
        <v>868</v>
      </c>
    </row>
    <row r="870" customFormat="false" ht="15" hidden="false" customHeight="false" outlineLevel="0" collapsed="false">
      <c r="C870" s="0" t="str">
        <f aca="false">IF($A870="","",IF(AW870="Y",BM870&amp;"",AY870&amp;""))</f>
        <v/>
      </c>
      <c r="D870" s="0" t="str">
        <f aca="false">IF($A870="","",IF(AW870="Y",BN870&amp;"",AZ870&amp;""))</f>
        <v/>
      </c>
      <c r="E870" s="0" t="str">
        <f aca="false">IF($A870="","",IF(AW870="Y",BO870&amp;"",BA870&amp;""))</f>
        <v/>
      </c>
      <c r="F870" s="0" t="str">
        <f aca="false">IF($A870="","",IF(AW870="Y",BP870&amp;"",BB870&amp;""))</f>
        <v/>
      </c>
      <c r="G870" s="0" t="str">
        <f aca="false">IF($A870="","",IF(AW870="Y",BQ870&amp;"",BC870&amp;""))</f>
        <v/>
      </c>
      <c r="H870" s="0" t="str">
        <f aca="false">IF($A870="","",IF(AW870="Y",BR870&amp;"",BD870&amp;""))</f>
        <v/>
      </c>
      <c r="I870" s="0" t="str">
        <f aca="false">IF($A870="","",IF(R870="Y","warm-intro",IF(H870="verified","email",IF(C870&lt;&gt;"","linkedin",CB870&amp;""))))</f>
        <v/>
      </c>
      <c r="J870" s="0" t="str">
        <f aca="false">IF($A870="","",IF(CN870="pass",ROUND(N(EM870)+N(EN870)+N(EO870)+N(EP870)+N(EQ870)+N(ER870),1),0))</f>
        <v/>
      </c>
      <c r="K870" s="0" t="str">
        <f aca="false">IF($A870="","",IF(CN870&lt;&gt;"pass",CA870&amp;"",CA870&amp;"; "&amp;IF(AW870="Y",BZ870&amp;"",BL870&amp;"")&amp;IF(R870="Y","; known to the founder (+15)","")&amp;"."))</f>
        <v/>
      </c>
      <c r="R870" s="5"/>
      <c r="U870" s="5"/>
      <c r="Y870" s="0" t="str">
        <f aca="false">IF(FX870&lt;&gt;"Y","",COUNTIFS($FX$2:$FX$1000,"Y",$J$2:$J$1000,"&gt;"&amp;J870)+COUNTIFS($FX$2:$FX$1000,"Y",$J$2:$J$1000,J870,$GD$2:$GD$1000,"&lt;"&amp;GD870)+1)</f>
        <v/>
      </c>
      <c r="AB870" s="0" t="str">
        <f aca="false">IF($A870="","",IF(AW870="Y",BY870&amp;"",BK870&amp;""))</f>
        <v/>
      </c>
      <c r="AC870" s="0" t="str">
        <f aca="false">IF($A870="","",IF(AW870="Y",BS870&amp;"",BE870&amp;""))</f>
        <v/>
      </c>
      <c r="AD870" s="0" t="str">
        <f aca="false">IF($A870="","",IF(AW870="Y",BT870&amp;"",BF870&amp;""))</f>
        <v/>
      </c>
      <c r="AE870" s="0" t="str">
        <f aca="false">IF($A870="","",IF(AW870="Y",BU870&amp;"",BG870&amp;""))</f>
        <v/>
      </c>
      <c r="AF870" s="0" t="str">
        <f aca="false">IF($A870="","",IF(AW870="Y",BV870&amp;"",BH870&amp;""))</f>
        <v/>
      </c>
      <c r="AG870" s="0" t="str">
        <f aca="false">IF($A870="","",IF(AW870="Y",BW870&amp;"",BI870&amp;""))</f>
        <v/>
      </c>
      <c r="AH870" s="0" t="str">
        <f aca="false">IF($A870="","",IF(AW870="Y",BX870&amp;"",BJ870&amp;""))</f>
        <v/>
      </c>
      <c r="AQ870" s="5"/>
      <c r="AT870" s="0" t="str">
        <f aca="false">IF($A870="","",IF(AND(CN870="pass",AQ870&lt;&gt;"Y",C870&lt;&gt;"",OR(AX870&lt;&gt;"Y",AV870="Y")),"Y","N"))</f>
        <v/>
      </c>
      <c r="AU870" s="0" t="str">
        <f aca="false">IF($A870="","",_xlfn.TEXTJOIN("; ",TRUE(),IF(CN870&lt;&gt;"pass","gated out",""),IF(AQ870="Y","on hold: "&amp;AR870,""),IF(C870="","no contact named on an opened page",""),IF(AND(AX870="Y",AV870&lt;&gt;"Y"),"Tuesday estimate band "&amp;L870&amp;": founder's call","")))</f>
        <v/>
      </c>
      <c r="BC870" s="0" t="str">
        <f aca="false">IF($A870="","",IFERROR(INDEX(Enrichment!$A$2:$GZ$2000,MATCH($A870,INDEX(Enrichment!$A$2:$GZ$2000,0,MATCH("row_id",Enrichment!$A$1:$GZ$1,0)),0),MATCH("work_email",Enrichment!$A$1:$GZ$1,0))&amp;"",""))</f>
        <v/>
      </c>
      <c r="BD870" s="0" t="str">
        <f aca="false">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Q870" s="0" t="str">
        <f aca="false">IF($A870="","",IFERROR(INDEX(Enrichment!$A$2:$GZ$2000,MATCH($A870,INDEX(Enrichment!$A$2:$GZ$2000,0,MATCH("row_id",Enrichment!$A$1:$GZ$1,0)),0),MATCH("backup_work_email",Enrichment!$A$1:$GZ$1,0))&amp;"",""))</f>
        <v/>
      </c>
      <c r="BR870" s="0" t="str">
        <f aca="false">IF($A870="","",IF(BQ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EQ870" s="0" t="str">
        <f aca="false">IF($A870="","",IF(AH870="exact",10,IF(AH870="adjacent",5,0)))</f>
        <v/>
      </c>
      <c r="ER870" s="0" t="str">
        <f aca="false">IF($A870="","",IF(R870="Y",15,0))</f>
        <v/>
      </c>
      <c r="FS870" s="0" t="str">
        <f aca="false">IF($A870="","",IF(ISNUMBER(MATCH(U870,{"queued","contacted","replied","call_booked","call_done","yes_in_principle","materials_sent"},0)),"Y","N"))</f>
        <v/>
      </c>
      <c r="FT870" s="0" t="str">
        <f aca="false">IF($A870="","",IF(OR(T870="Y",U870="do_not_contact",AS870&amp;""&lt;&gt;""),"Y","N"))</f>
        <v/>
      </c>
      <c r="FU870" s="0" t="str">
        <f aca="false">IF($A870="","",IF(AP870&amp;""&lt;&gt;"",AP870&amp;"",$A870))</f>
        <v/>
      </c>
      <c r="FV870" s="0" t="str">
        <f aca="false">IF($A870="","",IF(COUNTIFS($FU$2:$FU$1000,FU870,$FS$2:$FS$1000,"Y")+COUNTIFS($FU$2:$FU$1000,FU870,$FT$2:$FT$1000,"Y")&gt;0,"Y","N"))</f>
        <v/>
      </c>
      <c r="FW870" s="0" t="str">
        <f aca="false">IF($A870="","",IF(AND(U870="new",T870="N",FT870="N",AT870="Y",FV870="N"),"Y","N"))</f>
        <v/>
      </c>
      <c r="FX870" s="0" t="str">
        <f aca="false">IF($A870="","",IF(FW870&lt;&gt;"Y","N",IF(COUNTIFS($FU$2:$FU$1000,FU870,$FW$2:$FW$1000,"Y",$J$2:$J$1000,"&gt;"&amp;J870)+COUNTIFS($FU$2:$FU$1000,FU870,$FW$2:$FW$1000,"Y",$J$2:$J$1000,J870,$GD$2:$GD$1000,"&lt;"&amp;GD870)=0,"Y","N")))</f>
        <v/>
      </c>
      <c r="FY870" s="0" t="str">
        <f aca="false">IF($A870="","",IF(AND(FW870="Y",FX870="Y",Y870&amp;""&lt;&gt;""),IF(Y870&lt;=10,"Y","N"),"N"))</f>
        <v/>
      </c>
      <c r="FZ870" s="0" t="str">
        <f aca="false">IF(FY870="Y",Y870,"")</f>
        <v/>
      </c>
      <c r="GA870" s="0" t="str">
        <f aca="false">IF($A870="","",IF(AND(I870="walk-in",CN870="pass",U870="new",FT870="N",FV870="N",AQ870&lt;&gt;"Y"),"Y","N"))</f>
        <v/>
      </c>
      <c r="GB870" s="0" t="str">
        <f aca="false">IF(GA870&lt;&gt;"Y","",IF(COUNTIFS($GA$2:$GA$1000,"Y",$J$2:$J$1000,"&gt;"&amp;J870)+COUNTIFS($GA$2:$GA$1000,"Y",$J$2:$J$1000,J870,$GD$2:$GD$1000,"&lt;"&amp;GD870)+1&lt;=25,COUNTIFS($GA$2:$GA$1000,"Y",$J$2:$J$1000,"&gt;"&amp;J870)+COUNTIFS($GA$2:$GA$1000,"Y",$J$2:$J$1000,J870,$GD$2:$GD$1000,"&lt;"&amp;GD870)+1,""))</f>
        <v/>
      </c>
      <c r="GC870" s="0" t="str">
        <f aca="false">IF(AND(_xlfn.ISFORMULA(C870),_xlfn.ISFORMULA(J870)),"Y","N")</f>
        <v>Y</v>
      </c>
      <c r="GD870" s="0" t="n">
        <f aca="false">ROW()-1</f>
        <v>869</v>
      </c>
    </row>
    <row r="871" customFormat="false" ht="15" hidden="false" customHeight="false" outlineLevel="0" collapsed="false">
      <c r="C871" s="0" t="str">
        <f aca="false">IF($A871="","",IF(AW871="Y",BM871&amp;"",AY871&amp;""))</f>
        <v/>
      </c>
      <c r="D871" s="0" t="str">
        <f aca="false">IF($A871="","",IF(AW871="Y",BN871&amp;"",AZ871&amp;""))</f>
        <v/>
      </c>
      <c r="E871" s="0" t="str">
        <f aca="false">IF($A871="","",IF(AW871="Y",BO871&amp;"",BA871&amp;""))</f>
        <v/>
      </c>
      <c r="F871" s="0" t="str">
        <f aca="false">IF($A871="","",IF(AW871="Y",BP871&amp;"",BB871&amp;""))</f>
        <v/>
      </c>
      <c r="G871" s="0" t="str">
        <f aca="false">IF($A871="","",IF(AW871="Y",BQ871&amp;"",BC871&amp;""))</f>
        <v/>
      </c>
      <c r="H871" s="0" t="str">
        <f aca="false">IF($A871="","",IF(AW871="Y",BR871&amp;"",BD871&amp;""))</f>
        <v/>
      </c>
      <c r="I871" s="0" t="str">
        <f aca="false">IF($A871="","",IF(R871="Y","warm-intro",IF(H871="verified","email",IF(C871&lt;&gt;"","linkedin",CB871&amp;""))))</f>
        <v/>
      </c>
      <c r="J871" s="0" t="str">
        <f aca="false">IF($A871="","",IF(CN871="pass",ROUND(N(EM871)+N(EN871)+N(EO871)+N(EP871)+N(EQ871)+N(ER871),1),0))</f>
        <v/>
      </c>
      <c r="K871" s="0" t="str">
        <f aca="false">IF($A871="","",IF(CN871&lt;&gt;"pass",CA871&amp;"",CA871&amp;"; "&amp;IF(AW871="Y",BZ871&amp;"",BL871&amp;"")&amp;IF(R871="Y","; known to the founder (+15)","")&amp;"."))</f>
        <v/>
      </c>
      <c r="R871" s="5"/>
      <c r="U871" s="5"/>
      <c r="Y871" s="0" t="str">
        <f aca="false">IF(FX871&lt;&gt;"Y","",COUNTIFS($FX$2:$FX$1000,"Y",$J$2:$J$1000,"&gt;"&amp;J871)+COUNTIFS($FX$2:$FX$1000,"Y",$J$2:$J$1000,J871,$GD$2:$GD$1000,"&lt;"&amp;GD871)+1)</f>
        <v/>
      </c>
      <c r="AB871" s="0" t="str">
        <f aca="false">IF($A871="","",IF(AW871="Y",BY871&amp;"",BK871&amp;""))</f>
        <v/>
      </c>
      <c r="AC871" s="0" t="str">
        <f aca="false">IF($A871="","",IF(AW871="Y",BS871&amp;"",BE871&amp;""))</f>
        <v/>
      </c>
      <c r="AD871" s="0" t="str">
        <f aca="false">IF($A871="","",IF(AW871="Y",BT871&amp;"",BF871&amp;""))</f>
        <v/>
      </c>
      <c r="AE871" s="0" t="str">
        <f aca="false">IF($A871="","",IF(AW871="Y",BU871&amp;"",BG871&amp;""))</f>
        <v/>
      </c>
      <c r="AF871" s="0" t="str">
        <f aca="false">IF($A871="","",IF(AW871="Y",BV871&amp;"",BH871&amp;""))</f>
        <v/>
      </c>
      <c r="AG871" s="0" t="str">
        <f aca="false">IF($A871="","",IF(AW871="Y",BW871&amp;"",BI871&amp;""))</f>
        <v/>
      </c>
      <c r="AH871" s="0" t="str">
        <f aca="false">IF($A871="","",IF(AW871="Y",BX871&amp;"",BJ871&amp;""))</f>
        <v/>
      </c>
      <c r="AQ871" s="5"/>
      <c r="AT871" s="0" t="str">
        <f aca="false">IF($A871="","",IF(AND(CN871="pass",AQ871&lt;&gt;"Y",C871&lt;&gt;"",OR(AX871&lt;&gt;"Y",AV871="Y")),"Y","N"))</f>
        <v/>
      </c>
      <c r="AU871" s="0" t="str">
        <f aca="false">IF($A871="","",_xlfn.TEXTJOIN("; ",TRUE(),IF(CN871&lt;&gt;"pass","gated out",""),IF(AQ871="Y","on hold: "&amp;AR871,""),IF(C871="","no contact named on an opened page",""),IF(AND(AX871="Y",AV871&lt;&gt;"Y"),"Tuesday estimate band "&amp;L871&amp;": founder's call","")))</f>
        <v/>
      </c>
      <c r="BC871" s="0" t="str">
        <f aca="false">IF($A871="","",IFERROR(INDEX(Enrichment!$A$2:$GZ$2000,MATCH($A871,INDEX(Enrichment!$A$2:$GZ$2000,0,MATCH("row_id",Enrichment!$A$1:$GZ$1,0)),0),MATCH("work_email",Enrichment!$A$1:$GZ$1,0))&amp;"",""))</f>
        <v/>
      </c>
      <c r="BD871" s="0" t="str">
        <f aca="false">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Q871" s="0" t="str">
        <f aca="false">IF($A871="","",IFERROR(INDEX(Enrichment!$A$2:$GZ$2000,MATCH($A871,INDEX(Enrichment!$A$2:$GZ$2000,0,MATCH("row_id",Enrichment!$A$1:$GZ$1,0)),0),MATCH("backup_work_email",Enrichment!$A$1:$GZ$1,0))&amp;"",""))</f>
        <v/>
      </c>
      <c r="BR871" s="0" t="str">
        <f aca="false">IF($A871="","",IF(BQ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EQ871" s="0" t="str">
        <f aca="false">IF($A871="","",IF(AH871="exact",10,IF(AH871="adjacent",5,0)))</f>
        <v/>
      </c>
      <c r="ER871" s="0" t="str">
        <f aca="false">IF($A871="","",IF(R871="Y",15,0))</f>
        <v/>
      </c>
      <c r="FS871" s="0" t="str">
        <f aca="false">IF($A871="","",IF(ISNUMBER(MATCH(U871,{"queued","contacted","replied","call_booked","call_done","yes_in_principle","materials_sent"},0)),"Y","N"))</f>
        <v/>
      </c>
      <c r="FT871" s="0" t="str">
        <f aca="false">IF($A871="","",IF(OR(T871="Y",U871="do_not_contact",AS871&amp;""&lt;&gt;""),"Y","N"))</f>
        <v/>
      </c>
      <c r="FU871" s="0" t="str">
        <f aca="false">IF($A871="","",IF(AP871&amp;""&lt;&gt;"",AP871&amp;"",$A871))</f>
        <v/>
      </c>
      <c r="FV871" s="0" t="str">
        <f aca="false">IF($A871="","",IF(COUNTIFS($FU$2:$FU$1000,FU871,$FS$2:$FS$1000,"Y")+COUNTIFS($FU$2:$FU$1000,FU871,$FT$2:$FT$1000,"Y")&gt;0,"Y","N"))</f>
        <v/>
      </c>
      <c r="FW871" s="0" t="str">
        <f aca="false">IF($A871="","",IF(AND(U871="new",T871="N",FT871="N",AT871="Y",FV871="N"),"Y","N"))</f>
        <v/>
      </c>
      <c r="FX871" s="0" t="str">
        <f aca="false">IF($A871="","",IF(FW871&lt;&gt;"Y","N",IF(COUNTIFS($FU$2:$FU$1000,FU871,$FW$2:$FW$1000,"Y",$J$2:$J$1000,"&gt;"&amp;J871)+COUNTIFS($FU$2:$FU$1000,FU871,$FW$2:$FW$1000,"Y",$J$2:$J$1000,J871,$GD$2:$GD$1000,"&lt;"&amp;GD871)=0,"Y","N")))</f>
        <v/>
      </c>
      <c r="FY871" s="0" t="str">
        <f aca="false">IF($A871="","",IF(AND(FW871="Y",FX871="Y",Y871&amp;""&lt;&gt;""),IF(Y871&lt;=10,"Y","N"),"N"))</f>
        <v/>
      </c>
      <c r="FZ871" s="0" t="str">
        <f aca="false">IF(FY871="Y",Y871,"")</f>
        <v/>
      </c>
      <c r="GA871" s="0" t="str">
        <f aca="false">IF($A871="","",IF(AND(I871="walk-in",CN871="pass",U871="new",FT871="N",FV871="N",AQ871&lt;&gt;"Y"),"Y","N"))</f>
        <v/>
      </c>
      <c r="GB871" s="0" t="str">
        <f aca="false">IF(GA871&lt;&gt;"Y","",IF(COUNTIFS($GA$2:$GA$1000,"Y",$J$2:$J$1000,"&gt;"&amp;J871)+COUNTIFS($GA$2:$GA$1000,"Y",$J$2:$J$1000,J871,$GD$2:$GD$1000,"&lt;"&amp;GD871)+1&lt;=25,COUNTIFS($GA$2:$GA$1000,"Y",$J$2:$J$1000,"&gt;"&amp;J871)+COUNTIFS($GA$2:$GA$1000,"Y",$J$2:$J$1000,J871,$GD$2:$GD$1000,"&lt;"&amp;GD871)+1,""))</f>
        <v/>
      </c>
      <c r="GC871" s="0" t="str">
        <f aca="false">IF(AND(_xlfn.ISFORMULA(C871),_xlfn.ISFORMULA(J871)),"Y","N")</f>
        <v>Y</v>
      </c>
      <c r="GD871" s="0" t="n">
        <f aca="false">ROW()-1</f>
        <v>870</v>
      </c>
    </row>
    <row r="872" customFormat="false" ht="15" hidden="false" customHeight="false" outlineLevel="0" collapsed="false">
      <c r="C872" s="0" t="str">
        <f aca="false">IF($A872="","",IF(AW872="Y",BM872&amp;"",AY872&amp;""))</f>
        <v/>
      </c>
      <c r="D872" s="0" t="str">
        <f aca="false">IF($A872="","",IF(AW872="Y",BN872&amp;"",AZ872&amp;""))</f>
        <v/>
      </c>
      <c r="E872" s="0" t="str">
        <f aca="false">IF($A872="","",IF(AW872="Y",BO872&amp;"",BA872&amp;""))</f>
        <v/>
      </c>
      <c r="F872" s="0" t="str">
        <f aca="false">IF($A872="","",IF(AW872="Y",BP872&amp;"",BB872&amp;""))</f>
        <v/>
      </c>
      <c r="G872" s="0" t="str">
        <f aca="false">IF($A872="","",IF(AW872="Y",BQ872&amp;"",BC872&amp;""))</f>
        <v/>
      </c>
      <c r="H872" s="0" t="str">
        <f aca="false">IF($A872="","",IF(AW872="Y",BR872&amp;"",BD872&amp;""))</f>
        <v/>
      </c>
      <c r="I872" s="0" t="str">
        <f aca="false">IF($A872="","",IF(R872="Y","warm-intro",IF(H872="verified","email",IF(C872&lt;&gt;"","linkedin",CB872&amp;""))))</f>
        <v/>
      </c>
      <c r="J872" s="0" t="str">
        <f aca="false">IF($A872="","",IF(CN872="pass",ROUND(N(EM872)+N(EN872)+N(EO872)+N(EP872)+N(EQ872)+N(ER872),1),0))</f>
        <v/>
      </c>
      <c r="K872" s="0" t="str">
        <f aca="false">IF($A872="","",IF(CN872&lt;&gt;"pass",CA872&amp;"",CA872&amp;"; "&amp;IF(AW872="Y",BZ872&amp;"",BL872&amp;"")&amp;IF(R872="Y","; known to the founder (+15)","")&amp;"."))</f>
        <v/>
      </c>
      <c r="R872" s="5"/>
      <c r="U872" s="5"/>
      <c r="Y872" s="0" t="str">
        <f aca="false">IF(FX872&lt;&gt;"Y","",COUNTIFS($FX$2:$FX$1000,"Y",$J$2:$J$1000,"&gt;"&amp;J872)+COUNTIFS($FX$2:$FX$1000,"Y",$J$2:$J$1000,J872,$GD$2:$GD$1000,"&lt;"&amp;GD872)+1)</f>
        <v/>
      </c>
      <c r="AB872" s="0" t="str">
        <f aca="false">IF($A872="","",IF(AW872="Y",BY872&amp;"",BK872&amp;""))</f>
        <v/>
      </c>
      <c r="AC872" s="0" t="str">
        <f aca="false">IF($A872="","",IF(AW872="Y",BS872&amp;"",BE872&amp;""))</f>
        <v/>
      </c>
      <c r="AD872" s="0" t="str">
        <f aca="false">IF($A872="","",IF(AW872="Y",BT872&amp;"",BF872&amp;""))</f>
        <v/>
      </c>
      <c r="AE872" s="0" t="str">
        <f aca="false">IF($A872="","",IF(AW872="Y",BU872&amp;"",BG872&amp;""))</f>
        <v/>
      </c>
      <c r="AF872" s="0" t="str">
        <f aca="false">IF($A872="","",IF(AW872="Y",BV872&amp;"",BH872&amp;""))</f>
        <v/>
      </c>
      <c r="AG872" s="0" t="str">
        <f aca="false">IF($A872="","",IF(AW872="Y",BW872&amp;"",BI872&amp;""))</f>
        <v/>
      </c>
      <c r="AH872" s="0" t="str">
        <f aca="false">IF($A872="","",IF(AW872="Y",BX872&amp;"",BJ872&amp;""))</f>
        <v/>
      </c>
      <c r="AQ872" s="5"/>
      <c r="AT872" s="0" t="str">
        <f aca="false">IF($A872="","",IF(AND(CN872="pass",AQ872&lt;&gt;"Y",C872&lt;&gt;"",OR(AX872&lt;&gt;"Y",AV872="Y")),"Y","N"))</f>
        <v/>
      </c>
      <c r="AU872" s="0" t="str">
        <f aca="false">IF($A872="","",_xlfn.TEXTJOIN("; ",TRUE(),IF(CN872&lt;&gt;"pass","gated out",""),IF(AQ872="Y","on hold: "&amp;AR872,""),IF(C872="","no contact named on an opened page",""),IF(AND(AX872="Y",AV872&lt;&gt;"Y"),"Tuesday estimate band "&amp;L872&amp;": founder's call","")))</f>
        <v/>
      </c>
      <c r="BC872" s="0" t="str">
        <f aca="false">IF($A872="","",IFERROR(INDEX(Enrichment!$A$2:$GZ$2000,MATCH($A872,INDEX(Enrichment!$A$2:$GZ$2000,0,MATCH("row_id",Enrichment!$A$1:$GZ$1,0)),0),MATCH("work_email",Enrichment!$A$1:$GZ$1,0))&amp;"",""))</f>
        <v/>
      </c>
      <c r="BD872" s="0" t="str">
        <f aca="false">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Q872" s="0" t="str">
        <f aca="false">IF($A872="","",IFERROR(INDEX(Enrichment!$A$2:$GZ$2000,MATCH($A872,INDEX(Enrichment!$A$2:$GZ$2000,0,MATCH("row_id",Enrichment!$A$1:$GZ$1,0)),0),MATCH("backup_work_email",Enrichment!$A$1:$GZ$1,0))&amp;"",""))</f>
        <v/>
      </c>
      <c r="BR872" s="0" t="str">
        <f aca="false">IF($A872="","",IF(BQ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EQ872" s="0" t="str">
        <f aca="false">IF($A872="","",IF(AH872="exact",10,IF(AH872="adjacent",5,0)))</f>
        <v/>
      </c>
      <c r="ER872" s="0" t="str">
        <f aca="false">IF($A872="","",IF(R872="Y",15,0))</f>
        <v/>
      </c>
      <c r="FS872" s="0" t="str">
        <f aca="false">IF($A872="","",IF(ISNUMBER(MATCH(U872,{"queued","contacted","replied","call_booked","call_done","yes_in_principle","materials_sent"},0)),"Y","N"))</f>
        <v/>
      </c>
      <c r="FT872" s="0" t="str">
        <f aca="false">IF($A872="","",IF(OR(T872="Y",U872="do_not_contact",AS872&amp;""&lt;&gt;""),"Y","N"))</f>
        <v/>
      </c>
      <c r="FU872" s="0" t="str">
        <f aca="false">IF($A872="","",IF(AP872&amp;""&lt;&gt;"",AP872&amp;"",$A872))</f>
        <v/>
      </c>
      <c r="FV872" s="0" t="str">
        <f aca="false">IF($A872="","",IF(COUNTIFS($FU$2:$FU$1000,FU872,$FS$2:$FS$1000,"Y")+COUNTIFS($FU$2:$FU$1000,FU872,$FT$2:$FT$1000,"Y")&gt;0,"Y","N"))</f>
        <v/>
      </c>
      <c r="FW872" s="0" t="str">
        <f aca="false">IF($A872="","",IF(AND(U872="new",T872="N",FT872="N",AT872="Y",FV872="N"),"Y","N"))</f>
        <v/>
      </c>
      <c r="FX872" s="0" t="str">
        <f aca="false">IF($A872="","",IF(FW872&lt;&gt;"Y","N",IF(COUNTIFS($FU$2:$FU$1000,FU872,$FW$2:$FW$1000,"Y",$J$2:$J$1000,"&gt;"&amp;J872)+COUNTIFS($FU$2:$FU$1000,FU872,$FW$2:$FW$1000,"Y",$J$2:$J$1000,J872,$GD$2:$GD$1000,"&lt;"&amp;GD872)=0,"Y","N")))</f>
        <v/>
      </c>
      <c r="FY872" s="0" t="str">
        <f aca="false">IF($A872="","",IF(AND(FW872="Y",FX872="Y",Y872&amp;""&lt;&gt;""),IF(Y872&lt;=10,"Y","N"),"N"))</f>
        <v/>
      </c>
      <c r="FZ872" s="0" t="str">
        <f aca="false">IF(FY872="Y",Y872,"")</f>
        <v/>
      </c>
      <c r="GA872" s="0" t="str">
        <f aca="false">IF($A872="","",IF(AND(I872="walk-in",CN872="pass",U872="new",FT872="N",FV872="N",AQ872&lt;&gt;"Y"),"Y","N"))</f>
        <v/>
      </c>
      <c r="GB872" s="0" t="str">
        <f aca="false">IF(GA872&lt;&gt;"Y","",IF(COUNTIFS($GA$2:$GA$1000,"Y",$J$2:$J$1000,"&gt;"&amp;J872)+COUNTIFS($GA$2:$GA$1000,"Y",$J$2:$J$1000,J872,$GD$2:$GD$1000,"&lt;"&amp;GD872)+1&lt;=25,COUNTIFS($GA$2:$GA$1000,"Y",$J$2:$J$1000,"&gt;"&amp;J872)+COUNTIFS($GA$2:$GA$1000,"Y",$J$2:$J$1000,J872,$GD$2:$GD$1000,"&lt;"&amp;GD872)+1,""))</f>
        <v/>
      </c>
      <c r="GC872" s="0" t="str">
        <f aca="false">IF(AND(_xlfn.ISFORMULA(C872),_xlfn.ISFORMULA(J872)),"Y","N")</f>
        <v>Y</v>
      </c>
      <c r="GD872" s="0" t="n">
        <f aca="false">ROW()-1</f>
        <v>871</v>
      </c>
    </row>
    <row r="873" customFormat="false" ht="15" hidden="false" customHeight="false" outlineLevel="0" collapsed="false">
      <c r="C873" s="0" t="str">
        <f aca="false">IF($A873="","",IF(AW873="Y",BM873&amp;"",AY873&amp;""))</f>
        <v/>
      </c>
      <c r="D873" s="0" t="str">
        <f aca="false">IF($A873="","",IF(AW873="Y",BN873&amp;"",AZ873&amp;""))</f>
        <v/>
      </c>
      <c r="E873" s="0" t="str">
        <f aca="false">IF($A873="","",IF(AW873="Y",BO873&amp;"",BA873&amp;""))</f>
        <v/>
      </c>
      <c r="F873" s="0" t="str">
        <f aca="false">IF($A873="","",IF(AW873="Y",BP873&amp;"",BB873&amp;""))</f>
        <v/>
      </c>
      <c r="G873" s="0" t="str">
        <f aca="false">IF($A873="","",IF(AW873="Y",BQ873&amp;"",BC873&amp;""))</f>
        <v/>
      </c>
      <c r="H873" s="0" t="str">
        <f aca="false">IF($A873="","",IF(AW873="Y",BR873&amp;"",BD873&amp;""))</f>
        <v/>
      </c>
      <c r="I873" s="0" t="str">
        <f aca="false">IF($A873="","",IF(R873="Y","warm-intro",IF(H873="verified","email",IF(C873&lt;&gt;"","linkedin",CB873&amp;""))))</f>
        <v/>
      </c>
      <c r="J873" s="0" t="str">
        <f aca="false">IF($A873="","",IF(CN873="pass",ROUND(N(EM873)+N(EN873)+N(EO873)+N(EP873)+N(EQ873)+N(ER873),1),0))</f>
        <v/>
      </c>
      <c r="K873" s="0" t="str">
        <f aca="false">IF($A873="","",IF(CN873&lt;&gt;"pass",CA873&amp;"",CA873&amp;"; "&amp;IF(AW873="Y",BZ873&amp;"",BL873&amp;"")&amp;IF(R873="Y","; known to the founder (+15)","")&amp;"."))</f>
        <v/>
      </c>
      <c r="R873" s="5"/>
      <c r="U873" s="5"/>
      <c r="Y873" s="0" t="str">
        <f aca="false">IF(FX873&lt;&gt;"Y","",COUNTIFS($FX$2:$FX$1000,"Y",$J$2:$J$1000,"&gt;"&amp;J873)+COUNTIFS($FX$2:$FX$1000,"Y",$J$2:$J$1000,J873,$GD$2:$GD$1000,"&lt;"&amp;GD873)+1)</f>
        <v/>
      </c>
      <c r="AB873" s="0" t="str">
        <f aca="false">IF($A873="","",IF(AW873="Y",BY873&amp;"",BK873&amp;""))</f>
        <v/>
      </c>
      <c r="AC873" s="0" t="str">
        <f aca="false">IF($A873="","",IF(AW873="Y",BS873&amp;"",BE873&amp;""))</f>
        <v/>
      </c>
      <c r="AD873" s="0" t="str">
        <f aca="false">IF($A873="","",IF(AW873="Y",BT873&amp;"",BF873&amp;""))</f>
        <v/>
      </c>
      <c r="AE873" s="0" t="str">
        <f aca="false">IF($A873="","",IF(AW873="Y",BU873&amp;"",BG873&amp;""))</f>
        <v/>
      </c>
      <c r="AF873" s="0" t="str">
        <f aca="false">IF($A873="","",IF(AW873="Y",BV873&amp;"",BH873&amp;""))</f>
        <v/>
      </c>
      <c r="AG873" s="0" t="str">
        <f aca="false">IF($A873="","",IF(AW873="Y",BW873&amp;"",BI873&amp;""))</f>
        <v/>
      </c>
      <c r="AH873" s="0" t="str">
        <f aca="false">IF($A873="","",IF(AW873="Y",BX873&amp;"",BJ873&amp;""))</f>
        <v/>
      </c>
      <c r="AQ873" s="5"/>
      <c r="AT873" s="0" t="str">
        <f aca="false">IF($A873="","",IF(AND(CN873="pass",AQ873&lt;&gt;"Y",C873&lt;&gt;"",OR(AX873&lt;&gt;"Y",AV873="Y")),"Y","N"))</f>
        <v/>
      </c>
      <c r="AU873" s="0" t="str">
        <f aca="false">IF($A873="","",_xlfn.TEXTJOIN("; ",TRUE(),IF(CN873&lt;&gt;"pass","gated out",""),IF(AQ873="Y","on hold: "&amp;AR873,""),IF(C873="","no contact named on an opened page",""),IF(AND(AX873="Y",AV873&lt;&gt;"Y"),"Tuesday estimate band "&amp;L873&amp;": founder's call","")))</f>
        <v/>
      </c>
      <c r="BC873" s="0" t="str">
        <f aca="false">IF($A873="","",IFERROR(INDEX(Enrichment!$A$2:$GZ$2000,MATCH($A873,INDEX(Enrichment!$A$2:$GZ$2000,0,MATCH("row_id",Enrichment!$A$1:$GZ$1,0)),0),MATCH("work_email",Enrichment!$A$1:$GZ$1,0))&amp;"",""))</f>
        <v/>
      </c>
      <c r="BD873" s="0" t="str">
        <f aca="false">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Q873" s="0" t="str">
        <f aca="false">IF($A873="","",IFERROR(INDEX(Enrichment!$A$2:$GZ$2000,MATCH($A873,INDEX(Enrichment!$A$2:$GZ$2000,0,MATCH("row_id",Enrichment!$A$1:$GZ$1,0)),0),MATCH("backup_work_email",Enrichment!$A$1:$GZ$1,0))&amp;"",""))</f>
        <v/>
      </c>
      <c r="BR873" s="0" t="str">
        <f aca="false">IF($A873="","",IF(BQ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EQ873" s="0" t="str">
        <f aca="false">IF($A873="","",IF(AH873="exact",10,IF(AH873="adjacent",5,0)))</f>
        <v/>
      </c>
      <c r="ER873" s="0" t="str">
        <f aca="false">IF($A873="","",IF(R873="Y",15,0))</f>
        <v/>
      </c>
      <c r="FS873" s="0" t="str">
        <f aca="false">IF($A873="","",IF(ISNUMBER(MATCH(U873,{"queued","contacted","replied","call_booked","call_done","yes_in_principle","materials_sent"},0)),"Y","N"))</f>
        <v/>
      </c>
      <c r="FT873" s="0" t="str">
        <f aca="false">IF($A873="","",IF(OR(T873="Y",U873="do_not_contact",AS873&amp;""&lt;&gt;""),"Y","N"))</f>
        <v/>
      </c>
      <c r="FU873" s="0" t="str">
        <f aca="false">IF($A873="","",IF(AP873&amp;""&lt;&gt;"",AP873&amp;"",$A873))</f>
        <v/>
      </c>
      <c r="FV873" s="0" t="str">
        <f aca="false">IF($A873="","",IF(COUNTIFS($FU$2:$FU$1000,FU873,$FS$2:$FS$1000,"Y")+COUNTIFS($FU$2:$FU$1000,FU873,$FT$2:$FT$1000,"Y")&gt;0,"Y","N"))</f>
        <v/>
      </c>
      <c r="FW873" s="0" t="str">
        <f aca="false">IF($A873="","",IF(AND(U873="new",T873="N",FT873="N",AT873="Y",FV873="N"),"Y","N"))</f>
        <v/>
      </c>
      <c r="FX873" s="0" t="str">
        <f aca="false">IF($A873="","",IF(FW873&lt;&gt;"Y","N",IF(COUNTIFS($FU$2:$FU$1000,FU873,$FW$2:$FW$1000,"Y",$J$2:$J$1000,"&gt;"&amp;J873)+COUNTIFS($FU$2:$FU$1000,FU873,$FW$2:$FW$1000,"Y",$J$2:$J$1000,J873,$GD$2:$GD$1000,"&lt;"&amp;GD873)=0,"Y","N")))</f>
        <v/>
      </c>
      <c r="FY873" s="0" t="str">
        <f aca="false">IF($A873="","",IF(AND(FW873="Y",FX873="Y",Y873&amp;""&lt;&gt;""),IF(Y873&lt;=10,"Y","N"),"N"))</f>
        <v/>
      </c>
      <c r="FZ873" s="0" t="str">
        <f aca="false">IF(FY873="Y",Y873,"")</f>
        <v/>
      </c>
      <c r="GA873" s="0" t="str">
        <f aca="false">IF($A873="","",IF(AND(I873="walk-in",CN873="pass",U873="new",FT873="N",FV873="N",AQ873&lt;&gt;"Y"),"Y","N"))</f>
        <v/>
      </c>
      <c r="GB873" s="0" t="str">
        <f aca="false">IF(GA873&lt;&gt;"Y","",IF(COUNTIFS($GA$2:$GA$1000,"Y",$J$2:$J$1000,"&gt;"&amp;J873)+COUNTIFS($GA$2:$GA$1000,"Y",$J$2:$J$1000,J873,$GD$2:$GD$1000,"&lt;"&amp;GD873)+1&lt;=25,COUNTIFS($GA$2:$GA$1000,"Y",$J$2:$J$1000,"&gt;"&amp;J873)+COUNTIFS($GA$2:$GA$1000,"Y",$J$2:$J$1000,J873,$GD$2:$GD$1000,"&lt;"&amp;GD873)+1,""))</f>
        <v/>
      </c>
      <c r="GC873" s="0" t="str">
        <f aca="false">IF(AND(_xlfn.ISFORMULA(C873),_xlfn.ISFORMULA(J873)),"Y","N")</f>
        <v>Y</v>
      </c>
      <c r="GD873" s="0" t="n">
        <f aca="false">ROW()-1</f>
        <v>872</v>
      </c>
    </row>
    <row r="874" customFormat="false" ht="15" hidden="false" customHeight="false" outlineLevel="0" collapsed="false">
      <c r="C874" s="0" t="str">
        <f aca="false">IF($A874="","",IF(AW874="Y",BM874&amp;"",AY874&amp;""))</f>
        <v/>
      </c>
      <c r="D874" s="0" t="str">
        <f aca="false">IF($A874="","",IF(AW874="Y",BN874&amp;"",AZ874&amp;""))</f>
        <v/>
      </c>
      <c r="E874" s="0" t="str">
        <f aca="false">IF($A874="","",IF(AW874="Y",BO874&amp;"",BA874&amp;""))</f>
        <v/>
      </c>
      <c r="F874" s="0" t="str">
        <f aca="false">IF($A874="","",IF(AW874="Y",BP874&amp;"",BB874&amp;""))</f>
        <v/>
      </c>
      <c r="G874" s="0" t="str">
        <f aca="false">IF($A874="","",IF(AW874="Y",BQ874&amp;"",BC874&amp;""))</f>
        <v/>
      </c>
      <c r="H874" s="0" t="str">
        <f aca="false">IF($A874="","",IF(AW874="Y",BR874&amp;"",BD874&amp;""))</f>
        <v/>
      </c>
      <c r="I874" s="0" t="str">
        <f aca="false">IF($A874="","",IF(R874="Y","warm-intro",IF(H874="verified","email",IF(C874&lt;&gt;"","linkedin",CB874&amp;""))))</f>
        <v/>
      </c>
      <c r="J874" s="0" t="str">
        <f aca="false">IF($A874="","",IF(CN874="pass",ROUND(N(EM874)+N(EN874)+N(EO874)+N(EP874)+N(EQ874)+N(ER874),1),0))</f>
        <v/>
      </c>
      <c r="K874" s="0" t="str">
        <f aca="false">IF($A874="","",IF(CN874&lt;&gt;"pass",CA874&amp;"",CA874&amp;"; "&amp;IF(AW874="Y",BZ874&amp;"",BL874&amp;"")&amp;IF(R874="Y","; known to the founder (+15)","")&amp;"."))</f>
        <v/>
      </c>
      <c r="R874" s="5"/>
      <c r="U874" s="5"/>
      <c r="Y874" s="0" t="str">
        <f aca="false">IF(FX874&lt;&gt;"Y","",COUNTIFS($FX$2:$FX$1000,"Y",$J$2:$J$1000,"&gt;"&amp;J874)+COUNTIFS($FX$2:$FX$1000,"Y",$J$2:$J$1000,J874,$GD$2:$GD$1000,"&lt;"&amp;GD874)+1)</f>
        <v/>
      </c>
      <c r="AB874" s="0" t="str">
        <f aca="false">IF($A874="","",IF(AW874="Y",BY874&amp;"",BK874&amp;""))</f>
        <v/>
      </c>
      <c r="AC874" s="0" t="str">
        <f aca="false">IF($A874="","",IF(AW874="Y",BS874&amp;"",BE874&amp;""))</f>
        <v/>
      </c>
      <c r="AD874" s="0" t="str">
        <f aca="false">IF($A874="","",IF(AW874="Y",BT874&amp;"",BF874&amp;""))</f>
        <v/>
      </c>
      <c r="AE874" s="0" t="str">
        <f aca="false">IF($A874="","",IF(AW874="Y",BU874&amp;"",BG874&amp;""))</f>
        <v/>
      </c>
      <c r="AF874" s="0" t="str">
        <f aca="false">IF($A874="","",IF(AW874="Y",BV874&amp;"",BH874&amp;""))</f>
        <v/>
      </c>
      <c r="AG874" s="0" t="str">
        <f aca="false">IF($A874="","",IF(AW874="Y",BW874&amp;"",BI874&amp;""))</f>
        <v/>
      </c>
      <c r="AH874" s="0" t="str">
        <f aca="false">IF($A874="","",IF(AW874="Y",BX874&amp;"",BJ874&amp;""))</f>
        <v/>
      </c>
      <c r="AQ874" s="5"/>
      <c r="AT874" s="0" t="str">
        <f aca="false">IF($A874="","",IF(AND(CN874="pass",AQ874&lt;&gt;"Y",C874&lt;&gt;"",OR(AX874&lt;&gt;"Y",AV874="Y")),"Y","N"))</f>
        <v/>
      </c>
      <c r="AU874" s="0" t="str">
        <f aca="false">IF($A874="","",_xlfn.TEXTJOIN("; ",TRUE(),IF(CN874&lt;&gt;"pass","gated out",""),IF(AQ874="Y","on hold: "&amp;AR874,""),IF(C874="","no contact named on an opened page",""),IF(AND(AX874="Y",AV874&lt;&gt;"Y"),"Tuesday estimate band "&amp;L874&amp;": founder's call","")))</f>
        <v/>
      </c>
      <c r="BC874" s="0" t="str">
        <f aca="false">IF($A874="","",IFERROR(INDEX(Enrichment!$A$2:$GZ$2000,MATCH($A874,INDEX(Enrichment!$A$2:$GZ$2000,0,MATCH("row_id",Enrichment!$A$1:$GZ$1,0)),0),MATCH("work_email",Enrichment!$A$1:$GZ$1,0))&amp;"",""))</f>
        <v/>
      </c>
      <c r="BD874" s="0" t="str">
        <f aca="false">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Q874" s="0" t="str">
        <f aca="false">IF($A874="","",IFERROR(INDEX(Enrichment!$A$2:$GZ$2000,MATCH($A874,INDEX(Enrichment!$A$2:$GZ$2000,0,MATCH("row_id",Enrichment!$A$1:$GZ$1,0)),0),MATCH("backup_work_email",Enrichment!$A$1:$GZ$1,0))&amp;"",""))</f>
        <v/>
      </c>
      <c r="BR874" s="0" t="str">
        <f aca="false">IF($A874="","",IF(BQ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EQ874" s="0" t="str">
        <f aca="false">IF($A874="","",IF(AH874="exact",10,IF(AH874="adjacent",5,0)))</f>
        <v/>
      </c>
      <c r="ER874" s="0" t="str">
        <f aca="false">IF($A874="","",IF(R874="Y",15,0))</f>
        <v/>
      </c>
      <c r="FS874" s="0" t="str">
        <f aca="false">IF($A874="","",IF(ISNUMBER(MATCH(U874,{"queued","contacted","replied","call_booked","call_done","yes_in_principle","materials_sent"},0)),"Y","N"))</f>
        <v/>
      </c>
      <c r="FT874" s="0" t="str">
        <f aca="false">IF($A874="","",IF(OR(T874="Y",U874="do_not_contact",AS874&amp;""&lt;&gt;""),"Y","N"))</f>
        <v/>
      </c>
      <c r="FU874" s="0" t="str">
        <f aca="false">IF($A874="","",IF(AP874&amp;""&lt;&gt;"",AP874&amp;"",$A874))</f>
        <v/>
      </c>
      <c r="FV874" s="0" t="str">
        <f aca="false">IF($A874="","",IF(COUNTIFS($FU$2:$FU$1000,FU874,$FS$2:$FS$1000,"Y")+COUNTIFS($FU$2:$FU$1000,FU874,$FT$2:$FT$1000,"Y")&gt;0,"Y","N"))</f>
        <v/>
      </c>
      <c r="FW874" s="0" t="str">
        <f aca="false">IF($A874="","",IF(AND(U874="new",T874="N",FT874="N",AT874="Y",FV874="N"),"Y","N"))</f>
        <v/>
      </c>
      <c r="FX874" s="0" t="str">
        <f aca="false">IF($A874="","",IF(FW874&lt;&gt;"Y","N",IF(COUNTIFS($FU$2:$FU$1000,FU874,$FW$2:$FW$1000,"Y",$J$2:$J$1000,"&gt;"&amp;J874)+COUNTIFS($FU$2:$FU$1000,FU874,$FW$2:$FW$1000,"Y",$J$2:$J$1000,J874,$GD$2:$GD$1000,"&lt;"&amp;GD874)=0,"Y","N")))</f>
        <v/>
      </c>
      <c r="FY874" s="0" t="str">
        <f aca="false">IF($A874="","",IF(AND(FW874="Y",FX874="Y",Y874&amp;""&lt;&gt;""),IF(Y874&lt;=10,"Y","N"),"N"))</f>
        <v/>
      </c>
      <c r="FZ874" s="0" t="str">
        <f aca="false">IF(FY874="Y",Y874,"")</f>
        <v/>
      </c>
      <c r="GA874" s="0" t="str">
        <f aca="false">IF($A874="","",IF(AND(I874="walk-in",CN874="pass",U874="new",FT874="N",FV874="N",AQ874&lt;&gt;"Y"),"Y","N"))</f>
        <v/>
      </c>
      <c r="GB874" s="0" t="str">
        <f aca="false">IF(GA874&lt;&gt;"Y","",IF(COUNTIFS($GA$2:$GA$1000,"Y",$J$2:$J$1000,"&gt;"&amp;J874)+COUNTIFS($GA$2:$GA$1000,"Y",$J$2:$J$1000,J874,$GD$2:$GD$1000,"&lt;"&amp;GD874)+1&lt;=25,COUNTIFS($GA$2:$GA$1000,"Y",$J$2:$J$1000,"&gt;"&amp;J874)+COUNTIFS($GA$2:$GA$1000,"Y",$J$2:$J$1000,J874,$GD$2:$GD$1000,"&lt;"&amp;GD874)+1,""))</f>
        <v/>
      </c>
      <c r="GC874" s="0" t="str">
        <f aca="false">IF(AND(_xlfn.ISFORMULA(C874),_xlfn.ISFORMULA(J874)),"Y","N")</f>
        <v>Y</v>
      </c>
      <c r="GD874" s="0" t="n">
        <f aca="false">ROW()-1</f>
        <v>873</v>
      </c>
    </row>
    <row r="875" customFormat="false" ht="15" hidden="false" customHeight="false" outlineLevel="0" collapsed="false">
      <c r="C875" s="0" t="str">
        <f aca="false">IF($A875="","",IF(AW875="Y",BM875&amp;"",AY875&amp;""))</f>
        <v/>
      </c>
      <c r="D875" s="0" t="str">
        <f aca="false">IF($A875="","",IF(AW875="Y",BN875&amp;"",AZ875&amp;""))</f>
        <v/>
      </c>
      <c r="E875" s="0" t="str">
        <f aca="false">IF($A875="","",IF(AW875="Y",BO875&amp;"",BA875&amp;""))</f>
        <v/>
      </c>
      <c r="F875" s="0" t="str">
        <f aca="false">IF($A875="","",IF(AW875="Y",BP875&amp;"",BB875&amp;""))</f>
        <v/>
      </c>
      <c r="G875" s="0" t="str">
        <f aca="false">IF($A875="","",IF(AW875="Y",BQ875&amp;"",BC875&amp;""))</f>
        <v/>
      </c>
      <c r="H875" s="0" t="str">
        <f aca="false">IF($A875="","",IF(AW875="Y",BR875&amp;"",BD875&amp;""))</f>
        <v/>
      </c>
      <c r="I875" s="0" t="str">
        <f aca="false">IF($A875="","",IF(R875="Y","warm-intro",IF(H875="verified","email",IF(C875&lt;&gt;"","linkedin",CB875&amp;""))))</f>
        <v/>
      </c>
      <c r="J875" s="0" t="str">
        <f aca="false">IF($A875="","",IF(CN875="pass",ROUND(N(EM875)+N(EN875)+N(EO875)+N(EP875)+N(EQ875)+N(ER875),1),0))</f>
        <v/>
      </c>
      <c r="K875" s="0" t="str">
        <f aca="false">IF($A875="","",IF(CN875&lt;&gt;"pass",CA875&amp;"",CA875&amp;"; "&amp;IF(AW875="Y",BZ875&amp;"",BL875&amp;"")&amp;IF(R875="Y","; known to the founder (+15)","")&amp;"."))</f>
        <v/>
      </c>
      <c r="R875" s="5"/>
      <c r="U875" s="5"/>
      <c r="Y875" s="0" t="str">
        <f aca="false">IF(FX875&lt;&gt;"Y","",COUNTIFS($FX$2:$FX$1000,"Y",$J$2:$J$1000,"&gt;"&amp;J875)+COUNTIFS($FX$2:$FX$1000,"Y",$J$2:$J$1000,J875,$GD$2:$GD$1000,"&lt;"&amp;GD875)+1)</f>
        <v/>
      </c>
      <c r="AB875" s="0" t="str">
        <f aca="false">IF($A875="","",IF(AW875="Y",BY875&amp;"",BK875&amp;""))</f>
        <v/>
      </c>
      <c r="AC875" s="0" t="str">
        <f aca="false">IF($A875="","",IF(AW875="Y",BS875&amp;"",BE875&amp;""))</f>
        <v/>
      </c>
      <c r="AD875" s="0" t="str">
        <f aca="false">IF($A875="","",IF(AW875="Y",BT875&amp;"",BF875&amp;""))</f>
        <v/>
      </c>
      <c r="AE875" s="0" t="str">
        <f aca="false">IF($A875="","",IF(AW875="Y",BU875&amp;"",BG875&amp;""))</f>
        <v/>
      </c>
      <c r="AF875" s="0" t="str">
        <f aca="false">IF($A875="","",IF(AW875="Y",BV875&amp;"",BH875&amp;""))</f>
        <v/>
      </c>
      <c r="AG875" s="0" t="str">
        <f aca="false">IF($A875="","",IF(AW875="Y",BW875&amp;"",BI875&amp;""))</f>
        <v/>
      </c>
      <c r="AH875" s="0" t="str">
        <f aca="false">IF($A875="","",IF(AW875="Y",BX875&amp;"",BJ875&amp;""))</f>
        <v/>
      </c>
      <c r="AQ875" s="5"/>
      <c r="AT875" s="0" t="str">
        <f aca="false">IF($A875="","",IF(AND(CN875="pass",AQ875&lt;&gt;"Y",C875&lt;&gt;"",OR(AX875&lt;&gt;"Y",AV875="Y")),"Y","N"))</f>
        <v/>
      </c>
      <c r="AU875" s="0" t="str">
        <f aca="false">IF($A875="","",_xlfn.TEXTJOIN("; ",TRUE(),IF(CN875&lt;&gt;"pass","gated out",""),IF(AQ875="Y","on hold: "&amp;AR875,""),IF(C875="","no contact named on an opened page",""),IF(AND(AX875="Y",AV875&lt;&gt;"Y"),"Tuesday estimate band "&amp;L875&amp;": founder's call","")))</f>
        <v/>
      </c>
      <c r="BC875" s="0" t="str">
        <f aca="false">IF($A875="","",IFERROR(INDEX(Enrichment!$A$2:$GZ$2000,MATCH($A875,INDEX(Enrichment!$A$2:$GZ$2000,0,MATCH("row_id",Enrichment!$A$1:$GZ$1,0)),0),MATCH("work_email",Enrichment!$A$1:$GZ$1,0))&amp;"",""))</f>
        <v/>
      </c>
      <c r="BD875" s="0" t="str">
        <f aca="false">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Q875" s="0" t="str">
        <f aca="false">IF($A875="","",IFERROR(INDEX(Enrichment!$A$2:$GZ$2000,MATCH($A875,INDEX(Enrichment!$A$2:$GZ$2000,0,MATCH("row_id",Enrichment!$A$1:$GZ$1,0)),0),MATCH("backup_work_email",Enrichment!$A$1:$GZ$1,0))&amp;"",""))</f>
        <v/>
      </c>
      <c r="BR875" s="0" t="str">
        <f aca="false">IF($A875="","",IF(BQ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EQ875" s="0" t="str">
        <f aca="false">IF($A875="","",IF(AH875="exact",10,IF(AH875="adjacent",5,0)))</f>
        <v/>
      </c>
      <c r="ER875" s="0" t="str">
        <f aca="false">IF($A875="","",IF(R875="Y",15,0))</f>
        <v/>
      </c>
      <c r="FS875" s="0" t="str">
        <f aca="false">IF($A875="","",IF(ISNUMBER(MATCH(U875,{"queued","contacted","replied","call_booked","call_done","yes_in_principle","materials_sent"},0)),"Y","N"))</f>
        <v/>
      </c>
      <c r="FT875" s="0" t="str">
        <f aca="false">IF($A875="","",IF(OR(T875="Y",U875="do_not_contact",AS875&amp;""&lt;&gt;""),"Y","N"))</f>
        <v/>
      </c>
      <c r="FU875" s="0" t="str">
        <f aca="false">IF($A875="","",IF(AP875&amp;""&lt;&gt;"",AP875&amp;"",$A875))</f>
        <v/>
      </c>
      <c r="FV875" s="0" t="str">
        <f aca="false">IF($A875="","",IF(COUNTIFS($FU$2:$FU$1000,FU875,$FS$2:$FS$1000,"Y")+COUNTIFS($FU$2:$FU$1000,FU875,$FT$2:$FT$1000,"Y")&gt;0,"Y","N"))</f>
        <v/>
      </c>
      <c r="FW875" s="0" t="str">
        <f aca="false">IF($A875="","",IF(AND(U875="new",T875="N",FT875="N",AT875="Y",FV875="N"),"Y","N"))</f>
        <v/>
      </c>
      <c r="FX875" s="0" t="str">
        <f aca="false">IF($A875="","",IF(FW875&lt;&gt;"Y","N",IF(COUNTIFS($FU$2:$FU$1000,FU875,$FW$2:$FW$1000,"Y",$J$2:$J$1000,"&gt;"&amp;J875)+COUNTIFS($FU$2:$FU$1000,FU875,$FW$2:$FW$1000,"Y",$J$2:$J$1000,J875,$GD$2:$GD$1000,"&lt;"&amp;GD875)=0,"Y","N")))</f>
        <v/>
      </c>
      <c r="FY875" s="0" t="str">
        <f aca="false">IF($A875="","",IF(AND(FW875="Y",FX875="Y",Y875&amp;""&lt;&gt;""),IF(Y875&lt;=10,"Y","N"),"N"))</f>
        <v/>
      </c>
      <c r="FZ875" s="0" t="str">
        <f aca="false">IF(FY875="Y",Y875,"")</f>
        <v/>
      </c>
      <c r="GA875" s="0" t="str">
        <f aca="false">IF($A875="","",IF(AND(I875="walk-in",CN875="pass",U875="new",FT875="N",FV875="N",AQ875&lt;&gt;"Y"),"Y","N"))</f>
        <v/>
      </c>
      <c r="GB875" s="0" t="str">
        <f aca="false">IF(GA875&lt;&gt;"Y","",IF(COUNTIFS($GA$2:$GA$1000,"Y",$J$2:$J$1000,"&gt;"&amp;J875)+COUNTIFS($GA$2:$GA$1000,"Y",$J$2:$J$1000,J875,$GD$2:$GD$1000,"&lt;"&amp;GD875)+1&lt;=25,COUNTIFS($GA$2:$GA$1000,"Y",$J$2:$J$1000,"&gt;"&amp;J875)+COUNTIFS($GA$2:$GA$1000,"Y",$J$2:$J$1000,J875,$GD$2:$GD$1000,"&lt;"&amp;GD875)+1,""))</f>
        <v/>
      </c>
      <c r="GC875" s="0" t="str">
        <f aca="false">IF(AND(_xlfn.ISFORMULA(C875),_xlfn.ISFORMULA(J875)),"Y","N")</f>
        <v>Y</v>
      </c>
      <c r="GD875" s="0" t="n">
        <f aca="false">ROW()-1</f>
        <v>874</v>
      </c>
    </row>
    <row r="876" customFormat="false" ht="15" hidden="false" customHeight="false" outlineLevel="0" collapsed="false">
      <c r="C876" s="0" t="str">
        <f aca="false">IF($A876="","",IF(AW876="Y",BM876&amp;"",AY876&amp;""))</f>
        <v/>
      </c>
      <c r="D876" s="0" t="str">
        <f aca="false">IF($A876="","",IF(AW876="Y",BN876&amp;"",AZ876&amp;""))</f>
        <v/>
      </c>
      <c r="E876" s="0" t="str">
        <f aca="false">IF($A876="","",IF(AW876="Y",BO876&amp;"",BA876&amp;""))</f>
        <v/>
      </c>
      <c r="F876" s="0" t="str">
        <f aca="false">IF($A876="","",IF(AW876="Y",BP876&amp;"",BB876&amp;""))</f>
        <v/>
      </c>
      <c r="G876" s="0" t="str">
        <f aca="false">IF($A876="","",IF(AW876="Y",BQ876&amp;"",BC876&amp;""))</f>
        <v/>
      </c>
      <c r="H876" s="0" t="str">
        <f aca="false">IF($A876="","",IF(AW876="Y",BR876&amp;"",BD876&amp;""))</f>
        <v/>
      </c>
      <c r="I876" s="0" t="str">
        <f aca="false">IF($A876="","",IF(R876="Y","warm-intro",IF(H876="verified","email",IF(C876&lt;&gt;"","linkedin",CB876&amp;""))))</f>
        <v/>
      </c>
      <c r="J876" s="0" t="str">
        <f aca="false">IF($A876="","",IF(CN876="pass",ROUND(N(EM876)+N(EN876)+N(EO876)+N(EP876)+N(EQ876)+N(ER876),1),0))</f>
        <v/>
      </c>
      <c r="K876" s="0" t="str">
        <f aca="false">IF($A876="","",IF(CN876&lt;&gt;"pass",CA876&amp;"",CA876&amp;"; "&amp;IF(AW876="Y",BZ876&amp;"",BL876&amp;"")&amp;IF(R876="Y","; known to the founder (+15)","")&amp;"."))</f>
        <v/>
      </c>
      <c r="R876" s="5"/>
      <c r="U876" s="5"/>
      <c r="Y876" s="0" t="str">
        <f aca="false">IF(FX876&lt;&gt;"Y","",COUNTIFS($FX$2:$FX$1000,"Y",$J$2:$J$1000,"&gt;"&amp;J876)+COUNTIFS($FX$2:$FX$1000,"Y",$J$2:$J$1000,J876,$GD$2:$GD$1000,"&lt;"&amp;GD876)+1)</f>
        <v/>
      </c>
      <c r="AB876" s="0" t="str">
        <f aca="false">IF($A876="","",IF(AW876="Y",BY876&amp;"",BK876&amp;""))</f>
        <v/>
      </c>
      <c r="AC876" s="0" t="str">
        <f aca="false">IF($A876="","",IF(AW876="Y",BS876&amp;"",BE876&amp;""))</f>
        <v/>
      </c>
      <c r="AD876" s="0" t="str">
        <f aca="false">IF($A876="","",IF(AW876="Y",BT876&amp;"",BF876&amp;""))</f>
        <v/>
      </c>
      <c r="AE876" s="0" t="str">
        <f aca="false">IF($A876="","",IF(AW876="Y",BU876&amp;"",BG876&amp;""))</f>
        <v/>
      </c>
      <c r="AF876" s="0" t="str">
        <f aca="false">IF($A876="","",IF(AW876="Y",BV876&amp;"",BH876&amp;""))</f>
        <v/>
      </c>
      <c r="AG876" s="0" t="str">
        <f aca="false">IF($A876="","",IF(AW876="Y",BW876&amp;"",BI876&amp;""))</f>
        <v/>
      </c>
      <c r="AH876" s="0" t="str">
        <f aca="false">IF($A876="","",IF(AW876="Y",BX876&amp;"",BJ876&amp;""))</f>
        <v/>
      </c>
      <c r="AQ876" s="5"/>
      <c r="AT876" s="0" t="str">
        <f aca="false">IF($A876="","",IF(AND(CN876="pass",AQ876&lt;&gt;"Y",C876&lt;&gt;"",OR(AX876&lt;&gt;"Y",AV876="Y")),"Y","N"))</f>
        <v/>
      </c>
      <c r="AU876" s="0" t="str">
        <f aca="false">IF($A876="","",_xlfn.TEXTJOIN("; ",TRUE(),IF(CN876&lt;&gt;"pass","gated out",""),IF(AQ876="Y","on hold: "&amp;AR876,""),IF(C876="","no contact named on an opened page",""),IF(AND(AX876="Y",AV876&lt;&gt;"Y"),"Tuesday estimate band "&amp;L876&amp;": founder's call","")))</f>
        <v/>
      </c>
      <c r="BC876" s="0" t="str">
        <f aca="false">IF($A876="","",IFERROR(INDEX(Enrichment!$A$2:$GZ$2000,MATCH($A876,INDEX(Enrichment!$A$2:$GZ$2000,0,MATCH("row_id",Enrichment!$A$1:$GZ$1,0)),0),MATCH("work_email",Enrichment!$A$1:$GZ$1,0))&amp;"",""))</f>
        <v/>
      </c>
      <c r="BD876" s="0" t="str">
        <f aca="false">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Q876" s="0" t="str">
        <f aca="false">IF($A876="","",IFERROR(INDEX(Enrichment!$A$2:$GZ$2000,MATCH($A876,INDEX(Enrichment!$A$2:$GZ$2000,0,MATCH("row_id",Enrichment!$A$1:$GZ$1,0)),0),MATCH("backup_work_email",Enrichment!$A$1:$GZ$1,0))&amp;"",""))</f>
        <v/>
      </c>
      <c r="BR876" s="0" t="str">
        <f aca="false">IF($A876="","",IF(BQ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EQ876" s="0" t="str">
        <f aca="false">IF($A876="","",IF(AH876="exact",10,IF(AH876="adjacent",5,0)))</f>
        <v/>
      </c>
      <c r="ER876" s="0" t="str">
        <f aca="false">IF($A876="","",IF(R876="Y",15,0))</f>
        <v/>
      </c>
      <c r="FS876" s="0" t="str">
        <f aca="false">IF($A876="","",IF(ISNUMBER(MATCH(U876,{"queued","contacted","replied","call_booked","call_done","yes_in_principle","materials_sent"},0)),"Y","N"))</f>
        <v/>
      </c>
      <c r="FT876" s="0" t="str">
        <f aca="false">IF($A876="","",IF(OR(T876="Y",U876="do_not_contact",AS876&amp;""&lt;&gt;""),"Y","N"))</f>
        <v/>
      </c>
      <c r="FU876" s="0" t="str">
        <f aca="false">IF($A876="","",IF(AP876&amp;""&lt;&gt;"",AP876&amp;"",$A876))</f>
        <v/>
      </c>
      <c r="FV876" s="0" t="str">
        <f aca="false">IF($A876="","",IF(COUNTIFS($FU$2:$FU$1000,FU876,$FS$2:$FS$1000,"Y")+COUNTIFS($FU$2:$FU$1000,FU876,$FT$2:$FT$1000,"Y")&gt;0,"Y","N"))</f>
        <v/>
      </c>
      <c r="FW876" s="0" t="str">
        <f aca="false">IF($A876="","",IF(AND(U876="new",T876="N",FT876="N",AT876="Y",FV876="N"),"Y","N"))</f>
        <v/>
      </c>
      <c r="FX876" s="0" t="str">
        <f aca="false">IF($A876="","",IF(FW876&lt;&gt;"Y","N",IF(COUNTIFS($FU$2:$FU$1000,FU876,$FW$2:$FW$1000,"Y",$J$2:$J$1000,"&gt;"&amp;J876)+COUNTIFS($FU$2:$FU$1000,FU876,$FW$2:$FW$1000,"Y",$J$2:$J$1000,J876,$GD$2:$GD$1000,"&lt;"&amp;GD876)=0,"Y","N")))</f>
        <v/>
      </c>
      <c r="FY876" s="0" t="str">
        <f aca="false">IF($A876="","",IF(AND(FW876="Y",FX876="Y",Y876&amp;""&lt;&gt;""),IF(Y876&lt;=10,"Y","N"),"N"))</f>
        <v/>
      </c>
      <c r="FZ876" s="0" t="str">
        <f aca="false">IF(FY876="Y",Y876,"")</f>
        <v/>
      </c>
      <c r="GA876" s="0" t="str">
        <f aca="false">IF($A876="","",IF(AND(I876="walk-in",CN876="pass",U876="new",FT876="N",FV876="N",AQ876&lt;&gt;"Y"),"Y","N"))</f>
        <v/>
      </c>
      <c r="GB876" s="0" t="str">
        <f aca="false">IF(GA876&lt;&gt;"Y","",IF(COUNTIFS($GA$2:$GA$1000,"Y",$J$2:$J$1000,"&gt;"&amp;J876)+COUNTIFS($GA$2:$GA$1000,"Y",$J$2:$J$1000,J876,$GD$2:$GD$1000,"&lt;"&amp;GD876)+1&lt;=25,COUNTIFS($GA$2:$GA$1000,"Y",$J$2:$J$1000,"&gt;"&amp;J876)+COUNTIFS($GA$2:$GA$1000,"Y",$J$2:$J$1000,J876,$GD$2:$GD$1000,"&lt;"&amp;GD876)+1,""))</f>
        <v/>
      </c>
      <c r="GC876" s="0" t="str">
        <f aca="false">IF(AND(_xlfn.ISFORMULA(C876),_xlfn.ISFORMULA(J876)),"Y","N")</f>
        <v>Y</v>
      </c>
      <c r="GD876" s="0" t="n">
        <f aca="false">ROW()-1</f>
        <v>875</v>
      </c>
    </row>
    <row r="877" customFormat="false" ht="15" hidden="false" customHeight="false" outlineLevel="0" collapsed="false">
      <c r="C877" s="0" t="str">
        <f aca="false">IF($A877="","",IF(AW877="Y",BM877&amp;"",AY877&amp;""))</f>
        <v/>
      </c>
      <c r="D877" s="0" t="str">
        <f aca="false">IF($A877="","",IF(AW877="Y",BN877&amp;"",AZ877&amp;""))</f>
        <v/>
      </c>
      <c r="E877" s="0" t="str">
        <f aca="false">IF($A877="","",IF(AW877="Y",BO877&amp;"",BA877&amp;""))</f>
        <v/>
      </c>
      <c r="F877" s="0" t="str">
        <f aca="false">IF($A877="","",IF(AW877="Y",BP877&amp;"",BB877&amp;""))</f>
        <v/>
      </c>
      <c r="G877" s="0" t="str">
        <f aca="false">IF($A877="","",IF(AW877="Y",BQ877&amp;"",BC877&amp;""))</f>
        <v/>
      </c>
      <c r="H877" s="0" t="str">
        <f aca="false">IF($A877="","",IF(AW877="Y",BR877&amp;"",BD877&amp;""))</f>
        <v/>
      </c>
      <c r="I877" s="0" t="str">
        <f aca="false">IF($A877="","",IF(R877="Y","warm-intro",IF(H877="verified","email",IF(C877&lt;&gt;"","linkedin",CB877&amp;""))))</f>
        <v/>
      </c>
      <c r="J877" s="0" t="str">
        <f aca="false">IF($A877="","",IF(CN877="pass",ROUND(N(EM877)+N(EN877)+N(EO877)+N(EP877)+N(EQ877)+N(ER877),1),0))</f>
        <v/>
      </c>
      <c r="K877" s="0" t="str">
        <f aca="false">IF($A877="","",IF(CN877&lt;&gt;"pass",CA877&amp;"",CA877&amp;"; "&amp;IF(AW877="Y",BZ877&amp;"",BL877&amp;"")&amp;IF(R877="Y","; known to the founder (+15)","")&amp;"."))</f>
        <v/>
      </c>
      <c r="R877" s="5"/>
      <c r="U877" s="5"/>
      <c r="Y877" s="0" t="str">
        <f aca="false">IF(FX877&lt;&gt;"Y","",COUNTIFS($FX$2:$FX$1000,"Y",$J$2:$J$1000,"&gt;"&amp;J877)+COUNTIFS($FX$2:$FX$1000,"Y",$J$2:$J$1000,J877,$GD$2:$GD$1000,"&lt;"&amp;GD877)+1)</f>
        <v/>
      </c>
      <c r="AB877" s="0" t="str">
        <f aca="false">IF($A877="","",IF(AW877="Y",BY877&amp;"",BK877&amp;""))</f>
        <v/>
      </c>
      <c r="AC877" s="0" t="str">
        <f aca="false">IF($A877="","",IF(AW877="Y",BS877&amp;"",BE877&amp;""))</f>
        <v/>
      </c>
      <c r="AD877" s="0" t="str">
        <f aca="false">IF($A877="","",IF(AW877="Y",BT877&amp;"",BF877&amp;""))</f>
        <v/>
      </c>
      <c r="AE877" s="0" t="str">
        <f aca="false">IF($A877="","",IF(AW877="Y",BU877&amp;"",BG877&amp;""))</f>
        <v/>
      </c>
      <c r="AF877" s="0" t="str">
        <f aca="false">IF($A877="","",IF(AW877="Y",BV877&amp;"",BH877&amp;""))</f>
        <v/>
      </c>
      <c r="AG877" s="0" t="str">
        <f aca="false">IF($A877="","",IF(AW877="Y",BW877&amp;"",BI877&amp;""))</f>
        <v/>
      </c>
      <c r="AH877" s="0" t="str">
        <f aca="false">IF($A877="","",IF(AW877="Y",BX877&amp;"",BJ877&amp;""))</f>
        <v/>
      </c>
      <c r="AQ877" s="5"/>
      <c r="AT877" s="0" t="str">
        <f aca="false">IF($A877="","",IF(AND(CN877="pass",AQ877&lt;&gt;"Y",C877&lt;&gt;"",OR(AX877&lt;&gt;"Y",AV877="Y")),"Y","N"))</f>
        <v/>
      </c>
      <c r="AU877" s="0" t="str">
        <f aca="false">IF($A877="","",_xlfn.TEXTJOIN("; ",TRUE(),IF(CN877&lt;&gt;"pass","gated out",""),IF(AQ877="Y","on hold: "&amp;AR877,""),IF(C877="","no contact named on an opened page",""),IF(AND(AX877="Y",AV877&lt;&gt;"Y"),"Tuesday estimate band "&amp;L877&amp;": founder's call","")))</f>
        <v/>
      </c>
      <c r="BC877" s="0" t="str">
        <f aca="false">IF($A877="","",IFERROR(INDEX(Enrichment!$A$2:$GZ$2000,MATCH($A877,INDEX(Enrichment!$A$2:$GZ$2000,0,MATCH("row_id",Enrichment!$A$1:$GZ$1,0)),0),MATCH("work_email",Enrichment!$A$1:$GZ$1,0))&amp;"",""))</f>
        <v/>
      </c>
      <c r="BD877" s="0" t="str">
        <f aca="false">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Q877" s="0" t="str">
        <f aca="false">IF($A877="","",IFERROR(INDEX(Enrichment!$A$2:$GZ$2000,MATCH($A877,INDEX(Enrichment!$A$2:$GZ$2000,0,MATCH("row_id",Enrichment!$A$1:$GZ$1,0)),0),MATCH("backup_work_email",Enrichment!$A$1:$GZ$1,0))&amp;"",""))</f>
        <v/>
      </c>
      <c r="BR877" s="0" t="str">
        <f aca="false">IF($A877="","",IF(BQ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EQ877" s="0" t="str">
        <f aca="false">IF($A877="","",IF(AH877="exact",10,IF(AH877="adjacent",5,0)))</f>
        <v/>
      </c>
      <c r="ER877" s="0" t="str">
        <f aca="false">IF($A877="","",IF(R877="Y",15,0))</f>
        <v/>
      </c>
      <c r="FS877" s="0" t="str">
        <f aca="false">IF($A877="","",IF(ISNUMBER(MATCH(U877,{"queued","contacted","replied","call_booked","call_done","yes_in_principle","materials_sent"},0)),"Y","N"))</f>
        <v/>
      </c>
      <c r="FT877" s="0" t="str">
        <f aca="false">IF($A877="","",IF(OR(T877="Y",U877="do_not_contact",AS877&amp;""&lt;&gt;""),"Y","N"))</f>
        <v/>
      </c>
      <c r="FU877" s="0" t="str">
        <f aca="false">IF($A877="","",IF(AP877&amp;""&lt;&gt;"",AP877&amp;"",$A877))</f>
        <v/>
      </c>
      <c r="FV877" s="0" t="str">
        <f aca="false">IF($A877="","",IF(COUNTIFS($FU$2:$FU$1000,FU877,$FS$2:$FS$1000,"Y")+COUNTIFS($FU$2:$FU$1000,FU877,$FT$2:$FT$1000,"Y")&gt;0,"Y","N"))</f>
        <v/>
      </c>
      <c r="FW877" s="0" t="str">
        <f aca="false">IF($A877="","",IF(AND(U877="new",T877="N",FT877="N",AT877="Y",FV877="N"),"Y","N"))</f>
        <v/>
      </c>
      <c r="FX877" s="0" t="str">
        <f aca="false">IF($A877="","",IF(FW877&lt;&gt;"Y","N",IF(COUNTIFS($FU$2:$FU$1000,FU877,$FW$2:$FW$1000,"Y",$J$2:$J$1000,"&gt;"&amp;J877)+COUNTIFS($FU$2:$FU$1000,FU877,$FW$2:$FW$1000,"Y",$J$2:$J$1000,J877,$GD$2:$GD$1000,"&lt;"&amp;GD877)=0,"Y","N")))</f>
        <v/>
      </c>
      <c r="FY877" s="0" t="str">
        <f aca="false">IF($A877="","",IF(AND(FW877="Y",FX877="Y",Y877&amp;""&lt;&gt;""),IF(Y877&lt;=10,"Y","N"),"N"))</f>
        <v/>
      </c>
      <c r="FZ877" s="0" t="str">
        <f aca="false">IF(FY877="Y",Y877,"")</f>
        <v/>
      </c>
      <c r="GA877" s="0" t="str">
        <f aca="false">IF($A877="","",IF(AND(I877="walk-in",CN877="pass",U877="new",FT877="N",FV877="N",AQ877&lt;&gt;"Y"),"Y","N"))</f>
        <v/>
      </c>
      <c r="GB877" s="0" t="str">
        <f aca="false">IF(GA877&lt;&gt;"Y","",IF(COUNTIFS($GA$2:$GA$1000,"Y",$J$2:$J$1000,"&gt;"&amp;J877)+COUNTIFS($GA$2:$GA$1000,"Y",$J$2:$J$1000,J877,$GD$2:$GD$1000,"&lt;"&amp;GD877)+1&lt;=25,COUNTIFS($GA$2:$GA$1000,"Y",$J$2:$J$1000,"&gt;"&amp;J877)+COUNTIFS($GA$2:$GA$1000,"Y",$J$2:$J$1000,J877,$GD$2:$GD$1000,"&lt;"&amp;GD877)+1,""))</f>
        <v/>
      </c>
      <c r="GC877" s="0" t="str">
        <f aca="false">IF(AND(_xlfn.ISFORMULA(C877),_xlfn.ISFORMULA(J877)),"Y","N")</f>
        <v>Y</v>
      </c>
      <c r="GD877" s="0" t="n">
        <f aca="false">ROW()-1</f>
        <v>876</v>
      </c>
    </row>
    <row r="878" customFormat="false" ht="15" hidden="false" customHeight="false" outlineLevel="0" collapsed="false">
      <c r="C878" s="0" t="str">
        <f aca="false">IF($A878="","",IF(AW878="Y",BM878&amp;"",AY878&amp;""))</f>
        <v/>
      </c>
      <c r="D878" s="0" t="str">
        <f aca="false">IF($A878="","",IF(AW878="Y",BN878&amp;"",AZ878&amp;""))</f>
        <v/>
      </c>
      <c r="E878" s="0" t="str">
        <f aca="false">IF($A878="","",IF(AW878="Y",BO878&amp;"",BA878&amp;""))</f>
        <v/>
      </c>
      <c r="F878" s="0" t="str">
        <f aca="false">IF($A878="","",IF(AW878="Y",BP878&amp;"",BB878&amp;""))</f>
        <v/>
      </c>
      <c r="G878" s="0" t="str">
        <f aca="false">IF($A878="","",IF(AW878="Y",BQ878&amp;"",BC878&amp;""))</f>
        <v/>
      </c>
      <c r="H878" s="0" t="str">
        <f aca="false">IF($A878="","",IF(AW878="Y",BR878&amp;"",BD878&amp;""))</f>
        <v/>
      </c>
      <c r="I878" s="0" t="str">
        <f aca="false">IF($A878="","",IF(R878="Y","warm-intro",IF(H878="verified","email",IF(C878&lt;&gt;"","linkedin",CB878&amp;""))))</f>
        <v/>
      </c>
      <c r="J878" s="0" t="str">
        <f aca="false">IF($A878="","",IF(CN878="pass",ROUND(N(EM878)+N(EN878)+N(EO878)+N(EP878)+N(EQ878)+N(ER878),1),0))</f>
        <v/>
      </c>
      <c r="K878" s="0" t="str">
        <f aca="false">IF($A878="","",IF(CN878&lt;&gt;"pass",CA878&amp;"",CA878&amp;"; "&amp;IF(AW878="Y",BZ878&amp;"",BL878&amp;"")&amp;IF(R878="Y","; known to the founder (+15)","")&amp;"."))</f>
        <v/>
      </c>
      <c r="R878" s="5"/>
      <c r="U878" s="5"/>
      <c r="Y878" s="0" t="str">
        <f aca="false">IF(FX878&lt;&gt;"Y","",COUNTIFS($FX$2:$FX$1000,"Y",$J$2:$J$1000,"&gt;"&amp;J878)+COUNTIFS($FX$2:$FX$1000,"Y",$J$2:$J$1000,J878,$GD$2:$GD$1000,"&lt;"&amp;GD878)+1)</f>
        <v/>
      </c>
      <c r="AB878" s="0" t="str">
        <f aca="false">IF($A878="","",IF(AW878="Y",BY878&amp;"",BK878&amp;""))</f>
        <v/>
      </c>
      <c r="AC878" s="0" t="str">
        <f aca="false">IF($A878="","",IF(AW878="Y",BS878&amp;"",BE878&amp;""))</f>
        <v/>
      </c>
      <c r="AD878" s="0" t="str">
        <f aca="false">IF($A878="","",IF(AW878="Y",BT878&amp;"",BF878&amp;""))</f>
        <v/>
      </c>
      <c r="AE878" s="0" t="str">
        <f aca="false">IF($A878="","",IF(AW878="Y",BU878&amp;"",BG878&amp;""))</f>
        <v/>
      </c>
      <c r="AF878" s="0" t="str">
        <f aca="false">IF($A878="","",IF(AW878="Y",BV878&amp;"",BH878&amp;""))</f>
        <v/>
      </c>
      <c r="AG878" s="0" t="str">
        <f aca="false">IF($A878="","",IF(AW878="Y",BW878&amp;"",BI878&amp;""))</f>
        <v/>
      </c>
      <c r="AH878" s="0" t="str">
        <f aca="false">IF($A878="","",IF(AW878="Y",BX878&amp;"",BJ878&amp;""))</f>
        <v/>
      </c>
      <c r="AQ878" s="5"/>
      <c r="AT878" s="0" t="str">
        <f aca="false">IF($A878="","",IF(AND(CN878="pass",AQ878&lt;&gt;"Y",C878&lt;&gt;"",OR(AX878&lt;&gt;"Y",AV878="Y")),"Y","N"))</f>
        <v/>
      </c>
      <c r="AU878" s="0" t="str">
        <f aca="false">IF($A878="","",_xlfn.TEXTJOIN("; ",TRUE(),IF(CN878&lt;&gt;"pass","gated out",""),IF(AQ878="Y","on hold: "&amp;AR878,""),IF(C878="","no contact named on an opened page",""),IF(AND(AX878="Y",AV878&lt;&gt;"Y"),"Tuesday estimate band "&amp;L878&amp;": founder's call","")))</f>
        <v/>
      </c>
      <c r="BC878" s="0" t="str">
        <f aca="false">IF($A878="","",IFERROR(INDEX(Enrichment!$A$2:$GZ$2000,MATCH($A878,INDEX(Enrichment!$A$2:$GZ$2000,0,MATCH("row_id",Enrichment!$A$1:$GZ$1,0)),0),MATCH("work_email",Enrichment!$A$1:$GZ$1,0))&amp;"",""))</f>
        <v/>
      </c>
      <c r="BD878" s="0" t="str">
        <f aca="false">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Q878" s="0" t="str">
        <f aca="false">IF($A878="","",IFERROR(INDEX(Enrichment!$A$2:$GZ$2000,MATCH($A878,INDEX(Enrichment!$A$2:$GZ$2000,0,MATCH("row_id",Enrichment!$A$1:$GZ$1,0)),0),MATCH("backup_work_email",Enrichment!$A$1:$GZ$1,0))&amp;"",""))</f>
        <v/>
      </c>
      <c r="BR878" s="0" t="str">
        <f aca="false">IF($A878="","",IF(BQ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EQ878" s="0" t="str">
        <f aca="false">IF($A878="","",IF(AH878="exact",10,IF(AH878="adjacent",5,0)))</f>
        <v/>
      </c>
      <c r="ER878" s="0" t="str">
        <f aca="false">IF($A878="","",IF(R878="Y",15,0))</f>
        <v/>
      </c>
      <c r="FS878" s="0" t="str">
        <f aca="false">IF($A878="","",IF(ISNUMBER(MATCH(U878,{"queued","contacted","replied","call_booked","call_done","yes_in_principle","materials_sent"},0)),"Y","N"))</f>
        <v/>
      </c>
      <c r="FT878" s="0" t="str">
        <f aca="false">IF($A878="","",IF(OR(T878="Y",U878="do_not_contact",AS878&amp;""&lt;&gt;""),"Y","N"))</f>
        <v/>
      </c>
      <c r="FU878" s="0" t="str">
        <f aca="false">IF($A878="","",IF(AP878&amp;""&lt;&gt;"",AP878&amp;"",$A878))</f>
        <v/>
      </c>
      <c r="FV878" s="0" t="str">
        <f aca="false">IF($A878="","",IF(COUNTIFS($FU$2:$FU$1000,FU878,$FS$2:$FS$1000,"Y")+COUNTIFS($FU$2:$FU$1000,FU878,$FT$2:$FT$1000,"Y")&gt;0,"Y","N"))</f>
        <v/>
      </c>
      <c r="FW878" s="0" t="str">
        <f aca="false">IF($A878="","",IF(AND(U878="new",T878="N",FT878="N",AT878="Y",FV878="N"),"Y","N"))</f>
        <v/>
      </c>
      <c r="FX878" s="0" t="str">
        <f aca="false">IF($A878="","",IF(FW878&lt;&gt;"Y","N",IF(COUNTIFS($FU$2:$FU$1000,FU878,$FW$2:$FW$1000,"Y",$J$2:$J$1000,"&gt;"&amp;J878)+COUNTIFS($FU$2:$FU$1000,FU878,$FW$2:$FW$1000,"Y",$J$2:$J$1000,J878,$GD$2:$GD$1000,"&lt;"&amp;GD878)=0,"Y","N")))</f>
        <v/>
      </c>
      <c r="FY878" s="0" t="str">
        <f aca="false">IF($A878="","",IF(AND(FW878="Y",FX878="Y",Y878&amp;""&lt;&gt;""),IF(Y878&lt;=10,"Y","N"),"N"))</f>
        <v/>
      </c>
      <c r="FZ878" s="0" t="str">
        <f aca="false">IF(FY878="Y",Y878,"")</f>
        <v/>
      </c>
      <c r="GA878" s="0" t="str">
        <f aca="false">IF($A878="","",IF(AND(I878="walk-in",CN878="pass",U878="new",FT878="N",FV878="N",AQ878&lt;&gt;"Y"),"Y","N"))</f>
        <v/>
      </c>
      <c r="GB878" s="0" t="str">
        <f aca="false">IF(GA878&lt;&gt;"Y","",IF(COUNTIFS($GA$2:$GA$1000,"Y",$J$2:$J$1000,"&gt;"&amp;J878)+COUNTIFS($GA$2:$GA$1000,"Y",$J$2:$J$1000,J878,$GD$2:$GD$1000,"&lt;"&amp;GD878)+1&lt;=25,COUNTIFS($GA$2:$GA$1000,"Y",$J$2:$J$1000,"&gt;"&amp;J878)+COUNTIFS($GA$2:$GA$1000,"Y",$J$2:$J$1000,J878,$GD$2:$GD$1000,"&lt;"&amp;GD878)+1,""))</f>
        <v/>
      </c>
      <c r="GC878" s="0" t="str">
        <f aca="false">IF(AND(_xlfn.ISFORMULA(C878),_xlfn.ISFORMULA(J878)),"Y","N")</f>
        <v>Y</v>
      </c>
      <c r="GD878" s="0" t="n">
        <f aca="false">ROW()-1</f>
        <v>877</v>
      </c>
    </row>
    <row r="879" customFormat="false" ht="15" hidden="false" customHeight="false" outlineLevel="0" collapsed="false">
      <c r="C879" s="0" t="str">
        <f aca="false">IF($A879="","",IF(AW879="Y",BM879&amp;"",AY879&amp;""))</f>
        <v/>
      </c>
      <c r="D879" s="0" t="str">
        <f aca="false">IF($A879="","",IF(AW879="Y",BN879&amp;"",AZ879&amp;""))</f>
        <v/>
      </c>
      <c r="E879" s="0" t="str">
        <f aca="false">IF($A879="","",IF(AW879="Y",BO879&amp;"",BA879&amp;""))</f>
        <v/>
      </c>
      <c r="F879" s="0" t="str">
        <f aca="false">IF($A879="","",IF(AW879="Y",BP879&amp;"",BB879&amp;""))</f>
        <v/>
      </c>
      <c r="G879" s="0" t="str">
        <f aca="false">IF($A879="","",IF(AW879="Y",BQ879&amp;"",BC879&amp;""))</f>
        <v/>
      </c>
      <c r="H879" s="0" t="str">
        <f aca="false">IF($A879="","",IF(AW879="Y",BR879&amp;"",BD879&amp;""))</f>
        <v/>
      </c>
      <c r="I879" s="0" t="str">
        <f aca="false">IF($A879="","",IF(R879="Y","warm-intro",IF(H879="verified","email",IF(C879&lt;&gt;"","linkedin",CB879&amp;""))))</f>
        <v/>
      </c>
      <c r="J879" s="0" t="str">
        <f aca="false">IF($A879="","",IF(CN879="pass",ROUND(N(EM879)+N(EN879)+N(EO879)+N(EP879)+N(EQ879)+N(ER879),1),0))</f>
        <v/>
      </c>
      <c r="K879" s="0" t="str">
        <f aca="false">IF($A879="","",IF(CN879&lt;&gt;"pass",CA879&amp;"",CA879&amp;"; "&amp;IF(AW879="Y",BZ879&amp;"",BL879&amp;"")&amp;IF(R879="Y","; known to the founder (+15)","")&amp;"."))</f>
        <v/>
      </c>
      <c r="R879" s="5"/>
      <c r="U879" s="5"/>
      <c r="Y879" s="0" t="str">
        <f aca="false">IF(FX879&lt;&gt;"Y","",COUNTIFS($FX$2:$FX$1000,"Y",$J$2:$J$1000,"&gt;"&amp;J879)+COUNTIFS($FX$2:$FX$1000,"Y",$J$2:$J$1000,J879,$GD$2:$GD$1000,"&lt;"&amp;GD879)+1)</f>
        <v/>
      </c>
      <c r="AB879" s="0" t="str">
        <f aca="false">IF($A879="","",IF(AW879="Y",BY879&amp;"",BK879&amp;""))</f>
        <v/>
      </c>
      <c r="AC879" s="0" t="str">
        <f aca="false">IF($A879="","",IF(AW879="Y",BS879&amp;"",BE879&amp;""))</f>
        <v/>
      </c>
      <c r="AD879" s="0" t="str">
        <f aca="false">IF($A879="","",IF(AW879="Y",BT879&amp;"",BF879&amp;""))</f>
        <v/>
      </c>
      <c r="AE879" s="0" t="str">
        <f aca="false">IF($A879="","",IF(AW879="Y",BU879&amp;"",BG879&amp;""))</f>
        <v/>
      </c>
      <c r="AF879" s="0" t="str">
        <f aca="false">IF($A879="","",IF(AW879="Y",BV879&amp;"",BH879&amp;""))</f>
        <v/>
      </c>
      <c r="AG879" s="0" t="str">
        <f aca="false">IF($A879="","",IF(AW879="Y",BW879&amp;"",BI879&amp;""))</f>
        <v/>
      </c>
      <c r="AH879" s="0" t="str">
        <f aca="false">IF($A879="","",IF(AW879="Y",BX879&amp;"",BJ879&amp;""))</f>
        <v/>
      </c>
      <c r="AQ879" s="5"/>
      <c r="AT879" s="0" t="str">
        <f aca="false">IF($A879="","",IF(AND(CN879="pass",AQ879&lt;&gt;"Y",C879&lt;&gt;"",OR(AX879&lt;&gt;"Y",AV879="Y")),"Y","N"))</f>
        <v/>
      </c>
      <c r="AU879" s="0" t="str">
        <f aca="false">IF($A879="","",_xlfn.TEXTJOIN("; ",TRUE(),IF(CN879&lt;&gt;"pass","gated out",""),IF(AQ879="Y","on hold: "&amp;AR879,""),IF(C879="","no contact named on an opened page",""),IF(AND(AX879="Y",AV879&lt;&gt;"Y"),"Tuesday estimate band "&amp;L879&amp;": founder's call","")))</f>
        <v/>
      </c>
      <c r="BC879" s="0" t="str">
        <f aca="false">IF($A879="","",IFERROR(INDEX(Enrichment!$A$2:$GZ$2000,MATCH($A879,INDEX(Enrichment!$A$2:$GZ$2000,0,MATCH("row_id",Enrichment!$A$1:$GZ$1,0)),0),MATCH("work_email",Enrichment!$A$1:$GZ$1,0))&amp;"",""))</f>
        <v/>
      </c>
      <c r="BD879" s="0" t="str">
        <f aca="false">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Q879" s="0" t="str">
        <f aca="false">IF($A879="","",IFERROR(INDEX(Enrichment!$A$2:$GZ$2000,MATCH($A879,INDEX(Enrichment!$A$2:$GZ$2000,0,MATCH("row_id",Enrichment!$A$1:$GZ$1,0)),0),MATCH("backup_work_email",Enrichment!$A$1:$GZ$1,0))&amp;"",""))</f>
        <v/>
      </c>
      <c r="BR879" s="0" t="str">
        <f aca="false">IF($A879="","",IF(BQ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EQ879" s="0" t="str">
        <f aca="false">IF($A879="","",IF(AH879="exact",10,IF(AH879="adjacent",5,0)))</f>
        <v/>
      </c>
      <c r="ER879" s="0" t="str">
        <f aca="false">IF($A879="","",IF(R879="Y",15,0))</f>
        <v/>
      </c>
      <c r="FS879" s="0" t="str">
        <f aca="false">IF($A879="","",IF(ISNUMBER(MATCH(U879,{"queued","contacted","replied","call_booked","call_done","yes_in_principle","materials_sent"},0)),"Y","N"))</f>
        <v/>
      </c>
      <c r="FT879" s="0" t="str">
        <f aca="false">IF($A879="","",IF(OR(T879="Y",U879="do_not_contact",AS879&amp;""&lt;&gt;""),"Y","N"))</f>
        <v/>
      </c>
      <c r="FU879" s="0" t="str">
        <f aca="false">IF($A879="","",IF(AP879&amp;""&lt;&gt;"",AP879&amp;"",$A879))</f>
        <v/>
      </c>
      <c r="FV879" s="0" t="str">
        <f aca="false">IF($A879="","",IF(COUNTIFS($FU$2:$FU$1000,FU879,$FS$2:$FS$1000,"Y")+COUNTIFS($FU$2:$FU$1000,FU879,$FT$2:$FT$1000,"Y")&gt;0,"Y","N"))</f>
        <v/>
      </c>
      <c r="FW879" s="0" t="str">
        <f aca="false">IF($A879="","",IF(AND(U879="new",T879="N",FT879="N",AT879="Y",FV879="N"),"Y","N"))</f>
        <v/>
      </c>
      <c r="FX879" s="0" t="str">
        <f aca="false">IF($A879="","",IF(FW879&lt;&gt;"Y","N",IF(COUNTIFS($FU$2:$FU$1000,FU879,$FW$2:$FW$1000,"Y",$J$2:$J$1000,"&gt;"&amp;J879)+COUNTIFS($FU$2:$FU$1000,FU879,$FW$2:$FW$1000,"Y",$J$2:$J$1000,J879,$GD$2:$GD$1000,"&lt;"&amp;GD879)=0,"Y","N")))</f>
        <v/>
      </c>
      <c r="FY879" s="0" t="str">
        <f aca="false">IF($A879="","",IF(AND(FW879="Y",FX879="Y",Y879&amp;""&lt;&gt;""),IF(Y879&lt;=10,"Y","N"),"N"))</f>
        <v/>
      </c>
      <c r="FZ879" s="0" t="str">
        <f aca="false">IF(FY879="Y",Y879,"")</f>
        <v/>
      </c>
      <c r="GA879" s="0" t="str">
        <f aca="false">IF($A879="","",IF(AND(I879="walk-in",CN879="pass",U879="new",FT879="N",FV879="N",AQ879&lt;&gt;"Y"),"Y","N"))</f>
        <v/>
      </c>
      <c r="GB879" s="0" t="str">
        <f aca="false">IF(GA879&lt;&gt;"Y","",IF(COUNTIFS($GA$2:$GA$1000,"Y",$J$2:$J$1000,"&gt;"&amp;J879)+COUNTIFS($GA$2:$GA$1000,"Y",$J$2:$J$1000,J879,$GD$2:$GD$1000,"&lt;"&amp;GD879)+1&lt;=25,COUNTIFS($GA$2:$GA$1000,"Y",$J$2:$J$1000,"&gt;"&amp;J879)+COUNTIFS($GA$2:$GA$1000,"Y",$J$2:$J$1000,J879,$GD$2:$GD$1000,"&lt;"&amp;GD879)+1,""))</f>
        <v/>
      </c>
      <c r="GC879" s="0" t="str">
        <f aca="false">IF(AND(_xlfn.ISFORMULA(C879),_xlfn.ISFORMULA(J879)),"Y","N")</f>
        <v>Y</v>
      </c>
      <c r="GD879" s="0" t="n">
        <f aca="false">ROW()-1</f>
        <v>878</v>
      </c>
    </row>
    <row r="880" customFormat="false" ht="15" hidden="false" customHeight="false" outlineLevel="0" collapsed="false">
      <c r="C880" s="0" t="str">
        <f aca="false">IF($A880="","",IF(AW880="Y",BM880&amp;"",AY880&amp;""))</f>
        <v/>
      </c>
      <c r="D880" s="0" t="str">
        <f aca="false">IF($A880="","",IF(AW880="Y",BN880&amp;"",AZ880&amp;""))</f>
        <v/>
      </c>
      <c r="E880" s="0" t="str">
        <f aca="false">IF($A880="","",IF(AW880="Y",BO880&amp;"",BA880&amp;""))</f>
        <v/>
      </c>
      <c r="F880" s="0" t="str">
        <f aca="false">IF($A880="","",IF(AW880="Y",BP880&amp;"",BB880&amp;""))</f>
        <v/>
      </c>
      <c r="G880" s="0" t="str">
        <f aca="false">IF($A880="","",IF(AW880="Y",BQ880&amp;"",BC880&amp;""))</f>
        <v/>
      </c>
      <c r="H880" s="0" t="str">
        <f aca="false">IF($A880="","",IF(AW880="Y",BR880&amp;"",BD880&amp;""))</f>
        <v/>
      </c>
      <c r="I880" s="0" t="str">
        <f aca="false">IF($A880="","",IF(R880="Y","warm-intro",IF(H880="verified","email",IF(C880&lt;&gt;"","linkedin",CB880&amp;""))))</f>
        <v/>
      </c>
      <c r="J880" s="0" t="str">
        <f aca="false">IF($A880="","",IF(CN880="pass",ROUND(N(EM880)+N(EN880)+N(EO880)+N(EP880)+N(EQ880)+N(ER880),1),0))</f>
        <v/>
      </c>
      <c r="K880" s="0" t="str">
        <f aca="false">IF($A880="","",IF(CN880&lt;&gt;"pass",CA880&amp;"",CA880&amp;"; "&amp;IF(AW880="Y",BZ880&amp;"",BL880&amp;"")&amp;IF(R880="Y","; known to the founder (+15)","")&amp;"."))</f>
        <v/>
      </c>
      <c r="R880" s="5"/>
      <c r="U880" s="5"/>
      <c r="Y880" s="0" t="str">
        <f aca="false">IF(FX880&lt;&gt;"Y","",COUNTIFS($FX$2:$FX$1000,"Y",$J$2:$J$1000,"&gt;"&amp;J880)+COUNTIFS($FX$2:$FX$1000,"Y",$J$2:$J$1000,J880,$GD$2:$GD$1000,"&lt;"&amp;GD880)+1)</f>
        <v/>
      </c>
      <c r="AB880" s="0" t="str">
        <f aca="false">IF($A880="","",IF(AW880="Y",BY880&amp;"",BK880&amp;""))</f>
        <v/>
      </c>
      <c r="AC880" s="0" t="str">
        <f aca="false">IF($A880="","",IF(AW880="Y",BS880&amp;"",BE880&amp;""))</f>
        <v/>
      </c>
      <c r="AD880" s="0" t="str">
        <f aca="false">IF($A880="","",IF(AW880="Y",BT880&amp;"",BF880&amp;""))</f>
        <v/>
      </c>
      <c r="AE880" s="0" t="str">
        <f aca="false">IF($A880="","",IF(AW880="Y",BU880&amp;"",BG880&amp;""))</f>
        <v/>
      </c>
      <c r="AF880" s="0" t="str">
        <f aca="false">IF($A880="","",IF(AW880="Y",BV880&amp;"",BH880&amp;""))</f>
        <v/>
      </c>
      <c r="AG880" s="0" t="str">
        <f aca="false">IF($A880="","",IF(AW880="Y",BW880&amp;"",BI880&amp;""))</f>
        <v/>
      </c>
      <c r="AH880" s="0" t="str">
        <f aca="false">IF($A880="","",IF(AW880="Y",BX880&amp;"",BJ880&amp;""))</f>
        <v/>
      </c>
      <c r="AQ880" s="5"/>
      <c r="AT880" s="0" t="str">
        <f aca="false">IF($A880="","",IF(AND(CN880="pass",AQ880&lt;&gt;"Y",C880&lt;&gt;"",OR(AX880&lt;&gt;"Y",AV880="Y")),"Y","N"))</f>
        <v/>
      </c>
      <c r="AU880" s="0" t="str">
        <f aca="false">IF($A880="","",_xlfn.TEXTJOIN("; ",TRUE(),IF(CN880&lt;&gt;"pass","gated out",""),IF(AQ880="Y","on hold: "&amp;AR880,""),IF(C880="","no contact named on an opened page",""),IF(AND(AX880="Y",AV880&lt;&gt;"Y"),"Tuesday estimate band "&amp;L880&amp;": founder's call","")))</f>
        <v/>
      </c>
      <c r="BC880" s="0" t="str">
        <f aca="false">IF($A880="","",IFERROR(INDEX(Enrichment!$A$2:$GZ$2000,MATCH($A880,INDEX(Enrichment!$A$2:$GZ$2000,0,MATCH("row_id",Enrichment!$A$1:$GZ$1,0)),0),MATCH("work_email",Enrichment!$A$1:$GZ$1,0))&amp;"",""))</f>
        <v/>
      </c>
      <c r="BD880" s="0" t="str">
        <f aca="false">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Q880" s="0" t="str">
        <f aca="false">IF($A880="","",IFERROR(INDEX(Enrichment!$A$2:$GZ$2000,MATCH($A880,INDEX(Enrichment!$A$2:$GZ$2000,0,MATCH("row_id",Enrichment!$A$1:$GZ$1,0)),0),MATCH("backup_work_email",Enrichment!$A$1:$GZ$1,0))&amp;"",""))</f>
        <v/>
      </c>
      <c r="BR880" s="0" t="str">
        <f aca="false">IF($A880="","",IF(BQ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EQ880" s="0" t="str">
        <f aca="false">IF($A880="","",IF(AH880="exact",10,IF(AH880="adjacent",5,0)))</f>
        <v/>
      </c>
      <c r="ER880" s="0" t="str">
        <f aca="false">IF($A880="","",IF(R880="Y",15,0))</f>
        <v/>
      </c>
      <c r="FS880" s="0" t="str">
        <f aca="false">IF($A880="","",IF(ISNUMBER(MATCH(U880,{"queued","contacted","replied","call_booked","call_done","yes_in_principle","materials_sent"},0)),"Y","N"))</f>
        <v/>
      </c>
      <c r="FT880" s="0" t="str">
        <f aca="false">IF($A880="","",IF(OR(T880="Y",U880="do_not_contact",AS880&amp;""&lt;&gt;""),"Y","N"))</f>
        <v/>
      </c>
      <c r="FU880" s="0" t="str">
        <f aca="false">IF($A880="","",IF(AP880&amp;""&lt;&gt;"",AP880&amp;"",$A880))</f>
        <v/>
      </c>
      <c r="FV880" s="0" t="str">
        <f aca="false">IF($A880="","",IF(COUNTIFS($FU$2:$FU$1000,FU880,$FS$2:$FS$1000,"Y")+COUNTIFS($FU$2:$FU$1000,FU880,$FT$2:$FT$1000,"Y")&gt;0,"Y","N"))</f>
        <v/>
      </c>
      <c r="FW880" s="0" t="str">
        <f aca="false">IF($A880="","",IF(AND(U880="new",T880="N",FT880="N",AT880="Y",FV880="N"),"Y","N"))</f>
        <v/>
      </c>
      <c r="FX880" s="0" t="str">
        <f aca="false">IF($A880="","",IF(FW880&lt;&gt;"Y","N",IF(COUNTIFS($FU$2:$FU$1000,FU880,$FW$2:$FW$1000,"Y",$J$2:$J$1000,"&gt;"&amp;J880)+COUNTIFS($FU$2:$FU$1000,FU880,$FW$2:$FW$1000,"Y",$J$2:$J$1000,J880,$GD$2:$GD$1000,"&lt;"&amp;GD880)=0,"Y","N")))</f>
        <v/>
      </c>
      <c r="FY880" s="0" t="str">
        <f aca="false">IF($A880="","",IF(AND(FW880="Y",FX880="Y",Y880&amp;""&lt;&gt;""),IF(Y880&lt;=10,"Y","N"),"N"))</f>
        <v/>
      </c>
      <c r="FZ880" s="0" t="str">
        <f aca="false">IF(FY880="Y",Y880,"")</f>
        <v/>
      </c>
      <c r="GA880" s="0" t="str">
        <f aca="false">IF($A880="","",IF(AND(I880="walk-in",CN880="pass",U880="new",FT880="N",FV880="N",AQ880&lt;&gt;"Y"),"Y","N"))</f>
        <v/>
      </c>
      <c r="GB880" s="0" t="str">
        <f aca="false">IF(GA880&lt;&gt;"Y","",IF(COUNTIFS($GA$2:$GA$1000,"Y",$J$2:$J$1000,"&gt;"&amp;J880)+COUNTIFS($GA$2:$GA$1000,"Y",$J$2:$J$1000,J880,$GD$2:$GD$1000,"&lt;"&amp;GD880)+1&lt;=25,COUNTIFS($GA$2:$GA$1000,"Y",$J$2:$J$1000,"&gt;"&amp;J880)+COUNTIFS($GA$2:$GA$1000,"Y",$J$2:$J$1000,J880,$GD$2:$GD$1000,"&lt;"&amp;GD880)+1,""))</f>
        <v/>
      </c>
      <c r="GC880" s="0" t="str">
        <f aca="false">IF(AND(_xlfn.ISFORMULA(C880),_xlfn.ISFORMULA(J880)),"Y","N")</f>
        <v>Y</v>
      </c>
      <c r="GD880" s="0" t="n">
        <f aca="false">ROW()-1</f>
        <v>879</v>
      </c>
    </row>
    <row r="881" customFormat="false" ht="15" hidden="false" customHeight="false" outlineLevel="0" collapsed="false">
      <c r="C881" s="0" t="str">
        <f aca="false">IF($A881="","",IF(AW881="Y",BM881&amp;"",AY881&amp;""))</f>
        <v/>
      </c>
      <c r="D881" s="0" t="str">
        <f aca="false">IF($A881="","",IF(AW881="Y",BN881&amp;"",AZ881&amp;""))</f>
        <v/>
      </c>
      <c r="E881" s="0" t="str">
        <f aca="false">IF($A881="","",IF(AW881="Y",BO881&amp;"",BA881&amp;""))</f>
        <v/>
      </c>
      <c r="F881" s="0" t="str">
        <f aca="false">IF($A881="","",IF(AW881="Y",BP881&amp;"",BB881&amp;""))</f>
        <v/>
      </c>
      <c r="G881" s="0" t="str">
        <f aca="false">IF($A881="","",IF(AW881="Y",BQ881&amp;"",BC881&amp;""))</f>
        <v/>
      </c>
      <c r="H881" s="0" t="str">
        <f aca="false">IF($A881="","",IF(AW881="Y",BR881&amp;"",BD881&amp;""))</f>
        <v/>
      </c>
      <c r="I881" s="0" t="str">
        <f aca="false">IF($A881="","",IF(R881="Y","warm-intro",IF(H881="verified","email",IF(C881&lt;&gt;"","linkedin",CB881&amp;""))))</f>
        <v/>
      </c>
      <c r="J881" s="0" t="str">
        <f aca="false">IF($A881="","",IF(CN881="pass",ROUND(N(EM881)+N(EN881)+N(EO881)+N(EP881)+N(EQ881)+N(ER881),1),0))</f>
        <v/>
      </c>
      <c r="K881" s="0" t="str">
        <f aca="false">IF($A881="","",IF(CN881&lt;&gt;"pass",CA881&amp;"",CA881&amp;"; "&amp;IF(AW881="Y",BZ881&amp;"",BL881&amp;"")&amp;IF(R881="Y","; known to the founder (+15)","")&amp;"."))</f>
        <v/>
      </c>
      <c r="R881" s="5"/>
      <c r="U881" s="5"/>
      <c r="Y881" s="0" t="str">
        <f aca="false">IF(FX881&lt;&gt;"Y","",COUNTIFS($FX$2:$FX$1000,"Y",$J$2:$J$1000,"&gt;"&amp;J881)+COUNTIFS($FX$2:$FX$1000,"Y",$J$2:$J$1000,J881,$GD$2:$GD$1000,"&lt;"&amp;GD881)+1)</f>
        <v/>
      </c>
      <c r="AB881" s="0" t="str">
        <f aca="false">IF($A881="","",IF(AW881="Y",BY881&amp;"",BK881&amp;""))</f>
        <v/>
      </c>
      <c r="AC881" s="0" t="str">
        <f aca="false">IF($A881="","",IF(AW881="Y",BS881&amp;"",BE881&amp;""))</f>
        <v/>
      </c>
      <c r="AD881" s="0" t="str">
        <f aca="false">IF($A881="","",IF(AW881="Y",BT881&amp;"",BF881&amp;""))</f>
        <v/>
      </c>
      <c r="AE881" s="0" t="str">
        <f aca="false">IF($A881="","",IF(AW881="Y",BU881&amp;"",BG881&amp;""))</f>
        <v/>
      </c>
      <c r="AF881" s="0" t="str">
        <f aca="false">IF($A881="","",IF(AW881="Y",BV881&amp;"",BH881&amp;""))</f>
        <v/>
      </c>
      <c r="AG881" s="0" t="str">
        <f aca="false">IF($A881="","",IF(AW881="Y",BW881&amp;"",BI881&amp;""))</f>
        <v/>
      </c>
      <c r="AH881" s="0" t="str">
        <f aca="false">IF($A881="","",IF(AW881="Y",BX881&amp;"",BJ881&amp;""))</f>
        <v/>
      </c>
      <c r="AQ881" s="5"/>
      <c r="AT881" s="0" t="str">
        <f aca="false">IF($A881="","",IF(AND(CN881="pass",AQ881&lt;&gt;"Y",C881&lt;&gt;"",OR(AX881&lt;&gt;"Y",AV881="Y")),"Y","N"))</f>
        <v/>
      </c>
      <c r="AU881" s="0" t="str">
        <f aca="false">IF($A881="","",_xlfn.TEXTJOIN("; ",TRUE(),IF(CN881&lt;&gt;"pass","gated out",""),IF(AQ881="Y","on hold: "&amp;AR881,""),IF(C881="","no contact named on an opened page",""),IF(AND(AX881="Y",AV881&lt;&gt;"Y"),"Tuesday estimate band "&amp;L881&amp;": founder's call","")))</f>
        <v/>
      </c>
      <c r="BC881" s="0" t="str">
        <f aca="false">IF($A881="","",IFERROR(INDEX(Enrichment!$A$2:$GZ$2000,MATCH($A881,INDEX(Enrichment!$A$2:$GZ$2000,0,MATCH("row_id",Enrichment!$A$1:$GZ$1,0)),0),MATCH("work_email",Enrichment!$A$1:$GZ$1,0))&amp;"",""))</f>
        <v/>
      </c>
      <c r="BD881" s="0" t="str">
        <f aca="false">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Q881" s="0" t="str">
        <f aca="false">IF($A881="","",IFERROR(INDEX(Enrichment!$A$2:$GZ$2000,MATCH($A881,INDEX(Enrichment!$A$2:$GZ$2000,0,MATCH("row_id",Enrichment!$A$1:$GZ$1,0)),0),MATCH("backup_work_email",Enrichment!$A$1:$GZ$1,0))&amp;"",""))</f>
        <v/>
      </c>
      <c r="BR881" s="0" t="str">
        <f aca="false">IF($A881="","",IF(BQ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EQ881" s="0" t="str">
        <f aca="false">IF($A881="","",IF(AH881="exact",10,IF(AH881="adjacent",5,0)))</f>
        <v/>
      </c>
      <c r="ER881" s="0" t="str">
        <f aca="false">IF($A881="","",IF(R881="Y",15,0))</f>
        <v/>
      </c>
      <c r="FS881" s="0" t="str">
        <f aca="false">IF($A881="","",IF(ISNUMBER(MATCH(U881,{"queued","contacted","replied","call_booked","call_done","yes_in_principle","materials_sent"},0)),"Y","N"))</f>
        <v/>
      </c>
      <c r="FT881" s="0" t="str">
        <f aca="false">IF($A881="","",IF(OR(T881="Y",U881="do_not_contact",AS881&amp;""&lt;&gt;""),"Y","N"))</f>
        <v/>
      </c>
      <c r="FU881" s="0" t="str">
        <f aca="false">IF($A881="","",IF(AP881&amp;""&lt;&gt;"",AP881&amp;"",$A881))</f>
        <v/>
      </c>
      <c r="FV881" s="0" t="str">
        <f aca="false">IF($A881="","",IF(COUNTIFS($FU$2:$FU$1000,FU881,$FS$2:$FS$1000,"Y")+COUNTIFS($FU$2:$FU$1000,FU881,$FT$2:$FT$1000,"Y")&gt;0,"Y","N"))</f>
        <v/>
      </c>
      <c r="FW881" s="0" t="str">
        <f aca="false">IF($A881="","",IF(AND(U881="new",T881="N",FT881="N",AT881="Y",FV881="N"),"Y","N"))</f>
        <v/>
      </c>
      <c r="FX881" s="0" t="str">
        <f aca="false">IF($A881="","",IF(FW881&lt;&gt;"Y","N",IF(COUNTIFS($FU$2:$FU$1000,FU881,$FW$2:$FW$1000,"Y",$J$2:$J$1000,"&gt;"&amp;J881)+COUNTIFS($FU$2:$FU$1000,FU881,$FW$2:$FW$1000,"Y",$J$2:$J$1000,J881,$GD$2:$GD$1000,"&lt;"&amp;GD881)=0,"Y","N")))</f>
        <v/>
      </c>
      <c r="FY881" s="0" t="str">
        <f aca="false">IF($A881="","",IF(AND(FW881="Y",FX881="Y",Y881&amp;""&lt;&gt;""),IF(Y881&lt;=10,"Y","N"),"N"))</f>
        <v/>
      </c>
      <c r="FZ881" s="0" t="str">
        <f aca="false">IF(FY881="Y",Y881,"")</f>
        <v/>
      </c>
      <c r="GA881" s="0" t="str">
        <f aca="false">IF($A881="","",IF(AND(I881="walk-in",CN881="pass",U881="new",FT881="N",FV881="N",AQ881&lt;&gt;"Y"),"Y","N"))</f>
        <v/>
      </c>
      <c r="GB881" s="0" t="str">
        <f aca="false">IF(GA881&lt;&gt;"Y","",IF(COUNTIFS($GA$2:$GA$1000,"Y",$J$2:$J$1000,"&gt;"&amp;J881)+COUNTIFS($GA$2:$GA$1000,"Y",$J$2:$J$1000,J881,$GD$2:$GD$1000,"&lt;"&amp;GD881)+1&lt;=25,COUNTIFS($GA$2:$GA$1000,"Y",$J$2:$J$1000,"&gt;"&amp;J881)+COUNTIFS($GA$2:$GA$1000,"Y",$J$2:$J$1000,J881,$GD$2:$GD$1000,"&lt;"&amp;GD881)+1,""))</f>
        <v/>
      </c>
      <c r="GC881" s="0" t="str">
        <f aca="false">IF(AND(_xlfn.ISFORMULA(C881),_xlfn.ISFORMULA(J881)),"Y","N")</f>
        <v>Y</v>
      </c>
      <c r="GD881" s="0" t="n">
        <f aca="false">ROW()-1</f>
        <v>880</v>
      </c>
    </row>
    <row r="882" customFormat="false" ht="15" hidden="false" customHeight="false" outlineLevel="0" collapsed="false">
      <c r="C882" s="0" t="str">
        <f aca="false">IF($A882="","",IF(AW882="Y",BM882&amp;"",AY882&amp;""))</f>
        <v/>
      </c>
      <c r="D882" s="0" t="str">
        <f aca="false">IF($A882="","",IF(AW882="Y",BN882&amp;"",AZ882&amp;""))</f>
        <v/>
      </c>
      <c r="E882" s="0" t="str">
        <f aca="false">IF($A882="","",IF(AW882="Y",BO882&amp;"",BA882&amp;""))</f>
        <v/>
      </c>
      <c r="F882" s="0" t="str">
        <f aca="false">IF($A882="","",IF(AW882="Y",BP882&amp;"",BB882&amp;""))</f>
        <v/>
      </c>
      <c r="G882" s="0" t="str">
        <f aca="false">IF($A882="","",IF(AW882="Y",BQ882&amp;"",BC882&amp;""))</f>
        <v/>
      </c>
      <c r="H882" s="0" t="str">
        <f aca="false">IF($A882="","",IF(AW882="Y",BR882&amp;"",BD882&amp;""))</f>
        <v/>
      </c>
      <c r="I882" s="0" t="str">
        <f aca="false">IF($A882="","",IF(R882="Y","warm-intro",IF(H882="verified","email",IF(C882&lt;&gt;"","linkedin",CB882&amp;""))))</f>
        <v/>
      </c>
      <c r="J882" s="0" t="str">
        <f aca="false">IF($A882="","",IF(CN882="pass",ROUND(N(EM882)+N(EN882)+N(EO882)+N(EP882)+N(EQ882)+N(ER882),1),0))</f>
        <v/>
      </c>
      <c r="K882" s="0" t="str">
        <f aca="false">IF($A882="","",IF(CN882&lt;&gt;"pass",CA882&amp;"",CA882&amp;"; "&amp;IF(AW882="Y",BZ882&amp;"",BL882&amp;"")&amp;IF(R882="Y","; known to the founder (+15)","")&amp;"."))</f>
        <v/>
      </c>
      <c r="R882" s="5"/>
      <c r="U882" s="5"/>
      <c r="Y882" s="0" t="str">
        <f aca="false">IF(FX882&lt;&gt;"Y","",COUNTIFS($FX$2:$FX$1000,"Y",$J$2:$J$1000,"&gt;"&amp;J882)+COUNTIFS($FX$2:$FX$1000,"Y",$J$2:$J$1000,J882,$GD$2:$GD$1000,"&lt;"&amp;GD882)+1)</f>
        <v/>
      </c>
      <c r="AB882" s="0" t="str">
        <f aca="false">IF($A882="","",IF(AW882="Y",BY882&amp;"",BK882&amp;""))</f>
        <v/>
      </c>
      <c r="AC882" s="0" t="str">
        <f aca="false">IF($A882="","",IF(AW882="Y",BS882&amp;"",BE882&amp;""))</f>
        <v/>
      </c>
      <c r="AD882" s="0" t="str">
        <f aca="false">IF($A882="","",IF(AW882="Y",BT882&amp;"",BF882&amp;""))</f>
        <v/>
      </c>
      <c r="AE882" s="0" t="str">
        <f aca="false">IF($A882="","",IF(AW882="Y",BU882&amp;"",BG882&amp;""))</f>
        <v/>
      </c>
      <c r="AF882" s="0" t="str">
        <f aca="false">IF($A882="","",IF(AW882="Y",BV882&amp;"",BH882&amp;""))</f>
        <v/>
      </c>
      <c r="AG882" s="0" t="str">
        <f aca="false">IF($A882="","",IF(AW882="Y",BW882&amp;"",BI882&amp;""))</f>
        <v/>
      </c>
      <c r="AH882" s="0" t="str">
        <f aca="false">IF($A882="","",IF(AW882="Y",BX882&amp;"",BJ882&amp;""))</f>
        <v/>
      </c>
      <c r="AQ882" s="5"/>
      <c r="AT882" s="0" t="str">
        <f aca="false">IF($A882="","",IF(AND(CN882="pass",AQ882&lt;&gt;"Y",C882&lt;&gt;"",OR(AX882&lt;&gt;"Y",AV882="Y")),"Y","N"))</f>
        <v/>
      </c>
      <c r="AU882" s="0" t="str">
        <f aca="false">IF($A882="","",_xlfn.TEXTJOIN("; ",TRUE(),IF(CN882&lt;&gt;"pass","gated out",""),IF(AQ882="Y","on hold: "&amp;AR882,""),IF(C882="","no contact named on an opened page",""),IF(AND(AX882="Y",AV882&lt;&gt;"Y"),"Tuesday estimate band "&amp;L882&amp;": founder's call","")))</f>
        <v/>
      </c>
      <c r="BC882" s="0" t="str">
        <f aca="false">IF($A882="","",IFERROR(INDEX(Enrichment!$A$2:$GZ$2000,MATCH($A882,INDEX(Enrichment!$A$2:$GZ$2000,0,MATCH("row_id",Enrichment!$A$1:$GZ$1,0)),0),MATCH("work_email",Enrichment!$A$1:$GZ$1,0))&amp;"",""))</f>
        <v/>
      </c>
      <c r="BD882" s="0" t="str">
        <f aca="false">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Q882" s="0" t="str">
        <f aca="false">IF($A882="","",IFERROR(INDEX(Enrichment!$A$2:$GZ$2000,MATCH($A882,INDEX(Enrichment!$A$2:$GZ$2000,0,MATCH("row_id",Enrichment!$A$1:$GZ$1,0)),0),MATCH("backup_work_email",Enrichment!$A$1:$GZ$1,0))&amp;"",""))</f>
        <v/>
      </c>
      <c r="BR882" s="0" t="str">
        <f aca="false">IF($A882="","",IF(BQ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EQ882" s="0" t="str">
        <f aca="false">IF($A882="","",IF(AH882="exact",10,IF(AH882="adjacent",5,0)))</f>
        <v/>
      </c>
      <c r="ER882" s="0" t="str">
        <f aca="false">IF($A882="","",IF(R882="Y",15,0))</f>
        <v/>
      </c>
      <c r="FS882" s="0" t="str">
        <f aca="false">IF($A882="","",IF(ISNUMBER(MATCH(U882,{"queued","contacted","replied","call_booked","call_done","yes_in_principle","materials_sent"},0)),"Y","N"))</f>
        <v/>
      </c>
      <c r="FT882" s="0" t="str">
        <f aca="false">IF($A882="","",IF(OR(T882="Y",U882="do_not_contact",AS882&amp;""&lt;&gt;""),"Y","N"))</f>
        <v/>
      </c>
      <c r="FU882" s="0" t="str">
        <f aca="false">IF($A882="","",IF(AP882&amp;""&lt;&gt;"",AP882&amp;"",$A882))</f>
        <v/>
      </c>
      <c r="FV882" s="0" t="str">
        <f aca="false">IF($A882="","",IF(COUNTIFS($FU$2:$FU$1000,FU882,$FS$2:$FS$1000,"Y")+COUNTIFS($FU$2:$FU$1000,FU882,$FT$2:$FT$1000,"Y")&gt;0,"Y","N"))</f>
        <v/>
      </c>
      <c r="FW882" s="0" t="str">
        <f aca="false">IF($A882="","",IF(AND(U882="new",T882="N",FT882="N",AT882="Y",FV882="N"),"Y","N"))</f>
        <v/>
      </c>
      <c r="FX882" s="0" t="str">
        <f aca="false">IF($A882="","",IF(FW882&lt;&gt;"Y","N",IF(COUNTIFS($FU$2:$FU$1000,FU882,$FW$2:$FW$1000,"Y",$J$2:$J$1000,"&gt;"&amp;J882)+COUNTIFS($FU$2:$FU$1000,FU882,$FW$2:$FW$1000,"Y",$J$2:$J$1000,J882,$GD$2:$GD$1000,"&lt;"&amp;GD882)=0,"Y","N")))</f>
        <v/>
      </c>
      <c r="FY882" s="0" t="str">
        <f aca="false">IF($A882="","",IF(AND(FW882="Y",FX882="Y",Y882&amp;""&lt;&gt;""),IF(Y882&lt;=10,"Y","N"),"N"))</f>
        <v/>
      </c>
      <c r="FZ882" s="0" t="str">
        <f aca="false">IF(FY882="Y",Y882,"")</f>
        <v/>
      </c>
      <c r="GA882" s="0" t="str">
        <f aca="false">IF($A882="","",IF(AND(I882="walk-in",CN882="pass",U882="new",FT882="N",FV882="N",AQ882&lt;&gt;"Y"),"Y","N"))</f>
        <v/>
      </c>
      <c r="GB882" s="0" t="str">
        <f aca="false">IF(GA882&lt;&gt;"Y","",IF(COUNTIFS($GA$2:$GA$1000,"Y",$J$2:$J$1000,"&gt;"&amp;J882)+COUNTIFS($GA$2:$GA$1000,"Y",$J$2:$J$1000,J882,$GD$2:$GD$1000,"&lt;"&amp;GD882)+1&lt;=25,COUNTIFS($GA$2:$GA$1000,"Y",$J$2:$J$1000,"&gt;"&amp;J882)+COUNTIFS($GA$2:$GA$1000,"Y",$J$2:$J$1000,J882,$GD$2:$GD$1000,"&lt;"&amp;GD882)+1,""))</f>
        <v/>
      </c>
      <c r="GC882" s="0" t="str">
        <f aca="false">IF(AND(_xlfn.ISFORMULA(C882),_xlfn.ISFORMULA(J882)),"Y","N")</f>
        <v>Y</v>
      </c>
      <c r="GD882" s="0" t="n">
        <f aca="false">ROW()-1</f>
        <v>881</v>
      </c>
    </row>
    <row r="883" customFormat="false" ht="15" hidden="false" customHeight="false" outlineLevel="0" collapsed="false">
      <c r="C883" s="0" t="str">
        <f aca="false">IF($A883="","",IF(AW883="Y",BM883&amp;"",AY883&amp;""))</f>
        <v/>
      </c>
      <c r="D883" s="0" t="str">
        <f aca="false">IF($A883="","",IF(AW883="Y",BN883&amp;"",AZ883&amp;""))</f>
        <v/>
      </c>
      <c r="E883" s="0" t="str">
        <f aca="false">IF($A883="","",IF(AW883="Y",BO883&amp;"",BA883&amp;""))</f>
        <v/>
      </c>
      <c r="F883" s="0" t="str">
        <f aca="false">IF($A883="","",IF(AW883="Y",BP883&amp;"",BB883&amp;""))</f>
        <v/>
      </c>
      <c r="G883" s="0" t="str">
        <f aca="false">IF($A883="","",IF(AW883="Y",BQ883&amp;"",BC883&amp;""))</f>
        <v/>
      </c>
      <c r="H883" s="0" t="str">
        <f aca="false">IF($A883="","",IF(AW883="Y",BR883&amp;"",BD883&amp;""))</f>
        <v/>
      </c>
      <c r="I883" s="0" t="str">
        <f aca="false">IF($A883="","",IF(R883="Y","warm-intro",IF(H883="verified","email",IF(C883&lt;&gt;"","linkedin",CB883&amp;""))))</f>
        <v/>
      </c>
      <c r="J883" s="0" t="str">
        <f aca="false">IF($A883="","",IF(CN883="pass",ROUND(N(EM883)+N(EN883)+N(EO883)+N(EP883)+N(EQ883)+N(ER883),1),0))</f>
        <v/>
      </c>
      <c r="K883" s="0" t="str">
        <f aca="false">IF($A883="","",IF(CN883&lt;&gt;"pass",CA883&amp;"",CA883&amp;"; "&amp;IF(AW883="Y",BZ883&amp;"",BL883&amp;"")&amp;IF(R883="Y","; known to the founder (+15)","")&amp;"."))</f>
        <v/>
      </c>
      <c r="R883" s="5"/>
      <c r="U883" s="5"/>
      <c r="Y883" s="0" t="str">
        <f aca="false">IF(FX883&lt;&gt;"Y","",COUNTIFS($FX$2:$FX$1000,"Y",$J$2:$J$1000,"&gt;"&amp;J883)+COUNTIFS($FX$2:$FX$1000,"Y",$J$2:$J$1000,J883,$GD$2:$GD$1000,"&lt;"&amp;GD883)+1)</f>
        <v/>
      </c>
      <c r="AB883" s="0" t="str">
        <f aca="false">IF($A883="","",IF(AW883="Y",BY883&amp;"",BK883&amp;""))</f>
        <v/>
      </c>
      <c r="AC883" s="0" t="str">
        <f aca="false">IF($A883="","",IF(AW883="Y",BS883&amp;"",BE883&amp;""))</f>
        <v/>
      </c>
      <c r="AD883" s="0" t="str">
        <f aca="false">IF($A883="","",IF(AW883="Y",BT883&amp;"",BF883&amp;""))</f>
        <v/>
      </c>
      <c r="AE883" s="0" t="str">
        <f aca="false">IF($A883="","",IF(AW883="Y",BU883&amp;"",BG883&amp;""))</f>
        <v/>
      </c>
      <c r="AF883" s="0" t="str">
        <f aca="false">IF($A883="","",IF(AW883="Y",BV883&amp;"",BH883&amp;""))</f>
        <v/>
      </c>
      <c r="AG883" s="0" t="str">
        <f aca="false">IF($A883="","",IF(AW883="Y",BW883&amp;"",BI883&amp;""))</f>
        <v/>
      </c>
      <c r="AH883" s="0" t="str">
        <f aca="false">IF($A883="","",IF(AW883="Y",BX883&amp;"",BJ883&amp;""))</f>
        <v/>
      </c>
      <c r="AQ883" s="5"/>
      <c r="AT883" s="0" t="str">
        <f aca="false">IF($A883="","",IF(AND(CN883="pass",AQ883&lt;&gt;"Y",C883&lt;&gt;"",OR(AX883&lt;&gt;"Y",AV883="Y")),"Y","N"))</f>
        <v/>
      </c>
      <c r="AU883" s="0" t="str">
        <f aca="false">IF($A883="","",_xlfn.TEXTJOIN("; ",TRUE(),IF(CN883&lt;&gt;"pass","gated out",""),IF(AQ883="Y","on hold: "&amp;AR883,""),IF(C883="","no contact named on an opened page",""),IF(AND(AX883="Y",AV883&lt;&gt;"Y"),"Tuesday estimate band "&amp;L883&amp;": founder's call","")))</f>
        <v/>
      </c>
      <c r="BC883" s="0" t="str">
        <f aca="false">IF($A883="","",IFERROR(INDEX(Enrichment!$A$2:$GZ$2000,MATCH($A883,INDEX(Enrichment!$A$2:$GZ$2000,0,MATCH("row_id",Enrichment!$A$1:$GZ$1,0)),0),MATCH("work_email",Enrichment!$A$1:$GZ$1,0))&amp;"",""))</f>
        <v/>
      </c>
      <c r="BD883" s="0" t="str">
        <f aca="false">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Q883" s="0" t="str">
        <f aca="false">IF($A883="","",IFERROR(INDEX(Enrichment!$A$2:$GZ$2000,MATCH($A883,INDEX(Enrichment!$A$2:$GZ$2000,0,MATCH("row_id",Enrichment!$A$1:$GZ$1,0)),0),MATCH("backup_work_email",Enrichment!$A$1:$GZ$1,0))&amp;"",""))</f>
        <v/>
      </c>
      <c r="BR883" s="0" t="str">
        <f aca="false">IF($A883="","",IF(BQ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EQ883" s="0" t="str">
        <f aca="false">IF($A883="","",IF(AH883="exact",10,IF(AH883="adjacent",5,0)))</f>
        <v/>
      </c>
      <c r="ER883" s="0" t="str">
        <f aca="false">IF($A883="","",IF(R883="Y",15,0))</f>
        <v/>
      </c>
      <c r="FS883" s="0" t="str">
        <f aca="false">IF($A883="","",IF(ISNUMBER(MATCH(U883,{"queued","contacted","replied","call_booked","call_done","yes_in_principle","materials_sent"},0)),"Y","N"))</f>
        <v/>
      </c>
      <c r="FT883" s="0" t="str">
        <f aca="false">IF($A883="","",IF(OR(T883="Y",U883="do_not_contact",AS883&amp;""&lt;&gt;""),"Y","N"))</f>
        <v/>
      </c>
      <c r="FU883" s="0" t="str">
        <f aca="false">IF($A883="","",IF(AP883&amp;""&lt;&gt;"",AP883&amp;"",$A883))</f>
        <v/>
      </c>
      <c r="FV883" s="0" t="str">
        <f aca="false">IF($A883="","",IF(COUNTIFS($FU$2:$FU$1000,FU883,$FS$2:$FS$1000,"Y")+COUNTIFS($FU$2:$FU$1000,FU883,$FT$2:$FT$1000,"Y")&gt;0,"Y","N"))</f>
        <v/>
      </c>
      <c r="FW883" s="0" t="str">
        <f aca="false">IF($A883="","",IF(AND(U883="new",T883="N",FT883="N",AT883="Y",FV883="N"),"Y","N"))</f>
        <v/>
      </c>
      <c r="FX883" s="0" t="str">
        <f aca="false">IF($A883="","",IF(FW883&lt;&gt;"Y","N",IF(COUNTIFS($FU$2:$FU$1000,FU883,$FW$2:$FW$1000,"Y",$J$2:$J$1000,"&gt;"&amp;J883)+COUNTIFS($FU$2:$FU$1000,FU883,$FW$2:$FW$1000,"Y",$J$2:$J$1000,J883,$GD$2:$GD$1000,"&lt;"&amp;GD883)=0,"Y","N")))</f>
        <v/>
      </c>
      <c r="FY883" s="0" t="str">
        <f aca="false">IF($A883="","",IF(AND(FW883="Y",FX883="Y",Y883&amp;""&lt;&gt;""),IF(Y883&lt;=10,"Y","N"),"N"))</f>
        <v/>
      </c>
      <c r="FZ883" s="0" t="str">
        <f aca="false">IF(FY883="Y",Y883,"")</f>
        <v/>
      </c>
      <c r="GA883" s="0" t="str">
        <f aca="false">IF($A883="","",IF(AND(I883="walk-in",CN883="pass",U883="new",FT883="N",FV883="N",AQ883&lt;&gt;"Y"),"Y","N"))</f>
        <v/>
      </c>
      <c r="GB883" s="0" t="str">
        <f aca="false">IF(GA883&lt;&gt;"Y","",IF(COUNTIFS($GA$2:$GA$1000,"Y",$J$2:$J$1000,"&gt;"&amp;J883)+COUNTIFS($GA$2:$GA$1000,"Y",$J$2:$J$1000,J883,$GD$2:$GD$1000,"&lt;"&amp;GD883)+1&lt;=25,COUNTIFS($GA$2:$GA$1000,"Y",$J$2:$J$1000,"&gt;"&amp;J883)+COUNTIFS($GA$2:$GA$1000,"Y",$J$2:$J$1000,J883,$GD$2:$GD$1000,"&lt;"&amp;GD883)+1,""))</f>
        <v/>
      </c>
      <c r="GC883" s="0" t="str">
        <f aca="false">IF(AND(_xlfn.ISFORMULA(C883),_xlfn.ISFORMULA(J883)),"Y","N")</f>
        <v>Y</v>
      </c>
      <c r="GD883" s="0" t="n">
        <f aca="false">ROW()-1</f>
        <v>882</v>
      </c>
    </row>
    <row r="884" customFormat="false" ht="15" hidden="false" customHeight="false" outlineLevel="0" collapsed="false">
      <c r="C884" s="0" t="str">
        <f aca="false">IF($A884="","",IF(AW884="Y",BM884&amp;"",AY884&amp;""))</f>
        <v/>
      </c>
      <c r="D884" s="0" t="str">
        <f aca="false">IF($A884="","",IF(AW884="Y",BN884&amp;"",AZ884&amp;""))</f>
        <v/>
      </c>
      <c r="E884" s="0" t="str">
        <f aca="false">IF($A884="","",IF(AW884="Y",BO884&amp;"",BA884&amp;""))</f>
        <v/>
      </c>
      <c r="F884" s="0" t="str">
        <f aca="false">IF($A884="","",IF(AW884="Y",BP884&amp;"",BB884&amp;""))</f>
        <v/>
      </c>
      <c r="G884" s="0" t="str">
        <f aca="false">IF($A884="","",IF(AW884="Y",BQ884&amp;"",BC884&amp;""))</f>
        <v/>
      </c>
      <c r="H884" s="0" t="str">
        <f aca="false">IF($A884="","",IF(AW884="Y",BR884&amp;"",BD884&amp;""))</f>
        <v/>
      </c>
      <c r="I884" s="0" t="str">
        <f aca="false">IF($A884="","",IF(R884="Y","warm-intro",IF(H884="verified","email",IF(C884&lt;&gt;"","linkedin",CB884&amp;""))))</f>
        <v/>
      </c>
      <c r="J884" s="0" t="str">
        <f aca="false">IF($A884="","",IF(CN884="pass",ROUND(N(EM884)+N(EN884)+N(EO884)+N(EP884)+N(EQ884)+N(ER884),1),0))</f>
        <v/>
      </c>
      <c r="K884" s="0" t="str">
        <f aca="false">IF($A884="","",IF(CN884&lt;&gt;"pass",CA884&amp;"",CA884&amp;"; "&amp;IF(AW884="Y",BZ884&amp;"",BL884&amp;"")&amp;IF(R884="Y","; known to the founder (+15)","")&amp;"."))</f>
        <v/>
      </c>
      <c r="R884" s="5"/>
      <c r="U884" s="5"/>
      <c r="Y884" s="0" t="str">
        <f aca="false">IF(FX884&lt;&gt;"Y","",COUNTIFS($FX$2:$FX$1000,"Y",$J$2:$J$1000,"&gt;"&amp;J884)+COUNTIFS($FX$2:$FX$1000,"Y",$J$2:$J$1000,J884,$GD$2:$GD$1000,"&lt;"&amp;GD884)+1)</f>
        <v/>
      </c>
      <c r="AB884" s="0" t="str">
        <f aca="false">IF($A884="","",IF(AW884="Y",BY884&amp;"",BK884&amp;""))</f>
        <v/>
      </c>
      <c r="AC884" s="0" t="str">
        <f aca="false">IF($A884="","",IF(AW884="Y",BS884&amp;"",BE884&amp;""))</f>
        <v/>
      </c>
      <c r="AD884" s="0" t="str">
        <f aca="false">IF($A884="","",IF(AW884="Y",BT884&amp;"",BF884&amp;""))</f>
        <v/>
      </c>
      <c r="AE884" s="0" t="str">
        <f aca="false">IF($A884="","",IF(AW884="Y",BU884&amp;"",BG884&amp;""))</f>
        <v/>
      </c>
      <c r="AF884" s="0" t="str">
        <f aca="false">IF($A884="","",IF(AW884="Y",BV884&amp;"",BH884&amp;""))</f>
        <v/>
      </c>
      <c r="AG884" s="0" t="str">
        <f aca="false">IF($A884="","",IF(AW884="Y",BW884&amp;"",BI884&amp;""))</f>
        <v/>
      </c>
      <c r="AH884" s="0" t="str">
        <f aca="false">IF($A884="","",IF(AW884="Y",BX884&amp;"",BJ884&amp;""))</f>
        <v/>
      </c>
      <c r="AQ884" s="5"/>
      <c r="AT884" s="0" t="str">
        <f aca="false">IF($A884="","",IF(AND(CN884="pass",AQ884&lt;&gt;"Y",C884&lt;&gt;"",OR(AX884&lt;&gt;"Y",AV884="Y")),"Y","N"))</f>
        <v/>
      </c>
      <c r="AU884" s="0" t="str">
        <f aca="false">IF($A884="","",_xlfn.TEXTJOIN("; ",TRUE(),IF(CN884&lt;&gt;"pass","gated out",""),IF(AQ884="Y","on hold: "&amp;AR884,""),IF(C884="","no contact named on an opened page",""),IF(AND(AX884="Y",AV884&lt;&gt;"Y"),"Tuesday estimate band "&amp;L884&amp;": founder's call","")))</f>
        <v/>
      </c>
      <c r="BC884" s="0" t="str">
        <f aca="false">IF($A884="","",IFERROR(INDEX(Enrichment!$A$2:$GZ$2000,MATCH($A884,INDEX(Enrichment!$A$2:$GZ$2000,0,MATCH("row_id",Enrichment!$A$1:$GZ$1,0)),0),MATCH("work_email",Enrichment!$A$1:$GZ$1,0))&amp;"",""))</f>
        <v/>
      </c>
      <c r="BD884" s="0" t="str">
        <f aca="false">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Q884" s="0" t="str">
        <f aca="false">IF($A884="","",IFERROR(INDEX(Enrichment!$A$2:$GZ$2000,MATCH($A884,INDEX(Enrichment!$A$2:$GZ$2000,0,MATCH("row_id",Enrichment!$A$1:$GZ$1,0)),0),MATCH("backup_work_email",Enrichment!$A$1:$GZ$1,0))&amp;"",""))</f>
        <v/>
      </c>
      <c r="BR884" s="0" t="str">
        <f aca="false">IF($A884="","",IF(BQ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EQ884" s="0" t="str">
        <f aca="false">IF($A884="","",IF(AH884="exact",10,IF(AH884="adjacent",5,0)))</f>
        <v/>
      </c>
      <c r="ER884" s="0" t="str">
        <f aca="false">IF($A884="","",IF(R884="Y",15,0))</f>
        <v/>
      </c>
      <c r="FS884" s="0" t="str">
        <f aca="false">IF($A884="","",IF(ISNUMBER(MATCH(U884,{"queued","contacted","replied","call_booked","call_done","yes_in_principle","materials_sent"},0)),"Y","N"))</f>
        <v/>
      </c>
      <c r="FT884" s="0" t="str">
        <f aca="false">IF($A884="","",IF(OR(T884="Y",U884="do_not_contact",AS884&amp;""&lt;&gt;""),"Y","N"))</f>
        <v/>
      </c>
      <c r="FU884" s="0" t="str">
        <f aca="false">IF($A884="","",IF(AP884&amp;""&lt;&gt;"",AP884&amp;"",$A884))</f>
        <v/>
      </c>
      <c r="FV884" s="0" t="str">
        <f aca="false">IF($A884="","",IF(COUNTIFS($FU$2:$FU$1000,FU884,$FS$2:$FS$1000,"Y")+COUNTIFS($FU$2:$FU$1000,FU884,$FT$2:$FT$1000,"Y")&gt;0,"Y","N"))</f>
        <v/>
      </c>
      <c r="FW884" s="0" t="str">
        <f aca="false">IF($A884="","",IF(AND(U884="new",T884="N",FT884="N",AT884="Y",FV884="N"),"Y","N"))</f>
        <v/>
      </c>
      <c r="FX884" s="0" t="str">
        <f aca="false">IF($A884="","",IF(FW884&lt;&gt;"Y","N",IF(COUNTIFS($FU$2:$FU$1000,FU884,$FW$2:$FW$1000,"Y",$J$2:$J$1000,"&gt;"&amp;J884)+COUNTIFS($FU$2:$FU$1000,FU884,$FW$2:$FW$1000,"Y",$J$2:$J$1000,J884,$GD$2:$GD$1000,"&lt;"&amp;GD884)=0,"Y","N")))</f>
        <v/>
      </c>
      <c r="FY884" s="0" t="str">
        <f aca="false">IF($A884="","",IF(AND(FW884="Y",FX884="Y",Y884&amp;""&lt;&gt;""),IF(Y884&lt;=10,"Y","N"),"N"))</f>
        <v/>
      </c>
      <c r="FZ884" s="0" t="str">
        <f aca="false">IF(FY884="Y",Y884,"")</f>
        <v/>
      </c>
      <c r="GA884" s="0" t="str">
        <f aca="false">IF($A884="","",IF(AND(I884="walk-in",CN884="pass",U884="new",FT884="N",FV884="N",AQ884&lt;&gt;"Y"),"Y","N"))</f>
        <v/>
      </c>
      <c r="GB884" s="0" t="str">
        <f aca="false">IF(GA884&lt;&gt;"Y","",IF(COUNTIFS($GA$2:$GA$1000,"Y",$J$2:$J$1000,"&gt;"&amp;J884)+COUNTIFS($GA$2:$GA$1000,"Y",$J$2:$J$1000,J884,$GD$2:$GD$1000,"&lt;"&amp;GD884)+1&lt;=25,COUNTIFS($GA$2:$GA$1000,"Y",$J$2:$J$1000,"&gt;"&amp;J884)+COUNTIFS($GA$2:$GA$1000,"Y",$J$2:$J$1000,J884,$GD$2:$GD$1000,"&lt;"&amp;GD884)+1,""))</f>
        <v/>
      </c>
      <c r="GC884" s="0" t="str">
        <f aca="false">IF(AND(_xlfn.ISFORMULA(C884),_xlfn.ISFORMULA(J884)),"Y","N")</f>
        <v>Y</v>
      </c>
      <c r="GD884" s="0" t="n">
        <f aca="false">ROW()-1</f>
        <v>883</v>
      </c>
    </row>
    <row r="885" customFormat="false" ht="15" hidden="false" customHeight="false" outlineLevel="0" collapsed="false">
      <c r="C885" s="0" t="str">
        <f aca="false">IF($A885="","",IF(AW885="Y",BM885&amp;"",AY885&amp;""))</f>
        <v/>
      </c>
      <c r="D885" s="0" t="str">
        <f aca="false">IF($A885="","",IF(AW885="Y",BN885&amp;"",AZ885&amp;""))</f>
        <v/>
      </c>
      <c r="E885" s="0" t="str">
        <f aca="false">IF($A885="","",IF(AW885="Y",BO885&amp;"",BA885&amp;""))</f>
        <v/>
      </c>
      <c r="F885" s="0" t="str">
        <f aca="false">IF($A885="","",IF(AW885="Y",BP885&amp;"",BB885&amp;""))</f>
        <v/>
      </c>
      <c r="G885" s="0" t="str">
        <f aca="false">IF($A885="","",IF(AW885="Y",BQ885&amp;"",BC885&amp;""))</f>
        <v/>
      </c>
      <c r="H885" s="0" t="str">
        <f aca="false">IF($A885="","",IF(AW885="Y",BR885&amp;"",BD885&amp;""))</f>
        <v/>
      </c>
      <c r="I885" s="0" t="str">
        <f aca="false">IF($A885="","",IF(R885="Y","warm-intro",IF(H885="verified","email",IF(C885&lt;&gt;"","linkedin",CB885&amp;""))))</f>
        <v/>
      </c>
      <c r="J885" s="0" t="str">
        <f aca="false">IF($A885="","",IF(CN885="pass",ROUND(N(EM885)+N(EN885)+N(EO885)+N(EP885)+N(EQ885)+N(ER885),1),0))</f>
        <v/>
      </c>
      <c r="K885" s="0" t="str">
        <f aca="false">IF($A885="","",IF(CN885&lt;&gt;"pass",CA885&amp;"",CA885&amp;"; "&amp;IF(AW885="Y",BZ885&amp;"",BL885&amp;"")&amp;IF(R885="Y","; known to the founder (+15)","")&amp;"."))</f>
        <v/>
      </c>
      <c r="R885" s="5"/>
      <c r="U885" s="5"/>
      <c r="Y885" s="0" t="str">
        <f aca="false">IF(FX885&lt;&gt;"Y","",COUNTIFS($FX$2:$FX$1000,"Y",$J$2:$J$1000,"&gt;"&amp;J885)+COUNTIFS($FX$2:$FX$1000,"Y",$J$2:$J$1000,J885,$GD$2:$GD$1000,"&lt;"&amp;GD885)+1)</f>
        <v/>
      </c>
      <c r="AB885" s="0" t="str">
        <f aca="false">IF($A885="","",IF(AW885="Y",BY885&amp;"",BK885&amp;""))</f>
        <v/>
      </c>
      <c r="AC885" s="0" t="str">
        <f aca="false">IF($A885="","",IF(AW885="Y",BS885&amp;"",BE885&amp;""))</f>
        <v/>
      </c>
      <c r="AD885" s="0" t="str">
        <f aca="false">IF($A885="","",IF(AW885="Y",BT885&amp;"",BF885&amp;""))</f>
        <v/>
      </c>
      <c r="AE885" s="0" t="str">
        <f aca="false">IF($A885="","",IF(AW885="Y",BU885&amp;"",BG885&amp;""))</f>
        <v/>
      </c>
      <c r="AF885" s="0" t="str">
        <f aca="false">IF($A885="","",IF(AW885="Y",BV885&amp;"",BH885&amp;""))</f>
        <v/>
      </c>
      <c r="AG885" s="0" t="str">
        <f aca="false">IF($A885="","",IF(AW885="Y",BW885&amp;"",BI885&amp;""))</f>
        <v/>
      </c>
      <c r="AH885" s="0" t="str">
        <f aca="false">IF($A885="","",IF(AW885="Y",BX885&amp;"",BJ885&amp;""))</f>
        <v/>
      </c>
      <c r="AQ885" s="5"/>
      <c r="AT885" s="0" t="str">
        <f aca="false">IF($A885="","",IF(AND(CN885="pass",AQ885&lt;&gt;"Y",C885&lt;&gt;"",OR(AX885&lt;&gt;"Y",AV885="Y")),"Y","N"))</f>
        <v/>
      </c>
      <c r="AU885" s="0" t="str">
        <f aca="false">IF($A885="","",_xlfn.TEXTJOIN("; ",TRUE(),IF(CN885&lt;&gt;"pass","gated out",""),IF(AQ885="Y","on hold: "&amp;AR885,""),IF(C885="","no contact named on an opened page",""),IF(AND(AX885="Y",AV885&lt;&gt;"Y"),"Tuesday estimate band "&amp;L885&amp;": founder's call","")))</f>
        <v/>
      </c>
      <c r="BC885" s="0" t="str">
        <f aca="false">IF($A885="","",IFERROR(INDEX(Enrichment!$A$2:$GZ$2000,MATCH($A885,INDEX(Enrichment!$A$2:$GZ$2000,0,MATCH("row_id",Enrichment!$A$1:$GZ$1,0)),0),MATCH("work_email",Enrichment!$A$1:$GZ$1,0))&amp;"",""))</f>
        <v/>
      </c>
      <c r="BD885" s="0" t="str">
        <f aca="false">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Q885" s="0" t="str">
        <f aca="false">IF($A885="","",IFERROR(INDEX(Enrichment!$A$2:$GZ$2000,MATCH($A885,INDEX(Enrichment!$A$2:$GZ$2000,0,MATCH("row_id",Enrichment!$A$1:$GZ$1,0)),0),MATCH("backup_work_email",Enrichment!$A$1:$GZ$1,0))&amp;"",""))</f>
        <v/>
      </c>
      <c r="BR885" s="0" t="str">
        <f aca="false">IF($A885="","",IF(BQ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EQ885" s="0" t="str">
        <f aca="false">IF($A885="","",IF(AH885="exact",10,IF(AH885="adjacent",5,0)))</f>
        <v/>
      </c>
      <c r="ER885" s="0" t="str">
        <f aca="false">IF($A885="","",IF(R885="Y",15,0))</f>
        <v/>
      </c>
      <c r="FS885" s="0" t="str">
        <f aca="false">IF($A885="","",IF(ISNUMBER(MATCH(U885,{"queued","contacted","replied","call_booked","call_done","yes_in_principle","materials_sent"},0)),"Y","N"))</f>
        <v/>
      </c>
      <c r="FT885" s="0" t="str">
        <f aca="false">IF($A885="","",IF(OR(T885="Y",U885="do_not_contact",AS885&amp;""&lt;&gt;""),"Y","N"))</f>
        <v/>
      </c>
      <c r="FU885" s="0" t="str">
        <f aca="false">IF($A885="","",IF(AP885&amp;""&lt;&gt;"",AP885&amp;"",$A885))</f>
        <v/>
      </c>
      <c r="FV885" s="0" t="str">
        <f aca="false">IF($A885="","",IF(COUNTIFS($FU$2:$FU$1000,FU885,$FS$2:$FS$1000,"Y")+COUNTIFS($FU$2:$FU$1000,FU885,$FT$2:$FT$1000,"Y")&gt;0,"Y","N"))</f>
        <v/>
      </c>
      <c r="FW885" s="0" t="str">
        <f aca="false">IF($A885="","",IF(AND(U885="new",T885="N",FT885="N",AT885="Y",FV885="N"),"Y","N"))</f>
        <v/>
      </c>
      <c r="FX885" s="0" t="str">
        <f aca="false">IF($A885="","",IF(FW885&lt;&gt;"Y","N",IF(COUNTIFS($FU$2:$FU$1000,FU885,$FW$2:$FW$1000,"Y",$J$2:$J$1000,"&gt;"&amp;J885)+COUNTIFS($FU$2:$FU$1000,FU885,$FW$2:$FW$1000,"Y",$J$2:$J$1000,J885,$GD$2:$GD$1000,"&lt;"&amp;GD885)=0,"Y","N")))</f>
        <v/>
      </c>
      <c r="FY885" s="0" t="str">
        <f aca="false">IF($A885="","",IF(AND(FW885="Y",FX885="Y",Y885&amp;""&lt;&gt;""),IF(Y885&lt;=10,"Y","N"),"N"))</f>
        <v/>
      </c>
      <c r="FZ885" s="0" t="str">
        <f aca="false">IF(FY885="Y",Y885,"")</f>
        <v/>
      </c>
      <c r="GA885" s="0" t="str">
        <f aca="false">IF($A885="","",IF(AND(I885="walk-in",CN885="pass",U885="new",FT885="N",FV885="N",AQ885&lt;&gt;"Y"),"Y","N"))</f>
        <v/>
      </c>
      <c r="GB885" s="0" t="str">
        <f aca="false">IF(GA885&lt;&gt;"Y","",IF(COUNTIFS($GA$2:$GA$1000,"Y",$J$2:$J$1000,"&gt;"&amp;J885)+COUNTIFS($GA$2:$GA$1000,"Y",$J$2:$J$1000,J885,$GD$2:$GD$1000,"&lt;"&amp;GD885)+1&lt;=25,COUNTIFS($GA$2:$GA$1000,"Y",$J$2:$J$1000,"&gt;"&amp;J885)+COUNTIFS($GA$2:$GA$1000,"Y",$J$2:$J$1000,J885,$GD$2:$GD$1000,"&lt;"&amp;GD885)+1,""))</f>
        <v/>
      </c>
      <c r="GC885" s="0" t="str">
        <f aca="false">IF(AND(_xlfn.ISFORMULA(C885),_xlfn.ISFORMULA(J885)),"Y","N")</f>
        <v>Y</v>
      </c>
      <c r="GD885" s="0" t="n">
        <f aca="false">ROW()-1</f>
        <v>884</v>
      </c>
    </row>
    <row r="886" customFormat="false" ht="15" hidden="false" customHeight="false" outlineLevel="0" collapsed="false">
      <c r="C886" s="0" t="str">
        <f aca="false">IF($A886="","",IF(AW886="Y",BM886&amp;"",AY886&amp;""))</f>
        <v/>
      </c>
      <c r="D886" s="0" t="str">
        <f aca="false">IF($A886="","",IF(AW886="Y",BN886&amp;"",AZ886&amp;""))</f>
        <v/>
      </c>
      <c r="E886" s="0" t="str">
        <f aca="false">IF($A886="","",IF(AW886="Y",BO886&amp;"",BA886&amp;""))</f>
        <v/>
      </c>
      <c r="F886" s="0" t="str">
        <f aca="false">IF($A886="","",IF(AW886="Y",BP886&amp;"",BB886&amp;""))</f>
        <v/>
      </c>
      <c r="G886" s="0" t="str">
        <f aca="false">IF($A886="","",IF(AW886="Y",BQ886&amp;"",BC886&amp;""))</f>
        <v/>
      </c>
      <c r="H886" s="0" t="str">
        <f aca="false">IF($A886="","",IF(AW886="Y",BR886&amp;"",BD886&amp;""))</f>
        <v/>
      </c>
      <c r="I886" s="0" t="str">
        <f aca="false">IF($A886="","",IF(R886="Y","warm-intro",IF(H886="verified","email",IF(C886&lt;&gt;"","linkedin",CB886&amp;""))))</f>
        <v/>
      </c>
      <c r="J886" s="0" t="str">
        <f aca="false">IF($A886="","",IF(CN886="pass",ROUND(N(EM886)+N(EN886)+N(EO886)+N(EP886)+N(EQ886)+N(ER886),1),0))</f>
        <v/>
      </c>
      <c r="K886" s="0" t="str">
        <f aca="false">IF($A886="","",IF(CN886&lt;&gt;"pass",CA886&amp;"",CA886&amp;"; "&amp;IF(AW886="Y",BZ886&amp;"",BL886&amp;"")&amp;IF(R886="Y","; known to the founder (+15)","")&amp;"."))</f>
        <v/>
      </c>
      <c r="R886" s="5"/>
      <c r="U886" s="5"/>
      <c r="Y886" s="0" t="str">
        <f aca="false">IF(FX886&lt;&gt;"Y","",COUNTIFS($FX$2:$FX$1000,"Y",$J$2:$J$1000,"&gt;"&amp;J886)+COUNTIFS($FX$2:$FX$1000,"Y",$J$2:$J$1000,J886,$GD$2:$GD$1000,"&lt;"&amp;GD886)+1)</f>
        <v/>
      </c>
      <c r="AB886" s="0" t="str">
        <f aca="false">IF($A886="","",IF(AW886="Y",BY886&amp;"",BK886&amp;""))</f>
        <v/>
      </c>
      <c r="AC886" s="0" t="str">
        <f aca="false">IF($A886="","",IF(AW886="Y",BS886&amp;"",BE886&amp;""))</f>
        <v/>
      </c>
      <c r="AD886" s="0" t="str">
        <f aca="false">IF($A886="","",IF(AW886="Y",BT886&amp;"",BF886&amp;""))</f>
        <v/>
      </c>
      <c r="AE886" s="0" t="str">
        <f aca="false">IF($A886="","",IF(AW886="Y",BU886&amp;"",BG886&amp;""))</f>
        <v/>
      </c>
      <c r="AF886" s="0" t="str">
        <f aca="false">IF($A886="","",IF(AW886="Y",BV886&amp;"",BH886&amp;""))</f>
        <v/>
      </c>
      <c r="AG886" s="0" t="str">
        <f aca="false">IF($A886="","",IF(AW886="Y",BW886&amp;"",BI886&amp;""))</f>
        <v/>
      </c>
      <c r="AH886" s="0" t="str">
        <f aca="false">IF($A886="","",IF(AW886="Y",BX886&amp;"",BJ886&amp;""))</f>
        <v/>
      </c>
      <c r="AQ886" s="5"/>
      <c r="AT886" s="0" t="str">
        <f aca="false">IF($A886="","",IF(AND(CN886="pass",AQ886&lt;&gt;"Y",C886&lt;&gt;"",OR(AX886&lt;&gt;"Y",AV886="Y")),"Y","N"))</f>
        <v/>
      </c>
      <c r="AU886" s="0" t="str">
        <f aca="false">IF($A886="","",_xlfn.TEXTJOIN("; ",TRUE(),IF(CN886&lt;&gt;"pass","gated out",""),IF(AQ886="Y","on hold: "&amp;AR886,""),IF(C886="","no contact named on an opened page",""),IF(AND(AX886="Y",AV886&lt;&gt;"Y"),"Tuesday estimate band "&amp;L886&amp;": founder's call","")))</f>
        <v/>
      </c>
      <c r="BC886" s="0" t="str">
        <f aca="false">IF($A886="","",IFERROR(INDEX(Enrichment!$A$2:$GZ$2000,MATCH($A886,INDEX(Enrichment!$A$2:$GZ$2000,0,MATCH("row_id",Enrichment!$A$1:$GZ$1,0)),0),MATCH("work_email",Enrichment!$A$1:$GZ$1,0))&amp;"",""))</f>
        <v/>
      </c>
      <c r="BD886" s="0" t="str">
        <f aca="false">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Q886" s="0" t="str">
        <f aca="false">IF($A886="","",IFERROR(INDEX(Enrichment!$A$2:$GZ$2000,MATCH($A886,INDEX(Enrichment!$A$2:$GZ$2000,0,MATCH("row_id",Enrichment!$A$1:$GZ$1,0)),0),MATCH("backup_work_email",Enrichment!$A$1:$GZ$1,0))&amp;"",""))</f>
        <v/>
      </c>
      <c r="BR886" s="0" t="str">
        <f aca="false">IF($A886="","",IF(BQ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EQ886" s="0" t="str">
        <f aca="false">IF($A886="","",IF(AH886="exact",10,IF(AH886="adjacent",5,0)))</f>
        <v/>
      </c>
      <c r="ER886" s="0" t="str">
        <f aca="false">IF($A886="","",IF(R886="Y",15,0))</f>
        <v/>
      </c>
      <c r="FS886" s="0" t="str">
        <f aca="false">IF($A886="","",IF(ISNUMBER(MATCH(U886,{"queued","contacted","replied","call_booked","call_done","yes_in_principle","materials_sent"},0)),"Y","N"))</f>
        <v/>
      </c>
      <c r="FT886" s="0" t="str">
        <f aca="false">IF($A886="","",IF(OR(T886="Y",U886="do_not_contact",AS886&amp;""&lt;&gt;""),"Y","N"))</f>
        <v/>
      </c>
      <c r="FU886" s="0" t="str">
        <f aca="false">IF($A886="","",IF(AP886&amp;""&lt;&gt;"",AP886&amp;"",$A886))</f>
        <v/>
      </c>
      <c r="FV886" s="0" t="str">
        <f aca="false">IF($A886="","",IF(COUNTIFS($FU$2:$FU$1000,FU886,$FS$2:$FS$1000,"Y")+COUNTIFS($FU$2:$FU$1000,FU886,$FT$2:$FT$1000,"Y")&gt;0,"Y","N"))</f>
        <v/>
      </c>
      <c r="FW886" s="0" t="str">
        <f aca="false">IF($A886="","",IF(AND(U886="new",T886="N",FT886="N",AT886="Y",FV886="N"),"Y","N"))</f>
        <v/>
      </c>
      <c r="FX886" s="0" t="str">
        <f aca="false">IF($A886="","",IF(FW886&lt;&gt;"Y","N",IF(COUNTIFS($FU$2:$FU$1000,FU886,$FW$2:$FW$1000,"Y",$J$2:$J$1000,"&gt;"&amp;J886)+COUNTIFS($FU$2:$FU$1000,FU886,$FW$2:$FW$1000,"Y",$J$2:$J$1000,J886,$GD$2:$GD$1000,"&lt;"&amp;GD886)=0,"Y","N")))</f>
        <v/>
      </c>
      <c r="FY886" s="0" t="str">
        <f aca="false">IF($A886="","",IF(AND(FW886="Y",FX886="Y",Y886&amp;""&lt;&gt;""),IF(Y886&lt;=10,"Y","N"),"N"))</f>
        <v/>
      </c>
      <c r="FZ886" s="0" t="str">
        <f aca="false">IF(FY886="Y",Y886,"")</f>
        <v/>
      </c>
      <c r="GA886" s="0" t="str">
        <f aca="false">IF($A886="","",IF(AND(I886="walk-in",CN886="pass",U886="new",FT886="N",FV886="N",AQ886&lt;&gt;"Y"),"Y","N"))</f>
        <v/>
      </c>
      <c r="GB886" s="0" t="str">
        <f aca="false">IF(GA886&lt;&gt;"Y","",IF(COUNTIFS($GA$2:$GA$1000,"Y",$J$2:$J$1000,"&gt;"&amp;J886)+COUNTIFS($GA$2:$GA$1000,"Y",$J$2:$J$1000,J886,$GD$2:$GD$1000,"&lt;"&amp;GD886)+1&lt;=25,COUNTIFS($GA$2:$GA$1000,"Y",$J$2:$J$1000,"&gt;"&amp;J886)+COUNTIFS($GA$2:$GA$1000,"Y",$J$2:$J$1000,J886,$GD$2:$GD$1000,"&lt;"&amp;GD886)+1,""))</f>
        <v/>
      </c>
      <c r="GC886" s="0" t="str">
        <f aca="false">IF(AND(_xlfn.ISFORMULA(C886),_xlfn.ISFORMULA(J886)),"Y","N")</f>
        <v>Y</v>
      </c>
      <c r="GD886" s="0" t="n">
        <f aca="false">ROW()-1</f>
        <v>885</v>
      </c>
    </row>
    <row r="887" customFormat="false" ht="15" hidden="false" customHeight="false" outlineLevel="0" collapsed="false">
      <c r="C887" s="0" t="str">
        <f aca="false">IF($A887="","",IF(AW887="Y",BM887&amp;"",AY887&amp;""))</f>
        <v/>
      </c>
      <c r="D887" s="0" t="str">
        <f aca="false">IF($A887="","",IF(AW887="Y",BN887&amp;"",AZ887&amp;""))</f>
        <v/>
      </c>
      <c r="E887" s="0" t="str">
        <f aca="false">IF($A887="","",IF(AW887="Y",BO887&amp;"",BA887&amp;""))</f>
        <v/>
      </c>
      <c r="F887" s="0" t="str">
        <f aca="false">IF($A887="","",IF(AW887="Y",BP887&amp;"",BB887&amp;""))</f>
        <v/>
      </c>
      <c r="G887" s="0" t="str">
        <f aca="false">IF($A887="","",IF(AW887="Y",BQ887&amp;"",BC887&amp;""))</f>
        <v/>
      </c>
      <c r="H887" s="0" t="str">
        <f aca="false">IF($A887="","",IF(AW887="Y",BR887&amp;"",BD887&amp;""))</f>
        <v/>
      </c>
      <c r="I887" s="0" t="str">
        <f aca="false">IF($A887="","",IF(R887="Y","warm-intro",IF(H887="verified","email",IF(C887&lt;&gt;"","linkedin",CB887&amp;""))))</f>
        <v/>
      </c>
      <c r="J887" s="0" t="str">
        <f aca="false">IF($A887="","",IF(CN887="pass",ROUND(N(EM887)+N(EN887)+N(EO887)+N(EP887)+N(EQ887)+N(ER887),1),0))</f>
        <v/>
      </c>
      <c r="K887" s="0" t="str">
        <f aca="false">IF($A887="","",IF(CN887&lt;&gt;"pass",CA887&amp;"",CA887&amp;"; "&amp;IF(AW887="Y",BZ887&amp;"",BL887&amp;"")&amp;IF(R887="Y","; known to the founder (+15)","")&amp;"."))</f>
        <v/>
      </c>
      <c r="R887" s="5"/>
      <c r="U887" s="5"/>
      <c r="Y887" s="0" t="str">
        <f aca="false">IF(FX887&lt;&gt;"Y","",COUNTIFS($FX$2:$FX$1000,"Y",$J$2:$J$1000,"&gt;"&amp;J887)+COUNTIFS($FX$2:$FX$1000,"Y",$J$2:$J$1000,J887,$GD$2:$GD$1000,"&lt;"&amp;GD887)+1)</f>
        <v/>
      </c>
      <c r="AB887" s="0" t="str">
        <f aca="false">IF($A887="","",IF(AW887="Y",BY887&amp;"",BK887&amp;""))</f>
        <v/>
      </c>
      <c r="AC887" s="0" t="str">
        <f aca="false">IF($A887="","",IF(AW887="Y",BS887&amp;"",BE887&amp;""))</f>
        <v/>
      </c>
      <c r="AD887" s="0" t="str">
        <f aca="false">IF($A887="","",IF(AW887="Y",BT887&amp;"",BF887&amp;""))</f>
        <v/>
      </c>
      <c r="AE887" s="0" t="str">
        <f aca="false">IF($A887="","",IF(AW887="Y",BU887&amp;"",BG887&amp;""))</f>
        <v/>
      </c>
      <c r="AF887" s="0" t="str">
        <f aca="false">IF($A887="","",IF(AW887="Y",BV887&amp;"",BH887&amp;""))</f>
        <v/>
      </c>
      <c r="AG887" s="0" t="str">
        <f aca="false">IF($A887="","",IF(AW887="Y",BW887&amp;"",BI887&amp;""))</f>
        <v/>
      </c>
      <c r="AH887" s="0" t="str">
        <f aca="false">IF($A887="","",IF(AW887="Y",BX887&amp;"",BJ887&amp;""))</f>
        <v/>
      </c>
      <c r="AQ887" s="5"/>
      <c r="AT887" s="0" t="str">
        <f aca="false">IF($A887="","",IF(AND(CN887="pass",AQ887&lt;&gt;"Y",C887&lt;&gt;"",OR(AX887&lt;&gt;"Y",AV887="Y")),"Y","N"))</f>
        <v/>
      </c>
      <c r="AU887" s="0" t="str">
        <f aca="false">IF($A887="","",_xlfn.TEXTJOIN("; ",TRUE(),IF(CN887&lt;&gt;"pass","gated out",""),IF(AQ887="Y","on hold: "&amp;AR887,""),IF(C887="","no contact named on an opened page",""),IF(AND(AX887="Y",AV887&lt;&gt;"Y"),"Tuesday estimate band "&amp;L887&amp;": founder's call","")))</f>
        <v/>
      </c>
      <c r="BC887" s="0" t="str">
        <f aca="false">IF($A887="","",IFERROR(INDEX(Enrichment!$A$2:$GZ$2000,MATCH($A887,INDEX(Enrichment!$A$2:$GZ$2000,0,MATCH("row_id",Enrichment!$A$1:$GZ$1,0)),0),MATCH("work_email",Enrichment!$A$1:$GZ$1,0))&amp;"",""))</f>
        <v/>
      </c>
      <c r="BD887" s="0" t="str">
        <f aca="false">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Q887" s="0" t="str">
        <f aca="false">IF($A887="","",IFERROR(INDEX(Enrichment!$A$2:$GZ$2000,MATCH($A887,INDEX(Enrichment!$A$2:$GZ$2000,0,MATCH("row_id",Enrichment!$A$1:$GZ$1,0)),0),MATCH("backup_work_email",Enrichment!$A$1:$GZ$1,0))&amp;"",""))</f>
        <v/>
      </c>
      <c r="BR887" s="0" t="str">
        <f aca="false">IF($A887="","",IF(BQ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EQ887" s="0" t="str">
        <f aca="false">IF($A887="","",IF(AH887="exact",10,IF(AH887="adjacent",5,0)))</f>
        <v/>
      </c>
      <c r="ER887" s="0" t="str">
        <f aca="false">IF($A887="","",IF(R887="Y",15,0))</f>
        <v/>
      </c>
      <c r="FS887" s="0" t="str">
        <f aca="false">IF($A887="","",IF(ISNUMBER(MATCH(U887,{"queued","contacted","replied","call_booked","call_done","yes_in_principle","materials_sent"},0)),"Y","N"))</f>
        <v/>
      </c>
      <c r="FT887" s="0" t="str">
        <f aca="false">IF($A887="","",IF(OR(T887="Y",U887="do_not_contact",AS887&amp;""&lt;&gt;""),"Y","N"))</f>
        <v/>
      </c>
      <c r="FU887" s="0" t="str">
        <f aca="false">IF($A887="","",IF(AP887&amp;""&lt;&gt;"",AP887&amp;"",$A887))</f>
        <v/>
      </c>
      <c r="FV887" s="0" t="str">
        <f aca="false">IF($A887="","",IF(COUNTIFS($FU$2:$FU$1000,FU887,$FS$2:$FS$1000,"Y")+COUNTIFS($FU$2:$FU$1000,FU887,$FT$2:$FT$1000,"Y")&gt;0,"Y","N"))</f>
        <v/>
      </c>
      <c r="FW887" s="0" t="str">
        <f aca="false">IF($A887="","",IF(AND(U887="new",T887="N",FT887="N",AT887="Y",FV887="N"),"Y","N"))</f>
        <v/>
      </c>
      <c r="FX887" s="0" t="str">
        <f aca="false">IF($A887="","",IF(FW887&lt;&gt;"Y","N",IF(COUNTIFS($FU$2:$FU$1000,FU887,$FW$2:$FW$1000,"Y",$J$2:$J$1000,"&gt;"&amp;J887)+COUNTIFS($FU$2:$FU$1000,FU887,$FW$2:$FW$1000,"Y",$J$2:$J$1000,J887,$GD$2:$GD$1000,"&lt;"&amp;GD887)=0,"Y","N")))</f>
        <v/>
      </c>
      <c r="FY887" s="0" t="str">
        <f aca="false">IF($A887="","",IF(AND(FW887="Y",FX887="Y",Y887&amp;""&lt;&gt;""),IF(Y887&lt;=10,"Y","N"),"N"))</f>
        <v/>
      </c>
      <c r="FZ887" s="0" t="str">
        <f aca="false">IF(FY887="Y",Y887,"")</f>
        <v/>
      </c>
      <c r="GA887" s="0" t="str">
        <f aca="false">IF($A887="","",IF(AND(I887="walk-in",CN887="pass",U887="new",FT887="N",FV887="N",AQ887&lt;&gt;"Y"),"Y","N"))</f>
        <v/>
      </c>
      <c r="GB887" s="0" t="str">
        <f aca="false">IF(GA887&lt;&gt;"Y","",IF(COUNTIFS($GA$2:$GA$1000,"Y",$J$2:$J$1000,"&gt;"&amp;J887)+COUNTIFS($GA$2:$GA$1000,"Y",$J$2:$J$1000,J887,$GD$2:$GD$1000,"&lt;"&amp;GD887)+1&lt;=25,COUNTIFS($GA$2:$GA$1000,"Y",$J$2:$J$1000,"&gt;"&amp;J887)+COUNTIFS($GA$2:$GA$1000,"Y",$J$2:$J$1000,J887,$GD$2:$GD$1000,"&lt;"&amp;GD887)+1,""))</f>
        <v/>
      </c>
      <c r="GC887" s="0" t="str">
        <f aca="false">IF(AND(_xlfn.ISFORMULA(C887),_xlfn.ISFORMULA(J887)),"Y","N")</f>
        <v>Y</v>
      </c>
      <c r="GD887" s="0" t="n">
        <f aca="false">ROW()-1</f>
        <v>886</v>
      </c>
    </row>
    <row r="888" customFormat="false" ht="15" hidden="false" customHeight="false" outlineLevel="0" collapsed="false">
      <c r="C888" s="0" t="str">
        <f aca="false">IF($A888="","",IF(AW888="Y",BM888&amp;"",AY888&amp;""))</f>
        <v/>
      </c>
      <c r="D888" s="0" t="str">
        <f aca="false">IF($A888="","",IF(AW888="Y",BN888&amp;"",AZ888&amp;""))</f>
        <v/>
      </c>
      <c r="E888" s="0" t="str">
        <f aca="false">IF($A888="","",IF(AW888="Y",BO888&amp;"",BA888&amp;""))</f>
        <v/>
      </c>
      <c r="F888" s="0" t="str">
        <f aca="false">IF($A888="","",IF(AW888="Y",BP888&amp;"",BB888&amp;""))</f>
        <v/>
      </c>
      <c r="G888" s="0" t="str">
        <f aca="false">IF($A888="","",IF(AW888="Y",BQ888&amp;"",BC888&amp;""))</f>
        <v/>
      </c>
      <c r="H888" s="0" t="str">
        <f aca="false">IF($A888="","",IF(AW888="Y",BR888&amp;"",BD888&amp;""))</f>
        <v/>
      </c>
      <c r="I888" s="0" t="str">
        <f aca="false">IF($A888="","",IF(R888="Y","warm-intro",IF(H888="verified","email",IF(C888&lt;&gt;"","linkedin",CB888&amp;""))))</f>
        <v/>
      </c>
      <c r="J888" s="0" t="str">
        <f aca="false">IF($A888="","",IF(CN888="pass",ROUND(N(EM888)+N(EN888)+N(EO888)+N(EP888)+N(EQ888)+N(ER888),1),0))</f>
        <v/>
      </c>
      <c r="K888" s="0" t="str">
        <f aca="false">IF($A888="","",IF(CN888&lt;&gt;"pass",CA888&amp;"",CA888&amp;"; "&amp;IF(AW888="Y",BZ888&amp;"",BL888&amp;"")&amp;IF(R888="Y","; known to the founder (+15)","")&amp;"."))</f>
        <v/>
      </c>
      <c r="R888" s="5"/>
      <c r="U888" s="5"/>
      <c r="Y888" s="0" t="str">
        <f aca="false">IF(FX888&lt;&gt;"Y","",COUNTIFS($FX$2:$FX$1000,"Y",$J$2:$J$1000,"&gt;"&amp;J888)+COUNTIFS($FX$2:$FX$1000,"Y",$J$2:$J$1000,J888,$GD$2:$GD$1000,"&lt;"&amp;GD888)+1)</f>
        <v/>
      </c>
      <c r="AB888" s="0" t="str">
        <f aca="false">IF($A888="","",IF(AW888="Y",BY888&amp;"",BK888&amp;""))</f>
        <v/>
      </c>
      <c r="AC888" s="0" t="str">
        <f aca="false">IF($A888="","",IF(AW888="Y",BS888&amp;"",BE888&amp;""))</f>
        <v/>
      </c>
      <c r="AD888" s="0" t="str">
        <f aca="false">IF($A888="","",IF(AW888="Y",BT888&amp;"",BF888&amp;""))</f>
        <v/>
      </c>
      <c r="AE888" s="0" t="str">
        <f aca="false">IF($A888="","",IF(AW888="Y",BU888&amp;"",BG888&amp;""))</f>
        <v/>
      </c>
      <c r="AF888" s="0" t="str">
        <f aca="false">IF($A888="","",IF(AW888="Y",BV888&amp;"",BH888&amp;""))</f>
        <v/>
      </c>
      <c r="AG888" s="0" t="str">
        <f aca="false">IF($A888="","",IF(AW888="Y",BW888&amp;"",BI888&amp;""))</f>
        <v/>
      </c>
      <c r="AH888" s="0" t="str">
        <f aca="false">IF($A888="","",IF(AW888="Y",BX888&amp;"",BJ888&amp;""))</f>
        <v/>
      </c>
      <c r="AQ888" s="5"/>
      <c r="AT888" s="0" t="str">
        <f aca="false">IF($A888="","",IF(AND(CN888="pass",AQ888&lt;&gt;"Y",C888&lt;&gt;"",OR(AX888&lt;&gt;"Y",AV888="Y")),"Y","N"))</f>
        <v/>
      </c>
      <c r="AU888" s="0" t="str">
        <f aca="false">IF($A888="","",_xlfn.TEXTJOIN("; ",TRUE(),IF(CN888&lt;&gt;"pass","gated out",""),IF(AQ888="Y","on hold: "&amp;AR888,""),IF(C888="","no contact named on an opened page",""),IF(AND(AX888="Y",AV888&lt;&gt;"Y"),"Tuesday estimate band "&amp;L888&amp;": founder's call","")))</f>
        <v/>
      </c>
      <c r="BC888" s="0" t="str">
        <f aca="false">IF($A888="","",IFERROR(INDEX(Enrichment!$A$2:$GZ$2000,MATCH($A888,INDEX(Enrichment!$A$2:$GZ$2000,0,MATCH("row_id",Enrichment!$A$1:$GZ$1,0)),0),MATCH("work_email",Enrichment!$A$1:$GZ$1,0))&amp;"",""))</f>
        <v/>
      </c>
      <c r="BD888" s="0" t="str">
        <f aca="false">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Q888" s="0" t="str">
        <f aca="false">IF($A888="","",IFERROR(INDEX(Enrichment!$A$2:$GZ$2000,MATCH($A888,INDEX(Enrichment!$A$2:$GZ$2000,0,MATCH("row_id",Enrichment!$A$1:$GZ$1,0)),0),MATCH("backup_work_email",Enrichment!$A$1:$GZ$1,0))&amp;"",""))</f>
        <v/>
      </c>
      <c r="BR888" s="0" t="str">
        <f aca="false">IF($A888="","",IF(BQ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EQ888" s="0" t="str">
        <f aca="false">IF($A888="","",IF(AH888="exact",10,IF(AH888="adjacent",5,0)))</f>
        <v/>
      </c>
      <c r="ER888" s="0" t="str">
        <f aca="false">IF($A888="","",IF(R888="Y",15,0))</f>
        <v/>
      </c>
      <c r="FS888" s="0" t="str">
        <f aca="false">IF($A888="","",IF(ISNUMBER(MATCH(U888,{"queued","contacted","replied","call_booked","call_done","yes_in_principle","materials_sent"},0)),"Y","N"))</f>
        <v/>
      </c>
      <c r="FT888" s="0" t="str">
        <f aca="false">IF($A888="","",IF(OR(T888="Y",U888="do_not_contact",AS888&amp;""&lt;&gt;""),"Y","N"))</f>
        <v/>
      </c>
      <c r="FU888" s="0" t="str">
        <f aca="false">IF($A888="","",IF(AP888&amp;""&lt;&gt;"",AP888&amp;"",$A888))</f>
        <v/>
      </c>
      <c r="FV888" s="0" t="str">
        <f aca="false">IF($A888="","",IF(COUNTIFS($FU$2:$FU$1000,FU888,$FS$2:$FS$1000,"Y")+COUNTIFS($FU$2:$FU$1000,FU888,$FT$2:$FT$1000,"Y")&gt;0,"Y","N"))</f>
        <v/>
      </c>
      <c r="FW888" s="0" t="str">
        <f aca="false">IF($A888="","",IF(AND(U888="new",T888="N",FT888="N",AT888="Y",FV888="N"),"Y","N"))</f>
        <v/>
      </c>
      <c r="FX888" s="0" t="str">
        <f aca="false">IF($A888="","",IF(FW888&lt;&gt;"Y","N",IF(COUNTIFS($FU$2:$FU$1000,FU888,$FW$2:$FW$1000,"Y",$J$2:$J$1000,"&gt;"&amp;J888)+COUNTIFS($FU$2:$FU$1000,FU888,$FW$2:$FW$1000,"Y",$J$2:$J$1000,J888,$GD$2:$GD$1000,"&lt;"&amp;GD888)=0,"Y","N")))</f>
        <v/>
      </c>
      <c r="FY888" s="0" t="str">
        <f aca="false">IF($A888="","",IF(AND(FW888="Y",FX888="Y",Y888&amp;""&lt;&gt;""),IF(Y888&lt;=10,"Y","N"),"N"))</f>
        <v/>
      </c>
      <c r="FZ888" s="0" t="str">
        <f aca="false">IF(FY888="Y",Y888,"")</f>
        <v/>
      </c>
      <c r="GA888" s="0" t="str">
        <f aca="false">IF($A888="","",IF(AND(I888="walk-in",CN888="pass",U888="new",FT888="N",FV888="N",AQ888&lt;&gt;"Y"),"Y","N"))</f>
        <v/>
      </c>
      <c r="GB888" s="0" t="str">
        <f aca="false">IF(GA888&lt;&gt;"Y","",IF(COUNTIFS($GA$2:$GA$1000,"Y",$J$2:$J$1000,"&gt;"&amp;J888)+COUNTIFS($GA$2:$GA$1000,"Y",$J$2:$J$1000,J888,$GD$2:$GD$1000,"&lt;"&amp;GD888)+1&lt;=25,COUNTIFS($GA$2:$GA$1000,"Y",$J$2:$J$1000,"&gt;"&amp;J888)+COUNTIFS($GA$2:$GA$1000,"Y",$J$2:$J$1000,J888,$GD$2:$GD$1000,"&lt;"&amp;GD888)+1,""))</f>
        <v/>
      </c>
      <c r="GC888" s="0" t="str">
        <f aca="false">IF(AND(_xlfn.ISFORMULA(C888),_xlfn.ISFORMULA(J888)),"Y","N")</f>
        <v>Y</v>
      </c>
      <c r="GD888" s="0" t="n">
        <f aca="false">ROW()-1</f>
        <v>887</v>
      </c>
    </row>
    <row r="889" customFormat="false" ht="15" hidden="false" customHeight="false" outlineLevel="0" collapsed="false">
      <c r="C889" s="0" t="str">
        <f aca="false">IF($A889="","",IF(AW889="Y",BM889&amp;"",AY889&amp;""))</f>
        <v/>
      </c>
      <c r="D889" s="0" t="str">
        <f aca="false">IF($A889="","",IF(AW889="Y",BN889&amp;"",AZ889&amp;""))</f>
        <v/>
      </c>
      <c r="E889" s="0" t="str">
        <f aca="false">IF($A889="","",IF(AW889="Y",BO889&amp;"",BA889&amp;""))</f>
        <v/>
      </c>
      <c r="F889" s="0" t="str">
        <f aca="false">IF($A889="","",IF(AW889="Y",BP889&amp;"",BB889&amp;""))</f>
        <v/>
      </c>
      <c r="G889" s="0" t="str">
        <f aca="false">IF($A889="","",IF(AW889="Y",BQ889&amp;"",BC889&amp;""))</f>
        <v/>
      </c>
      <c r="H889" s="0" t="str">
        <f aca="false">IF($A889="","",IF(AW889="Y",BR889&amp;"",BD889&amp;""))</f>
        <v/>
      </c>
      <c r="I889" s="0" t="str">
        <f aca="false">IF($A889="","",IF(R889="Y","warm-intro",IF(H889="verified","email",IF(C889&lt;&gt;"","linkedin",CB889&amp;""))))</f>
        <v/>
      </c>
      <c r="J889" s="0" t="str">
        <f aca="false">IF($A889="","",IF(CN889="pass",ROUND(N(EM889)+N(EN889)+N(EO889)+N(EP889)+N(EQ889)+N(ER889),1),0))</f>
        <v/>
      </c>
      <c r="K889" s="0" t="str">
        <f aca="false">IF($A889="","",IF(CN889&lt;&gt;"pass",CA889&amp;"",CA889&amp;"; "&amp;IF(AW889="Y",BZ889&amp;"",BL889&amp;"")&amp;IF(R889="Y","; known to the founder (+15)","")&amp;"."))</f>
        <v/>
      </c>
      <c r="R889" s="5"/>
      <c r="U889" s="5"/>
      <c r="Y889" s="0" t="str">
        <f aca="false">IF(FX889&lt;&gt;"Y","",COUNTIFS($FX$2:$FX$1000,"Y",$J$2:$J$1000,"&gt;"&amp;J889)+COUNTIFS($FX$2:$FX$1000,"Y",$J$2:$J$1000,J889,$GD$2:$GD$1000,"&lt;"&amp;GD889)+1)</f>
        <v/>
      </c>
      <c r="AB889" s="0" t="str">
        <f aca="false">IF($A889="","",IF(AW889="Y",BY889&amp;"",BK889&amp;""))</f>
        <v/>
      </c>
      <c r="AC889" s="0" t="str">
        <f aca="false">IF($A889="","",IF(AW889="Y",BS889&amp;"",BE889&amp;""))</f>
        <v/>
      </c>
      <c r="AD889" s="0" t="str">
        <f aca="false">IF($A889="","",IF(AW889="Y",BT889&amp;"",BF889&amp;""))</f>
        <v/>
      </c>
      <c r="AE889" s="0" t="str">
        <f aca="false">IF($A889="","",IF(AW889="Y",BU889&amp;"",BG889&amp;""))</f>
        <v/>
      </c>
      <c r="AF889" s="0" t="str">
        <f aca="false">IF($A889="","",IF(AW889="Y",BV889&amp;"",BH889&amp;""))</f>
        <v/>
      </c>
      <c r="AG889" s="0" t="str">
        <f aca="false">IF($A889="","",IF(AW889="Y",BW889&amp;"",BI889&amp;""))</f>
        <v/>
      </c>
      <c r="AH889" s="0" t="str">
        <f aca="false">IF($A889="","",IF(AW889="Y",BX889&amp;"",BJ889&amp;""))</f>
        <v/>
      </c>
      <c r="AQ889" s="5"/>
      <c r="AT889" s="0" t="str">
        <f aca="false">IF($A889="","",IF(AND(CN889="pass",AQ889&lt;&gt;"Y",C889&lt;&gt;"",OR(AX889&lt;&gt;"Y",AV889="Y")),"Y","N"))</f>
        <v/>
      </c>
      <c r="AU889" s="0" t="str">
        <f aca="false">IF($A889="","",_xlfn.TEXTJOIN("; ",TRUE(),IF(CN889&lt;&gt;"pass","gated out",""),IF(AQ889="Y","on hold: "&amp;AR889,""),IF(C889="","no contact named on an opened page",""),IF(AND(AX889="Y",AV889&lt;&gt;"Y"),"Tuesday estimate band "&amp;L889&amp;": founder's call","")))</f>
        <v/>
      </c>
      <c r="BC889" s="0" t="str">
        <f aca="false">IF($A889="","",IFERROR(INDEX(Enrichment!$A$2:$GZ$2000,MATCH($A889,INDEX(Enrichment!$A$2:$GZ$2000,0,MATCH("row_id",Enrichment!$A$1:$GZ$1,0)),0),MATCH("work_email",Enrichment!$A$1:$GZ$1,0))&amp;"",""))</f>
        <v/>
      </c>
      <c r="BD889" s="0" t="str">
        <f aca="false">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Q889" s="0" t="str">
        <f aca="false">IF($A889="","",IFERROR(INDEX(Enrichment!$A$2:$GZ$2000,MATCH($A889,INDEX(Enrichment!$A$2:$GZ$2000,0,MATCH("row_id",Enrichment!$A$1:$GZ$1,0)),0),MATCH("backup_work_email",Enrichment!$A$1:$GZ$1,0))&amp;"",""))</f>
        <v/>
      </c>
      <c r="BR889" s="0" t="str">
        <f aca="false">IF($A889="","",IF(BQ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EQ889" s="0" t="str">
        <f aca="false">IF($A889="","",IF(AH889="exact",10,IF(AH889="adjacent",5,0)))</f>
        <v/>
      </c>
      <c r="ER889" s="0" t="str">
        <f aca="false">IF($A889="","",IF(R889="Y",15,0))</f>
        <v/>
      </c>
      <c r="FS889" s="0" t="str">
        <f aca="false">IF($A889="","",IF(ISNUMBER(MATCH(U889,{"queued","contacted","replied","call_booked","call_done","yes_in_principle","materials_sent"},0)),"Y","N"))</f>
        <v/>
      </c>
      <c r="FT889" s="0" t="str">
        <f aca="false">IF($A889="","",IF(OR(T889="Y",U889="do_not_contact",AS889&amp;""&lt;&gt;""),"Y","N"))</f>
        <v/>
      </c>
      <c r="FU889" s="0" t="str">
        <f aca="false">IF($A889="","",IF(AP889&amp;""&lt;&gt;"",AP889&amp;"",$A889))</f>
        <v/>
      </c>
      <c r="FV889" s="0" t="str">
        <f aca="false">IF($A889="","",IF(COUNTIFS($FU$2:$FU$1000,FU889,$FS$2:$FS$1000,"Y")+COUNTIFS($FU$2:$FU$1000,FU889,$FT$2:$FT$1000,"Y")&gt;0,"Y","N"))</f>
        <v/>
      </c>
      <c r="FW889" s="0" t="str">
        <f aca="false">IF($A889="","",IF(AND(U889="new",T889="N",FT889="N",AT889="Y",FV889="N"),"Y","N"))</f>
        <v/>
      </c>
      <c r="FX889" s="0" t="str">
        <f aca="false">IF($A889="","",IF(FW889&lt;&gt;"Y","N",IF(COUNTIFS($FU$2:$FU$1000,FU889,$FW$2:$FW$1000,"Y",$J$2:$J$1000,"&gt;"&amp;J889)+COUNTIFS($FU$2:$FU$1000,FU889,$FW$2:$FW$1000,"Y",$J$2:$J$1000,J889,$GD$2:$GD$1000,"&lt;"&amp;GD889)=0,"Y","N")))</f>
        <v/>
      </c>
      <c r="FY889" s="0" t="str">
        <f aca="false">IF($A889="","",IF(AND(FW889="Y",FX889="Y",Y889&amp;""&lt;&gt;""),IF(Y889&lt;=10,"Y","N"),"N"))</f>
        <v/>
      </c>
      <c r="FZ889" s="0" t="str">
        <f aca="false">IF(FY889="Y",Y889,"")</f>
        <v/>
      </c>
      <c r="GA889" s="0" t="str">
        <f aca="false">IF($A889="","",IF(AND(I889="walk-in",CN889="pass",U889="new",FT889="N",FV889="N",AQ889&lt;&gt;"Y"),"Y","N"))</f>
        <v/>
      </c>
      <c r="GB889" s="0" t="str">
        <f aca="false">IF(GA889&lt;&gt;"Y","",IF(COUNTIFS($GA$2:$GA$1000,"Y",$J$2:$J$1000,"&gt;"&amp;J889)+COUNTIFS($GA$2:$GA$1000,"Y",$J$2:$J$1000,J889,$GD$2:$GD$1000,"&lt;"&amp;GD889)+1&lt;=25,COUNTIFS($GA$2:$GA$1000,"Y",$J$2:$J$1000,"&gt;"&amp;J889)+COUNTIFS($GA$2:$GA$1000,"Y",$J$2:$J$1000,J889,$GD$2:$GD$1000,"&lt;"&amp;GD889)+1,""))</f>
        <v/>
      </c>
      <c r="GC889" s="0" t="str">
        <f aca="false">IF(AND(_xlfn.ISFORMULA(C889),_xlfn.ISFORMULA(J889)),"Y","N")</f>
        <v>Y</v>
      </c>
      <c r="GD889" s="0" t="n">
        <f aca="false">ROW()-1</f>
        <v>888</v>
      </c>
    </row>
    <row r="890" customFormat="false" ht="15" hidden="false" customHeight="false" outlineLevel="0" collapsed="false">
      <c r="C890" s="0" t="str">
        <f aca="false">IF($A890="","",IF(AW890="Y",BM890&amp;"",AY890&amp;""))</f>
        <v/>
      </c>
      <c r="D890" s="0" t="str">
        <f aca="false">IF($A890="","",IF(AW890="Y",BN890&amp;"",AZ890&amp;""))</f>
        <v/>
      </c>
      <c r="E890" s="0" t="str">
        <f aca="false">IF($A890="","",IF(AW890="Y",BO890&amp;"",BA890&amp;""))</f>
        <v/>
      </c>
      <c r="F890" s="0" t="str">
        <f aca="false">IF($A890="","",IF(AW890="Y",BP890&amp;"",BB890&amp;""))</f>
        <v/>
      </c>
      <c r="G890" s="0" t="str">
        <f aca="false">IF($A890="","",IF(AW890="Y",BQ890&amp;"",BC890&amp;""))</f>
        <v/>
      </c>
      <c r="H890" s="0" t="str">
        <f aca="false">IF($A890="","",IF(AW890="Y",BR890&amp;"",BD890&amp;""))</f>
        <v/>
      </c>
      <c r="I890" s="0" t="str">
        <f aca="false">IF($A890="","",IF(R890="Y","warm-intro",IF(H890="verified","email",IF(C890&lt;&gt;"","linkedin",CB890&amp;""))))</f>
        <v/>
      </c>
      <c r="J890" s="0" t="str">
        <f aca="false">IF($A890="","",IF(CN890="pass",ROUND(N(EM890)+N(EN890)+N(EO890)+N(EP890)+N(EQ890)+N(ER890),1),0))</f>
        <v/>
      </c>
      <c r="K890" s="0" t="str">
        <f aca="false">IF($A890="","",IF(CN890&lt;&gt;"pass",CA890&amp;"",CA890&amp;"; "&amp;IF(AW890="Y",BZ890&amp;"",BL890&amp;"")&amp;IF(R890="Y","; known to the founder (+15)","")&amp;"."))</f>
        <v/>
      </c>
      <c r="R890" s="5"/>
      <c r="U890" s="5"/>
      <c r="Y890" s="0" t="str">
        <f aca="false">IF(FX890&lt;&gt;"Y","",COUNTIFS($FX$2:$FX$1000,"Y",$J$2:$J$1000,"&gt;"&amp;J890)+COUNTIFS($FX$2:$FX$1000,"Y",$J$2:$J$1000,J890,$GD$2:$GD$1000,"&lt;"&amp;GD890)+1)</f>
        <v/>
      </c>
      <c r="AB890" s="0" t="str">
        <f aca="false">IF($A890="","",IF(AW890="Y",BY890&amp;"",BK890&amp;""))</f>
        <v/>
      </c>
      <c r="AC890" s="0" t="str">
        <f aca="false">IF($A890="","",IF(AW890="Y",BS890&amp;"",BE890&amp;""))</f>
        <v/>
      </c>
      <c r="AD890" s="0" t="str">
        <f aca="false">IF($A890="","",IF(AW890="Y",BT890&amp;"",BF890&amp;""))</f>
        <v/>
      </c>
      <c r="AE890" s="0" t="str">
        <f aca="false">IF($A890="","",IF(AW890="Y",BU890&amp;"",BG890&amp;""))</f>
        <v/>
      </c>
      <c r="AF890" s="0" t="str">
        <f aca="false">IF($A890="","",IF(AW890="Y",BV890&amp;"",BH890&amp;""))</f>
        <v/>
      </c>
      <c r="AG890" s="0" t="str">
        <f aca="false">IF($A890="","",IF(AW890="Y",BW890&amp;"",BI890&amp;""))</f>
        <v/>
      </c>
      <c r="AH890" s="0" t="str">
        <f aca="false">IF($A890="","",IF(AW890="Y",BX890&amp;"",BJ890&amp;""))</f>
        <v/>
      </c>
      <c r="AQ890" s="5"/>
      <c r="AT890" s="0" t="str">
        <f aca="false">IF($A890="","",IF(AND(CN890="pass",AQ890&lt;&gt;"Y",C890&lt;&gt;"",OR(AX890&lt;&gt;"Y",AV890="Y")),"Y","N"))</f>
        <v/>
      </c>
      <c r="AU890" s="0" t="str">
        <f aca="false">IF($A890="","",_xlfn.TEXTJOIN("; ",TRUE(),IF(CN890&lt;&gt;"pass","gated out",""),IF(AQ890="Y","on hold: "&amp;AR890,""),IF(C890="","no contact named on an opened page",""),IF(AND(AX890="Y",AV890&lt;&gt;"Y"),"Tuesday estimate band "&amp;L890&amp;": founder's call","")))</f>
        <v/>
      </c>
      <c r="BC890" s="0" t="str">
        <f aca="false">IF($A890="","",IFERROR(INDEX(Enrichment!$A$2:$GZ$2000,MATCH($A890,INDEX(Enrichment!$A$2:$GZ$2000,0,MATCH("row_id",Enrichment!$A$1:$GZ$1,0)),0),MATCH("work_email",Enrichment!$A$1:$GZ$1,0))&amp;"",""))</f>
        <v/>
      </c>
      <c r="BD890" s="0" t="str">
        <f aca="false">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Q890" s="0" t="str">
        <f aca="false">IF($A890="","",IFERROR(INDEX(Enrichment!$A$2:$GZ$2000,MATCH($A890,INDEX(Enrichment!$A$2:$GZ$2000,0,MATCH("row_id",Enrichment!$A$1:$GZ$1,0)),0),MATCH("backup_work_email",Enrichment!$A$1:$GZ$1,0))&amp;"",""))</f>
        <v/>
      </c>
      <c r="BR890" s="0" t="str">
        <f aca="false">IF($A890="","",IF(BQ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EQ890" s="0" t="str">
        <f aca="false">IF($A890="","",IF(AH890="exact",10,IF(AH890="adjacent",5,0)))</f>
        <v/>
      </c>
      <c r="ER890" s="0" t="str">
        <f aca="false">IF($A890="","",IF(R890="Y",15,0))</f>
        <v/>
      </c>
      <c r="FS890" s="0" t="str">
        <f aca="false">IF($A890="","",IF(ISNUMBER(MATCH(U890,{"queued","contacted","replied","call_booked","call_done","yes_in_principle","materials_sent"},0)),"Y","N"))</f>
        <v/>
      </c>
      <c r="FT890" s="0" t="str">
        <f aca="false">IF($A890="","",IF(OR(T890="Y",U890="do_not_contact",AS890&amp;""&lt;&gt;""),"Y","N"))</f>
        <v/>
      </c>
      <c r="FU890" s="0" t="str">
        <f aca="false">IF($A890="","",IF(AP890&amp;""&lt;&gt;"",AP890&amp;"",$A890))</f>
        <v/>
      </c>
      <c r="FV890" s="0" t="str">
        <f aca="false">IF($A890="","",IF(COUNTIFS($FU$2:$FU$1000,FU890,$FS$2:$FS$1000,"Y")+COUNTIFS($FU$2:$FU$1000,FU890,$FT$2:$FT$1000,"Y")&gt;0,"Y","N"))</f>
        <v/>
      </c>
      <c r="FW890" s="0" t="str">
        <f aca="false">IF($A890="","",IF(AND(U890="new",T890="N",FT890="N",AT890="Y",FV890="N"),"Y","N"))</f>
        <v/>
      </c>
      <c r="FX890" s="0" t="str">
        <f aca="false">IF($A890="","",IF(FW890&lt;&gt;"Y","N",IF(COUNTIFS($FU$2:$FU$1000,FU890,$FW$2:$FW$1000,"Y",$J$2:$J$1000,"&gt;"&amp;J890)+COUNTIFS($FU$2:$FU$1000,FU890,$FW$2:$FW$1000,"Y",$J$2:$J$1000,J890,$GD$2:$GD$1000,"&lt;"&amp;GD890)=0,"Y","N")))</f>
        <v/>
      </c>
      <c r="FY890" s="0" t="str">
        <f aca="false">IF($A890="","",IF(AND(FW890="Y",FX890="Y",Y890&amp;""&lt;&gt;""),IF(Y890&lt;=10,"Y","N"),"N"))</f>
        <v/>
      </c>
      <c r="FZ890" s="0" t="str">
        <f aca="false">IF(FY890="Y",Y890,"")</f>
        <v/>
      </c>
      <c r="GA890" s="0" t="str">
        <f aca="false">IF($A890="","",IF(AND(I890="walk-in",CN890="pass",U890="new",FT890="N",FV890="N",AQ890&lt;&gt;"Y"),"Y","N"))</f>
        <v/>
      </c>
      <c r="GB890" s="0" t="str">
        <f aca="false">IF(GA890&lt;&gt;"Y","",IF(COUNTIFS($GA$2:$GA$1000,"Y",$J$2:$J$1000,"&gt;"&amp;J890)+COUNTIFS($GA$2:$GA$1000,"Y",$J$2:$J$1000,J890,$GD$2:$GD$1000,"&lt;"&amp;GD890)+1&lt;=25,COUNTIFS($GA$2:$GA$1000,"Y",$J$2:$J$1000,"&gt;"&amp;J890)+COUNTIFS($GA$2:$GA$1000,"Y",$J$2:$J$1000,J890,$GD$2:$GD$1000,"&lt;"&amp;GD890)+1,""))</f>
        <v/>
      </c>
      <c r="GC890" s="0" t="str">
        <f aca="false">IF(AND(_xlfn.ISFORMULA(C890),_xlfn.ISFORMULA(J890)),"Y","N")</f>
        <v>Y</v>
      </c>
      <c r="GD890" s="0" t="n">
        <f aca="false">ROW()-1</f>
        <v>889</v>
      </c>
    </row>
    <row r="891" customFormat="false" ht="15" hidden="false" customHeight="false" outlineLevel="0" collapsed="false">
      <c r="C891" s="0" t="str">
        <f aca="false">IF($A891="","",IF(AW891="Y",BM891&amp;"",AY891&amp;""))</f>
        <v/>
      </c>
      <c r="D891" s="0" t="str">
        <f aca="false">IF($A891="","",IF(AW891="Y",BN891&amp;"",AZ891&amp;""))</f>
        <v/>
      </c>
      <c r="E891" s="0" t="str">
        <f aca="false">IF($A891="","",IF(AW891="Y",BO891&amp;"",BA891&amp;""))</f>
        <v/>
      </c>
      <c r="F891" s="0" t="str">
        <f aca="false">IF($A891="","",IF(AW891="Y",BP891&amp;"",BB891&amp;""))</f>
        <v/>
      </c>
      <c r="G891" s="0" t="str">
        <f aca="false">IF($A891="","",IF(AW891="Y",BQ891&amp;"",BC891&amp;""))</f>
        <v/>
      </c>
      <c r="H891" s="0" t="str">
        <f aca="false">IF($A891="","",IF(AW891="Y",BR891&amp;"",BD891&amp;""))</f>
        <v/>
      </c>
      <c r="I891" s="0" t="str">
        <f aca="false">IF($A891="","",IF(R891="Y","warm-intro",IF(H891="verified","email",IF(C891&lt;&gt;"","linkedin",CB891&amp;""))))</f>
        <v/>
      </c>
      <c r="J891" s="0" t="str">
        <f aca="false">IF($A891="","",IF(CN891="pass",ROUND(N(EM891)+N(EN891)+N(EO891)+N(EP891)+N(EQ891)+N(ER891),1),0))</f>
        <v/>
      </c>
      <c r="K891" s="0" t="str">
        <f aca="false">IF($A891="","",IF(CN891&lt;&gt;"pass",CA891&amp;"",CA891&amp;"; "&amp;IF(AW891="Y",BZ891&amp;"",BL891&amp;"")&amp;IF(R891="Y","; known to the founder (+15)","")&amp;"."))</f>
        <v/>
      </c>
      <c r="R891" s="5"/>
      <c r="U891" s="5"/>
      <c r="Y891" s="0" t="str">
        <f aca="false">IF(FX891&lt;&gt;"Y","",COUNTIFS($FX$2:$FX$1000,"Y",$J$2:$J$1000,"&gt;"&amp;J891)+COUNTIFS($FX$2:$FX$1000,"Y",$J$2:$J$1000,J891,$GD$2:$GD$1000,"&lt;"&amp;GD891)+1)</f>
        <v/>
      </c>
      <c r="AB891" s="0" t="str">
        <f aca="false">IF($A891="","",IF(AW891="Y",BY891&amp;"",BK891&amp;""))</f>
        <v/>
      </c>
      <c r="AC891" s="0" t="str">
        <f aca="false">IF($A891="","",IF(AW891="Y",BS891&amp;"",BE891&amp;""))</f>
        <v/>
      </c>
      <c r="AD891" s="0" t="str">
        <f aca="false">IF($A891="","",IF(AW891="Y",BT891&amp;"",BF891&amp;""))</f>
        <v/>
      </c>
      <c r="AE891" s="0" t="str">
        <f aca="false">IF($A891="","",IF(AW891="Y",BU891&amp;"",BG891&amp;""))</f>
        <v/>
      </c>
      <c r="AF891" s="0" t="str">
        <f aca="false">IF($A891="","",IF(AW891="Y",BV891&amp;"",BH891&amp;""))</f>
        <v/>
      </c>
      <c r="AG891" s="0" t="str">
        <f aca="false">IF($A891="","",IF(AW891="Y",BW891&amp;"",BI891&amp;""))</f>
        <v/>
      </c>
      <c r="AH891" s="0" t="str">
        <f aca="false">IF($A891="","",IF(AW891="Y",BX891&amp;"",BJ891&amp;""))</f>
        <v/>
      </c>
      <c r="AQ891" s="5"/>
      <c r="AT891" s="0" t="str">
        <f aca="false">IF($A891="","",IF(AND(CN891="pass",AQ891&lt;&gt;"Y",C891&lt;&gt;"",OR(AX891&lt;&gt;"Y",AV891="Y")),"Y","N"))</f>
        <v/>
      </c>
      <c r="AU891" s="0" t="str">
        <f aca="false">IF($A891="","",_xlfn.TEXTJOIN("; ",TRUE(),IF(CN891&lt;&gt;"pass","gated out",""),IF(AQ891="Y","on hold: "&amp;AR891,""),IF(C891="","no contact named on an opened page",""),IF(AND(AX891="Y",AV891&lt;&gt;"Y"),"Tuesday estimate band "&amp;L891&amp;": founder's call","")))</f>
        <v/>
      </c>
      <c r="BC891" s="0" t="str">
        <f aca="false">IF($A891="","",IFERROR(INDEX(Enrichment!$A$2:$GZ$2000,MATCH($A891,INDEX(Enrichment!$A$2:$GZ$2000,0,MATCH("row_id",Enrichment!$A$1:$GZ$1,0)),0),MATCH("work_email",Enrichment!$A$1:$GZ$1,0))&amp;"",""))</f>
        <v/>
      </c>
      <c r="BD891" s="0" t="str">
        <f aca="false">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Q891" s="0" t="str">
        <f aca="false">IF($A891="","",IFERROR(INDEX(Enrichment!$A$2:$GZ$2000,MATCH($A891,INDEX(Enrichment!$A$2:$GZ$2000,0,MATCH("row_id",Enrichment!$A$1:$GZ$1,0)),0),MATCH("backup_work_email",Enrichment!$A$1:$GZ$1,0))&amp;"",""))</f>
        <v/>
      </c>
      <c r="BR891" s="0" t="str">
        <f aca="false">IF($A891="","",IF(BQ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EQ891" s="0" t="str">
        <f aca="false">IF($A891="","",IF(AH891="exact",10,IF(AH891="adjacent",5,0)))</f>
        <v/>
      </c>
      <c r="ER891" s="0" t="str">
        <f aca="false">IF($A891="","",IF(R891="Y",15,0))</f>
        <v/>
      </c>
      <c r="FS891" s="0" t="str">
        <f aca="false">IF($A891="","",IF(ISNUMBER(MATCH(U891,{"queued","contacted","replied","call_booked","call_done","yes_in_principle","materials_sent"},0)),"Y","N"))</f>
        <v/>
      </c>
      <c r="FT891" s="0" t="str">
        <f aca="false">IF($A891="","",IF(OR(T891="Y",U891="do_not_contact",AS891&amp;""&lt;&gt;""),"Y","N"))</f>
        <v/>
      </c>
      <c r="FU891" s="0" t="str">
        <f aca="false">IF($A891="","",IF(AP891&amp;""&lt;&gt;"",AP891&amp;"",$A891))</f>
        <v/>
      </c>
      <c r="FV891" s="0" t="str">
        <f aca="false">IF($A891="","",IF(COUNTIFS($FU$2:$FU$1000,FU891,$FS$2:$FS$1000,"Y")+COUNTIFS($FU$2:$FU$1000,FU891,$FT$2:$FT$1000,"Y")&gt;0,"Y","N"))</f>
        <v/>
      </c>
      <c r="FW891" s="0" t="str">
        <f aca="false">IF($A891="","",IF(AND(U891="new",T891="N",FT891="N",AT891="Y",FV891="N"),"Y","N"))</f>
        <v/>
      </c>
      <c r="FX891" s="0" t="str">
        <f aca="false">IF($A891="","",IF(FW891&lt;&gt;"Y","N",IF(COUNTIFS($FU$2:$FU$1000,FU891,$FW$2:$FW$1000,"Y",$J$2:$J$1000,"&gt;"&amp;J891)+COUNTIFS($FU$2:$FU$1000,FU891,$FW$2:$FW$1000,"Y",$J$2:$J$1000,J891,$GD$2:$GD$1000,"&lt;"&amp;GD891)=0,"Y","N")))</f>
        <v/>
      </c>
      <c r="FY891" s="0" t="str">
        <f aca="false">IF($A891="","",IF(AND(FW891="Y",FX891="Y",Y891&amp;""&lt;&gt;""),IF(Y891&lt;=10,"Y","N"),"N"))</f>
        <v/>
      </c>
      <c r="FZ891" s="0" t="str">
        <f aca="false">IF(FY891="Y",Y891,"")</f>
        <v/>
      </c>
      <c r="GA891" s="0" t="str">
        <f aca="false">IF($A891="","",IF(AND(I891="walk-in",CN891="pass",U891="new",FT891="N",FV891="N",AQ891&lt;&gt;"Y"),"Y","N"))</f>
        <v/>
      </c>
      <c r="GB891" s="0" t="str">
        <f aca="false">IF(GA891&lt;&gt;"Y","",IF(COUNTIFS($GA$2:$GA$1000,"Y",$J$2:$J$1000,"&gt;"&amp;J891)+COUNTIFS($GA$2:$GA$1000,"Y",$J$2:$J$1000,J891,$GD$2:$GD$1000,"&lt;"&amp;GD891)+1&lt;=25,COUNTIFS($GA$2:$GA$1000,"Y",$J$2:$J$1000,"&gt;"&amp;J891)+COUNTIFS($GA$2:$GA$1000,"Y",$J$2:$J$1000,J891,$GD$2:$GD$1000,"&lt;"&amp;GD891)+1,""))</f>
        <v/>
      </c>
      <c r="GC891" s="0" t="str">
        <f aca="false">IF(AND(_xlfn.ISFORMULA(C891),_xlfn.ISFORMULA(J891)),"Y","N")</f>
        <v>Y</v>
      </c>
      <c r="GD891" s="0" t="n">
        <f aca="false">ROW()-1</f>
        <v>890</v>
      </c>
    </row>
    <row r="892" customFormat="false" ht="15" hidden="false" customHeight="false" outlineLevel="0" collapsed="false">
      <c r="C892" s="0" t="str">
        <f aca="false">IF($A892="","",IF(AW892="Y",BM892&amp;"",AY892&amp;""))</f>
        <v/>
      </c>
      <c r="D892" s="0" t="str">
        <f aca="false">IF($A892="","",IF(AW892="Y",BN892&amp;"",AZ892&amp;""))</f>
        <v/>
      </c>
      <c r="E892" s="0" t="str">
        <f aca="false">IF($A892="","",IF(AW892="Y",BO892&amp;"",BA892&amp;""))</f>
        <v/>
      </c>
      <c r="F892" s="0" t="str">
        <f aca="false">IF($A892="","",IF(AW892="Y",BP892&amp;"",BB892&amp;""))</f>
        <v/>
      </c>
      <c r="G892" s="0" t="str">
        <f aca="false">IF($A892="","",IF(AW892="Y",BQ892&amp;"",BC892&amp;""))</f>
        <v/>
      </c>
      <c r="H892" s="0" t="str">
        <f aca="false">IF($A892="","",IF(AW892="Y",BR892&amp;"",BD892&amp;""))</f>
        <v/>
      </c>
      <c r="I892" s="0" t="str">
        <f aca="false">IF($A892="","",IF(R892="Y","warm-intro",IF(H892="verified","email",IF(C892&lt;&gt;"","linkedin",CB892&amp;""))))</f>
        <v/>
      </c>
      <c r="J892" s="0" t="str">
        <f aca="false">IF($A892="","",IF(CN892="pass",ROUND(N(EM892)+N(EN892)+N(EO892)+N(EP892)+N(EQ892)+N(ER892),1),0))</f>
        <v/>
      </c>
      <c r="K892" s="0" t="str">
        <f aca="false">IF($A892="","",IF(CN892&lt;&gt;"pass",CA892&amp;"",CA892&amp;"; "&amp;IF(AW892="Y",BZ892&amp;"",BL892&amp;"")&amp;IF(R892="Y","; known to the founder (+15)","")&amp;"."))</f>
        <v/>
      </c>
      <c r="R892" s="5"/>
      <c r="U892" s="5"/>
      <c r="Y892" s="0" t="str">
        <f aca="false">IF(FX892&lt;&gt;"Y","",COUNTIFS($FX$2:$FX$1000,"Y",$J$2:$J$1000,"&gt;"&amp;J892)+COUNTIFS($FX$2:$FX$1000,"Y",$J$2:$J$1000,J892,$GD$2:$GD$1000,"&lt;"&amp;GD892)+1)</f>
        <v/>
      </c>
      <c r="AB892" s="0" t="str">
        <f aca="false">IF($A892="","",IF(AW892="Y",BY892&amp;"",BK892&amp;""))</f>
        <v/>
      </c>
      <c r="AC892" s="0" t="str">
        <f aca="false">IF($A892="","",IF(AW892="Y",BS892&amp;"",BE892&amp;""))</f>
        <v/>
      </c>
      <c r="AD892" s="0" t="str">
        <f aca="false">IF($A892="","",IF(AW892="Y",BT892&amp;"",BF892&amp;""))</f>
        <v/>
      </c>
      <c r="AE892" s="0" t="str">
        <f aca="false">IF($A892="","",IF(AW892="Y",BU892&amp;"",BG892&amp;""))</f>
        <v/>
      </c>
      <c r="AF892" s="0" t="str">
        <f aca="false">IF($A892="","",IF(AW892="Y",BV892&amp;"",BH892&amp;""))</f>
        <v/>
      </c>
      <c r="AG892" s="0" t="str">
        <f aca="false">IF($A892="","",IF(AW892="Y",BW892&amp;"",BI892&amp;""))</f>
        <v/>
      </c>
      <c r="AH892" s="0" t="str">
        <f aca="false">IF($A892="","",IF(AW892="Y",BX892&amp;"",BJ892&amp;""))</f>
        <v/>
      </c>
      <c r="AQ892" s="5"/>
      <c r="AT892" s="0" t="str">
        <f aca="false">IF($A892="","",IF(AND(CN892="pass",AQ892&lt;&gt;"Y",C892&lt;&gt;"",OR(AX892&lt;&gt;"Y",AV892="Y")),"Y","N"))</f>
        <v/>
      </c>
      <c r="AU892" s="0" t="str">
        <f aca="false">IF($A892="","",_xlfn.TEXTJOIN("; ",TRUE(),IF(CN892&lt;&gt;"pass","gated out",""),IF(AQ892="Y","on hold: "&amp;AR892,""),IF(C892="","no contact named on an opened page",""),IF(AND(AX892="Y",AV892&lt;&gt;"Y"),"Tuesday estimate band "&amp;L892&amp;": founder's call","")))</f>
        <v/>
      </c>
      <c r="BC892" s="0" t="str">
        <f aca="false">IF($A892="","",IFERROR(INDEX(Enrichment!$A$2:$GZ$2000,MATCH($A892,INDEX(Enrichment!$A$2:$GZ$2000,0,MATCH("row_id",Enrichment!$A$1:$GZ$1,0)),0),MATCH("work_email",Enrichment!$A$1:$GZ$1,0))&amp;"",""))</f>
        <v/>
      </c>
      <c r="BD892" s="0" t="str">
        <f aca="false">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Q892" s="0" t="str">
        <f aca="false">IF($A892="","",IFERROR(INDEX(Enrichment!$A$2:$GZ$2000,MATCH($A892,INDEX(Enrichment!$A$2:$GZ$2000,0,MATCH("row_id",Enrichment!$A$1:$GZ$1,0)),0),MATCH("backup_work_email",Enrichment!$A$1:$GZ$1,0))&amp;"",""))</f>
        <v/>
      </c>
      <c r="BR892" s="0" t="str">
        <f aca="false">IF($A892="","",IF(BQ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EQ892" s="0" t="str">
        <f aca="false">IF($A892="","",IF(AH892="exact",10,IF(AH892="adjacent",5,0)))</f>
        <v/>
      </c>
      <c r="ER892" s="0" t="str">
        <f aca="false">IF($A892="","",IF(R892="Y",15,0))</f>
        <v/>
      </c>
      <c r="FS892" s="0" t="str">
        <f aca="false">IF($A892="","",IF(ISNUMBER(MATCH(U892,{"queued","contacted","replied","call_booked","call_done","yes_in_principle","materials_sent"},0)),"Y","N"))</f>
        <v/>
      </c>
      <c r="FT892" s="0" t="str">
        <f aca="false">IF($A892="","",IF(OR(T892="Y",U892="do_not_contact",AS892&amp;""&lt;&gt;""),"Y","N"))</f>
        <v/>
      </c>
      <c r="FU892" s="0" t="str">
        <f aca="false">IF($A892="","",IF(AP892&amp;""&lt;&gt;"",AP892&amp;"",$A892))</f>
        <v/>
      </c>
      <c r="FV892" s="0" t="str">
        <f aca="false">IF($A892="","",IF(COUNTIFS($FU$2:$FU$1000,FU892,$FS$2:$FS$1000,"Y")+COUNTIFS($FU$2:$FU$1000,FU892,$FT$2:$FT$1000,"Y")&gt;0,"Y","N"))</f>
        <v/>
      </c>
      <c r="FW892" s="0" t="str">
        <f aca="false">IF($A892="","",IF(AND(U892="new",T892="N",FT892="N",AT892="Y",FV892="N"),"Y","N"))</f>
        <v/>
      </c>
      <c r="FX892" s="0" t="str">
        <f aca="false">IF($A892="","",IF(FW892&lt;&gt;"Y","N",IF(COUNTIFS($FU$2:$FU$1000,FU892,$FW$2:$FW$1000,"Y",$J$2:$J$1000,"&gt;"&amp;J892)+COUNTIFS($FU$2:$FU$1000,FU892,$FW$2:$FW$1000,"Y",$J$2:$J$1000,J892,$GD$2:$GD$1000,"&lt;"&amp;GD892)=0,"Y","N")))</f>
        <v/>
      </c>
      <c r="FY892" s="0" t="str">
        <f aca="false">IF($A892="","",IF(AND(FW892="Y",FX892="Y",Y892&amp;""&lt;&gt;""),IF(Y892&lt;=10,"Y","N"),"N"))</f>
        <v/>
      </c>
      <c r="FZ892" s="0" t="str">
        <f aca="false">IF(FY892="Y",Y892,"")</f>
        <v/>
      </c>
      <c r="GA892" s="0" t="str">
        <f aca="false">IF($A892="","",IF(AND(I892="walk-in",CN892="pass",U892="new",FT892="N",FV892="N",AQ892&lt;&gt;"Y"),"Y","N"))</f>
        <v/>
      </c>
      <c r="GB892" s="0" t="str">
        <f aca="false">IF(GA892&lt;&gt;"Y","",IF(COUNTIFS($GA$2:$GA$1000,"Y",$J$2:$J$1000,"&gt;"&amp;J892)+COUNTIFS($GA$2:$GA$1000,"Y",$J$2:$J$1000,J892,$GD$2:$GD$1000,"&lt;"&amp;GD892)+1&lt;=25,COUNTIFS($GA$2:$GA$1000,"Y",$J$2:$J$1000,"&gt;"&amp;J892)+COUNTIFS($GA$2:$GA$1000,"Y",$J$2:$J$1000,J892,$GD$2:$GD$1000,"&lt;"&amp;GD892)+1,""))</f>
        <v/>
      </c>
      <c r="GC892" s="0" t="str">
        <f aca="false">IF(AND(_xlfn.ISFORMULA(C892),_xlfn.ISFORMULA(J892)),"Y","N")</f>
        <v>Y</v>
      </c>
      <c r="GD892" s="0" t="n">
        <f aca="false">ROW()-1</f>
        <v>891</v>
      </c>
    </row>
    <row r="893" customFormat="false" ht="15" hidden="false" customHeight="false" outlineLevel="0" collapsed="false">
      <c r="C893" s="0" t="str">
        <f aca="false">IF($A893="","",IF(AW893="Y",BM893&amp;"",AY893&amp;""))</f>
        <v/>
      </c>
      <c r="D893" s="0" t="str">
        <f aca="false">IF($A893="","",IF(AW893="Y",BN893&amp;"",AZ893&amp;""))</f>
        <v/>
      </c>
      <c r="E893" s="0" t="str">
        <f aca="false">IF($A893="","",IF(AW893="Y",BO893&amp;"",BA893&amp;""))</f>
        <v/>
      </c>
      <c r="F893" s="0" t="str">
        <f aca="false">IF($A893="","",IF(AW893="Y",BP893&amp;"",BB893&amp;""))</f>
        <v/>
      </c>
      <c r="G893" s="0" t="str">
        <f aca="false">IF($A893="","",IF(AW893="Y",BQ893&amp;"",BC893&amp;""))</f>
        <v/>
      </c>
      <c r="H893" s="0" t="str">
        <f aca="false">IF($A893="","",IF(AW893="Y",BR893&amp;"",BD893&amp;""))</f>
        <v/>
      </c>
      <c r="I893" s="0" t="str">
        <f aca="false">IF($A893="","",IF(R893="Y","warm-intro",IF(H893="verified","email",IF(C893&lt;&gt;"","linkedin",CB893&amp;""))))</f>
        <v/>
      </c>
      <c r="J893" s="0" t="str">
        <f aca="false">IF($A893="","",IF(CN893="pass",ROUND(N(EM893)+N(EN893)+N(EO893)+N(EP893)+N(EQ893)+N(ER893),1),0))</f>
        <v/>
      </c>
      <c r="K893" s="0" t="str">
        <f aca="false">IF($A893="","",IF(CN893&lt;&gt;"pass",CA893&amp;"",CA893&amp;"; "&amp;IF(AW893="Y",BZ893&amp;"",BL893&amp;"")&amp;IF(R893="Y","; known to the founder (+15)","")&amp;"."))</f>
        <v/>
      </c>
      <c r="R893" s="5"/>
      <c r="U893" s="5"/>
      <c r="Y893" s="0" t="str">
        <f aca="false">IF(FX893&lt;&gt;"Y","",COUNTIFS($FX$2:$FX$1000,"Y",$J$2:$J$1000,"&gt;"&amp;J893)+COUNTIFS($FX$2:$FX$1000,"Y",$J$2:$J$1000,J893,$GD$2:$GD$1000,"&lt;"&amp;GD893)+1)</f>
        <v/>
      </c>
      <c r="AB893" s="0" t="str">
        <f aca="false">IF($A893="","",IF(AW893="Y",BY893&amp;"",BK893&amp;""))</f>
        <v/>
      </c>
      <c r="AC893" s="0" t="str">
        <f aca="false">IF($A893="","",IF(AW893="Y",BS893&amp;"",BE893&amp;""))</f>
        <v/>
      </c>
      <c r="AD893" s="0" t="str">
        <f aca="false">IF($A893="","",IF(AW893="Y",BT893&amp;"",BF893&amp;""))</f>
        <v/>
      </c>
      <c r="AE893" s="0" t="str">
        <f aca="false">IF($A893="","",IF(AW893="Y",BU893&amp;"",BG893&amp;""))</f>
        <v/>
      </c>
      <c r="AF893" s="0" t="str">
        <f aca="false">IF($A893="","",IF(AW893="Y",BV893&amp;"",BH893&amp;""))</f>
        <v/>
      </c>
      <c r="AG893" s="0" t="str">
        <f aca="false">IF($A893="","",IF(AW893="Y",BW893&amp;"",BI893&amp;""))</f>
        <v/>
      </c>
      <c r="AH893" s="0" t="str">
        <f aca="false">IF($A893="","",IF(AW893="Y",BX893&amp;"",BJ893&amp;""))</f>
        <v/>
      </c>
      <c r="AQ893" s="5"/>
      <c r="AT893" s="0" t="str">
        <f aca="false">IF($A893="","",IF(AND(CN893="pass",AQ893&lt;&gt;"Y",C893&lt;&gt;"",OR(AX893&lt;&gt;"Y",AV893="Y")),"Y","N"))</f>
        <v/>
      </c>
      <c r="AU893" s="0" t="str">
        <f aca="false">IF($A893="","",_xlfn.TEXTJOIN("; ",TRUE(),IF(CN893&lt;&gt;"pass","gated out",""),IF(AQ893="Y","on hold: "&amp;AR893,""),IF(C893="","no contact named on an opened page",""),IF(AND(AX893="Y",AV893&lt;&gt;"Y"),"Tuesday estimate band "&amp;L893&amp;": founder's call","")))</f>
        <v/>
      </c>
      <c r="BC893" s="0" t="str">
        <f aca="false">IF($A893="","",IFERROR(INDEX(Enrichment!$A$2:$GZ$2000,MATCH($A893,INDEX(Enrichment!$A$2:$GZ$2000,0,MATCH("row_id",Enrichment!$A$1:$GZ$1,0)),0),MATCH("work_email",Enrichment!$A$1:$GZ$1,0))&amp;"",""))</f>
        <v/>
      </c>
      <c r="BD893" s="0" t="str">
        <f aca="false">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Q893" s="0" t="str">
        <f aca="false">IF($A893="","",IFERROR(INDEX(Enrichment!$A$2:$GZ$2000,MATCH($A893,INDEX(Enrichment!$A$2:$GZ$2000,0,MATCH("row_id",Enrichment!$A$1:$GZ$1,0)),0),MATCH("backup_work_email",Enrichment!$A$1:$GZ$1,0))&amp;"",""))</f>
        <v/>
      </c>
      <c r="BR893" s="0" t="str">
        <f aca="false">IF($A893="","",IF(BQ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EQ893" s="0" t="str">
        <f aca="false">IF($A893="","",IF(AH893="exact",10,IF(AH893="adjacent",5,0)))</f>
        <v/>
      </c>
      <c r="ER893" s="0" t="str">
        <f aca="false">IF($A893="","",IF(R893="Y",15,0))</f>
        <v/>
      </c>
      <c r="FS893" s="0" t="str">
        <f aca="false">IF($A893="","",IF(ISNUMBER(MATCH(U893,{"queued","contacted","replied","call_booked","call_done","yes_in_principle","materials_sent"},0)),"Y","N"))</f>
        <v/>
      </c>
      <c r="FT893" s="0" t="str">
        <f aca="false">IF($A893="","",IF(OR(T893="Y",U893="do_not_contact",AS893&amp;""&lt;&gt;""),"Y","N"))</f>
        <v/>
      </c>
      <c r="FU893" s="0" t="str">
        <f aca="false">IF($A893="","",IF(AP893&amp;""&lt;&gt;"",AP893&amp;"",$A893))</f>
        <v/>
      </c>
      <c r="FV893" s="0" t="str">
        <f aca="false">IF($A893="","",IF(COUNTIFS($FU$2:$FU$1000,FU893,$FS$2:$FS$1000,"Y")+COUNTIFS($FU$2:$FU$1000,FU893,$FT$2:$FT$1000,"Y")&gt;0,"Y","N"))</f>
        <v/>
      </c>
      <c r="FW893" s="0" t="str">
        <f aca="false">IF($A893="","",IF(AND(U893="new",T893="N",FT893="N",AT893="Y",FV893="N"),"Y","N"))</f>
        <v/>
      </c>
      <c r="FX893" s="0" t="str">
        <f aca="false">IF($A893="","",IF(FW893&lt;&gt;"Y","N",IF(COUNTIFS($FU$2:$FU$1000,FU893,$FW$2:$FW$1000,"Y",$J$2:$J$1000,"&gt;"&amp;J893)+COUNTIFS($FU$2:$FU$1000,FU893,$FW$2:$FW$1000,"Y",$J$2:$J$1000,J893,$GD$2:$GD$1000,"&lt;"&amp;GD893)=0,"Y","N")))</f>
        <v/>
      </c>
      <c r="FY893" s="0" t="str">
        <f aca="false">IF($A893="","",IF(AND(FW893="Y",FX893="Y",Y893&amp;""&lt;&gt;""),IF(Y893&lt;=10,"Y","N"),"N"))</f>
        <v/>
      </c>
      <c r="FZ893" s="0" t="str">
        <f aca="false">IF(FY893="Y",Y893,"")</f>
        <v/>
      </c>
      <c r="GA893" s="0" t="str">
        <f aca="false">IF($A893="","",IF(AND(I893="walk-in",CN893="pass",U893="new",FT893="N",FV893="N",AQ893&lt;&gt;"Y"),"Y","N"))</f>
        <v/>
      </c>
      <c r="GB893" s="0" t="str">
        <f aca="false">IF(GA893&lt;&gt;"Y","",IF(COUNTIFS($GA$2:$GA$1000,"Y",$J$2:$J$1000,"&gt;"&amp;J893)+COUNTIFS($GA$2:$GA$1000,"Y",$J$2:$J$1000,J893,$GD$2:$GD$1000,"&lt;"&amp;GD893)+1&lt;=25,COUNTIFS($GA$2:$GA$1000,"Y",$J$2:$J$1000,"&gt;"&amp;J893)+COUNTIFS($GA$2:$GA$1000,"Y",$J$2:$J$1000,J893,$GD$2:$GD$1000,"&lt;"&amp;GD893)+1,""))</f>
        <v/>
      </c>
      <c r="GC893" s="0" t="str">
        <f aca="false">IF(AND(_xlfn.ISFORMULA(C893),_xlfn.ISFORMULA(J893)),"Y","N")</f>
        <v>Y</v>
      </c>
      <c r="GD893" s="0" t="n">
        <f aca="false">ROW()-1</f>
        <v>892</v>
      </c>
    </row>
    <row r="894" customFormat="false" ht="15" hidden="false" customHeight="false" outlineLevel="0" collapsed="false">
      <c r="C894" s="0" t="str">
        <f aca="false">IF($A894="","",IF(AW894="Y",BM894&amp;"",AY894&amp;""))</f>
        <v/>
      </c>
      <c r="D894" s="0" t="str">
        <f aca="false">IF($A894="","",IF(AW894="Y",BN894&amp;"",AZ894&amp;""))</f>
        <v/>
      </c>
      <c r="E894" s="0" t="str">
        <f aca="false">IF($A894="","",IF(AW894="Y",BO894&amp;"",BA894&amp;""))</f>
        <v/>
      </c>
      <c r="F894" s="0" t="str">
        <f aca="false">IF($A894="","",IF(AW894="Y",BP894&amp;"",BB894&amp;""))</f>
        <v/>
      </c>
      <c r="G894" s="0" t="str">
        <f aca="false">IF($A894="","",IF(AW894="Y",BQ894&amp;"",BC894&amp;""))</f>
        <v/>
      </c>
      <c r="H894" s="0" t="str">
        <f aca="false">IF($A894="","",IF(AW894="Y",BR894&amp;"",BD894&amp;""))</f>
        <v/>
      </c>
      <c r="I894" s="0" t="str">
        <f aca="false">IF($A894="","",IF(R894="Y","warm-intro",IF(H894="verified","email",IF(C894&lt;&gt;"","linkedin",CB894&amp;""))))</f>
        <v/>
      </c>
      <c r="J894" s="0" t="str">
        <f aca="false">IF($A894="","",IF(CN894="pass",ROUND(N(EM894)+N(EN894)+N(EO894)+N(EP894)+N(EQ894)+N(ER894),1),0))</f>
        <v/>
      </c>
      <c r="K894" s="0" t="str">
        <f aca="false">IF($A894="","",IF(CN894&lt;&gt;"pass",CA894&amp;"",CA894&amp;"; "&amp;IF(AW894="Y",BZ894&amp;"",BL894&amp;"")&amp;IF(R894="Y","; known to the founder (+15)","")&amp;"."))</f>
        <v/>
      </c>
      <c r="R894" s="5"/>
      <c r="U894" s="5"/>
      <c r="Y894" s="0" t="str">
        <f aca="false">IF(FX894&lt;&gt;"Y","",COUNTIFS($FX$2:$FX$1000,"Y",$J$2:$J$1000,"&gt;"&amp;J894)+COUNTIFS($FX$2:$FX$1000,"Y",$J$2:$J$1000,J894,$GD$2:$GD$1000,"&lt;"&amp;GD894)+1)</f>
        <v/>
      </c>
      <c r="AB894" s="0" t="str">
        <f aca="false">IF($A894="","",IF(AW894="Y",BY894&amp;"",BK894&amp;""))</f>
        <v/>
      </c>
      <c r="AC894" s="0" t="str">
        <f aca="false">IF($A894="","",IF(AW894="Y",BS894&amp;"",BE894&amp;""))</f>
        <v/>
      </c>
      <c r="AD894" s="0" t="str">
        <f aca="false">IF($A894="","",IF(AW894="Y",BT894&amp;"",BF894&amp;""))</f>
        <v/>
      </c>
      <c r="AE894" s="0" t="str">
        <f aca="false">IF($A894="","",IF(AW894="Y",BU894&amp;"",BG894&amp;""))</f>
        <v/>
      </c>
      <c r="AF894" s="0" t="str">
        <f aca="false">IF($A894="","",IF(AW894="Y",BV894&amp;"",BH894&amp;""))</f>
        <v/>
      </c>
      <c r="AG894" s="0" t="str">
        <f aca="false">IF($A894="","",IF(AW894="Y",BW894&amp;"",BI894&amp;""))</f>
        <v/>
      </c>
      <c r="AH894" s="0" t="str">
        <f aca="false">IF($A894="","",IF(AW894="Y",BX894&amp;"",BJ894&amp;""))</f>
        <v/>
      </c>
      <c r="AQ894" s="5"/>
      <c r="AT894" s="0" t="str">
        <f aca="false">IF($A894="","",IF(AND(CN894="pass",AQ894&lt;&gt;"Y",C894&lt;&gt;"",OR(AX894&lt;&gt;"Y",AV894="Y")),"Y","N"))</f>
        <v/>
      </c>
      <c r="AU894" s="0" t="str">
        <f aca="false">IF($A894="","",_xlfn.TEXTJOIN("; ",TRUE(),IF(CN894&lt;&gt;"pass","gated out",""),IF(AQ894="Y","on hold: "&amp;AR894,""),IF(C894="","no contact named on an opened page",""),IF(AND(AX894="Y",AV894&lt;&gt;"Y"),"Tuesday estimate band "&amp;L894&amp;": founder's call","")))</f>
        <v/>
      </c>
      <c r="BC894" s="0" t="str">
        <f aca="false">IF($A894="","",IFERROR(INDEX(Enrichment!$A$2:$GZ$2000,MATCH($A894,INDEX(Enrichment!$A$2:$GZ$2000,0,MATCH("row_id",Enrichment!$A$1:$GZ$1,0)),0),MATCH("work_email",Enrichment!$A$1:$GZ$1,0))&amp;"",""))</f>
        <v/>
      </c>
      <c r="BD894" s="0" t="str">
        <f aca="false">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Q894" s="0" t="str">
        <f aca="false">IF($A894="","",IFERROR(INDEX(Enrichment!$A$2:$GZ$2000,MATCH($A894,INDEX(Enrichment!$A$2:$GZ$2000,0,MATCH("row_id",Enrichment!$A$1:$GZ$1,0)),0),MATCH("backup_work_email",Enrichment!$A$1:$GZ$1,0))&amp;"",""))</f>
        <v/>
      </c>
      <c r="BR894" s="0" t="str">
        <f aca="false">IF($A894="","",IF(BQ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EQ894" s="0" t="str">
        <f aca="false">IF($A894="","",IF(AH894="exact",10,IF(AH894="adjacent",5,0)))</f>
        <v/>
      </c>
      <c r="ER894" s="0" t="str">
        <f aca="false">IF($A894="","",IF(R894="Y",15,0))</f>
        <v/>
      </c>
      <c r="FS894" s="0" t="str">
        <f aca="false">IF($A894="","",IF(ISNUMBER(MATCH(U894,{"queued","contacted","replied","call_booked","call_done","yes_in_principle","materials_sent"},0)),"Y","N"))</f>
        <v/>
      </c>
      <c r="FT894" s="0" t="str">
        <f aca="false">IF($A894="","",IF(OR(T894="Y",U894="do_not_contact",AS894&amp;""&lt;&gt;""),"Y","N"))</f>
        <v/>
      </c>
      <c r="FU894" s="0" t="str">
        <f aca="false">IF($A894="","",IF(AP894&amp;""&lt;&gt;"",AP894&amp;"",$A894))</f>
        <v/>
      </c>
      <c r="FV894" s="0" t="str">
        <f aca="false">IF($A894="","",IF(COUNTIFS($FU$2:$FU$1000,FU894,$FS$2:$FS$1000,"Y")+COUNTIFS($FU$2:$FU$1000,FU894,$FT$2:$FT$1000,"Y")&gt;0,"Y","N"))</f>
        <v/>
      </c>
      <c r="FW894" s="0" t="str">
        <f aca="false">IF($A894="","",IF(AND(U894="new",T894="N",FT894="N",AT894="Y",FV894="N"),"Y","N"))</f>
        <v/>
      </c>
      <c r="FX894" s="0" t="str">
        <f aca="false">IF($A894="","",IF(FW894&lt;&gt;"Y","N",IF(COUNTIFS($FU$2:$FU$1000,FU894,$FW$2:$FW$1000,"Y",$J$2:$J$1000,"&gt;"&amp;J894)+COUNTIFS($FU$2:$FU$1000,FU894,$FW$2:$FW$1000,"Y",$J$2:$J$1000,J894,$GD$2:$GD$1000,"&lt;"&amp;GD894)=0,"Y","N")))</f>
        <v/>
      </c>
      <c r="FY894" s="0" t="str">
        <f aca="false">IF($A894="","",IF(AND(FW894="Y",FX894="Y",Y894&amp;""&lt;&gt;""),IF(Y894&lt;=10,"Y","N"),"N"))</f>
        <v/>
      </c>
      <c r="FZ894" s="0" t="str">
        <f aca="false">IF(FY894="Y",Y894,"")</f>
        <v/>
      </c>
      <c r="GA894" s="0" t="str">
        <f aca="false">IF($A894="","",IF(AND(I894="walk-in",CN894="pass",U894="new",FT894="N",FV894="N",AQ894&lt;&gt;"Y"),"Y","N"))</f>
        <v/>
      </c>
      <c r="GB894" s="0" t="str">
        <f aca="false">IF(GA894&lt;&gt;"Y","",IF(COUNTIFS($GA$2:$GA$1000,"Y",$J$2:$J$1000,"&gt;"&amp;J894)+COUNTIFS($GA$2:$GA$1000,"Y",$J$2:$J$1000,J894,$GD$2:$GD$1000,"&lt;"&amp;GD894)+1&lt;=25,COUNTIFS($GA$2:$GA$1000,"Y",$J$2:$J$1000,"&gt;"&amp;J894)+COUNTIFS($GA$2:$GA$1000,"Y",$J$2:$J$1000,J894,$GD$2:$GD$1000,"&lt;"&amp;GD894)+1,""))</f>
        <v/>
      </c>
      <c r="GC894" s="0" t="str">
        <f aca="false">IF(AND(_xlfn.ISFORMULA(C894),_xlfn.ISFORMULA(J894)),"Y","N")</f>
        <v>Y</v>
      </c>
      <c r="GD894" s="0" t="n">
        <f aca="false">ROW()-1</f>
        <v>893</v>
      </c>
    </row>
    <row r="895" customFormat="false" ht="15" hidden="false" customHeight="false" outlineLevel="0" collapsed="false">
      <c r="C895" s="0" t="str">
        <f aca="false">IF($A895="","",IF(AW895="Y",BM895&amp;"",AY895&amp;""))</f>
        <v/>
      </c>
      <c r="D895" s="0" t="str">
        <f aca="false">IF($A895="","",IF(AW895="Y",BN895&amp;"",AZ895&amp;""))</f>
        <v/>
      </c>
      <c r="E895" s="0" t="str">
        <f aca="false">IF($A895="","",IF(AW895="Y",BO895&amp;"",BA895&amp;""))</f>
        <v/>
      </c>
      <c r="F895" s="0" t="str">
        <f aca="false">IF($A895="","",IF(AW895="Y",BP895&amp;"",BB895&amp;""))</f>
        <v/>
      </c>
      <c r="G895" s="0" t="str">
        <f aca="false">IF($A895="","",IF(AW895="Y",BQ895&amp;"",BC895&amp;""))</f>
        <v/>
      </c>
      <c r="H895" s="0" t="str">
        <f aca="false">IF($A895="","",IF(AW895="Y",BR895&amp;"",BD895&amp;""))</f>
        <v/>
      </c>
      <c r="I895" s="0" t="str">
        <f aca="false">IF($A895="","",IF(R895="Y","warm-intro",IF(H895="verified","email",IF(C895&lt;&gt;"","linkedin",CB895&amp;""))))</f>
        <v/>
      </c>
      <c r="J895" s="0" t="str">
        <f aca="false">IF($A895="","",IF(CN895="pass",ROUND(N(EM895)+N(EN895)+N(EO895)+N(EP895)+N(EQ895)+N(ER895),1),0))</f>
        <v/>
      </c>
      <c r="K895" s="0" t="str">
        <f aca="false">IF($A895="","",IF(CN895&lt;&gt;"pass",CA895&amp;"",CA895&amp;"; "&amp;IF(AW895="Y",BZ895&amp;"",BL895&amp;"")&amp;IF(R895="Y","; known to the founder (+15)","")&amp;"."))</f>
        <v/>
      </c>
      <c r="R895" s="5"/>
      <c r="U895" s="5"/>
      <c r="Y895" s="0" t="str">
        <f aca="false">IF(FX895&lt;&gt;"Y","",COUNTIFS($FX$2:$FX$1000,"Y",$J$2:$J$1000,"&gt;"&amp;J895)+COUNTIFS($FX$2:$FX$1000,"Y",$J$2:$J$1000,J895,$GD$2:$GD$1000,"&lt;"&amp;GD895)+1)</f>
        <v/>
      </c>
      <c r="AB895" s="0" t="str">
        <f aca="false">IF($A895="","",IF(AW895="Y",BY895&amp;"",BK895&amp;""))</f>
        <v/>
      </c>
      <c r="AC895" s="0" t="str">
        <f aca="false">IF($A895="","",IF(AW895="Y",BS895&amp;"",BE895&amp;""))</f>
        <v/>
      </c>
      <c r="AD895" s="0" t="str">
        <f aca="false">IF($A895="","",IF(AW895="Y",BT895&amp;"",BF895&amp;""))</f>
        <v/>
      </c>
      <c r="AE895" s="0" t="str">
        <f aca="false">IF($A895="","",IF(AW895="Y",BU895&amp;"",BG895&amp;""))</f>
        <v/>
      </c>
      <c r="AF895" s="0" t="str">
        <f aca="false">IF($A895="","",IF(AW895="Y",BV895&amp;"",BH895&amp;""))</f>
        <v/>
      </c>
      <c r="AG895" s="0" t="str">
        <f aca="false">IF($A895="","",IF(AW895="Y",BW895&amp;"",BI895&amp;""))</f>
        <v/>
      </c>
      <c r="AH895" s="0" t="str">
        <f aca="false">IF($A895="","",IF(AW895="Y",BX895&amp;"",BJ895&amp;""))</f>
        <v/>
      </c>
      <c r="AQ895" s="5"/>
      <c r="AT895" s="0" t="str">
        <f aca="false">IF($A895="","",IF(AND(CN895="pass",AQ895&lt;&gt;"Y",C895&lt;&gt;"",OR(AX895&lt;&gt;"Y",AV895="Y")),"Y","N"))</f>
        <v/>
      </c>
      <c r="AU895" s="0" t="str">
        <f aca="false">IF($A895="","",_xlfn.TEXTJOIN("; ",TRUE(),IF(CN895&lt;&gt;"pass","gated out",""),IF(AQ895="Y","on hold: "&amp;AR895,""),IF(C895="","no contact named on an opened page",""),IF(AND(AX895="Y",AV895&lt;&gt;"Y"),"Tuesday estimate band "&amp;L895&amp;": founder's call","")))</f>
        <v/>
      </c>
      <c r="BC895" s="0" t="str">
        <f aca="false">IF($A895="","",IFERROR(INDEX(Enrichment!$A$2:$GZ$2000,MATCH($A895,INDEX(Enrichment!$A$2:$GZ$2000,0,MATCH("row_id",Enrichment!$A$1:$GZ$1,0)),0),MATCH("work_email",Enrichment!$A$1:$GZ$1,0))&amp;"",""))</f>
        <v/>
      </c>
      <c r="BD895" s="0" t="str">
        <f aca="false">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Q895" s="0" t="str">
        <f aca="false">IF($A895="","",IFERROR(INDEX(Enrichment!$A$2:$GZ$2000,MATCH($A895,INDEX(Enrichment!$A$2:$GZ$2000,0,MATCH("row_id",Enrichment!$A$1:$GZ$1,0)),0),MATCH("backup_work_email",Enrichment!$A$1:$GZ$1,0))&amp;"",""))</f>
        <v/>
      </c>
      <c r="BR895" s="0" t="str">
        <f aca="false">IF($A895="","",IF(BQ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EQ895" s="0" t="str">
        <f aca="false">IF($A895="","",IF(AH895="exact",10,IF(AH895="adjacent",5,0)))</f>
        <v/>
      </c>
      <c r="ER895" s="0" t="str">
        <f aca="false">IF($A895="","",IF(R895="Y",15,0))</f>
        <v/>
      </c>
      <c r="FS895" s="0" t="str">
        <f aca="false">IF($A895="","",IF(ISNUMBER(MATCH(U895,{"queued","contacted","replied","call_booked","call_done","yes_in_principle","materials_sent"},0)),"Y","N"))</f>
        <v/>
      </c>
      <c r="FT895" s="0" t="str">
        <f aca="false">IF($A895="","",IF(OR(T895="Y",U895="do_not_contact",AS895&amp;""&lt;&gt;""),"Y","N"))</f>
        <v/>
      </c>
      <c r="FU895" s="0" t="str">
        <f aca="false">IF($A895="","",IF(AP895&amp;""&lt;&gt;"",AP895&amp;"",$A895))</f>
        <v/>
      </c>
      <c r="FV895" s="0" t="str">
        <f aca="false">IF($A895="","",IF(COUNTIFS($FU$2:$FU$1000,FU895,$FS$2:$FS$1000,"Y")+COUNTIFS($FU$2:$FU$1000,FU895,$FT$2:$FT$1000,"Y")&gt;0,"Y","N"))</f>
        <v/>
      </c>
      <c r="FW895" s="0" t="str">
        <f aca="false">IF($A895="","",IF(AND(U895="new",T895="N",FT895="N",AT895="Y",FV895="N"),"Y","N"))</f>
        <v/>
      </c>
      <c r="FX895" s="0" t="str">
        <f aca="false">IF($A895="","",IF(FW895&lt;&gt;"Y","N",IF(COUNTIFS($FU$2:$FU$1000,FU895,$FW$2:$FW$1000,"Y",$J$2:$J$1000,"&gt;"&amp;J895)+COUNTIFS($FU$2:$FU$1000,FU895,$FW$2:$FW$1000,"Y",$J$2:$J$1000,J895,$GD$2:$GD$1000,"&lt;"&amp;GD895)=0,"Y","N")))</f>
        <v/>
      </c>
      <c r="FY895" s="0" t="str">
        <f aca="false">IF($A895="","",IF(AND(FW895="Y",FX895="Y",Y895&amp;""&lt;&gt;""),IF(Y895&lt;=10,"Y","N"),"N"))</f>
        <v/>
      </c>
      <c r="FZ895" s="0" t="str">
        <f aca="false">IF(FY895="Y",Y895,"")</f>
        <v/>
      </c>
      <c r="GA895" s="0" t="str">
        <f aca="false">IF($A895="","",IF(AND(I895="walk-in",CN895="pass",U895="new",FT895="N",FV895="N",AQ895&lt;&gt;"Y"),"Y","N"))</f>
        <v/>
      </c>
      <c r="GB895" s="0" t="str">
        <f aca="false">IF(GA895&lt;&gt;"Y","",IF(COUNTIFS($GA$2:$GA$1000,"Y",$J$2:$J$1000,"&gt;"&amp;J895)+COUNTIFS($GA$2:$GA$1000,"Y",$J$2:$J$1000,J895,$GD$2:$GD$1000,"&lt;"&amp;GD895)+1&lt;=25,COUNTIFS($GA$2:$GA$1000,"Y",$J$2:$J$1000,"&gt;"&amp;J895)+COUNTIFS($GA$2:$GA$1000,"Y",$J$2:$J$1000,J895,$GD$2:$GD$1000,"&lt;"&amp;GD895)+1,""))</f>
        <v/>
      </c>
      <c r="GC895" s="0" t="str">
        <f aca="false">IF(AND(_xlfn.ISFORMULA(C895),_xlfn.ISFORMULA(J895)),"Y","N")</f>
        <v>Y</v>
      </c>
      <c r="GD895" s="0" t="n">
        <f aca="false">ROW()-1</f>
        <v>894</v>
      </c>
    </row>
    <row r="896" customFormat="false" ht="15" hidden="false" customHeight="false" outlineLevel="0" collapsed="false">
      <c r="C896" s="0" t="str">
        <f aca="false">IF($A896="","",IF(AW896="Y",BM896&amp;"",AY896&amp;""))</f>
        <v/>
      </c>
      <c r="D896" s="0" t="str">
        <f aca="false">IF($A896="","",IF(AW896="Y",BN896&amp;"",AZ896&amp;""))</f>
        <v/>
      </c>
      <c r="E896" s="0" t="str">
        <f aca="false">IF($A896="","",IF(AW896="Y",BO896&amp;"",BA896&amp;""))</f>
        <v/>
      </c>
      <c r="F896" s="0" t="str">
        <f aca="false">IF($A896="","",IF(AW896="Y",BP896&amp;"",BB896&amp;""))</f>
        <v/>
      </c>
      <c r="G896" s="0" t="str">
        <f aca="false">IF($A896="","",IF(AW896="Y",BQ896&amp;"",BC896&amp;""))</f>
        <v/>
      </c>
      <c r="H896" s="0" t="str">
        <f aca="false">IF($A896="","",IF(AW896="Y",BR896&amp;"",BD896&amp;""))</f>
        <v/>
      </c>
      <c r="I896" s="0" t="str">
        <f aca="false">IF($A896="","",IF(R896="Y","warm-intro",IF(H896="verified","email",IF(C896&lt;&gt;"","linkedin",CB896&amp;""))))</f>
        <v/>
      </c>
      <c r="J896" s="0" t="str">
        <f aca="false">IF($A896="","",IF(CN896="pass",ROUND(N(EM896)+N(EN896)+N(EO896)+N(EP896)+N(EQ896)+N(ER896),1),0))</f>
        <v/>
      </c>
      <c r="K896" s="0" t="str">
        <f aca="false">IF($A896="","",IF(CN896&lt;&gt;"pass",CA896&amp;"",CA896&amp;"; "&amp;IF(AW896="Y",BZ896&amp;"",BL896&amp;"")&amp;IF(R896="Y","; known to the founder (+15)","")&amp;"."))</f>
        <v/>
      </c>
      <c r="R896" s="5"/>
      <c r="U896" s="5"/>
      <c r="Y896" s="0" t="str">
        <f aca="false">IF(FX896&lt;&gt;"Y","",COUNTIFS($FX$2:$FX$1000,"Y",$J$2:$J$1000,"&gt;"&amp;J896)+COUNTIFS($FX$2:$FX$1000,"Y",$J$2:$J$1000,J896,$GD$2:$GD$1000,"&lt;"&amp;GD896)+1)</f>
        <v/>
      </c>
      <c r="AB896" s="0" t="str">
        <f aca="false">IF($A896="","",IF(AW896="Y",BY896&amp;"",BK896&amp;""))</f>
        <v/>
      </c>
      <c r="AC896" s="0" t="str">
        <f aca="false">IF($A896="","",IF(AW896="Y",BS896&amp;"",BE896&amp;""))</f>
        <v/>
      </c>
      <c r="AD896" s="0" t="str">
        <f aca="false">IF($A896="","",IF(AW896="Y",BT896&amp;"",BF896&amp;""))</f>
        <v/>
      </c>
      <c r="AE896" s="0" t="str">
        <f aca="false">IF($A896="","",IF(AW896="Y",BU896&amp;"",BG896&amp;""))</f>
        <v/>
      </c>
      <c r="AF896" s="0" t="str">
        <f aca="false">IF($A896="","",IF(AW896="Y",BV896&amp;"",BH896&amp;""))</f>
        <v/>
      </c>
      <c r="AG896" s="0" t="str">
        <f aca="false">IF($A896="","",IF(AW896="Y",BW896&amp;"",BI896&amp;""))</f>
        <v/>
      </c>
      <c r="AH896" s="0" t="str">
        <f aca="false">IF($A896="","",IF(AW896="Y",BX896&amp;"",BJ896&amp;""))</f>
        <v/>
      </c>
      <c r="AQ896" s="5"/>
      <c r="AT896" s="0" t="str">
        <f aca="false">IF($A896="","",IF(AND(CN896="pass",AQ896&lt;&gt;"Y",C896&lt;&gt;"",OR(AX896&lt;&gt;"Y",AV896="Y")),"Y","N"))</f>
        <v/>
      </c>
      <c r="AU896" s="0" t="str">
        <f aca="false">IF($A896="","",_xlfn.TEXTJOIN("; ",TRUE(),IF(CN896&lt;&gt;"pass","gated out",""),IF(AQ896="Y","on hold: "&amp;AR896,""),IF(C896="","no contact named on an opened page",""),IF(AND(AX896="Y",AV896&lt;&gt;"Y"),"Tuesday estimate band "&amp;L896&amp;": founder's call","")))</f>
        <v/>
      </c>
      <c r="BC896" s="0" t="str">
        <f aca="false">IF($A896="","",IFERROR(INDEX(Enrichment!$A$2:$GZ$2000,MATCH($A896,INDEX(Enrichment!$A$2:$GZ$2000,0,MATCH("row_id",Enrichment!$A$1:$GZ$1,0)),0),MATCH("work_email",Enrichment!$A$1:$GZ$1,0))&amp;"",""))</f>
        <v/>
      </c>
      <c r="BD896" s="0" t="str">
        <f aca="false">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Q896" s="0" t="str">
        <f aca="false">IF($A896="","",IFERROR(INDEX(Enrichment!$A$2:$GZ$2000,MATCH($A896,INDEX(Enrichment!$A$2:$GZ$2000,0,MATCH("row_id",Enrichment!$A$1:$GZ$1,0)),0),MATCH("backup_work_email",Enrichment!$A$1:$GZ$1,0))&amp;"",""))</f>
        <v/>
      </c>
      <c r="BR896" s="0" t="str">
        <f aca="false">IF($A896="","",IF(BQ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EQ896" s="0" t="str">
        <f aca="false">IF($A896="","",IF(AH896="exact",10,IF(AH896="adjacent",5,0)))</f>
        <v/>
      </c>
      <c r="ER896" s="0" t="str">
        <f aca="false">IF($A896="","",IF(R896="Y",15,0))</f>
        <v/>
      </c>
      <c r="FS896" s="0" t="str">
        <f aca="false">IF($A896="","",IF(ISNUMBER(MATCH(U896,{"queued","contacted","replied","call_booked","call_done","yes_in_principle","materials_sent"},0)),"Y","N"))</f>
        <v/>
      </c>
      <c r="FT896" s="0" t="str">
        <f aca="false">IF($A896="","",IF(OR(T896="Y",U896="do_not_contact",AS896&amp;""&lt;&gt;""),"Y","N"))</f>
        <v/>
      </c>
      <c r="FU896" s="0" t="str">
        <f aca="false">IF($A896="","",IF(AP896&amp;""&lt;&gt;"",AP896&amp;"",$A896))</f>
        <v/>
      </c>
      <c r="FV896" s="0" t="str">
        <f aca="false">IF($A896="","",IF(COUNTIFS($FU$2:$FU$1000,FU896,$FS$2:$FS$1000,"Y")+COUNTIFS($FU$2:$FU$1000,FU896,$FT$2:$FT$1000,"Y")&gt;0,"Y","N"))</f>
        <v/>
      </c>
      <c r="FW896" s="0" t="str">
        <f aca="false">IF($A896="","",IF(AND(U896="new",T896="N",FT896="N",AT896="Y",FV896="N"),"Y","N"))</f>
        <v/>
      </c>
      <c r="FX896" s="0" t="str">
        <f aca="false">IF($A896="","",IF(FW896&lt;&gt;"Y","N",IF(COUNTIFS($FU$2:$FU$1000,FU896,$FW$2:$FW$1000,"Y",$J$2:$J$1000,"&gt;"&amp;J896)+COUNTIFS($FU$2:$FU$1000,FU896,$FW$2:$FW$1000,"Y",$J$2:$J$1000,J896,$GD$2:$GD$1000,"&lt;"&amp;GD896)=0,"Y","N")))</f>
        <v/>
      </c>
      <c r="FY896" s="0" t="str">
        <f aca="false">IF($A896="","",IF(AND(FW896="Y",FX896="Y",Y896&amp;""&lt;&gt;""),IF(Y896&lt;=10,"Y","N"),"N"))</f>
        <v/>
      </c>
      <c r="FZ896" s="0" t="str">
        <f aca="false">IF(FY896="Y",Y896,"")</f>
        <v/>
      </c>
      <c r="GA896" s="0" t="str">
        <f aca="false">IF($A896="","",IF(AND(I896="walk-in",CN896="pass",U896="new",FT896="N",FV896="N",AQ896&lt;&gt;"Y"),"Y","N"))</f>
        <v/>
      </c>
      <c r="GB896" s="0" t="str">
        <f aca="false">IF(GA896&lt;&gt;"Y","",IF(COUNTIFS($GA$2:$GA$1000,"Y",$J$2:$J$1000,"&gt;"&amp;J896)+COUNTIFS($GA$2:$GA$1000,"Y",$J$2:$J$1000,J896,$GD$2:$GD$1000,"&lt;"&amp;GD896)+1&lt;=25,COUNTIFS($GA$2:$GA$1000,"Y",$J$2:$J$1000,"&gt;"&amp;J896)+COUNTIFS($GA$2:$GA$1000,"Y",$J$2:$J$1000,J896,$GD$2:$GD$1000,"&lt;"&amp;GD896)+1,""))</f>
        <v/>
      </c>
      <c r="GC896" s="0" t="str">
        <f aca="false">IF(AND(_xlfn.ISFORMULA(C896),_xlfn.ISFORMULA(J896)),"Y","N")</f>
        <v>Y</v>
      </c>
      <c r="GD896" s="0" t="n">
        <f aca="false">ROW()-1</f>
        <v>895</v>
      </c>
    </row>
    <row r="897" customFormat="false" ht="15" hidden="false" customHeight="false" outlineLevel="0" collapsed="false">
      <c r="C897" s="0" t="str">
        <f aca="false">IF($A897="","",IF(AW897="Y",BM897&amp;"",AY897&amp;""))</f>
        <v/>
      </c>
      <c r="D897" s="0" t="str">
        <f aca="false">IF($A897="","",IF(AW897="Y",BN897&amp;"",AZ897&amp;""))</f>
        <v/>
      </c>
      <c r="E897" s="0" t="str">
        <f aca="false">IF($A897="","",IF(AW897="Y",BO897&amp;"",BA897&amp;""))</f>
        <v/>
      </c>
      <c r="F897" s="0" t="str">
        <f aca="false">IF($A897="","",IF(AW897="Y",BP897&amp;"",BB897&amp;""))</f>
        <v/>
      </c>
      <c r="G897" s="0" t="str">
        <f aca="false">IF($A897="","",IF(AW897="Y",BQ897&amp;"",BC897&amp;""))</f>
        <v/>
      </c>
      <c r="H897" s="0" t="str">
        <f aca="false">IF($A897="","",IF(AW897="Y",BR897&amp;"",BD897&amp;""))</f>
        <v/>
      </c>
      <c r="I897" s="0" t="str">
        <f aca="false">IF($A897="","",IF(R897="Y","warm-intro",IF(H897="verified","email",IF(C897&lt;&gt;"","linkedin",CB897&amp;""))))</f>
        <v/>
      </c>
      <c r="J897" s="0" t="str">
        <f aca="false">IF($A897="","",IF(CN897="pass",ROUND(N(EM897)+N(EN897)+N(EO897)+N(EP897)+N(EQ897)+N(ER897),1),0))</f>
        <v/>
      </c>
      <c r="K897" s="0" t="str">
        <f aca="false">IF($A897="","",IF(CN897&lt;&gt;"pass",CA897&amp;"",CA897&amp;"; "&amp;IF(AW897="Y",BZ897&amp;"",BL897&amp;"")&amp;IF(R897="Y","; known to the founder (+15)","")&amp;"."))</f>
        <v/>
      </c>
      <c r="R897" s="5"/>
      <c r="U897" s="5"/>
      <c r="Y897" s="0" t="str">
        <f aca="false">IF(FX897&lt;&gt;"Y","",COUNTIFS($FX$2:$FX$1000,"Y",$J$2:$J$1000,"&gt;"&amp;J897)+COUNTIFS($FX$2:$FX$1000,"Y",$J$2:$J$1000,J897,$GD$2:$GD$1000,"&lt;"&amp;GD897)+1)</f>
        <v/>
      </c>
      <c r="AB897" s="0" t="str">
        <f aca="false">IF($A897="","",IF(AW897="Y",BY897&amp;"",BK897&amp;""))</f>
        <v/>
      </c>
      <c r="AC897" s="0" t="str">
        <f aca="false">IF($A897="","",IF(AW897="Y",BS897&amp;"",BE897&amp;""))</f>
        <v/>
      </c>
      <c r="AD897" s="0" t="str">
        <f aca="false">IF($A897="","",IF(AW897="Y",BT897&amp;"",BF897&amp;""))</f>
        <v/>
      </c>
      <c r="AE897" s="0" t="str">
        <f aca="false">IF($A897="","",IF(AW897="Y",BU897&amp;"",BG897&amp;""))</f>
        <v/>
      </c>
      <c r="AF897" s="0" t="str">
        <f aca="false">IF($A897="","",IF(AW897="Y",BV897&amp;"",BH897&amp;""))</f>
        <v/>
      </c>
      <c r="AG897" s="0" t="str">
        <f aca="false">IF($A897="","",IF(AW897="Y",BW897&amp;"",BI897&amp;""))</f>
        <v/>
      </c>
      <c r="AH897" s="0" t="str">
        <f aca="false">IF($A897="","",IF(AW897="Y",BX897&amp;"",BJ897&amp;""))</f>
        <v/>
      </c>
      <c r="AQ897" s="5"/>
      <c r="AT897" s="0" t="str">
        <f aca="false">IF($A897="","",IF(AND(CN897="pass",AQ897&lt;&gt;"Y",C897&lt;&gt;"",OR(AX897&lt;&gt;"Y",AV897="Y")),"Y","N"))</f>
        <v/>
      </c>
      <c r="AU897" s="0" t="str">
        <f aca="false">IF($A897="","",_xlfn.TEXTJOIN("; ",TRUE(),IF(CN897&lt;&gt;"pass","gated out",""),IF(AQ897="Y","on hold: "&amp;AR897,""),IF(C897="","no contact named on an opened page",""),IF(AND(AX897="Y",AV897&lt;&gt;"Y"),"Tuesday estimate band "&amp;L897&amp;": founder's call","")))</f>
        <v/>
      </c>
      <c r="BC897" s="0" t="str">
        <f aca="false">IF($A897="","",IFERROR(INDEX(Enrichment!$A$2:$GZ$2000,MATCH($A897,INDEX(Enrichment!$A$2:$GZ$2000,0,MATCH("row_id",Enrichment!$A$1:$GZ$1,0)),0),MATCH("work_email",Enrichment!$A$1:$GZ$1,0))&amp;"",""))</f>
        <v/>
      </c>
      <c r="BD897" s="0" t="str">
        <f aca="false">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Q897" s="0" t="str">
        <f aca="false">IF($A897="","",IFERROR(INDEX(Enrichment!$A$2:$GZ$2000,MATCH($A897,INDEX(Enrichment!$A$2:$GZ$2000,0,MATCH("row_id",Enrichment!$A$1:$GZ$1,0)),0),MATCH("backup_work_email",Enrichment!$A$1:$GZ$1,0))&amp;"",""))</f>
        <v/>
      </c>
      <c r="BR897" s="0" t="str">
        <f aca="false">IF($A897="","",IF(BQ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EQ897" s="0" t="str">
        <f aca="false">IF($A897="","",IF(AH897="exact",10,IF(AH897="adjacent",5,0)))</f>
        <v/>
      </c>
      <c r="ER897" s="0" t="str">
        <f aca="false">IF($A897="","",IF(R897="Y",15,0))</f>
        <v/>
      </c>
      <c r="FS897" s="0" t="str">
        <f aca="false">IF($A897="","",IF(ISNUMBER(MATCH(U897,{"queued","contacted","replied","call_booked","call_done","yes_in_principle","materials_sent"},0)),"Y","N"))</f>
        <v/>
      </c>
      <c r="FT897" s="0" t="str">
        <f aca="false">IF($A897="","",IF(OR(T897="Y",U897="do_not_contact",AS897&amp;""&lt;&gt;""),"Y","N"))</f>
        <v/>
      </c>
      <c r="FU897" s="0" t="str">
        <f aca="false">IF($A897="","",IF(AP897&amp;""&lt;&gt;"",AP897&amp;"",$A897))</f>
        <v/>
      </c>
      <c r="FV897" s="0" t="str">
        <f aca="false">IF($A897="","",IF(COUNTIFS($FU$2:$FU$1000,FU897,$FS$2:$FS$1000,"Y")+COUNTIFS($FU$2:$FU$1000,FU897,$FT$2:$FT$1000,"Y")&gt;0,"Y","N"))</f>
        <v/>
      </c>
      <c r="FW897" s="0" t="str">
        <f aca="false">IF($A897="","",IF(AND(U897="new",T897="N",FT897="N",AT897="Y",FV897="N"),"Y","N"))</f>
        <v/>
      </c>
      <c r="FX897" s="0" t="str">
        <f aca="false">IF($A897="","",IF(FW897&lt;&gt;"Y","N",IF(COUNTIFS($FU$2:$FU$1000,FU897,$FW$2:$FW$1000,"Y",$J$2:$J$1000,"&gt;"&amp;J897)+COUNTIFS($FU$2:$FU$1000,FU897,$FW$2:$FW$1000,"Y",$J$2:$J$1000,J897,$GD$2:$GD$1000,"&lt;"&amp;GD897)=0,"Y","N")))</f>
        <v/>
      </c>
      <c r="FY897" s="0" t="str">
        <f aca="false">IF($A897="","",IF(AND(FW897="Y",FX897="Y",Y897&amp;""&lt;&gt;""),IF(Y897&lt;=10,"Y","N"),"N"))</f>
        <v/>
      </c>
      <c r="FZ897" s="0" t="str">
        <f aca="false">IF(FY897="Y",Y897,"")</f>
        <v/>
      </c>
      <c r="GA897" s="0" t="str">
        <f aca="false">IF($A897="","",IF(AND(I897="walk-in",CN897="pass",U897="new",FT897="N",FV897="N",AQ897&lt;&gt;"Y"),"Y","N"))</f>
        <v/>
      </c>
      <c r="GB897" s="0" t="str">
        <f aca="false">IF(GA897&lt;&gt;"Y","",IF(COUNTIFS($GA$2:$GA$1000,"Y",$J$2:$J$1000,"&gt;"&amp;J897)+COUNTIFS($GA$2:$GA$1000,"Y",$J$2:$J$1000,J897,$GD$2:$GD$1000,"&lt;"&amp;GD897)+1&lt;=25,COUNTIFS($GA$2:$GA$1000,"Y",$J$2:$J$1000,"&gt;"&amp;J897)+COUNTIFS($GA$2:$GA$1000,"Y",$J$2:$J$1000,J897,$GD$2:$GD$1000,"&lt;"&amp;GD897)+1,""))</f>
        <v/>
      </c>
      <c r="GC897" s="0" t="str">
        <f aca="false">IF(AND(_xlfn.ISFORMULA(C897),_xlfn.ISFORMULA(J897)),"Y","N")</f>
        <v>Y</v>
      </c>
      <c r="GD897" s="0" t="n">
        <f aca="false">ROW()-1</f>
        <v>896</v>
      </c>
    </row>
    <row r="898" customFormat="false" ht="15" hidden="false" customHeight="false" outlineLevel="0" collapsed="false">
      <c r="C898" s="0" t="str">
        <f aca="false">IF($A898="","",IF(AW898="Y",BM898&amp;"",AY898&amp;""))</f>
        <v/>
      </c>
      <c r="D898" s="0" t="str">
        <f aca="false">IF($A898="","",IF(AW898="Y",BN898&amp;"",AZ898&amp;""))</f>
        <v/>
      </c>
      <c r="E898" s="0" t="str">
        <f aca="false">IF($A898="","",IF(AW898="Y",BO898&amp;"",BA898&amp;""))</f>
        <v/>
      </c>
      <c r="F898" s="0" t="str">
        <f aca="false">IF($A898="","",IF(AW898="Y",BP898&amp;"",BB898&amp;""))</f>
        <v/>
      </c>
      <c r="G898" s="0" t="str">
        <f aca="false">IF($A898="","",IF(AW898="Y",BQ898&amp;"",BC898&amp;""))</f>
        <v/>
      </c>
      <c r="H898" s="0" t="str">
        <f aca="false">IF($A898="","",IF(AW898="Y",BR898&amp;"",BD898&amp;""))</f>
        <v/>
      </c>
      <c r="I898" s="0" t="str">
        <f aca="false">IF($A898="","",IF(R898="Y","warm-intro",IF(H898="verified","email",IF(C898&lt;&gt;"","linkedin",CB898&amp;""))))</f>
        <v/>
      </c>
      <c r="J898" s="0" t="str">
        <f aca="false">IF($A898="","",IF(CN898="pass",ROUND(N(EM898)+N(EN898)+N(EO898)+N(EP898)+N(EQ898)+N(ER898),1),0))</f>
        <v/>
      </c>
      <c r="K898" s="0" t="str">
        <f aca="false">IF($A898="","",IF(CN898&lt;&gt;"pass",CA898&amp;"",CA898&amp;"; "&amp;IF(AW898="Y",BZ898&amp;"",BL898&amp;"")&amp;IF(R898="Y","; known to the founder (+15)","")&amp;"."))</f>
        <v/>
      </c>
      <c r="R898" s="5"/>
      <c r="U898" s="5"/>
      <c r="Y898" s="0" t="str">
        <f aca="false">IF(FX898&lt;&gt;"Y","",COUNTIFS($FX$2:$FX$1000,"Y",$J$2:$J$1000,"&gt;"&amp;J898)+COUNTIFS($FX$2:$FX$1000,"Y",$J$2:$J$1000,J898,$GD$2:$GD$1000,"&lt;"&amp;GD898)+1)</f>
        <v/>
      </c>
      <c r="AB898" s="0" t="str">
        <f aca="false">IF($A898="","",IF(AW898="Y",BY898&amp;"",BK898&amp;""))</f>
        <v/>
      </c>
      <c r="AC898" s="0" t="str">
        <f aca="false">IF($A898="","",IF(AW898="Y",BS898&amp;"",BE898&amp;""))</f>
        <v/>
      </c>
      <c r="AD898" s="0" t="str">
        <f aca="false">IF($A898="","",IF(AW898="Y",BT898&amp;"",BF898&amp;""))</f>
        <v/>
      </c>
      <c r="AE898" s="0" t="str">
        <f aca="false">IF($A898="","",IF(AW898="Y",BU898&amp;"",BG898&amp;""))</f>
        <v/>
      </c>
      <c r="AF898" s="0" t="str">
        <f aca="false">IF($A898="","",IF(AW898="Y",BV898&amp;"",BH898&amp;""))</f>
        <v/>
      </c>
      <c r="AG898" s="0" t="str">
        <f aca="false">IF($A898="","",IF(AW898="Y",BW898&amp;"",BI898&amp;""))</f>
        <v/>
      </c>
      <c r="AH898" s="0" t="str">
        <f aca="false">IF($A898="","",IF(AW898="Y",BX898&amp;"",BJ898&amp;""))</f>
        <v/>
      </c>
      <c r="AQ898" s="5"/>
      <c r="AT898" s="0" t="str">
        <f aca="false">IF($A898="","",IF(AND(CN898="pass",AQ898&lt;&gt;"Y",C898&lt;&gt;"",OR(AX898&lt;&gt;"Y",AV898="Y")),"Y","N"))</f>
        <v/>
      </c>
      <c r="AU898" s="0" t="str">
        <f aca="false">IF($A898="","",_xlfn.TEXTJOIN("; ",TRUE(),IF(CN898&lt;&gt;"pass","gated out",""),IF(AQ898="Y","on hold: "&amp;AR898,""),IF(C898="","no contact named on an opened page",""),IF(AND(AX898="Y",AV898&lt;&gt;"Y"),"Tuesday estimate band "&amp;L898&amp;": founder's call","")))</f>
        <v/>
      </c>
      <c r="BC898" s="0" t="str">
        <f aca="false">IF($A898="","",IFERROR(INDEX(Enrichment!$A$2:$GZ$2000,MATCH($A898,INDEX(Enrichment!$A$2:$GZ$2000,0,MATCH("row_id",Enrichment!$A$1:$GZ$1,0)),0),MATCH("work_email",Enrichment!$A$1:$GZ$1,0))&amp;"",""))</f>
        <v/>
      </c>
      <c r="BD898" s="0" t="str">
        <f aca="false">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Q898" s="0" t="str">
        <f aca="false">IF($A898="","",IFERROR(INDEX(Enrichment!$A$2:$GZ$2000,MATCH($A898,INDEX(Enrichment!$A$2:$GZ$2000,0,MATCH("row_id",Enrichment!$A$1:$GZ$1,0)),0),MATCH("backup_work_email",Enrichment!$A$1:$GZ$1,0))&amp;"",""))</f>
        <v/>
      </c>
      <c r="BR898" s="0" t="str">
        <f aca="false">IF($A898="","",IF(BQ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EQ898" s="0" t="str">
        <f aca="false">IF($A898="","",IF(AH898="exact",10,IF(AH898="adjacent",5,0)))</f>
        <v/>
      </c>
      <c r="ER898" s="0" t="str">
        <f aca="false">IF($A898="","",IF(R898="Y",15,0))</f>
        <v/>
      </c>
      <c r="FS898" s="0" t="str">
        <f aca="false">IF($A898="","",IF(ISNUMBER(MATCH(U898,{"queued","contacted","replied","call_booked","call_done","yes_in_principle","materials_sent"},0)),"Y","N"))</f>
        <v/>
      </c>
      <c r="FT898" s="0" t="str">
        <f aca="false">IF($A898="","",IF(OR(T898="Y",U898="do_not_contact",AS898&amp;""&lt;&gt;""),"Y","N"))</f>
        <v/>
      </c>
      <c r="FU898" s="0" t="str">
        <f aca="false">IF($A898="","",IF(AP898&amp;""&lt;&gt;"",AP898&amp;"",$A898))</f>
        <v/>
      </c>
      <c r="FV898" s="0" t="str">
        <f aca="false">IF($A898="","",IF(COUNTIFS($FU$2:$FU$1000,FU898,$FS$2:$FS$1000,"Y")+COUNTIFS($FU$2:$FU$1000,FU898,$FT$2:$FT$1000,"Y")&gt;0,"Y","N"))</f>
        <v/>
      </c>
      <c r="FW898" s="0" t="str">
        <f aca="false">IF($A898="","",IF(AND(U898="new",T898="N",FT898="N",AT898="Y",FV898="N"),"Y","N"))</f>
        <v/>
      </c>
      <c r="FX898" s="0" t="str">
        <f aca="false">IF($A898="","",IF(FW898&lt;&gt;"Y","N",IF(COUNTIFS($FU$2:$FU$1000,FU898,$FW$2:$FW$1000,"Y",$J$2:$J$1000,"&gt;"&amp;J898)+COUNTIFS($FU$2:$FU$1000,FU898,$FW$2:$FW$1000,"Y",$J$2:$J$1000,J898,$GD$2:$GD$1000,"&lt;"&amp;GD898)=0,"Y","N")))</f>
        <v/>
      </c>
      <c r="FY898" s="0" t="str">
        <f aca="false">IF($A898="","",IF(AND(FW898="Y",FX898="Y",Y898&amp;""&lt;&gt;""),IF(Y898&lt;=10,"Y","N"),"N"))</f>
        <v/>
      </c>
      <c r="FZ898" s="0" t="str">
        <f aca="false">IF(FY898="Y",Y898,"")</f>
        <v/>
      </c>
      <c r="GA898" s="0" t="str">
        <f aca="false">IF($A898="","",IF(AND(I898="walk-in",CN898="pass",U898="new",FT898="N",FV898="N",AQ898&lt;&gt;"Y"),"Y","N"))</f>
        <v/>
      </c>
      <c r="GB898" s="0" t="str">
        <f aca="false">IF(GA898&lt;&gt;"Y","",IF(COUNTIFS($GA$2:$GA$1000,"Y",$J$2:$J$1000,"&gt;"&amp;J898)+COUNTIFS($GA$2:$GA$1000,"Y",$J$2:$J$1000,J898,$GD$2:$GD$1000,"&lt;"&amp;GD898)+1&lt;=25,COUNTIFS($GA$2:$GA$1000,"Y",$J$2:$J$1000,"&gt;"&amp;J898)+COUNTIFS($GA$2:$GA$1000,"Y",$J$2:$J$1000,J898,$GD$2:$GD$1000,"&lt;"&amp;GD898)+1,""))</f>
        <v/>
      </c>
      <c r="GC898" s="0" t="str">
        <f aca="false">IF(AND(_xlfn.ISFORMULA(C898),_xlfn.ISFORMULA(J898)),"Y","N")</f>
        <v>Y</v>
      </c>
      <c r="GD898" s="0" t="n">
        <f aca="false">ROW()-1</f>
        <v>897</v>
      </c>
    </row>
    <row r="899" customFormat="false" ht="15" hidden="false" customHeight="false" outlineLevel="0" collapsed="false">
      <c r="C899" s="0" t="str">
        <f aca="false">IF($A899="","",IF(AW899="Y",BM899&amp;"",AY899&amp;""))</f>
        <v/>
      </c>
      <c r="D899" s="0" t="str">
        <f aca="false">IF($A899="","",IF(AW899="Y",BN899&amp;"",AZ899&amp;""))</f>
        <v/>
      </c>
      <c r="E899" s="0" t="str">
        <f aca="false">IF($A899="","",IF(AW899="Y",BO899&amp;"",BA899&amp;""))</f>
        <v/>
      </c>
      <c r="F899" s="0" t="str">
        <f aca="false">IF($A899="","",IF(AW899="Y",BP899&amp;"",BB899&amp;""))</f>
        <v/>
      </c>
      <c r="G899" s="0" t="str">
        <f aca="false">IF($A899="","",IF(AW899="Y",BQ899&amp;"",BC899&amp;""))</f>
        <v/>
      </c>
      <c r="H899" s="0" t="str">
        <f aca="false">IF($A899="","",IF(AW899="Y",BR899&amp;"",BD899&amp;""))</f>
        <v/>
      </c>
      <c r="I899" s="0" t="str">
        <f aca="false">IF($A899="","",IF(R899="Y","warm-intro",IF(H899="verified","email",IF(C899&lt;&gt;"","linkedin",CB899&amp;""))))</f>
        <v/>
      </c>
      <c r="J899" s="0" t="str">
        <f aca="false">IF($A899="","",IF(CN899="pass",ROUND(N(EM899)+N(EN899)+N(EO899)+N(EP899)+N(EQ899)+N(ER899),1),0))</f>
        <v/>
      </c>
      <c r="K899" s="0" t="str">
        <f aca="false">IF($A899="","",IF(CN899&lt;&gt;"pass",CA899&amp;"",CA899&amp;"; "&amp;IF(AW899="Y",BZ899&amp;"",BL899&amp;"")&amp;IF(R899="Y","; known to the founder (+15)","")&amp;"."))</f>
        <v/>
      </c>
      <c r="R899" s="5"/>
      <c r="U899" s="5"/>
      <c r="Y899" s="0" t="str">
        <f aca="false">IF(FX899&lt;&gt;"Y","",COUNTIFS($FX$2:$FX$1000,"Y",$J$2:$J$1000,"&gt;"&amp;J899)+COUNTIFS($FX$2:$FX$1000,"Y",$J$2:$J$1000,J899,$GD$2:$GD$1000,"&lt;"&amp;GD899)+1)</f>
        <v/>
      </c>
      <c r="AB899" s="0" t="str">
        <f aca="false">IF($A899="","",IF(AW899="Y",BY899&amp;"",BK899&amp;""))</f>
        <v/>
      </c>
      <c r="AC899" s="0" t="str">
        <f aca="false">IF($A899="","",IF(AW899="Y",BS899&amp;"",BE899&amp;""))</f>
        <v/>
      </c>
      <c r="AD899" s="0" t="str">
        <f aca="false">IF($A899="","",IF(AW899="Y",BT899&amp;"",BF899&amp;""))</f>
        <v/>
      </c>
      <c r="AE899" s="0" t="str">
        <f aca="false">IF($A899="","",IF(AW899="Y",BU899&amp;"",BG899&amp;""))</f>
        <v/>
      </c>
      <c r="AF899" s="0" t="str">
        <f aca="false">IF($A899="","",IF(AW899="Y",BV899&amp;"",BH899&amp;""))</f>
        <v/>
      </c>
      <c r="AG899" s="0" t="str">
        <f aca="false">IF($A899="","",IF(AW899="Y",BW899&amp;"",BI899&amp;""))</f>
        <v/>
      </c>
      <c r="AH899" s="0" t="str">
        <f aca="false">IF($A899="","",IF(AW899="Y",BX899&amp;"",BJ899&amp;""))</f>
        <v/>
      </c>
      <c r="AQ899" s="5"/>
      <c r="AT899" s="0" t="str">
        <f aca="false">IF($A899="","",IF(AND(CN899="pass",AQ899&lt;&gt;"Y",C899&lt;&gt;"",OR(AX899&lt;&gt;"Y",AV899="Y")),"Y","N"))</f>
        <v/>
      </c>
      <c r="AU899" s="0" t="str">
        <f aca="false">IF($A899="","",_xlfn.TEXTJOIN("; ",TRUE(),IF(CN899&lt;&gt;"pass","gated out",""),IF(AQ899="Y","on hold: "&amp;AR899,""),IF(C899="","no contact named on an opened page",""),IF(AND(AX899="Y",AV899&lt;&gt;"Y"),"Tuesday estimate band "&amp;L899&amp;": founder's call","")))</f>
        <v/>
      </c>
      <c r="BC899" s="0" t="str">
        <f aca="false">IF($A899="","",IFERROR(INDEX(Enrichment!$A$2:$GZ$2000,MATCH($A899,INDEX(Enrichment!$A$2:$GZ$2000,0,MATCH("row_id",Enrichment!$A$1:$GZ$1,0)),0),MATCH("work_email",Enrichment!$A$1:$GZ$1,0))&amp;"",""))</f>
        <v/>
      </c>
      <c r="BD899" s="0" t="str">
        <f aca="false">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Q899" s="0" t="str">
        <f aca="false">IF($A899="","",IFERROR(INDEX(Enrichment!$A$2:$GZ$2000,MATCH($A899,INDEX(Enrichment!$A$2:$GZ$2000,0,MATCH("row_id",Enrichment!$A$1:$GZ$1,0)),0),MATCH("backup_work_email",Enrichment!$A$1:$GZ$1,0))&amp;"",""))</f>
        <v/>
      </c>
      <c r="BR899" s="0" t="str">
        <f aca="false">IF($A899="","",IF(BQ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EQ899" s="0" t="str">
        <f aca="false">IF($A899="","",IF(AH899="exact",10,IF(AH899="adjacent",5,0)))</f>
        <v/>
      </c>
      <c r="ER899" s="0" t="str">
        <f aca="false">IF($A899="","",IF(R899="Y",15,0))</f>
        <v/>
      </c>
      <c r="FS899" s="0" t="str">
        <f aca="false">IF($A899="","",IF(ISNUMBER(MATCH(U899,{"queued","contacted","replied","call_booked","call_done","yes_in_principle","materials_sent"},0)),"Y","N"))</f>
        <v/>
      </c>
      <c r="FT899" s="0" t="str">
        <f aca="false">IF($A899="","",IF(OR(T899="Y",U899="do_not_contact",AS899&amp;""&lt;&gt;""),"Y","N"))</f>
        <v/>
      </c>
      <c r="FU899" s="0" t="str">
        <f aca="false">IF($A899="","",IF(AP899&amp;""&lt;&gt;"",AP899&amp;"",$A899))</f>
        <v/>
      </c>
      <c r="FV899" s="0" t="str">
        <f aca="false">IF($A899="","",IF(COUNTIFS($FU$2:$FU$1000,FU899,$FS$2:$FS$1000,"Y")+COUNTIFS($FU$2:$FU$1000,FU899,$FT$2:$FT$1000,"Y")&gt;0,"Y","N"))</f>
        <v/>
      </c>
      <c r="FW899" s="0" t="str">
        <f aca="false">IF($A899="","",IF(AND(U899="new",T899="N",FT899="N",AT899="Y",FV899="N"),"Y","N"))</f>
        <v/>
      </c>
      <c r="FX899" s="0" t="str">
        <f aca="false">IF($A899="","",IF(FW899&lt;&gt;"Y","N",IF(COUNTIFS($FU$2:$FU$1000,FU899,$FW$2:$FW$1000,"Y",$J$2:$J$1000,"&gt;"&amp;J899)+COUNTIFS($FU$2:$FU$1000,FU899,$FW$2:$FW$1000,"Y",$J$2:$J$1000,J899,$GD$2:$GD$1000,"&lt;"&amp;GD899)=0,"Y","N")))</f>
        <v/>
      </c>
      <c r="FY899" s="0" t="str">
        <f aca="false">IF($A899="","",IF(AND(FW899="Y",FX899="Y",Y899&amp;""&lt;&gt;""),IF(Y899&lt;=10,"Y","N"),"N"))</f>
        <v/>
      </c>
      <c r="FZ899" s="0" t="str">
        <f aca="false">IF(FY899="Y",Y899,"")</f>
        <v/>
      </c>
      <c r="GA899" s="0" t="str">
        <f aca="false">IF($A899="","",IF(AND(I899="walk-in",CN899="pass",U899="new",FT899="N",FV899="N",AQ899&lt;&gt;"Y"),"Y","N"))</f>
        <v/>
      </c>
      <c r="GB899" s="0" t="str">
        <f aca="false">IF(GA899&lt;&gt;"Y","",IF(COUNTIFS($GA$2:$GA$1000,"Y",$J$2:$J$1000,"&gt;"&amp;J899)+COUNTIFS($GA$2:$GA$1000,"Y",$J$2:$J$1000,J899,$GD$2:$GD$1000,"&lt;"&amp;GD899)+1&lt;=25,COUNTIFS($GA$2:$GA$1000,"Y",$J$2:$J$1000,"&gt;"&amp;J899)+COUNTIFS($GA$2:$GA$1000,"Y",$J$2:$J$1000,J899,$GD$2:$GD$1000,"&lt;"&amp;GD899)+1,""))</f>
        <v/>
      </c>
      <c r="GC899" s="0" t="str">
        <f aca="false">IF(AND(_xlfn.ISFORMULA(C899),_xlfn.ISFORMULA(J899)),"Y","N")</f>
        <v>Y</v>
      </c>
      <c r="GD899" s="0" t="n">
        <f aca="false">ROW()-1</f>
        <v>898</v>
      </c>
    </row>
    <row r="900" customFormat="false" ht="15" hidden="false" customHeight="false" outlineLevel="0" collapsed="false">
      <c r="C900" s="0" t="str">
        <f aca="false">IF($A900="","",IF(AW900="Y",BM900&amp;"",AY900&amp;""))</f>
        <v/>
      </c>
      <c r="D900" s="0" t="str">
        <f aca="false">IF($A900="","",IF(AW900="Y",BN900&amp;"",AZ900&amp;""))</f>
        <v/>
      </c>
      <c r="E900" s="0" t="str">
        <f aca="false">IF($A900="","",IF(AW900="Y",BO900&amp;"",BA900&amp;""))</f>
        <v/>
      </c>
      <c r="F900" s="0" t="str">
        <f aca="false">IF($A900="","",IF(AW900="Y",BP900&amp;"",BB900&amp;""))</f>
        <v/>
      </c>
      <c r="G900" s="0" t="str">
        <f aca="false">IF($A900="","",IF(AW900="Y",BQ900&amp;"",BC900&amp;""))</f>
        <v/>
      </c>
      <c r="H900" s="0" t="str">
        <f aca="false">IF($A900="","",IF(AW900="Y",BR900&amp;"",BD900&amp;""))</f>
        <v/>
      </c>
      <c r="I900" s="0" t="str">
        <f aca="false">IF($A900="","",IF(R900="Y","warm-intro",IF(H900="verified","email",IF(C900&lt;&gt;"","linkedin",CB900&amp;""))))</f>
        <v/>
      </c>
      <c r="J900" s="0" t="str">
        <f aca="false">IF($A900="","",IF(CN900="pass",ROUND(N(EM900)+N(EN900)+N(EO900)+N(EP900)+N(EQ900)+N(ER900),1),0))</f>
        <v/>
      </c>
      <c r="K900" s="0" t="str">
        <f aca="false">IF($A900="","",IF(CN900&lt;&gt;"pass",CA900&amp;"",CA900&amp;"; "&amp;IF(AW900="Y",BZ900&amp;"",BL900&amp;"")&amp;IF(R900="Y","; known to the founder (+15)","")&amp;"."))</f>
        <v/>
      </c>
      <c r="R900" s="5"/>
      <c r="U900" s="5"/>
      <c r="Y900" s="0" t="str">
        <f aca="false">IF(FX900&lt;&gt;"Y","",COUNTIFS($FX$2:$FX$1000,"Y",$J$2:$J$1000,"&gt;"&amp;J900)+COUNTIFS($FX$2:$FX$1000,"Y",$J$2:$J$1000,J900,$GD$2:$GD$1000,"&lt;"&amp;GD900)+1)</f>
        <v/>
      </c>
      <c r="AB900" s="0" t="str">
        <f aca="false">IF($A900="","",IF(AW900="Y",BY900&amp;"",BK900&amp;""))</f>
        <v/>
      </c>
      <c r="AC900" s="0" t="str">
        <f aca="false">IF($A900="","",IF(AW900="Y",BS900&amp;"",BE900&amp;""))</f>
        <v/>
      </c>
      <c r="AD900" s="0" t="str">
        <f aca="false">IF($A900="","",IF(AW900="Y",BT900&amp;"",BF900&amp;""))</f>
        <v/>
      </c>
      <c r="AE900" s="0" t="str">
        <f aca="false">IF($A900="","",IF(AW900="Y",BU900&amp;"",BG900&amp;""))</f>
        <v/>
      </c>
      <c r="AF900" s="0" t="str">
        <f aca="false">IF($A900="","",IF(AW900="Y",BV900&amp;"",BH900&amp;""))</f>
        <v/>
      </c>
      <c r="AG900" s="0" t="str">
        <f aca="false">IF($A900="","",IF(AW900="Y",BW900&amp;"",BI900&amp;""))</f>
        <v/>
      </c>
      <c r="AH900" s="0" t="str">
        <f aca="false">IF($A900="","",IF(AW900="Y",BX900&amp;"",BJ900&amp;""))</f>
        <v/>
      </c>
      <c r="AQ900" s="5"/>
      <c r="AT900" s="0" t="str">
        <f aca="false">IF($A900="","",IF(AND(CN900="pass",AQ900&lt;&gt;"Y",C900&lt;&gt;"",OR(AX900&lt;&gt;"Y",AV900="Y")),"Y","N"))</f>
        <v/>
      </c>
      <c r="AU900" s="0" t="str">
        <f aca="false">IF($A900="","",_xlfn.TEXTJOIN("; ",TRUE(),IF(CN900&lt;&gt;"pass","gated out",""),IF(AQ900="Y","on hold: "&amp;AR900,""),IF(C900="","no contact named on an opened page",""),IF(AND(AX900="Y",AV900&lt;&gt;"Y"),"Tuesday estimate band "&amp;L900&amp;": founder's call","")))</f>
        <v/>
      </c>
      <c r="BC900" s="0" t="str">
        <f aca="false">IF($A900="","",IFERROR(INDEX(Enrichment!$A$2:$GZ$2000,MATCH($A900,INDEX(Enrichment!$A$2:$GZ$2000,0,MATCH("row_id",Enrichment!$A$1:$GZ$1,0)),0),MATCH("work_email",Enrichment!$A$1:$GZ$1,0))&amp;"",""))</f>
        <v/>
      </c>
      <c r="BD900" s="0" t="str">
        <f aca="false">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Q900" s="0" t="str">
        <f aca="false">IF($A900="","",IFERROR(INDEX(Enrichment!$A$2:$GZ$2000,MATCH($A900,INDEX(Enrichment!$A$2:$GZ$2000,0,MATCH("row_id",Enrichment!$A$1:$GZ$1,0)),0),MATCH("backup_work_email",Enrichment!$A$1:$GZ$1,0))&amp;"",""))</f>
        <v/>
      </c>
      <c r="BR900" s="0" t="str">
        <f aca="false">IF($A900="","",IF(BQ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EQ900" s="0" t="str">
        <f aca="false">IF($A900="","",IF(AH900="exact",10,IF(AH900="adjacent",5,0)))</f>
        <v/>
      </c>
      <c r="ER900" s="0" t="str">
        <f aca="false">IF($A900="","",IF(R900="Y",15,0))</f>
        <v/>
      </c>
      <c r="FS900" s="0" t="str">
        <f aca="false">IF($A900="","",IF(ISNUMBER(MATCH(U900,{"queued","contacted","replied","call_booked","call_done","yes_in_principle","materials_sent"},0)),"Y","N"))</f>
        <v/>
      </c>
      <c r="FT900" s="0" t="str">
        <f aca="false">IF($A900="","",IF(OR(T900="Y",U900="do_not_contact",AS900&amp;""&lt;&gt;""),"Y","N"))</f>
        <v/>
      </c>
      <c r="FU900" s="0" t="str">
        <f aca="false">IF($A900="","",IF(AP900&amp;""&lt;&gt;"",AP900&amp;"",$A900))</f>
        <v/>
      </c>
      <c r="FV900" s="0" t="str">
        <f aca="false">IF($A900="","",IF(COUNTIFS($FU$2:$FU$1000,FU900,$FS$2:$FS$1000,"Y")+COUNTIFS($FU$2:$FU$1000,FU900,$FT$2:$FT$1000,"Y")&gt;0,"Y","N"))</f>
        <v/>
      </c>
      <c r="FW900" s="0" t="str">
        <f aca="false">IF($A900="","",IF(AND(U900="new",T900="N",FT900="N",AT900="Y",FV900="N"),"Y","N"))</f>
        <v/>
      </c>
      <c r="FX900" s="0" t="str">
        <f aca="false">IF($A900="","",IF(FW900&lt;&gt;"Y","N",IF(COUNTIFS($FU$2:$FU$1000,FU900,$FW$2:$FW$1000,"Y",$J$2:$J$1000,"&gt;"&amp;J900)+COUNTIFS($FU$2:$FU$1000,FU900,$FW$2:$FW$1000,"Y",$J$2:$J$1000,J900,$GD$2:$GD$1000,"&lt;"&amp;GD900)=0,"Y","N")))</f>
        <v/>
      </c>
      <c r="FY900" s="0" t="str">
        <f aca="false">IF($A900="","",IF(AND(FW900="Y",FX900="Y",Y900&amp;""&lt;&gt;""),IF(Y900&lt;=10,"Y","N"),"N"))</f>
        <v/>
      </c>
      <c r="FZ900" s="0" t="str">
        <f aca="false">IF(FY900="Y",Y900,"")</f>
        <v/>
      </c>
      <c r="GA900" s="0" t="str">
        <f aca="false">IF($A900="","",IF(AND(I900="walk-in",CN900="pass",U900="new",FT900="N",FV900="N",AQ900&lt;&gt;"Y"),"Y","N"))</f>
        <v/>
      </c>
      <c r="GB900" s="0" t="str">
        <f aca="false">IF(GA900&lt;&gt;"Y","",IF(COUNTIFS($GA$2:$GA$1000,"Y",$J$2:$J$1000,"&gt;"&amp;J900)+COUNTIFS($GA$2:$GA$1000,"Y",$J$2:$J$1000,J900,$GD$2:$GD$1000,"&lt;"&amp;GD900)+1&lt;=25,COUNTIFS($GA$2:$GA$1000,"Y",$J$2:$J$1000,"&gt;"&amp;J900)+COUNTIFS($GA$2:$GA$1000,"Y",$J$2:$J$1000,J900,$GD$2:$GD$1000,"&lt;"&amp;GD900)+1,""))</f>
        <v/>
      </c>
      <c r="GC900" s="0" t="str">
        <f aca="false">IF(AND(_xlfn.ISFORMULA(C900),_xlfn.ISFORMULA(J900)),"Y","N")</f>
        <v>Y</v>
      </c>
      <c r="GD900" s="0" t="n">
        <f aca="false">ROW()-1</f>
        <v>899</v>
      </c>
    </row>
    <row r="901" customFormat="false" ht="15" hidden="false" customHeight="false" outlineLevel="0" collapsed="false">
      <c r="C901" s="0" t="str">
        <f aca="false">IF($A901="","",IF(AW901="Y",BM901&amp;"",AY901&amp;""))</f>
        <v/>
      </c>
      <c r="D901" s="0" t="str">
        <f aca="false">IF($A901="","",IF(AW901="Y",BN901&amp;"",AZ901&amp;""))</f>
        <v/>
      </c>
      <c r="E901" s="0" t="str">
        <f aca="false">IF($A901="","",IF(AW901="Y",BO901&amp;"",BA901&amp;""))</f>
        <v/>
      </c>
      <c r="F901" s="0" t="str">
        <f aca="false">IF($A901="","",IF(AW901="Y",BP901&amp;"",BB901&amp;""))</f>
        <v/>
      </c>
      <c r="G901" s="0" t="str">
        <f aca="false">IF($A901="","",IF(AW901="Y",BQ901&amp;"",BC901&amp;""))</f>
        <v/>
      </c>
      <c r="H901" s="0" t="str">
        <f aca="false">IF($A901="","",IF(AW901="Y",BR901&amp;"",BD901&amp;""))</f>
        <v/>
      </c>
      <c r="I901" s="0" t="str">
        <f aca="false">IF($A901="","",IF(R901="Y","warm-intro",IF(H901="verified","email",IF(C901&lt;&gt;"","linkedin",CB901&amp;""))))</f>
        <v/>
      </c>
      <c r="J901" s="0" t="str">
        <f aca="false">IF($A901="","",IF(CN901="pass",ROUND(N(EM901)+N(EN901)+N(EO901)+N(EP901)+N(EQ901)+N(ER901),1),0))</f>
        <v/>
      </c>
      <c r="K901" s="0" t="str">
        <f aca="false">IF($A901="","",IF(CN901&lt;&gt;"pass",CA901&amp;"",CA901&amp;"; "&amp;IF(AW901="Y",BZ901&amp;"",BL901&amp;"")&amp;IF(R901="Y","; known to the founder (+15)","")&amp;"."))</f>
        <v/>
      </c>
      <c r="R901" s="5"/>
      <c r="U901" s="5"/>
      <c r="Y901" s="0" t="str">
        <f aca="false">IF(FX901&lt;&gt;"Y","",COUNTIFS($FX$2:$FX$1000,"Y",$J$2:$J$1000,"&gt;"&amp;J901)+COUNTIFS($FX$2:$FX$1000,"Y",$J$2:$J$1000,J901,$GD$2:$GD$1000,"&lt;"&amp;GD901)+1)</f>
        <v/>
      </c>
      <c r="AB901" s="0" t="str">
        <f aca="false">IF($A901="","",IF(AW901="Y",BY901&amp;"",BK901&amp;""))</f>
        <v/>
      </c>
      <c r="AC901" s="0" t="str">
        <f aca="false">IF($A901="","",IF(AW901="Y",BS901&amp;"",BE901&amp;""))</f>
        <v/>
      </c>
      <c r="AD901" s="0" t="str">
        <f aca="false">IF($A901="","",IF(AW901="Y",BT901&amp;"",BF901&amp;""))</f>
        <v/>
      </c>
      <c r="AE901" s="0" t="str">
        <f aca="false">IF($A901="","",IF(AW901="Y",BU901&amp;"",BG901&amp;""))</f>
        <v/>
      </c>
      <c r="AF901" s="0" t="str">
        <f aca="false">IF($A901="","",IF(AW901="Y",BV901&amp;"",BH901&amp;""))</f>
        <v/>
      </c>
      <c r="AG901" s="0" t="str">
        <f aca="false">IF($A901="","",IF(AW901="Y",BW901&amp;"",BI901&amp;""))</f>
        <v/>
      </c>
      <c r="AH901" s="0" t="str">
        <f aca="false">IF($A901="","",IF(AW901="Y",BX901&amp;"",BJ901&amp;""))</f>
        <v/>
      </c>
      <c r="AQ901" s="5"/>
      <c r="AT901" s="0" t="str">
        <f aca="false">IF($A901="","",IF(AND(CN901="pass",AQ901&lt;&gt;"Y",C901&lt;&gt;"",OR(AX901&lt;&gt;"Y",AV901="Y")),"Y","N"))</f>
        <v/>
      </c>
      <c r="AU901" s="0" t="str">
        <f aca="false">IF($A901="","",_xlfn.TEXTJOIN("; ",TRUE(),IF(CN901&lt;&gt;"pass","gated out",""),IF(AQ901="Y","on hold: "&amp;AR901,""),IF(C901="","no contact named on an opened page",""),IF(AND(AX901="Y",AV901&lt;&gt;"Y"),"Tuesday estimate band "&amp;L901&amp;": founder's call","")))</f>
        <v/>
      </c>
      <c r="BC901" s="0" t="str">
        <f aca="false">IF($A901="","",IFERROR(INDEX(Enrichment!$A$2:$GZ$2000,MATCH($A901,INDEX(Enrichment!$A$2:$GZ$2000,0,MATCH("row_id",Enrichment!$A$1:$GZ$1,0)),0),MATCH("work_email",Enrichment!$A$1:$GZ$1,0))&amp;"",""))</f>
        <v/>
      </c>
      <c r="BD901" s="0" t="str">
        <f aca="false">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Q901" s="0" t="str">
        <f aca="false">IF($A901="","",IFERROR(INDEX(Enrichment!$A$2:$GZ$2000,MATCH($A901,INDEX(Enrichment!$A$2:$GZ$2000,0,MATCH("row_id",Enrichment!$A$1:$GZ$1,0)),0),MATCH("backup_work_email",Enrichment!$A$1:$GZ$1,0))&amp;"",""))</f>
        <v/>
      </c>
      <c r="BR901" s="0" t="str">
        <f aca="false">IF($A901="","",IF(BQ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EQ901" s="0" t="str">
        <f aca="false">IF($A901="","",IF(AH901="exact",10,IF(AH901="adjacent",5,0)))</f>
        <v/>
      </c>
      <c r="ER901" s="0" t="str">
        <f aca="false">IF($A901="","",IF(R901="Y",15,0))</f>
        <v/>
      </c>
      <c r="FS901" s="0" t="str">
        <f aca="false">IF($A901="","",IF(ISNUMBER(MATCH(U901,{"queued","contacted","replied","call_booked","call_done","yes_in_principle","materials_sent"},0)),"Y","N"))</f>
        <v/>
      </c>
      <c r="FT901" s="0" t="str">
        <f aca="false">IF($A901="","",IF(OR(T901="Y",U901="do_not_contact",AS901&amp;""&lt;&gt;""),"Y","N"))</f>
        <v/>
      </c>
      <c r="FU901" s="0" t="str">
        <f aca="false">IF($A901="","",IF(AP901&amp;""&lt;&gt;"",AP901&amp;"",$A901))</f>
        <v/>
      </c>
      <c r="FV901" s="0" t="str">
        <f aca="false">IF($A901="","",IF(COUNTIFS($FU$2:$FU$1000,FU901,$FS$2:$FS$1000,"Y")+COUNTIFS($FU$2:$FU$1000,FU901,$FT$2:$FT$1000,"Y")&gt;0,"Y","N"))</f>
        <v/>
      </c>
      <c r="FW901" s="0" t="str">
        <f aca="false">IF($A901="","",IF(AND(U901="new",T901="N",FT901="N",AT901="Y",FV901="N"),"Y","N"))</f>
        <v/>
      </c>
      <c r="FX901" s="0" t="str">
        <f aca="false">IF($A901="","",IF(FW901&lt;&gt;"Y","N",IF(COUNTIFS($FU$2:$FU$1000,FU901,$FW$2:$FW$1000,"Y",$J$2:$J$1000,"&gt;"&amp;J901)+COUNTIFS($FU$2:$FU$1000,FU901,$FW$2:$FW$1000,"Y",$J$2:$J$1000,J901,$GD$2:$GD$1000,"&lt;"&amp;GD901)=0,"Y","N")))</f>
        <v/>
      </c>
      <c r="FY901" s="0" t="str">
        <f aca="false">IF($A901="","",IF(AND(FW901="Y",FX901="Y",Y901&amp;""&lt;&gt;""),IF(Y901&lt;=10,"Y","N"),"N"))</f>
        <v/>
      </c>
      <c r="FZ901" s="0" t="str">
        <f aca="false">IF(FY901="Y",Y901,"")</f>
        <v/>
      </c>
      <c r="GA901" s="0" t="str">
        <f aca="false">IF($A901="","",IF(AND(I901="walk-in",CN901="pass",U901="new",FT901="N",FV901="N",AQ901&lt;&gt;"Y"),"Y","N"))</f>
        <v/>
      </c>
      <c r="GB901" s="0" t="str">
        <f aca="false">IF(GA901&lt;&gt;"Y","",IF(COUNTIFS($GA$2:$GA$1000,"Y",$J$2:$J$1000,"&gt;"&amp;J901)+COUNTIFS($GA$2:$GA$1000,"Y",$J$2:$J$1000,J901,$GD$2:$GD$1000,"&lt;"&amp;GD901)+1&lt;=25,COUNTIFS($GA$2:$GA$1000,"Y",$J$2:$J$1000,"&gt;"&amp;J901)+COUNTIFS($GA$2:$GA$1000,"Y",$J$2:$J$1000,J901,$GD$2:$GD$1000,"&lt;"&amp;GD901)+1,""))</f>
        <v/>
      </c>
      <c r="GC901" s="0" t="str">
        <f aca="false">IF(AND(_xlfn.ISFORMULA(C901),_xlfn.ISFORMULA(J901)),"Y","N")</f>
        <v>Y</v>
      </c>
      <c r="GD901" s="0" t="n">
        <f aca="false">ROW()-1</f>
        <v>900</v>
      </c>
    </row>
    <row r="902" customFormat="false" ht="15" hidden="false" customHeight="false" outlineLevel="0" collapsed="false">
      <c r="C902" s="0" t="str">
        <f aca="false">IF($A902="","",IF(AW902="Y",BM902&amp;"",AY902&amp;""))</f>
        <v/>
      </c>
      <c r="D902" s="0" t="str">
        <f aca="false">IF($A902="","",IF(AW902="Y",BN902&amp;"",AZ902&amp;""))</f>
        <v/>
      </c>
      <c r="E902" s="0" t="str">
        <f aca="false">IF($A902="","",IF(AW902="Y",BO902&amp;"",BA902&amp;""))</f>
        <v/>
      </c>
      <c r="F902" s="0" t="str">
        <f aca="false">IF($A902="","",IF(AW902="Y",BP902&amp;"",BB902&amp;""))</f>
        <v/>
      </c>
      <c r="G902" s="0" t="str">
        <f aca="false">IF($A902="","",IF(AW902="Y",BQ902&amp;"",BC902&amp;""))</f>
        <v/>
      </c>
      <c r="H902" s="0" t="str">
        <f aca="false">IF($A902="","",IF(AW902="Y",BR902&amp;"",BD902&amp;""))</f>
        <v/>
      </c>
      <c r="I902" s="0" t="str">
        <f aca="false">IF($A902="","",IF(R902="Y","warm-intro",IF(H902="verified","email",IF(C902&lt;&gt;"","linkedin",CB902&amp;""))))</f>
        <v/>
      </c>
      <c r="J902" s="0" t="str">
        <f aca="false">IF($A902="","",IF(CN902="pass",ROUND(N(EM902)+N(EN902)+N(EO902)+N(EP902)+N(EQ902)+N(ER902),1),0))</f>
        <v/>
      </c>
      <c r="K902" s="0" t="str">
        <f aca="false">IF($A902="","",IF(CN902&lt;&gt;"pass",CA902&amp;"",CA902&amp;"; "&amp;IF(AW902="Y",BZ902&amp;"",BL902&amp;"")&amp;IF(R902="Y","; known to the founder (+15)","")&amp;"."))</f>
        <v/>
      </c>
      <c r="R902" s="5"/>
      <c r="U902" s="5"/>
      <c r="Y902" s="0" t="str">
        <f aca="false">IF(FX902&lt;&gt;"Y","",COUNTIFS($FX$2:$FX$1000,"Y",$J$2:$J$1000,"&gt;"&amp;J902)+COUNTIFS($FX$2:$FX$1000,"Y",$J$2:$J$1000,J902,$GD$2:$GD$1000,"&lt;"&amp;GD902)+1)</f>
        <v/>
      </c>
      <c r="AB902" s="0" t="str">
        <f aca="false">IF($A902="","",IF(AW902="Y",BY902&amp;"",BK902&amp;""))</f>
        <v/>
      </c>
      <c r="AC902" s="0" t="str">
        <f aca="false">IF($A902="","",IF(AW902="Y",BS902&amp;"",BE902&amp;""))</f>
        <v/>
      </c>
      <c r="AD902" s="0" t="str">
        <f aca="false">IF($A902="","",IF(AW902="Y",BT902&amp;"",BF902&amp;""))</f>
        <v/>
      </c>
      <c r="AE902" s="0" t="str">
        <f aca="false">IF($A902="","",IF(AW902="Y",BU902&amp;"",BG902&amp;""))</f>
        <v/>
      </c>
      <c r="AF902" s="0" t="str">
        <f aca="false">IF($A902="","",IF(AW902="Y",BV902&amp;"",BH902&amp;""))</f>
        <v/>
      </c>
      <c r="AG902" s="0" t="str">
        <f aca="false">IF($A902="","",IF(AW902="Y",BW902&amp;"",BI902&amp;""))</f>
        <v/>
      </c>
      <c r="AH902" s="0" t="str">
        <f aca="false">IF($A902="","",IF(AW902="Y",BX902&amp;"",BJ902&amp;""))</f>
        <v/>
      </c>
      <c r="AQ902" s="5"/>
      <c r="AT902" s="0" t="str">
        <f aca="false">IF($A902="","",IF(AND(CN902="pass",AQ902&lt;&gt;"Y",C902&lt;&gt;"",OR(AX902&lt;&gt;"Y",AV902="Y")),"Y","N"))</f>
        <v/>
      </c>
      <c r="AU902" s="0" t="str">
        <f aca="false">IF($A902="","",_xlfn.TEXTJOIN("; ",TRUE(),IF(CN902&lt;&gt;"pass","gated out",""),IF(AQ902="Y","on hold: "&amp;AR902,""),IF(C902="","no contact named on an opened page",""),IF(AND(AX902="Y",AV902&lt;&gt;"Y"),"Tuesday estimate band "&amp;L902&amp;": founder's call","")))</f>
        <v/>
      </c>
      <c r="BC902" s="0" t="str">
        <f aca="false">IF($A902="","",IFERROR(INDEX(Enrichment!$A$2:$GZ$2000,MATCH($A902,INDEX(Enrichment!$A$2:$GZ$2000,0,MATCH("row_id",Enrichment!$A$1:$GZ$1,0)),0),MATCH("work_email",Enrichment!$A$1:$GZ$1,0))&amp;"",""))</f>
        <v/>
      </c>
      <c r="BD902" s="0" t="str">
        <f aca="false">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Q902" s="0" t="str">
        <f aca="false">IF($A902="","",IFERROR(INDEX(Enrichment!$A$2:$GZ$2000,MATCH($A902,INDEX(Enrichment!$A$2:$GZ$2000,0,MATCH("row_id",Enrichment!$A$1:$GZ$1,0)),0),MATCH("backup_work_email",Enrichment!$A$1:$GZ$1,0))&amp;"",""))</f>
        <v/>
      </c>
      <c r="BR902" s="0" t="str">
        <f aca="false">IF($A902="","",IF(BQ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EQ902" s="0" t="str">
        <f aca="false">IF($A902="","",IF(AH902="exact",10,IF(AH902="adjacent",5,0)))</f>
        <v/>
      </c>
      <c r="ER902" s="0" t="str">
        <f aca="false">IF($A902="","",IF(R902="Y",15,0))</f>
        <v/>
      </c>
      <c r="FS902" s="0" t="str">
        <f aca="false">IF($A902="","",IF(ISNUMBER(MATCH(U902,{"queued","contacted","replied","call_booked","call_done","yes_in_principle","materials_sent"},0)),"Y","N"))</f>
        <v/>
      </c>
      <c r="FT902" s="0" t="str">
        <f aca="false">IF($A902="","",IF(OR(T902="Y",U902="do_not_contact",AS902&amp;""&lt;&gt;""),"Y","N"))</f>
        <v/>
      </c>
      <c r="FU902" s="0" t="str">
        <f aca="false">IF($A902="","",IF(AP902&amp;""&lt;&gt;"",AP902&amp;"",$A902))</f>
        <v/>
      </c>
      <c r="FV902" s="0" t="str">
        <f aca="false">IF($A902="","",IF(COUNTIFS($FU$2:$FU$1000,FU902,$FS$2:$FS$1000,"Y")+COUNTIFS($FU$2:$FU$1000,FU902,$FT$2:$FT$1000,"Y")&gt;0,"Y","N"))</f>
        <v/>
      </c>
      <c r="FW902" s="0" t="str">
        <f aca="false">IF($A902="","",IF(AND(U902="new",T902="N",FT902="N",AT902="Y",FV902="N"),"Y","N"))</f>
        <v/>
      </c>
      <c r="FX902" s="0" t="str">
        <f aca="false">IF($A902="","",IF(FW902&lt;&gt;"Y","N",IF(COUNTIFS($FU$2:$FU$1000,FU902,$FW$2:$FW$1000,"Y",$J$2:$J$1000,"&gt;"&amp;J902)+COUNTIFS($FU$2:$FU$1000,FU902,$FW$2:$FW$1000,"Y",$J$2:$J$1000,J902,$GD$2:$GD$1000,"&lt;"&amp;GD902)=0,"Y","N")))</f>
        <v/>
      </c>
      <c r="FY902" s="0" t="str">
        <f aca="false">IF($A902="","",IF(AND(FW902="Y",FX902="Y",Y902&amp;""&lt;&gt;""),IF(Y902&lt;=10,"Y","N"),"N"))</f>
        <v/>
      </c>
      <c r="FZ902" s="0" t="str">
        <f aca="false">IF(FY902="Y",Y902,"")</f>
        <v/>
      </c>
      <c r="GA902" s="0" t="str">
        <f aca="false">IF($A902="","",IF(AND(I902="walk-in",CN902="pass",U902="new",FT902="N",FV902="N",AQ902&lt;&gt;"Y"),"Y","N"))</f>
        <v/>
      </c>
      <c r="GB902" s="0" t="str">
        <f aca="false">IF(GA902&lt;&gt;"Y","",IF(COUNTIFS($GA$2:$GA$1000,"Y",$J$2:$J$1000,"&gt;"&amp;J902)+COUNTIFS($GA$2:$GA$1000,"Y",$J$2:$J$1000,J902,$GD$2:$GD$1000,"&lt;"&amp;GD902)+1&lt;=25,COUNTIFS($GA$2:$GA$1000,"Y",$J$2:$J$1000,"&gt;"&amp;J902)+COUNTIFS($GA$2:$GA$1000,"Y",$J$2:$J$1000,J902,$GD$2:$GD$1000,"&lt;"&amp;GD902)+1,""))</f>
        <v/>
      </c>
      <c r="GC902" s="0" t="str">
        <f aca="false">IF(AND(_xlfn.ISFORMULA(C902),_xlfn.ISFORMULA(J902)),"Y","N")</f>
        <v>Y</v>
      </c>
      <c r="GD902" s="0" t="n">
        <f aca="false">ROW()-1</f>
        <v>901</v>
      </c>
    </row>
    <row r="903" customFormat="false" ht="15" hidden="false" customHeight="false" outlineLevel="0" collapsed="false">
      <c r="C903" s="0" t="str">
        <f aca="false">IF($A903="","",IF(AW903="Y",BM903&amp;"",AY903&amp;""))</f>
        <v/>
      </c>
      <c r="D903" s="0" t="str">
        <f aca="false">IF($A903="","",IF(AW903="Y",BN903&amp;"",AZ903&amp;""))</f>
        <v/>
      </c>
      <c r="E903" s="0" t="str">
        <f aca="false">IF($A903="","",IF(AW903="Y",BO903&amp;"",BA903&amp;""))</f>
        <v/>
      </c>
      <c r="F903" s="0" t="str">
        <f aca="false">IF($A903="","",IF(AW903="Y",BP903&amp;"",BB903&amp;""))</f>
        <v/>
      </c>
      <c r="G903" s="0" t="str">
        <f aca="false">IF($A903="","",IF(AW903="Y",BQ903&amp;"",BC903&amp;""))</f>
        <v/>
      </c>
      <c r="H903" s="0" t="str">
        <f aca="false">IF($A903="","",IF(AW903="Y",BR903&amp;"",BD903&amp;""))</f>
        <v/>
      </c>
      <c r="I903" s="0" t="str">
        <f aca="false">IF($A903="","",IF(R903="Y","warm-intro",IF(H903="verified","email",IF(C903&lt;&gt;"","linkedin",CB903&amp;""))))</f>
        <v/>
      </c>
      <c r="J903" s="0" t="str">
        <f aca="false">IF($A903="","",IF(CN903="pass",ROUND(N(EM903)+N(EN903)+N(EO903)+N(EP903)+N(EQ903)+N(ER903),1),0))</f>
        <v/>
      </c>
      <c r="K903" s="0" t="str">
        <f aca="false">IF($A903="","",IF(CN903&lt;&gt;"pass",CA903&amp;"",CA903&amp;"; "&amp;IF(AW903="Y",BZ903&amp;"",BL903&amp;"")&amp;IF(R903="Y","; known to the founder (+15)","")&amp;"."))</f>
        <v/>
      </c>
      <c r="R903" s="5"/>
      <c r="U903" s="5"/>
      <c r="Y903" s="0" t="str">
        <f aca="false">IF(FX903&lt;&gt;"Y","",COUNTIFS($FX$2:$FX$1000,"Y",$J$2:$J$1000,"&gt;"&amp;J903)+COUNTIFS($FX$2:$FX$1000,"Y",$J$2:$J$1000,J903,$GD$2:$GD$1000,"&lt;"&amp;GD903)+1)</f>
        <v/>
      </c>
      <c r="AB903" s="0" t="str">
        <f aca="false">IF($A903="","",IF(AW903="Y",BY903&amp;"",BK903&amp;""))</f>
        <v/>
      </c>
      <c r="AC903" s="0" t="str">
        <f aca="false">IF($A903="","",IF(AW903="Y",BS903&amp;"",BE903&amp;""))</f>
        <v/>
      </c>
      <c r="AD903" s="0" t="str">
        <f aca="false">IF($A903="","",IF(AW903="Y",BT903&amp;"",BF903&amp;""))</f>
        <v/>
      </c>
      <c r="AE903" s="0" t="str">
        <f aca="false">IF($A903="","",IF(AW903="Y",BU903&amp;"",BG903&amp;""))</f>
        <v/>
      </c>
      <c r="AF903" s="0" t="str">
        <f aca="false">IF($A903="","",IF(AW903="Y",BV903&amp;"",BH903&amp;""))</f>
        <v/>
      </c>
      <c r="AG903" s="0" t="str">
        <f aca="false">IF($A903="","",IF(AW903="Y",BW903&amp;"",BI903&amp;""))</f>
        <v/>
      </c>
      <c r="AH903" s="0" t="str">
        <f aca="false">IF($A903="","",IF(AW903="Y",BX903&amp;"",BJ903&amp;""))</f>
        <v/>
      </c>
      <c r="AQ903" s="5"/>
      <c r="AT903" s="0" t="str">
        <f aca="false">IF($A903="","",IF(AND(CN903="pass",AQ903&lt;&gt;"Y",C903&lt;&gt;"",OR(AX903&lt;&gt;"Y",AV903="Y")),"Y","N"))</f>
        <v/>
      </c>
      <c r="AU903" s="0" t="str">
        <f aca="false">IF($A903="","",_xlfn.TEXTJOIN("; ",TRUE(),IF(CN903&lt;&gt;"pass","gated out",""),IF(AQ903="Y","on hold: "&amp;AR903,""),IF(C903="","no contact named on an opened page",""),IF(AND(AX903="Y",AV903&lt;&gt;"Y"),"Tuesday estimate band "&amp;L903&amp;": founder's call","")))</f>
        <v/>
      </c>
      <c r="BC903" s="0" t="str">
        <f aca="false">IF($A903="","",IFERROR(INDEX(Enrichment!$A$2:$GZ$2000,MATCH($A903,INDEX(Enrichment!$A$2:$GZ$2000,0,MATCH("row_id",Enrichment!$A$1:$GZ$1,0)),0),MATCH("work_email",Enrichment!$A$1:$GZ$1,0))&amp;"",""))</f>
        <v/>
      </c>
      <c r="BD903" s="0" t="str">
        <f aca="false">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Q903" s="0" t="str">
        <f aca="false">IF($A903="","",IFERROR(INDEX(Enrichment!$A$2:$GZ$2000,MATCH($A903,INDEX(Enrichment!$A$2:$GZ$2000,0,MATCH("row_id",Enrichment!$A$1:$GZ$1,0)),0),MATCH("backup_work_email",Enrichment!$A$1:$GZ$1,0))&amp;"",""))</f>
        <v/>
      </c>
      <c r="BR903" s="0" t="str">
        <f aca="false">IF($A903="","",IF(BQ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EQ903" s="0" t="str">
        <f aca="false">IF($A903="","",IF(AH903="exact",10,IF(AH903="adjacent",5,0)))</f>
        <v/>
      </c>
      <c r="ER903" s="0" t="str">
        <f aca="false">IF($A903="","",IF(R903="Y",15,0))</f>
        <v/>
      </c>
      <c r="FS903" s="0" t="str">
        <f aca="false">IF($A903="","",IF(ISNUMBER(MATCH(U903,{"queued","contacted","replied","call_booked","call_done","yes_in_principle","materials_sent"},0)),"Y","N"))</f>
        <v/>
      </c>
      <c r="FT903" s="0" t="str">
        <f aca="false">IF($A903="","",IF(OR(T903="Y",U903="do_not_contact",AS903&amp;""&lt;&gt;""),"Y","N"))</f>
        <v/>
      </c>
      <c r="FU903" s="0" t="str">
        <f aca="false">IF($A903="","",IF(AP903&amp;""&lt;&gt;"",AP903&amp;"",$A903))</f>
        <v/>
      </c>
      <c r="FV903" s="0" t="str">
        <f aca="false">IF($A903="","",IF(COUNTIFS($FU$2:$FU$1000,FU903,$FS$2:$FS$1000,"Y")+COUNTIFS($FU$2:$FU$1000,FU903,$FT$2:$FT$1000,"Y")&gt;0,"Y","N"))</f>
        <v/>
      </c>
      <c r="FW903" s="0" t="str">
        <f aca="false">IF($A903="","",IF(AND(U903="new",T903="N",FT903="N",AT903="Y",FV903="N"),"Y","N"))</f>
        <v/>
      </c>
      <c r="FX903" s="0" t="str">
        <f aca="false">IF($A903="","",IF(FW903&lt;&gt;"Y","N",IF(COUNTIFS($FU$2:$FU$1000,FU903,$FW$2:$FW$1000,"Y",$J$2:$J$1000,"&gt;"&amp;J903)+COUNTIFS($FU$2:$FU$1000,FU903,$FW$2:$FW$1000,"Y",$J$2:$J$1000,J903,$GD$2:$GD$1000,"&lt;"&amp;GD903)=0,"Y","N")))</f>
        <v/>
      </c>
      <c r="FY903" s="0" t="str">
        <f aca="false">IF($A903="","",IF(AND(FW903="Y",FX903="Y",Y903&amp;""&lt;&gt;""),IF(Y903&lt;=10,"Y","N"),"N"))</f>
        <v/>
      </c>
      <c r="FZ903" s="0" t="str">
        <f aca="false">IF(FY903="Y",Y903,"")</f>
        <v/>
      </c>
      <c r="GA903" s="0" t="str">
        <f aca="false">IF($A903="","",IF(AND(I903="walk-in",CN903="pass",U903="new",FT903="N",FV903="N",AQ903&lt;&gt;"Y"),"Y","N"))</f>
        <v/>
      </c>
      <c r="GB903" s="0" t="str">
        <f aca="false">IF(GA903&lt;&gt;"Y","",IF(COUNTIFS($GA$2:$GA$1000,"Y",$J$2:$J$1000,"&gt;"&amp;J903)+COUNTIFS($GA$2:$GA$1000,"Y",$J$2:$J$1000,J903,$GD$2:$GD$1000,"&lt;"&amp;GD903)+1&lt;=25,COUNTIFS($GA$2:$GA$1000,"Y",$J$2:$J$1000,"&gt;"&amp;J903)+COUNTIFS($GA$2:$GA$1000,"Y",$J$2:$J$1000,J903,$GD$2:$GD$1000,"&lt;"&amp;GD903)+1,""))</f>
        <v/>
      </c>
      <c r="GC903" s="0" t="str">
        <f aca="false">IF(AND(_xlfn.ISFORMULA(C903),_xlfn.ISFORMULA(J903)),"Y","N")</f>
        <v>Y</v>
      </c>
      <c r="GD903" s="0" t="n">
        <f aca="false">ROW()-1</f>
        <v>902</v>
      </c>
    </row>
    <row r="904" customFormat="false" ht="15" hidden="false" customHeight="false" outlineLevel="0" collapsed="false">
      <c r="C904" s="0" t="str">
        <f aca="false">IF($A904="","",IF(AW904="Y",BM904&amp;"",AY904&amp;""))</f>
        <v/>
      </c>
      <c r="D904" s="0" t="str">
        <f aca="false">IF($A904="","",IF(AW904="Y",BN904&amp;"",AZ904&amp;""))</f>
        <v/>
      </c>
      <c r="E904" s="0" t="str">
        <f aca="false">IF($A904="","",IF(AW904="Y",BO904&amp;"",BA904&amp;""))</f>
        <v/>
      </c>
      <c r="F904" s="0" t="str">
        <f aca="false">IF($A904="","",IF(AW904="Y",BP904&amp;"",BB904&amp;""))</f>
        <v/>
      </c>
      <c r="G904" s="0" t="str">
        <f aca="false">IF($A904="","",IF(AW904="Y",BQ904&amp;"",BC904&amp;""))</f>
        <v/>
      </c>
      <c r="H904" s="0" t="str">
        <f aca="false">IF($A904="","",IF(AW904="Y",BR904&amp;"",BD904&amp;""))</f>
        <v/>
      </c>
      <c r="I904" s="0" t="str">
        <f aca="false">IF($A904="","",IF(R904="Y","warm-intro",IF(H904="verified","email",IF(C904&lt;&gt;"","linkedin",CB904&amp;""))))</f>
        <v/>
      </c>
      <c r="J904" s="0" t="str">
        <f aca="false">IF($A904="","",IF(CN904="pass",ROUND(N(EM904)+N(EN904)+N(EO904)+N(EP904)+N(EQ904)+N(ER904),1),0))</f>
        <v/>
      </c>
      <c r="K904" s="0" t="str">
        <f aca="false">IF($A904="","",IF(CN904&lt;&gt;"pass",CA904&amp;"",CA904&amp;"; "&amp;IF(AW904="Y",BZ904&amp;"",BL904&amp;"")&amp;IF(R904="Y","; known to the founder (+15)","")&amp;"."))</f>
        <v/>
      </c>
      <c r="R904" s="5"/>
      <c r="U904" s="5"/>
      <c r="Y904" s="0" t="str">
        <f aca="false">IF(FX904&lt;&gt;"Y","",COUNTIFS($FX$2:$FX$1000,"Y",$J$2:$J$1000,"&gt;"&amp;J904)+COUNTIFS($FX$2:$FX$1000,"Y",$J$2:$J$1000,J904,$GD$2:$GD$1000,"&lt;"&amp;GD904)+1)</f>
        <v/>
      </c>
      <c r="AB904" s="0" t="str">
        <f aca="false">IF($A904="","",IF(AW904="Y",BY904&amp;"",BK904&amp;""))</f>
        <v/>
      </c>
      <c r="AC904" s="0" t="str">
        <f aca="false">IF($A904="","",IF(AW904="Y",BS904&amp;"",BE904&amp;""))</f>
        <v/>
      </c>
      <c r="AD904" s="0" t="str">
        <f aca="false">IF($A904="","",IF(AW904="Y",BT904&amp;"",BF904&amp;""))</f>
        <v/>
      </c>
      <c r="AE904" s="0" t="str">
        <f aca="false">IF($A904="","",IF(AW904="Y",BU904&amp;"",BG904&amp;""))</f>
        <v/>
      </c>
      <c r="AF904" s="0" t="str">
        <f aca="false">IF($A904="","",IF(AW904="Y",BV904&amp;"",BH904&amp;""))</f>
        <v/>
      </c>
      <c r="AG904" s="0" t="str">
        <f aca="false">IF($A904="","",IF(AW904="Y",BW904&amp;"",BI904&amp;""))</f>
        <v/>
      </c>
      <c r="AH904" s="0" t="str">
        <f aca="false">IF($A904="","",IF(AW904="Y",BX904&amp;"",BJ904&amp;""))</f>
        <v/>
      </c>
      <c r="AQ904" s="5"/>
      <c r="AT904" s="0" t="str">
        <f aca="false">IF($A904="","",IF(AND(CN904="pass",AQ904&lt;&gt;"Y",C904&lt;&gt;"",OR(AX904&lt;&gt;"Y",AV904="Y")),"Y","N"))</f>
        <v/>
      </c>
      <c r="AU904" s="0" t="str">
        <f aca="false">IF($A904="","",_xlfn.TEXTJOIN("; ",TRUE(),IF(CN904&lt;&gt;"pass","gated out",""),IF(AQ904="Y","on hold: "&amp;AR904,""),IF(C904="","no contact named on an opened page",""),IF(AND(AX904="Y",AV904&lt;&gt;"Y"),"Tuesday estimate band "&amp;L904&amp;": founder's call","")))</f>
        <v/>
      </c>
      <c r="BC904" s="0" t="str">
        <f aca="false">IF($A904="","",IFERROR(INDEX(Enrichment!$A$2:$GZ$2000,MATCH($A904,INDEX(Enrichment!$A$2:$GZ$2000,0,MATCH("row_id",Enrichment!$A$1:$GZ$1,0)),0),MATCH("work_email",Enrichment!$A$1:$GZ$1,0))&amp;"",""))</f>
        <v/>
      </c>
      <c r="BD904" s="0" t="str">
        <f aca="false">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Q904" s="0" t="str">
        <f aca="false">IF($A904="","",IFERROR(INDEX(Enrichment!$A$2:$GZ$2000,MATCH($A904,INDEX(Enrichment!$A$2:$GZ$2000,0,MATCH("row_id",Enrichment!$A$1:$GZ$1,0)),0),MATCH("backup_work_email",Enrichment!$A$1:$GZ$1,0))&amp;"",""))</f>
        <v/>
      </c>
      <c r="BR904" s="0" t="str">
        <f aca="false">IF($A904="","",IF(BQ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EQ904" s="0" t="str">
        <f aca="false">IF($A904="","",IF(AH904="exact",10,IF(AH904="adjacent",5,0)))</f>
        <v/>
      </c>
      <c r="ER904" s="0" t="str">
        <f aca="false">IF($A904="","",IF(R904="Y",15,0))</f>
        <v/>
      </c>
      <c r="FS904" s="0" t="str">
        <f aca="false">IF($A904="","",IF(ISNUMBER(MATCH(U904,{"queued","contacted","replied","call_booked","call_done","yes_in_principle","materials_sent"},0)),"Y","N"))</f>
        <v/>
      </c>
      <c r="FT904" s="0" t="str">
        <f aca="false">IF($A904="","",IF(OR(T904="Y",U904="do_not_contact",AS904&amp;""&lt;&gt;""),"Y","N"))</f>
        <v/>
      </c>
      <c r="FU904" s="0" t="str">
        <f aca="false">IF($A904="","",IF(AP904&amp;""&lt;&gt;"",AP904&amp;"",$A904))</f>
        <v/>
      </c>
      <c r="FV904" s="0" t="str">
        <f aca="false">IF($A904="","",IF(COUNTIFS($FU$2:$FU$1000,FU904,$FS$2:$FS$1000,"Y")+COUNTIFS($FU$2:$FU$1000,FU904,$FT$2:$FT$1000,"Y")&gt;0,"Y","N"))</f>
        <v/>
      </c>
      <c r="FW904" s="0" t="str">
        <f aca="false">IF($A904="","",IF(AND(U904="new",T904="N",FT904="N",AT904="Y",FV904="N"),"Y","N"))</f>
        <v/>
      </c>
      <c r="FX904" s="0" t="str">
        <f aca="false">IF($A904="","",IF(FW904&lt;&gt;"Y","N",IF(COUNTIFS($FU$2:$FU$1000,FU904,$FW$2:$FW$1000,"Y",$J$2:$J$1000,"&gt;"&amp;J904)+COUNTIFS($FU$2:$FU$1000,FU904,$FW$2:$FW$1000,"Y",$J$2:$J$1000,J904,$GD$2:$GD$1000,"&lt;"&amp;GD904)=0,"Y","N")))</f>
        <v/>
      </c>
      <c r="FY904" s="0" t="str">
        <f aca="false">IF($A904="","",IF(AND(FW904="Y",FX904="Y",Y904&amp;""&lt;&gt;""),IF(Y904&lt;=10,"Y","N"),"N"))</f>
        <v/>
      </c>
      <c r="FZ904" s="0" t="str">
        <f aca="false">IF(FY904="Y",Y904,"")</f>
        <v/>
      </c>
      <c r="GA904" s="0" t="str">
        <f aca="false">IF($A904="","",IF(AND(I904="walk-in",CN904="pass",U904="new",FT904="N",FV904="N",AQ904&lt;&gt;"Y"),"Y","N"))</f>
        <v/>
      </c>
      <c r="GB904" s="0" t="str">
        <f aca="false">IF(GA904&lt;&gt;"Y","",IF(COUNTIFS($GA$2:$GA$1000,"Y",$J$2:$J$1000,"&gt;"&amp;J904)+COUNTIFS($GA$2:$GA$1000,"Y",$J$2:$J$1000,J904,$GD$2:$GD$1000,"&lt;"&amp;GD904)+1&lt;=25,COUNTIFS($GA$2:$GA$1000,"Y",$J$2:$J$1000,"&gt;"&amp;J904)+COUNTIFS($GA$2:$GA$1000,"Y",$J$2:$J$1000,J904,$GD$2:$GD$1000,"&lt;"&amp;GD904)+1,""))</f>
        <v/>
      </c>
      <c r="GC904" s="0" t="str">
        <f aca="false">IF(AND(_xlfn.ISFORMULA(C904),_xlfn.ISFORMULA(J904)),"Y","N")</f>
        <v>Y</v>
      </c>
      <c r="GD904" s="0" t="n">
        <f aca="false">ROW()-1</f>
        <v>903</v>
      </c>
    </row>
    <row r="905" customFormat="false" ht="15" hidden="false" customHeight="false" outlineLevel="0" collapsed="false">
      <c r="C905" s="0" t="str">
        <f aca="false">IF($A905="","",IF(AW905="Y",BM905&amp;"",AY905&amp;""))</f>
        <v/>
      </c>
      <c r="D905" s="0" t="str">
        <f aca="false">IF($A905="","",IF(AW905="Y",BN905&amp;"",AZ905&amp;""))</f>
        <v/>
      </c>
      <c r="E905" s="0" t="str">
        <f aca="false">IF($A905="","",IF(AW905="Y",BO905&amp;"",BA905&amp;""))</f>
        <v/>
      </c>
      <c r="F905" s="0" t="str">
        <f aca="false">IF($A905="","",IF(AW905="Y",BP905&amp;"",BB905&amp;""))</f>
        <v/>
      </c>
      <c r="G905" s="0" t="str">
        <f aca="false">IF($A905="","",IF(AW905="Y",BQ905&amp;"",BC905&amp;""))</f>
        <v/>
      </c>
      <c r="H905" s="0" t="str">
        <f aca="false">IF($A905="","",IF(AW905="Y",BR905&amp;"",BD905&amp;""))</f>
        <v/>
      </c>
      <c r="I905" s="0" t="str">
        <f aca="false">IF($A905="","",IF(R905="Y","warm-intro",IF(H905="verified","email",IF(C905&lt;&gt;"","linkedin",CB905&amp;""))))</f>
        <v/>
      </c>
      <c r="J905" s="0" t="str">
        <f aca="false">IF($A905="","",IF(CN905="pass",ROUND(N(EM905)+N(EN905)+N(EO905)+N(EP905)+N(EQ905)+N(ER905),1),0))</f>
        <v/>
      </c>
      <c r="K905" s="0" t="str">
        <f aca="false">IF($A905="","",IF(CN905&lt;&gt;"pass",CA905&amp;"",CA905&amp;"; "&amp;IF(AW905="Y",BZ905&amp;"",BL905&amp;"")&amp;IF(R905="Y","; known to the founder (+15)","")&amp;"."))</f>
        <v/>
      </c>
      <c r="R905" s="5"/>
      <c r="U905" s="5"/>
      <c r="Y905" s="0" t="str">
        <f aca="false">IF(FX905&lt;&gt;"Y","",COUNTIFS($FX$2:$FX$1000,"Y",$J$2:$J$1000,"&gt;"&amp;J905)+COUNTIFS($FX$2:$FX$1000,"Y",$J$2:$J$1000,J905,$GD$2:$GD$1000,"&lt;"&amp;GD905)+1)</f>
        <v/>
      </c>
      <c r="AB905" s="0" t="str">
        <f aca="false">IF($A905="","",IF(AW905="Y",BY905&amp;"",BK905&amp;""))</f>
        <v/>
      </c>
      <c r="AC905" s="0" t="str">
        <f aca="false">IF($A905="","",IF(AW905="Y",BS905&amp;"",BE905&amp;""))</f>
        <v/>
      </c>
      <c r="AD905" s="0" t="str">
        <f aca="false">IF($A905="","",IF(AW905="Y",BT905&amp;"",BF905&amp;""))</f>
        <v/>
      </c>
      <c r="AE905" s="0" t="str">
        <f aca="false">IF($A905="","",IF(AW905="Y",BU905&amp;"",BG905&amp;""))</f>
        <v/>
      </c>
      <c r="AF905" s="0" t="str">
        <f aca="false">IF($A905="","",IF(AW905="Y",BV905&amp;"",BH905&amp;""))</f>
        <v/>
      </c>
      <c r="AG905" s="0" t="str">
        <f aca="false">IF($A905="","",IF(AW905="Y",BW905&amp;"",BI905&amp;""))</f>
        <v/>
      </c>
      <c r="AH905" s="0" t="str">
        <f aca="false">IF($A905="","",IF(AW905="Y",BX905&amp;"",BJ905&amp;""))</f>
        <v/>
      </c>
      <c r="AQ905" s="5"/>
      <c r="AT905" s="0" t="str">
        <f aca="false">IF($A905="","",IF(AND(CN905="pass",AQ905&lt;&gt;"Y",C905&lt;&gt;"",OR(AX905&lt;&gt;"Y",AV905="Y")),"Y","N"))</f>
        <v/>
      </c>
      <c r="AU905" s="0" t="str">
        <f aca="false">IF($A905="","",_xlfn.TEXTJOIN("; ",TRUE(),IF(CN905&lt;&gt;"pass","gated out",""),IF(AQ905="Y","on hold: "&amp;AR905,""),IF(C905="","no contact named on an opened page",""),IF(AND(AX905="Y",AV905&lt;&gt;"Y"),"Tuesday estimate band "&amp;L905&amp;": founder's call","")))</f>
        <v/>
      </c>
      <c r="BC905" s="0" t="str">
        <f aca="false">IF($A905="","",IFERROR(INDEX(Enrichment!$A$2:$GZ$2000,MATCH($A905,INDEX(Enrichment!$A$2:$GZ$2000,0,MATCH("row_id",Enrichment!$A$1:$GZ$1,0)),0),MATCH("work_email",Enrichment!$A$1:$GZ$1,0))&amp;"",""))</f>
        <v/>
      </c>
      <c r="BD905" s="0" t="str">
        <f aca="false">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Q905" s="0" t="str">
        <f aca="false">IF($A905="","",IFERROR(INDEX(Enrichment!$A$2:$GZ$2000,MATCH($A905,INDEX(Enrichment!$A$2:$GZ$2000,0,MATCH("row_id",Enrichment!$A$1:$GZ$1,0)),0),MATCH("backup_work_email",Enrichment!$A$1:$GZ$1,0))&amp;"",""))</f>
        <v/>
      </c>
      <c r="BR905" s="0" t="str">
        <f aca="false">IF($A905="","",IF(BQ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EQ905" s="0" t="str">
        <f aca="false">IF($A905="","",IF(AH905="exact",10,IF(AH905="adjacent",5,0)))</f>
        <v/>
      </c>
      <c r="ER905" s="0" t="str">
        <f aca="false">IF($A905="","",IF(R905="Y",15,0))</f>
        <v/>
      </c>
      <c r="FS905" s="0" t="str">
        <f aca="false">IF($A905="","",IF(ISNUMBER(MATCH(U905,{"queued","contacted","replied","call_booked","call_done","yes_in_principle","materials_sent"},0)),"Y","N"))</f>
        <v/>
      </c>
      <c r="FT905" s="0" t="str">
        <f aca="false">IF($A905="","",IF(OR(T905="Y",U905="do_not_contact",AS905&amp;""&lt;&gt;""),"Y","N"))</f>
        <v/>
      </c>
      <c r="FU905" s="0" t="str">
        <f aca="false">IF($A905="","",IF(AP905&amp;""&lt;&gt;"",AP905&amp;"",$A905))</f>
        <v/>
      </c>
      <c r="FV905" s="0" t="str">
        <f aca="false">IF($A905="","",IF(COUNTIFS($FU$2:$FU$1000,FU905,$FS$2:$FS$1000,"Y")+COUNTIFS($FU$2:$FU$1000,FU905,$FT$2:$FT$1000,"Y")&gt;0,"Y","N"))</f>
        <v/>
      </c>
      <c r="FW905" s="0" t="str">
        <f aca="false">IF($A905="","",IF(AND(U905="new",T905="N",FT905="N",AT905="Y",FV905="N"),"Y","N"))</f>
        <v/>
      </c>
      <c r="FX905" s="0" t="str">
        <f aca="false">IF($A905="","",IF(FW905&lt;&gt;"Y","N",IF(COUNTIFS($FU$2:$FU$1000,FU905,$FW$2:$FW$1000,"Y",$J$2:$J$1000,"&gt;"&amp;J905)+COUNTIFS($FU$2:$FU$1000,FU905,$FW$2:$FW$1000,"Y",$J$2:$J$1000,J905,$GD$2:$GD$1000,"&lt;"&amp;GD905)=0,"Y","N")))</f>
        <v/>
      </c>
      <c r="FY905" s="0" t="str">
        <f aca="false">IF($A905="","",IF(AND(FW905="Y",FX905="Y",Y905&amp;""&lt;&gt;""),IF(Y905&lt;=10,"Y","N"),"N"))</f>
        <v/>
      </c>
      <c r="FZ905" s="0" t="str">
        <f aca="false">IF(FY905="Y",Y905,"")</f>
        <v/>
      </c>
      <c r="GA905" s="0" t="str">
        <f aca="false">IF($A905="","",IF(AND(I905="walk-in",CN905="pass",U905="new",FT905="N",FV905="N",AQ905&lt;&gt;"Y"),"Y","N"))</f>
        <v/>
      </c>
      <c r="GB905" s="0" t="str">
        <f aca="false">IF(GA905&lt;&gt;"Y","",IF(COUNTIFS($GA$2:$GA$1000,"Y",$J$2:$J$1000,"&gt;"&amp;J905)+COUNTIFS($GA$2:$GA$1000,"Y",$J$2:$J$1000,J905,$GD$2:$GD$1000,"&lt;"&amp;GD905)+1&lt;=25,COUNTIFS($GA$2:$GA$1000,"Y",$J$2:$J$1000,"&gt;"&amp;J905)+COUNTIFS($GA$2:$GA$1000,"Y",$J$2:$J$1000,J905,$GD$2:$GD$1000,"&lt;"&amp;GD905)+1,""))</f>
        <v/>
      </c>
      <c r="GC905" s="0" t="str">
        <f aca="false">IF(AND(_xlfn.ISFORMULA(C905),_xlfn.ISFORMULA(J905)),"Y","N")</f>
        <v>Y</v>
      </c>
      <c r="GD905" s="0" t="n">
        <f aca="false">ROW()-1</f>
        <v>904</v>
      </c>
    </row>
    <row r="906" customFormat="false" ht="15" hidden="false" customHeight="false" outlineLevel="0" collapsed="false">
      <c r="C906" s="0" t="str">
        <f aca="false">IF($A906="","",IF(AW906="Y",BM906&amp;"",AY906&amp;""))</f>
        <v/>
      </c>
      <c r="D906" s="0" t="str">
        <f aca="false">IF($A906="","",IF(AW906="Y",BN906&amp;"",AZ906&amp;""))</f>
        <v/>
      </c>
      <c r="E906" s="0" t="str">
        <f aca="false">IF($A906="","",IF(AW906="Y",BO906&amp;"",BA906&amp;""))</f>
        <v/>
      </c>
      <c r="F906" s="0" t="str">
        <f aca="false">IF($A906="","",IF(AW906="Y",BP906&amp;"",BB906&amp;""))</f>
        <v/>
      </c>
      <c r="G906" s="0" t="str">
        <f aca="false">IF($A906="","",IF(AW906="Y",BQ906&amp;"",BC906&amp;""))</f>
        <v/>
      </c>
      <c r="H906" s="0" t="str">
        <f aca="false">IF($A906="","",IF(AW906="Y",BR906&amp;"",BD906&amp;""))</f>
        <v/>
      </c>
      <c r="I906" s="0" t="str">
        <f aca="false">IF($A906="","",IF(R906="Y","warm-intro",IF(H906="verified","email",IF(C906&lt;&gt;"","linkedin",CB906&amp;""))))</f>
        <v/>
      </c>
      <c r="J906" s="0" t="str">
        <f aca="false">IF($A906="","",IF(CN906="pass",ROUND(N(EM906)+N(EN906)+N(EO906)+N(EP906)+N(EQ906)+N(ER906),1),0))</f>
        <v/>
      </c>
      <c r="K906" s="0" t="str">
        <f aca="false">IF($A906="","",IF(CN906&lt;&gt;"pass",CA906&amp;"",CA906&amp;"; "&amp;IF(AW906="Y",BZ906&amp;"",BL906&amp;"")&amp;IF(R906="Y","; known to the founder (+15)","")&amp;"."))</f>
        <v/>
      </c>
      <c r="R906" s="5"/>
      <c r="U906" s="5"/>
      <c r="Y906" s="0" t="str">
        <f aca="false">IF(FX906&lt;&gt;"Y","",COUNTIFS($FX$2:$FX$1000,"Y",$J$2:$J$1000,"&gt;"&amp;J906)+COUNTIFS($FX$2:$FX$1000,"Y",$J$2:$J$1000,J906,$GD$2:$GD$1000,"&lt;"&amp;GD906)+1)</f>
        <v/>
      </c>
      <c r="AB906" s="0" t="str">
        <f aca="false">IF($A906="","",IF(AW906="Y",BY906&amp;"",BK906&amp;""))</f>
        <v/>
      </c>
      <c r="AC906" s="0" t="str">
        <f aca="false">IF($A906="","",IF(AW906="Y",BS906&amp;"",BE906&amp;""))</f>
        <v/>
      </c>
      <c r="AD906" s="0" t="str">
        <f aca="false">IF($A906="","",IF(AW906="Y",BT906&amp;"",BF906&amp;""))</f>
        <v/>
      </c>
      <c r="AE906" s="0" t="str">
        <f aca="false">IF($A906="","",IF(AW906="Y",BU906&amp;"",BG906&amp;""))</f>
        <v/>
      </c>
      <c r="AF906" s="0" t="str">
        <f aca="false">IF($A906="","",IF(AW906="Y",BV906&amp;"",BH906&amp;""))</f>
        <v/>
      </c>
      <c r="AG906" s="0" t="str">
        <f aca="false">IF($A906="","",IF(AW906="Y",BW906&amp;"",BI906&amp;""))</f>
        <v/>
      </c>
      <c r="AH906" s="0" t="str">
        <f aca="false">IF($A906="","",IF(AW906="Y",BX906&amp;"",BJ906&amp;""))</f>
        <v/>
      </c>
      <c r="AQ906" s="5"/>
      <c r="AT906" s="0" t="str">
        <f aca="false">IF($A906="","",IF(AND(CN906="pass",AQ906&lt;&gt;"Y",C906&lt;&gt;"",OR(AX906&lt;&gt;"Y",AV906="Y")),"Y","N"))</f>
        <v/>
      </c>
      <c r="AU906" s="0" t="str">
        <f aca="false">IF($A906="","",_xlfn.TEXTJOIN("; ",TRUE(),IF(CN906&lt;&gt;"pass","gated out",""),IF(AQ906="Y","on hold: "&amp;AR906,""),IF(C906="","no contact named on an opened page",""),IF(AND(AX906="Y",AV906&lt;&gt;"Y"),"Tuesday estimate band "&amp;L906&amp;": founder's call","")))</f>
        <v/>
      </c>
      <c r="BC906" s="0" t="str">
        <f aca="false">IF($A906="","",IFERROR(INDEX(Enrichment!$A$2:$GZ$2000,MATCH($A906,INDEX(Enrichment!$A$2:$GZ$2000,0,MATCH("row_id",Enrichment!$A$1:$GZ$1,0)),0),MATCH("work_email",Enrichment!$A$1:$GZ$1,0))&amp;"",""))</f>
        <v/>
      </c>
      <c r="BD906" s="0" t="str">
        <f aca="false">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Q906" s="0" t="str">
        <f aca="false">IF($A906="","",IFERROR(INDEX(Enrichment!$A$2:$GZ$2000,MATCH($A906,INDEX(Enrichment!$A$2:$GZ$2000,0,MATCH("row_id",Enrichment!$A$1:$GZ$1,0)),0),MATCH("backup_work_email",Enrichment!$A$1:$GZ$1,0))&amp;"",""))</f>
        <v/>
      </c>
      <c r="BR906" s="0" t="str">
        <f aca="false">IF($A906="","",IF(BQ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EQ906" s="0" t="str">
        <f aca="false">IF($A906="","",IF(AH906="exact",10,IF(AH906="adjacent",5,0)))</f>
        <v/>
      </c>
      <c r="ER906" s="0" t="str">
        <f aca="false">IF($A906="","",IF(R906="Y",15,0))</f>
        <v/>
      </c>
      <c r="FS906" s="0" t="str">
        <f aca="false">IF($A906="","",IF(ISNUMBER(MATCH(U906,{"queued","contacted","replied","call_booked","call_done","yes_in_principle","materials_sent"},0)),"Y","N"))</f>
        <v/>
      </c>
      <c r="FT906" s="0" t="str">
        <f aca="false">IF($A906="","",IF(OR(T906="Y",U906="do_not_contact",AS906&amp;""&lt;&gt;""),"Y","N"))</f>
        <v/>
      </c>
      <c r="FU906" s="0" t="str">
        <f aca="false">IF($A906="","",IF(AP906&amp;""&lt;&gt;"",AP906&amp;"",$A906))</f>
        <v/>
      </c>
      <c r="FV906" s="0" t="str">
        <f aca="false">IF($A906="","",IF(COUNTIFS($FU$2:$FU$1000,FU906,$FS$2:$FS$1000,"Y")+COUNTIFS($FU$2:$FU$1000,FU906,$FT$2:$FT$1000,"Y")&gt;0,"Y","N"))</f>
        <v/>
      </c>
      <c r="FW906" s="0" t="str">
        <f aca="false">IF($A906="","",IF(AND(U906="new",T906="N",FT906="N",AT906="Y",FV906="N"),"Y","N"))</f>
        <v/>
      </c>
      <c r="FX906" s="0" t="str">
        <f aca="false">IF($A906="","",IF(FW906&lt;&gt;"Y","N",IF(COUNTIFS($FU$2:$FU$1000,FU906,$FW$2:$FW$1000,"Y",$J$2:$J$1000,"&gt;"&amp;J906)+COUNTIFS($FU$2:$FU$1000,FU906,$FW$2:$FW$1000,"Y",$J$2:$J$1000,J906,$GD$2:$GD$1000,"&lt;"&amp;GD906)=0,"Y","N")))</f>
        <v/>
      </c>
      <c r="FY906" s="0" t="str">
        <f aca="false">IF($A906="","",IF(AND(FW906="Y",FX906="Y",Y906&amp;""&lt;&gt;""),IF(Y906&lt;=10,"Y","N"),"N"))</f>
        <v/>
      </c>
      <c r="FZ906" s="0" t="str">
        <f aca="false">IF(FY906="Y",Y906,"")</f>
        <v/>
      </c>
      <c r="GA906" s="0" t="str">
        <f aca="false">IF($A906="","",IF(AND(I906="walk-in",CN906="pass",U906="new",FT906="N",FV906="N",AQ906&lt;&gt;"Y"),"Y","N"))</f>
        <v/>
      </c>
      <c r="GB906" s="0" t="str">
        <f aca="false">IF(GA906&lt;&gt;"Y","",IF(COUNTIFS($GA$2:$GA$1000,"Y",$J$2:$J$1000,"&gt;"&amp;J906)+COUNTIFS($GA$2:$GA$1000,"Y",$J$2:$J$1000,J906,$GD$2:$GD$1000,"&lt;"&amp;GD906)+1&lt;=25,COUNTIFS($GA$2:$GA$1000,"Y",$J$2:$J$1000,"&gt;"&amp;J906)+COUNTIFS($GA$2:$GA$1000,"Y",$J$2:$J$1000,J906,$GD$2:$GD$1000,"&lt;"&amp;GD906)+1,""))</f>
        <v/>
      </c>
      <c r="GC906" s="0" t="str">
        <f aca="false">IF(AND(_xlfn.ISFORMULA(C906),_xlfn.ISFORMULA(J906)),"Y","N")</f>
        <v>Y</v>
      </c>
      <c r="GD906" s="0" t="n">
        <f aca="false">ROW()-1</f>
        <v>905</v>
      </c>
    </row>
    <row r="907" customFormat="false" ht="15" hidden="false" customHeight="false" outlineLevel="0" collapsed="false">
      <c r="C907" s="0" t="str">
        <f aca="false">IF($A907="","",IF(AW907="Y",BM907&amp;"",AY907&amp;""))</f>
        <v/>
      </c>
      <c r="D907" s="0" t="str">
        <f aca="false">IF($A907="","",IF(AW907="Y",BN907&amp;"",AZ907&amp;""))</f>
        <v/>
      </c>
      <c r="E907" s="0" t="str">
        <f aca="false">IF($A907="","",IF(AW907="Y",BO907&amp;"",BA907&amp;""))</f>
        <v/>
      </c>
      <c r="F907" s="0" t="str">
        <f aca="false">IF($A907="","",IF(AW907="Y",BP907&amp;"",BB907&amp;""))</f>
        <v/>
      </c>
      <c r="G907" s="0" t="str">
        <f aca="false">IF($A907="","",IF(AW907="Y",BQ907&amp;"",BC907&amp;""))</f>
        <v/>
      </c>
      <c r="H907" s="0" t="str">
        <f aca="false">IF($A907="","",IF(AW907="Y",BR907&amp;"",BD907&amp;""))</f>
        <v/>
      </c>
      <c r="I907" s="0" t="str">
        <f aca="false">IF($A907="","",IF(R907="Y","warm-intro",IF(H907="verified","email",IF(C907&lt;&gt;"","linkedin",CB907&amp;""))))</f>
        <v/>
      </c>
      <c r="J907" s="0" t="str">
        <f aca="false">IF($A907="","",IF(CN907="pass",ROUND(N(EM907)+N(EN907)+N(EO907)+N(EP907)+N(EQ907)+N(ER907),1),0))</f>
        <v/>
      </c>
      <c r="K907" s="0" t="str">
        <f aca="false">IF($A907="","",IF(CN907&lt;&gt;"pass",CA907&amp;"",CA907&amp;"; "&amp;IF(AW907="Y",BZ907&amp;"",BL907&amp;"")&amp;IF(R907="Y","; known to the founder (+15)","")&amp;"."))</f>
        <v/>
      </c>
      <c r="R907" s="5"/>
      <c r="U907" s="5"/>
      <c r="Y907" s="0" t="str">
        <f aca="false">IF(FX907&lt;&gt;"Y","",COUNTIFS($FX$2:$FX$1000,"Y",$J$2:$J$1000,"&gt;"&amp;J907)+COUNTIFS($FX$2:$FX$1000,"Y",$J$2:$J$1000,J907,$GD$2:$GD$1000,"&lt;"&amp;GD907)+1)</f>
        <v/>
      </c>
      <c r="AB907" s="0" t="str">
        <f aca="false">IF($A907="","",IF(AW907="Y",BY907&amp;"",BK907&amp;""))</f>
        <v/>
      </c>
      <c r="AC907" s="0" t="str">
        <f aca="false">IF($A907="","",IF(AW907="Y",BS907&amp;"",BE907&amp;""))</f>
        <v/>
      </c>
      <c r="AD907" s="0" t="str">
        <f aca="false">IF($A907="","",IF(AW907="Y",BT907&amp;"",BF907&amp;""))</f>
        <v/>
      </c>
      <c r="AE907" s="0" t="str">
        <f aca="false">IF($A907="","",IF(AW907="Y",BU907&amp;"",BG907&amp;""))</f>
        <v/>
      </c>
      <c r="AF907" s="0" t="str">
        <f aca="false">IF($A907="","",IF(AW907="Y",BV907&amp;"",BH907&amp;""))</f>
        <v/>
      </c>
      <c r="AG907" s="0" t="str">
        <f aca="false">IF($A907="","",IF(AW907="Y",BW907&amp;"",BI907&amp;""))</f>
        <v/>
      </c>
      <c r="AH907" s="0" t="str">
        <f aca="false">IF($A907="","",IF(AW907="Y",BX907&amp;"",BJ907&amp;""))</f>
        <v/>
      </c>
      <c r="AQ907" s="5"/>
      <c r="AT907" s="0" t="str">
        <f aca="false">IF($A907="","",IF(AND(CN907="pass",AQ907&lt;&gt;"Y",C907&lt;&gt;"",OR(AX907&lt;&gt;"Y",AV907="Y")),"Y","N"))</f>
        <v/>
      </c>
      <c r="AU907" s="0" t="str">
        <f aca="false">IF($A907="","",_xlfn.TEXTJOIN("; ",TRUE(),IF(CN907&lt;&gt;"pass","gated out",""),IF(AQ907="Y","on hold: "&amp;AR907,""),IF(C907="","no contact named on an opened page",""),IF(AND(AX907="Y",AV907&lt;&gt;"Y"),"Tuesday estimate band "&amp;L907&amp;": founder's call","")))</f>
        <v/>
      </c>
      <c r="BC907" s="0" t="str">
        <f aca="false">IF($A907="","",IFERROR(INDEX(Enrichment!$A$2:$GZ$2000,MATCH($A907,INDEX(Enrichment!$A$2:$GZ$2000,0,MATCH("row_id",Enrichment!$A$1:$GZ$1,0)),0),MATCH("work_email",Enrichment!$A$1:$GZ$1,0))&amp;"",""))</f>
        <v/>
      </c>
      <c r="BD907" s="0" t="str">
        <f aca="false">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Q907" s="0" t="str">
        <f aca="false">IF($A907="","",IFERROR(INDEX(Enrichment!$A$2:$GZ$2000,MATCH($A907,INDEX(Enrichment!$A$2:$GZ$2000,0,MATCH("row_id",Enrichment!$A$1:$GZ$1,0)),0),MATCH("backup_work_email",Enrichment!$A$1:$GZ$1,0))&amp;"",""))</f>
        <v/>
      </c>
      <c r="BR907" s="0" t="str">
        <f aca="false">IF($A907="","",IF(BQ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EQ907" s="0" t="str">
        <f aca="false">IF($A907="","",IF(AH907="exact",10,IF(AH907="adjacent",5,0)))</f>
        <v/>
      </c>
      <c r="ER907" s="0" t="str">
        <f aca="false">IF($A907="","",IF(R907="Y",15,0))</f>
        <v/>
      </c>
      <c r="FS907" s="0" t="str">
        <f aca="false">IF($A907="","",IF(ISNUMBER(MATCH(U907,{"queued","contacted","replied","call_booked","call_done","yes_in_principle","materials_sent"},0)),"Y","N"))</f>
        <v/>
      </c>
      <c r="FT907" s="0" t="str">
        <f aca="false">IF($A907="","",IF(OR(T907="Y",U907="do_not_contact",AS907&amp;""&lt;&gt;""),"Y","N"))</f>
        <v/>
      </c>
      <c r="FU907" s="0" t="str">
        <f aca="false">IF($A907="","",IF(AP907&amp;""&lt;&gt;"",AP907&amp;"",$A907))</f>
        <v/>
      </c>
      <c r="FV907" s="0" t="str">
        <f aca="false">IF($A907="","",IF(COUNTIFS($FU$2:$FU$1000,FU907,$FS$2:$FS$1000,"Y")+COUNTIFS($FU$2:$FU$1000,FU907,$FT$2:$FT$1000,"Y")&gt;0,"Y","N"))</f>
        <v/>
      </c>
      <c r="FW907" s="0" t="str">
        <f aca="false">IF($A907="","",IF(AND(U907="new",T907="N",FT907="N",AT907="Y",FV907="N"),"Y","N"))</f>
        <v/>
      </c>
      <c r="FX907" s="0" t="str">
        <f aca="false">IF($A907="","",IF(FW907&lt;&gt;"Y","N",IF(COUNTIFS($FU$2:$FU$1000,FU907,$FW$2:$FW$1000,"Y",$J$2:$J$1000,"&gt;"&amp;J907)+COUNTIFS($FU$2:$FU$1000,FU907,$FW$2:$FW$1000,"Y",$J$2:$J$1000,J907,$GD$2:$GD$1000,"&lt;"&amp;GD907)=0,"Y","N")))</f>
        <v/>
      </c>
      <c r="FY907" s="0" t="str">
        <f aca="false">IF($A907="","",IF(AND(FW907="Y",FX907="Y",Y907&amp;""&lt;&gt;""),IF(Y907&lt;=10,"Y","N"),"N"))</f>
        <v/>
      </c>
      <c r="FZ907" s="0" t="str">
        <f aca="false">IF(FY907="Y",Y907,"")</f>
        <v/>
      </c>
      <c r="GA907" s="0" t="str">
        <f aca="false">IF($A907="","",IF(AND(I907="walk-in",CN907="pass",U907="new",FT907="N",FV907="N",AQ907&lt;&gt;"Y"),"Y","N"))</f>
        <v/>
      </c>
      <c r="GB907" s="0" t="str">
        <f aca="false">IF(GA907&lt;&gt;"Y","",IF(COUNTIFS($GA$2:$GA$1000,"Y",$J$2:$J$1000,"&gt;"&amp;J907)+COUNTIFS($GA$2:$GA$1000,"Y",$J$2:$J$1000,J907,$GD$2:$GD$1000,"&lt;"&amp;GD907)+1&lt;=25,COUNTIFS($GA$2:$GA$1000,"Y",$J$2:$J$1000,"&gt;"&amp;J907)+COUNTIFS($GA$2:$GA$1000,"Y",$J$2:$J$1000,J907,$GD$2:$GD$1000,"&lt;"&amp;GD907)+1,""))</f>
        <v/>
      </c>
      <c r="GC907" s="0" t="str">
        <f aca="false">IF(AND(_xlfn.ISFORMULA(C907),_xlfn.ISFORMULA(J907)),"Y","N")</f>
        <v>Y</v>
      </c>
      <c r="GD907" s="0" t="n">
        <f aca="false">ROW()-1</f>
        <v>906</v>
      </c>
    </row>
    <row r="908" customFormat="false" ht="15" hidden="false" customHeight="false" outlineLevel="0" collapsed="false">
      <c r="C908" s="0" t="str">
        <f aca="false">IF($A908="","",IF(AW908="Y",BM908&amp;"",AY908&amp;""))</f>
        <v/>
      </c>
      <c r="D908" s="0" t="str">
        <f aca="false">IF($A908="","",IF(AW908="Y",BN908&amp;"",AZ908&amp;""))</f>
        <v/>
      </c>
      <c r="E908" s="0" t="str">
        <f aca="false">IF($A908="","",IF(AW908="Y",BO908&amp;"",BA908&amp;""))</f>
        <v/>
      </c>
      <c r="F908" s="0" t="str">
        <f aca="false">IF($A908="","",IF(AW908="Y",BP908&amp;"",BB908&amp;""))</f>
        <v/>
      </c>
      <c r="G908" s="0" t="str">
        <f aca="false">IF($A908="","",IF(AW908="Y",BQ908&amp;"",BC908&amp;""))</f>
        <v/>
      </c>
      <c r="H908" s="0" t="str">
        <f aca="false">IF($A908="","",IF(AW908="Y",BR908&amp;"",BD908&amp;""))</f>
        <v/>
      </c>
      <c r="I908" s="0" t="str">
        <f aca="false">IF($A908="","",IF(R908="Y","warm-intro",IF(H908="verified","email",IF(C908&lt;&gt;"","linkedin",CB908&amp;""))))</f>
        <v/>
      </c>
      <c r="J908" s="0" t="str">
        <f aca="false">IF($A908="","",IF(CN908="pass",ROUND(N(EM908)+N(EN908)+N(EO908)+N(EP908)+N(EQ908)+N(ER908),1),0))</f>
        <v/>
      </c>
      <c r="K908" s="0" t="str">
        <f aca="false">IF($A908="","",IF(CN908&lt;&gt;"pass",CA908&amp;"",CA908&amp;"; "&amp;IF(AW908="Y",BZ908&amp;"",BL908&amp;"")&amp;IF(R908="Y","; known to the founder (+15)","")&amp;"."))</f>
        <v/>
      </c>
      <c r="R908" s="5"/>
      <c r="U908" s="5"/>
      <c r="Y908" s="0" t="str">
        <f aca="false">IF(FX908&lt;&gt;"Y","",COUNTIFS($FX$2:$FX$1000,"Y",$J$2:$J$1000,"&gt;"&amp;J908)+COUNTIFS($FX$2:$FX$1000,"Y",$J$2:$J$1000,J908,$GD$2:$GD$1000,"&lt;"&amp;GD908)+1)</f>
        <v/>
      </c>
      <c r="AB908" s="0" t="str">
        <f aca="false">IF($A908="","",IF(AW908="Y",BY908&amp;"",BK908&amp;""))</f>
        <v/>
      </c>
      <c r="AC908" s="0" t="str">
        <f aca="false">IF($A908="","",IF(AW908="Y",BS908&amp;"",BE908&amp;""))</f>
        <v/>
      </c>
      <c r="AD908" s="0" t="str">
        <f aca="false">IF($A908="","",IF(AW908="Y",BT908&amp;"",BF908&amp;""))</f>
        <v/>
      </c>
      <c r="AE908" s="0" t="str">
        <f aca="false">IF($A908="","",IF(AW908="Y",BU908&amp;"",BG908&amp;""))</f>
        <v/>
      </c>
      <c r="AF908" s="0" t="str">
        <f aca="false">IF($A908="","",IF(AW908="Y",BV908&amp;"",BH908&amp;""))</f>
        <v/>
      </c>
      <c r="AG908" s="0" t="str">
        <f aca="false">IF($A908="","",IF(AW908="Y",BW908&amp;"",BI908&amp;""))</f>
        <v/>
      </c>
      <c r="AH908" s="0" t="str">
        <f aca="false">IF($A908="","",IF(AW908="Y",BX908&amp;"",BJ908&amp;""))</f>
        <v/>
      </c>
      <c r="AQ908" s="5"/>
      <c r="AT908" s="0" t="str">
        <f aca="false">IF($A908="","",IF(AND(CN908="pass",AQ908&lt;&gt;"Y",C908&lt;&gt;"",OR(AX908&lt;&gt;"Y",AV908="Y")),"Y","N"))</f>
        <v/>
      </c>
      <c r="AU908" s="0" t="str">
        <f aca="false">IF($A908="","",_xlfn.TEXTJOIN("; ",TRUE(),IF(CN908&lt;&gt;"pass","gated out",""),IF(AQ908="Y","on hold: "&amp;AR908,""),IF(C908="","no contact named on an opened page",""),IF(AND(AX908="Y",AV908&lt;&gt;"Y"),"Tuesday estimate band "&amp;L908&amp;": founder's call","")))</f>
        <v/>
      </c>
      <c r="BC908" s="0" t="str">
        <f aca="false">IF($A908="","",IFERROR(INDEX(Enrichment!$A$2:$GZ$2000,MATCH($A908,INDEX(Enrichment!$A$2:$GZ$2000,0,MATCH("row_id",Enrichment!$A$1:$GZ$1,0)),0),MATCH("work_email",Enrichment!$A$1:$GZ$1,0))&amp;"",""))</f>
        <v/>
      </c>
      <c r="BD908" s="0" t="str">
        <f aca="false">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Q908" s="0" t="str">
        <f aca="false">IF($A908="","",IFERROR(INDEX(Enrichment!$A$2:$GZ$2000,MATCH($A908,INDEX(Enrichment!$A$2:$GZ$2000,0,MATCH("row_id",Enrichment!$A$1:$GZ$1,0)),0),MATCH("backup_work_email",Enrichment!$A$1:$GZ$1,0))&amp;"",""))</f>
        <v/>
      </c>
      <c r="BR908" s="0" t="str">
        <f aca="false">IF($A908="","",IF(BQ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EQ908" s="0" t="str">
        <f aca="false">IF($A908="","",IF(AH908="exact",10,IF(AH908="adjacent",5,0)))</f>
        <v/>
      </c>
      <c r="ER908" s="0" t="str">
        <f aca="false">IF($A908="","",IF(R908="Y",15,0))</f>
        <v/>
      </c>
      <c r="FS908" s="0" t="str">
        <f aca="false">IF($A908="","",IF(ISNUMBER(MATCH(U908,{"queued","contacted","replied","call_booked","call_done","yes_in_principle","materials_sent"},0)),"Y","N"))</f>
        <v/>
      </c>
      <c r="FT908" s="0" t="str">
        <f aca="false">IF($A908="","",IF(OR(T908="Y",U908="do_not_contact",AS908&amp;""&lt;&gt;""),"Y","N"))</f>
        <v/>
      </c>
      <c r="FU908" s="0" t="str">
        <f aca="false">IF($A908="","",IF(AP908&amp;""&lt;&gt;"",AP908&amp;"",$A908))</f>
        <v/>
      </c>
      <c r="FV908" s="0" t="str">
        <f aca="false">IF($A908="","",IF(COUNTIFS($FU$2:$FU$1000,FU908,$FS$2:$FS$1000,"Y")+COUNTIFS($FU$2:$FU$1000,FU908,$FT$2:$FT$1000,"Y")&gt;0,"Y","N"))</f>
        <v/>
      </c>
      <c r="FW908" s="0" t="str">
        <f aca="false">IF($A908="","",IF(AND(U908="new",T908="N",FT908="N",AT908="Y",FV908="N"),"Y","N"))</f>
        <v/>
      </c>
      <c r="FX908" s="0" t="str">
        <f aca="false">IF($A908="","",IF(FW908&lt;&gt;"Y","N",IF(COUNTIFS($FU$2:$FU$1000,FU908,$FW$2:$FW$1000,"Y",$J$2:$J$1000,"&gt;"&amp;J908)+COUNTIFS($FU$2:$FU$1000,FU908,$FW$2:$FW$1000,"Y",$J$2:$J$1000,J908,$GD$2:$GD$1000,"&lt;"&amp;GD908)=0,"Y","N")))</f>
        <v/>
      </c>
      <c r="FY908" s="0" t="str">
        <f aca="false">IF($A908="","",IF(AND(FW908="Y",FX908="Y",Y908&amp;""&lt;&gt;""),IF(Y908&lt;=10,"Y","N"),"N"))</f>
        <v/>
      </c>
      <c r="FZ908" s="0" t="str">
        <f aca="false">IF(FY908="Y",Y908,"")</f>
        <v/>
      </c>
      <c r="GA908" s="0" t="str">
        <f aca="false">IF($A908="","",IF(AND(I908="walk-in",CN908="pass",U908="new",FT908="N",FV908="N",AQ908&lt;&gt;"Y"),"Y","N"))</f>
        <v/>
      </c>
      <c r="GB908" s="0" t="str">
        <f aca="false">IF(GA908&lt;&gt;"Y","",IF(COUNTIFS($GA$2:$GA$1000,"Y",$J$2:$J$1000,"&gt;"&amp;J908)+COUNTIFS($GA$2:$GA$1000,"Y",$J$2:$J$1000,J908,$GD$2:$GD$1000,"&lt;"&amp;GD908)+1&lt;=25,COUNTIFS($GA$2:$GA$1000,"Y",$J$2:$J$1000,"&gt;"&amp;J908)+COUNTIFS($GA$2:$GA$1000,"Y",$J$2:$J$1000,J908,$GD$2:$GD$1000,"&lt;"&amp;GD908)+1,""))</f>
        <v/>
      </c>
      <c r="GC908" s="0" t="str">
        <f aca="false">IF(AND(_xlfn.ISFORMULA(C908),_xlfn.ISFORMULA(J908)),"Y","N")</f>
        <v>Y</v>
      </c>
      <c r="GD908" s="0" t="n">
        <f aca="false">ROW()-1</f>
        <v>907</v>
      </c>
    </row>
    <row r="909" customFormat="false" ht="15" hidden="false" customHeight="false" outlineLevel="0" collapsed="false">
      <c r="C909" s="0" t="str">
        <f aca="false">IF($A909="","",IF(AW909="Y",BM909&amp;"",AY909&amp;""))</f>
        <v/>
      </c>
      <c r="D909" s="0" t="str">
        <f aca="false">IF($A909="","",IF(AW909="Y",BN909&amp;"",AZ909&amp;""))</f>
        <v/>
      </c>
      <c r="E909" s="0" t="str">
        <f aca="false">IF($A909="","",IF(AW909="Y",BO909&amp;"",BA909&amp;""))</f>
        <v/>
      </c>
      <c r="F909" s="0" t="str">
        <f aca="false">IF($A909="","",IF(AW909="Y",BP909&amp;"",BB909&amp;""))</f>
        <v/>
      </c>
      <c r="G909" s="0" t="str">
        <f aca="false">IF($A909="","",IF(AW909="Y",BQ909&amp;"",BC909&amp;""))</f>
        <v/>
      </c>
      <c r="H909" s="0" t="str">
        <f aca="false">IF($A909="","",IF(AW909="Y",BR909&amp;"",BD909&amp;""))</f>
        <v/>
      </c>
      <c r="I909" s="0" t="str">
        <f aca="false">IF($A909="","",IF(R909="Y","warm-intro",IF(H909="verified","email",IF(C909&lt;&gt;"","linkedin",CB909&amp;""))))</f>
        <v/>
      </c>
      <c r="J909" s="0" t="str">
        <f aca="false">IF($A909="","",IF(CN909="pass",ROUND(N(EM909)+N(EN909)+N(EO909)+N(EP909)+N(EQ909)+N(ER909),1),0))</f>
        <v/>
      </c>
      <c r="K909" s="0" t="str">
        <f aca="false">IF($A909="","",IF(CN909&lt;&gt;"pass",CA909&amp;"",CA909&amp;"; "&amp;IF(AW909="Y",BZ909&amp;"",BL909&amp;"")&amp;IF(R909="Y","; known to the founder (+15)","")&amp;"."))</f>
        <v/>
      </c>
      <c r="R909" s="5"/>
      <c r="U909" s="5"/>
      <c r="Y909" s="0" t="str">
        <f aca="false">IF(FX909&lt;&gt;"Y","",COUNTIFS($FX$2:$FX$1000,"Y",$J$2:$J$1000,"&gt;"&amp;J909)+COUNTIFS($FX$2:$FX$1000,"Y",$J$2:$J$1000,J909,$GD$2:$GD$1000,"&lt;"&amp;GD909)+1)</f>
        <v/>
      </c>
      <c r="AB909" s="0" t="str">
        <f aca="false">IF($A909="","",IF(AW909="Y",BY909&amp;"",BK909&amp;""))</f>
        <v/>
      </c>
      <c r="AC909" s="0" t="str">
        <f aca="false">IF($A909="","",IF(AW909="Y",BS909&amp;"",BE909&amp;""))</f>
        <v/>
      </c>
      <c r="AD909" s="0" t="str">
        <f aca="false">IF($A909="","",IF(AW909="Y",BT909&amp;"",BF909&amp;""))</f>
        <v/>
      </c>
      <c r="AE909" s="0" t="str">
        <f aca="false">IF($A909="","",IF(AW909="Y",BU909&amp;"",BG909&amp;""))</f>
        <v/>
      </c>
      <c r="AF909" s="0" t="str">
        <f aca="false">IF($A909="","",IF(AW909="Y",BV909&amp;"",BH909&amp;""))</f>
        <v/>
      </c>
      <c r="AG909" s="0" t="str">
        <f aca="false">IF($A909="","",IF(AW909="Y",BW909&amp;"",BI909&amp;""))</f>
        <v/>
      </c>
      <c r="AH909" s="0" t="str">
        <f aca="false">IF($A909="","",IF(AW909="Y",BX909&amp;"",BJ909&amp;""))</f>
        <v/>
      </c>
      <c r="AQ909" s="5"/>
      <c r="AT909" s="0" t="str">
        <f aca="false">IF($A909="","",IF(AND(CN909="pass",AQ909&lt;&gt;"Y",C909&lt;&gt;"",OR(AX909&lt;&gt;"Y",AV909="Y")),"Y","N"))</f>
        <v/>
      </c>
      <c r="AU909" s="0" t="str">
        <f aca="false">IF($A909="","",_xlfn.TEXTJOIN("; ",TRUE(),IF(CN909&lt;&gt;"pass","gated out",""),IF(AQ909="Y","on hold: "&amp;AR909,""),IF(C909="","no contact named on an opened page",""),IF(AND(AX909="Y",AV909&lt;&gt;"Y"),"Tuesday estimate band "&amp;L909&amp;": founder's call","")))</f>
        <v/>
      </c>
      <c r="BC909" s="0" t="str">
        <f aca="false">IF($A909="","",IFERROR(INDEX(Enrichment!$A$2:$GZ$2000,MATCH($A909,INDEX(Enrichment!$A$2:$GZ$2000,0,MATCH("row_id",Enrichment!$A$1:$GZ$1,0)),0),MATCH("work_email",Enrichment!$A$1:$GZ$1,0))&amp;"",""))</f>
        <v/>
      </c>
      <c r="BD909" s="0" t="str">
        <f aca="false">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Q909" s="0" t="str">
        <f aca="false">IF($A909="","",IFERROR(INDEX(Enrichment!$A$2:$GZ$2000,MATCH($A909,INDEX(Enrichment!$A$2:$GZ$2000,0,MATCH("row_id",Enrichment!$A$1:$GZ$1,0)),0),MATCH("backup_work_email",Enrichment!$A$1:$GZ$1,0))&amp;"",""))</f>
        <v/>
      </c>
      <c r="BR909" s="0" t="str">
        <f aca="false">IF($A909="","",IF(BQ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EQ909" s="0" t="str">
        <f aca="false">IF($A909="","",IF(AH909="exact",10,IF(AH909="adjacent",5,0)))</f>
        <v/>
      </c>
      <c r="ER909" s="0" t="str">
        <f aca="false">IF($A909="","",IF(R909="Y",15,0))</f>
        <v/>
      </c>
      <c r="FS909" s="0" t="str">
        <f aca="false">IF($A909="","",IF(ISNUMBER(MATCH(U909,{"queued","contacted","replied","call_booked","call_done","yes_in_principle","materials_sent"},0)),"Y","N"))</f>
        <v/>
      </c>
      <c r="FT909" s="0" t="str">
        <f aca="false">IF($A909="","",IF(OR(T909="Y",U909="do_not_contact",AS909&amp;""&lt;&gt;""),"Y","N"))</f>
        <v/>
      </c>
      <c r="FU909" s="0" t="str">
        <f aca="false">IF($A909="","",IF(AP909&amp;""&lt;&gt;"",AP909&amp;"",$A909))</f>
        <v/>
      </c>
      <c r="FV909" s="0" t="str">
        <f aca="false">IF($A909="","",IF(COUNTIFS($FU$2:$FU$1000,FU909,$FS$2:$FS$1000,"Y")+COUNTIFS($FU$2:$FU$1000,FU909,$FT$2:$FT$1000,"Y")&gt;0,"Y","N"))</f>
        <v/>
      </c>
      <c r="FW909" s="0" t="str">
        <f aca="false">IF($A909="","",IF(AND(U909="new",T909="N",FT909="N",AT909="Y",FV909="N"),"Y","N"))</f>
        <v/>
      </c>
      <c r="FX909" s="0" t="str">
        <f aca="false">IF($A909="","",IF(FW909&lt;&gt;"Y","N",IF(COUNTIFS($FU$2:$FU$1000,FU909,$FW$2:$FW$1000,"Y",$J$2:$J$1000,"&gt;"&amp;J909)+COUNTIFS($FU$2:$FU$1000,FU909,$FW$2:$FW$1000,"Y",$J$2:$J$1000,J909,$GD$2:$GD$1000,"&lt;"&amp;GD909)=0,"Y","N")))</f>
        <v/>
      </c>
      <c r="FY909" s="0" t="str">
        <f aca="false">IF($A909="","",IF(AND(FW909="Y",FX909="Y",Y909&amp;""&lt;&gt;""),IF(Y909&lt;=10,"Y","N"),"N"))</f>
        <v/>
      </c>
      <c r="FZ909" s="0" t="str">
        <f aca="false">IF(FY909="Y",Y909,"")</f>
        <v/>
      </c>
      <c r="GA909" s="0" t="str">
        <f aca="false">IF($A909="","",IF(AND(I909="walk-in",CN909="pass",U909="new",FT909="N",FV909="N",AQ909&lt;&gt;"Y"),"Y","N"))</f>
        <v/>
      </c>
      <c r="GB909" s="0" t="str">
        <f aca="false">IF(GA909&lt;&gt;"Y","",IF(COUNTIFS($GA$2:$GA$1000,"Y",$J$2:$J$1000,"&gt;"&amp;J909)+COUNTIFS($GA$2:$GA$1000,"Y",$J$2:$J$1000,J909,$GD$2:$GD$1000,"&lt;"&amp;GD909)+1&lt;=25,COUNTIFS($GA$2:$GA$1000,"Y",$J$2:$J$1000,"&gt;"&amp;J909)+COUNTIFS($GA$2:$GA$1000,"Y",$J$2:$J$1000,J909,$GD$2:$GD$1000,"&lt;"&amp;GD909)+1,""))</f>
        <v/>
      </c>
      <c r="GC909" s="0" t="str">
        <f aca="false">IF(AND(_xlfn.ISFORMULA(C909),_xlfn.ISFORMULA(J909)),"Y","N")</f>
        <v>Y</v>
      </c>
      <c r="GD909" s="0" t="n">
        <f aca="false">ROW()-1</f>
        <v>908</v>
      </c>
    </row>
    <row r="910" customFormat="false" ht="15" hidden="false" customHeight="false" outlineLevel="0" collapsed="false">
      <c r="C910" s="0" t="str">
        <f aca="false">IF($A910="","",IF(AW910="Y",BM910&amp;"",AY910&amp;""))</f>
        <v/>
      </c>
      <c r="D910" s="0" t="str">
        <f aca="false">IF($A910="","",IF(AW910="Y",BN910&amp;"",AZ910&amp;""))</f>
        <v/>
      </c>
      <c r="E910" s="0" t="str">
        <f aca="false">IF($A910="","",IF(AW910="Y",BO910&amp;"",BA910&amp;""))</f>
        <v/>
      </c>
      <c r="F910" s="0" t="str">
        <f aca="false">IF($A910="","",IF(AW910="Y",BP910&amp;"",BB910&amp;""))</f>
        <v/>
      </c>
      <c r="G910" s="0" t="str">
        <f aca="false">IF($A910="","",IF(AW910="Y",BQ910&amp;"",BC910&amp;""))</f>
        <v/>
      </c>
      <c r="H910" s="0" t="str">
        <f aca="false">IF($A910="","",IF(AW910="Y",BR910&amp;"",BD910&amp;""))</f>
        <v/>
      </c>
      <c r="I910" s="0" t="str">
        <f aca="false">IF($A910="","",IF(R910="Y","warm-intro",IF(H910="verified","email",IF(C910&lt;&gt;"","linkedin",CB910&amp;""))))</f>
        <v/>
      </c>
      <c r="J910" s="0" t="str">
        <f aca="false">IF($A910="","",IF(CN910="pass",ROUND(N(EM910)+N(EN910)+N(EO910)+N(EP910)+N(EQ910)+N(ER910),1),0))</f>
        <v/>
      </c>
      <c r="K910" s="0" t="str">
        <f aca="false">IF($A910="","",IF(CN910&lt;&gt;"pass",CA910&amp;"",CA910&amp;"; "&amp;IF(AW910="Y",BZ910&amp;"",BL910&amp;"")&amp;IF(R910="Y","; known to the founder (+15)","")&amp;"."))</f>
        <v/>
      </c>
      <c r="R910" s="5"/>
      <c r="U910" s="5"/>
      <c r="Y910" s="0" t="str">
        <f aca="false">IF(FX910&lt;&gt;"Y","",COUNTIFS($FX$2:$FX$1000,"Y",$J$2:$J$1000,"&gt;"&amp;J910)+COUNTIFS($FX$2:$FX$1000,"Y",$J$2:$J$1000,J910,$GD$2:$GD$1000,"&lt;"&amp;GD910)+1)</f>
        <v/>
      </c>
      <c r="AB910" s="0" t="str">
        <f aca="false">IF($A910="","",IF(AW910="Y",BY910&amp;"",BK910&amp;""))</f>
        <v/>
      </c>
      <c r="AC910" s="0" t="str">
        <f aca="false">IF($A910="","",IF(AW910="Y",BS910&amp;"",BE910&amp;""))</f>
        <v/>
      </c>
      <c r="AD910" s="0" t="str">
        <f aca="false">IF($A910="","",IF(AW910="Y",BT910&amp;"",BF910&amp;""))</f>
        <v/>
      </c>
      <c r="AE910" s="0" t="str">
        <f aca="false">IF($A910="","",IF(AW910="Y",BU910&amp;"",BG910&amp;""))</f>
        <v/>
      </c>
      <c r="AF910" s="0" t="str">
        <f aca="false">IF($A910="","",IF(AW910="Y",BV910&amp;"",BH910&amp;""))</f>
        <v/>
      </c>
      <c r="AG910" s="0" t="str">
        <f aca="false">IF($A910="","",IF(AW910="Y",BW910&amp;"",BI910&amp;""))</f>
        <v/>
      </c>
      <c r="AH910" s="0" t="str">
        <f aca="false">IF($A910="","",IF(AW910="Y",BX910&amp;"",BJ910&amp;""))</f>
        <v/>
      </c>
      <c r="AQ910" s="5"/>
      <c r="AT910" s="0" t="str">
        <f aca="false">IF($A910="","",IF(AND(CN910="pass",AQ910&lt;&gt;"Y",C910&lt;&gt;"",OR(AX910&lt;&gt;"Y",AV910="Y")),"Y","N"))</f>
        <v/>
      </c>
      <c r="AU910" s="0" t="str">
        <f aca="false">IF($A910="","",_xlfn.TEXTJOIN("; ",TRUE(),IF(CN910&lt;&gt;"pass","gated out",""),IF(AQ910="Y","on hold: "&amp;AR910,""),IF(C910="","no contact named on an opened page",""),IF(AND(AX910="Y",AV910&lt;&gt;"Y"),"Tuesday estimate band "&amp;L910&amp;": founder's call","")))</f>
        <v/>
      </c>
      <c r="BC910" s="0" t="str">
        <f aca="false">IF($A910="","",IFERROR(INDEX(Enrichment!$A$2:$GZ$2000,MATCH($A910,INDEX(Enrichment!$A$2:$GZ$2000,0,MATCH("row_id",Enrichment!$A$1:$GZ$1,0)),0),MATCH("work_email",Enrichment!$A$1:$GZ$1,0))&amp;"",""))</f>
        <v/>
      </c>
      <c r="BD910" s="0" t="str">
        <f aca="false">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Q910" s="0" t="str">
        <f aca="false">IF($A910="","",IFERROR(INDEX(Enrichment!$A$2:$GZ$2000,MATCH($A910,INDEX(Enrichment!$A$2:$GZ$2000,0,MATCH("row_id",Enrichment!$A$1:$GZ$1,0)),0),MATCH("backup_work_email",Enrichment!$A$1:$GZ$1,0))&amp;"",""))</f>
        <v/>
      </c>
      <c r="BR910" s="0" t="str">
        <f aca="false">IF($A910="","",IF(BQ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EQ910" s="0" t="str">
        <f aca="false">IF($A910="","",IF(AH910="exact",10,IF(AH910="adjacent",5,0)))</f>
        <v/>
      </c>
      <c r="ER910" s="0" t="str">
        <f aca="false">IF($A910="","",IF(R910="Y",15,0))</f>
        <v/>
      </c>
      <c r="FS910" s="0" t="str">
        <f aca="false">IF($A910="","",IF(ISNUMBER(MATCH(U910,{"queued","contacted","replied","call_booked","call_done","yes_in_principle","materials_sent"},0)),"Y","N"))</f>
        <v/>
      </c>
      <c r="FT910" s="0" t="str">
        <f aca="false">IF($A910="","",IF(OR(T910="Y",U910="do_not_contact",AS910&amp;""&lt;&gt;""),"Y","N"))</f>
        <v/>
      </c>
      <c r="FU910" s="0" t="str">
        <f aca="false">IF($A910="","",IF(AP910&amp;""&lt;&gt;"",AP910&amp;"",$A910))</f>
        <v/>
      </c>
      <c r="FV910" s="0" t="str">
        <f aca="false">IF($A910="","",IF(COUNTIFS($FU$2:$FU$1000,FU910,$FS$2:$FS$1000,"Y")+COUNTIFS($FU$2:$FU$1000,FU910,$FT$2:$FT$1000,"Y")&gt;0,"Y","N"))</f>
        <v/>
      </c>
      <c r="FW910" s="0" t="str">
        <f aca="false">IF($A910="","",IF(AND(U910="new",T910="N",FT910="N",AT910="Y",FV910="N"),"Y","N"))</f>
        <v/>
      </c>
      <c r="FX910" s="0" t="str">
        <f aca="false">IF($A910="","",IF(FW910&lt;&gt;"Y","N",IF(COUNTIFS($FU$2:$FU$1000,FU910,$FW$2:$FW$1000,"Y",$J$2:$J$1000,"&gt;"&amp;J910)+COUNTIFS($FU$2:$FU$1000,FU910,$FW$2:$FW$1000,"Y",$J$2:$J$1000,J910,$GD$2:$GD$1000,"&lt;"&amp;GD910)=0,"Y","N")))</f>
        <v/>
      </c>
      <c r="FY910" s="0" t="str">
        <f aca="false">IF($A910="","",IF(AND(FW910="Y",FX910="Y",Y910&amp;""&lt;&gt;""),IF(Y910&lt;=10,"Y","N"),"N"))</f>
        <v/>
      </c>
      <c r="FZ910" s="0" t="str">
        <f aca="false">IF(FY910="Y",Y910,"")</f>
        <v/>
      </c>
      <c r="GA910" s="0" t="str">
        <f aca="false">IF($A910="","",IF(AND(I910="walk-in",CN910="pass",U910="new",FT910="N",FV910="N",AQ910&lt;&gt;"Y"),"Y","N"))</f>
        <v/>
      </c>
      <c r="GB910" s="0" t="str">
        <f aca="false">IF(GA910&lt;&gt;"Y","",IF(COUNTIFS($GA$2:$GA$1000,"Y",$J$2:$J$1000,"&gt;"&amp;J910)+COUNTIFS($GA$2:$GA$1000,"Y",$J$2:$J$1000,J910,$GD$2:$GD$1000,"&lt;"&amp;GD910)+1&lt;=25,COUNTIFS($GA$2:$GA$1000,"Y",$J$2:$J$1000,"&gt;"&amp;J910)+COUNTIFS($GA$2:$GA$1000,"Y",$J$2:$J$1000,J910,$GD$2:$GD$1000,"&lt;"&amp;GD910)+1,""))</f>
        <v/>
      </c>
      <c r="GC910" s="0" t="str">
        <f aca="false">IF(AND(_xlfn.ISFORMULA(C910),_xlfn.ISFORMULA(J910)),"Y","N")</f>
        <v>Y</v>
      </c>
      <c r="GD910" s="0" t="n">
        <f aca="false">ROW()-1</f>
        <v>909</v>
      </c>
    </row>
    <row r="911" customFormat="false" ht="15" hidden="false" customHeight="false" outlineLevel="0" collapsed="false">
      <c r="C911" s="0" t="str">
        <f aca="false">IF($A911="","",IF(AW911="Y",BM911&amp;"",AY911&amp;""))</f>
        <v/>
      </c>
      <c r="D911" s="0" t="str">
        <f aca="false">IF($A911="","",IF(AW911="Y",BN911&amp;"",AZ911&amp;""))</f>
        <v/>
      </c>
      <c r="E911" s="0" t="str">
        <f aca="false">IF($A911="","",IF(AW911="Y",BO911&amp;"",BA911&amp;""))</f>
        <v/>
      </c>
      <c r="F911" s="0" t="str">
        <f aca="false">IF($A911="","",IF(AW911="Y",BP911&amp;"",BB911&amp;""))</f>
        <v/>
      </c>
      <c r="G911" s="0" t="str">
        <f aca="false">IF($A911="","",IF(AW911="Y",BQ911&amp;"",BC911&amp;""))</f>
        <v/>
      </c>
      <c r="H911" s="0" t="str">
        <f aca="false">IF($A911="","",IF(AW911="Y",BR911&amp;"",BD911&amp;""))</f>
        <v/>
      </c>
      <c r="I911" s="0" t="str">
        <f aca="false">IF($A911="","",IF(R911="Y","warm-intro",IF(H911="verified","email",IF(C911&lt;&gt;"","linkedin",CB911&amp;""))))</f>
        <v/>
      </c>
      <c r="J911" s="0" t="str">
        <f aca="false">IF($A911="","",IF(CN911="pass",ROUND(N(EM911)+N(EN911)+N(EO911)+N(EP911)+N(EQ911)+N(ER911),1),0))</f>
        <v/>
      </c>
      <c r="K911" s="0" t="str">
        <f aca="false">IF($A911="","",IF(CN911&lt;&gt;"pass",CA911&amp;"",CA911&amp;"; "&amp;IF(AW911="Y",BZ911&amp;"",BL911&amp;"")&amp;IF(R911="Y","; known to the founder (+15)","")&amp;"."))</f>
        <v/>
      </c>
      <c r="R911" s="5"/>
      <c r="U911" s="5"/>
      <c r="Y911" s="0" t="str">
        <f aca="false">IF(FX911&lt;&gt;"Y","",COUNTIFS($FX$2:$FX$1000,"Y",$J$2:$J$1000,"&gt;"&amp;J911)+COUNTIFS($FX$2:$FX$1000,"Y",$J$2:$J$1000,J911,$GD$2:$GD$1000,"&lt;"&amp;GD911)+1)</f>
        <v/>
      </c>
      <c r="AB911" s="0" t="str">
        <f aca="false">IF($A911="","",IF(AW911="Y",BY911&amp;"",BK911&amp;""))</f>
        <v/>
      </c>
      <c r="AC911" s="0" t="str">
        <f aca="false">IF($A911="","",IF(AW911="Y",BS911&amp;"",BE911&amp;""))</f>
        <v/>
      </c>
      <c r="AD911" s="0" t="str">
        <f aca="false">IF($A911="","",IF(AW911="Y",BT911&amp;"",BF911&amp;""))</f>
        <v/>
      </c>
      <c r="AE911" s="0" t="str">
        <f aca="false">IF($A911="","",IF(AW911="Y",BU911&amp;"",BG911&amp;""))</f>
        <v/>
      </c>
      <c r="AF911" s="0" t="str">
        <f aca="false">IF($A911="","",IF(AW911="Y",BV911&amp;"",BH911&amp;""))</f>
        <v/>
      </c>
      <c r="AG911" s="0" t="str">
        <f aca="false">IF($A911="","",IF(AW911="Y",BW911&amp;"",BI911&amp;""))</f>
        <v/>
      </c>
      <c r="AH911" s="0" t="str">
        <f aca="false">IF($A911="","",IF(AW911="Y",BX911&amp;"",BJ911&amp;""))</f>
        <v/>
      </c>
      <c r="AQ911" s="5"/>
      <c r="AT911" s="0" t="str">
        <f aca="false">IF($A911="","",IF(AND(CN911="pass",AQ911&lt;&gt;"Y",C911&lt;&gt;"",OR(AX911&lt;&gt;"Y",AV911="Y")),"Y","N"))</f>
        <v/>
      </c>
      <c r="AU911" s="0" t="str">
        <f aca="false">IF($A911="","",_xlfn.TEXTJOIN("; ",TRUE(),IF(CN911&lt;&gt;"pass","gated out",""),IF(AQ911="Y","on hold: "&amp;AR911,""),IF(C911="","no contact named on an opened page",""),IF(AND(AX911="Y",AV911&lt;&gt;"Y"),"Tuesday estimate band "&amp;L911&amp;": founder's call","")))</f>
        <v/>
      </c>
      <c r="BC911" s="0" t="str">
        <f aca="false">IF($A911="","",IFERROR(INDEX(Enrichment!$A$2:$GZ$2000,MATCH($A911,INDEX(Enrichment!$A$2:$GZ$2000,0,MATCH("row_id",Enrichment!$A$1:$GZ$1,0)),0),MATCH("work_email",Enrichment!$A$1:$GZ$1,0))&amp;"",""))</f>
        <v/>
      </c>
      <c r="BD911" s="0" t="str">
        <f aca="false">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Q911" s="0" t="str">
        <f aca="false">IF($A911="","",IFERROR(INDEX(Enrichment!$A$2:$GZ$2000,MATCH($A911,INDEX(Enrichment!$A$2:$GZ$2000,0,MATCH("row_id",Enrichment!$A$1:$GZ$1,0)),0),MATCH("backup_work_email",Enrichment!$A$1:$GZ$1,0))&amp;"",""))</f>
        <v/>
      </c>
      <c r="BR911" s="0" t="str">
        <f aca="false">IF($A911="","",IF(BQ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EQ911" s="0" t="str">
        <f aca="false">IF($A911="","",IF(AH911="exact",10,IF(AH911="adjacent",5,0)))</f>
        <v/>
      </c>
      <c r="ER911" s="0" t="str">
        <f aca="false">IF($A911="","",IF(R911="Y",15,0))</f>
        <v/>
      </c>
      <c r="FS911" s="0" t="str">
        <f aca="false">IF($A911="","",IF(ISNUMBER(MATCH(U911,{"queued","contacted","replied","call_booked","call_done","yes_in_principle","materials_sent"},0)),"Y","N"))</f>
        <v/>
      </c>
      <c r="FT911" s="0" t="str">
        <f aca="false">IF($A911="","",IF(OR(T911="Y",U911="do_not_contact",AS911&amp;""&lt;&gt;""),"Y","N"))</f>
        <v/>
      </c>
      <c r="FU911" s="0" t="str">
        <f aca="false">IF($A911="","",IF(AP911&amp;""&lt;&gt;"",AP911&amp;"",$A911))</f>
        <v/>
      </c>
      <c r="FV911" s="0" t="str">
        <f aca="false">IF($A911="","",IF(COUNTIFS($FU$2:$FU$1000,FU911,$FS$2:$FS$1000,"Y")+COUNTIFS($FU$2:$FU$1000,FU911,$FT$2:$FT$1000,"Y")&gt;0,"Y","N"))</f>
        <v/>
      </c>
      <c r="FW911" s="0" t="str">
        <f aca="false">IF($A911="","",IF(AND(U911="new",T911="N",FT911="N",AT911="Y",FV911="N"),"Y","N"))</f>
        <v/>
      </c>
      <c r="FX911" s="0" t="str">
        <f aca="false">IF($A911="","",IF(FW911&lt;&gt;"Y","N",IF(COUNTIFS($FU$2:$FU$1000,FU911,$FW$2:$FW$1000,"Y",$J$2:$J$1000,"&gt;"&amp;J911)+COUNTIFS($FU$2:$FU$1000,FU911,$FW$2:$FW$1000,"Y",$J$2:$J$1000,J911,$GD$2:$GD$1000,"&lt;"&amp;GD911)=0,"Y","N")))</f>
        <v/>
      </c>
      <c r="FY911" s="0" t="str">
        <f aca="false">IF($A911="","",IF(AND(FW911="Y",FX911="Y",Y911&amp;""&lt;&gt;""),IF(Y911&lt;=10,"Y","N"),"N"))</f>
        <v/>
      </c>
      <c r="FZ911" s="0" t="str">
        <f aca="false">IF(FY911="Y",Y911,"")</f>
        <v/>
      </c>
      <c r="GA911" s="0" t="str">
        <f aca="false">IF($A911="","",IF(AND(I911="walk-in",CN911="pass",U911="new",FT911="N",FV911="N",AQ911&lt;&gt;"Y"),"Y","N"))</f>
        <v/>
      </c>
      <c r="GB911" s="0" t="str">
        <f aca="false">IF(GA911&lt;&gt;"Y","",IF(COUNTIFS($GA$2:$GA$1000,"Y",$J$2:$J$1000,"&gt;"&amp;J911)+COUNTIFS($GA$2:$GA$1000,"Y",$J$2:$J$1000,J911,$GD$2:$GD$1000,"&lt;"&amp;GD911)+1&lt;=25,COUNTIFS($GA$2:$GA$1000,"Y",$J$2:$J$1000,"&gt;"&amp;J911)+COUNTIFS($GA$2:$GA$1000,"Y",$J$2:$J$1000,J911,$GD$2:$GD$1000,"&lt;"&amp;GD911)+1,""))</f>
        <v/>
      </c>
      <c r="GC911" s="0" t="str">
        <f aca="false">IF(AND(_xlfn.ISFORMULA(C911),_xlfn.ISFORMULA(J911)),"Y","N")</f>
        <v>Y</v>
      </c>
      <c r="GD911" s="0" t="n">
        <f aca="false">ROW()-1</f>
        <v>910</v>
      </c>
    </row>
    <row r="912" customFormat="false" ht="15" hidden="false" customHeight="false" outlineLevel="0" collapsed="false">
      <c r="C912" s="0" t="str">
        <f aca="false">IF($A912="","",IF(AW912="Y",BM912&amp;"",AY912&amp;""))</f>
        <v/>
      </c>
      <c r="D912" s="0" t="str">
        <f aca="false">IF($A912="","",IF(AW912="Y",BN912&amp;"",AZ912&amp;""))</f>
        <v/>
      </c>
      <c r="E912" s="0" t="str">
        <f aca="false">IF($A912="","",IF(AW912="Y",BO912&amp;"",BA912&amp;""))</f>
        <v/>
      </c>
      <c r="F912" s="0" t="str">
        <f aca="false">IF($A912="","",IF(AW912="Y",BP912&amp;"",BB912&amp;""))</f>
        <v/>
      </c>
      <c r="G912" s="0" t="str">
        <f aca="false">IF($A912="","",IF(AW912="Y",BQ912&amp;"",BC912&amp;""))</f>
        <v/>
      </c>
      <c r="H912" s="0" t="str">
        <f aca="false">IF($A912="","",IF(AW912="Y",BR912&amp;"",BD912&amp;""))</f>
        <v/>
      </c>
      <c r="I912" s="0" t="str">
        <f aca="false">IF($A912="","",IF(R912="Y","warm-intro",IF(H912="verified","email",IF(C912&lt;&gt;"","linkedin",CB912&amp;""))))</f>
        <v/>
      </c>
      <c r="J912" s="0" t="str">
        <f aca="false">IF($A912="","",IF(CN912="pass",ROUND(N(EM912)+N(EN912)+N(EO912)+N(EP912)+N(EQ912)+N(ER912),1),0))</f>
        <v/>
      </c>
      <c r="K912" s="0" t="str">
        <f aca="false">IF($A912="","",IF(CN912&lt;&gt;"pass",CA912&amp;"",CA912&amp;"; "&amp;IF(AW912="Y",BZ912&amp;"",BL912&amp;"")&amp;IF(R912="Y","; known to the founder (+15)","")&amp;"."))</f>
        <v/>
      </c>
      <c r="R912" s="5"/>
      <c r="U912" s="5"/>
      <c r="Y912" s="0" t="str">
        <f aca="false">IF(FX912&lt;&gt;"Y","",COUNTIFS($FX$2:$FX$1000,"Y",$J$2:$J$1000,"&gt;"&amp;J912)+COUNTIFS($FX$2:$FX$1000,"Y",$J$2:$J$1000,J912,$GD$2:$GD$1000,"&lt;"&amp;GD912)+1)</f>
        <v/>
      </c>
      <c r="AB912" s="0" t="str">
        <f aca="false">IF($A912="","",IF(AW912="Y",BY912&amp;"",BK912&amp;""))</f>
        <v/>
      </c>
      <c r="AC912" s="0" t="str">
        <f aca="false">IF($A912="","",IF(AW912="Y",BS912&amp;"",BE912&amp;""))</f>
        <v/>
      </c>
      <c r="AD912" s="0" t="str">
        <f aca="false">IF($A912="","",IF(AW912="Y",BT912&amp;"",BF912&amp;""))</f>
        <v/>
      </c>
      <c r="AE912" s="0" t="str">
        <f aca="false">IF($A912="","",IF(AW912="Y",BU912&amp;"",BG912&amp;""))</f>
        <v/>
      </c>
      <c r="AF912" s="0" t="str">
        <f aca="false">IF($A912="","",IF(AW912="Y",BV912&amp;"",BH912&amp;""))</f>
        <v/>
      </c>
      <c r="AG912" s="0" t="str">
        <f aca="false">IF($A912="","",IF(AW912="Y",BW912&amp;"",BI912&amp;""))</f>
        <v/>
      </c>
      <c r="AH912" s="0" t="str">
        <f aca="false">IF($A912="","",IF(AW912="Y",BX912&amp;"",BJ912&amp;""))</f>
        <v/>
      </c>
      <c r="AQ912" s="5"/>
      <c r="AT912" s="0" t="str">
        <f aca="false">IF($A912="","",IF(AND(CN912="pass",AQ912&lt;&gt;"Y",C912&lt;&gt;"",OR(AX912&lt;&gt;"Y",AV912="Y")),"Y","N"))</f>
        <v/>
      </c>
      <c r="AU912" s="0" t="str">
        <f aca="false">IF($A912="","",_xlfn.TEXTJOIN("; ",TRUE(),IF(CN912&lt;&gt;"pass","gated out",""),IF(AQ912="Y","on hold: "&amp;AR912,""),IF(C912="","no contact named on an opened page",""),IF(AND(AX912="Y",AV912&lt;&gt;"Y"),"Tuesday estimate band "&amp;L912&amp;": founder's call","")))</f>
        <v/>
      </c>
      <c r="BC912" s="0" t="str">
        <f aca="false">IF($A912="","",IFERROR(INDEX(Enrichment!$A$2:$GZ$2000,MATCH($A912,INDEX(Enrichment!$A$2:$GZ$2000,0,MATCH("row_id",Enrichment!$A$1:$GZ$1,0)),0),MATCH("work_email",Enrichment!$A$1:$GZ$1,0))&amp;"",""))</f>
        <v/>
      </c>
      <c r="BD912" s="0" t="str">
        <f aca="false">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Q912" s="0" t="str">
        <f aca="false">IF($A912="","",IFERROR(INDEX(Enrichment!$A$2:$GZ$2000,MATCH($A912,INDEX(Enrichment!$A$2:$GZ$2000,0,MATCH("row_id",Enrichment!$A$1:$GZ$1,0)),0),MATCH("backup_work_email",Enrichment!$A$1:$GZ$1,0))&amp;"",""))</f>
        <v/>
      </c>
      <c r="BR912" s="0" t="str">
        <f aca="false">IF($A912="","",IF(BQ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EQ912" s="0" t="str">
        <f aca="false">IF($A912="","",IF(AH912="exact",10,IF(AH912="adjacent",5,0)))</f>
        <v/>
      </c>
      <c r="ER912" s="0" t="str">
        <f aca="false">IF($A912="","",IF(R912="Y",15,0))</f>
        <v/>
      </c>
      <c r="FS912" s="0" t="str">
        <f aca="false">IF($A912="","",IF(ISNUMBER(MATCH(U912,{"queued","contacted","replied","call_booked","call_done","yes_in_principle","materials_sent"},0)),"Y","N"))</f>
        <v/>
      </c>
      <c r="FT912" s="0" t="str">
        <f aca="false">IF($A912="","",IF(OR(T912="Y",U912="do_not_contact",AS912&amp;""&lt;&gt;""),"Y","N"))</f>
        <v/>
      </c>
      <c r="FU912" s="0" t="str">
        <f aca="false">IF($A912="","",IF(AP912&amp;""&lt;&gt;"",AP912&amp;"",$A912))</f>
        <v/>
      </c>
      <c r="FV912" s="0" t="str">
        <f aca="false">IF($A912="","",IF(COUNTIFS($FU$2:$FU$1000,FU912,$FS$2:$FS$1000,"Y")+COUNTIFS($FU$2:$FU$1000,FU912,$FT$2:$FT$1000,"Y")&gt;0,"Y","N"))</f>
        <v/>
      </c>
      <c r="FW912" s="0" t="str">
        <f aca="false">IF($A912="","",IF(AND(U912="new",T912="N",FT912="N",AT912="Y",FV912="N"),"Y","N"))</f>
        <v/>
      </c>
      <c r="FX912" s="0" t="str">
        <f aca="false">IF($A912="","",IF(FW912&lt;&gt;"Y","N",IF(COUNTIFS($FU$2:$FU$1000,FU912,$FW$2:$FW$1000,"Y",$J$2:$J$1000,"&gt;"&amp;J912)+COUNTIFS($FU$2:$FU$1000,FU912,$FW$2:$FW$1000,"Y",$J$2:$J$1000,J912,$GD$2:$GD$1000,"&lt;"&amp;GD912)=0,"Y","N")))</f>
        <v/>
      </c>
      <c r="FY912" s="0" t="str">
        <f aca="false">IF($A912="","",IF(AND(FW912="Y",FX912="Y",Y912&amp;""&lt;&gt;""),IF(Y912&lt;=10,"Y","N"),"N"))</f>
        <v/>
      </c>
      <c r="FZ912" s="0" t="str">
        <f aca="false">IF(FY912="Y",Y912,"")</f>
        <v/>
      </c>
      <c r="GA912" s="0" t="str">
        <f aca="false">IF($A912="","",IF(AND(I912="walk-in",CN912="pass",U912="new",FT912="N",FV912="N",AQ912&lt;&gt;"Y"),"Y","N"))</f>
        <v/>
      </c>
      <c r="GB912" s="0" t="str">
        <f aca="false">IF(GA912&lt;&gt;"Y","",IF(COUNTIFS($GA$2:$GA$1000,"Y",$J$2:$J$1000,"&gt;"&amp;J912)+COUNTIFS($GA$2:$GA$1000,"Y",$J$2:$J$1000,J912,$GD$2:$GD$1000,"&lt;"&amp;GD912)+1&lt;=25,COUNTIFS($GA$2:$GA$1000,"Y",$J$2:$J$1000,"&gt;"&amp;J912)+COUNTIFS($GA$2:$GA$1000,"Y",$J$2:$J$1000,J912,$GD$2:$GD$1000,"&lt;"&amp;GD912)+1,""))</f>
        <v/>
      </c>
      <c r="GC912" s="0" t="str">
        <f aca="false">IF(AND(_xlfn.ISFORMULA(C912),_xlfn.ISFORMULA(J912)),"Y","N")</f>
        <v>Y</v>
      </c>
      <c r="GD912" s="0" t="n">
        <f aca="false">ROW()-1</f>
        <v>911</v>
      </c>
    </row>
    <row r="913" customFormat="false" ht="15" hidden="false" customHeight="false" outlineLevel="0" collapsed="false">
      <c r="C913" s="0" t="str">
        <f aca="false">IF($A913="","",IF(AW913="Y",BM913&amp;"",AY913&amp;""))</f>
        <v/>
      </c>
      <c r="D913" s="0" t="str">
        <f aca="false">IF($A913="","",IF(AW913="Y",BN913&amp;"",AZ913&amp;""))</f>
        <v/>
      </c>
      <c r="E913" s="0" t="str">
        <f aca="false">IF($A913="","",IF(AW913="Y",BO913&amp;"",BA913&amp;""))</f>
        <v/>
      </c>
      <c r="F913" s="0" t="str">
        <f aca="false">IF($A913="","",IF(AW913="Y",BP913&amp;"",BB913&amp;""))</f>
        <v/>
      </c>
      <c r="G913" s="0" t="str">
        <f aca="false">IF($A913="","",IF(AW913="Y",BQ913&amp;"",BC913&amp;""))</f>
        <v/>
      </c>
      <c r="H913" s="0" t="str">
        <f aca="false">IF($A913="","",IF(AW913="Y",BR913&amp;"",BD913&amp;""))</f>
        <v/>
      </c>
      <c r="I913" s="0" t="str">
        <f aca="false">IF($A913="","",IF(R913="Y","warm-intro",IF(H913="verified","email",IF(C913&lt;&gt;"","linkedin",CB913&amp;""))))</f>
        <v/>
      </c>
      <c r="J913" s="0" t="str">
        <f aca="false">IF($A913="","",IF(CN913="pass",ROUND(N(EM913)+N(EN913)+N(EO913)+N(EP913)+N(EQ913)+N(ER913),1),0))</f>
        <v/>
      </c>
      <c r="K913" s="0" t="str">
        <f aca="false">IF($A913="","",IF(CN913&lt;&gt;"pass",CA913&amp;"",CA913&amp;"; "&amp;IF(AW913="Y",BZ913&amp;"",BL913&amp;"")&amp;IF(R913="Y","; known to the founder (+15)","")&amp;"."))</f>
        <v/>
      </c>
      <c r="R913" s="5"/>
      <c r="U913" s="5"/>
      <c r="Y913" s="0" t="str">
        <f aca="false">IF(FX913&lt;&gt;"Y","",COUNTIFS($FX$2:$FX$1000,"Y",$J$2:$J$1000,"&gt;"&amp;J913)+COUNTIFS($FX$2:$FX$1000,"Y",$J$2:$J$1000,J913,$GD$2:$GD$1000,"&lt;"&amp;GD913)+1)</f>
        <v/>
      </c>
      <c r="AB913" s="0" t="str">
        <f aca="false">IF($A913="","",IF(AW913="Y",BY913&amp;"",BK913&amp;""))</f>
        <v/>
      </c>
      <c r="AC913" s="0" t="str">
        <f aca="false">IF($A913="","",IF(AW913="Y",BS913&amp;"",BE913&amp;""))</f>
        <v/>
      </c>
      <c r="AD913" s="0" t="str">
        <f aca="false">IF($A913="","",IF(AW913="Y",BT913&amp;"",BF913&amp;""))</f>
        <v/>
      </c>
      <c r="AE913" s="0" t="str">
        <f aca="false">IF($A913="","",IF(AW913="Y",BU913&amp;"",BG913&amp;""))</f>
        <v/>
      </c>
      <c r="AF913" s="0" t="str">
        <f aca="false">IF($A913="","",IF(AW913="Y",BV913&amp;"",BH913&amp;""))</f>
        <v/>
      </c>
      <c r="AG913" s="0" t="str">
        <f aca="false">IF($A913="","",IF(AW913="Y",BW913&amp;"",BI913&amp;""))</f>
        <v/>
      </c>
      <c r="AH913" s="0" t="str">
        <f aca="false">IF($A913="","",IF(AW913="Y",BX913&amp;"",BJ913&amp;""))</f>
        <v/>
      </c>
      <c r="AQ913" s="5"/>
      <c r="AT913" s="0" t="str">
        <f aca="false">IF($A913="","",IF(AND(CN913="pass",AQ913&lt;&gt;"Y",C913&lt;&gt;"",OR(AX913&lt;&gt;"Y",AV913="Y")),"Y","N"))</f>
        <v/>
      </c>
      <c r="AU913" s="0" t="str">
        <f aca="false">IF($A913="","",_xlfn.TEXTJOIN("; ",TRUE(),IF(CN913&lt;&gt;"pass","gated out",""),IF(AQ913="Y","on hold: "&amp;AR913,""),IF(C913="","no contact named on an opened page",""),IF(AND(AX913="Y",AV913&lt;&gt;"Y"),"Tuesday estimate band "&amp;L913&amp;": founder's call","")))</f>
        <v/>
      </c>
      <c r="BC913" s="0" t="str">
        <f aca="false">IF($A913="","",IFERROR(INDEX(Enrichment!$A$2:$GZ$2000,MATCH($A913,INDEX(Enrichment!$A$2:$GZ$2000,0,MATCH("row_id",Enrichment!$A$1:$GZ$1,0)),0),MATCH("work_email",Enrichment!$A$1:$GZ$1,0))&amp;"",""))</f>
        <v/>
      </c>
      <c r="BD913" s="0" t="str">
        <f aca="false">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Q913" s="0" t="str">
        <f aca="false">IF($A913="","",IFERROR(INDEX(Enrichment!$A$2:$GZ$2000,MATCH($A913,INDEX(Enrichment!$A$2:$GZ$2000,0,MATCH("row_id",Enrichment!$A$1:$GZ$1,0)),0),MATCH("backup_work_email",Enrichment!$A$1:$GZ$1,0))&amp;"",""))</f>
        <v/>
      </c>
      <c r="BR913" s="0" t="str">
        <f aca="false">IF($A913="","",IF(BQ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EQ913" s="0" t="str">
        <f aca="false">IF($A913="","",IF(AH913="exact",10,IF(AH913="adjacent",5,0)))</f>
        <v/>
      </c>
      <c r="ER913" s="0" t="str">
        <f aca="false">IF($A913="","",IF(R913="Y",15,0))</f>
        <v/>
      </c>
      <c r="FS913" s="0" t="str">
        <f aca="false">IF($A913="","",IF(ISNUMBER(MATCH(U913,{"queued","contacted","replied","call_booked","call_done","yes_in_principle","materials_sent"},0)),"Y","N"))</f>
        <v/>
      </c>
      <c r="FT913" s="0" t="str">
        <f aca="false">IF($A913="","",IF(OR(T913="Y",U913="do_not_contact",AS913&amp;""&lt;&gt;""),"Y","N"))</f>
        <v/>
      </c>
      <c r="FU913" s="0" t="str">
        <f aca="false">IF($A913="","",IF(AP913&amp;""&lt;&gt;"",AP913&amp;"",$A913))</f>
        <v/>
      </c>
      <c r="FV913" s="0" t="str">
        <f aca="false">IF($A913="","",IF(COUNTIFS($FU$2:$FU$1000,FU913,$FS$2:$FS$1000,"Y")+COUNTIFS($FU$2:$FU$1000,FU913,$FT$2:$FT$1000,"Y")&gt;0,"Y","N"))</f>
        <v/>
      </c>
      <c r="FW913" s="0" t="str">
        <f aca="false">IF($A913="","",IF(AND(U913="new",T913="N",FT913="N",AT913="Y",FV913="N"),"Y","N"))</f>
        <v/>
      </c>
      <c r="FX913" s="0" t="str">
        <f aca="false">IF($A913="","",IF(FW913&lt;&gt;"Y","N",IF(COUNTIFS($FU$2:$FU$1000,FU913,$FW$2:$FW$1000,"Y",$J$2:$J$1000,"&gt;"&amp;J913)+COUNTIFS($FU$2:$FU$1000,FU913,$FW$2:$FW$1000,"Y",$J$2:$J$1000,J913,$GD$2:$GD$1000,"&lt;"&amp;GD913)=0,"Y","N")))</f>
        <v/>
      </c>
      <c r="FY913" s="0" t="str">
        <f aca="false">IF($A913="","",IF(AND(FW913="Y",FX913="Y",Y913&amp;""&lt;&gt;""),IF(Y913&lt;=10,"Y","N"),"N"))</f>
        <v/>
      </c>
      <c r="FZ913" s="0" t="str">
        <f aca="false">IF(FY913="Y",Y913,"")</f>
        <v/>
      </c>
      <c r="GA913" s="0" t="str">
        <f aca="false">IF($A913="","",IF(AND(I913="walk-in",CN913="pass",U913="new",FT913="N",FV913="N",AQ913&lt;&gt;"Y"),"Y","N"))</f>
        <v/>
      </c>
      <c r="GB913" s="0" t="str">
        <f aca="false">IF(GA913&lt;&gt;"Y","",IF(COUNTIFS($GA$2:$GA$1000,"Y",$J$2:$J$1000,"&gt;"&amp;J913)+COUNTIFS($GA$2:$GA$1000,"Y",$J$2:$J$1000,J913,$GD$2:$GD$1000,"&lt;"&amp;GD913)+1&lt;=25,COUNTIFS($GA$2:$GA$1000,"Y",$J$2:$J$1000,"&gt;"&amp;J913)+COUNTIFS($GA$2:$GA$1000,"Y",$J$2:$J$1000,J913,$GD$2:$GD$1000,"&lt;"&amp;GD913)+1,""))</f>
        <v/>
      </c>
      <c r="GC913" s="0" t="str">
        <f aca="false">IF(AND(_xlfn.ISFORMULA(C913),_xlfn.ISFORMULA(J913)),"Y","N")</f>
        <v>Y</v>
      </c>
      <c r="GD913" s="0" t="n">
        <f aca="false">ROW()-1</f>
        <v>912</v>
      </c>
    </row>
    <row r="914" customFormat="false" ht="15" hidden="false" customHeight="false" outlineLevel="0" collapsed="false">
      <c r="C914" s="0" t="str">
        <f aca="false">IF($A914="","",IF(AW914="Y",BM914&amp;"",AY914&amp;""))</f>
        <v/>
      </c>
      <c r="D914" s="0" t="str">
        <f aca="false">IF($A914="","",IF(AW914="Y",BN914&amp;"",AZ914&amp;""))</f>
        <v/>
      </c>
      <c r="E914" s="0" t="str">
        <f aca="false">IF($A914="","",IF(AW914="Y",BO914&amp;"",BA914&amp;""))</f>
        <v/>
      </c>
      <c r="F914" s="0" t="str">
        <f aca="false">IF($A914="","",IF(AW914="Y",BP914&amp;"",BB914&amp;""))</f>
        <v/>
      </c>
      <c r="G914" s="0" t="str">
        <f aca="false">IF($A914="","",IF(AW914="Y",BQ914&amp;"",BC914&amp;""))</f>
        <v/>
      </c>
      <c r="H914" s="0" t="str">
        <f aca="false">IF($A914="","",IF(AW914="Y",BR914&amp;"",BD914&amp;""))</f>
        <v/>
      </c>
      <c r="I914" s="0" t="str">
        <f aca="false">IF($A914="","",IF(R914="Y","warm-intro",IF(H914="verified","email",IF(C914&lt;&gt;"","linkedin",CB914&amp;""))))</f>
        <v/>
      </c>
      <c r="J914" s="0" t="str">
        <f aca="false">IF($A914="","",IF(CN914="pass",ROUND(N(EM914)+N(EN914)+N(EO914)+N(EP914)+N(EQ914)+N(ER914),1),0))</f>
        <v/>
      </c>
      <c r="K914" s="0" t="str">
        <f aca="false">IF($A914="","",IF(CN914&lt;&gt;"pass",CA914&amp;"",CA914&amp;"; "&amp;IF(AW914="Y",BZ914&amp;"",BL914&amp;"")&amp;IF(R914="Y","; known to the founder (+15)","")&amp;"."))</f>
        <v/>
      </c>
      <c r="R914" s="5"/>
      <c r="U914" s="5"/>
      <c r="Y914" s="0" t="str">
        <f aca="false">IF(FX914&lt;&gt;"Y","",COUNTIFS($FX$2:$FX$1000,"Y",$J$2:$J$1000,"&gt;"&amp;J914)+COUNTIFS($FX$2:$FX$1000,"Y",$J$2:$J$1000,J914,$GD$2:$GD$1000,"&lt;"&amp;GD914)+1)</f>
        <v/>
      </c>
      <c r="AB914" s="0" t="str">
        <f aca="false">IF($A914="","",IF(AW914="Y",BY914&amp;"",BK914&amp;""))</f>
        <v/>
      </c>
      <c r="AC914" s="0" t="str">
        <f aca="false">IF($A914="","",IF(AW914="Y",BS914&amp;"",BE914&amp;""))</f>
        <v/>
      </c>
      <c r="AD914" s="0" t="str">
        <f aca="false">IF($A914="","",IF(AW914="Y",BT914&amp;"",BF914&amp;""))</f>
        <v/>
      </c>
      <c r="AE914" s="0" t="str">
        <f aca="false">IF($A914="","",IF(AW914="Y",BU914&amp;"",BG914&amp;""))</f>
        <v/>
      </c>
      <c r="AF914" s="0" t="str">
        <f aca="false">IF($A914="","",IF(AW914="Y",BV914&amp;"",BH914&amp;""))</f>
        <v/>
      </c>
      <c r="AG914" s="0" t="str">
        <f aca="false">IF($A914="","",IF(AW914="Y",BW914&amp;"",BI914&amp;""))</f>
        <v/>
      </c>
      <c r="AH914" s="0" t="str">
        <f aca="false">IF($A914="","",IF(AW914="Y",BX914&amp;"",BJ914&amp;""))</f>
        <v/>
      </c>
      <c r="AQ914" s="5"/>
      <c r="AT914" s="0" t="str">
        <f aca="false">IF($A914="","",IF(AND(CN914="pass",AQ914&lt;&gt;"Y",C914&lt;&gt;"",OR(AX914&lt;&gt;"Y",AV914="Y")),"Y","N"))</f>
        <v/>
      </c>
      <c r="AU914" s="0" t="str">
        <f aca="false">IF($A914="","",_xlfn.TEXTJOIN("; ",TRUE(),IF(CN914&lt;&gt;"pass","gated out",""),IF(AQ914="Y","on hold: "&amp;AR914,""),IF(C914="","no contact named on an opened page",""),IF(AND(AX914="Y",AV914&lt;&gt;"Y"),"Tuesday estimate band "&amp;L914&amp;": founder's call","")))</f>
        <v/>
      </c>
      <c r="BC914" s="0" t="str">
        <f aca="false">IF($A914="","",IFERROR(INDEX(Enrichment!$A$2:$GZ$2000,MATCH($A914,INDEX(Enrichment!$A$2:$GZ$2000,0,MATCH("row_id",Enrichment!$A$1:$GZ$1,0)),0),MATCH("work_email",Enrichment!$A$1:$GZ$1,0))&amp;"",""))</f>
        <v/>
      </c>
      <c r="BD914" s="0" t="str">
        <f aca="false">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Q914" s="0" t="str">
        <f aca="false">IF($A914="","",IFERROR(INDEX(Enrichment!$A$2:$GZ$2000,MATCH($A914,INDEX(Enrichment!$A$2:$GZ$2000,0,MATCH("row_id",Enrichment!$A$1:$GZ$1,0)),0),MATCH("backup_work_email",Enrichment!$A$1:$GZ$1,0))&amp;"",""))</f>
        <v/>
      </c>
      <c r="BR914" s="0" t="str">
        <f aca="false">IF($A914="","",IF(BQ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EQ914" s="0" t="str">
        <f aca="false">IF($A914="","",IF(AH914="exact",10,IF(AH914="adjacent",5,0)))</f>
        <v/>
      </c>
      <c r="ER914" s="0" t="str">
        <f aca="false">IF($A914="","",IF(R914="Y",15,0))</f>
        <v/>
      </c>
      <c r="FS914" s="0" t="str">
        <f aca="false">IF($A914="","",IF(ISNUMBER(MATCH(U914,{"queued","contacted","replied","call_booked","call_done","yes_in_principle","materials_sent"},0)),"Y","N"))</f>
        <v/>
      </c>
      <c r="FT914" s="0" t="str">
        <f aca="false">IF($A914="","",IF(OR(T914="Y",U914="do_not_contact",AS914&amp;""&lt;&gt;""),"Y","N"))</f>
        <v/>
      </c>
      <c r="FU914" s="0" t="str">
        <f aca="false">IF($A914="","",IF(AP914&amp;""&lt;&gt;"",AP914&amp;"",$A914))</f>
        <v/>
      </c>
      <c r="FV914" s="0" t="str">
        <f aca="false">IF($A914="","",IF(COUNTIFS($FU$2:$FU$1000,FU914,$FS$2:$FS$1000,"Y")+COUNTIFS($FU$2:$FU$1000,FU914,$FT$2:$FT$1000,"Y")&gt;0,"Y","N"))</f>
        <v/>
      </c>
      <c r="FW914" s="0" t="str">
        <f aca="false">IF($A914="","",IF(AND(U914="new",T914="N",FT914="N",AT914="Y",FV914="N"),"Y","N"))</f>
        <v/>
      </c>
      <c r="FX914" s="0" t="str">
        <f aca="false">IF($A914="","",IF(FW914&lt;&gt;"Y","N",IF(COUNTIFS($FU$2:$FU$1000,FU914,$FW$2:$FW$1000,"Y",$J$2:$J$1000,"&gt;"&amp;J914)+COUNTIFS($FU$2:$FU$1000,FU914,$FW$2:$FW$1000,"Y",$J$2:$J$1000,J914,$GD$2:$GD$1000,"&lt;"&amp;GD914)=0,"Y","N")))</f>
        <v/>
      </c>
      <c r="FY914" s="0" t="str">
        <f aca="false">IF($A914="","",IF(AND(FW914="Y",FX914="Y",Y914&amp;""&lt;&gt;""),IF(Y914&lt;=10,"Y","N"),"N"))</f>
        <v/>
      </c>
      <c r="FZ914" s="0" t="str">
        <f aca="false">IF(FY914="Y",Y914,"")</f>
        <v/>
      </c>
      <c r="GA914" s="0" t="str">
        <f aca="false">IF($A914="","",IF(AND(I914="walk-in",CN914="pass",U914="new",FT914="N",FV914="N",AQ914&lt;&gt;"Y"),"Y","N"))</f>
        <v/>
      </c>
      <c r="GB914" s="0" t="str">
        <f aca="false">IF(GA914&lt;&gt;"Y","",IF(COUNTIFS($GA$2:$GA$1000,"Y",$J$2:$J$1000,"&gt;"&amp;J914)+COUNTIFS($GA$2:$GA$1000,"Y",$J$2:$J$1000,J914,$GD$2:$GD$1000,"&lt;"&amp;GD914)+1&lt;=25,COUNTIFS($GA$2:$GA$1000,"Y",$J$2:$J$1000,"&gt;"&amp;J914)+COUNTIFS($GA$2:$GA$1000,"Y",$J$2:$J$1000,J914,$GD$2:$GD$1000,"&lt;"&amp;GD914)+1,""))</f>
        <v/>
      </c>
      <c r="GC914" s="0" t="str">
        <f aca="false">IF(AND(_xlfn.ISFORMULA(C914),_xlfn.ISFORMULA(J914)),"Y","N")</f>
        <v>Y</v>
      </c>
      <c r="GD914" s="0" t="n">
        <f aca="false">ROW()-1</f>
        <v>913</v>
      </c>
    </row>
    <row r="915" customFormat="false" ht="15" hidden="false" customHeight="false" outlineLevel="0" collapsed="false">
      <c r="C915" s="0" t="str">
        <f aca="false">IF($A915="","",IF(AW915="Y",BM915&amp;"",AY915&amp;""))</f>
        <v/>
      </c>
      <c r="D915" s="0" t="str">
        <f aca="false">IF($A915="","",IF(AW915="Y",BN915&amp;"",AZ915&amp;""))</f>
        <v/>
      </c>
      <c r="E915" s="0" t="str">
        <f aca="false">IF($A915="","",IF(AW915="Y",BO915&amp;"",BA915&amp;""))</f>
        <v/>
      </c>
      <c r="F915" s="0" t="str">
        <f aca="false">IF($A915="","",IF(AW915="Y",BP915&amp;"",BB915&amp;""))</f>
        <v/>
      </c>
      <c r="G915" s="0" t="str">
        <f aca="false">IF($A915="","",IF(AW915="Y",BQ915&amp;"",BC915&amp;""))</f>
        <v/>
      </c>
      <c r="H915" s="0" t="str">
        <f aca="false">IF($A915="","",IF(AW915="Y",BR915&amp;"",BD915&amp;""))</f>
        <v/>
      </c>
      <c r="I915" s="0" t="str">
        <f aca="false">IF($A915="","",IF(R915="Y","warm-intro",IF(H915="verified","email",IF(C915&lt;&gt;"","linkedin",CB915&amp;""))))</f>
        <v/>
      </c>
      <c r="J915" s="0" t="str">
        <f aca="false">IF($A915="","",IF(CN915="pass",ROUND(N(EM915)+N(EN915)+N(EO915)+N(EP915)+N(EQ915)+N(ER915),1),0))</f>
        <v/>
      </c>
      <c r="K915" s="0" t="str">
        <f aca="false">IF($A915="","",IF(CN915&lt;&gt;"pass",CA915&amp;"",CA915&amp;"; "&amp;IF(AW915="Y",BZ915&amp;"",BL915&amp;"")&amp;IF(R915="Y","; known to the founder (+15)","")&amp;"."))</f>
        <v/>
      </c>
      <c r="R915" s="5"/>
      <c r="U915" s="5"/>
      <c r="Y915" s="0" t="str">
        <f aca="false">IF(FX915&lt;&gt;"Y","",COUNTIFS($FX$2:$FX$1000,"Y",$J$2:$J$1000,"&gt;"&amp;J915)+COUNTIFS($FX$2:$FX$1000,"Y",$J$2:$J$1000,J915,$GD$2:$GD$1000,"&lt;"&amp;GD915)+1)</f>
        <v/>
      </c>
      <c r="AB915" s="0" t="str">
        <f aca="false">IF($A915="","",IF(AW915="Y",BY915&amp;"",BK915&amp;""))</f>
        <v/>
      </c>
      <c r="AC915" s="0" t="str">
        <f aca="false">IF($A915="","",IF(AW915="Y",BS915&amp;"",BE915&amp;""))</f>
        <v/>
      </c>
      <c r="AD915" s="0" t="str">
        <f aca="false">IF($A915="","",IF(AW915="Y",BT915&amp;"",BF915&amp;""))</f>
        <v/>
      </c>
      <c r="AE915" s="0" t="str">
        <f aca="false">IF($A915="","",IF(AW915="Y",BU915&amp;"",BG915&amp;""))</f>
        <v/>
      </c>
      <c r="AF915" s="0" t="str">
        <f aca="false">IF($A915="","",IF(AW915="Y",BV915&amp;"",BH915&amp;""))</f>
        <v/>
      </c>
      <c r="AG915" s="0" t="str">
        <f aca="false">IF($A915="","",IF(AW915="Y",BW915&amp;"",BI915&amp;""))</f>
        <v/>
      </c>
      <c r="AH915" s="0" t="str">
        <f aca="false">IF($A915="","",IF(AW915="Y",BX915&amp;"",BJ915&amp;""))</f>
        <v/>
      </c>
      <c r="AQ915" s="5"/>
      <c r="AT915" s="0" t="str">
        <f aca="false">IF($A915="","",IF(AND(CN915="pass",AQ915&lt;&gt;"Y",C915&lt;&gt;"",OR(AX915&lt;&gt;"Y",AV915="Y")),"Y","N"))</f>
        <v/>
      </c>
      <c r="AU915" s="0" t="str">
        <f aca="false">IF($A915="","",_xlfn.TEXTJOIN("; ",TRUE(),IF(CN915&lt;&gt;"pass","gated out",""),IF(AQ915="Y","on hold: "&amp;AR915,""),IF(C915="","no contact named on an opened page",""),IF(AND(AX915="Y",AV915&lt;&gt;"Y"),"Tuesday estimate band "&amp;L915&amp;": founder's call","")))</f>
        <v/>
      </c>
      <c r="BC915" s="0" t="str">
        <f aca="false">IF($A915="","",IFERROR(INDEX(Enrichment!$A$2:$GZ$2000,MATCH($A915,INDEX(Enrichment!$A$2:$GZ$2000,0,MATCH("row_id",Enrichment!$A$1:$GZ$1,0)),0),MATCH("work_email",Enrichment!$A$1:$GZ$1,0))&amp;"",""))</f>
        <v/>
      </c>
      <c r="BD915" s="0" t="str">
        <f aca="false">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Q915" s="0" t="str">
        <f aca="false">IF($A915="","",IFERROR(INDEX(Enrichment!$A$2:$GZ$2000,MATCH($A915,INDEX(Enrichment!$A$2:$GZ$2000,0,MATCH("row_id",Enrichment!$A$1:$GZ$1,0)),0),MATCH("backup_work_email",Enrichment!$A$1:$GZ$1,0))&amp;"",""))</f>
        <v/>
      </c>
      <c r="BR915" s="0" t="str">
        <f aca="false">IF($A915="","",IF(BQ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EQ915" s="0" t="str">
        <f aca="false">IF($A915="","",IF(AH915="exact",10,IF(AH915="adjacent",5,0)))</f>
        <v/>
      </c>
      <c r="ER915" s="0" t="str">
        <f aca="false">IF($A915="","",IF(R915="Y",15,0))</f>
        <v/>
      </c>
      <c r="FS915" s="0" t="str">
        <f aca="false">IF($A915="","",IF(ISNUMBER(MATCH(U915,{"queued","contacted","replied","call_booked","call_done","yes_in_principle","materials_sent"},0)),"Y","N"))</f>
        <v/>
      </c>
      <c r="FT915" s="0" t="str">
        <f aca="false">IF($A915="","",IF(OR(T915="Y",U915="do_not_contact",AS915&amp;""&lt;&gt;""),"Y","N"))</f>
        <v/>
      </c>
      <c r="FU915" s="0" t="str">
        <f aca="false">IF($A915="","",IF(AP915&amp;""&lt;&gt;"",AP915&amp;"",$A915))</f>
        <v/>
      </c>
      <c r="FV915" s="0" t="str">
        <f aca="false">IF($A915="","",IF(COUNTIFS($FU$2:$FU$1000,FU915,$FS$2:$FS$1000,"Y")+COUNTIFS($FU$2:$FU$1000,FU915,$FT$2:$FT$1000,"Y")&gt;0,"Y","N"))</f>
        <v/>
      </c>
      <c r="FW915" s="0" t="str">
        <f aca="false">IF($A915="","",IF(AND(U915="new",T915="N",FT915="N",AT915="Y",FV915="N"),"Y","N"))</f>
        <v/>
      </c>
      <c r="FX915" s="0" t="str">
        <f aca="false">IF($A915="","",IF(FW915&lt;&gt;"Y","N",IF(COUNTIFS($FU$2:$FU$1000,FU915,$FW$2:$FW$1000,"Y",$J$2:$J$1000,"&gt;"&amp;J915)+COUNTIFS($FU$2:$FU$1000,FU915,$FW$2:$FW$1000,"Y",$J$2:$J$1000,J915,$GD$2:$GD$1000,"&lt;"&amp;GD915)=0,"Y","N")))</f>
        <v/>
      </c>
      <c r="FY915" s="0" t="str">
        <f aca="false">IF($A915="","",IF(AND(FW915="Y",FX915="Y",Y915&amp;""&lt;&gt;""),IF(Y915&lt;=10,"Y","N"),"N"))</f>
        <v/>
      </c>
      <c r="FZ915" s="0" t="str">
        <f aca="false">IF(FY915="Y",Y915,"")</f>
        <v/>
      </c>
      <c r="GA915" s="0" t="str">
        <f aca="false">IF($A915="","",IF(AND(I915="walk-in",CN915="pass",U915="new",FT915="N",FV915="N",AQ915&lt;&gt;"Y"),"Y","N"))</f>
        <v/>
      </c>
      <c r="GB915" s="0" t="str">
        <f aca="false">IF(GA915&lt;&gt;"Y","",IF(COUNTIFS($GA$2:$GA$1000,"Y",$J$2:$J$1000,"&gt;"&amp;J915)+COUNTIFS($GA$2:$GA$1000,"Y",$J$2:$J$1000,J915,$GD$2:$GD$1000,"&lt;"&amp;GD915)+1&lt;=25,COUNTIFS($GA$2:$GA$1000,"Y",$J$2:$J$1000,"&gt;"&amp;J915)+COUNTIFS($GA$2:$GA$1000,"Y",$J$2:$J$1000,J915,$GD$2:$GD$1000,"&lt;"&amp;GD915)+1,""))</f>
        <v/>
      </c>
      <c r="GC915" s="0" t="str">
        <f aca="false">IF(AND(_xlfn.ISFORMULA(C915),_xlfn.ISFORMULA(J915)),"Y","N")</f>
        <v>Y</v>
      </c>
      <c r="GD915" s="0" t="n">
        <f aca="false">ROW()-1</f>
        <v>914</v>
      </c>
    </row>
    <row r="916" customFormat="false" ht="15" hidden="false" customHeight="false" outlineLevel="0" collapsed="false">
      <c r="C916" s="0" t="str">
        <f aca="false">IF($A916="","",IF(AW916="Y",BM916&amp;"",AY916&amp;""))</f>
        <v/>
      </c>
      <c r="D916" s="0" t="str">
        <f aca="false">IF($A916="","",IF(AW916="Y",BN916&amp;"",AZ916&amp;""))</f>
        <v/>
      </c>
      <c r="E916" s="0" t="str">
        <f aca="false">IF($A916="","",IF(AW916="Y",BO916&amp;"",BA916&amp;""))</f>
        <v/>
      </c>
      <c r="F916" s="0" t="str">
        <f aca="false">IF($A916="","",IF(AW916="Y",BP916&amp;"",BB916&amp;""))</f>
        <v/>
      </c>
      <c r="G916" s="0" t="str">
        <f aca="false">IF($A916="","",IF(AW916="Y",BQ916&amp;"",BC916&amp;""))</f>
        <v/>
      </c>
      <c r="H916" s="0" t="str">
        <f aca="false">IF($A916="","",IF(AW916="Y",BR916&amp;"",BD916&amp;""))</f>
        <v/>
      </c>
      <c r="I916" s="0" t="str">
        <f aca="false">IF($A916="","",IF(R916="Y","warm-intro",IF(H916="verified","email",IF(C916&lt;&gt;"","linkedin",CB916&amp;""))))</f>
        <v/>
      </c>
      <c r="J916" s="0" t="str">
        <f aca="false">IF($A916="","",IF(CN916="pass",ROUND(N(EM916)+N(EN916)+N(EO916)+N(EP916)+N(EQ916)+N(ER916),1),0))</f>
        <v/>
      </c>
      <c r="K916" s="0" t="str">
        <f aca="false">IF($A916="","",IF(CN916&lt;&gt;"pass",CA916&amp;"",CA916&amp;"; "&amp;IF(AW916="Y",BZ916&amp;"",BL916&amp;"")&amp;IF(R916="Y","; known to the founder (+15)","")&amp;"."))</f>
        <v/>
      </c>
      <c r="R916" s="5"/>
      <c r="U916" s="5"/>
      <c r="Y916" s="0" t="str">
        <f aca="false">IF(FX916&lt;&gt;"Y","",COUNTIFS($FX$2:$FX$1000,"Y",$J$2:$J$1000,"&gt;"&amp;J916)+COUNTIFS($FX$2:$FX$1000,"Y",$J$2:$J$1000,J916,$GD$2:$GD$1000,"&lt;"&amp;GD916)+1)</f>
        <v/>
      </c>
      <c r="AB916" s="0" t="str">
        <f aca="false">IF($A916="","",IF(AW916="Y",BY916&amp;"",BK916&amp;""))</f>
        <v/>
      </c>
      <c r="AC916" s="0" t="str">
        <f aca="false">IF($A916="","",IF(AW916="Y",BS916&amp;"",BE916&amp;""))</f>
        <v/>
      </c>
      <c r="AD916" s="0" t="str">
        <f aca="false">IF($A916="","",IF(AW916="Y",BT916&amp;"",BF916&amp;""))</f>
        <v/>
      </c>
      <c r="AE916" s="0" t="str">
        <f aca="false">IF($A916="","",IF(AW916="Y",BU916&amp;"",BG916&amp;""))</f>
        <v/>
      </c>
      <c r="AF916" s="0" t="str">
        <f aca="false">IF($A916="","",IF(AW916="Y",BV916&amp;"",BH916&amp;""))</f>
        <v/>
      </c>
      <c r="AG916" s="0" t="str">
        <f aca="false">IF($A916="","",IF(AW916="Y",BW916&amp;"",BI916&amp;""))</f>
        <v/>
      </c>
      <c r="AH916" s="0" t="str">
        <f aca="false">IF($A916="","",IF(AW916="Y",BX916&amp;"",BJ916&amp;""))</f>
        <v/>
      </c>
      <c r="AQ916" s="5"/>
      <c r="AT916" s="0" t="str">
        <f aca="false">IF($A916="","",IF(AND(CN916="pass",AQ916&lt;&gt;"Y",C916&lt;&gt;"",OR(AX916&lt;&gt;"Y",AV916="Y")),"Y","N"))</f>
        <v/>
      </c>
      <c r="AU916" s="0" t="str">
        <f aca="false">IF($A916="","",_xlfn.TEXTJOIN("; ",TRUE(),IF(CN916&lt;&gt;"pass","gated out",""),IF(AQ916="Y","on hold: "&amp;AR916,""),IF(C916="","no contact named on an opened page",""),IF(AND(AX916="Y",AV916&lt;&gt;"Y"),"Tuesday estimate band "&amp;L916&amp;": founder's call","")))</f>
        <v/>
      </c>
      <c r="BC916" s="0" t="str">
        <f aca="false">IF($A916="","",IFERROR(INDEX(Enrichment!$A$2:$GZ$2000,MATCH($A916,INDEX(Enrichment!$A$2:$GZ$2000,0,MATCH("row_id",Enrichment!$A$1:$GZ$1,0)),0),MATCH("work_email",Enrichment!$A$1:$GZ$1,0))&amp;"",""))</f>
        <v/>
      </c>
      <c r="BD916" s="0" t="str">
        <f aca="false">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Q916" s="0" t="str">
        <f aca="false">IF($A916="","",IFERROR(INDEX(Enrichment!$A$2:$GZ$2000,MATCH($A916,INDEX(Enrichment!$A$2:$GZ$2000,0,MATCH("row_id",Enrichment!$A$1:$GZ$1,0)),0),MATCH("backup_work_email",Enrichment!$A$1:$GZ$1,0))&amp;"",""))</f>
        <v/>
      </c>
      <c r="BR916" s="0" t="str">
        <f aca="false">IF($A916="","",IF(BQ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EQ916" s="0" t="str">
        <f aca="false">IF($A916="","",IF(AH916="exact",10,IF(AH916="adjacent",5,0)))</f>
        <v/>
      </c>
      <c r="ER916" s="0" t="str">
        <f aca="false">IF($A916="","",IF(R916="Y",15,0))</f>
        <v/>
      </c>
      <c r="FS916" s="0" t="str">
        <f aca="false">IF($A916="","",IF(ISNUMBER(MATCH(U916,{"queued","contacted","replied","call_booked","call_done","yes_in_principle","materials_sent"},0)),"Y","N"))</f>
        <v/>
      </c>
      <c r="FT916" s="0" t="str">
        <f aca="false">IF($A916="","",IF(OR(T916="Y",U916="do_not_contact",AS916&amp;""&lt;&gt;""),"Y","N"))</f>
        <v/>
      </c>
      <c r="FU916" s="0" t="str">
        <f aca="false">IF($A916="","",IF(AP916&amp;""&lt;&gt;"",AP916&amp;"",$A916))</f>
        <v/>
      </c>
      <c r="FV916" s="0" t="str">
        <f aca="false">IF($A916="","",IF(COUNTIFS($FU$2:$FU$1000,FU916,$FS$2:$FS$1000,"Y")+COUNTIFS($FU$2:$FU$1000,FU916,$FT$2:$FT$1000,"Y")&gt;0,"Y","N"))</f>
        <v/>
      </c>
      <c r="FW916" s="0" t="str">
        <f aca="false">IF($A916="","",IF(AND(U916="new",T916="N",FT916="N",AT916="Y",FV916="N"),"Y","N"))</f>
        <v/>
      </c>
      <c r="FX916" s="0" t="str">
        <f aca="false">IF($A916="","",IF(FW916&lt;&gt;"Y","N",IF(COUNTIFS($FU$2:$FU$1000,FU916,$FW$2:$FW$1000,"Y",$J$2:$J$1000,"&gt;"&amp;J916)+COUNTIFS($FU$2:$FU$1000,FU916,$FW$2:$FW$1000,"Y",$J$2:$J$1000,J916,$GD$2:$GD$1000,"&lt;"&amp;GD916)=0,"Y","N")))</f>
        <v/>
      </c>
      <c r="FY916" s="0" t="str">
        <f aca="false">IF($A916="","",IF(AND(FW916="Y",FX916="Y",Y916&amp;""&lt;&gt;""),IF(Y916&lt;=10,"Y","N"),"N"))</f>
        <v/>
      </c>
      <c r="FZ916" s="0" t="str">
        <f aca="false">IF(FY916="Y",Y916,"")</f>
        <v/>
      </c>
      <c r="GA916" s="0" t="str">
        <f aca="false">IF($A916="","",IF(AND(I916="walk-in",CN916="pass",U916="new",FT916="N",FV916="N",AQ916&lt;&gt;"Y"),"Y","N"))</f>
        <v/>
      </c>
      <c r="GB916" s="0" t="str">
        <f aca="false">IF(GA916&lt;&gt;"Y","",IF(COUNTIFS($GA$2:$GA$1000,"Y",$J$2:$J$1000,"&gt;"&amp;J916)+COUNTIFS($GA$2:$GA$1000,"Y",$J$2:$J$1000,J916,$GD$2:$GD$1000,"&lt;"&amp;GD916)+1&lt;=25,COUNTIFS($GA$2:$GA$1000,"Y",$J$2:$J$1000,"&gt;"&amp;J916)+COUNTIFS($GA$2:$GA$1000,"Y",$J$2:$J$1000,J916,$GD$2:$GD$1000,"&lt;"&amp;GD916)+1,""))</f>
        <v/>
      </c>
      <c r="GC916" s="0" t="str">
        <f aca="false">IF(AND(_xlfn.ISFORMULA(C916),_xlfn.ISFORMULA(J916)),"Y","N")</f>
        <v>Y</v>
      </c>
      <c r="GD916" s="0" t="n">
        <f aca="false">ROW()-1</f>
        <v>915</v>
      </c>
    </row>
    <row r="917" customFormat="false" ht="15" hidden="false" customHeight="false" outlineLevel="0" collapsed="false">
      <c r="C917" s="0" t="str">
        <f aca="false">IF($A917="","",IF(AW917="Y",BM917&amp;"",AY917&amp;""))</f>
        <v/>
      </c>
      <c r="D917" s="0" t="str">
        <f aca="false">IF($A917="","",IF(AW917="Y",BN917&amp;"",AZ917&amp;""))</f>
        <v/>
      </c>
      <c r="E917" s="0" t="str">
        <f aca="false">IF($A917="","",IF(AW917="Y",BO917&amp;"",BA917&amp;""))</f>
        <v/>
      </c>
      <c r="F917" s="0" t="str">
        <f aca="false">IF($A917="","",IF(AW917="Y",BP917&amp;"",BB917&amp;""))</f>
        <v/>
      </c>
      <c r="G917" s="0" t="str">
        <f aca="false">IF($A917="","",IF(AW917="Y",BQ917&amp;"",BC917&amp;""))</f>
        <v/>
      </c>
      <c r="H917" s="0" t="str">
        <f aca="false">IF($A917="","",IF(AW917="Y",BR917&amp;"",BD917&amp;""))</f>
        <v/>
      </c>
      <c r="I917" s="0" t="str">
        <f aca="false">IF($A917="","",IF(R917="Y","warm-intro",IF(H917="verified","email",IF(C917&lt;&gt;"","linkedin",CB917&amp;""))))</f>
        <v/>
      </c>
      <c r="J917" s="0" t="str">
        <f aca="false">IF($A917="","",IF(CN917="pass",ROUND(N(EM917)+N(EN917)+N(EO917)+N(EP917)+N(EQ917)+N(ER917),1),0))</f>
        <v/>
      </c>
      <c r="K917" s="0" t="str">
        <f aca="false">IF($A917="","",IF(CN917&lt;&gt;"pass",CA917&amp;"",CA917&amp;"; "&amp;IF(AW917="Y",BZ917&amp;"",BL917&amp;"")&amp;IF(R917="Y","; known to the founder (+15)","")&amp;"."))</f>
        <v/>
      </c>
      <c r="R917" s="5"/>
      <c r="U917" s="5"/>
      <c r="Y917" s="0" t="str">
        <f aca="false">IF(FX917&lt;&gt;"Y","",COUNTIFS($FX$2:$FX$1000,"Y",$J$2:$J$1000,"&gt;"&amp;J917)+COUNTIFS($FX$2:$FX$1000,"Y",$J$2:$J$1000,J917,$GD$2:$GD$1000,"&lt;"&amp;GD917)+1)</f>
        <v/>
      </c>
      <c r="AB917" s="0" t="str">
        <f aca="false">IF($A917="","",IF(AW917="Y",BY917&amp;"",BK917&amp;""))</f>
        <v/>
      </c>
      <c r="AC917" s="0" t="str">
        <f aca="false">IF($A917="","",IF(AW917="Y",BS917&amp;"",BE917&amp;""))</f>
        <v/>
      </c>
      <c r="AD917" s="0" t="str">
        <f aca="false">IF($A917="","",IF(AW917="Y",BT917&amp;"",BF917&amp;""))</f>
        <v/>
      </c>
      <c r="AE917" s="0" t="str">
        <f aca="false">IF($A917="","",IF(AW917="Y",BU917&amp;"",BG917&amp;""))</f>
        <v/>
      </c>
      <c r="AF917" s="0" t="str">
        <f aca="false">IF($A917="","",IF(AW917="Y",BV917&amp;"",BH917&amp;""))</f>
        <v/>
      </c>
      <c r="AG917" s="0" t="str">
        <f aca="false">IF($A917="","",IF(AW917="Y",BW917&amp;"",BI917&amp;""))</f>
        <v/>
      </c>
      <c r="AH917" s="0" t="str">
        <f aca="false">IF($A917="","",IF(AW917="Y",BX917&amp;"",BJ917&amp;""))</f>
        <v/>
      </c>
      <c r="AQ917" s="5"/>
      <c r="AT917" s="0" t="str">
        <f aca="false">IF($A917="","",IF(AND(CN917="pass",AQ917&lt;&gt;"Y",C917&lt;&gt;"",OR(AX917&lt;&gt;"Y",AV917="Y")),"Y","N"))</f>
        <v/>
      </c>
      <c r="AU917" s="0" t="str">
        <f aca="false">IF($A917="","",_xlfn.TEXTJOIN("; ",TRUE(),IF(CN917&lt;&gt;"pass","gated out",""),IF(AQ917="Y","on hold: "&amp;AR917,""),IF(C917="","no contact named on an opened page",""),IF(AND(AX917="Y",AV917&lt;&gt;"Y"),"Tuesday estimate band "&amp;L917&amp;": founder's call","")))</f>
        <v/>
      </c>
      <c r="BC917" s="0" t="str">
        <f aca="false">IF($A917="","",IFERROR(INDEX(Enrichment!$A$2:$GZ$2000,MATCH($A917,INDEX(Enrichment!$A$2:$GZ$2000,0,MATCH("row_id",Enrichment!$A$1:$GZ$1,0)),0),MATCH("work_email",Enrichment!$A$1:$GZ$1,0))&amp;"",""))</f>
        <v/>
      </c>
      <c r="BD917" s="0" t="str">
        <f aca="false">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Q917" s="0" t="str">
        <f aca="false">IF($A917="","",IFERROR(INDEX(Enrichment!$A$2:$GZ$2000,MATCH($A917,INDEX(Enrichment!$A$2:$GZ$2000,0,MATCH("row_id",Enrichment!$A$1:$GZ$1,0)),0),MATCH("backup_work_email",Enrichment!$A$1:$GZ$1,0))&amp;"",""))</f>
        <v/>
      </c>
      <c r="BR917" s="0" t="str">
        <f aca="false">IF($A917="","",IF(BQ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EQ917" s="0" t="str">
        <f aca="false">IF($A917="","",IF(AH917="exact",10,IF(AH917="adjacent",5,0)))</f>
        <v/>
      </c>
      <c r="ER917" s="0" t="str">
        <f aca="false">IF($A917="","",IF(R917="Y",15,0))</f>
        <v/>
      </c>
      <c r="FS917" s="0" t="str">
        <f aca="false">IF($A917="","",IF(ISNUMBER(MATCH(U917,{"queued","contacted","replied","call_booked","call_done","yes_in_principle","materials_sent"},0)),"Y","N"))</f>
        <v/>
      </c>
      <c r="FT917" s="0" t="str">
        <f aca="false">IF($A917="","",IF(OR(T917="Y",U917="do_not_contact",AS917&amp;""&lt;&gt;""),"Y","N"))</f>
        <v/>
      </c>
      <c r="FU917" s="0" t="str">
        <f aca="false">IF($A917="","",IF(AP917&amp;""&lt;&gt;"",AP917&amp;"",$A917))</f>
        <v/>
      </c>
      <c r="FV917" s="0" t="str">
        <f aca="false">IF($A917="","",IF(COUNTIFS($FU$2:$FU$1000,FU917,$FS$2:$FS$1000,"Y")+COUNTIFS($FU$2:$FU$1000,FU917,$FT$2:$FT$1000,"Y")&gt;0,"Y","N"))</f>
        <v/>
      </c>
      <c r="FW917" s="0" t="str">
        <f aca="false">IF($A917="","",IF(AND(U917="new",T917="N",FT917="N",AT917="Y",FV917="N"),"Y","N"))</f>
        <v/>
      </c>
      <c r="FX917" s="0" t="str">
        <f aca="false">IF($A917="","",IF(FW917&lt;&gt;"Y","N",IF(COUNTIFS($FU$2:$FU$1000,FU917,$FW$2:$FW$1000,"Y",$J$2:$J$1000,"&gt;"&amp;J917)+COUNTIFS($FU$2:$FU$1000,FU917,$FW$2:$FW$1000,"Y",$J$2:$J$1000,J917,$GD$2:$GD$1000,"&lt;"&amp;GD917)=0,"Y","N")))</f>
        <v/>
      </c>
      <c r="FY917" s="0" t="str">
        <f aca="false">IF($A917="","",IF(AND(FW917="Y",FX917="Y",Y917&amp;""&lt;&gt;""),IF(Y917&lt;=10,"Y","N"),"N"))</f>
        <v/>
      </c>
      <c r="FZ917" s="0" t="str">
        <f aca="false">IF(FY917="Y",Y917,"")</f>
        <v/>
      </c>
      <c r="GA917" s="0" t="str">
        <f aca="false">IF($A917="","",IF(AND(I917="walk-in",CN917="pass",U917="new",FT917="N",FV917="N",AQ917&lt;&gt;"Y"),"Y","N"))</f>
        <v/>
      </c>
      <c r="GB917" s="0" t="str">
        <f aca="false">IF(GA917&lt;&gt;"Y","",IF(COUNTIFS($GA$2:$GA$1000,"Y",$J$2:$J$1000,"&gt;"&amp;J917)+COUNTIFS($GA$2:$GA$1000,"Y",$J$2:$J$1000,J917,$GD$2:$GD$1000,"&lt;"&amp;GD917)+1&lt;=25,COUNTIFS($GA$2:$GA$1000,"Y",$J$2:$J$1000,"&gt;"&amp;J917)+COUNTIFS($GA$2:$GA$1000,"Y",$J$2:$J$1000,J917,$GD$2:$GD$1000,"&lt;"&amp;GD917)+1,""))</f>
        <v/>
      </c>
      <c r="GC917" s="0" t="str">
        <f aca="false">IF(AND(_xlfn.ISFORMULA(C917),_xlfn.ISFORMULA(J917)),"Y","N")</f>
        <v>Y</v>
      </c>
      <c r="GD917" s="0" t="n">
        <f aca="false">ROW()-1</f>
        <v>916</v>
      </c>
    </row>
    <row r="918" customFormat="false" ht="15" hidden="false" customHeight="false" outlineLevel="0" collapsed="false">
      <c r="C918" s="0" t="str">
        <f aca="false">IF($A918="","",IF(AW918="Y",BM918&amp;"",AY918&amp;""))</f>
        <v/>
      </c>
      <c r="D918" s="0" t="str">
        <f aca="false">IF($A918="","",IF(AW918="Y",BN918&amp;"",AZ918&amp;""))</f>
        <v/>
      </c>
      <c r="E918" s="0" t="str">
        <f aca="false">IF($A918="","",IF(AW918="Y",BO918&amp;"",BA918&amp;""))</f>
        <v/>
      </c>
      <c r="F918" s="0" t="str">
        <f aca="false">IF($A918="","",IF(AW918="Y",BP918&amp;"",BB918&amp;""))</f>
        <v/>
      </c>
      <c r="G918" s="0" t="str">
        <f aca="false">IF($A918="","",IF(AW918="Y",BQ918&amp;"",BC918&amp;""))</f>
        <v/>
      </c>
      <c r="H918" s="0" t="str">
        <f aca="false">IF($A918="","",IF(AW918="Y",BR918&amp;"",BD918&amp;""))</f>
        <v/>
      </c>
      <c r="I918" s="0" t="str">
        <f aca="false">IF($A918="","",IF(R918="Y","warm-intro",IF(H918="verified","email",IF(C918&lt;&gt;"","linkedin",CB918&amp;""))))</f>
        <v/>
      </c>
      <c r="J918" s="0" t="str">
        <f aca="false">IF($A918="","",IF(CN918="pass",ROUND(N(EM918)+N(EN918)+N(EO918)+N(EP918)+N(EQ918)+N(ER918),1),0))</f>
        <v/>
      </c>
      <c r="K918" s="0" t="str">
        <f aca="false">IF($A918="","",IF(CN918&lt;&gt;"pass",CA918&amp;"",CA918&amp;"; "&amp;IF(AW918="Y",BZ918&amp;"",BL918&amp;"")&amp;IF(R918="Y","; known to the founder (+15)","")&amp;"."))</f>
        <v/>
      </c>
      <c r="R918" s="5"/>
      <c r="U918" s="5"/>
      <c r="Y918" s="0" t="str">
        <f aca="false">IF(FX918&lt;&gt;"Y","",COUNTIFS($FX$2:$FX$1000,"Y",$J$2:$J$1000,"&gt;"&amp;J918)+COUNTIFS($FX$2:$FX$1000,"Y",$J$2:$J$1000,J918,$GD$2:$GD$1000,"&lt;"&amp;GD918)+1)</f>
        <v/>
      </c>
      <c r="AB918" s="0" t="str">
        <f aca="false">IF($A918="","",IF(AW918="Y",BY918&amp;"",BK918&amp;""))</f>
        <v/>
      </c>
      <c r="AC918" s="0" t="str">
        <f aca="false">IF($A918="","",IF(AW918="Y",BS918&amp;"",BE918&amp;""))</f>
        <v/>
      </c>
      <c r="AD918" s="0" t="str">
        <f aca="false">IF($A918="","",IF(AW918="Y",BT918&amp;"",BF918&amp;""))</f>
        <v/>
      </c>
      <c r="AE918" s="0" t="str">
        <f aca="false">IF($A918="","",IF(AW918="Y",BU918&amp;"",BG918&amp;""))</f>
        <v/>
      </c>
      <c r="AF918" s="0" t="str">
        <f aca="false">IF($A918="","",IF(AW918="Y",BV918&amp;"",BH918&amp;""))</f>
        <v/>
      </c>
      <c r="AG918" s="0" t="str">
        <f aca="false">IF($A918="","",IF(AW918="Y",BW918&amp;"",BI918&amp;""))</f>
        <v/>
      </c>
      <c r="AH918" s="0" t="str">
        <f aca="false">IF($A918="","",IF(AW918="Y",BX918&amp;"",BJ918&amp;""))</f>
        <v/>
      </c>
      <c r="AQ918" s="5"/>
      <c r="AT918" s="0" t="str">
        <f aca="false">IF($A918="","",IF(AND(CN918="pass",AQ918&lt;&gt;"Y",C918&lt;&gt;"",OR(AX918&lt;&gt;"Y",AV918="Y")),"Y","N"))</f>
        <v/>
      </c>
      <c r="AU918" s="0" t="str">
        <f aca="false">IF($A918="","",_xlfn.TEXTJOIN("; ",TRUE(),IF(CN918&lt;&gt;"pass","gated out",""),IF(AQ918="Y","on hold: "&amp;AR918,""),IF(C918="","no contact named on an opened page",""),IF(AND(AX918="Y",AV918&lt;&gt;"Y"),"Tuesday estimate band "&amp;L918&amp;": founder's call","")))</f>
        <v/>
      </c>
      <c r="BC918" s="0" t="str">
        <f aca="false">IF($A918="","",IFERROR(INDEX(Enrichment!$A$2:$GZ$2000,MATCH($A918,INDEX(Enrichment!$A$2:$GZ$2000,0,MATCH("row_id",Enrichment!$A$1:$GZ$1,0)),0),MATCH("work_email",Enrichment!$A$1:$GZ$1,0))&amp;"",""))</f>
        <v/>
      </c>
      <c r="BD918" s="0" t="str">
        <f aca="false">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Q918" s="0" t="str">
        <f aca="false">IF($A918="","",IFERROR(INDEX(Enrichment!$A$2:$GZ$2000,MATCH($A918,INDEX(Enrichment!$A$2:$GZ$2000,0,MATCH("row_id",Enrichment!$A$1:$GZ$1,0)),0),MATCH("backup_work_email",Enrichment!$A$1:$GZ$1,0))&amp;"",""))</f>
        <v/>
      </c>
      <c r="BR918" s="0" t="str">
        <f aca="false">IF($A918="","",IF(BQ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EQ918" s="0" t="str">
        <f aca="false">IF($A918="","",IF(AH918="exact",10,IF(AH918="adjacent",5,0)))</f>
        <v/>
      </c>
      <c r="ER918" s="0" t="str">
        <f aca="false">IF($A918="","",IF(R918="Y",15,0))</f>
        <v/>
      </c>
      <c r="FS918" s="0" t="str">
        <f aca="false">IF($A918="","",IF(ISNUMBER(MATCH(U918,{"queued","contacted","replied","call_booked","call_done","yes_in_principle","materials_sent"},0)),"Y","N"))</f>
        <v/>
      </c>
      <c r="FT918" s="0" t="str">
        <f aca="false">IF($A918="","",IF(OR(T918="Y",U918="do_not_contact",AS918&amp;""&lt;&gt;""),"Y","N"))</f>
        <v/>
      </c>
      <c r="FU918" s="0" t="str">
        <f aca="false">IF($A918="","",IF(AP918&amp;""&lt;&gt;"",AP918&amp;"",$A918))</f>
        <v/>
      </c>
      <c r="FV918" s="0" t="str">
        <f aca="false">IF($A918="","",IF(COUNTIFS($FU$2:$FU$1000,FU918,$FS$2:$FS$1000,"Y")+COUNTIFS($FU$2:$FU$1000,FU918,$FT$2:$FT$1000,"Y")&gt;0,"Y","N"))</f>
        <v/>
      </c>
      <c r="FW918" s="0" t="str">
        <f aca="false">IF($A918="","",IF(AND(U918="new",T918="N",FT918="N",AT918="Y",FV918="N"),"Y","N"))</f>
        <v/>
      </c>
      <c r="FX918" s="0" t="str">
        <f aca="false">IF($A918="","",IF(FW918&lt;&gt;"Y","N",IF(COUNTIFS($FU$2:$FU$1000,FU918,$FW$2:$FW$1000,"Y",$J$2:$J$1000,"&gt;"&amp;J918)+COUNTIFS($FU$2:$FU$1000,FU918,$FW$2:$FW$1000,"Y",$J$2:$J$1000,J918,$GD$2:$GD$1000,"&lt;"&amp;GD918)=0,"Y","N")))</f>
        <v/>
      </c>
      <c r="FY918" s="0" t="str">
        <f aca="false">IF($A918="","",IF(AND(FW918="Y",FX918="Y",Y918&amp;""&lt;&gt;""),IF(Y918&lt;=10,"Y","N"),"N"))</f>
        <v/>
      </c>
      <c r="FZ918" s="0" t="str">
        <f aca="false">IF(FY918="Y",Y918,"")</f>
        <v/>
      </c>
      <c r="GA918" s="0" t="str">
        <f aca="false">IF($A918="","",IF(AND(I918="walk-in",CN918="pass",U918="new",FT918="N",FV918="N",AQ918&lt;&gt;"Y"),"Y","N"))</f>
        <v/>
      </c>
      <c r="GB918" s="0" t="str">
        <f aca="false">IF(GA918&lt;&gt;"Y","",IF(COUNTIFS($GA$2:$GA$1000,"Y",$J$2:$J$1000,"&gt;"&amp;J918)+COUNTIFS($GA$2:$GA$1000,"Y",$J$2:$J$1000,J918,$GD$2:$GD$1000,"&lt;"&amp;GD918)+1&lt;=25,COUNTIFS($GA$2:$GA$1000,"Y",$J$2:$J$1000,"&gt;"&amp;J918)+COUNTIFS($GA$2:$GA$1000,"Y",$J$2:$J$1000,J918,$GD$2:$GD$1000,"&lt;"&amp;GD918)+1,""))</f>
        <v/>
      </c>
      <c r="GC918" s="0" t="str">
        <f aca="false">IF(AND(_xlfn.ISFORMULA(C918),_xlfn.ISFORMULA(J918)),"Y","N")</f>
        <v>Y</v>
      </c>
      <c r="GD918" s="0" t="n">
        <f aca="false">ROW()-1</f>
        <v>917</v>
      </c>
    </row>
    <row r="919" customFormat="false" ht="15" hidden="false" customHeight="false" outlineLevel="0" collapsed="false">
      <c r="C919" s="0" t="str">
        <f aca="false">IF($A919="","",IF(AW919="Y",BM919&amp;"",AY919&amp;""))</f>
        <v/>
      </c>
      <c r="D919" s="0" t="str">
        <f aca="false">IF($A919="","",IF(AW919="Y",BN919&amp;"",AZ919&amp;""))</f>
        <v/>
      </c>
      <c r="E919" s="0" t="str">
        <f aca="false">IF($A919="","",IF(AW919="Y",BO919&amp;"",BA919&amp;""))</f>
        <v/>
      </c>
      <c r="F919" s="0" t="str">
        <f aca="false">IF($A919="","",IF(AW919="Y",BP919&amp;"",BB919&amp;""))</f>
        <v/>
      </c>
      <c r="G919" s="0" t="str">
        <f aca="false">IF($A919="","",IF(AW919="Y",BQ919&amp;"",BC919&amp;""))</f>
        <v/>
      </c>
      <c r="H919" s="0" t="str">
        <f aca="false">IF($A919="","",IF(AW919="Y",BR919&amp;"",BD919&amp;""))</f>
        <v/>
      </c>
      <c r="I919" s="0" t="str">
        <f aca="false">IF($A919="","",IF(R919="Y","warm-intro",IF(H919="verified","email",IF(C919&lt;&gt;"","linkedin",CB919&amp;""))))</f>
        <v/>
      </c>
      <c r="J919" s="0" t="str">
        <f aca="false">IF($A919="","",IF(CN919="pass",ROUND(N(EM919)+N(EN919)+N(EO919)+N(EP919)+N(EQ919)+N(ER919),1),0))</f>
        <v/>
      </c>
      <c r="K919" s="0" t="str">
        <f aca="false">IF($A919="","",IF(CN919&lt;&gt;"pass",CA919&amp;"",CA919&amp;"; "&amp;IF(AW919="Y",BZ919&amp;"",BL919&amp;"")&amp;IF(R919="Y","; known to the founder (+15)","")&amp;"."))</f>
        <v/>
      </c>
      <c r="R919" s="5"/>
      <c r="U919" s="5"/>
      <c r="Y919" s="0" t="str">
        <f aca="false">IF(FX919&lt;&gt;"Y","",COUNTIFS($FX$2:$FX$1000,"Y",$J$2:$J$1000,"&gt;"&amp;J919)+COUNTIFS($FX$2:$FX$1000,"Y",$J$2:$J$1000,J919,$GD$2:$GD$1000,"&lt;"&amp;GD919)+1)</f>
        <v/>
      </c>
      <c r="AB919" s="0" t="str">
        <f aca="false">IF($A919="","",IF(AW919="Y",BY919&amp;"",BK919&amp;""))</f>
        <v/>
      </c>
      <c r="AC919" s="0" t="str">
        <f aca="false">IF($A919="","",IF(AW919="Y",BS919&amp;"",BE919&amp;""))</f>
        <v/>
      </c>
      <c r="AD919" s="0" t="str">
        <f aca="false">IF($A919="","",IF(AW919="Y",BT919&amp;"",BF919&amp;""))</f>
        <v/>
      </c>
      <c r="AE919" s="0" t="str">
        <f aca="false">IF($A919="","",IF(AW919="Y",BU919&amp;"",BG919&amp;""))</f>
        <v/>
      </c>
      <c r="AF919" s="0" t="str">
        <f aca="false">IF($A919="","",IF(AW919="Y",BV919&amp;"",BH919&amp;""))</f>
        <v/>
      </c>
      <c r="AG919" s="0" t="str">
        <f aca="false">IF($A919="","",IF(AW919="Y",BW919&amp;"",BI919&amp;""))</f>
        <v/>
      </c>
      <c r="AH919" s="0" t="str">
        <f aca="false">IF($A919="","",IF(AW919="Y",BX919&amp;"",BJ919&amp;""))</f>
        <v/>
      </c>
      <c r="AQ919" s="5"/>
      <c r="AT919" s="0" t="str">
        <f aca="false">IF($A919="","",IF(AND(CN919="pass",AQ919&lt;&gt;"Y",C919&lt;&gt;"",OR(AX919&lt;&gt;"Y",AV919="Y")),"Y","N"))</f>
        <v/>
      </c>
      <c r="AU919" s="0" t="str">
        <f aca="false">IF($A919="","",_xlfn.TEXTJOIN("; ",TRUE(),IF(CN919&lt;&gt;"pass","gated out",""),IF(AQ919="Y","on hold: "&amp;AR919,""),IF(C919="","no contact named on an opened page",""),IF(AND(AX919="Y",AV919&lt;&gt;"Y"),"Tuesday estimate band "&amp;L919&amp;": founder's call","")))</f>
        <v/>
      </c>
      <c r="BC919" s="0" t="str">
        <f aca="false">IF($A919="","",IFERROR(INDEX(Enrichment!$A$2:$GZ$2000,MATCH($A919,INDEX(Enrichment!$A$2:$GZ$2000,0,MATCH("row_id",Enrichment!$A$1:$GZ$1,0)),0),MATCH("work_email",Enrichment!$A$1:$GZ$1,0))&amp;"",""))</f>
        <v/>
      </c>
      <c r="BD919" s="0" t="str">
        <f aca="false">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Q919" s="0" t="str">
        <f aca="false">IF($A919="","",IFERROR(INDEX(Enrichment!$A$2:$GZ$2000,MATCH($A919,INDEX(Enrichment!$A$2:$GZ$2000,0,MATCH("row_id",Enrichment!$A$1:$GZ$1,0)),0),MATCH("backup_work_email",Enrichment!$A$1:$GZ$1,0))&amp;"",""))</f>
        <v/>
      </c>
      <c r="BR919" s="0" t="str">
        <f aca="false">IF($A919="","",IF(BQ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EQ919" s="0" t="str">
        <f aca="false">IF($A919="","",IF(AH919="exact",10,IF(AH919="adjacent",5,0)))</f>
        <v/>
      </c>
      <c r="ER919" s="0" t="str">
        <f aca="false">IF($A919="","",IF(R919="Y",15,0))</f>
        <v/>
      </c>
      <c r="FS919" s="0" t="str">
        <f aca="false">IF($A919="","",IF(ISNUMBER(MATCH(U919,{"queued","contacted","replied","call_booked","call_done","yes_in_principle","materials_sent"},0)),"Y","N"))</f>
        <v/>
      </c>
      <c r="FT919" s="0" t="str">
        <f aca="false">IF($A919="","",IF(OR(T919="Y",U919="do_not_contact",AS919&amp;""&lt;&gt;""),"Y","N"))</f>
        <v/>
      </c>
      <c r="FU919" s="0" t="str">
        <f aca="false">IF($A919="","",IF(AP919&amp;""&lt;&gt;"",AP919&amp;"",$A919))</f>
        <v/>
      </c>
      <c r="FV919" s="0" t="str">
        <f aca="false">IF($A919="","",IF(COUNTIFS($FU$2:$FU$1000,FU919,$FS$2:$FS$1000,"Y")+COUNTIFS($FU$2:$FU$1000,FU919,$FT$2:$FT$1000,"Y")&gt;0,"Y","N"))</f>
        <v/>
      </c>
      <c r="FW919" s="0" t="str">
        <f aca="false">IF($A919="","",IF(AND(U919="new",T919="N",FT919="N",AT919="Y",FV919="N"),"Y","N"))</f>
        <v/>
      </c>
      <c r="FX919" s="0" t="str">
        <f aca="false">IF($A919="","",IF(FW919&lt;&gt;"Y","N",IF(COUNTIFS($FU$2:$FU$1000,FU919,$FW$2:$FW$1000,"Y",$J$2:$J$1000,"&gt;"&amp;J919)+COUNTIFS($FU$2:$FU$1000,FU919,$FW$2:$FW$1000,"Y",$J$2:$J$1000,J919,$GD$2:$GD$1000,"&lt;"&amp;GD919)=0,"Y","N")))</f>
        <v/>
      </c>
      <c r="FY919" s="0" t="str">
        <f aca="false">IF($A919="","",IF(AND(FW919="Y",FX919="Y",Y919&amp;""&lt;&gt;""),IF(Y919&lt;=10,"Y","N"),"N"))</f>
        <v/>
      </c>
      <c r="FZ919" s="0" t="str">
        <f aca="false">IF(FY919="Y",Y919,"")</f>
        <v/>
      </c>
      <c r="GA919" s="0" t="str">
        <f aca="false">IF($A919="","",IF(AND(I919="walk-in",CN919="pass",U919="new",FT919="N",FV919="N",AQ919&lt;&gt;"Y"),"Y","N"))</f>
        <v/>
      </c>
      <c r="GB919" s="0" t="str">
        <f aca="false">IF(GA919&lt;&gt;"Y","",IF(COUNTIFS($GA$2:$GA$1000,"Y",$J$2:$J$1000,"&gt;"&amp;J919)+COUNTIFS($GA$2:$GA$1000,"Y",$J$2:$J$1000,J919,$GD$2:$GD$1000,"&lt;"&amp;GD919)+1&lt;=25,COUNTIFS($GA$2:$GA$1000,"Y",$J$2:$J$1000,"&gt;"&amp;J919)+COUNTIFS($GA$2:$GA$1000,"Y",$J$2:$J$1000,J919,$GD$2:$GD$1000,"&lt;"&amp;GD919)+1,""))</f>
        <v/>
      </c>
      <c r="GC919" s="0" t="str">
        <f aca="false">IF(AND(_xlfn.ISFORMULA(C919),_xlfn.ISFORMULA(J919)),"Y","N")</f>
        <v>Y</v>
      </c>
      <c r="GD919" s="0" t="n">
        <f aca="false">ROW()-1</f>
        <v>918</v>
      </c>
    </row>
    <row r="920" customFormat="false" ht="15" hidden="false" customHeight="false" outlineLevel="0" collapsed="false">
      <c r="C920" s="0" t="str">
        <f aca="false">IF($A920="","",IF(AW920="Y",BM920&amp;"",AY920&amp;""))</f>
        <v/>
      </c>
      <c r="D920" s="0" t="str">
        <f aca="false">IF($A920="","",IF(AW920="Y",BN920&amp;"",AZ920&amp;""))</f>
        <v/>
      </c>
      <c r="E920" s="0" t="str">
        <f aca="false">IF($A920="","",IF(AW920="Y",BO920&amp;"",BA920&amp;""))</f>
        <v/>
      </c>
      <c r="F920" s="0" t="str">
        <f aca="false">IF($A920="","",IF(AW920="Y",BP920&amp;"",BB920&amp;""))</f>
        <v/>
      </c>
      <c r="G920" s="0" t="str">
        <f aca="false">IF($A920="","",IF(AW920="Y",BQ920&amp;"",BC920&amp;""))</f>
        <v/>
      </c>
      <c r="H920" s="0" t="str">
        <f aca="false">IF($A920="","",IF(AW920="Y",BR920&amp;"",BD920&amp;""))</f>
        <v/>
      </c>
      <c r="I920" s="0" t="str">
        <f aca="false">IF($A920="","",IF(R920="Y","warm-intro",IF(H920="verified","email",IF(C920&lt;&gt;"","linkedin",CB920&amp;""))))</f>
        <v/>
      </c>
      <c r="J920" s="0" t="str">
        <f aca="false">IF($A920="","",IF(CN920="pass",ROUND(N(EM920)+N(EN920)+N(EO920)+N(EP920)+N(EQ920)+N(ER920),1),0))</f>
        <v/>
      </c>
      <c r="K920" s="0" t="str">
        <f aca="false">IF($A920="","",IF(CN920&lt;&gt;"pass",CA920&amp;"",CA920&amp;"; "&amp;IF(AW920="Y",BZ920&amp;"",BL920&amp;"")&amp;IF(R920="Y","; known to the founder (+15)","")&amp;"."))</f>
        <v/>
      </c>
      <c r="R920" s="5"/>
      <c r="U920" s="5"/>
      <c r="Y920" s="0" t="str">
        <f aca="false">IF(FX920&lt;&gt;"Y","",COUNTIFS($FX$2:$FX$1000,"Y",$J$2:$J$1000,"&gt;"&amp;J920)+COUNTIFS($FX$2:$FX$1000,"Y",$J$2:$J$1000,J920,$GD$2:$GD$1000,"&lt;"&amp;GD920)+1)</f>
        <v/>
      </c>
      <c r="AB920" s="0" t="str">
        <f aca="false">IF($A920="","",IF(AW920="Y",BY920&amp;"",BK920&amp;""))</f>
        <v/>
      </c>
      <c r="AC920" s="0" t="str">
        <f aca="false">IF($A920="","",IF(AW920="Y",BS920&amp;"",BE920&amp;""))</f>
        <v/>
      </c>
      <c r="AD920" s="0" t="str">
        <f aca="false">IF($A920="","",IF(AW920="Y",BT920&amp;"",BF920&amp;""))</f>
        <v/>
      </c>
      <c r="AE920" s="0" t="str">
        <f aca="false">IF($A920="","",IF(AW920="Y",BU920&amp;"",BG920&amp;""))</f>
        <v/>
      </c>
      <c r="AF920" s="0" t="str">
        <f aca="false">IF($A920="","",IF(AW920="Y",BV920&amp;"",BH920&amp;""))</f>
        <v/>
      </c>
      <c r="AG920" s="0" t="str">
        <f aca="false">IF($A920="","",IF(AW920="Y",BW920&amp;"",BI920&amp;""))</f>
        <v/>
      </c>
      <c r="AH920" s="0" t="str">
        <f aca="false">IF($A920="","",IF(AW920="Y",BX920&amp;"",BJ920&amp;""))</f>
        <v/>
      </c>
      <c r="AQ920" s="5"/>
      <c r="AT920" s="0" t="str">
        <f aca="false">IF($A920="","",IF(AND(CN920="pass",AQ920&lt;&gt;"Y",C920&lt;&gt;"",OR(AX920&lt;&gt;"Y",AV920="Y")),"Y","N"))</f>
        <v/>
      </c>
      <c r="AU920" s="0" t="str">
        <f aca="false">IF($A920="","",_xlfn.TEXTJOIN("; ",TRUE(),IF(CN920&lt;&gt;"pass","gated out",""),IF(AQ920="Y","on hold: "&amp;AR920,""),IF(C920="","no contact named on an opened page",""),IF(AND(AX920="Y",AV920&lt;&gt;"Y"),"Tuesday estimate band "&amp;L920&amp;": founder's call","")))</f>
        <v/>
      </c>
      <c r="BC920" s="0" t="str">
        <f aca="false">IF($A920="","",IFERROR(INDEX(Enrichment!$A$2:$GZ$2000,MATCH($A920,INDEX(Enrichment!$A$2:$GZ$2000,0,MATCH("row_id",Enrichment!$A$1:$GZ$1,0)),0),MATCH("work_email",Enrichment!$A$1:$GZ$1,0))&amp;"",""))</f>
        <v/>
      </c>
      <c r="BD920" s="0" t="str">
        <f aca="false">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Q920" s="0" t="str">
        <f aca="false">IF($A920="","",IFERROR(INDEX(Enrichment!$A$2:$GZ$2000,MATCH($A920,INDEX(Enrichment!$A$2:$GZ$2000,0,MATCH("row_id",Enrichment!$A$1:$GZ$1,0)),0),MATCH("backup_work_email",Enrichment!$A$1:$GZ$1,0))&amp;"",""))</f>
        <v/>
      </c>
      <c r="BR920" s="0" t="str">
        <f aca="false">IF($A920="","",IF(BQ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EQ920" s="0" t="str">
        <f aca="false">IF($A920="","",IF(AH920="exact",10,IF(AH920="adjacent",5,0)))</f>
        <v/>
      </c>
      <c r="ER920" s="0" t="str">
        <f aca="false">IF($A920="","",IF(R920="Y",15,0))</f>
        <v/>
      </c>
      <c r="FS920" s="0" t="str">
        <f aca="false">IF($A920="","",IF(ISNUMBER(MATCH(U920,{"queued","contacted","replied","call_booked","call_done","yes_in_principle","materials_sent"},0)),"Y","N"))</f>
        <v/>
      </c>
      <c r="FT920" s="0" t="str">
        <f aca="false">IF($A920="","",IF(OR(T920="Y",U920="do_not_contact",AS920&amp;""&lt;&gt;""),"Y","N"))</f>
        <v/>
      </c>
      <c r="FU920" s="0" t="str">
        <f aca="false">IF($A920="","",IF(AP920&amp;""&lt;&gt;"",AP920&amp;"",$A920))</f>
        <v/>
      </c>
      <c r="FV920" s="0" t="str">
        <f aca="false">IF($A920="","",IF(COUNTIFS($FU$2:$FU$1000,FU920,$FS$2:$FS$1000,"Y")+COUNTIFS($FU$2:$FU$1000,FU920,$FT$2:$FT$1000,"Y")&gt;0,"Y","N"))</f>
        <v/>
      </c>
      <c r="FW920" s="0" t="str">
        <f aca="false">IF($A920="","",IF(AND(U920="new",T920="N",FT920="N",AT920="Y",FV920="N"),"Y","N"))</f>
        <v/>
      </c>
      <c r="FX920" s="0" t="str">
        <f aca="false">IF($A920="","",IF(FW920&lt;&gt;"Y","N",IF(COUNTIFS($FU$2:$FU$1000,FU920,$FW$2:$FW$1000,"Y",$J$2:$J$1000,"&gt;"&amp;J920)+COUNTIFS($FU$2:$FU$1000,FU920,$FW$2:$FW$1000,"Y",$J$2:$J$1000,J920,$GD$2:$GD$1000,"&lt;"&amp;GD920)=0,"Y","N")))</f>
        <v/>
      </c>
      <c r="FY920" s="0" t="str">
        <f aca="false">IF($A920="","",IF(AND(FW920="Y",FX920="Y",Y920&amp;""&lt;&gt;""),IF(Y920&lt;=10,"Y","N"),"N"))</f>
        <v/>
      </c>
      <c r="FZ920" s="0" t="str">
        <f aca="false">IF(FY920="Y",Y920,"")</f>
        <v/>
      </c>
      <c r="GA920" s="0" t="str">
        <f aca="false">IF($A920="","",IF(AND(I920="walk-in",CN920="pass",U920="new",FT920="N",FV920="N",AQ920&lt;&gt;"Y"),"Y","N"))</f>
        <v/>
      </c>
      <c r="GB920" s="0" t="str">
        <f aca="false">IF(GA920&lt;&gt;"Y","",IF(COUNTIFS($GA$2:$GA$1000,"Y",$J$2:$J$1000,"&gt;"&amp;J920)+COUNTIFS($GA$2:$GA$1000,"Y",$J$2:$J$1000,J920,$GD$2:$GD$1000,"&lt;"&amp;GD920)+1&lt;=25,COUNTIFS($GA$2:$GA$1000,"Y",$J$2:$J$1000,"&gt;"&amp;J920)+COUNTIFS($GA$2:$GA$1000,"Y",$J$2:$J$1000,J920,$GD$2:$GD$1000,"&lt;"&amp;GD920)+1,""))</f>
        <v/>
      </c>
      <c r="GC920" s="0" t="str">
        <f aca="false">IF(AND(_xlfn.ISFORMULA(C920),_xlfn.ISFORMULA(J920)),"Y","N")</f>
        <v>Y</v>
      </c>
      <c r="GD920" s="0" t="n">
        <f aca="false">ROW()-1</f>
        <v>919</v>
      </c>
    </row>
    <row r="921" customFormat="false" ht="15" hidden="false" customHeight="false" outlineLevel="0" collapsed="false">
      <c r="C921" s="0" t="str">
        <f aca="false">IF($A921="","",IF(AW921="Y",BM921&amp;"",AY921&amp;""))</f>
        <v/>
      </c>
      <c r="D921" s="0" t="str">
        <f aca="false">IF($A921="","",IF(AW921="Y",BN921&amp;"",AZ921&amp;""))</f>
        <v/>
      </c>
      <c r="E921" s="0" t="str">
        <f aca="false">IF($A921="","",IF(AW921="Y",BO921&amp;"",BA921&amp;""))</f>
        <v/>
      </c>
      <c r="F921" s="0" t="str">
        <f aca="false">IF($A921="","",IF(AW921="Y",BP921&amp;"",BB921&amp;""))</f>
        <v/>
      </c>
      <c r="G921" s="0" t="str">
        <f aca="false">IF($A921="","",IF(AW921="Y",BQ921&amp;"",BC921&amp;""))</f>
        <v/>
      </c>
      <c r="H921" s="0" t="str">
        <f aca="false">IF($A921="","",IF(AW921="Y",BR921&amp;"",BD921&amp;""))</f>
        <v/>
      </c>
      <c r="I921" s="0" t="str">
        <f aca="false">IF($A921="","",IF(R921="Y","warm-intro",IF(H921="verified","email",IF(C921&lt;&gt;"","linkedin",CB921&amp;""))))</f>
        <v/>
      </c>
      <c r="J921" s="0" t="str">
        <f aca="false">IF($A921="","",IF(CN921="pass",ROUND(N(EM921)+N(EN921)+N(EO921)+N(EP921)+N(EQ921)+N(ER921),1),0))</f>
        <v/>
      </c>
      <c r="K921" s="0" t="str">
        <f aca="false">IF($A921="","",IF(CN921&lt;&gt;"pass",CA921&amp;"",CA921&amp;"; "&amp;IF(AW921="Y",BZ921&amp;"",BL921&amp;"")&amp;IF(R921="Y","; known to the founder (+15)","")&amp;"."))</f>
        <v/>
      </c>
      <c r="R921" s="5"/>
      <c r="U921" s="5"/>
      <c r="Y921" s="0" t="str">
        <f aca="false">IF(FX921&lt;&gt;"Y","",COUNTIFS($FX$2:$FX$1000,"Y",$J$2:$J$1000,"&gt;"&amp;J921)+COUNTIFS($FX$2:$FX$1000,"Y",$J$2:$J$1000,J921,$GD$2:$GD$1000,"&lt;"&amp;GD921)+1)</f>
        <v/>
      </c>
      <c r="AB921" s="0" t="str">
        <f aca="false">IF($A921="","",IF(AW921="Y",BY921&amp;"",BK921&amp;""))</f>
        <v/>
      </c>
      <c r="AC921" s="0" t="str">
        <f aca="false">IF($A921="","",IF(AW921="Y",BS921&amp;"",BE921&amp;""))</f>
        <v/>
      </c>
      <c r="AD921" s="0" t="str">
        <f aca="false">IF($A921="","",IF(AW921="Y",BT921&amp;"",BF921&amp;""))</f>
        <v/>
      </c>
      <c r="AE921" s="0" t="str">
        <f aca="false">IF($A921="","",IF(AW921="Y",BU921&amp;"",BG921&amp;""))</f>
        <v/>
      </c>
      <c r="AF921" s="0" t="str">
        <f aca="false">IF($A921="","",IF(AW921="Y",BV921&amp;"",BH921&amp;""))</f>
        <v/>
      </c>
      <c r="AG921" s="0" t="str">
        <f aca="false">IF($A921="","",IF(AW921="Y",BW921&amp;"",BI921&amp;""))</f>
        <v/>
      </c>
      <c r="AH921" s="0" t="str">
        <f aca="false">IF($A921="","",IF(AW921="Y",BX921&amp;"",BJ921&amp;""))</f>
        <v/>
      </c>
      <c r="AQ921" s="5"/>
      <c r="AT921" s="0" t="str">
        <f aca="false">IF($A921="","",IF(AND(CN921="pass",AQ921&lt;&gt;"Y",C921&lt;&gt;"",OR(AX921&lt;&gt;"Y",AV921="Y")),"Y","N"))</f>
        <v/>
      </c>
      <c r="AU921" s="0" t="str">
        <f aca="false">IF($A921="","",_xlfn.TEXTJOIN("; ",TRUE(),IF(CN921&lt;&gt;"pass","gated out",""),IF(AQ921="Y","on hold: "&amp;AR921,""),IF(C921="","no contact named on an opened page",""),IF(AND(AX921="Y",AV921&lt;&gt;"Y"),"Tuesday estimate band "&amp;L921&amp;": founder's call","")))</f>
        <v/>
      </c>
      <c r="BC921" s="0" t="str">
        <f aca="false">IF($A921="","",IFERROR(INDEX(Enrichment!$A$2:$GZ$2000,MATCH($A921,INDEX(Enrichment!$A$2:$GZ$2000,0,MATCH("row_id",Enrichment!$A$1:$GZ$1,0)),0),MATCH("work_email",Enrichment!$A$1:$GZ$1,0))&amp;"",""))</f>
        <v/>
      </c>
      <c r="BD921" s="0" t="str">
        <f aca="false">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Q921" s="0" t="str">
        <f aca="false">IF($A921="","",IFERROR(INDEX(Enrichment!$A$2:$GZ$2000,MATCH($A921,INDEX(Enrichment!$A$2:$GZ$2000,0,MATCH("row_id",Enrichment!$A$1:$GZ$1,0)),0),MATCH("backup_work_email",Enrichment!$A$1:$GZ$1,0))&amp;"",""))</f>
        <v/>
      </c>
      <c r="BR921" s="0" t="str">
        <f aca="false">IF($A921="","",IF(BQ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EQ921" s="0" t="str">
        <f aca="false">IF($A921="","",IF(AH921="exact",10,IF(AH921="adjacent",5,0)))</f>
        <v/>
      </c>
      <c r="ER921" s="0" t="str">
        <f aca="false">IF($A921="","",IF(R921="Y",15,0))</f>
        <v/>
      </c>
      <c r="FS921" s="0" t="str">
        <f aca="false">IF($A921="","",IF(ISNUMBER(MATCH(U921,{"queued","contacted","replied","call_booked","call_done","yes_in_principle","materials_sent"},0)),"Y","N"))</f>
        <v/>
      </c>
      <c r="FT921" s="0" t="str">
        <f aca="false">IF($A921="","",IF(OR(T921="Y",U921="do_not_contact",AS921&amp;""&lt;&gt;""),"Y","N"))</f>
        <v/>
      </c>
      <c r="FU921" s="0" t="str">
        <f aca="false">IF($A921="","",IF(AP921&amp;""&lt;&gt;"",AP921&amp;"",$A921))</f>
        <v/>
      </c>
      <c r="FV921" s="0" t="str">
        <f aca="false">IF($A921="","",IF(COUNTIFS($FU$2:$FU$1000,FU921,$FS$2:$FS$1000,"Y")+COUNTIFS($FU$2:$FU$1000,FU921,$FT$2:$FT$1000,"Y")&gt;0,"Y","N"))</f>
        <v/>
      </c>
      <c r="FW921" s="0" t="str">
        <f aca="false">IF($A921="","",IF(AND(U921="new",T921="N",FT921="N",AT921="Y",FV921="N"),"Y","N"))</f>
        <v/>
      </c>
      <c r="FX921" s="0" t="str">
        <f aca="false">IF($A921="","",IF(FW921&lt;&gt;"Y","N",IF(COUNTIFS($FU$2:$FU$1000,FU921,$FW$2:$FW$1000,"Y",$J$2:$J$1000,"&gt;"&amp;J921)+COUNTIFS($FU$2:$FU$1000,FU921,$FW$2:$FW$1000,"Y",$J$2:$J$1000,J921,$GD$2:$GD$1000,"&lt;"&amp;GD921)=0,"Y","N")))</f>
        <v/>
      </c>
      <c r="FY921" s="0" t="str">
        <f aca="false">IF($A921="","",IF(AND(FW921="Y",FX921="Y",Y921&amp;""&lt;&gt;""),IF(Y921&lt;=10,"Y","N"),"N"))</f>
        <v/>
      </c>
      <c r="FZ921" s="0" t="str">
        <f aca="false">IF(FY921="Y",Y921,"")</f>
        <v/>
      </c>
      <c r="GA921" s="0" t="str">
        <f aca="false">IF($A921="","",IF(AND(I921="walk-in",CN921="pass",U921="new",FT921="N",FV921="N",AQ921&lt;&gt;"Y"),"Y","N"))</f>
        <v/>
      </c>
      <c r="GB921" s="0" t="str">
        <f aca="false">IF(GA921&lt;&gt;"Y","",IF(COUNTIFS($GA$2:$GA$1000,"Y",$J$2:$J$1000,"&gt;"&amp;J921)+COUNTIFS($GA$2:$GA$1000,"Y",$J$2:$J$1000,J921,$GD$2:$GD$1000,"&lt;"&amp;GD921)+1&lt;=25,COUNTIFS($GA$2:$GA$1000,"Y",$J$2:$J$1000,"&gt;"&amp;J921)+COUNTIFS($GA$2:$GA$1000,"Y",$J$2:$J$1000,J921,$GD$2:$GD$1000,"&lt;"&amp;GD921)+1,""))</f>
        <v/>
      </c>
      <c r="GC921" s="0" t="str">
        <f aca="false">IF(AND(_xlfn.ISFORMULA(C921),_xlfn.ISFORMULA(J921)),"Y","N")</f>
        <v>Y</v>
      </c>
      <c r="GD921" s="0" t="n">
        <f aca="false">ROW()-1</f>
        <v>920</v>
      </c>
    </row>
    <row r="922" customFormat="false" ht="15" hidden="false" customHeight="false" outlineLevel="0" collapsed="false">
      <c r="C922" s="0" t="str">
        <f aca="false">IF($A922="","",IF(AW922="Y",BM922&amp;"",AY922&amp;""))</f>
        <v/>
      </c>
      <c r="D922" s="0" t="str">
        <f aca="false">IF($A922="","",IF(AW922="Y",BN922&amp;"",AZ922&amp;""))</f>
        <v/>
      </c>
      <c r="E922" s="0" t="str">
        <f aca="false">IF($A922="","",IF(AW922="Y",BO922&amp;"",BA922&amp;""))</f>
        <v/>
      </c>
      <c r="F922" s="0" t="str">
        <f aca="false">IF($A922="","",IF(AW922="Y",BP922&amp;"",BB922&amp;""))</f>
        <v/>
      </c>
      <c r="G922" s="0" t="str">
        <f aca="false">IF($A922="","",IF(AW922="Y",BQ922&amp;"",BC922&amp;""))</f>
        <v/>
      </c>
      <c r="H922" s="0" t="str">
        <f aca="false">IF($A922="","",IF(AW922="Y",BR922&amp;"",BD922&amp;""))</f>
        <v/>
      </c>
      <c r="I922" s="0" t="str">
        <f aca="false">IF($A922="","",IF(R922="Y","warm-intro",IF(H922="verified","email",IF(C922&lt;&gt;"","linkedin",CB922&amp;""))))</f>
        <v/>
      </c>
      <c r="J922" s="0" t="str">
        <f aca="false">IF($A922="","",IF(CN922="pass",ROUND(N(EM922)+N(EN922)+N(EO922)+N(EP922)+N(EQ922)+N(ER922),1),0))</f>
        <v/>
      </c>
      <c r="K922" s="0" t="str">
        <f aca="false">IF($A922="","",IF(CN922&lt;&gt;"pass",CA922&amp;"",CA922&amp;"; "&amp;IF(AW922="Y",BZ922&amp;"",BL922&amp;"")&amp;IF(R922="Y","; known to the founder (+15)","")&amp;"."))</f>
        <v/>
      </c>
      <c r="R922" s="5"/>
      <c r="U922" s="5"/>
      <c r="Y922" s="0" t="str">
        <f aca="false">IF(FX922&lt;&gt;"Y","",COUNTIFS($FX$2:$FX$1000,"Y",$J$2:$J$1000,"&gt;"&amp;J922)+COUNTIFS($FX$2:$FX$1000,"Y",$J$2:$J$1000,J922,$GD$2:$GD$1000,"&lt;"&amp;GD922)+1)</f>
        <v/>
      </c>
      <c r="AB922" s="0" t="str">
        <f aca="false">IF($A922="","",IF(AW922="Y",BY922&amp;"",BK922&amp;""))</f>
        <v/>
      </c>
      <c r="AC922" s="0" t="str">
        <f aca="false">IF($A922="","",IF(AW922="Y",BS922&amp;"",BE922&amp;""))</f>
        <v/>
      </c>
      <c r="AD922" s="0" t="str">
        <f aca="false">IF($A922="","",IF(AW922="Y",BT922&amp;"",BF922&amp;""))</f>
        <v/>
      </c>
      <c r="AE922" s="0" t="str">
        <f aca="false">IF($A922="","",IF(AW922="Y",BU922&amp;"",BG922&amp;""))</f>
        <v/>
      </c>
      <c r="AF922" s="0" t="str">
        <f aca="false">IF($A922="","",IF(AW922="Y",BV922&amp;"",BH922&amp;""))</f>
        <v/>
      </c>
      <c r="AG922" s="0" t="str">
        <f aca="false">IF($A922="","",IF(AW922="Y",BW922&amp;"",BI922&amp;""))</f>
        <v/>
      </c>
      <c r="AH922" s="0" t="str">
        <f aca="false">IF($A922="","",IF(AW922="Y",BX922&amp;"",BJ922&amp;""))</f>
        <v/>
      </c>
      <c r="AQ922" s="5"/>
      <c r="AT922" s="0" t="str">
        <f aca="false">IF($A922="","",IF(AND(CN922="pass",AQ922&lt;&gt;"Y",C922&lt;&gt;"",OR(AX922&lt;&gt;"Y",AV922="Y")),"Y","N"))</f>
        <v/>
      </c>
      <c r="AU922" s="0" t="str">
        <f aca="false">IF($A922="","",_xlfn.TEXTJOIN("; ",TRUE(),IF(CN922&lt;&gt;"pass","gated out",""),IF(AQ922="Y","on hold: "&amp;AR922,""),IF(C922="","no contact named on an opened page",""),IF(AND(AX922="Y",AV922&lt;&gt;"Y"),"Tuesday estimate band "&amp;L922&amp;": founder's call","")))</f>
        <v/>
      </c>
      <c r="BC922" s="0" t="str">
        <f aca="false">IF($A922="","",IFERROR(INDEX(Enrichment!$A$2:$GZ$2000,MATCH($A922,INDEX(Enrichment!$A$2:$GZ$2000,0,MATCH("row_id",Enrichment!$A$1:$GZ$1,0)),0),MATCH("work_email",Enrichment!$A$1:$GZ$1,0))&amp;"",""))</f>
        <v/>
      </c>
      <c r="BD922" s="0" t="str">
        <f aca="false">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Q922" s="0" t="str">
        <f aca="false">IF($A922="","",IFERROR(INDEX(Enrichment!$A$2:$GZ$2000,MATCH($A922,INDEX(Enrichment!$A$2:$GZ$2000,0,MATCH("row_id",Enrichment!$A$1:$GZ$1,0)),0),MATCH("backup_work_email",Enrichment!$A$1:$GZ$1,0))&amp;"",""))</f>
        <v/>
      </c>
      <c r="BR922" s="0" t="str">
        <f aca="false">IF($A922="","",IF(BQ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EQ922" s="0" t="str">
        <f aca="false">IF($A922="","",IF(AH922="exact",10,IF(AH922="adjacent",5,0)))</f>
        <v/>
      </c>
      <c r="ER922" s="0" t="str">
        <f aca="false">IF($A922="","",IF(R922="Y",15,0))</f>
        <v/>
      </c>
      <c r="FS922" s="0" t="str">
        <f aca="false">IF($A922="","",IF(ISNUMBER(MATCH(U922,{"queued","contacted","replied","call_booked","call_done","yes_in_principle","materials_sent"},0)),"Y","N"))</f>
        <v/>
      </c>
      <c r="FT922" s="0" t="str">
        <f aca="false">IF($A922="","",IF(OR(T922="Y",U922="do_not_contact",AS922&amp;""&lt;&gt;""),"Y","N"))</f>
        <v/>
      </c>
      <c r="FU922" s="0" t="str">
        <f aca="false">IF($A922="","",IF(AP922&amp;""&lt;&gt;"",AP922&amp;"",$A922))</f>
        <v/>
      </c>
      <c r="FV922" s="0" t="str">
        <f aca="false">IF($A922="","",IF(COUNTIFS($FU$2:$FU$1000,FU922,$FS$2:$FS$1000,"Y")+COUNTIFS($FU$2:$FU$1000,FU922,$FT$2:$FT$1000,"Y")&gt;0,"Y","N"))</f>
        <v/>
      </c>
      <c r="FW922" s="0" t="str">
        <f aca="false">IF($A922="","",IF(AND(U922="new",T922="N",FT922="N",AT922="Y",FV922="N"),"Y","N"))</f>
        <v/>
      </c>
      <c r="FX922" s="0" t="str">
        <f aca="false">IF($A922="","",IF(FW922&lt;&gt;"Y","N",IF(COUNTIFS($FU$2:$FU$1000,FU922,$FW$2:$FW$1000,"Y",$J$2:$J$1000,"&gt;"&amp;J922)+COUNTIFS($FU$2:$FU$1000,FU922,$FW$2:$FW$1000,"Y",$J$2:$J$1000,J922,$GD$2:$GD$1000,"&lt;"&amp;GD922)=0,"Y","N")))</f>
        <v/>
      </c>
      <c r="FY922" s="0" t="str">
        <f aca="false">IF($A922="","",IF(AND(FW922="Y",FX922="Y",Y922&amp;""&lt;&gt;""),IF(Y922&lt;=10,"Y","N"),"N"))</f>
        <v/>
      </c>
      <c r="FZ922" s="0" t="str">
        <f aca="false">IF(FY922="Y",Y922,"")</f>
        <v/>
      </c>
      <c r="GA922" s="0" t="str">
        <f aca="false">IF($A922="","",IF(AND(I922="walk-in",CN922="pass",U922="new",FT922="N",FV922="N",AQ922&lt;&gt;"Y"),"Y","N"))</f>
        <v/>
      </c>
      <c r="GB922" s="0" t="str">
        <f aca="false">IF(GA922&lt;&gt;"Y","",IF(COUNTIFS($GA$2:$GA$1000,"Y",$J$2:$J$1000,"&gt;"&amp;J922)+COUNTIFS($GA$2:$GA$1000,"Y",$J$2:$J$1000,J922,$GD$2:$GD$1000,"&lt;"&amp;GD922)+1&lt;=25,COUNTIFS($GA$2:$GA$1000,"Y",$J$2:$J$1000,"&gt;"&amp;J922)+COUNTIFS($GA$2:$GA$1000,"Y",$J$2:$J$1000,J922,$GD$2:$GD$1000,"&lt;"&amp;GD922)+1,""))</f>
        <v/>
      </c>
      <c r="GC922" s="0" t="str">
        <f aca="false">IF(AND(_xlfn.ISFORMULA(C922),_xlfn.ISFORMULA(J922)),"Y","N")</f>
        <v>Y</v>
      </c>
      <c r="GD922" s="0" t="n">
        <f aca="false">ROW()-1</f>
        <v>921</v>
      </c>
    </row>
    <row r="923" customFormat="false" ht="15" hidden="false" customHeight="false" outlineLevel="0" collapsed="false">
      <c r="C923" s="0" t="str">
        <f aca="false">IF($A923="","",IF(AW923="Y",BM923&amp;"",AY923&amp;""))</f>
        <v/>
      </c>
      <c r="D923" s="0" t="str">
        <f aca="false">IF($A923="","",IF(AW923="Y",BN923&amp;"",AZ923&amp;""))</f>
        <v/>
      </c>
      <c r="E923" s="0" t="str">
        <f aca="false">IF($A923="","",IF(AW923="Y",BO923&amp;"",BA923&amp;""))</f>
        <v/>
      </c>
      <c r="F923" s="0" t="str">
        <f aca="false">IF($A923="","",IF(AW923="Y",BP923&amp;"",BB923&amp;""))</f>
        <v/>
      </c>
      <c r="G923" s="0" t="str">
        <f aca="false">IF($A923="","",IF(AW923="Y",BQ923&amp;"",BC923&amp;""))</f>
        <v/>
      </c>
      <c r="H923" s="0" t="str">
        <f aca="false">IF($A923="","",IF(AW923="Y",BR923&amp;"",BD923&amp;""))</f>
        <v/>
      </c>
      <c r="I923" s="0" t="str">
        <f aca="false">IF($A923="","",IF(R923="Y","warm-intro",IF(H923="verified","email",IF(C923&lt;&gt;"","linkedin",CB923&amp;""))))</f>
        <v/>
      </c>
      <c r="J923" s="0" t="str">
        <f aca="false">IF($A923="","",IF(CN923="pass",ROUND(N(EM923)+N(EN923)+N(EO923)+N(EP923)+N(EQ923)+N(ER923),1),0))</f>
        <v/>
      </c>
      <c r="K923" s="0" t="str">
        <f aca="false">IF($A923="","",IF(CN923&lt;&gt;"pass",CA923&amp;"",CA923&amp;"; "&amp;IF(AW923="Y",BZ923&amp;"",BL923&amp;"")&amp;IF(R923="Y","; known to the founder (+15)","")&amp;"."))</f>
        <v/>
      </c>
      <c r="R923" s="5"/>
      <c r="U923" s="5"/>
      <c r="Y923" s="0" t="str">
        <f aca="false">IF(FX923&lt;&gt;"Y","",COUNTIFS($FX$2:$FX$1000,"Y",$J$2:$J$1000,"&gt;"&amp;J923)+COUNTIFS($FX$2:$FX$1000,"Y",$J$2:$J$1000,J923,$GD$2:$GD$1000,"&lt;"&amp;GD923)+1)</f>
        <v/>
      </c>
      <c r="AB923" s="0" t="str">
        <f aca="false">IF($A923="","",IF(AW923="Y",BY923&amp;"",BK923&amp;""))</f>
        <v/>
      </c>
      <c r="AC923" s="0" t="str">
        <f aca="false">IF($A923="","",IF(AW923="Y",BS923&amp;"",BE923&amp;""))</f>
        <v/>
      </c>
      <c r="AD923" s="0" t="str">
        <f aca="false">IF($A923="","",IF(AW923="Y",BT923&amp;"",BF923&amp;""))</f>
        <v/>
      </c>
      <c r="AE923" s="0" t="str">
        <f aca="false">IF($A923="","",IF(AW923="Y",BU923&amp;"",BG923&amp;""))</f>
        <v/>
      </c>
      <c r="AF923" s="0" t="str">
        <f aca="false">IF($A923="","",IF(AW923="Y",BV923&amp;"",BH923&amp;""))</f>
        <v/>
      </c>
      <c r="AG923" s="0" t="str">
        <f aca="false">IF($A923="","",IF(AW923="Y",BW923&amp;"",BI923&amp;""))</f>
        <v/>
      </c>
      <c r="AH923" s="0" t="str">
        <f aca="false">IF($A923="","",IF(AW923="Y",BX923&amp;"",BJ923&amp;""))</f>
        <v/>
      </c>
      <c r="AQ923" s="5"/>
      <c r="AT923" s="0" t="str">
        <f aca="false">IF($A923="","",IF(AND(CN923="pass",AQ923&lt;&gt;"Y",C923&lt;&gt;"",OR(AX923&lt;&gt;"Y",AV923="Y")),"Y","N"))</f>
        <v/>
      </c>
      <c r="AU923" s="0" t="str">
        <f aca="false">IF($A923="","",_xlfn.TEXTJOIN("; ",TRUE(),IF(CN923&lt;&gt;"pass","gated out",""),IF(AQ923="Y","on hold: "&amp;AR923,""),IF(C923="","no contact named on an opened page",""),IF(AND(AX923="Y",AV923&lt;&gt;"Y"),"Tuesday estimate band "&amp;L923&amp;": founder's call","")))</f>
        <v/>
      </c>
      <c r="BC923" s="0" t="str">
        <f aca="false">IF($A923="","",IFERROR(INDEX(Enrichment!$A$2:$GZ$2000,MATCH($A923,INDEX(Enrichment!$A$2:$GZ$2000,0,MATCH("row_id",Enrichment!$A$1:$GZ$1,0)),0),MATCH("work_email",Enrichment!$A$1:$GZ$1,0))&amp;"",""))</f>
        <v/>
      </c>
      <c r="BD923" s="0" t="str">
        <f aca="false">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Q923" s="0" t="str">
        <f aca="false">IF($A923="","",IFERROR(INDEX(Enrichment!$A$2:$GZ$2000,MATCH($A923,INDEX(Enrichment!$A$2:$GZ$2000,0,MATCH("row_id",Enrichment!$A$1:$GZ$1,0)),0),MATCH("backup_work_email",Enrichment!$A$1:$GZ$1,0))&amp;"",""))</f>
        <v/>
      </c>
      <c r="BR923" s="0" t="str">
        <f aca="false">IF($A923="","",IF(BQ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EQ923" s="0" t="str">
        <f aca="false">IF($A923="","",IF(AH923="exact",10,IF(AH923="adjacent",5,0)))</f>
        <v/>
      </c>
      <c r="ER923" s="0" t="str">
        <f aca="false">IF($A923="","",IF(R923="Y",15,0))</f>
        <v/>
      </c>
      <c r="FS923" s="0" t="str">
        <f aca="false">IF($A923="","",IF(ISNUMBER(MATCH(U923,{"queued","contacted","replied","call_booked","call_done","yes_in_principle","materials_sent"},0)),"Y","N"))</f>
        <v/>
      </c>
      <c r="FT923" s="0" t="str">
        <f aca="false">IF($A923="","",IF(OR(T923="Y",U923="do_not_contact",AS923&amp;""&lt;&gt;""),"Y","N"))</f>
        <v/>
      </c>
      <c r="FU923" s="0" t="str">
        <f aca="false">IF($A923="","",IF(AP923&amp;""&lt;&gt;"",AP923&amp;"",$A923))</f>
        <v/>
      </c>
      <c r="FV923" s="0" t="str">
        <f aca="false">IF($A923="","",IF(COUNTIFS($FU$2:$FU$1000,FU923,$FS$2:$FS$1000,"Y")+COUNTIFS($FU$2:$FU$1000,FU923,$FT$2:$FT$1000,"Y")&gt;0,"Y","N"))</f>
        <v/>
      </c>
      <c r="FW923" s="0" t="str">
        <f aca="false">IF($A923="","",IF(AND(U923="new",T923="N",FT923="N",AT923="Y",FV923="N"),"Y","N"))</f>
        <v/>
      </c>
      <c r="FX923" s="0" t="str">
        <f aca="false">IF($A923="","",IF(FW923&lt;&gt;"Y","N",IF(COUNTIFS($FU$2:$FU$1000,FU923,$FW$2:$FW$1000,"Y",$J$2:$J$1000,"&gt;"&amp;J923)+COUNTIFS($FU$2:$FU$1000,FU923,$FW$2:$FW$1000,"Y",$J$2:$J$1000,J923,$GD$2:$GD$1000,"&lt;"&amp;GD923)=0,"Y","N")))</f>
        <v/>
      </c>
      <c r="FY923" s="0" t="str">
        <f aca="false">IF($A923="","",IF(AND(FW923="Y",FX923="Y",Y923&amp;""&lt;&gt;""),IF(Y923&lt;=10,"Y","N"),"N"))</f>
        <v/>
      </c>
      <c r="FZ923" s="0" t="str">
        <f aca="false">IF(FY923="Y",Y923,"")</f>
        <v/>
      </c>
      <c r="GA923" s="0" t="str">
        <f aca="false">IF($A923="","",IF(AND(I923="walk-in",CN923="pass",U923="new",FT923="N",FV923="N",AQ923&lt;&gt;"Y"),"Y","N"))</f>
        <v/>
      </c>
      <c r="GB923" s="0" t="str">
        <f aca="false">IF(GA923&lt;&gt;"Y","",IF(COUNTIFS($GA$2:$GA$1000,"Y",$J$2:$J$1000,"&gt;"&amp;J923)+COUNTIFS($GA$2:$GA$1000,"Y",$J$2:$J$1000,J923,$GD$2:$GD$1000,"&lt;"&amp;GD923)+1&lt;=25,COUNTIFS($GA$2:$GA$1000,"Y",$J$2:$J$1000,"&gt;"&amp;J923)+COUNTIFS($GA$2:$GA$1000,"Y",$J$2:$J$1000,J923,$GD$2:$GD$1000,"&lt;"&amp;GD923)+1,""))</f>
        <v/>
      </c>
      <c r="GC923" s="0" t="str">
        <f aca="false">IF(AND(_xlfn.ISFORMULA(C923),_xlfn.ISFORMULA(J923)),"Y","N")</f>
        <v>Y</v>
      </c>
      <c r="GD923" s="0" t="n">
        <f aca="false">ROW()-1</f>
        <v>922</v>
      </c>
    </row>
    <row r="924" customFormat="false" ht="15" hidden="false" customHeight="false" outlineLevel="0" collapsed="false">
      <c r="C924" s="0" t="str">
        <f aca="false">IF($A924="","",IF(AW924="Y",BM924&amp;"",AY924&amp;""))</f>
        <v/>
      </c>
      <c r="D924" s="0" t="str">
        <f aca="false">IF($A924="","",IF(AW924="Y",BN924&amp;"",AZ924&amp;""))</f>
        <v/>
      </c>
      <c r="E924" s="0" t="str">
        <f aca="false">IF($A924="","",IF(AW924="Y",BO924&amp;"",BA924&amp;""))</f>
        <v/>
      </c>
      <c r="F924" s="0" t="str">
        <f aca="false">IF($A924="","",IF(AW924="Y",BP924&amp;"",BB924&amp;""))</f>
        <v/>
      </c>
      <c r="G924" s="0" t="str">
        <f aca="false">IF($A924="","",IF(AW924="Y",BQ924&amp;"",BC924&amp;""))</f>
        <v/>
      </c>
      <c r="H924" s="0" t="str">
        <f aca="false">IF($A924="","",IF(AW924="Y",BR924&amp;"",BD924&amp;""))</f>
        <v/>
      </c>
      <c r="I924" s="0" t="str">
        <f aca="false">IF($A924="","",IF(R924="Y","warm-intro",IF(H924="verified","email",IF(C924&lt;&gt;"","linkedin",CB924&amp;""))))</f>
        <v/>
      </c>
      <c r="J924" s="0" t="str">
        <f aca="false">IF($A924="","",IF(CN924="pass",ROUND(N(EM924)+N(EN924)+N(EO924)+N(EP924)+N(EQ924)+N(ER924),1),0))</f>
        <v/>
      </c>
      <c r="K924" s="0" t="str">
        <f aca="false">IF($A924="","",IF(CN924&lt;&gt;"pass",CA924&amp;"",CA924&amp;"; "&amp;IF(AW924="Y",BZ924&amp;"",BL924&amp;"")&amp;IF(R924="Y","; known to the founder (+15)","")&amp;"."))</f>
        <v/>
      </c>
      <c r="R924" s="5"/>
      <c r="U924" s="5"/>
      <c r="Y924" s="0" t="str">
        <f aca="false">IF(FX924&lt;&gt;"Y","",COUNTIFS($FX$2:$FX$1000,"Y",$J$2:$J$1000,"&gt;"&amp;J924)+COUNTIFS($FX$2:$FX$1000,"Y",$J$2:$J$1000,J924,$GD$2:$GD$1000,"&lt;"&amp;GD924)+1)</f>
        <v/>
      </c>
      <c r="AB924" s="0" t="str">
        <f aca="false">IF($A924="","",IF(AW924="Y",BY924&amp;"",BK924&amp;""))</f>
        <v/>
      </c>
      <c r="AC924" s="0" t="str">
        <f aca="false">IF($A924="","",IF(AW924="Y",BS924&amp;"",BE924&amp;""))</f>
        <v/>
      </c>
      <c r="AD924" s="0" t="str">
        <f aca="false">IF($A924="","",IF(AW924="Y",BT924&amp;"",BF924&amp;""))</f>
        <v/>
      </c>
      <c r="AE924" s="0" t="str">
        <f aca="false">IF($A924="","",IF(AW924="Y",BU924&amp;"",BG924&amp;""))</f>
        <v/>
      </c>
      <c r="AF924" s="0" t="str">
        <f aca="false">IF($A924="","",IF(AW924="Y",BV924&amp;"",BH924&amp;""))</f>
        <v/>
      </c>
      <c r="AG924" s="0" t="str">
        <f aca="false">IF($A924="","",IF(AW924="Y",BW924&amp;"",BI924&amp;""))</f>
        <v/>
      </c>
      <c r="AH924" s="0" t="str">
        <f aca="false">IF($A924="","",IF(AW924="Y",BX924&amp;"",BJ924&amp;""))</f>
        <v/>
      </c>
      <c r="AQ924" s="5"/>
      <c r="AT924" s="0" t="str">
        <f aca="false">IF($A924="","",IF(AND(CN924="pass",AQ924&lt;&gt;"Y",C924&lt;&gt;"",OR(AX924&lt;&gt;"Y",AV924="Y")),"Y","N"))</f>
        <v/>
      </c>
      <c r="AU924" s="0" t="str">
        <f aca="false">IF($A924="","",_xlfn.TEXTJOIN("; ",TRUE(),IF(CN924&lt;&gt;"pass","gated out",""),IF(AQ924="Y","on hold: "&amp;AR924,""),IF(C924="","no contact named on an opened page",""),IF(AND(AX924="Y",AV924&lt;&gt;"Y"),"Tuesday estimate band "&amp;L924&amp;": founder's call","")))</f>
        <v/>
      </c>
      <c r="BC924" s="0" t="str">
        <f aca="false">IF($A924="","",IFERROR(INDEX(Enrichment!$A$2:$GZ$2000,MATCH($A924,INDEX(Enrichment!$A$2:$GZ$2000,0,MATCH("row_id",Enrichment!$A$1:$GZ$1,0)),0),MATCH("work_email",Enrichment!$A$1:$GZ$1,0))&amp;"",""))</f>
        <v/>
      </c>
      <c r="BD924" s="0" t="str">
        <f aca="false">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Q924" s="0" t="str">
        <f aca="false">IF($A924="","",IFERROR(INDEX(Enrichment!$A$2:$GZ$2000,MATCH($A924,INDEX(Enrichment!$A$2:$GZ$2000,0,MATCH("row_id",Enrichment!$A$1:$GZ$1,0)),0),MATCH("backup_work_email",Enrichment!$A$1:$GZ$1,0))&amp;"",""))</f>
        <v/>
      </c>
      <c r="BR924" s="0" t="str">
        <f aca="false">IF($A924="","",IF(BQ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EQ924" s="0" t="str">
        <f aca="false">IF($A924="","",IF(AH924="exact",10,IF(AH924="adjacent",5,0)))</f>
        <v/>
      </c>
      <c r="ER924" s="0" t="str">
        <f aca="false">IF($A924="","",IF(R924="Y",15,0))</f>
        <v/>
      </c>
      <c r="FS924" s="0" t="str">
        <f aca="false">IF($A924="","",IF(ISNUMBER(MATCH(U924,{"queued","contacted","replied","call_booked","call_done","yes_in_principle","materials_sent"},0)),"Y","N"))</f>
        <v/>
      </c>
      <c r="FT924" s="0" t="str">
        <f aca="false">IF($A924="","",IF(OR(T924="Y",U924="do_not_contact",AS924&amp;""&lt;&gt;""),"Y","N"))</f>
        <v/>
      </c>
      <c r="FU924" s="0" t="str">
        <f aca="false">IF($A924="","",IF(AP924&amp;""&lt;&gt;"",AP924&amp;"",$A924))</f>
        <v/>
      </c>
      <c r="FV924" s="0" t="str">
        <f aca="false">IF($A924="","",IF(COUNTIFS($FU$2:$FU$1000,FU924,$FS$2:$FS$1000,"Y")+COUNTIFS($FU$2:$FU$1000,FU924,$FT$2:$FT$1000,"Y")&gt;0,"Y","N"))</f>
        <v/>
      </c>
      <c r="FW924" s="0" t="str">
        <f aca="false">IF($A924="","",IF(AND(U924="new",T924="N",FT924="N",AT924="Y",FV924="N"),"Y","N"))</f>
        <v/>
      </c>
      <c r="FX924" s="0" t="str">
        <f aca="false">IF($A924="","",IF(FW924&lt;&gt;"Y","N",IF(COUNTIFS($FU$2:$FU$1000,FU924,$FW$2:$FW$1000,"Y",$J$2:$J$1000,"&gt;"&amp;J924)+COUNTIFS($FU$2:$FU$1000,FU924,$FW$2:$FW$1000,"Y",$J$2:$J$1000,J924,$GD$2:$GD$1000,"&lt;"&amp;GD924)=0,"Y","N")))</f>
        <v/>
      </c>
      <c r="FY924" s="0" t="str">
        <f aca="false">IF($A924="","",IF(AND(FW924="Y",FX924="Y",Y924&amp;""&lt;&gt;""),IF(Y924&lt;=10,"Y","N"),"N"))</f>
        <v/>
      </c>
      <c r="FZ924" s="0" t="str">
        <f aca="false">IF(FY924="Y",Y924,"")</f>
        <v/>
      </c>
      <c r="GA924" s="0" t="str">
        <f aca="false">IF($A924="","",IF(AND(I924="walk-in",CN924="pass",U924="new",FT924="N",FV924="N",AQ924&lt;&gt;"Y"),"Y","N"))</f>
        <v/>
      </c>
      <c r="GB924" s="0" t="str">
        <f aca="false">IF(GA924&lt;&gt;"Y","",IF(COUNTIFS($GA$2:$GA$1000,"Y",$J$2:$J$1000,"&gt;"&amp;J924)+COUNTIFS($GA$2:$GA$1000,"Y",$J$2:$J$1000,J924,$GD$2:$GD$1000,"&lt;"&amp;GD924)+1&lt;=25,COUNTIFS($GA$2:$GA$1000,"Y",$J$2:$J$1000,"&gt;"&amp;J924)+COUNTIFS($GA$2:$GA$1000,"Y",$J$2:$J$1000,J924,$GD$2:$GD$1000,"&lt;"&amp;GD924)+1,""))</f>
        <v/>
      </c>
      <c r="GC924" s="0" t="str">
        <f aca="false">IF(AND(_xlfn.ISFORMULA(C924),_xlfn.ISFORMULA(J924)),"Y","N")</f>
        <v>Y</v>
      </c>
      <c r="GD924" s="0" t="n">
        <f aca="false">ROW()-1</f>
        <v>923</v>
      </c>
    </row>
    <row r="925" customFormat="false" ht="15" hidden="false" customHeight="false" outlineLevel="0" collapsed="false">
      <c r="C925" s="0" t="str">
        <f aca="false">IF($A925="","",IF(AW925="Y",BM925&amp;"",AY925&amp;""))</f>
        <v/>
      </c>
      <c r="D925" s="0" t="str">
        <f aca="false">IF($A925="","",IF(AW925="Y",BN925&amp;"",AZ925&amp;""))</f>
        <v/>
      </c>
      <c r="E925" s="0" t="str">
        <f aca="false">IF($A925="","",IF(AW925="Y",BO925&amp;"",BA925&amp;""))</f>
        <v/>
      </c>
      <c r="F925" s="0" t="str">
        <f aca="false">IF($A925="","",IF(AW925="Y",BP925&amp;"",BB925&amp;""))</f>
        <v/>
      </c>
      <c r="G925" s="0" t="str">
        <f aca="false">IF($A925="","",IF(AW925="Y",BQ925&amp;"",BC925&amp;""))</f>
        <v/>
      </c>
      <c r="H925" s="0" t="str">
        <f aca="false">IF($A925="","",IF(AW925="Y",BR925&amp;"",BD925&amp;""))</f>
        <v/>
      </c>
      <c r="I925" s="0" t="str">
        <f aca="false">IF($A925="","",IF(R925="Y","warm-intro",IF(H925="verified","email",IF(C925&lt;&gt;"","linkedin",CB925&amp;""))))</f>
        <v/>
      </c>
      <c r="J925" s="0" t="str">
        <f aca="false">IF($A925="","",IF(CN925="pass",ROUND(N(EM925)+N(EN925)+N(EO925)+N(EP925)+N(EQ925)+N(ER925),1),0))</f>
        <v/>
      </c>
      <c r="K925" s="0" t="str">
        <f aca="false">IF($A925="","",IF(CN925&lt;&gt;"pass",CA925&amp;"",CA925&amp;"; "&amp;IF(AW925="Y",BZ925&amp;"",BL925&amp;"")&amp;IF(R925="Y","; known to the founder (+15)","")&amp;"."))</f>
        <v/>
      </c>
      <c r="R925" s="5"/>
      <c r="U925" s="5"/>
      <c r="Y925" s="0" t="str">
        <f aca="false">IF(FX925&lt;&gt;"Y","",COUNTIFS($FX$2:$FX$1000,"Y",$J$2:$J$1000,"&gt;"&amp;J925)+COUNTIFS($FX$2:$FX$1000,"Y",$J$2:$J$1000,J925,$GD$2:$GD$1000,"&lt;"&amp;GD925)+1)</f>
        <v/>
      </c>
      <c r="AB925" s="0" t="str">
        <f aca="false">IF($A925="","",IF(AW925="Y",BY925&amp;"",BK925&amp;""))</f>
        <v/>
      </c>
      <c r="AC925" s="0" t="str">
        <f aca="false">IF($A925="","",IF(AW925="Y",BS925&amp;"",BE925&amp;""))</f>
        <v/>
      </c>
      <c r="AD925" s="0" t="str">
        <f aca="false">IF($A925="","",IF(AW925="Y",BT925&amp;"",BF925&amp;""))</f>
        <v/>
      </c>
      <c r="AE925" s="0" t="str">
        <f aca="false">IF($A925="","",IF(AW925="Y",BU925&amp;"",BG925&amp;""))</f>
        <v/>
      </c>
      <c r="AF925" s="0" t="str">
        <f aca="false">IF($A925="","",IF(AW925="Y",BV925&amp;"",BH925&amp;""))</f>
        <v/>
      </c>
      <c r="AG925" s="0" t="str">
        <f aca="false">IF($A925="","",IF(AW925="Y",BW925&amp;"",BI925&amp;""))</f>
        <v/>
      </c>
      <c r="AH925" s="0" t="str">
        <f aca="false">IF($A925="","",IF(AW925="Y",BX925&amp;"",BJ925&amp;""))</f>
        <v/>
      </c>
      <c r="AQ925" s="5"/>
      <c r="AT925" s="0" t="str">
        <f aca="false">IF($A925="","",IF(AND(CN925="pass",AQ925&lt;&gt;"Y",C925&lt;&gt;"",OR(AX925&lt;&gt;"Y",AV925="Y")),"Y","N"))</f>
        <v/>
      </c>
      <c r="AU925" s="0" t="str">
        <f aca="false">IF($A925="","",_xlfn.TEXTJOIN("; ",TRUE(),IF(CN925&lt;&gt;"pass","gated out",""),IF(AQ925="Y","on hold: "&amp;AR925,""),IF(C925="","no contact named on an opened page",""),IF(AND(AX925="Y",AV925&lt;&gt;"Y"),"Tuesday estimate band "&amp;L925&amp;": founder's call","")))</f>
        <v/>
      </c>
      <c r="BC925" s="0" t="str">
        <f aca="false">IF($A925="","",IFERROR(INDEX(Enrichment!$A$2:$GZ$2000,MATCH($A925,INDEX(Enrichment!$A$2:$GZ$2000,0,MATCH("row_id",Enrichment!$A$1:$GZ$1,0)),0),MATCH("work_email",Enrichment!$A$1:$GZ$1,0))&amp;"",""))</f>
        <v/>
      </c>
      <c r="BD925" s="0" t="str">
        <f aca="false">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Q925" s="0" t="str">
        <f aca="false">IF($A925="","",IFERROR(INDEX(Enrichment!$A$2:$GZ$2000,MATCH($A925,INDEX(Enrichment!$A$2:$GZ$2000,0,MATCH("row_id",Enrichment!$A$1:$GZ$1,0)),0),MATCH("backup_work_email",Enrichment!$A$1:$GZ$1,0))&amp;"",""))</f>
        <v/>
      </c>
      <c r="BR925" s="0" t="str">
        <f aca="false">IF($A925="","",IF(BQ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EQ925" s="0" t="str">
        <f aca="false">IF($A925="","",IF(AH925="exact",10,IF(AH925="adjacent",5,0)))</f>
        <v/>
      </c>
      <c r="ER925" s="0" t="str">
        <f aca="false">IF($A925="","",IF(R925="Y",15,0))</f>
        <v/>
      </c>
      <c r="FS925" s="0" t="str">
        <f aca="false">IF($A925="","",IF(ISNUMBER(MATCH(U925,{"queued","contacted","replied","call_booked","call_done","yes_in_principle","materials_sent"},0)),"Y","N"))</f>
        <v/>
      </c>
      <c r="FT925" s="0" t="str">
        <f aca="false">IF($A925="","",IF(OR(T925="Y",U925="do_not_contact",AS925&amp;""&lt;&gt;""),"Y","N"))</f>
        <v/>
      </c>
      <c r="FU925" s="0" t="str">
        <f aca="false">IF($A925="","",IF(AP925&amp;""&lt;&gt;"",AP925&amp;"",$A925))</f>
        <v/>
      </c>
      <c r="FV925" s="0" t="str">
        <f aca="false">IF($A925="","",IF(COUNTIFS($FU$2:$FU$1000,FU925,$FS$2:$FS$1000,"Y")+COUNTIFS($FU$2:$FU$1000,FU925,$FT$2:$FT$1000,"Y")&gt;0,"Y","N"))</f>
        <v/>
      </c>
      <c r="FW925" s="0" t="str">
        <f aca="false">IF($A925="","",IF(AND(U925="new",T925="N",FT925="N",AT925="Y",FV925="N"),"Y","N"))</f>
        <v/>
      </c>
      <c r="FX925" s="0" t="str">
        <f aca="false">IF($A925="","",IF(FW925&lt;&gt;"Y","N",IF(COUNTIFS($FU$2:$FU$1000,FU925,$FW$2:$FW$1000,"Y",$J$2:$J$1000,"&gt;"&amp;J925)+COUNTIFS($FU$2:$FU$1000,FU925,$FW$2:$FW$1000,"Y",$J$2:$J$1000,J925,$GD$2:$GD$1000,"&lt;"&amp;GD925)=0,"Y","N")))</f>
        <v/>
      </c>
      <c r="FY925" s="0" t="str">
        <f aca="false">IF($A925="","",IF(AND(FW925="Y",FX925="Y",Y925&amp;""&lt;&gt;""),IF(Y925&lt;=10,"Y","N"),"N"))</f>
        <v/>
      </c>
      <c r="FZ925" s="0" t="str">
        <f aca="false">IF(FY925="Y",Y925,"")</f>
        <v/>
      </c>
      <c r="GA925" s="0" t="str">
        <f aca="false">IF($A925="","",IF(AND(I925="walk-in",CN925="pass",U925="new",FT925="N",FV925="N",AQ925&lt;&gt;"Y"),"Y","N"))</f>
        <v/>
      </c>
      <c r="GB925" s="0" t="str">
        <f aca="false">IF(GA925&lt;&gt;"Y","",IF(COUNTIFS($GA$2:$GA$1000,"Y",$J$2:$J$1000,"&gt;"&amp;J925)+COUNTIFS($GA$2:$GA$1000,"Y",$J$2:$J$1000,J925,$GD$2:$GD$1000,"&lt;"&amp;GD925)+1&lt;=25,COUNTIFS($GA$2:$GA$1000,"Y",$J$2:$J$1000,"&gt;"&amp;J925)+COUNTIFS($GA$2:$GA$1000,"Y",$J$2:$J$1000,J925,$GD$2:$GD$1000,"&lt;"&amp;GD925)+1,""))</f>
        <v/>
      </c>
      <c r="GC925" s="0" t="str">
        <f aca="false">IF(AND(_xlfn.ISFORMULA(C925),_xlfn.ISFORMULA(J925)),"Y","N")</f>
        <v>Y</v>
      </c>
      <c r="GD925" s="0" t="n">
        <f aca="false">ROW()-1</f>
        <v>924</v>
      </c>
    </row>
    <row r="926" customFormat="false" ht="15" hidden="false" customHeight="false" outlineLevel="0" collapsed="false">
      <c r="C926" s="0" t="str">
        <f aca="false">IF($A926="","",IF(AW926="Y",BM926&amp;"",AY926&amp;""))</f>
        <v/>
      </c>
      <c r="D926" s="0" t="str">
        <f aca="false">IF($A926="","",IF(AW926="Y",BN926&amp;"",AZ926&amp;""))</f>
        <v/>
      </c>
      <c r="E926" s="0" t="str">
        <f aca="false">IF($A926="","",IF(AW926="Y",BO926&amp;"",BA926&amp;""))</f>
        <v/>
      </c>
      <c r="F926" s="0" t="str">
        <f aca="false">IF($A926="","",IF(AW926="Y",BP926&amp;"",BB926&amp;""))</f>
        <v/>
      </c>
      <c r="G926" s="0" t="str">
        <f aca="false">IF($A926="","",IF(AW926="Y",BQ926&amp;"",BC926&amp;""))</f>
        <v/>
      </c>
      <c r="H926" s="0" t="str">
        <f aca="false">IF($A926="","",IF(AW926="Y",BR926&amp;"",BD926&amp;""))</f>
        <v/>
      </c>
      <c r="I926" s="0" t="str">
        <f aca="false">IF($A926="","",IF(R926="Y","warm-intro",IF(H926="verified","email",IF(C926&lt;&gt;"","linkedin",CB926&amp;""))))</f>
        <v/>
      </c>
      <c r="J926" s="0" t="str">
        <f aca="false">IF($A926="","",IF(CN926="pass",ROUND(N(EM926)+N(EN926)+N(EO926)+N(EP926)+N(EQ926)+N(ER926),1),0))</f>
        <v/>
      </c>
      <c r="K926" s="0" t="str">
        <f aca="false">IF($A926="","",IF(CN926&lt;&gt;"pass",CA926&amp;"",CA926&amp;"; "&amp;IF(AW926="Y",BZ926&amp;"",BL926&amp;"")&amp;IF(R926="Y","; known to the founder (+15)","")&amp;"."))</f>
        <v/>
      </c>
      <c r="R926" s="5"/>
      <c r="U926" s="5"/>
      <c r="Y926" s="0" t="str">
        <f aca="false">IF(FX926&lt;&gt;"Y","",COUNTIFS($FX$2:$FX$1000,"Y",$J$2:$J$1000,"&gt;"&amp;J926)+COUNTIFS($FX$2:$FX$1000,"Y",$J$2:$J$1000,J926,$GD$2:$GD$1000,"&lt;"&amp;GD926)+1)</f>
        <v/>
      </c>
      <c r="AB926" s="0" t="str">
        <f aca="false">IF($A926="","",IF(AW926="Y",BY926&amp;"",BK926&amp;""))</f>
        <v/>
      </c>
      <c r="AC926" s="0" t="str">
        <f aca="false">IF($A926="","",IF(AW926="Y",BS926&amp;"",BE926&amp;""))</f>
        <v/>
      </c>
      <c r="AD926" s="0" t="str">
        <f aca="false">IF($A926="","",IF(AW926="Y",BT926&amp;"",BF926&amp;""))</f>
        <v/>
      </c>
      <c r="AE926" s="0" t="str">
        <f aca="false">IF($A926="","",IF(AW926="Y",BU926&amp;"",BG926&amp;""))</f>
        <v/>
      </c>
      <c r="AF926" s="0" t="str">
        <f aca="false">IF($A926="","",IF(AW926="Y",BV926&amp;"",BH926&amp;""))</f>
        <v/>
      </c>
      <c r="AG926" s="0" t="str">
        <f aca="false">IF($A926="","",IF(AW926="Y",BW926&amp;"",BI926&amp;""))</f>
        <v/>
      </c>
      <c r="AH926" s="0" t="str">
        <f aca="false">IF($A926="","",IF(AW926="Y",BX926&amp;"",BJ926&amp;""))</f>
        <v/>
      </c>
      <c r="AQ926" s="5"/>
      <c r="AT926" s="0" t="str">
        <f aca="false">IF($A926="","",IF(AND(CN926="pass",AQ926&lt;&gt;"Y",C926&lt;&gt;"",OR(AX926&lt;&gt;"Y",AV926="Y")),"Y","N"))</f>
        <v/>
      </c>
      <c r="AU926" s="0" t="str">
        <f aca="false">IF($A926="","",_xlfn.TEXTJOIN("; ",TRUE(),IF(CN926&lt;&gt;"pass","gated out",""),IF(AQ926="Y","on hold: "&amp;AR926,""),IF(C926="","no contact named on an opened page",""),IF(AND(AX926="Y",AV926&lt;&gt;"Y"),"Tuesday estimate band "&amp;L926&amp;": founder's call","")))</f>
        <v/>
      </c>
      <c r="BC926" s="0" t="str">
        <f aca="false">IF($A926="","",IFERROR(INDEX(Enrichment!$A$2:$GZ$2000,MATCH($A926,INDEX(Enrichment!$A$2:$GZ$2000,0,MATCH("row_id",Enrichment!$A$1:$GZ$1,0)),0),MATCH("work_email",Enrichment!$A$1:$GZ$1,0))&amp;"",""))</f>
        <v/>
      </c>
      <c r="BD926" s="0" t="str">
        <f aca="false">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Q926" s="0" t="str">
        <f aca="false">IF($A926="","",IFERROR(INDEX(Enrichment!$A$2:$GZ$2000,MATCH($A926,INDEX(Enrichment!$A$2:$GZ$2000,0,MATCH("row_id",Enrichment!$A$1:$GZ$1,0)),0),MATCH("backup_work_email",Enrichment!$A$1:$GZ$1,0))&amp;"",""))</f>
        <v/>
      </c>
      <c r="BR926" s="0" t="str">
        <f aca="false">IF($A926="","",IF(BQ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EQ926" s="0" t="str">
        <f aca="false">IF($A926="","",IF(AH926="exact",10,IF(AH926="adjacent",5,0)))</f>
        <v/>
      </c>
      <c r="ER926" s="0" t="str">
        <f aca="false">IF($A926="","",IF(R926="Y",15,0))</f>
        <v/>
      </c>
      <c r="FS926" s="0" t="str">
        <f aca="false">IF($A926="","",IF(ISNUMBER(MATCH(U926,{"queued","contacted","replied","call_booked","call_done","yes_in_principle","materials_sent"},0)),"Y","N"))</f>
        <v/>
      </c>
      <c r="FT926" s="0" t="str">
        <f aca="false">IF($A926="","",IF(OR(T926="Y",U926="do_not_contact",AS926&amp;""&lt;&gt;""),"Y","N"))</f>
        <v/>
      </c>
      <c r="FU926" s="0" t="str">
        <f aca="false">IF($A926="","",IF(AP926&amp;""&lt;&gt;"",AP926&amp;"",$A926))</f>
        <v/>
      </c>
      <c r="FV926" s="0" t="str">
        <f aca="false">IF($A926="","",IF(COUNTIFS($FU$2:$FU$1000,FU926,$FS$2:$FS$1000,"Y")+COUNTIFS($FU$2:$FU$1000,FU926,$FT$2:$FT$1000,"Y")&gt;0,"Y","N"))</f>
        <v/>
      </c>
      <c r="FW926" s="0" t="str">
        <f aca="false">IF($A926="","",IF(AND(U926="new",T926="N",FT926="N",AT926="Y",FV926="N"),"Y","N"))</f>
        <v/>
      </c>
      <c r="FX926" s="0" t="str">
        <f aca="false">IF($A926="","",IF(FW926&lt;&gt;"Y","N",IF(COUNTIFS($FU$2:$FU$1000,FU926,$FW$2:$FW$1000,"Y",$J$2:$J$1000,"&gt;"&amp;J926)+COUNTIFS($FU$2:$FU$1000,FU926,$FW$2:$FW$1000,"Y",$J$2:$J$1000,J926,$GD$2:$GD$1000,"&lt;"&amp;GD926)=0,"Y","N")))</f>
        <v/>
      </c>
      <c r="FY926" s="0" t="str">
        <f aca="false">IF($A926="","",IF(AND(FW926="Y",FX926="Y",Y926&amp;""&lt;&gt;""),IF(Y926&lt;=10,"Y","N"),"N"))</f>
        <v/>
      </c>
      <c r="FZ926" s="0" t="str">
        <f aca="false">IF(FY926="Y",Y926,"")</f>
        <v/>
      </c>
      <c r="GA926" s="0" t="str">
        <f aca="false">IF($A926="","",IF(AND(I926="walk-in",CN926="pass",U926="new",FT926="N",FV926="N",AQ926&lt;&gt;"Y"),"Y","N"))</f>
        <v/>
      </c>
      <c r="GB926" s="0" t="str">
        <f aca="false">IF(GA926&lt;&gt;"Y","",IF(COUNTIFS($GA$2:$GA$1000,"Y",$J$2:$J$1000,"&gt;"&amp;J926)+COUNTIFS($GA$2:$GA$1000,"Y",$J$2:$J$1000,J926,$GD$2:$GD$1000,"&lt;"&amp;GD926)+1&lt;=25,COUNTIFS($GA$2:$GA$1000,"Y",$J$2:$J$1000,"&gt;"&amp;J926)+COUNTIFS($GA$2:$GA$1000,"Y",$J$2:$J$1000,J926,$GD$2:$GD$1000,"&lt;"&amp;GD926)+1,""))</f>
        <v/>
      </c>
      <c r="GC926" s="0" t="str">
        <f aca="false">IF(AND(_xlfn.ISFORMULA(C926),_xlfn.ISFORMULA(J926)),"Y","N")</f>
        <v>Y</v>
      </c>
      <c r="GD926" s="0" t="n">
        <f aca="false">ROW()-1</f>
        <v>925</v>
      </c>
    </row>
    <row r="927" customFormat="false" ht="15" hidden="false" customHeight="false" outlineLevel="0" collapsed="false">
      <c r="C927" s="0" t="str">
        <f aca="false">IF($A927="","",IF(AW927="Y",BM927&amp;"",AY927&amp;""))</f>
        <v/>
      </c>
      <c r="D927" s="0" t="str">
        <f aca="false">IF($A927="","",IF(AW927="Y",BN927&amp;"",AZ927&amp;""))</f>
        <v/>
      </c>
      <c r="E927" s="0" t="str">
        <f aca="false">IF($A927="","",IF(AW927="Y",BO927&amp;"",BA927&amp;""))</f>
        <v/>
      </c>
      <c r="F927" s="0" t="str">
        <f aca="false">IF($A927="","",IF(AW927="Y",BP927&amp;"",BB927&amp;""))</f>
        <v/>
      </c>
      <c r="G927" s="0" t="str">
        <f aca="false">IF($A927="","",IF(AW927="Y",BQ927&amp;"",BC927&amp;""))</f>
        <v/>
      </c>
      <c r="H927" s="0" t="str">
        <f aca="false">IF($A927="","",IF(AW927="Y",BR927&amp;"",BD927&amp;""))</f>
        <v/>
      </c>
      <c r="I927" s="0" t="str">
        <f aca="false">IF($A927="","",IF(R927="Y","warm-intro",IF(H927="verified","email",IF(C927&lt;&gt;"","linkedin",CB927&amp;""))))</f>
        <v/>
      </c>
      <c r="J927" s="0" t="str">
        <f aca="false">IF($A927="","",IF(CN927="pass",ROUND(N(EM927)+N(EN927)+N(EO927)+N(EP927)+N(EQ927)+N(ER927),1),0))</f>
        <v/>
      </c>
      <c r="K927" s="0" t="str">
        <f aca="false">IF($A927="","",IF(CN927&lt;&gt;"pass",CA927&amp;"",CA927&amp;"; "&amp;IF(AW927="Y",BZ927&amp;"",BL927&amp;"")&amp;IF(R927="Y","; known to the founder (+15)","")&amp;"."))</f>
        <v/>
      </c>
      <c r="R927" s="5"/>
      <c r="U927" s="5"/>
      <c r="Y927" s="0" t="str">
        <f aca="false">IF(FX927&lt;&gt;"Y","",COUNTIFS($FX$2:$FX$1000,"Y",$J$2:$J$1000,"&gt;"&amp;J927)+COUNTIFS($FX$2:$FX$1000,"Y",$J$2:$J$1000,J927,$GD$2:$GD$1000,"&lt;"&amp;GD927)+1)</f>
        <v/>
      </c>
      <c r="AB927" s="0" t="str">
        <f aca="false">IF($A927="","",IF(AW927="Y",BY927&amp;"",BK927&amp;""))</f>
        <v/>
      </c>
      <c r="AC927" s="0" t="str">
        <f aca="false">IF($A927="","",IF(AW927="Y",BS927&amp;"",BE927&amp;""))</f>
        <v/>
      </c>
      <c r="AD927" s="0" t="str">
        <f aca="false">IF($A927="","",IF(AW927="Y",BT927&amp;"",BF927&amp;""))</f>
        <v/>
      </c>
      <c r="AE927" s="0" t="str">
        <f aca="false">IF($A927="","",IF(AW927="Y",BU927&amp;"",BG927&amp;""))</f>
        <v/>
      </c>
      <c r="AF927" s="0" t="str">
        <f aca="false">IF($A927="","",IF(AW927="Y",BV927&amp;"",BH927&amp;""))</f>
        <v/>
      </c>
      <c r="AG927" s="0" t="str">
        <f aca="false">IF($A927="","",IF(AW927="Y",BW927&amp;"",BI927&amp;""))</f>
        <v/>
      </c>
      <c r="AH927" s="0" t="str">
        <f aca="false">IF($A927="","",IF(AW927="Y",BX927&amp;"",BJ927&amp;""))</f>
        <v/>
      </c>
      <c r="AQ927" s="5"/>
      <c r="AT927" s="0" t="str">
        <f aca="false">IF($A927="","",IF(AND(CN927="pass",AQ927&lt;&gt;"Y",C927&lt;&gt;"",OR(AX927&lt;&gt;"Y",AV927="Y")),"Y","N"))</f>
        <v/>
      </c>
      <c r="AU927" s="0" t="str">
        <f aca="false">IF($A927="","",_xlfn.TEXTJOIN("; ",TRUE(),IF(CN927&lt;&gt;"pass","gated out",""),IF(AQ927="Y","on hold: "&amp;AR927,""),IF(C927="","no contact named on an opened page",""),IF(AND(AX927="Y",AV927&lt;&gt;"Y"),"Tuesday estimate band "&amp;L927&amp;": founder's call","")))</f>
        <v/>
      </c>
      <c r="BC927" s="0" t="str">
        <f aca="false">IF($A927="","",IFERROR(INDEX(Enrichment!$A$2:$GZ$2000,MATCH($A927,INDEX(Enrichment!$A$2:$GZ$2000,0,MATCH("row_id",Enrichment!$A$1:$GZ$1,0)),0),MATCH("work_email",Enrichment!$A$1:$GZ$1,0))&amp;"",""))</f>
        <v/>
      </c>
      <c r="BD927" s="0" t="str">
        <f aca="false">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Q927" s="0" t="str">
        <f aca="false">IF($A927="","",IFERROR(INDEX(Enrichment!$A$2:$GZ$2000,MATCH($A927,INDEX(Enrichment!$A$2:$GZ$2000,0,MATCH("row_id",Enrichment!$A$1:$GZ$1,0)),0),MATCH("backup_work_email",Enrichment!$A$1:$GZ$1,0))&amp;"",""))</f>
        <v/>
      </c>
      <c r="BR927" s="0" t="str">
        <f aca="false">IF($A927="","",IF(BQ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EQ927" s="0" t="str">
        <f aca="false">IF($A927="","",IF(AH927="exact",10,IF(AH927="adjacent",5,0)))</f>
        <v/>
      </c>
      <c r="ER927" s="0" t="str">
        <f aca="false">IF($A927="","",IF(R927="Y",15,0))</f>
        <v/>
      </c>
      <c r="FS927" s="0" t="str">
        <f aca="false">IF($A927="","",IF(ISNUMBER(MATCH(U927,{"queued","contacted","replied","call_booked","call_done","yes_in_principle","materials_sent"},0)),"Y","N"))</f>
        <v/>
      </c>
      <c r="FT927" s="0" t="str">
        <f aca="false">IF($A927="","",IF(OR(T927="Y",U927="do_not_contact",AS927&amp;""&lt;&gt;""),"Y","N"))</f>
        <v/>
      </c>
      <c r="FU927" s="0" t="str">
        <f aca="false">IF($A927="","",IF(AP927&amp;""&lt;&gt;"",AP927&amp;"",$A927))</f>
        <v/>
      </c>
      <c r="FV927" s="0" t="str">
        <f aca="false">IF($A927="","",IF(COUNTIFS($FU$2:$FU$1000,FU927,$FS$2:$FS$1000,"Y")+COUNTIFS($FU$2:$FU$1000,FU927,$FT$2:$FT$1000,"Y")&gt;0,"Y","N"))</f>
        <v/>
      </c>
      <c r="FW927" s="0" t="str">
        <f aca="false">IF($A927="","",IF(AND(U927="new",T927="N",FT927="N",AT927="Y",FV927="N"),"Y","N"))</f>
        <v/>
      </c>
      <c r="FX927" s="0" t="str">
        <f aca="false">IF($A927="","",IF(FW927&lt;&gt;"Y","N",IF(COUNTIFS($FU$2:$FU$1000,FU927,$FW$2:$FW$1000,"Y",$J$2:$J$1000,"&gt;"&amp;J927)+COUNTIFS($FU$2:$FU$1000,FU927,$FW$2:$FW$1000,"Y",$J$2:$J$1000,J927,$GD$2:$GD$1000,"&lt;"&amp;GD927)=0,"Y","N")))</f>
        <v/>
      </c>
      <c r="FY927" s="0" t="str">
        <f aca="false">IF($A927="","",IF(AND(FW927="Y",FX927="Y",Y927&amp;""&lt;&gt;""),IF(Y927&lt;=10,"Y","N"),"N"))</f>
        <v/>
      </c>
      <c r="FZ927" s="0" t="str">
        <f aca="false">IF(FY927="Y",Y927,"")</f>
        <v/>
      </c>
      <c r="GA927" s="0" t="str">
        <f aca="false">IF($A927="","",IF(AND(I927="walk-in",CN927="pass",U927="new",FT927="N",FV927="N",AQ927&lt;&gt;"Y"),"Y","N"))</f>
        <v/>
      </c>
      <c r="GB927" s="0" t="str">
        <f aca="false">IF(GA927&lt;&gt;"Y","",IF(COUNTIFS($GA$2:$GA$1000,"Y",$J$2:$J$1000,"&gt;"&amp;J927)+COUNTIFS($GA$2:$GA$1000,"Y",$J$2:$J$1000,J927,$GD$2:$GD$1000,"&lt;"&amp;GD927)+1&lt;=25,COUNTIFS($GA$2:$GA$1000,"Y",$J$2:$J$1000,"&gt;"&amp;J927)+COUNTIFS($GA$2:$GA$1000,"Y",$J$2:$J$1000,J927,$GD$2:$GD$1000,"&lt;"&amp;GD927)+1,""))</f>
        <v/>
      </c>
      <c r="GC927" s="0" t="str">
        <f aca="false">IF(AND(_xlfn.ISFORMULA(C927),_xlfn.ISFORMULA(J927)),"Y","N")</f>
        <v>Y</v>
      </c>
      <c r="GD927" s="0" t="n">
        <f aca="false">ROW()-1</f>
        <v>926</v>
      </c>
    </row>
    <row r="928" customFormat="false" ht="15" hidden="false" customHeight="false" outlineLevel="0" collapsed="false">
      <c r="C928" s="0" t="str">
        <f aca="false">IF($A928="","",IF(AW928="Y",BM928&amp;"",AY928&amp;""))</f>
        <v/>
      </c>
      <c r="D928" s="0" t="str">
        <f aca="false">IF($A928="","",IF(AW928="Y",BN928&amp;"",AZ928&amp;""))</f>
        <v/>
      </c>
      <c r="E928" s="0" t="str">
        <f aca="false">IF($A928="","",IF(AW928="Y",BO928&amp;"",BA928&amp;""))</f>
        <v/>
      </c>
      <c r="F928" s="0" t="str">
        <f aca="false">IF($A928="","",IF(AW928="Y",BP928&amp;"",BB928&amp;""))</f>
        <v/>
      </c>
      <c r="G928" s="0" t="str">
        <f aca="false">IF($A928="","",IF(AW928="Y",BQ928&amp;"",BC928&amp;""))</f>
        <v/>
      </c>
      <c r="H928" s="0" t="str">
        <f aca="false">IF($A928="","",IF(AW928="Y",BR928&amp;"",BD928&amp;""))</f>
        <v/>
      </c>
      <c r="I928" s="0" t="str">
        <f aca="false">IF($A928="","",IF(R928="Y","warm-intro",IF(H928="verified","email",IF(C928&lt;&gt;"","linkedin",CB928&amp;""))))</f>
        <v/>
      </c>
      <c r="J928" s="0" t="str">
        <f aca="false">IF($A928="","",IF(CN928="pass",ROUND(N(EM928)+N(EN928)+N(EO928)+N(EP928)+N(EQ928)+N(ER928),1),0))</f>
        <v/>
      </c>
      <c r="K928" s="0" t="str">
        <f aca="false">IF($A928="","",IF(CN928&lt;&gt;"pass",CA928&amp;"",CA928&amp;"; "&amp;IF(AW928="Y",BZ928&amp;"",BL928&amp;"")&amp;IF(R928="Y","; known to the founder (+15)","")&amp;"."))</f>
        <v/>
      </c>
      <c r="R928" s="5"/>
      <c r="U928" s="5"/>
      <c r="Y928" s="0" t="str">
        <f aca="false">IF(FX928&lt;&gt;"Y","",COUNTIFS($FX$2:$FX$1000,"Y",$J$2:$J$1000,"&gt;"&amp;J928)+COUNTIFS($FX$2:$FX$1000,"Y",$J$2:$J$1000,J928,$GD$2:$GD$1000,"&lt;"&amp;GD928)+1)</f>
        <v/>
      </c>
      <c r="AB928" s="0" t="str">
        <f aca="false">IF($A928="","",IF(AW928="Y",BY928&amp;"",BK928&amp;""))</f>
        <v/>
      </c>
      <c r="AC928" s="0" t="str">
        <f aca="false">IF($A928="","",IF(AW928="Y",BS928&amp;"",BE928&amp;""))</f>
        <v/>
      </c>
      <c r="AD928" s="0" t="str">
        <f aca="false">IF($A928="","",IF(AW928="Y",BT928&amp;"",BF928&amp;""))</f>
        <v/>
      </c>
      <c r="AE928" s="0" t="str">
        <f aca="false">IF($A928="","",IF(AW928="Y",BU928&amp;"",BG928&amp;""))</f>
        <v/>
      </c>
      <c r="AF928" s="0" t="str">
        <f aca="false">IF($A928="","",IF(AW928="Y",BV928&amp;"",BH928&amp;""))</f>
        <v/>
      </c>
      <c r="AG928" s="0" t="str">
        <f aca="false">IF($A928="","",IF(AW928="Y",BW928&amp;"",BI928&amp;""))</f>
        <v/>
      </c>
      <c r="AH928" s="0" t="str">
        <f aca="false">IF($A928="","",IF(AW928="Y",BX928&amp;"",BJ928&amp;""))</f>
        <v/>
      </c>
      <c r="AQ928" s="5"/>
      <c r="AT928" s="0" t="str">
        <f aca="false">IF($A928="","",IF(AND(CN928="pass",AQ928&lt;&gt;"Y",C928&lt;&gt;"",OR(AX928&lt;&gt;"Y",AV928="Y")),"Y","N"))</f>
        <v/>
      </c>
      <c r="AU928" s="0" t="str">
        <f aca="false">IF($A928="","",_xlfn.TEXTJOIN("; ",TRUE(),IF(CN928&lt;&gt;"pass","gated out",""),IF(AQ928="Y","on hold: "&amp;AR928,""),IF(C928="","no contact named on an opened page",""),IF(AND(AX928="Y",AV928&lt;&gt;"Y"),"Tuesday estimate band "&amp;L928&amp;": founder's call","")))</f>
        <v/>
      </c>
      <c r="BC928" s="0" t="str">
        <f aca="false">IF($A928="","",IFERROR(INDEX(Enrichment!$A$2:$GZ$2000,MATCH($A928,INDEX(Enrichment!$A$2:$GZ$2000,0,MATCH("row_id",Enrichment!$A$1:$GZ$1,0)),0),MATCH("work_email",Enrichment!$A$1:$GZ$1,0))&amp;"",""))</f>
        <v/>
      </c>
      <c r="BD928" s="0" t="str">
        <f aca="false">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Q928" s="0" t="str">
        <f aca="false">IF($A928="","",IFERROR(INDEX(Enrichment!$A$2:$GZ$2000,MATCH($A928,INDEX(Enrichment!$A$2:$GZ$2000,0,MATCH("row_id",Enrichment!$A$1:$GZ$1,0)),0),MATCH("backup_work_email",Enrichment!$A$1:$GZ$1,0))&amp;"",""))</f>
        <v/>
      </c>
      <c r="BR928" s="0" t="str">
        <f aca="false">IF($A928="","",IF(BQ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EQ928" s="0" t="str">
        <f aca="false">IF($A928="","",IF(AH928="exact",10,IF(AH928="adjacent",5,0)))</f>
        <v/>
      </c>
      <c r="ER928" s="0" t="str">
        <f aca="false">IF($A928="","",IF(R928="Y",15,0))</f>
        <v/>
      </c>
      <c r="FS928" s="0" t="str">
        <f aca="false">IF($A928="","",IF(ISNUMBER(MATCH(U928,{"queued","contacted","replied","call_booked","call_done","yes_in_principle","materials_sent"},0)),"Y","N"))</f>
        <v/>
      </c>
      <c r="FT928" s="0" t="str">
        <f aca="false">IF($A928="","",IF(OR(T928="Y",U928="do_not_contact",AS928&amp;""&lt;&gt;""),"Y","N"))</f>
        <v/>
      </c>
      <c r="FU928" s="0" t="str">
        <f aca="false">IF($A928="","",IF(AP928&amp;""&lt;&gt;"",AP928&amp;"",$A928))</f>
        <v/>
      </c>
      <c r="FV928" s="0" t="str">
        <f aca="false">IF($A928="","",IF(COUNTIFS($FU$2:$FU$1000,FU928,$FS$2:$FS$1000,"Y")+COUNTIFS($FU$2:$FU$1000,FU928,$FT$2:$FT$1000,"Y")&gt;0,"Y","N"))</f>
        <v/>
      </c>
      <c r="FW928" s="0" t="str">
        <f aca="false">IF($A928="","",IF(AND(U928="new",T928="N",FT928="N",AT928="Y",FV928="N"),"Y","N"))</f>
        <v/>
      </c>
      <c r="FX928" s="0" t="str">
        <f aca="false">IF($A928="","",IF(FW928&lt;&gt;"Y","N",IF(COUNTIFS($FU$2:$FU$1000,FU928,$FW$2:$FW$1000,"Y",$J$2:$J$1000,"&gt;"&amp;J928)+COUNTIFS($FU$2:$FU$1000,FU928,$FW$2:$FW$1000,"Y",$J$2:$J$1000,J928,$GD$2:$GD$1000,"&lt;"&amp;GD928)=0,"Y","N")))</f>
        <v/>
      </c>
      <c r="FY928" s="0" t="str">
        <f aca="false">IF($A928="","",IF(AND(FW928="Y",FX928="Y",Y928&amp;""&lt;&gt;""),IF(Y928&lt;=10,"Y","N"),"N"))</f>
        <v/>
      </c>
      <c r="FZ928" s="0" t="str">
        <f aca="false">IF(FY928="Y",Y928,"")</f>
        <v/>
      </c>
      <c r="GA928" s="0" t="str">
        <f aca="false">IF($A928="","",IF(AND(I928="walk-in",CN928="pass",U928="new",FT928="N",FV928="N",AQ928&lt;&gt;"Y"),"Y","N"))</f>
        <v/>
      </c>
      <c r="GB928" s="0" t="str">
        <f aca="false">IF(GA928&lt;&gt;"Y","",IF(COUNTIFS($GA$2:$GA$1000,"Y",$J$2:$J$1000,"&gt;"&amp;J928)+COUNTIFS($GA$2:$GA$1000,"Y",$J$2:$J$1000,J928,$GD$2:$GD$1000,"&lt;"&amp;GD928)+1&lt;=25,COUNTIFS($GA$2:$GA$1000,"Y",$J$2:$J$1000,"&gt;"&amp;J928)+COUNTIFS($GA$2:$GA$1000,"Y",$J$2:$J$1000,J928,$GD$2:$GD$1000,"&lt;"&amp;GD928)+1,""))</f>
        <v/>
      </c>
      <c r="GC928" s="0" t="str">
        <f aca="false">IF(AND(_xlfn.ISFORMULA(C928),_xlfn.ISFORMULA(J928)),"Y","N")</f>
        <v>Y</v>
      </c>
      <c r="GD928" s="0" t="n">
        <f aca="false">ROW()-1</f>
        <v>927</v>
      </c>
    </row>
    <row r="929" customFormat="false" ht="15" hidden="false" customHeight="false" outlineLevel="0" collapsed="false">
      <c r="C929" s="0" t="str">
        <f aca="false">IF($A929="","",IF(AW929="Y",BM929&amp;"",AY929&amp;""))</f>
        <v/>
      </c>
      <c r="D929" s="0" t="str">
        <f aca="false">IF($A929="","",IF(AW929="Y",BN929&amp;"",AZ929&amp;""))</f>
        <v/>
      </c>
      <c r="E929" s="0" t="str">
        <f aca="false">IF($A929="","",IF(AW929="Y",BO929&amp;"",BA929&amp;""))</f>
        <v/>
      </c>
      <c r="F929" s="0" t="str">
        <f aca="false">IF($A929="","",IF(AW929="Y",BP929&amp;"",BB929&amp;""))</f>
        <v/>
      </c>
      <c r="G929" s="0" t="str">
        <f aca="false">IF($A929="","",IF(AW929="Y",BQ929&amp;"",BC929&amp;""))</f>
        <v/>
      </c>
      <c r="H929" s="0" t="str">
        <f aca="false">IF($A929="","",IF(AW929="Y",BR929&amp;"",BD929&amp;""))</f>
        <v/>
      </c>
      <c r="I929" s="0" t="str">
        <f aca="false">IF($A929="","",IF(R929="Y","warm-intro",IF(H929="verified","email",IF(C929&lt;&gt;"","linkedin",CB929&amp;""))))</f>
        <v/>
      </c>
      <c r="J929" s="0" t="str">
        <f aca="false">IF($A929="","",IF(CN929="pass",ROUND(N(EM929)+N(EN929)+N(EO929)+N(EP929)+N(EQ929)+N(ER929),1),0))</f>
        <v/>
      </c>
      <c r="K929" s="0" t="str">
        <f aca="false">IF($A929="","",IF(CN929&lt;&gt;"pass",CA929&amp;"",CA929&amp;"; "&amp;IF(AW929="Y",BZ929&amp;"",BL929&amp;"")&amp;IF(R929="Y","; known to the founder (+15)","")&amp;"."))</f>
        <v/>
      </c>
      <c r="R929" s="5"/>
      <c r="U929" s="5"/>
      <c r="Y929" s="0" t="str">
        <f aca="false">IF(FX929&lt;&gt;"Y","",COUNTIFS($FX$2:$FX$1000,"Y",$J$2:$J$1000,"&gt;"&amp;J929)+COUNTIFS($FX$2:$FX$1000,"Y",$J$2:$J$1000,J929,$GD$2:$GD$1000,"&lt;"&amp;GD929)+1)</f>
        <v/>
      </c>
      <c r="AB929" s="0" t="str">
        <f aca="false">IF($A929="","",IF(AW929="Y",BY929&amp;"",BK929&amp;""))</f>
        <v/>
      </c>
      <c r="AC929" s="0" t="str">
        <f aca="false">IF($A929="","",IF(AW929="Y",BS929&amp;"",BE929&amp;""))</f>
        <v/>
      </c>
      <c r="AD929" s="0" t="str">
        <f aca="false">IF($A929="","",IF(AW929="Y",BT929&amp;"",BF929&amp;""))</f>
        <v/>
      </c>
      <c r="AE929" s="0" t="str">
        <f aca="false">IF($A929="","",IF(AW929="Y",BU929&amp;"",BG929&amp;""))</f>
        <v/>
      </c>
      <c r="AF929" s="0" t="str">
        <f aca="false">IF($A929="","",IF(AW929="Y",BV929&amp;"",BH929&amp;""))</f>
        <v/>
      </c>
      <c r="AG929" s="0" t="str">
        <f aca="false">IF($A929="","",IF(AW929="Y",BW929&amp;"",BI929&amp;""))</f>
        <v/>
      </c>
      <c r="AH929" s="0" t="str">
        <f aca="false">IF($A929="","",IF(AW929="Y",BX929&amp;"",BJ929&amp;""))</f>
        <v/>
      </c>
      <c r="AQ929" s="5"/>
      <c r="AT929" s="0" t="str">
        <f aca="false">IF($A929="","",IF(AND(CN929="pass",AQ929&lt;&gt;"Y",C929&lt;&gt;"",OR(AX929&lt;&gt;"Y",AV929="Y")),"Y","N"))</f>
        <v/>
      </c>
      <c r="AU929" s="0" t="str">
        <f aca="false">IF($A929="","",_xlfn.TEXTJOIN("; ",TRUE(),IF(CN929&lt;&gt;"pass","gated out",""),IF(AQ929="Y","on hold: "&amp;AR929,""),IF(C929="","no contact named on an opened page",""),IF(AND(AX929="Y",AV929&lt;&gt;"Y"),"Tuesday estimate band "&amp;L929&amp;": founder's call","")))</f>
        <v/>
      </c>
      <c r="BC929" s="0" t="str">
        <f aca="false">IF($A929="","",IFERROR(INDEX(Enrichment!$A$2:$GZ$2000,MATCH($A929,INDEX(Enrichment!$A$2:$GZ$2000,0,MATCH("row_id",Enrichment!$A$1:$GZ$1,0)),0),MATCH("work_email",Enrichment!$A$1:$GZ$1,0))&amp;"",""))</f>
        <v/>
      </c>
      <c r="BD929" s="0" t="str">
        <f aca="false">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Q929" s="0" t="str">
        <f aca="false">IF($A929="","",IFERROR(INDEX(Enrichment!$A$2:$GZ$2000,MATCH($A929,INDEX(Enrichment!$A$2:$GZ$2000,0,MATCH("row_id",Enrichment!$A$1:$GZ$1,0)),0),MATCH("backup_work_email",Enrichment!$A$1:$GZ$1,0))&amp;"",""))</f>
        <v/>
      </c>
      <c r="BR929" s="0" t="str">
        <f aca="false">IF($A929="","",IF(BQ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EQ929" s="0" t="str">
        <f aca="false">IF($A929="","",IF(AH929="exact",10,IF(AH929="adjacent",5,0)))</f>
        <v/>
      </c>
      <c r="ER929" s="0" t="str">
        <f aca="false">IF($A929="","",IF(R929="Y",15,0))</f>
        <v/>
      </c>
      <c r="FS929" s="0" t="str">
        <f aca="false">IF($A929="","",IF(ISNUMBER(MATCH(U929,{"queued","contacted","replied","call_booked","call_done","yes_in_principle","materials_sent"},0)),"Y","N"))</f>
        <v/>
      </c>
      <c r="FT929" s="0" t="str">
        <f aca="false">IF($A929="","",IF(OR(T929="Y",U929="do_not_contact",AS929&amp;""&lt;&gt;""),"Y","N"))</f>
        <v/>
      </c>
      <c r="FU929" s="0" t="str">
        <f aca="false">IF($A929="","",IF(AP929&amp;""&lt;&gt;"",AP929&amp;"",$A929))</f>
        <v/>
      </c>
      <c r="FV929" s="0" t="str">
        <f aca="false">IF($A929="","",IF(COUNTIFS($FU$2:$FU$1000,FU929,$FS$2:$FS$1000,"Y")+COUNTIFS($FU$2:$FU$1000,FU929,$FT$2:$FT$1000,"Y")&gt;0,"Y","N"))</f>
        <v/>
      </c>
      <c r="FW929" s="0" t="str">
        <f aca="false">IF($A929="","",IF(AND(U929="new",T929="N",FT929="N",AT929="Y",FV929="N"),"Y","N"))</f>
        <v/>
      </c>
      <c r="FX929" s="0" t="str">
        <f aca="false">IF($A929="","",IF(FW929&lt;&gt;"Y","N",IF(COUNTIFS($FU$2:$FU$1000,FU929,$FW$2:$FW$1000,"Y",$J$2:$J$1000,"&gt;"&amp;J929)+COUNTIFS($FU$2:$FU$1000,FU929,$FW$2:$FW$1000,"Y",$J$2:$J$1000,J929,$GD$2:$GD$1000,"&lt;"&amp;GD929)=0,"Y","N")))</f>
        <v/>
      </c>
      <c r="FY929" s="0" t="str">
        <f aca="false">IF($A929="","",IF(AND(FW929="Y",FX929="Y",Y929&amp;""&lt;&gt;""),IF(Y929&lt;=10,"Y","N"),"N"))</f>
        <v/>
      </c>
      <c r="FZ929" s="0" t="str">
        <f aca="false">IF(FY929="Y",Y929,"")</f>
        <v/>
      </c>
      <c r="GA929" s="0" t="str">
        <f aca="false">IF($A929="","",IF(AND(I929="walk-in",CN929="pass",U929="new",FT929="N",FV929="N",AQ929&lt;&gt;"Y"),"Y","N"))</f>
        <v/>
      </c>
      <c r="GB929" s="0" t="str">
        <f aca="false">IF(GA929&lt;&gt;"Y","",IF(COUNTIFS($GA$2:$GA$1000,"Y",$J$2:$J$1000,"&gt;"&amp;J929)+COUNTIFS($GA$2:$GA$1000,"Y",$J$2:$J$1000,J929,$GD$2:$GD$1000,"&lt;"&amp;GD929)+1&lt;=25,COUNTIFS($GA$2:$GA$1000,"Y",$J$2:$J$1000,"&gt;"&amp;J929)+COUNTIFS($GA$2:$GA$1000,"Y",$J$2:$J$1000,J929,$GD$2:$GD$1000,"&lt;"&amp;GD929)+1,""))</f>
        <v/>
      </c>
      <c r="GC929" s="0" t="str">
        <f aca="false">IF(AND(_xlfn.ISFORMULA(C929),_xlfn.ISFORMULA(J929)),"Y","N")</f>
        <v>Y</v>
      </c>
      <c r="GD929" s="0" t="n">
        <f aca="false">ROW()-1</f>
        <v>928</v>
      </c>
    </row>
    <row r="930" customFormat="false" ht="15" hidden="false" customHeight="false" outlineLevel="0" collapsed="false">
      <c r="C930" s="0" t="str">
        <f aca="false">IF($A930="","",IF(AW930="Y",BM930&amp;"",AY930&amp;""))</f>
        <v/>
      </c>
      <c r="D930" s="0" t="str">
        <f aca="false">IF($A930="","",IF(AW930="Y",BN930&amp;"",AZ930&amp;""))</f>
        <v/>
      </c>
      <c r="E930" s="0" t="str">
        <f aca="false">IF($A930="","",IF(AW930="Y",BO930&amp;"",BA930&amp;""))</f>
        <v/>
      </c>
      <c r="F930" s="0" t="str">
        <f aca="false">IF($A930="","",IF(AW930="Y",BP930&amp;"",BB930&amp;""))</f>
        <v/>
      </c>
      <c r="G930" s="0" t="str">
        <f aca="false">IF($A930="","",IF(AW930="Y",BQ930&amp;"",BC930&amp;""))</f>
        <v/>
      </c>
      <c r="H930" s="0" t="str">
        <f aca="false">IF($A930="","",IF(AW930="Y",BR930&amp;"",BD930&amp;""))</f>
        <v/>
      </c>
      <c r="I930" s="0" t="str">
        <f aca="false">IF($A930="","",IF(R930="Y","warm-intro",IF(H930="verified","email",IF(C930&lt;&gt;"","linkedin",CB930&amp;""))))</f>
        <v/>
      </c>
      <c r="J930" s="0" t="str">
        <f aca="false">IF($A930="","",IF(CN930="pass",ROUND(N(EM930)+N(EN930)+N(EO930)+N(EP930)+N(EQ930)+N(ER930),1),0))</f>
        <v/>
      </c>
      <c r="K930" s="0" t="str">
        <f aca="false">IF($A930="","",IF(CN930&lt;&gt;"pass",CA930&amp;"",CA930&amp;"; "&amp;IF(AW930="Y",BZ930&amp;"",BL930&amp;"")&amp;IF(R930="Y","; known to the founder (+15)","")&amp;"."))</f>
        <v/>
      </c>
      <c r="R930" s="5"/>
      <c r="U930" s="5"/>
      <c r="Y930" s="0" t="str">
        <f aca="false">IF(FX930&lt;&gt;"Y","",COUNTIFS($FX$2:$FX$1000,"Y",$J$2:$J$1000,"&gt;"&amp;J930)+COUNTIFS($FX$2:$FX$1000,"Y",$J$2:$J$1000,J930,$GD$2:$GD$1000,"&lt;"&amp;GD930)+1)</f>
        <v/>
      </c>
      <c r="AB930" s="0" t="str">
        <f aca="false">IF($A930="","",IF(AW930="Y",BY930&amp;"",BK930&amp;""))</f>
        <v/>
      </c>
      <c r="AC930" s="0" t="str">
        <f aca="false">IF($A930="","",IF(AW930="Y",BS930&amp;"",BE930&amp;""))</f>
        <v/>
      </c>
      <c r="AD930" s="0" t="str">
        <f aca="false">IF($A930="","",IF(AW930="Y",BT930&amp;"",BF930&amp;""))</f>
        <v/>
      </c>
      <c r="AE930" s="0" t="str">
        <f aca="false">IF($A930="","",IF(AW930="Y",BU930&amp;"",BG930&amp;""))</f>
        <v/>
      </c>
      <c r="AF930" s="0" t="str">
        <f aca="false">IF($A930="","",IF(AW930="Y",BV930&amp;"",BH930&amp;""))</f>
        <v/>
      </c>
      <c r="AG930" s="0" t="str">
        <f aca="false">IF($A930="","",IF(AW930="Y",BW930&amp;"",BI930&amp;""))</f>
        <v/>
      </c>
      <c r="AH930" s="0" t="str">
        <f aca="false">IF($A930="","",IF(AW930="Y",BX930&amp;"",BJ930&amp;""))</f>
        <v/>
      </c>
      <c r="AQ930" s="5"/>
      <c r="AT930" s="0" t="str">
        <f aca="false">IF($A930="","",IF(AND(CN930="pass",AQ930&lt;&gt;"Y",C930&lt;&gt;"",OR(AX930&lt;&gt;"Y",AV930="Y")),"Y","N"))</f>
        <v/>
      </c>
      <c r="AU930" s="0" t="str">
        <f aca="false">IF($A930="","",_xlfn.TEXTJOIN("; ",TRUE(),IF(CN930&lt;&gt;"pass","gated out",""),IF(AQ930="Y","on hold: "&amp;AR930,""),IF(C930="","no contact named on an opened page",""),IF(AND(AX930="Y",AV930&lt;&gt;"Y"),"Tuesday estimate band "&amp;L930&amp;": founder's call","")))</f>
        <v/>
      </c>
      <c r="BC930" s="0" t="str">
        <f aca="false">IF($A930="","",IFERROR(INDEX(Enrichment!$A$2:$GZ$2000,MATCH($A930,INDEX(Enrichment!$A$2:$GZ$2000,0,MATCH("row_id",Enrichment!$A$1:$GZ$1,0)),0),MATCH("work_email",Enrichment!$A$1:$GZ$1,0))&amp;"",""))</f>
        <v/>
      </c>
      <c r="BD930" s="0" t="str">
        <f aca="false">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Q930" s="0" t="str">
        <f aca="false">IF($A930="","",IFERROR(INDEX(Enrichment!$A$2:$GZ$2000,MATCH($A930,INDEX(Enrichment!$A$2:$GZ$2000,0,MATCH("row_id",Enrichment!$A$1:$GZ$1,0)),0),MATCH("backup_work_email",Enrichment!$A$1:$GZ$1,0))&amp;"",""))</f>
        <v/>
      </c>
      <c r="BR930" s="0" t="str">
        <f aca="false">IF($A930="","",IF(BQ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EQ930" s="0" t="str">
        <f aca="false">IF($A930="","",IF(AH930="exact",10,IF(AH930="adjacent",5,0)))</f>
        <v/>
      </c>
      <c r="ER930" s="0" t="str">
        <f aca="false">IF($A930="","",IF(R930="Y",15,0))</f>
        <v/>
      </c>
      <c r="FS930" s="0" t="str">
        <f aca="false">IF($A930="","",IF(ISNUMBER(MATCH(U930,{"queued","contacted","replied","call_booked","call_done","yes_in_principle","materials_sent"},0)),"Y","N"))</f>
        <v/>
      </c>
      <c r="FT930" s="0" t="str">
        <f aca="false">IF($A930="","",IF(OR(T930="Y",U930="do_not_contact",AS930&amp;""&lt;&gt;""),"Y","N"))</f>
        <v/>
      </c>
      <c r="FU930" s="0" t="str">
        <f aca="false">IF($A930="","",IF(AP930&amp;""&lt;&gt;"",AP930&amp;"",$A930))</f>
        <v/>
      </c>
      <c r="FV930" s="0" t="str">
        <f aca="false">IF($A930="","",IF(COUNTIFS($FU$2:$FU$1000,FU930,$FS$2:$FS$1000,"Y")+COUNTIFS($FU$2:$FU$1000,FU930,$FT$2:$FT$1000,"Y")&gt;0,"Y","N"))</f>
        <v/>
      </c>
      <c r="FW930" s="0" t="str">
        <f aca="false">IF($A930="","",IF(AND(U930="new",T930="N",FT930="N",AT930="Y",FV930="N"),"Y","N"))</f>
        <v/>
      </c>
      <c r="FX930" s="0" t="str">
        <f aca="false">IF($A930="","",IF(FW930&lt;&gt;"Y","N",IF(COUNTIFS($FU$2:$FU$1000,FU930,$FW$2:$FW$1000,"Y",$J$2:$J$1000,"&gt;"&amp;J930)+COUNTIFS($FU$2:$FU$1000,FU930,$FW$2:$FW$1000,"Y",$J$2:$J$1000,J930,$GD$2:$GD$1000,"&lt;"&amp;GD930)=0,"Y","N")))</f>
        <v/>
      </c>
      <c r="FY930" s="0" t="str">
        <f aca="false">IF($A930="","",IF(AND(FW930="Y",FX930="Y",Y930&amp;""&lt;&gt;""),IF(Y930&lt;=10,"Y","N"),"N"))</f>
        <v/>
      </c>
      <c r="FZ930" s="0" t="str">
        <f aca="false">IF(FY930="Y",Y930,"")</f>
        <v/>
      </c>
      <c r="GA930" s="0" t="str">
        <f aca="false">IF($A930="","",IF(AND(I930="walk-in",CN930="pass",U930="new",FT930="N",FV930="N",AQ930&lt;&gt;"Y"),"Y","N"))</f>
        <v/>
      </c>
      <c r="GB930" s="0" t="str">
        <f aca="false">IF(GA930&lt;&gt;"Y","",IF(COUNTIFS($GA$2:$GA$1000,"Y",$J$2:$J$1000,"&gt;"&amp;J930)+COUNTIFS($GA$2:$GA$1000,"Y",$J$2:$J$1000,J930,$GD$2:$GD$1000,"&lt;"&amp;GD930)+1&lt;=25,COUNTIFS($GA$2:$GA$1000,"Y",$J$2:$J$1000,"&gt;"&amp;J930)+COUNTIFS($GA$2:$GA$1000,"Y",$J$2:$J$1000,J930,$GD$2:$GD$1000,"&lt;"&amp;GD930)+1,""))</f>
        <v/>
      </c>
      <c r="GC930" s="0" t="str">
        <f aca="false">IF(AND(_xlfn.ISFORMULA(C930),_xlfn.ISFORMULA(J930)),"Y","N")</f>
        <v>Y</v>
      </c>
      <c r="GD930" s="0" t="n">
        <f aca="false">ROW()-1</f>
        <v>929</v>
      </c>
    </row>
    <row r="931" customFormat="false" ht="15" hidden="false" customHeight="false" outlineLevel="0" collapsed="false">
      <c r="C931" s="0" t="str">
        <f aca="false">IF($A931="","",IF(AW931="Y",BM931&amp;"",AY931&amp;""))</f>
        <v/>
      </c>
      <c r="D931" s="0" t="str">
        <f aca="false">IF($A931="","",IF(AW931="Y",BN931&amp;"",AZ931&amp;""))</f>
        <v/>
      </c>
      <c r="E931" s="0" t="str">
        <f aca="false">IF($A931="","",IF(AW931="Y",BO931&amp;"",BA931&amp;""))</f>
        <v/>
      </c>
      <c r="F931" s="0" t="str">
        <f aca="false">IF($A931="","",IF(AW931="Y",BP931&amp;"",BB931&amp;""))</f>
        <v/>
      </c>
      <c r="G931" s="0" t="str">
        <f aca="false">IF($A931="","",IF(AW931="Y",BQ931&amp;"",BC931&amp;""))</f>
        <v/>
      </c>
      <c r="H931" s="0" t="str">
        <f aca="false">IF($A931="","",IF(AW931="Y",BR931&amp;"",BD931&amp;""))</f>
        <v/>
      </c>
      <c r="I931" s="0" t="str">
        <f aca="false">IF($A931="","",IF(R931="Y","warm-intro",IF(H931="verified","email",IF(C931&lt;&gt;"","linkedin",CB931&amp;""))))</f>
        <v/>
      </c>
      <c r="J931" s="0" t="str">
        <f aca="false">IF($A931="","",IF(CN931="pass",ROUND(N(EM931)+N(EN931)+N(EO931)+N(EP931)+N(EQ931)+N(ER931),1),0))</f>
        <v/>
      </c>
      <c r="K931" s="0" t="str">
        <f aca="false">IF($A931="","",IF(CN931&lt;&gt;"pass",CA931&amp;"",CA931&amp;"; "&amp;IF(AW931="Y",BZ931&amp;"",BL931&amp;"")&amp;IF(R931="Y","; known to the founder (+15)","")&amp;"."))</f>
        <v/>
      </c>
      <c r="R931" s="5"/>
      <c r="U931" s="5"/>
      <c r="Y931" s="0" t="str">
        <f aca="false">IF(FX931&lt;&gt;"Y","",COUNTIFS($FX$2:$FX$1000,"Y",$J$2:$J$1000,"&gt;"&amp;J931)+COUNTIFS($FX$2:$FX$1000,"Y",$J$2:$J$1000,J931,$GD$2:$GD$1000,"&lt;"&amp;GD931)+1)</f>
        <v/>
      </c>
      <c r="AB931" s="0" t="str">
        <f aca="false">IF($A931="","",IF(AW931="Y",BY931&amp;"",BK931&amp;""))</f>
        <v/>
      </c>
      <c r="AC931" s="0" t="str">
        <f aca="false">IF($A931="","",IF(AW931="Y",BS931&amp;"",BE931&amp;""))</f>
        <v/>
      </c>
      <c r="AD931" s="0" t="str">
        <f aca="false">IF($A931="","",IF(AW931="Y",BT931&amp;"",BF931&amp;""))</f>
        <v/>
      </c>
      <c r="AE931" s="0" t="str">
        <f aca="false">IF($A931="","",IF(AW931="Y",BU931&amp;"",BG931&amp;""))</f>
        <v/>
      </c>
      <c r="AF931" s="0" t="str">
        <f aca="false">IF($A931="","",IF(AW931="Y",BV931&amp;"",BH931&amp;""))</f>
        <v/>
      </c>
      <c r="AG931" s="0" t="str">
        <f aca="false">IF($A931="","",IF(AW931="Y",BW931&amp;"",BI931&amp;""))</f>
        <v/>
      </c>
      <c r="AH931" s="0" t="str">
        <f aca="false">IF($A931="","",IF(AW931="Y",BX931&amp;"",BJ931&amp;""))</f>
        <v/>
      </c>
      <c r="AQ931" s="5"/>
      <c r="AT931" s="0" t="str">
        <f aca="false">IF($A931="","",IF(AND(CN931="pass",AQ931&lt;&gt;"Y",C931&lt;&gt;"",OR(AX931&lt;&gt;"Y",AV931="Y")),"Y","N"))</f>
        <v/>
      </c>
      <c r="AU931" s="0" t="str">
        <f aca="false">IF($A931="","",_xlfn.TEXTJOIN("; ",TRUE(),IF(CN931&lt;&gt;"pass","gated out",""),IF(AQ931="Y","on hold: "&amp;AR931,""),IF(C931="","no contact named on an opened page",""),IF(AND(AX931="Y",AV931&lt;&gt;"Y"),"Tuesday estimate band "&amp;L931&amp;": founder's call","")))</f>
        <v/>
      </c>
      <c r="BC931" s="0" t="str">
        <f aca="false">IF($A931="","",IFERROR(INDEX(Enrichment!$A$2:$GZ$2000,MATCH($A931,INDEX(Enrichment!$A$2:$GZ$2000,0,MATCH("row_id",Enrichment!$A$1:$GZ$1,0)),0),MATCH("work_email",Enrichment!$A$1:$GZ$1,0))&amp;"",""))</f>
        <v/>
      </c>
      <c r="BD931" s="0" t="str">
        <f aca="false">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Q931" s="0" t="str">
        <f aca="false">IF($A931="","",IFERROR(INDEX(Enrichment!$A$2:$GZ$2000,MATCH($A931,INDEX(Enrichment!$A$2:$GZ$2000,0,MATCH("row_id",Enrichment!$A$1:$GZ$1,0)),0),MATCH("backup_work_email",Enrichment!$A$1:$GZ$1,0))&amp;"",""))</f>
        <v/>
      </c>
      <c r="BR931" s="0" t="str">
        <f aca="false">IF($A931="","",IF(BQ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EQ931" s="0" t="str">
        <f aca="false">IF($A931="","",IF(AH931="exact",10,IF(AH931="adjacent",5,0)))</f>
        <v/>
      </c>
      <c r="ER931" s="0" t="str">
        <f aca="false">IF($A931="","",IF(R931="Y",15,0))</f>
        <v/>
      </c>
      <c r="FS931" s="0" t="str">
        <f aca="false">IF($A931="","",IF(ISNUMBER(MATCH(U931,{"queued","contacted","replied","call_booked","call_done","yes_in_principle","materials_sent"},0)),"Y","N"))</f>
        <v/>
      </c>
      <c r="FT931" s="0" t="str">
        <f aca="false">IF($A931="","",IF(OR(T931="Y",U931="do_not_contact",AS931&amp;""&lt;&gt;""),"Y","N"))</f>
        <v/>
      </c>
      <c r="FU931" s="0" t="str">
        <f aca="false">IF($A931="","",IF(AP931&amp;""&lt;&gt;"",AP931&amp;"",$A931))</f>
        <v/>
      </c>
      <c r="FV931" s="0" t="str">
        <f aca="false">IF($A931="","",IF(COUNTIFS($FU$2:$FU$1000,FU931,$FS$2:$FS$1000,"Y")+COUNTIFS($FU$2:$FU$1000,FU931,$FT$2:$FT$1000,"Y")&gt;0,"Y","N"))</f>
        <v/>
      </c>
      <c r="FW931" s="0" t="str">
        <f aca="false">IF($A931="","",IF(AND(U931="new",T931="N",FT931="N",AT931="Y",FV931="N"),"Y","N"))</f>
        <v/>
      </c>
      <c r="FX931" s="0" t="str">
        <f aca="false">IF($A931="","",IF(FW931&lt;&gt;"Y","N",IF(COUNTIFS($FU$2:$FU$1000,FU931,$FW$2:$FW$1000,"Y",$J$2:$J$1000,"&gt;"&amp;J931)+COUNTIFS($FU$2:$FU$1000,FU931,$FW$2:$FW$1000,"Y",$J$2:$J$1000,J931,$GD$2:$GD$1000,"&lt;"&amp;GD931)=0,"Y","N")))</f>
        <v/>
      </c>
      <c r="FY931" s="0" t="str">
        <f aca="false">IF($A931="","",IF(AND(FW931="Y",FX931="Y",Y931&amp;""&lt;&gt;""),IF(Y931&lt;=10,"Y","N"),"N"))</f>
        <v/>
      </c>
      <c r="FZ931" s="0" t="str">
        <f aca="false">IF(FY931="Y",Y931,"")</f>
        <v/>
      </c>
      <c r="GA931" s="0" t="str">
        <f aca="false">IF($A931="","",IF(AND(I931="walk-in",CN931="pass",U931="new",FT931="N",FV931="N",AQ931&lt;&gt;"Y"),"Y","N"))</f>
        <v/>
      </c>
      <c r="GB931" s="0" t="str">
        <f aca="false">IF(GA931&lt;&gt;"Y","",IF(COUNTIFS($GA$2:$GA$1000,"Y",$J$2:$J$1000,"&gt;"&amp;J931)+COUNTIFS($GA$2:$GA$1000,"Y",$J$2:$J$1000,J931,$GD$2:$GD$1000,"&lt;"&amp;GD931)+1&lt;=25,COUNTIFS($GA$2:$GA$1000,"Y",$J$2:$J$1000,"&gt;"&amp;J931)+COUNTIFS($GA$2:$GA$1000,"Y",$J$2:$J$1000,J931,$GD$2:$GD$1000,"&lt;"&amp;GD931)+1,""))</f>
        <v/>
      </c>
      <c r="GC931" s="0" t="str">
        <f aca="false">IF(AND(_xlfn.ISFORMULA(C931),_xlfn.ISFORMULA(J931)),"Y","N")</f>
        <v>Y</v>
      </c>
      <c r="GD931" s="0" t="n">
        <f aca="false">ROW()-1</f>
        <v>930</v>
      </c>
    </row>
    <row r="932" customFormat="false" ht="15" hidden="false" customHeight="false" outlineLevel="0" collapsed="false">
      <c r="C932" s="0" t="str">
        <f aca="false">IF($A932="","",IF(AW932="Y",BM932&amp;"",AY932&amp;""))</f>
        <v/>
      </c>
      <c r="D932" s="0" t="str">
        <f aca="false">IF($A932="","",IF(AW932="Y",BN932&amp;"",AZ932&amp;""))</f>
        <v/>
      </c>
      <c r="E932" s="0" t="str">
        <f aca="false">IF($A932="","",IF(AW932="Y",BO932&amp;"",BA932&amp;""))</f>
        <v/>
      </c>
      <c r="F932" s="0" t="str">
        <f aca="false">IF($A932="","",IF(AW932="Y",BP932&amp;"",BB932&amp;""))</f>
        <v/>
      </c>
      <c r="G932" s="0" t="str">
        <f aca="false">IF($A932="","",IF(AW932="Y",BQ932&amp;"",BC932&amp;""))</f>
        <v/>
      </c>
      <c r="H932" s="0" t="str">
        <f aca="false">IF($A932="","",IF(AW932="Y",BR932&amp;"",BD932&amp;""))</f>
        <v/>
      </c>
      <c r="I932" s="0" t="str">
        <f aca="false">IF($A932="","",IF(R932="Y","warm-intro",IF(H932="verified","email",IF(C932&lt;&gt;"","linkedin",CB932&amp;""))))</f>
        <v/>
      </c>
      <c r="J932" s="0" t="str">
        <f aca="false">IF($A932="","",IF(CN932="pass",ROUND(N(EM932)+N(EN932)+N(EO932)+N(EP932)+N(EQ932)+N(ER932),1),0))</f>
        <v/>
      </c>
      <c r="K932" s="0" t="str">
        <f aca="false">IF($A932="","",IF(CN932&lt;&gt;"pass",CA932&amp;"",CA932&amp;"; "&amp;IF(AW932="Y",BZ932&amp;"",BL932&amp;"")&amp;IF(R932="Y","; known to the founder (+15)","")&amp;"."))</f>
        <v/>
      </c>
      <c r="R932" s="5"/>
      <c r="U932" s="5"/>
      <c r="Y932" s="0" t="str">
        <f aca="false">IF(FX932&lt;&gt;"Y","",COUNTIFS($FX$2:$FX$1000,"Y",$J$2:$J$1000,"&gt;"&amp;J932)+COUNTIFS($FX$2:$FX$1000,"Y",$J$2:$J$1000,J932,$GD$2:$GD$1000,"&lt;"&amp;GD932)+1)</f>
        <v/>
      </c>
      <c r="AB932" s="0" t="str">
        <f aca="false">IF($A932="","",IF(AW932="Y",BY932&amp;"",BK932&amp;""))</f>
        <v/>
      </c>
      <c r="AC932" s="0" t="str">
        <f aca="false">IF($A932="","",IF(AW932="Y",BS932&amp;"",BE932&amp;""))</f>
        <v/>
      </c>
      <c r="AD932" s="0" t="str">
        <f aca="false">IF($A932="","",IF(AW932="Y",BT932&amp;"",BF932&amp;""))</f>
        <v/>
      </c>
      <c r="AE932" s="0" t="str">
        <f aca="false">IF($A932="","",IF(AW932="Y",BU932&amp;"",BG932&amp;""))</f>
        <v/>
      </c>
      <c r="AF932" s="0" t="str">
        <f aca="false">IF($A932="","",IF(AW932="Y",BV932&amp;"",BH932&amp;""))</f>
        <v/>
      </c>
      <c r="AG932" s="0" t="str">
        <f aca="false">IF($A932="","",IF(AW932="Y",BW932&amp;"",BI932&amp;""))</f>
        <v/>
      </c>
      <c r="AH932" s="0" t="str">
        <f aca="false">IF($A932="","",IF(AW932="Y",BX932&amp;"",BJ932&amp;""))</f>
        <v/>
      </c>
      <c r="AQ932" s="5"/>
      <c r="AT932" s="0" t="str">
        <f aca="false">IF($A932="","",IF(AND(CN932="pass",AQ932&lt;&gt;"Y",C932&lt;&gt;"",OR(AX932&lt;&gt;"Y",AV932="Y")),"Y","N"))</f>
        <v/>
      </c>
      <c r="AU932" s="0" t="str">
        <f aca="false">IF($A932="","",_xlfn.TEXTJOIN("; ",TRUE(),IF(CN932&lt;&gt;"pass","gated out",""),IF(AQ932="Y","on hold: "&amp;AR932,""),IF(C932="","no contact named on an opened page",""),IF(AND(AX932="Y",AV932&lt;&gt;"Y"),"Tuesday estimate band "&amp;L932&amp;": founder's call","")))</f>
        <v/>
      </c>
      <c r="BC932" s="0" t="str">
        <f aca="false">IF($A932="","",IFERROR(INDEX(Enrichment!$A$2:$GZ$2000,MATCH($A932,INDEX(Enrichment!$A$2:$GZ$2000,0,MATCH("row_id",Enrichment!$A$1:$GZ$1,0)),0),MATCH("work_email",Enrichment!$A$1:$GZ$1,0))&amp;"",""))</f>
        <v/>
      </c>
      <c r="BD932" s="0" t="str">
        <f aca="false">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Q932" s="0" t="str">
        <f aca="false">IF($A932="","",IFERROR(INDEX(Enrichment!$A$2:$GZ$2000,MATCH($A932,INDEX(Enrichment!$A$2:$GZ$2000,0,MATCH("row_id",Enrichment!$A$1:$GZ$1,0)),0),MATCH("backup_work_email",Enrichment!$A$1:$GZ$1,0))&amp;"",""))</f>
        <v/>
      </c>
      <c r="BR932" s="0" t="str">
        <f aca="false">IF($A932="","",IF(BQ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EQ932" s="0" t="str">
        <f aca="false">IF($A932="","",IF(AH932="exact",10,IF(AH932="adjacent",5,0)))</f>
        <v/>
      </c>
      <c r="ER932" s="0" t="str">
        <f aca="false">IF($A932="","",IF(R932="Y",15,0))</f>
        <v/>
      </c>
      <c r="FS932" s="0" t="str">
        <f aca="false">IF($A932="","",IF(ISNUMBER(MATCH(U932,{"queued","contacted","replied","call_booked","call_done","yes_in_principle","materials_sent"},0)),"Y","N"))</f>
        <v/>
      </c>
      <c r="FT932" s="0" t="str">
        <f aca="false">IF($A932="","",IF(OR(T932="Y",U932="do_not_contact",AS932&amp;""&lt;&gt;""),"Y","N"))</f>
        <v/>
      </c>
      <c r="FU932" s="0" t="str">
        <f aca="false">IF($A932="","",IF(AP932&amp;""&lt;&gt;"",AP932&amp;"",$A932))</f>
        <v/>
      </c>
      <c r="FV932" s="0" t="str">
        <f aca="false">IF($A932="","",IF(COUNTIFS($FU$2:$FU$1000,FU932,$FS$2:$FS$1000,"Y")+COUNTIFS($FU$2:$FU$1000,FU932,$FT$2:$FT$1000,"Y")&gt;0,"Y","N"))</f>
        <v/>
      </c>
      <c r="FW932" s="0" t="str">
        <f aca="false">IF($A932="","",IF(AND(U932="new",T932="N",FT932="N",AT932="Y",FV932="N"),"Y","N"))</f>
        <v/>
      </c>
      <c r="FX932" s="0" t="str">
        <f aca="false">IF($A932="","",IF(FW932&lt;&gt;"Y","N",IF(COUNTIFS($FU$2:$FU$1000,FU932,$FW$2:$FW$1000,"Y",$J$2:$J$1000,"&gt;"&amp;J932)+COUNTIFS($FU$2:$FU$1000,FU932,$FW$2:$FW$1000,"Y",$J$2:$J$1000,J932,$GD$2:$GD$1000,"&lt;"&amp;GD932)=0,"Y","N")))</f>
        <v/>
      </c>
      <c r="FY932" s="0" t="str">
        <f aca="false">IF($A932="","",IF(AND(FW932="Y",FX932="Y",Y932&amp;""&lt;&gt;""),IF(Y932&lt;=10,"Y","N"),"N"))</f>
        <v/>
      </c>
      <c r="FZ932" s="0" t="str">
        <f aca="false">IF(FY932="Y",Y932,"")</f>
        <v/>
      </c>
      <c r="GA932" s="0" t="str">
        <f aca="false">IF($A932="","",IF(AND(I932="walk-in",CN932="pass",U932="new",FT932="N",FV932="N",AQ932&lt;&gt;"Y"),"Y","N"))</f>
        <v/>
      </c>
      <c r="GB932" s="0" t="str">
        <f aca="false">IF(GA932&lt;&gt;"Y","",IF(COUNTIFS($GA$2:$GA$1000,"Y",$J$2:$J$1000,"&gt;"&amp;J932)+COUNTIFS($GA$2:$GA$1000,"Y",$J$2:$J$1000,J932,$GD$2:$GD$1000,"&lt;"&amp;GD932)+1&lt;=25,COUNTIFS($GA$2:$GA$1000,"Y",$J$2:$J$1000,"&gt;"&amp;J932)+COUNTIFS($GA$2:$GA$1000,"Y",$J$2:$J$1000,J932,$GD$2:$GD$1000,"&lt;"&amp;GD932)+1,""))</f>
        <v/>
      </c>
      <c r="GC932" s="0" t="str">
        <f aca="false">IF(AND(_xlfn.ISFORMULA(C932),_xlfn.ISFORMULA(J932)),"Y","N")</f>
        <v>Y</v>
      </c>
      <c r="GD932" s="0" t="n">
        <f aca="false">ROW()-1</f>
        <v>931</v>
      </c>
    </row>
    <row r="933" customFormat="false" ht="15" hidden="false" customHeight="false" outlineLevel="0" collapsed="false">
      <c r="C933" s="0" t="str">
        <f aca="false">IF($A933="","",IF(AW933="Y",BM933&amp;"",AY933&amp;""))</f>
        <v/>
      </c>
      <c r="D933" s="0" t="str">
        <f aca="false">IF($A933="","",IF(AW933="Y",BN933&amp;"",AZ933&amp;""))</f>
        <v/>
      </c>
      <c r="E933" s="0" t="str">
        <f aca="false">IF($A933="","",IF(AW933="Y",BO933&amp;"",BA933&amp;""))</f>
        <v/>
      </c>
      <c r="F933" s="0" t="str">
        <f aca="false">IF($A933="","",IF(AW933="Y",BP933&amp;"",BB933&amp;""))</f>
        <v/>
      </c>
      <c r="G933" s="0" t="str">
        <f aca="false">IF($A933="","",IF(AW933="Y",BQ933&amp;"",BC933&amp;""))</f>
        <v/>
      </c>
      <c r="H933" s="0" t="str">
        <f aca="false">IF($A933="","",IF(AW933="Y",BR933&amp;"",BD933&amp;""))</f>
        <v/>
      </c>
      <c r="I933" s="0" t="str">
        <f aca="false">IF($A933="","",IF(R933="Y","warm-intro",IF(H933="verified","email",IF(C933&lt;&gt;"","linkedin",CB933&amp;""))))</f>
        <v/>
      </c>
      <c r="J933" s="0" t="str">
        <f aca="false">IF($A933="","",IF(CN933="pass",ROUND(N(EM933)+N(EN933)+N(EO933)+N(EP933)+N(EQ933)+N(ER933),1),0))</f>
        <v/>
      </c>
      <c r="K933" s="0" t="str">
        <f aca="false">IF($A933="","",IF(CN933&lt;&gt;"pass",CA933&amp;"",CA933&amp;"; "&amp;IF(AW933="Y",BZ933&amp;"",BL933&amp;"")&amp;IF(R933="Y","; known to the founder (+15)","")&amp;"."))</f>
        <v/>
      </c>
      <c r="R933" s="5"/>
      <c r="U933" s="5"/>
      <c r="Y933" s="0" t="str">
        <f aca="false">IF(FX933&lt;&gt;"Y","",COUNTIFS($FX$2:$FX$1000,"Y",$J$2:$J$1000,"&gt;"&amp;J933)+COUNTIFS($FX$2:$FX$1000,"Y",$J$2:$J$1000,J933,$GD$2:$GD$1000,"&lt;"&amp;GD933)+1)</f>
        <v/>
      </c>
      <c r="AB933" s="0" t="str">
        <f aca="false">IF($A933="","",IF(AW933="Y",BY933&amp;"",BK933&amp;""))</f>
        <v/>
      </c>
      <c r="AC933" s="0" t="str">
        <f aca="false">IF($A933="","",IF(AW933="Y",BS933&amp;"",BE933&amp;""))</f>
        <v/>
      </c>
      <c r="AD933" s="0" t="str">
        <f aca="false">IF($A933="","",IF(AW933="Y",BT933&amp;"",BF933&amp;""))</f>
        <v/>
      </c>
      <c r="AE933" s="0" t="str">
        <f aca="false">IF($A933="","",IF(AW933="Y",BU933&amp;"",BG933&amp;""))</f>
        <v/>
      </c>
      <c r="AF933" s="0" t="str">
        <f aca="false">IF($A933="","",IF(AW933="Y",BV933&amp;"",BH933&amp;""))</f>
        <v/>
      </c>
      <c r="AG933" s="0" t="str">
        <f aca="false">IF($A933="","",IF(AW933="Y",BW933&amp;"",BI933&amp;""))</f>
        <v/>
      </c>
      <c r="AH933" s="0" t="str">
        <f aca="false">IF($A933="","",IF(AW933="Y",BX933&amp;"",BJ933&amp;""))</f>
        <v/>
      </c>
      <c r="AQ933" s="5"/>
      <c r="AT933" s="0" t="str">
        <f aca="false">IF($A933="","",IF(AND(CN933="pass",AQ933&lt;&gt;"Y",C933&lt;&gt;"",OR(AX933&lt;&gt;"Y",AV933="Y")),"Y","N"))</f>
        <v/>
      </c>
      <c r="AU933" s="0" t="str">
        <f aca="false">IF($A933="","",_xlfn.TEXTJOIN("; ",TRUE(),IF(CN933&lt;&gt;"pass","gated out",""),IF(AQ933="Y","on hold: "&amp;AR933,""),IF(C933="","no contact named on an opened page",""),IF(AND(AX933="Y",AV933&lt;&gt;"Y"),"Tuesday estimate band "&amp;L933&amp;": founder's call","")))</f>
        <v/>
      </c>
      <c r="BC933" s="0" t="str">
        <f aca="false">IF($A933="","",IFERROR(INDEX(Enrichment!$A$2:$GZ$2000,MATCH($A933,INDEX(Enrichment!$A$2:$GZ$2000,0,MATCH("row_id",Enrichment!$A$1:$GZ$1,0)),0),MATCH("work_email",Enrichment!$A$1:$GZ$1,0))&amp;"",""))</f>
        <v/>
      </c>
      <c r="BD933" s="0" t="str">
        <f aca="false">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Q933" s="0" t="str">
        <f aca="false">IF($A933="","",IFERROR(INDEX(Enrichment!$A$2:$GZ$2000,MATCH($A933,INDEX(Enrichment!$A$2:$GZ$2000,0,MATCH("row_id",Enrichment!$A$1:$GZ$1,0)),0),MATCH("backup_work_email",Enrichment!$A$1:$GZ$1,0))&amp;"",""))</f>
        <v/>
      </c>
      <c r="BR933" s="0" t="str">
        <f aca="false">IF($A933="","",IF(BQ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EQ933" s="0" t="str">
        <f aca="false">IF($A933="","",IF(AH933="exact",10,IF(AH933="adjacent",5,0)))</f>
        <v/>
      </c>
      <c r="ER933" s="0" t="str">
        <f aca="false">IF($A933="","",IF(R933="Y",15,0))</f>
        <v/>
      </c>
      <c r="FS933" s="0" t="str">
        <f aca="false">IF($A933="","",IF(ISNUMBER(MATCH(U933,{"queued","contacted","replied","call_booked","call_done","yes_in_principle","materials_sent"},0)),"Y","N"))</f>
        <v/>
      </c>
      <c r="FT933" s="0" t="str">
        <f aca="false">IF($A933="","",IF(OR(T933="Y",U933="do_not_contact",AS933&amp;""&lt;&gt;""),"Y","N"))</f>
        <v/>
      </c>
      <c r="FU933" s="0" t="str">
        <f aca="false">IF($A933="","",IF(AP933&amp;""&lt;&gt;"",AP933&amp;"",$A933))</f>
        <v/>
      </c>
      <c r="FV933" s="0" t="str">
        <f aca="false">IF($A933="","",IF(COUNTIFS($FU$2:$FU$1000,FU933,$FS$2:$FS$1000,"Y")+COUNTIFS($FU$2:$FU$1000,FU933,$FT$2:$FT$1000,"Y")&gt;0,"Y","N"))</f>
        <v/>
      </c>
      <c r="FW933" s="0" t="str">
        <f aca="false">IF($A933="","",IF(AND(U933="new",T933="N",FT933="N",AT933="Y",FV933="N"),"Y","N"))</f>
        <v/>
      </c>
      <c r="FX933" s="0" t="str">
        <f aca="false">IF($A933="","",IF(FW933&lt;&gt;"Y","N",IF(COUNTIFS($FU$2:$FU$1000,FU933,$FW$2:$FW$1000,"Y",$J$2:$J$1000,"&gt;"&amp;J933)+COUNTIFS($FU$2:$FU$1000,FU933,$FW$2:$FW$1000,"Y",$J$2:$J$1000,J933,$GD$2:$GD$1000,"&lt;"&amp;GD933)=0,"Y","N")))</f>
        <v/>
      </c>
      <c r="FY933" s="0" t="str">
        <f aca="false">IF($A933="","",IF(AND(FW933="Y",FX933="Y",Y933&amp;""&lt;&gt;""),IF(Y933&lt;=10,"Y","N"),"N"))</f>
        <v/>
      </c>
      <c r="FZ933" s="0" t="str">
        <f aca="false">IF(FY933="Y",Y933,"")</f>
        <v/>
      </c>
      <c r="GA933" s="0" t="str">
        <f aca="false">IF($A933="","",IF(AND(I933="walk-in",CN933="pass",U933="new",FT933="N",FV933="N",AQ933&lt;&gt;"Y"),"Y","N"))</f>
        <v/>
      </c>
      <c r="GB933" s="0" t="str">
        <f aca="false">IF(GA933&lt;&gt;"Y","",IF(COUNTIFS($GA$2:$GA$1000,"Y",$J$2:$J$1000,"&gt;"&amp;J933)+COUNTIFS($GA$2:$GA$1000,"Y",$J$2:$J$1000,J933,$GD$2:$GD$1000,"&lt;"&amp;GD933)+1&lt;=25,COUNTIFS($GA$2:$GA$1000,"Y",$J$2:$J$1000,"&gt;"&amp;J933)+COUNTIFS($GA$2:$GA$1000,"Y",$J$2:$J$1000,J933,$GD$2:$GD$1000,"&lt;"&amp;GD933)+1,""))</f>
        <v/>
      </c>
      <c r="GC933" s="0" t="str">
        <f aca="false">IF(AND(_xlfn.ISFORMULA(C933),_xlfn.ISFORMULA(J933)),"Y","N")</f>
        <v>Y</v>
      </c>
      <c r="GD933" s="0" t="n">
        <f aca="false">ROW()-1</f>
        <v>932</v>
      </c>
    </row>
    <row r="934" customFormat="false" ht="15" hidden="false" customHeight="false" outlineLevel="0" collapsed="false">
      <c r="C934" s="0" t="str">
        <f aca="false">IF($A934="","",IF(AW934="Y",BM934&amp;"",AY934&amp;""))</f>
        <v/>
      </c>
      <c r="D934" s="0" t="str">
        <f aca="false">IF($A934="","",IF(AW934="Y",BN934&amp;"",AZ934&amp;""))</f>
        <v/>
      </c>
      <c r="E934" s="0" t="str">
        <f aca="false">IF($A934="","",IF(AW934="Y",BO934&amp;"",BA934&amp;""))</f>
        <v/>
      </c>
      <c r="F934" s="0" t="str">
        <f aca="false">IF($A934="","",IF(AW934="Y",BP934&amp;"",BB934&amp;""))</f>
        <v/>
      </c>
      <c r="G934" s="0" t="str">
        <f aca="false">IF($A934="","",IF(AW934="Y",BQ934&amp;"",BC934&amp;""))</f>
        <v/>
      </c>
      <c r="H934" s="0" t="str">
        <f aca="false">IF($A934="","",IF(AW934="Y",BR934&amp;"",BD934&amp;""))</f>
        <v/>
      </c>
      <c r="I934" s="0" t="str">
        <f aca="false">IF($A934="","",IF(R934="Y","warm-intro",IF(H934="verified","email",IF(C934&lt;&gt;"","linkedin",CB934&amp;""))))</f>
        <v/>
      </c>
      <c r="J934" s="0" t="str">
        <f aca="false">IF($A934="","",IF(CN934="pass",ROUND(N(EM934)+N(EN934)+N(EO934)+N(EP934)+N(EQ934)+N(ER934),1),0))</f>
        <v/>
      </c>
      <c r="K934" s="0" t="str">
        <f aca="false">IF($A934="","",IF(CN934&lt;&gt;"pass",CA934&amp;"",CA934&amp;"; "&amp;IF(AW934="Y",BZ934&amp;"",BL934&amp;"")&amp;IF(R934="Y","; known to the founder (+15)","")&amp;"."))</f>
        <v/>
      </c>
      <c r="R934" s="5"/>
      <c r="U934" s="5"/>
      <c r="Y934" s="0" t="str">
        <f aca="false">IF(FX934&lt;&gt;"Y","",COUNTIFS($FX$2:$FX$1000,"Y",$J$2:$J$1000,"&gt;"&amp;J934)+COUNTIFS($FX$2:$FX$1000,"Y",$J$2:$J$1000,J934,$GD$2:$GD$1000,"&lt;"&amp;GD934)+1)</f>
        <v/>
      </c>
      <c r="AB934" s="0" t="str">
        <f aca="false">IF($A934="","",IF(AW934="Y",BY934&amp;"",BK934&amp;""))</f>
        <v/>
      </c>
      <c r="AC934" s="0" t="str">
        <f aca="false">IF($A934="","",IF(AW934="Y",BS934&amp;"",BE934&amp;""))</f>
        <v/>
      </c>
      <c r="AD934" s="0" t="str">
        <f aca="false">IF($A934="","",IF(AW934="Y",BT934&amp;"",BF934&amp;""))</f>
        <v/>
      </c>
      <c r="AE934" s="0" t="str">
        <f aca="false">IF($A934="","",IF(AW934="Y",BU934&amp;"",BG934&amp;""))</f>
        <v/>
      </c>
      <c r="AF934" s="0" t="str">
        <f aca="false">IF($A934="","",IF(AW934="Y",BV934&amp;"",BH934&amp;""))</f>
        <v/>
      </c>
      <c r="AG934" s="0" t="str">
        <f aca="false">IF($A934="","",IF(AW934="Y",BW934&amp;"",BI934&amp;""))</f>
        <v/>
      </c>
      <c r="AH934" s="0" t="str">
        <f aca="false">IF($A934="","",IF(AW934="Y",BX934&amp;"",BJ934&amp;""))</f>
        <v/>
      </c>
      <c r="AQ934" s="5"/>
      <c r="AT934" s="0" t="str">
        <f aca="false">IF($A934="","",IF(AND(CN934="pass",AQ934&lt;&gt;"Y",C934&lt;&gt;"",OR(AX934&lt;&gt;"Y",AV934="Y")),"Y","N"))</f>
        <v/>
      </c>
      <c r="AU934" s="0" t="str">
        <f aca="false">IF($A934="","",_xlfn.TEXTJOIN("; ",TRUE(),IF(CN934&lt;&gt;"pass","gated out",""),IF(AQ934="Y","on hold: "&amp;AR934,""),IF(C934="","no contact named on an opened page",""),IF(AND(AX934="Y",AV934&lt;&gt;"Y"),"Tuesday estimate band "&amp;L934&amp;": founder's call","")))</f>
        <v/>
      </c>
      <c r="BC934" s="0" t="str">
        <f aca="false">IF($A934="","",IFERROR(INDEX(Enrichment!$A$2:$GZ$2000,MATCH($A934,INDEX(Enrichment!$A$2:$GZ$2000,0,MATCH("row_id",Enrichment!$A$1:$GZ$1,0)),0),MATCH("work_email",Enrichment!$A$1:$GZ$1,0))&amp;"",""))</f>
        <v/>
      </c>
      <c r="BD934" s="0" t="str">
        <f aca="false">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Q934" s="0" t="str">
        <f aca="false">IF($A934="","",IFERROR(INDEX(Enrichment!$A$2:$GZ$2000,MATCH($A934,INDEX(Enrichment!$A$2:$GZ$2000,0,MATCH("row_id",Enrichment!$A$1:$GZ$1,0)),0),MATCH("backup_work_email",Enrichment!$A$1:$GZ$1,0))&amp;"",""))</f>
        <v/>
      </c>
      <c r="BR934" s="0" t="str">
        <f aca="false">IF($A934="","",IF(BQ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EQ934" s="0" t="str">
        <f aca="false">IF($A934="","",IF(AH934="exact",10,IF(AH934="adjacent",5,0)))</f>
        <v/>
      </c>
      <c r="ER934" s="0" t="str">
        <f aca="false">IF($A934="","",IF(R934="Y",15,0))</f>
        <v/>
      </c>
      <c r="FS934" s="0" t="str">
        <f aca="false">IF($A934="","",IF(ISNUMBER(MATCH(U934,{"queued","contacted","replied","call_booked","call_done","yes_in_principle","materials_sent"},0)),"Y","N"))</f>
        <v/>
      </c>
      <c r="FT934" s="0" t="str">
        <f aca="false">IF($A934="","",IF(OR(T934="Y",U934="do_not_contact",AS934&amp;""&lt;&gt;""),"Y","N"))</f>
        <v/>
      </c>
      <c r="FU934" s="0" t="str">
        <f aca="false">IF($A934="","",IF(AP934&amp;""&lt;&gt;"",AP934&amp;"",$A934))</f>
        <v/>
      </c>
      <c r="FV934" s="0" t="str">
        <f aca="false">IF($A934="","",IF(COUNTIFS($FU$2:$FU$1000,FU934,$FS$2:$FS$1000,"Y")+COUNTIFS($FU$2:$FU$1000,FU934,$FT$2:$FT$1000,"Y")&gt;0,"Y","N"))</f>
        <v/>
      </c>
      <c r="FW934" s="0" t="str">
        <f aca="false">IF($A934="","",IF(AND(U934="new",T934="N",FT934="N",AT934="Y",FV934="N"),"Y","N"))</f>
        <v/>
      </c>
      <c r="FX934" s="0" t="str">
        <f aca="false">IF($A934="","",IF(FW934&lt;&gt;"Y","N",IF(COUNTIFS($FU$2:$FU$1000,FU934,$FW$2:$FW$1000,"Y",$J$2:$J$1000,"&gt;"&amp;J934)+COUNTIFS($FU$2:$FU$1000,FU934,$FW$2:$FW$1000,"Y",$J$2:$J$1000,J934,$GD$2:$GD$1000,"&lt;"&amp;GD934)=0,"Y","N")))</f>
        <v/>
      </c>
      <c r="FY934" s="0" t="str">
        <f aca="false">IF($A934="","",IF(AND(FW934="Y",FX934="Y",Y934&amp;""&lt;&gt;""),IF(Y934&lt;=10,"Y","N"),"N"))</f>
        <v/>
      </c>
      <c r="FZ934" s="0" t="str">
        <f aca="false">IF(FY934="Y",Y934,"")</f>
        <v/>
      </c>
      <c r="GA934" s="0" t="str">
        <f aca="false">IF($A934="","",IF(AND(I934="walk-in",CN934="pass",U934="new",FT934="N",FV934="N",AQ934&lt;&gt;"Y"),"Y","N"))</f>
        <v/>
      </c>
      <c r="GB934" s="0" t="str">
        <f aca="false">IF(GA934&lt;&gt;"Y","",IF(COUNTIFS($GA$2:$GA$1000,"Y",$J$2:$J$1000,"&gt;"&amp;J934)+COUNTIFS($GA$2:$GA$1000,"Y",$J$2:$J$1000,J934,$GD$2:$GD$1000,"&lt;"&amp;GD934)+1&lt;=25,COUNTIFS($GA$2:$GA$1000,"Y",$J$2:$J$1000,"&gt;"&amp;J934)+COUNTIFS($GA$2:$GA$1000,"Y",$J$2:$J$1000,J934,$GD$2:$GD$1000,"&lt;"&amp;GD934)+1,""))</f>
        <v/>
      </c>
      <c r="GC934" s="0" t="str">
        <f aca="false">IF(AND(_xlfn.ISFORMULA(C934),_xlfn.ISFORMULA(J934)),"Y","N")</f>
        <v>Y</v>
      </c>
      <c r="GD934" s="0" t="n">
        <f aca="false">ROW()-1</f>
        <v>933</v>
      </c>
    </row>
    <row r="935" customFormat="false" ht="15" hidden="false" customHeight="false" outlineLevel="0" collapsed="false">
      <c r="C935" s="0" t="str">
        <f aca="false">IF($A935="","",IF(AW935="Y",BM935&amp;"",AY935&amp;""))</f>
        <v/>
      </c>
      <c r="D935" s="0" t="str">
        <f aca="false">IF($A935="","",IF(AW935="Y",BN935&amp;"",AZ935&amp;""))</f>
        <v/>
      </c>
      <c r="E935" s="0" t="str">
        <f aca="false">IF($A935="","",IF(AW935="Y",BO935&amp;"",BA935&amp;""))</f>
        <v/>
      </c>
      <c r="F935" s="0" t="str">
        <f aca="false">IF($A935="","",IF(AW935="Y",BP935&amp;"",BB935&amp;""))</f>
        <v/>
      </c>
      <c r="G935" s="0" t="str">
        <f aca="false">IF($A935="","",IF(AW935="Y",BQ935&amp;"",BC935&amp;""))</f>
        <v/>
      </c>
      <c r="H935" s="0" t="str">
        <f aca="false">IF($A935="","",IF(AW935="Y",BR935&amp;"",BD935&amp;""))</f>
        <v/>
      </c>
      <c r="I935" s="0" t="str">
        <f aca="false">IF($A935="","",IF(R935="Y","warm-intro",IF(H935="verified","email",IF(C935&lt;&gt;"","linkedin",CB935&amp;""))))</f>
        <v/>
      </c>
      <c r="J935" s="0" t="str">
        <f aca="false">IF($A935="","",IF(CN935="pass",ROUND(N(EM935)+N(EN935)+N(EO935)+N(EP935)+N(EQ935)+N(ER935),1),0))</f>
        <v/>
      </c>
      <c r="K935" s="0" t="str">
        <f aca="false">IF($A935="","",IF(CN935&lt;&gt;"pass",CA935&amp;"",CA935&amp;"; "&amp;IF(AW935="Y",BZ935&amp;"",BL935&amp;"")&amp;IF(R935="Y","; known to the founder (+15)","")&amp;"."))</f>
        <v/>
      </c>
      <c r="R935" s="5"/>
      <c r="U935" s="5"/>
      <c r="Y935" s="0" t="str">
        <f aca="false">IF(FX935&lt;&gt;"Y","",COUNTIFS($FX$2:$FX$1000,"Y",$J$2:$J$1000,"&gt;"&amp;J935)+COUNTIFS($FX$2:$FX$1000,"Y",$J$2:$J$1000,J935,$GD$2:$GD$1000,"&lt;"&amp;GD935)+1)</f>
        <v/>
      </c>
      <c r="AB935" s="0" t="str">
        <f aca="false">IF($A935="","",IF(AW935="Y",BY935&amp;"",BK935&amp;""))</f>
        <v/>
      </c>
      <c r="AC935" s="0" t="str">
        <f aca="false">IF($A935="","",IF(AW935="Y",BS935&amp;"",BE935&amp;""))</f>
        <v/>
      </c>
      <c r="AD935" s="0" t="str">
        <f aca="false">IF($A935="","",IF(AW935="Y",BT935&amp;"",BF935&amp;""))</f>
        <v/>
      </c>
      <c r="AE935" s="0" t="str">
        <f aca="false">IF($A935="","",IF(AW935="Y",BU935&amp;"",BG935&amp;""))</f>
        <v/>
      </c>
      <c r="AF935" s="0" t="str">
        <f aca="false">IF($A935="","",IF(AW935="Y",BV935&amp;"",BH935&amp;""))</f>
        <v/>
      </c>
      <c r="AG935" s="0" t="str">
        <f aca="false">IF($A935="","",IF(AW935="Y",BW935&amp;"",BI935&amp;""))</f>
        <v/>
      </c>
      <c r="AH935" s="0" t="str">
        <f aca="false">IF($A935="","",IF(AW935="Y",BX935&amp;"",BJ935&amp;""))</f>
        <v/>
      </c>
      <c r="AQ935" s="5"/>
      <c r="AT935" s="0" t="str">
        <f aca="false">IF($A935="","",IF(AND(CN935="pass",AQ935&lt;&gt;"Y",C935&lt;&gt;"",OR(AX935&lt;&gt;"Y",AV935="Y")),"Y","N"))</f>
        <v/>
      </c>
      <c r="AU935" s="0" t="str">
        <f aca="false">IF($A935="","",_xlfn.TEXTJOIN("; ",TRUE(),IF(CN935&lt;&gt;"pass","gated out",""),IF(AQ935="Y","on hold: "&amp;AR935,""),IF(C935="","no contact named on an opened page",""),IF(AND(AX935="Y",AV935&lt;&gt;"Y"),"Tuesday estimate band "&amp;L935&amp;": founder's call","")))</f>
        <v/>
      </c>
      <c r="BC935" s="0" t="str">
        <f aca="false">IF($A935="","",IFERROR(INDEX(Enrichment!$A$2:$GZ$2000,MATCH($A935,INDEX(Enrichment!$A$2:$GZ$2000,0,MATCH("row_id",Enrichment!$A$1:$GZ$1,0)),0),MATCH("work_email",Enrichment!$A$1:$GZ$1,0))&amp;"",""))</f>
        <v/>
      </c>
      <c r="BD935" s="0" t="str">
        <f aca="false">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Q935" s="0" t="str">
        <f aca="false">IF($A935="","",IFERROR(INDEX(Enrichment!$A$2:$GZ$2000,MATCH($A935,INDEX(Enrichment!$A$2:$GZ$2000,0,MATCH("row_id",Enrichment!$A$1:$GZ$1,0)),0),MATCH("backup_work_email",Enrichment!$A$1:$GZ$1,0))&amp;"",""))</f>
        <v/>
      </c>
      <c r="BR935" s="0" t="str">
        <f aca="false">IF($A935="","",IF(BQ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EQ935" s="0" t="str">
        <f aca="false">IF($A935="","",IF(AH935="exact",10,IF(AH935="adjacent",5,0)))</f>
        <v/>
      </c>
      <c r="ER935" s="0" t="str">
        <f aca="false">IF($A935="","",IF(R935="Y",15,0))</f>
        <v/>
      </c>
      <c r="FS935" s="0" t="str">
        <f aca="false">IF($A935="","",IF(ISNUMBER(MATCH(U935,{"queued","contacted","replied","call_booked","call_done","yes_in_principle","materials_sent"},0)),"Y","N"))</f>
        <v/>
      </c>
      <c r="FT935" s="0" t="str">
        <f aca="false">IF($A935="","",IF(OR(T935="Y",U935="do_not_contact",AS935&amp;""&lt;&gt;""),"Y","N"))</f>
        <v/>
      </c>
      <c r="FU935" s="0" t="str">
        <f aca="false">IF($A935="","",IF(AP935&amp;""&lt;&gt;"",AP935&amp;"",$A935))</f>
        <v/>
      </c>
      <c r="FV935" s="0" t="str">
        <f aca="false">IF($A935="","",IF(COUNTIFS($FU$2:$FU$1000,FU935,$FS$2:$FS$1000,"Y")+COUNTIFS($FU$2:$FU$1000,FU935,$FT$2:$FT$1000,"Y")&gt;0,"Y","N"))</f>
        <v/>
      </c>
      <c r="FW935" s="0" t="str">
        <f aca="false">IF($A935="","",IF(AND(U935="new",T935="N",FT935="N",AT935="Y",FV935="N"),"Y","N"))</f>
        <v/>
      </c>
      <c r="FX935" s="0" t="str">
        <f aca="false">IF($A935="","",IF(FW935&lt;&gt;"Y","N",IF(COUNTIFS($FU$2:$FU$1000,FU935,$FW$2:$FW$1000,"Y",$J$2:$J$1000,"&gt;"&amp;J935)+COUNTIFS($FU$2:$FU$1000,FU935,$FW$2:$FW$1000,"Y",$J$2:$J$1000,J935,$GD$2:$GD$1000,"&lt;"&amp;GD935)=0,"Y","N")))</f>
        <v/>
      </c>
      <c r="FY935" s="0" t="str">
        <f aca="false">IF($A935="","",IF(AND(FW935="Y",FX935="Y",Y935&amp;""&lt;&gt;""),IF(Y935&lt;=10,"Y","N"),"N"))</f>
        <v/>
      </c>
      <c r="FZ935" s="0" t="str">
        <f aca="false">IF(FY935="Y",Y935,"")</f>
        <v/>
      </c>
      <c r="GA935" s="0" t="str">
        <f aca="false">IF($A935="","",IF(AND(I935="walk-in",CN935="pass",U935="new",FT935="N",FV935="N",AQ935&lt;&gt;"Y"),"Y","N"))</f>
        <v/>
      </c>
      <c r="GB935" s="0" t="str">
        <f aca="false">IF(GA935&lt;&gt;"Y","",IF(COUNTIFS($GA$2:$GA$1000,"Y",$J$2:$J$1000,"&gt;"&amp;J935)+COUNTIFS($GA$2:$GA$1000,"Y",$J$2:$J$1000,J935,$GD$2:$GD$1000,"&lt;"&amp;GD935)+1&lt;=25,COUNTIFS($GA$2:$GA$1000,"Y",$J$2:$J$1000,"&gt;"&amp;J935)+COUNTIFS($GA$2:$GA$1000,"Y",$J$2:$J$1000,J935,$GD$2:$GD$1000,"&lt;"&amp;GD935)+1,""))</f>
        <v/>
      </c>
      <c r="GC935" s="0" t="str">
        <f aca="false">IF(AND(_xlfn.ISFORMULA(C935),_xlfn.ISFORMULA(J935)),"Y","N")</f>
        <v>Y</v>
      </c>
      <c r="GD935" s="0" t="n">
        <f aca="false">ROW()-1</f>
        <v>934</v>
      </c>
    </row>
    <row r="936" customFormat="false" ht="15" hidden="false" customHeight="false" outlineLevel="0" collapsed="false">
      <c r="C936" s="0" t="str">
        <f aca="false">IF($A936="","",IF(AW936="Y",BM936&amp;"",AY936&amp;""))</f>
        <v/>
      </c>
      <c r="D936" s="0" t="str">
        <f aca="false">IF($A936="","",IF(AW936="Y",BN936&amp;"",AZ936&amp;""))</f>
        <v/>
      </c>
      <c r="E936" s="0" t="str">
        <f aca="false">IF($A936="","",IF(AW936="Y",BO936&amp;"",BA936&amp;""))</f>
        <v/>
      </c>
      <c r="F936" s="0" t="str">
        <f aca="false">IF($A936="","",IF(AW936="Y",BP936&amp;"",BB936&amp;""))</f>
        <v/>
      </c>
      <c r="G936" s="0" t="str">
        <f aca="false">IF($A936="","",IF(AW936="Y",BQ936&amp;"",BC936&amp;""))</f>
        <v/>
      </c>
      <c r="H936" s="0" t="str">
        <f aca="false">IF($A936="","",IF(AW936="Y",BR936&amp;"",BD936&amp;""))</f>
        <v/>
      </c>
      <c r="I936" s="0" t="str">
        <f aca="false">IF($A936="","",IF(R936="Y","warm-intro",IF(H936="verified","email",IF(C936&lt;&gt;"","linkedin",CB936&amp;""))))</f>
        <v/>
      </c>
      <c r="J936" s="0" t="str">
        <f aca="false">IF($A936="","",IF(CN936="pass",ROUND(N(EM936)+N(EN936)+N(EO936)+N(EP936)+N(EQ936)+N(ER936),1),0))</f>
        <v/>
      </c>
      <c r="K936" s="0" t="str">
        <f aca="false">IF($A936="","",IF(CN936&lt;&gt;"pass",CA936&amp;"",CA936&amp;"; "&amp;IF(AW936="Y",BZ936&amp;"",BL936&amp;"")&amp;IF(R936="Y","; known to the founder (+15)","")&amp;"."))</f>
        <v/>
      </c>
      <c r="R936" s="5"/>
      <c r="U936" s="5"/>
      <c r="Y936" s="0" t="str">
        <f aca="false">IF(FX936&lt;&gt;"Y","",COUNTIFS($FX$2:$FX$1000,"Y",$J$2:$J$1000,"&gt;"&amp;J936)+COUNTIFS($FX$2:$FX$1000,"Y",$J$2:$J$1000,J936,$GD$2:$GD$1000,"&lt;"&amp;GD936)+1)</f>
        <v/>
      </c>
      <c r="AB936" s="0" t="str">
        <f aca="false">IF($A936="","",IF(AW936="Y",BY936&amp;"",BK936&amp;""))</f>
        <v/>
      </c>
      <c r="AC936" s="0" t="str">
        <f aca="false">IF($A936="","",IF(AW936="Y",BS936&amp;"",BE936&amp;""))</f>
        <v/>
      </c>
      <c r="AD936" s="0" t="str">
        <f aca="false">IF($A936="","",IF(AW936="Y",BT936&amp;"",BF936&amp;""))</f>
        <v/>
      </c>
      <c r="AE936" s="0" t="str">
        <f aca="false">IF($A936="","",IF(AW936="Y",BU936&amp;"",BG936&amp;""))</f>
        <v/>
      </c>
      <c r="AF936" s="0" t="str">
        <f aca="false">IF($A936="","",IF(AW936="Y",BV936&amp;"",BH936&amp;""))</f>
        <v/>
      </c>
      <c r="AG936" s="0" t="str">
        <f aca="false">IF($A936="","",IF(AW936="Y",BW936&amp;"",BI936&amp;""))</f>
        <v/>
      </c>
      <c r="AH936" s="0" t="str">
        <f aca="false">IF($A936="","",IF(AW936="Y",BX936&amp;"",BJ936&amp;""))</f>
        <v/>
      </c>
      <c r="AQ936" s="5"/>
      <c r="AT936" s="0" t="str">
        <f aca="false">IF($A936="","",IF(AND(CN936="pass",AQ936&lt;&gt;"Y",C936&lt;&gt;"",OR(AX936&lt;&gt;"Y",AV936="Y")),"Y","N"))</f>
        <v/>
      </c>
      <c r="AU936" s="0" t="str">
        <f aca="false">IF($A936="","",_xlfn.TEXTJOIN("; ",TRUE(),IF(CN936&lt;&gt;"pass","gated out",""),IF(AQ936="Y","on hold: "&amp;AR936,""),IF(C936="","no contact named on an opened page",""),IF(AND(AX936="Y",AV936&lt;&gt;"Y"),"Tuesday estimate band "&amp;L936&amp;": founder's call","")))</f>
        <v/>
      </c>
      <c r="BC936" s="0" t="str">
        <f aca="false">IF($A936="","",IFERROR(INDEX(Enrichment!$A$2:$GZ$2000,MATCH($A936,INDEX(Enrichment!$A$2:$GZ$2000,0,MATCH("row_id",Enrichment!$A$1:$GZ$1,0)),0),MATCH("work_email",Enrichment!$A$1:$GZ$1,0))&amp;"",""))</f>
        <v/>
      </c>
      <c r="BD936" s="0" t="str">
        <f aca="false">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Q936" s="0" t="str">
        <f aca="false">IF($A936="","",IFERROR(INDEX(Enrichment!$A$2:$GZ$2000,MATCH($A936,INDEX(Enrichment!$A$2:$GZ$2000,0,MATCH("row_id",Enrichment!$A$1:$GZ$1,0)),0),MATCH("backup_work_email",Enrichment!$A$1:$GZ$1,0))&amp;"",""))</f>
        <v/>
      </c>
      <c r="BR936" s="0" t="str">
        <f aca="false">IF($A936="","",IF(BQ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EQ936" s="0" t="str">
        <f aca="false">IF($A936="","",IF(AH936="exact",10,IF(AH936="adjacent",5,0)))</f>
        <v/>
      </c>
      <c r="ER936" s="0" t="str">
        <f aca="false">IF($A936="","",IF(R936="Y",15,0))</f>
        <v/>
      </c>
      <c r="FS936" s="0" t="str">
        <f aca="false">IF($A936="","",IF(ISNUMBER(MATCH(U936,{"queued","contacted","replied","call_booked","call_done","yes_in_principle","materials_sent"},0)),"Y","N"))</f>
        <v/>
      </c>
      <c r="FT936" s="0" t="str">
        <f aca="false">IF($A936="","",IF(OR(T936="Y",U936="do_not_contact",AS936&amp;""&lt;&gt;""),"Y","N"))</f>
        <v/>
      </c>
      <c r="FU936" s="0" t="str">
        <f aca="false">IF($A936="","",IF(AP936&amp;""&lt;&gt;"",AP936&amp;"",$A936))</f>
        <v/>
      </c>
      <c r="FV936" s="0" t="str">
        <f aca="false">IF($A936="","",IF(COUNTIFS($FU$2:$FU$1000,FU936,$FS$2:$FS$1000,"Y")+COUNTIFS($FU$2:$FU$1000,FU936,$FT$2:$FT$1000,"Y")&gt;0,"Y","N"))</f>
        <v/>
      </c>
      <c r="FW936" s="0" t="str">
        <f aca="false">IF($A936="","",IF(AND(U936="new",T936="N",FT936="N",AT936="Y",FV936="N"),"Y","N"))</f>
        <v/>
      </c>
      <c r="FX936" s="0" t="str">
        <f aca="false">IF($A936="","",IF(FW936&lt;&gt;"Y","N",IF(COUNTIFS($FU$2:$FU$1000,FU936,$FW$2:$FW$1000,"Y",$J$2:$J$1000,"&gt;"&amp;J936)+COUNTIFS($FU$2:$FU$1000,FU936,$FW$2:$FW$1000,"Y",$J$2:$J$1000,J936,$GD$2:$GD$1000,"&lt;"&amp;GD936)=0,"Y","N")))</f>
        <v/>
      </c>
      <c r="FY936" s="0" t="str">
        <f aca="false">IF($A936="","",IF(AND(FW936="Y",FX936="Y",Y936&amp;""&lt;&gt;""),IF(Y936&lt;=10,"Y","N"),"N"))</f>
        <v/>
      </c>
      <c r="FZ936" s="0" t="str">
        <f aca="false">IF(FY936="Y",Y936,"")</f>
        <v/>
      </c>
      <c r="GA936" s="0" t="str">
        <f aca="false">IF($A936="","",IF(AND(I936="walk-in",CN936="pass",U936="new",FT936="N",FV936="N",AQ936&lt;&gt;"Y"),"Y","N"))</f>
        <v/>
      </c>
      <c r="GB936" s="0" t="str">
        <f aca="false">IF(GA936&lt;&gt;"Y","",IF(COUNTIFS($GA$2:$GA$1000,"Y",$J$2:$J$1000,"&gt;"&amp;J936)+COUNTIFS($GA$2:$GA$1000,"Y",$J$2:$J$1000,J936,$GD$2:$GD$1000,"&lt;"&amp;GD936)+1&lt;=25,COUNTIFS($GA$2:$GA$1000,"Y",$J$2:$J$1000,"&gt;"&amp;J936)+COUNTIFS($GA$2:$GA$1000,"Y",$J$2:$J$1000,J936,$GD$2:$GD$1000,"&lt;"&amp;GD936)+1,""))</f>
        <v/>
      </c>
      <c r="GC936" s="0" t="str">
        <f aca="false">IF(AND(_xlfn.ISFORMULA(C936),_xlfn.ISFORMULA(J936)),"Y","N")</f>
        <v>Y</v>
      </c>
      <c r="GD936" s="0" t="n">
        <f aca="false">ROW()-1</f>
        <v>935</v>
      </c>
    </row>
    <row r="937" customFormat="false" ht="15" hidden="false" customHeight="false" outlineLevel="0" collapsed="false">
      <c r="C937" s="0" t="str">
        <f aca="false">IF($A937="","",IF(AW937="Y",BM937&amp;"",AY937&amp;""))</f>
        <v/>
      </c>
      <c r="D937" s="0" t="str">
        <f aca="false">IF($A937="","",IF(AW937="Y",BN937&amp;"",AZ937&amp;""))</f>
        <v/>
      </c>
      <c r="E937" s="0" t="str">
        <f aca="false">IF($A937="","",IF(AW937="Y",BO937&amp;"",BA937&amp;""))</f>
        <v/>
      </c>
      <c r="F937" s="0" t="str">
        <f aca="false">IF($A937="","",IF(AW937="Y",BP937&amp;"",BB937&amp;""))</f>
        <v/>
      </c>
      <c r="G937" s="0" t="str">
        <f aca="false">IF($A937="","",IF(AW937="Y",BQ937&amp;"",BC937&amp;""))</f>
        <v/>
      </c>
      <c r="H937" s="0" t="str">
        <f aca="false">IF($A937="","",IF(AW937="Y",BR937&amp;"",BD937&amp;""))</f>
        <v/>
      </c>
      <c r="I937" s="0" t="str">
        <f aca="false">IF($A937="","",IF(R937="Y","warm-intro",IF(H937="verified","email",IF(C937&lt;&gt;"","linkedin",CB937&amp;""))))</f>
        <v/>
      </c>
      <c r="J937" s="0" t="str">
        <f aca="false">IF($A937="","",IF(CN937="pass",ROUND(N(EM937)+N(EN937)+N(EO937)+N(EP937)+N(EQ937)+N(ER937),1),0))</f>
        <v/>
      </c>
      <c r="K937" s="0" t="str">
        <f aca="false">IF($A937="","",IF(CN937&lt;&gt;"pass",CA937&amp;"",CA937&amp;"; "&amp;IF(AW937="Y",BZ937&amp;"",BL937&amp;"")&amp;IF(R937="Y","; known to the founder (+15)","")&amp;"."))</f>
        <v/>
      </c>
      <c r="R937" s="5"/>
      <c r="U937" s="5"/>
      <c r="Y937" s="0" t="str">
        <f aca="false">IF(FX937&lt;&gt;"Y","",COUNTIFS($FX$2:$FX$1000,"Y",$J$2:$J$1000,"&gt;"&amp;J937)+COUNTIFS($FX$2:$FX$1000,"Y",$J$2:$J$1000,J937,$GD$2:$GD$1000,"&lt;"&amp;GD937)+1)</f>
        <v/>
      </c>
      <c r="AB937" s="0" t="str">
        <f aca="false">IF($A937="","",IF(AW937="Y",BY937&amp;"",BK937&amp;""))</f>
        <v/>
      </c>
      <c r="AC937" s="0" t="str">
        <f aca="false">IF($A937="","",IF(AW937="Y",BS937&amp;"",BE937&amp;""))</f>
        <v/>
      </c>
      <c r="AD937" s="0" t="str">
        <f aca="false">IF($A937="","",IF(AW937="Y",BT937&amp;"",BF937&amp;""))</f>
        <v/>
      </c>
      <c r="AE937" s="0" t="str">
        <f aca="false">IF($A937="","",IF(AW937="Y",BU937&amp;"",BG937&amp;""))</f>
        <v/>
      </c>
      <c r="AF937" s="0" t="str">
        <f aca="false">IF($A937="","",IF(AW937="Y",BV937&amp;"",BH937&amp;""))</f>
        <v/>
      </c>
      <c r="AG937" s="0" t="str">
        <f aca="false">IF($A937="","",IF(AW937="Y",BW937&amp;"",BI937&amp;""))</f>
        <v/>
      </c>
      <c r="AH937" s="0" t="str">
        <f aca="false">IF($A937="","",IF(AW937="Y",BX937&amp;"",BJ937&amp;""))</f>
        <v/>
      </c>
      <c r="AQ937" s="5"/>
      <c r="AT937" s="0" t="str">
        <f aca="false">IF($A937="","",IF(AND(CN937="pass",AQ937&lt;&gt;"Y",C937&lt;&gt;"",OR(AX937&lt;&gt;"Y",AV937="Y")),"Y","N"))</f>
        <v/>
      </c>
      <c r="AU937" s="0" t="str">
        <f aca="false">IF($A937="","",_xlfn.TEXTJOIN("; ",TRUE(),IF(CN937&lt;&gt;"pass","gated out",""),IF(AQ937="Y","on hold: "&amp;AR937,""),IF(C937="","no contact named on an opened page",""),IF(AND(AX937="Y",AV937&lt;&gt;"Y"),"Tuesday estimate band "&amp;L937&amp;": founder's call","")))</f>
        <v/>
      </c>
      <c r="BC937" s="0" t="str">
        <f aca="false">IF($A937="","",IFERROR(INDEX(Enrichment!$A$2:$GZ$2000,MATCH($A937,INDEX(Enrichment!$A$2:$GZ$2000,0,MATCH("row_id",Enrichment!$A$1:$GZ$1,0)),0),MATCH("work_email",Enrichment!$A$1:$GZ$1,0))&amp;"",""))</f>
        <v/>
      </c>
      <c r="BD937" s="0" t="str">
        <f aca="false">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Q937" s="0" t="str">
        <f aca="false">IF($A937="","",IFERROR(INDEX(Enrichment!$A$2:$GZ$2000,MATCH($A937,INDEX(Enrichment!$A$2:$GZ$2000,0,MATCH("row_id",Enrichment!$A$1:$GZ$1,0)),0),MATCH("backup_work_email",Enrichment!$A$1:$GZ$1,0))&amp;"",""))</f>
        <v/>
      </c>
      <c r="BR937" s="0" t="str">
        <f aca="false">IF($A937="","",IF(BQ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EQ937" s="0" t="str">
        <f aca="false">IF($A937="","",IF(AH937="exact",10,IF(AH937="adjacent",5,0)))</f>
        <v/>
      </c>
      <c r="ER937" s="0" t="str">
        <f aca="false">IF($A937="","",IF(R937="Y",15,0))</f>
        <v/>
      </c>
      <c r="FS937" s="0" t="str">
        <f aca="false">IF($A937="","",IF(ISNUMBER(MATCH(U937,{"queued","contacted","replied","call_booked","call_done","yes_in_principle","materials_sent"},0)),"Y","N"))</f>
        <v/>
      </c>
      <c r="FT937" s="0" t="str">
        <f aca="false">IF($A937="","",IF(OR(T937="Y",U937="do_not_contact",AS937&amp;""&lt;&gt;""),"Y","N"))</f>
        <v/>
      </c>
      <c r="FU937" s="0" t="str">
        <f aca="false">IF($A937="","",IF(AP937&amp;""&lt;&gt;"",AP937&amp;"",$A937))</f>
        <v/>
      </c>
      <c r="FV937" s="0" t="str">
        <f aca="false">IF($A937="","",IF(COUNTIFS($FU$2:$FU$1000,FU937,$FS$2:$FS$1000,"Y")+COUNTIFS($FU$2:$FU$1000,FU937,$FT$2:$FT$1000,"Y")&gt;0,"Y","N"))</f>
        <v/>
      </c>
      <c r="FW937" s="0" t="str">
        <f aca="false">IF($A937="","",IF(AND(U937="new",T937="N",FT937="N",AT937="Y",FV937="N"),"Y","N"))</f>
        <v/>
      </c>
      <c r="FX937" s="0" t="str">
        <f aca="false">IF($A937="","",IF(FW937&lt;&gt;"Y","N",IF(COUNTIFS($FU$2:$FU$1000,FU937,$FW$2:$FW$1000,"Y",$J$2:$J$1000,"&gt;"&amp;J937)+COUNTIFS($FU$2:$FU$1000,FU937,$FW$2:$FW$1000,"Y",$J$2:$J$1000,J937,$GD$2:$GD$1000,"&lt;"&amp;GD937)=0,"Y","N")))</f>
        <v/>
      </c>
      <c r="FY937" s="0" t="str">
        <f aca="false">IF($A937="","",IF(AND(FW937="Y",FX937="Y",Y937&amp;""&lt;&gt;""),IF(Y937&lt;=10,"Y","N"),"N"))</f>
        <v/>
      </c>
      <c r="FZ937" s="0" t="str">
        <f aca="false">IF(FY937="Y",Y937,"")</f>
        <v/>
      </c>
      <c r="GA937" s="0" t="str">
        <f aca="false">IF($A937="","",IF(AND(I937="walk-in",CN937="pass",U937="new",FT937="N",FV937="N",AQ937&lt;&gt;"Y"),"Y","N"))</f>
        <v/>
      </c>
      <c r="GB937" s="0" t="str">
        <f aca="false">IF(GA937&lt;&gt;"Y","",IF(COUNTIFS($GA$2:$GA$1000,"Y",$J$2:$J$1000,"&gt;"&amp;J937)+COUNTIFS($GA$2:$GA$1000,"Y",$J$2:$J$1000,J937,$GD$2:$GD$1000,"&lt;"&amp;GD937)+1&lt;=25,COUNTIFS($GA$2:$GA$1000,"Y",$J$2:$J$1000,"&gt;"&amp;J937)+COUNTIFS($GA$2:$GA$1000,"Y",$J$2:$J$1000,J937,$GD$2:$GD$1000,"&lt;"&amp;GD937)+1,""))</f>
        <v/>
      </c>
      <c r="GC937" s="0" t="str">
        <f aca="false">IF(AND(_xlfn.ISFORMULA(C937),_xlfn.ISFORMULA(J937)),"Y","N")</f>
        <v>Y</v>
      </c>
      <c r="GD937" s="0" t="n">
        <f aca="false">ROW()-1</f>
        <v>936</v>
      </c>
    </row>
    <row r="938" customFormat="false" ht="15" hidden="false" customHeight="false" outlineLevel="0" collapsed="false">
      <c r="C938" s="0" t="str">
        <f aca="false">IF($A938="","",IF(AW938="Y",BM938&amp;"",AY938&amp;""))</f>
        <v/>
      </c>
      <c r="D938" s="0" t="str">
        <f aca="false">IF($A938="","",IF(AW938="Y",BN938&amp;"",AZ938&amp;""))</f>
        <v/>
      </c>
      <c r="E938" s="0" t="str">
        <f aca="false">IF($A938="","",IF(AW938="Y",BO938&amp;"",BA938&amp;""))</f>
        <v/>
      </c>
      <c r="F938" s="0" t="str">
        <f aca="false">IF($A938="","",IF(AW938="Y",BP938&amp;"",BB938&amp;""))</f>
        <v/>
      </c>
      <c r="G938" s="0" t="str">
        <f aca="false">IF($A938="","",IF(AW938="Y",BQ938&amp;"",BC938&amp;""))</f>
        <v/>
      </c>
      <c r="H938" s="0" t="str">
        <f aca="false">IF($A938="","",IF(AW938="Y",BR938&amp;"",BD938&amp;""))</f>
        <v/>
      </c>
      <c r="I938" s="0" t="str">
        <f aca="false">IF($A938="","",IF(R938="Y","warm-intro",IF(H938="verified","email",IF(C938&lt;&gt;"","linkedin",CB938&amp;""))))</f>
        <v/>
      </c>
      <c r="J938" s="0" t="str">
        <f aca="false">IF($A938="","",IF(CN938="pass",ROUND(N(EM938)+N(EN938)+N(EO938)+N(EP938)+N(EQ938)+N(ER938),1),0))</f>
        <v/>
      </c>
      <c r="K938" s="0" t="str">
        <f aca="false">IF($A938="","",IF(CN938&lt;&gt;"pass",CA938&amp;"",CA938&amp;"; "&amp;IF(AW938="Y",BZ938&amp;"",BL938&amp;"")&amp;IF(R938="Y","; known to the founder (+15)","")&amp;"."))</f>
        <v/>
      </c>
      <c r="R938" s="5"/>
      <c r="U938" s="5"/>
      <c r="Y938" s="0" t="str">
        <f aca="false">IF(FX938&lt;&gt;"Y","",COUNTIFS($FX$2:$FX$1000,"Y",$J$2:$J$1000,"&gt;"&amp;J938)+COUNTIFS($FX$2:$FX$1000,"Y",$J$2:$J$1000,J938,$GD$2:$GD$1000,"&lt;"&amp;GD938)+1)</f>
        <v/>
      </c>
      <c r="AB938" s="0" t="str">
        <f aca="false">IF($A938="","",IF(AW938="Y",BY938&amp;"",BK938&amp;""))</f>
        <v/>
      </c>
      <c r="AC938" s="0" t="str">
        <f aca="false">IF($A938="","",IF(AW938="Y",BS938&amp;"",BE938&amp;""))</f>
        <v/>
      </c>
      <c r="AD938" s="0" t="str">
        <f aca="false">IF($A938="","",IF(AW938="Y",BT938&amp;"",BF938&amp;""))</f>
        <v/>
      </c>
      <c r="AE938" s="0" t="str">
        <f aca="false">IF($A938="","",IF(AW938="Y",BU938&amp;"",BG938&amp;""))</f>
        <v/>
      </c>
      <c r="AF938" s="0" t="str">
        <f aca="false">IF($A938="","",IF(AW938="Y",BV938&amp;"",BH938&amp;""))</f>
        <v/>
      </c>
      <c r="AG938" s="0" t="str">
        <f aca="false">IF($A938="","",IF(AW938="Y",BW938&amp;"",BI938&amp;""))</f>
        <v/>
      </c>
      <c r="AH938" s="0" t="str">
        <f aca="false">IF($A938="","",IF(AW938="Y",BX938&amp;"",BJ938&amp;""))</f>
        <v/>
      </c>
      <c r="AQ938" s="5"/>
      <c r="AT938" s="0" t="str">
        <f aca="false">IF($A938="","",IF(AND(CN938="pass",AQ938&lt;&gt;"Y",C938&lt;&gt;"",OR(AX938&lt;&gt;"Y",AV938="Y")),"Y","N"))</f>
        <v/>
      </c>
      <c r="AU938" s="0" t="str">
        <f aca="false">IF($A938="","",_xlfn.TEXTJOIN("; ",TRUE(),IF(CN938&lt;&gt;"pass","gated out",""),IF(AQ938="Y","on hold: "&amp;AR938,""),IF(C938="","no contact named on an opened page",""),IF(AND(AX938="Y",AV938&lt;&gt;"Y"),"Tuesday estimate band "&amp;L938&amp;": founder's call","")))</f>
        <v/>
      </c>
      <c r="BC938" s="0" t="str">
        <f aca="false">IF($A938="","",IFERROR(INDEX(Enrichment!$A$2:$GZ$2000,MATCH($A938,INDEX(Enrichment!$A$2:$GZ$2000,0,MATCH("row_id",Enrichment!$A$1:$GZ$1,0)),0),MATCH("work_email",Enrichment!$A$1:$GZ$1,0))&amp;"",""))</f>
        <v/>
      </c>
      <c r="BD938" s="0" t="str">
        <f aca="false">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Q938" s="0" t="str">
        <f aca="false">IF($A938="","",IFERROR(INDEX(Enrichment!$A$2:$GZ$2000,MATCH($A938,INDEX(Enrichment!$A$2:$GZ$2000,0,MATCH("row_id",Enrichment!$A$1:$GZ$1,0)),0),MATCH("backup_work_email",Enrichment!$A$1:$GZ$1,0))&amp;"",""))</f>
        <v/>
      </c>
      <c r="BR938" s="0" t="str">
        <f aca="false">IF($A938="","",IF(BQ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EQ938" s="0" t="str">
        <f aca="false">IF($A938="","",IF(AH938="exact",10,IF(AH938="adjacent",5,0)))</f>
        <v/>
      </c>
      <c r="ER938" s="0" t="str">
        <f aca="false">IF($A938="","",IF(R938="Y",15,0))</f>
        <v/>
      </c>
      <c r="FS938" s="0" t="str">
        <f aca="false">IF($A938="","",IF(ISNUMBER(MATCH(U938,{"queued","contacted","replied","call_booked","call_done","yes_in_principle","materials_sent"},0)),"Y","N"))</f>
        <v/>
      </c>
      <c r="FT938" s="0" t="str">
        <f aca="false">IF($A938="","",IF(OR(T938="Y",U938="do_not_contact",AS938&amp;""&lt;&gt;""),"Y","N"))</f>
        <v/>
      </c>
      <c r="FU938" s="0" t="str">
        <f aca="false">IF($A938="","",IF(AP938&amp;""&lt;&gt;"",AP938&amp;"",$A938))</f>
        <v/>
      </c>
      <c r="FV938" s="0" t="str">
        <f aca="false">IF($A938="","",IF(COUNTIFS($FU$2:$FU$1000,FU938,$FS$2:$FS$1000,"Y")+COUNTIFS($FU$2:$FU$1000,FU938,$FT$2:$FT$1000,"Y")&gt;0,"Y","N"))</f>
        <v/>
      </c>
      <c r="FW938" s="0" t="str">
        <f aca="false">IF($A938="","",IF(AND(U938="new",T938="N",FT938="N",AT938="Y",FV938="N"),"Y","N"))</f>
        <v/>
      </c>
      <c r="FX938" s="0" t="str">
        <f aca="false">IF($A938="","",IF(FW938&lt;&gt;"Y","N",IF(COUNTIFS($FU$2:$FU$1000,FU938,$FW$2:$FW$1000,"Y",$J$2:$J$1000,"&gt;"&amp;J938)+COUNTIFS($FU$2:$FU$1000,FU938,$FW$2:$FW$1000,"Y",$J$2:$J$1000,J938,$GD$2:$GD$1000,"&lt;"&amp;GD938)=0,"Y","N")))</f>
        <v/>
      </c>
      <c r="FY938" s="0" t="str">
        <f aca="false">IF($A938="","",IF(AND(FW938="Y",FX938="Y",Y938&amp;""&lt;&gt;""),IF(Y938&lt;=10,"Y","N"),"N"))</f>
        <v/>
      </c>
      <c r="FZ938" s="0" t="str">
        <f aca="false">IF(FY938="Y",Y938,"")</f>
        <v/>
      </c>
      <c r="GA938" s="0" t="str">
        <f aca="false">IF($A938="","",IF(AND(I938="walk-in",CN938="pass",U938="new",FT938="N",FV938="N",AQ938&lt;&gt;"Y"),"Y","N"))</f>
        <v/>
      </c>
      <c r="GB938" s="0" t="str">
        <f aca="false">IF(GA938&lt;&gt;"Y","",IF(COUNTIFS($GA$2:$GA$1000,"Y",$J$2:$J$1000,"&gt;"&amp;J938)+COUNTIFS($GA$2:$GA$1000,"Y",$J$2:$J$1000,J938,$GD$2:$GD$1000,"&lt;"&amp;GD938)+1&lt;=25,COUNTIFS($GA$2:$GA$1000,"Y",$J$2:$J$1000,"&gt;"&amp;J938)+COUNTIFS($GA$2:$GA$1000,"Y",$J$2:$J$1000,J938,$GD$2:$GD$1000,"&lt;"&amp;GD938)+1,""))</f>
        <v/>
      </c>
      <c r="GC938" s="0" t="str">
        <f aca="false">IF(AND(_xlfn.ISFORMULA(C938),_xlfn.ISFORMULA(J938)),"Y","N")</f>
        <v>Y</v>
      </c>
      <c r="GD938" s="0" t="n">
        <f aca="false">ROW()-1</f>
        <v>937</v>
      </c>
    </row>
    <row r="939" customFormat="false" ht="15" hidden="false" customHeight="false" outlineLevel="0" collapsed="false">
      <c r="C939" s="0" t="str">
        <f aca="false">IF($A939="","",IF(AW939="Y",BM939&amp;"",AY939&amp;""))</f>
        <v/>
      </c>
      <c r="D939" s="0" t="str">
        <f aca="false">IF($A939="","",IF(AW939="Y",BN939&amp;"",AZ939&amp;""))</f>
        <v/>
      </c>
      <c r="E939" s="0" t="str">
        <f aca="false">IF($A939="","",IF(AW939="Y",BO939&amp;"",BA939&amp;""))</f>
        <v/>
      </c>
      <c r="F939" s="0" t="str">
        <f aca="false">IF($A939="","",IF(AW939="Y",BP939&amp;"",BB939&amp;""))</f>
        <v/>
      </c>
      <c r="G939" s="0" t="str">
        <f aca="false">IF($A939="","",IF(AW939="Y",BQ939&amp;"",BC939&amp;""))</f>
        <v/>
      </c>
      <c r="H939" s="0" t="str">
        <f aca="false">IF($A939="","",IF(AW939="Y",BR939&amp;"",BD939&amp;""))</f>
        <v/>
      </c>
      <c r="I939" s="0" t="str">
        <f aca="false">IF($A939="","",IF(R939="Y","warm-intro",IF(H939="verified","email",IF(C939&lt;&gt;"","linkedin",CB939&amp;""))))</f>
        <v/>
      </c>
      <c r="J939" s="0" t="str">
        <f aca="false">IF($A939="","",IF(CN939="pass",ROUND(N(EM939)+N(EN939)+N(EO939)+N(EP939)+N(EQ939)+N(ER939),1),0))</f>
        <v/>
      </c>
      <c r="K939" s="0" t="str">
        <f aca="false">IF($A939="","",IF(CN939&lt;&gt;"pass",CA939&amp;"",CA939&amp;"; "&amp;IF(AW939="Y",BZ939&amp;"",BL939&amp;"")&amp;IF(R939="Y","; known to the founder (+15)","")&amp;"."))</f>
        <v/>
      </c>
      <c r="R939" s="5"/>
      <c r="U939" s="5"/>
      <c r="Y939" s="0" t="str">
        <f aca="false">IF(FX939&lt;&gt;"Y","",COUNTIFS($FX$2:$FX$1000,"Y",$J$2:$J$1000,"&gt;"&amp;J939)+COUNTIFS($FX$2:$FX$1000,"Y",$J$2:$J$1000,J939,$GD$2:$GD$1000,"&lt;"&amp;GD939)+1)</f>
        <v/>
      </c>
      <c r="AB939" s="0" t="str">
        <f aca="false">IF($A939="","",IF(AW939="Y",BY939&amp;"",BK939&amp;""))</f>
        <v/>
      </c>
      <c r="AC939" s="0" t="str">
        <f aca="false">IF($A939="","",IF(AW939="Y",BS939&amp;"",BE939&amp;""))</f>
        <v/>
      </c>
      <c r="AD939" s="0" t="str">
        <f aca="false">IF($A939="","",IF(AW939="Y",BT939&amp;"",BF939&amp;""))</f>
        <v/>
      </c>
      <c r="AE939" s="0" t="str">
        <f aca="false">IF($A939="","",IF(AW939="Y",BU939&amp;"",BG939&amp;""))</f>
        <v/>
      </c>
      <c r="AF939" s="0" t="str">
        <f aca="false">IF($A939="","",IF(AW939="Y",BV939&amp;"",BH939&amp;""))</f>
        <v/>
      </c>
      <c r="AG939" s="0" t="str">
        <f aca="false">IF($A939="","",IF(AW939="Y",BW939&amp;"",BI939&amp;""))</f>
        <v/>
      </c>
      <c r="AH939" s="0" t="str">
        <f aca="false">IF($A939="","",IF(AW939="Y",BX939&amp;"",BJ939&amp;""))</f>
        <v/>
      </c>
      <c r="AQ939" s="5"/>
      <c r="AT939" s="0" t="str">
        <f aca="false">IF($A939="","",IF(AND(CN939="pass",AQ939&lt;&gt;"Y",C939&lt;&gt;"",OR(AX939&lt;&gt;"Y",AV939="Y")),"Y","N"))</f>
        <v/>
      </c>
      <c r="AU939" s="0" t="str">
        <f aca="false">IF($A939="","",_xlfn.TEXTJOIN("; ",TRUE(),IF(CN939&lt;&gt;"pass","gated out",""),IF(AQ939="Y","on hold: "&amp;AR939,""),IF(C939="","no contact named on an opened page",""),IF(AND(AX939="Y",AV939&lt;&gt;"Y"),"Tuesday estimate band "&amp;L939&amp;": founder's call","")))</f>
        <v/>
      </c>
      <c r="BC939" s="0" t="str">
        <f aca="false">IF($A939="","",IFERROR(INDEX(Enrichment!$A$2:$GZ$2000,MATCH($A939,INDEX(Enrichment!$A$2:$GZ$2000,0,MATCH("row_id",Enrichment!$A$1:$GZ$1,0)),0),MATCH("work_email",Enrichment!$A$1:$GZ$1,0))&amp;"",""))</f>
        <v/>
      </c>
      <c r="BD939" s="0" t="str">
        <f aca="false">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Q939" s="0" t="str">
        <f aca="false">IF($A939="","",IFERROR(INDEX(Enrichment!$A$2:$GZ$2000,MATCH($A939,INDEX(Enrichment!$A$2:$GZ$2000,0,MATCH("row_id",Enrichment!$A$1:$GZ$1,0)),0),MATCH("backup_work_email",Enrichment!$A$1:$GZ$1,0))&amp;"",""))</f>
        <v/>
      </c>
      <c r="BR939" s="0" t="str">
        <f aca="false">IF($A939="","",IF(BQ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EQ939" s="0" t="str">
        <f aca="false">IF($A939="","",IF(AH939="exact",10,IF(AH939="adjacent",5,0)))</f>
        <v/>
      </c>
      <c r="ER939" s="0" t="str">
        <f aca="false">IF($A939="","",IF(R939="Y",15,0))</f>
        <v/>
      </c>
      <c r="FS939" s="0" t="str">
        <f aca="false">IF($A939="","",IF(ISNUMBER(MATCH(U939,{"queued","contacted","replied","call_booked","call_done","yes_in_principle","materials_sent"},0)),"Y","N"))</f>
        <v/>
      </c>
      <c r="FT939" s="0" t="str">
        <f aca="false">IF($A939="","",IF(OR(T939="Y",U939="do_not_contact",AS939&amp;""&lt;&gt;""),"Y","N"))</f>
        <v/>
      </c>
      <c r="FU939" s="0" t="str">
        <f aca="false">IF($A939="","",IF(AP939&amp;""&lt;&gt;"",AP939&amp;"",$A939))</f>
        <v/>
      </c>
      <c r="FV939" s="0" t="str">
        <f aca="false">IF($A939="","",IF(COUNTIFS($FU$2:$FU$1000,FU939,$FS$2:$FS$1000,"Y")+COUNTIFS($FU$2:$FU$1000,FU939,$FT$2:$FT$1000,"Y")&gt;0,"Y","N"))</f>
        <v/>
      </c>
      <c r="FW939" s="0" t="str">
        <f aca="false">IF($A939="","",IF(AND(U939="new",T939="N",FT939="N",AT939="Y",FV939="N"),"Y","N"))</f>
        <v/>
      </c>
      <c r="FX939" s="0" t="str">
        <f aca="false">IF($A939="","",IF(FW939&lt;&gt;"Y","N",IF(COUNTIFS($FU$2:$FU$1000,FU939,$FW$2:$FW$1000,"Y",$J$2:$J$1000,"&gt;"&amp;J939)+COUNTIFS($FU$2:$FU$1000,FU939,$FW$2:$FW$1000,"Y",$J$2:$J$1000,J939,$GD$2:$GD$1000,"&lt;"&amp;GD939)=0,"Y","N")))</f>
        <v/>
      </c>
      <c r="FY939" s="0" t="str">
        <f aca="false">IF($A939="","",IF(AND(FW939="Y",FX939="Y",Y939&amp;""&lt;&gt;""),IF(Y939&lt;=10,"Y","N"),"N"))</f>
        <v/>
      </c>
      <c r="FZ939" s="0" t="str">
        <f aca="false">IF(FY939="Y",Y939,"")</f>
        <v/>
      </c>
      <c r="GA939" s="0" t="str">
        <f aca="false">IF($A939="","",IF(AND(I939="walk-in",CN939="pass",U939="new",FT939="N",FV939="N",AQ939&lt;&gt;"Y"),"Y","N"))</f>
        <v/>
      </c>
      <c r="GB939" s="0" t="str">
        <f aca="false">IF(GA939&lt;&gt;"Y","",IF(COUNTIFS($GA$2:$GA$1000,"Y",$J$2:$J$1000,"&gt;"&amp;J939)+COUNTIFS($GA$2:$GA$1000,"Y",$J$2:$J$1000,J939,$GD$2:$GD$1000,"&lt;"&amp;GD939)+1&lt;=25,COUNTIFS($GA$2:$GA$1000,"Y",$J$2:$J$1000,"&gt;"&amp;J939)+COUNTIFS($GA$2:$GA$1000,"Y",$J$2:$J$1000,J939,$GD$2:$GD$1000,"&lt;"&amp;GD939)+1,""))</f>
        <v/>
      </c>
      <c r="GC939" s="0" t="str">
        <f aca="false">IF(AND(_xlfn.ISFORMULA(C939),_xlfn.ISFORMULA(J939)),"Y","N")</f>
        <v>Y</v>
      </c>
      <c r="GD939" s="0" t="n">
        <f aca="false">ROW()-1</f>
        <v>938</v>
      </c>
    </row>
    <row r="940" customFormat="false" ht="15" hidden="false" customHeight="false" outlineLevel="0" collapsed="false">
      <c r="C940" s="0" t="str">
        <f aca="false">IF($A940="","",IF(AW940="Y",BM940&amp;"",AY940&amp;""))</f>
        <v/>
      </c>
      <c r="D940" s="0" t="str">
        <f aca="false">IF($A940="","",IF(AW940="Y",BN940&amp;"",AZ940&amp;""))</f>
        <v/>
      </c>
      <c r="E940" s="0" t="str">
        <f aca="false">IF($A940="","",IF(AW940="Y",BO940&amp;"",BA940&amp;""))</f>
        <v/>
      </c>
      <c r="F940" s="0" t="str">
        <f aca="false">IF($A940="","",IF(AW940="Y",BP940&amp;"",BB940&amp;""))</f>
        <v/>
      </c>
      <c r="G940" s="0" t="str">
        <f aca="false">IF($A940="","",IF(AW940="Y",BQ940&amp;"",BC940&amp;""))</f>
        <v/>
      </c>
      <c r="H940" s="0" t="str">
        <f aca="false">IF($A940="","",IF(AW940="Y",BR940&amp;"",BD940&amp;""))</f>
        <v/>
      </c>
      <c r="I940" s="0" t="str">
        <f aca="false">IF($A940="","",IF(R940="Y","warm-intro",IF(H940="verified","email",IF(C940&lt;&gt;"","linkedin",CB940&amp;""))))</f>
        <v/>
      </c>
      <c r="J940" s="0" t="str">
        <f aca="false">IF($A940="","",IF(CN940="pass",ROUND(N(EM940)+N(EN940)+N(EO940)+N(EP940)+N(EQ940)+N(ER940),1),0))</f>
        <v/>
      </c>
      <c r="K940" s="0" t="str">
        <f aca="false">IF($A940="","",IF(CN940&lt;&gt;"pass",CA940&amp;"",CA940&amp;"; "&amp;IF(AW940="Y",BZ940&amp;"",BL940&amp;"")&amp;IF(R940="Y","; known to the founder (+15)","")&amp;"."))</f>
        <v/>
      </c>
      <c r="R940" s="5"/>
      <c r="U940" s="5"/>
      <c r="Y940" s="0" t="str">
        <f aca="false">IF(FX940&lt;&gt;"Y","",COUNTIFS($FX$2:$FX$1000,"Y",$J$2:$J$1000,"&gt;"&amp;J940)+COUNTIFS($FX$2:$FX$1000,"Y",$J$2:$J$1000,J940,$GD$2:$GD$1000,"&lt;"&amp;GD940)+1)</f>
        <v/>
      </c>
      <c r="AB940" s="0" t="str">
        <f aca="false">IF($A940="","",IF(AW940="Y",BY940&amp;"",BK940&amp;""))</f>
        <v/>
      </c>
      <c r="AC940" s="0" t="str">
        <f aca="false">IF($A940="","",IF(AW940="Y",BS940&amp;"",BE940&amp;""))</f>
        <v/>
      </c>
      <c r="AD940" s="0" t="str">
        <f aca="false">IF($A940="","",IF(AW940="Y",BT940&amp;"",BF940&amp;""))</f>
        <v/>
      </c>
      <c r="AE940" s="0" t="str">
        <f aca="false">IF($A940="","",IF(AW940="Y",BU940&amp;"",BG940&amp;""))</f>
        <v/>
      </c>
      <c r="AF940" s="0" t="str">
        <f aca="false">IF($A940="","",IF(AW940="Y",BV940&amp;"",BH940&amp;""))</f>
        <v/>
      </c>
      <c r="AG940" s="0" t="str">
        <f aca="false">IF($A940="","",IF(AW940="Y",BW940&amp;"",BI940&amp;""))</f>
        <v/>
      </c>
      <c r="AH940" s="0" t="str">
        <f aca="false">IF($A940="","",IF(AW940="Y",BX940&amp;"",BJ940&amp;""))</f>
        <v/>
      </c>
      <c r="AQ940" s="5"/>
      <c r="AT940" s="0" t="str">
        <f aca="false">IF($A940="","",IF(AND(CN940="pass",AQ940&lt;&gt;"Y",C940&lt;&gt;"",OR(AX940&lt;&gt;"Y",AV940="Y")),"Y","N"))</f>
        <v/>
      </c>
      <c r="AU940" s="0" t="str">
        <f aca="false">IF($A940="","",_xlfn.TEXTJOIN("; ",TRUE(),IF(CN940&lt;&gt;"pass","gated out",""),IF(AQ940="Y","on hold: "&amp;AR940,""),IF(C940="","no contact named on an opened page",""),IF(AND(AX940="Y",AV940&lt;&gt;"Y"),"Tuesday estimate band "&amp;L940&amp;": founder's call","")))</f>
        <v/>
      </c>
      <c r="BC940" s="0" t="str">
        <f aca="false">IF($A940="","",IFERROR(INDEX(Enrichment!$A$2:$GZ$2000,MATCH($A940,INDEX(Enrichment!$A$2:$GZ$2000,0,MATCH("row_id",Enrichment!$A$1:$GZ$1,0)),0),MATCH("work_email",Enrichment!$A$1:$GZ$1,0))&amp;"",""))</f>
        <v/>
      </c>
      <c r="BD940" s="0" t="str">
        <f aca="false">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Q940" s="0" t="str">
        <f aca="false">IF($A940="","",IFERROR(INDEX(Enrichment!$A$2:$GZ$2000,MATCH($A940,INDEX(Enrichment!$A$2:$GZ$2000,0,MATCH("row_id",Enrichment!$A$1:$GZ$1,0)),0),MATCH("backup_work_email",Enrichment!$A$1:$GZ$1,0))&amp;"",""))</f>
        <v/>
      </c>
      <c r="BR940" s="0" t="str">
        <f aca="false">IF($A940="","",IF(BQ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EQ940" s="0" t="str">
        <f aca="false">IF($A940="","",IF(AH940="exact",10,IF(AH940="adjacent",5,0)))</f>
        <v/>
      </c>
      <c r="ER940" s="0" t="str">
        <f aca="false">IF($A940="","",IF(R940="Y",15,0))</f>
        <v/>
      </c>
      <c r="FS940" s="0" t="str">
        <f aca="false">IF($A940="","",IF(ISNUMBER(MATCH(U940,{"queued","contacted","replied","call_booked","call_done","yes_in_principle","materials_sent"},0)),"Y","N"))</f>
        <v/>
      </c>
      <c r="FT940" s="0" t="str">
        <f aca="false">IF($A940="","",IF(OR(T940="Y",U940="do_not_contact",AS940&amp;""&lt;&gt;""),"Y","N"))</f>
        <v/>
      </c>
      <c r="FU940" s="0" t="str">
        <f aca="false">IF($A940="","",IF(AP940&amp;""&lt;&gt;"",AP940&amp;"",$A940))</f>
        <v/>
      </c>
      <c r="FV940" s="0" t="str">
        <f aca="false">IF($A940="","",IF(COUNTIFS($FU$2:$FU$1000,FU940,$FS$2:$FS$1000,"Y")+COUNTIFS($FU$2:$FU$1000,FU940,$FT$2:$FT$1000,"Y")&gt;0,"Y","N"))</f>
        <v/>
      </c>
      <c r="FW940" s="0" t="str">
        <f aca="false">IF($A940="","",IF(AND(U940="new",T940="N",FT940="N",AT940="Y",FV940="N"),"Y","N"))</f>
        <v/>
      </c>
      <c r="FX940" s="0" t="str">
        <f aca="false">IF($A940="","",IF(FW940&lt;&gt;"Y","N",IF(COUNTIFS($FU$2:$FU$1000,FU940,$FW$2:$FW$1000,"Y",$J$2:$J$1000,"&gt;"&amp;J940)+COUNTIFS($FU$2:$FU$1000,FU940,$FW$2:$FW$1000,"Y",$J$2:$J$1000,J940,$GD$2:$GD$1000,"&lt;"&amp;GD940)=0,"Y","N")))</f>
        <v/>
      </c>
      <c r="FY940" s="0" t="str">
        <f aca="false">IF($A940="","",IF(AND(FW940="Y",FX940="Y",Y940&amp;""&lt;&gt;""),IF(Y940&lt;=10,"Y","N"),"N"))</f>
        <v/>
      </c>
      <c r="FZ940" s="0" t="str">
        <f aca="false">IF(FY940="Y",Y940,"")</f>
        <v/>
      </c>
      <c r="GA940" s="0" t="str">
        <f aca="false">IF($A940="","",IF(AND(I940="walk-in",CN940="pass",U940="new",FT940="N",FV940="N",AQ940&lt;&gt;"Y"),"Y","N"))</f>
        <v/>
      </c>
      <c r="GB940" s="0" t="str">
        <f aca="false">IF(GA940&lt;&gt;"Y","",IF(COUNTIFS($GA$2:$GA$1000,"Y",$J$2:$J$1000,"&gt;"&amp;J940)+COUNTIFS($GA$2:$GA$1000,"Y",$J$2:$J$1000,J940,$GD$2:$GD$1000,"&lt;"&amp;GD940)+1&lt;=25,COUNTIFS($GA$2:$GA$1000,"Y",$J$2:$J$1000,"&gt;"&amp;J940)+COUNTIFS($GA$2:$GA$1000,"Y",$J$2:$J$1000,J940,$GD$2:$GD$1000,"&lt;"&amp;GD940)+1,""))</f>
        <v/>
      </c>
      <c r="GC940" s="0" t="str">
        <f aca="false">IF(AND(_xlfn.ISFORMULA(C940),_xlfn.ISFORMULA(J940)),"Y","N")</f>
        <v>Y</v>
      </c>
      <c r="GD940" s="0" t="n">
        <f aca="false">ROW()-1</f>
        <v>939</v>
      </c>
    </row>
    <row r="941" customFormat="false" ht="15" hidden="false" customHeight="false" outlineLevel="0" collapsed="false">
      <c r="C941" s="0" t="str">
        <f aca="false">IF($A941="","",IF(AW941="Y",BM941&amp;"",AY941&amp;""))</f>
        <v/>
      </c>
      <c r="D941" s="0" t="str">
        <f aca="false">IF($A941="","",IF(AW941="Y",BN941&amp;"",AZ941&amp;""))</f>
        <v/>
      </c>
      <c r="E941" s="0" t="str">
        <f aca="false">IF($A941="","",IF(AW941="Y",BO941&amp;"",BA941&amp;""))</f>
        <v/>
      </c>
      <c r="F941" s="0" t="str">
        <f aca="false">IF($A941="","",IF(AW941="Y",BP941&amp;"",BB941&amp;""))</f>
        <v/>
      </c>
      <c r="G941" s="0" t="str">
        <f aca="false">IF($A941="","",IF(AW941="Y",BQ941&amp;"",BC941&amp;""))</f>
        <v/>
      </c>
      <c r="H941" s="0" t="str">
        <f aca="false">IF($A941="","",IF(AW941="Y",BR941&amp;"",BD941&amp;""))</f>
        <v/>
      </c>
      <c r="I941" s="0" t="str">
        <f aca="false">IF($A941="","",IF(R941="Y","warm-intro",IF(H941="verified","email",IF(C941&lt;&gt;"","linkedin",CB941&amp;""))))</f>
        <v/>
      </c>
      <c r="J941" s="0" t="str">
        <f aca="false">IF($A941="","",IF(CN941="pass",ROUND(N(EM941)+N(EN941)+N(EO941)+N(EP941)+N(EQ941)+N(ER941),1),0))</f>
        <v/>
      </c>
      <c r="K941" s="0" t="str">
        <f aca="false">IF($A941="","",IF(CN941&lt;&gt;"pass",CA941&amp;"",CA941&amp;"; "&amp;IF(AW941="Y",BZ941&amp;"",BL941&amp;"")&amp;IF(R941="Y","; known to the founder (+15)","")&amp;"."))</f>
        <v/>
      </c>
      <c r="R941" s="5"/>
      <c r="U941" s="5"/>
      <c r="Y941" s="0" t="str">
        <f aca="false">IF(FX941&lt;&gt;"Y","",COUNTIFS($FX$2:$FX$1000,"Y",$J$2:$J$1000,"&gt;"&amp;J941)+COUNTIFS($FX$2:$FX$1000,"Y",$J$2:$J$1000,J941,$GD$2:$GD$1000,"&lt;"&amp;GD941)+1)</f>
        <v/>
      </c>
      <c r="AB941" s="0" t="str">
        <f aca="false">IF($A941="","",IF(AW941="Y",BY941&amp;"",BK941&amp;""))</f>
        <v/>
      </c>
      <c r="AC941" s="0" t="str">
        <f aca="false">IF($A941="","",IF(AW941="Y",BS941&amp;"",BE941&amp;""))</f>
        <v/>
      </c>
      <c r="AD941" s="0" t="str">
        <f aca="false">IF($A941="","",IF(AW941="Y",BT941&amp;"",BF941&amp;""))</f>
        <v/>
      </c>
      <c r="AE941" s="0" t="str">
        <f aca="false">IF($A941="","",IF(AW941="Y",BU941&amp;"",BG941&amp;""))</f>
        <v/>
      </c>
      <c r="AF941" s="0" t="str">
        <f aca="false">IF($A941="","",IF(AW941="Y",BV941&amp;"",BH941&amp;""))</f>
        <v/>
      </c>
      <c r="AG941" s="0" t="str">
        <f aca="false">IF($A941="","",IF(AW941="Y",BW941&amp;"",BI941&amp;""))</f>
        <v/>
      </c>
      <c r="AH941" s="0" t="str">
        <f aca="false">IF($A941="","",IF(AW941="Y",BX941&amp;"",BJ941&amp;""))</f>
        <v/>
      </c>
      <c r="AQ941" s="5"/>
      <c r="AT941" s="0" t="str">
        <f aca="false">IF($A941="","",IF(AND(CN941="pass",AQ941&lt;&gt;"Y",C941&lt;&gt;"",OR(AX941&lt;&gt;"Y",AV941="Y")),"Y","N"))</f>
        <v/>
      </c>
      <c r="AU941" s="0" t="str">
        <f aca="false">IF($A941="","",_xlfn.TEXTJOIN("; ",TRUE(),IF(CN941&lt;&gt;"pass","gated out",""),IF(AQ941="Y","on hold: "&amp;AR941,""),IF(C941="","no contact named on an opened page",""),IF(AND(AX941="Y",AV941&lt;&gt;"Y"),"Tuesday estimate band "&amp;L941&amp;": founder's call","")))</f>
        <v/>
      </c>
      <c r="BC941" s="0" t="str">
        <f aca="false">IF($A941="","",IFERROR(INDEX(Enrichment!$A$2:$GZ$2000,MATCH($A941,INDEX(Enrichment!$A$2:$GZ$2000,0,MATCH("row_id",Enrichment!$A$1:$GZ$1,0)),0),MATCH("work_email",Enrichment!$A$1:$GZ$1,0))&amp;"",""))</f>
        <v/>
      </c>
      <c r="BD941" s="0" t="str">
        <f aca="false">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Q941" s="0" t="str">
        <f aca="false">IF($A941="","",IFERROR(INDEX(Enrichment!$A$2:$GZ$2000,MATCH($A941,INDEX(Enrichment!$A$2:$GZ$2000,0,MATCH("row_id",Enrichment!$A$1:$GZ$1,0)),0),MATCH("backup_work_email",Enrichment!$A$1:$GZ$1,0))&amp;"",""))</f>
        <v/>
      </c>
      <c r="BR941" s="0" t="str">
        <f aca="false">IF($A941="","",IF(BQ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EQ941" s="0" t="str">
        <f aca="false">IF($A941="","",IF(AH941="exact",10,IF(AH941="adjacent",5,0)))</f>
        <v/>
      </c>
      <c r="ER941" s="0" t="str">
        <f aca="false">IF($A941="","",IF(R941="Y",15,0))</f>
        <v/>
      </c>
      <c r="FS941" s="0" t="str">
        <f aca="false">IF($A941="","",IF(ISNUMBER(MATCH(U941,{"queued","contacted","replied","call_booked","call_done","yes_in_principle","materials_sent"},0)),"Y","N"))</f>
        <v/>
      </c>
      <c r="FT941" s="0" t="str">
        <f aca="false">IF($A941="","",IF(OR(T941="Y",U941="do_not_contact",AS941&amp;""&lt;&gt;""),"Y","N"))</f>
        <v/>
      </c>
      <c r="FU941" s="0" t="str">
        <f aca="false">IF($A941="","",IF(AP941&amp;""&lt;&gt;"",AP941&amp;"",$A941))</f>
        <v/>
      </c>
      <c r="FV941" s="0" t="str">
        <f aca="false">IF($A941="","",IF(COUNTIFS($FU$2:$FU$1000,FU941,$FS$2:$FS$1000,"Y")+COUNTIFS($FU$2:$FU$1000,FU941,$FT$2:$FT$1000,"Y")&gt;0,"Y","N"))</f>
        <v/>
      </c>
      <c r="FW941" s="0" t="str">
        <f aca="false">IF($A941="","",IF(AND(U941="new",T941="N",FT941="N",AT941="Y",FV941="N"),"Y","N"))</f>
        <v/>
      </c>
      <c r="FX941" s="0" t="str">
        <f aca="false">IF($A941="","",IF(FW941&lt;&gt;"Y","N",IF(COUNTIFS($FU$2:$FU$1000,FU941,$FW$2:$FW$1000,"Y",$J$2:$J$1000,"&gt;"&amp;J941)+COUNTIFS($FU$2:$FU$1000,FU941,$FW$2:$FW$1000,"Y",$J$2:$J$1000,J941,$GD$2:$GD$1000,"&lt;"&amp;GD941)=0,"Y","N")))</f>
        <v/>
      </c>
      <c r="FY941" s="0" t="str">
        <f aca="false">IF($A941="","",IF(AND(FW941="Y",FX941="Y",Y941&amp;""&lt;&gt;""),IF(Y941&lt;=10,"Y","N"),"N"))</f>
        <v/>
      </c>
      <c r="FZ941" s="0" t="str">
        <f aca="false">IF(FY941="Y",Y941,"")</f>
        <v/>
      </c>
      <c r="GA941" s="0" t="str">
        <f aca="false">IF($A941="","",IF(AND(I941="walk-in",CN941="pass",U941="new",FT941="N",FV941="N",AQ941&lt;&gt;"Y"),"Y","N"))</f>
        <v/>
      </c>
      <c r="GB941" s="0" t="str">
        <f aca="false">IF(GA941&lt;&gt;"Y","",IF(COUNTIFS($GA$2:$GA$1000,"Y",$J$2:$J$1000,"&gt;"&amp;J941)+COUNTIFS($GA$2:$GA$1000,"Y",$J$2:$J$1000,J941,$GD$2:$GD$1000,"&lt;"&amp;GD941)+1&lt;=25,COUNTIFS($GA$2:$GA$1000,"Y",$J$2:$J$1000,"&gt;"&amp;J941)+COUNTIFS($GA$2:$GA$1000,"Y",$J$2:$J$1000,J941,$GD$2:$GD$1000,"&lt;"&amp;GD941)+1,""))</f>
        <v/>
      </c>
      <c r="GC941" s="0" t="str">
        <f aca="false">IF(AND(_xlfn.ISFORMULA(C941),_xlfn.ISFORMULA(J941)),"Y","N")</f>
        <v>Y</v>
      </c>
      <c r="GD941" s="0" t="n">
        <f aca="false">ROW()-1</f>
        <v>940</v>
      </c>
    </row>
    <row r="942" customFormat="false" ht="15" hidden="false" customHeight="false" outlineLevel="0" collapsed="false">
      <c r="C942" s="0" t="str">
        <f aca="false">IF($A942="","",IF(AW942="Y",BM942&amp;"",AY942&amp;""))</f>
        <v/>
      </c>
      <c r="D942" s="0" t="str">
        <f aca="false">IF($A942="","",IF(AW942="Y",BN942&amp;"",AZ942&amp;""))</f>
        <v/>
      </c>
      <c r="E942" s="0" t="str">
        <f aca="false">IF($A942="","",IF(AW942="Y",BO942&amp;"",BA942&amp;""))</f>
        <v/>
      </c>
      <c r="F942" s="0" t="str">
        <f aca="false">IF($A942="","",IF(AW942="Y",BP942&amp;"",BB942&amp;""))</f>
        <v/>
      </c>
      <c r="G942" s="0" t="str">
        <f aca="false">IF($A942="","",IF(AW942="Y",BQ942&amp;"",BC942&amp;""))</f>
        <v/>
      </c>
      <c r="H942" s="0" t="str">
        <f aca="false">IF($A942="","",IF(AW942="Y",BR942&amp;"",BD942&amp;""))</f>
        <v/>
      </c>
      <c r="I942" s="0" t="str">
        <f aca="false">IF($A942="","",IF(R942="Y","warm-intro",IF(H942="verified","email",IF(C942&lt;&gt;"","linkedin",CB942&amp;""))))</f>
        <v/>
      </c>
      <c r="J942" s="0" t="str">
        <f aca="false">IF($A942="","",IF(CN942="pass",ROUND(N(EM942)+N(EN942)+N(EO942)+N(EP942)+N(EQ942)+N(ER942),1),0))</f>
        <v/>
      </c>
      <c r="K942" s="0" t="str">
        <f aca="false">IF($A942="","",IF(CN942&lt;&gt;"pass",CA942&amp;"",CA942&amp;"; "&amp;IF(AW942="Y",BZ942&amp;"",BL942&amp;"")&amp;IF(R942="Y","; known to the founder (+15)","")&amp;"."))</f>
        <v/>
      </c>
      <c r="R942" s="5"/>
      <c r="U942" s="5"/>
      <c r="Y942" s="0" t="str">
        <f aca="false">IF(FX942&lt;&gt;"Y","",COUNTIFS($FX$2:$FX$1000,"Y",$J$2:$J$1000,"&gt;"&amp;J942)+COUNTIFS($FX$2:$FX$1000,"Y",$J$2:$J$1000,J942,$GD$2:$GD$1000,"&lt;"&amp;GD942)+1)</f>
        <v/>
      </c>
      <c r="AB942" s="0" t="str">
        <f aca="false">IF($A942="","",IF(AW942="Y",BY942&amp;"",BK942&amp;""))</f>
        <v/>
      </c>
      <c r="AC942" s="0" t="str">
        <f aca="false">IF($A942="","",IF(AW942="Y",BS942&amp;"",BE942&amp;""))</f>
        <v/>
      </c>
      <c r="AD942" s="0" t="str">
        <f aca="false">IF($A942="","",IF(AW942="Y",BT942&amp;"",BF942&amp;""))</f>
        <v/>
      </c>
      <c r="AE942" s="0" t="str">
        <f aca="false">IF($A942="","",IF(AW942="Y",BU942&amp;"",BG942&amp;""))</f>
        <v/>
      </c>
      <c r="AF942" s="0" t="str">
        <f aca="false">IF($A942="","",IF(AW942="Y",BV942&amp;"",BH942&amp;""))</f>
        <v/>
      </c>
      <c r="AG942" s="0" t="str">
        <f aca="false">IF($A942="","",IF(AW942="Y",BW942&amp;"",BI942&amp;""))</f>
        <v/>
      </c>
      <c r="AH942" s="0" t="str">
        <f aca="false">IF($A942="","",IF(AW942="Y",BX942&amp;"",BJ942&amp;""))</f>
        <v/>
      </c>
      <c r="AQ942" s="5"/>
      <c r="AT942" s="0" t="str">
        <f aca="false">IF($A942="","",IF(AND(CN942="pass",AQ942&lt;&gt;"Y",C942&lt;&gt;"",OR(AX942&lt;&gt;"Y",AV942="Y")),"Y","N"))</f>
        <v/>
      </c>
      <c r="AU942" s="0" t="str">
        <f aca="false">IF($A942="","",_xlfn.TEXTJOIN("; ",TRUE(),IF(CN942&lt;&gt;"pass","gated out",""),IF(AQ942="Y","on hold: "&amp;AR942,""),IF(C942="","no contact named on an opened page",""),IF(AND(AX942="Y",AV942&lt;&gt;"Y"),"Tuesday estimate band "&amp;L942&amp;": founder's call","")))</f>
        <v/>
      </c>
      <c r="BC942" s="0" t="str">
        <f aca="false">IF($A942="","",IFERROR(INDEX(Enrichment!$A$2:$GZ$2000,MATCH($A942,INDEX(Enrichment!$A$2:$GZ$2000,0,MATCH("row_id",Enrichment!$A$1:$GZ$1,0)),0),MATCH("work_email",Enrichment!$A$1:$GZ$1,0))&amp;"",""))</f>
        <v/>
      </c>
      <c r="BD942" s="0" t="str">
        <f aca="false">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Q942" s="0" t="str">
        <f aca="false">IF($A942="","",IFERROR(INDEX(Enrichment!$A$2:$GZ$2000,MATCH($A942,INDEX(Enrichment!$A$2:$GZ$2000,0,MATCH("row_id",Enrichment!$A$1:$GZ$1,0)),0),MATCH("backup_work_email",Enrichment!$A$1:$GZ$1,0))&amp;"",""))</f>
        <v/>
      </c>
      <c r="BR942" s="0" t="str">
        <f aca="false">IF($A942="","",IF(BQ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EQ942" s="0" t="str">
        <f aca="false">IF($A942="","",IF(AH942="exact",10,IF(AH942="adjacent",5,0)))</f>
        <v/>
      </c>
      <c r="ER942" s="0" t="str">
        <f aca="false">IF($A942="","",IF(R942="Y",15,0))</f>
        <v/>
      </c>
      <c r="FS942" s="0" t="str">
        <f aca="false">IF($A942="","",IF(ISNUMBER(MATCH(U942,{"queued","contacted","replied","call_booked","call_done","yes_in_principle","materials_sent"},0)),"Y","N"))</f>
        <v/>
      </c>
      <c r="FT942" s="0" t="str">
        <f aca="false">IF($A942="","",IF(OR(T942="Y",U942="do_not_contact",AS942&amp;""&lt;&gt;""),"Y","N"))</f>
        <v/>
      </c>
      <c r="FU942" s="0" t="str">
        <f aca="false">IF($A942="","",IF(AP942&amp;""&lt;&gt;"",AP942&amp;"",$A942))</f>
        <v/>
      </c>
      <c r="FV942" s="0" t="str">
        <f aca="false">IF($A942="","",IF(COUNTIFS($FU$2:$FU$1000,FU942,$FS$2:$FS$1000,"Y")+COUNTIFS($FU$2:$FU$1000,FU942,$FT$2:$FT$1000,"Y")&gt;0,"Y","N"))</f>
        <v/>
      </c>
      <c r="FW942" s="0" t="str">
        <f aca="false">IF($A942="","",IF(AND(U942="new",T942="N",FT942="N",AT942="Y",FV942="N"),"Y","N"))</f>
        <v/>
      </c>
      <c r="FX942" s="0" t="str">
        <f aca="false">IF($A942="","",IF(FW942&lt;&gt;"Y","N",IF(COUNTIFS($FU$2:$FU$1000,FU942,$FW$2:$FW$1000,"Y",$J$2:$J$1000,"&gt;"&amp;J942)+COUNTIFS($FU$2:$FU$1000,FU942,$FW$2:$FW$1000,"Y",$J$2:$J$1000,J942,$GD$2:$GD$1000,"&lt;"&amp;GD942)=0,"Y","N")))</f>
        <v/>
      </c>
      <c r="FY942" s="0" t="str">
        <f aca="false">IF($A942="","",IF(AND(FW942="Y",FX942="Y",Y942&amp;""&lt;&gt;""),IF(Y942&lt;=10,"Y","N"),"N"))</f>
        <v/>
      </c>
      <c r="FZ942" s="0" t="str">
        <f aca="false">IF(FY942="Y",Y942,"")</f>
        <v/>
      </c>
      <c r="GA942" s="0" t="str">
        <f aca="false">IF($A942="","",IF(AND(I942="walk-in",CN942="pass",U942="new",FT942="N",FV942="N",AQ942&lt;&gt;"Y"),"Y","N"))</f>
        <v/>
      </c>
      <c r="GB942" s="0" t="str">
        <f aca="false">IF(GA942&lt;&gt;"Y","",IF(COUNTIFS($GA$2:$GA$1000,"Y",$J$2:$J$1000,"&gt;"&amp;J942)+COUNTIFS($GA$2:$GA$1000,"Y",$J$2:$J$1000,J942,$GD$2:$GD$1000,"&lt;"&amp;GD942)+1&lt;=25,COUNTIFS($GA$2:$GA$1000,"Y",$J$2:$J$1000,"&gt;"&amp;J942)+COUNTIFS($GA$2:$GA$1000,"Y",$J$2:$J$1000,J942,$GD$2:$GD$1000,"&lt;"&amp;GD942)+1,""))</f>
        <v/>
      </c>
      <c r="GC942" s="0" t="str">
        <f aca="false">IF(AND(_xlfn.ISFORMULA(C942),_xlfn.ISFORMULA(J942)),"Y","N")</f>
        <v>Y</v>
      </c>
      <c r="GD942" s="0" t="n">
        <f aca="false">ROW()-1</f>
        <v>941</v>
      </c>
    </row>
    <row r="943" customFormat="false" ht="15" hidden="false" customHeight="false" outlineLevel="0" collapsed="false">
      <c r="C943" s="0" t="str">
        <f aca="false">IF($A943="","",IF(AW943="Y",BM943&amp;"",AY943&amp;""))</f>
        <v/>
      </c>
      <c r="D943" s="0" t="str">
        <f aca="false">IF($A943="","",IF(AW943="Y",BN943&amp;"",AZ943&amp;""))</f>
        <v/>
      </c>
      <c r="E943" s="0" t="str">
        <f aca="false">IF($A943="","",IF(AW943="Y",BO943&amp;"",BA943&amp;""))</f>
        <v/>
      </c>
      <c r="F943" s="0" t="str">
        <f aca="false">IF($A943="","",IF(AW943="Y",BP943&amp;"",BB943&amp;""))</f>
        <v/>
      </c>
      <c r="G943" s="0" t="str">
        <f aca="false">IF($A943="","",IF(AW943="Y",BQ943&amp;"",BC943&amp;""))</f>
        <v/>
      </c>
      <c r="H943" s="0" t="str">
        <f aca="false">IF($A943="","",IF(AW943="Y",BR943&amp;"",BD943&amp;""))</f>
        <v/>
      </c>
      <c r="I943" s="0" t="str">
        <f aca="false">IF($A943="","",IF(R943="Y","warm-intro",IF(H943="verified","email",IF(C943&lt;&gt;"","linkedin",CB943&amp;""))))</f>
        <v/>
      </c>
      <c r="J943" s="0" t="str">
        <f aca="false">IF($A943="","",IF(CN943="pass",ROUND(N(EM943)+N(EN943)+N(EO943)+N(EP943)+N(EQ943)+N(ER943),1),0))</f>
        <v/>
      </c>
      <c r="K943" s="0" t="str">
        <f aca="false">IF($A943="","",IF(CN943&lt;&gt;"pass",CA943&amp;"",CA943&amp;"; "&amp;IF(AW943="Y",BZ943&amp;"",BL943&amp;"")&amp;IF(R943="Y","; known to the founder (+15)","")&amp;"."))</f>
        <v/>
      </c>
      <c r="R943" s="5"/>
      <c r="U943" s="5"/>
      <c r="Y943" s="0" t="str">
        <f aca="false">IF(FX943&lt;&gt;"Y","",COUNTIFS($FX$2:$FX$1000,"Y",$J$2:$J$1000,"&gt;"&amp;J943)+COUNTIFS($FX$2:$FX$1000,"Y",$J$2:$J$1000,J943,$GD$2:$GD$1000,"&lt;"&amp;GD943)+1)</f>
        <v/>
      </c>
      <c r="AB943" s="0" t="str">
        <f aca="false">IF($A943="","",IF(AW943="Y",BY943&amp;"",BK943&amp;""))</f>
        <v/>
      </c>
      <c r="AC943" s="0" t="str">
        <f aca="false">IF($A943="","",IF(AW943="Y",BS943&amp;"",BE943&amp;""))</f>
        <v/>
      </c>
      <c r="AD943" s="0" t="str">
        <f aca="false">IF($A943="","",IF(AW943="Y",BT943&amp;"",BF943&amp;""))</f>
        <v/>
      </c>
      <c r="AE943" s="0" t="str">
        <f aca="false">IF($A943="","",IF(AW943="Y",BU943&amp;"",BG943&amp;""))</f>
        <v/>
      </c>
      <c r="AF943" s="0" t="str">
        <f aca="false">IF($A943="","",IF(AW943="Y",BV943&amp;"",BH943&amp;""))</f>
        <v/>
      </c>
      <c r="AG943" s="0" t="str">
        <f aca="false">IF($A943="","",IF(AW943="Y",BW943&amp;"",BI943&amp;""))</f>
        <v/>
      </c>
      <c r="AH943" s="0" t="str">
        <f aca="false">IF($A943="","",IF(AW943="Y",BX943&amp;"",BJ943&amp;""))</f>
        <v/>
      </c>
      <c r="AQ943" s="5"/>
      <c r="AT943" s="0" t="str">
        <f aca="false">IF($A943="","",IF(AND(CN943="pass",AQ943&lt;&gt;"Y",C943&lt;&gt;"",OR(AX943&lt;&gt;"Y",AV943="Y")),"Y","N"))</f>
        <v/>
      </c>
      <c r="AU943" s="0" t="str">
        <f aca="false">IF($A943="","",_xlfn.TEXTJOIN("; ",TRUE(),IF(CN943&lt;&gt;"pass","gated out",""),IF(AQ943="Y","on hold: "&amp;AR943,""),IF(C943="","no contact named on an opened page",""),IF(AND(AX943="Y",AV943&lt;&gt;"Y"),"Tuesday estimate band "&amp;L943&amp;": founder's call","")))</f>
        <v/>
      </c>
      <c r="BC943" s="0" t="str">
        <f aca="false">IF($A943="","",IFERROR(INDEX(Enrichment!$A$2:$GZ$2000,MATCH($A943,INDEX(Enrichment!$A$2:$GZ$2000,0,MATCH("row_id",Enrichment!$A$1:$GZ$1,0)),0),MATCH("work_email",Enrichment!$A$1:$GZ$1,0))&amp;"",""))</f>
        <v/>
      </c>
      <c r="BD943" s="0" t="str">
        <f aca="false">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Q943" s="0" t="str">
        <f aca="false">IF($A943="","",IFERROR(INDEX(Enrichment!$A$2:$GZ$2000,MATCH($A943,INDEX(Enrichment!$A$2:$GZ$2000,0,MATCH("row_id",Enrichment!$A$1:$GZ$1,0)),0),MATCH("backup_work_email",Enrichment!$A$1:$GZ$1,0))&amp;"",""))</f>
        <v/>
      </c>
      <c r="BR943" s="0" t="str">
        <f aca="false">IF($A943="","",IF(BQ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EQ943" s="0" t="str">
        <f aca="false">IF($A943="","",IF(AH943="exact",10,IF(AH943="adjacent",5,0)))</f>
        <v/>
      </c>
      <c r="ER943" s="0" t="str">
        <f aca="false">IF($A943="","",IF(R943="Y",15,0))</f>
        <v/>
      </c>
      <c r="FS943" s="0" t="str">
        <f aca="false">IF($A943="","",IF(ISNUMBER(MATCH(U943,{"queued","contacted","replied","call_booked","call_done","yes_in_principle","materials_sent"},0)),"Y","N"))</f>
        <v/>
      </c>
      <c r="FT943" s="0" t="str">
        <f aca="false">IF($A943="","",IF(OR(T943="Y",U943="do_not_contact",AS943&amp;""&lt;&gt;""),"Y","N"))</f>
        <v/>
      </c>
      <c r="FU943" s="0" t="str">
        <f aca="false">IF($A943="","",IF(AP943&amp;""&lt;&gt;"",AP943&amp;"",$A943))</f>
        <v/>
      </c>
      <c r="FV943" s="0" t="str">
        <f aca="false">IF($A943="","",IF(COUNTIFS($FU$2:$FU$1000,FU943,$FS$2:$FS$1000,"Y")+COUNTIFS($FU$2:$FU$1000,FU943,$FT$2:$FT$1000,"Y")&gt;0,"Y","N"))</f>
        <v/>
      </c>
      <c r="FW943" s="0" t="str">
        <f aca="false">IF($A943="","",IF(AND(U943="new",T943="N",FT943="N",AT943="Y",FV943="N"),"Y","N"))</f>
        <v/>
      </c>
      <c r="FX943" s="0" t="str">
        <f aca="false">IF($A943="","",IF(FW943&lt;&gt;"Y","N",IF(COUNTIFS($FU$2:$FU$1000,FU943,$FW$2:$FW$1000,"Y",$J$2:$J$1000,"&gt;"&amp;J943)+COUNTIFS($FU$2:$FU$1000,FU943,$FW$2:$FW$1000,"Y",$J$2:$J$1000,J943,$GD$2:$GD$1000,"&lt;"&amp;GD943)=0,"Y","N")))</f>
        <v/>
      </c>
      <c r="FY943" s="0" t="str">
        <f aca="false">IF($A943="","",IF(AND(FW943="Y",FX943="Y",Y943&amp;""&lt;&gt;""),IF(Y943&lt;=10,"Y","N"),"N"))</f>
        <v/>
      </c>
      <c r="FZ943" s="0" t="str">
        <f aca="false">IF(FY943="Y",Y943,"")</f>
        <v/>
      </c>
      <c r="GA943" s="0" t="str">
        <f aca="false">IF($A943="","",IF(AND(I943="walk-in",CN943="pass",U943="new",FT943="N",FV943="N",AQ943&lt;&gt;"Y"),"Y","N"))</f>
        <v/>
      </c>
      <c r="GB943" s="0" t="str">
        <f aca="false">IF(GA943&lt;&gt;"Y","",IF(COUNTIFS($GA$2:$GA$1000,"Y",$J$2:$J$1000,"&gt;"&amp;J943)+COUNTIFS($GA$2:$GA$1000,"Y",$J$2:$J$1000,J943,$GD$2:$GD$1000,"&lt;"&amp;GD943)+1&lt;=25,COUNTIFS($GA$2:$GA$1000,"Y",$J$2:$J$1000,"&gt;"&amp;J943)+COUNTIFS($GA$2:$GA$1000,"Y",$J$2:$J$1000,J943,$GD$2:$GD$1000,"&lt;"&amp;GD943)+1,""))</f>
        <v/>
      </c>
      <c r="GC943" s="0" t="str">
        <f aca="false">IF(AND(_xlfn.ISFORMULA(C943),_xlfn.ISFORMULA(J943)),"Y","N")</f>
        <v>Y</v>
      </c>
      <c r="GD943" s="0" t="n">
        <f aca="false">ROW()-1</f>
        <v>942</v>
      </c>
    </row>
    <row r="944" customFormat="false" ht="15" hidden="false" customHeight="false" outlineLevel="0" collapsed="false">
      <c r="C944" s="0" t="str">
        <f aca="false">IF($A944="","",IF(AW944="Y",BM944&amp;"",AY944&amp;""))</f>
        <v/>
      </c>
      <c r="D944" s="0" t="str">
        <f aca="false">IF($A944="","",IF(AW944="Y",BN944&amp;"",AZ944&amp;""))</f>
        <v/>
      </c>
      <c r="E944" s="0" t="str">
        <f aca="false">IF($A944="","",IF(AW944="Y",BO944&amp;"",BA944&amp;""))</f>
        <v/>
      </c>
      <c r="F944" s="0" t="str">
        <f aca="false">IF($A944="","",IF(AW944="Y",BP944&amp;"",BB944&amp;""))</f>
        <v/>
      </c>
      <c r="G944" s="0" t="str">
        <f aca="false">IF($A944="","",IF(AW944="Y",BQ944&amp;"",BC944&amp;""))</f>
        <v/>
      </c>
      <c r="H944" s="0" t="str">
        <f aca="false">IF($A944="","",IF(AW944="Y",BR944&amp;"",BD944&amp;""))</f>
        <v/>
      </c>
      <c r="I944" s="0" t="str">
        <f aca="false">IF($A944="","",IF(R944="Y","warm-intro",IF(H944="verified","email",IF(C944&lt;&gt;"","linkedin",CB944&amp;""))))</f>
        <v/>
      </c>
      <c r="J944" s="0" t="str">
        <f aca="false">IF($A944="","",IF(CN944="pass",ROUND(N(EM944)+N(EN944)+N(EO944)+N(EP944)+N(EQ944)+N(ER944),1),0))</f>
        <v/>
      </c>
      <c r="K944" s="0" t="str">
        <f aca="false">IF($A944="","",IF(CN944&lt;&gt;"pass",CA944&amp;"",CA944&amp;"; "&amp;IF(AW944="Y",BZ944&amp;"",BL944&amp;"")&amp;IF(R944="Y","; known to the founder (+15)","")&amp;"."))</f>
        <v/>
      </c>
      <c r="R944" s="5"/>
      <c r="U944" s="5"/>
      <c r="Y944" s="0" t="str">
        <f aca="false">IF(FX944&lt;&gt;"Y","",COUNTIFS($FX$2:$FX$1000,"Y",$J$2:$J$1000,"&gt;"&amp;J944)+COUNTIFS($FX$2:$FX$1000,"Y",$J$2:$J$1000,J944,$GD$2:$GD$1000,"&lt;"&amp;GD944)+1)</f>
        <v/>
      </c>
      <c r="AB944" s="0" t="str">
        <f aca="false">IF($A944="","",IF(AW944="Y",BY944&amp;"",BK944&amp;""))</f>
        <v/>
      </c>
      <c r="AC944" s="0" t="str">
        <f aca="false">IF($A944="","",IF(AW944="Y",BS944&amp;"",BE944&amp;""))</f>
        <v/>
      </c>
      <c r="AD944" s="0" t="str">
        <f aca="false">IF($A944="","",IF(AW944="Y",BT944&amp;"",BF944&amp;""))</f>
        <v/>
      </c>
      <c r="AE944" s="0" t="str">
        <f aca="false">IF($A944="","",IF(AW944="Y",BU944&amp;"",BG944&amp;""))</f>
        <v/>
      </c>
      <c r="AF944" s="0" t="str">
        <f aca="false">IF($A944="","",IF(AW944="Y",BV944&amp;"",BH944&amp;""))</f>
        <v/>
      </c>
      <c r="AG944" s="0" t="str">
        <f aca="false">IF($A944="","",IF(AW944="Y",BW944&amp;"",BI944&amp;""))</f>
        <v/>
      </c>
      <c r="AH944" s="0" t="str">
        <f aca="false">IF($A944="","",IF(AW944="Y",BX944&amp;"",BJ944&amp;""))</f>
        <v/>
      </c>
      <c r="AQ944" s="5"/>
      <c r="AT944" s="0" t="str">
        <f aca="false">IF($A944="","",IF(AND(CN944="pass",AQ944&lt;&gt;"Y",C944&lt;&gt;"",OR(AX944&lt;&gt;"Y",AV944="Y")),"Y","N"))</f>
        <v/>
      </c>
      <c r="AU944" s="0" t="str">
        <f aca="false">IF($A944="","",_xlfn.TEXTJOIN("; ",TRUE(),IF(CN944&lt;&gt;"pass","gated out",""),IF(AQ944="Y","on hold: "&amp;AR944,""),IF(C944="","no contact named on an opened page",""),IF(AND(AX944="Y",AV944&lt;&gt;"Y"),"Tuesday estimate band "&amp;L944&amp;": founder's call","")))</f>
        <v/>
      </c>
      <c r="BC944" s="0" t="str">
        <f aca="false">IF($A944="","",IFERROR(INDEX(Enrichment!$A$2:$GZ$2000,MATCH($A944,INDEX(Enrichment!$A$2:$GZ$2000,0,MATCH("row_id",Enrichment!$A$1:$GZ$1,0)),0),MATCH("work_email",Enrichment!$A$1:$GZ$1,0))&amp;"",""))</f>
        <v/>
      </c>
      <c r="BD944" s="0" t="str">
        <f aca="false">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Q944" s="0" t="str">
        <f aca="false">IF($A944="","",IFERROR(INDEX(Enrichment!$A$2:$GZ$2000,MATCH($A944,INDEX(Enrichment!$A$2:$GZ$2000,0,MATCH("row_id",Enrichment!$A$1:$GZ$1,0)),0),MATCH("backup_work_email",Enrichment!$A$1:$GZ$1,0))&amp;"",""))</f>
        <v/>
      </c>
      <c r="BR944" s="0" t="str">
        <f aca="false">IF($A944="","",IF(BQ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EQ944" s="0" t="str">
        <f aca="false">IF($A944="","",IF(AH944="exact",10,IF(AH944="adjacent",5,0)))</f>
        <v/>
      </c>
      <c r="ER944" s="0" t="str">
        <f aca="false">IF($A944="","",IF(R944="Y",15,0))</f>
        <v/>
      </c>
      <c r="FS944" s="0" t="str">
        <f aca="false">IF($A944="","",IF(ISNUMBER(MATCH(U944,{"queued","contacted","replied","call_booked","call_done","yes_in_principle","materials_sent"},0)),"Y","N"))</f>
        <v/>
      </c>
      <c r="FT944" s="0" t="str">
        <f aca="false">IF($A944="","",IF(OR(T944="Y",U944="do_not_contact",AS944&amp;""&lt;&gt;""),"Y","N"))</f>
        <v/>
      </c>
      <c r="FU944" s="0" t="str">
        <f aca="false">IF($A944="","",IF(AP944&amp;""&lt;&gt;"",AP944&amp;"",$A944))</f>
        <v/>
      </c>
      <c r="FV944" s="0" t="str">
        <f aca="false">IF($A944="","",IF(COUNTIFS($FU$2:$FU$1000,FU944,$FS$2:$FS$1000,"Y")+COUNTIFS($FU$2:$FU$1000,FU944,$FT$2:$FT$1000,"Y")&gt;0,"Y","N"))</f>
        <v/>
      </c>
      <c r="FW944" s="0" t="str">
        <f aca="false">IF($A944="","",IF(AND(U944="new",T944="N",FT944="N",AT944="Y",FV944="N"),"Y","N"))</f>
        <v/>
      </c>
      <c r="FX944" s="0" t="str">
        <f aca="false">IF($A944="","",IF(FW944&lt;&gt;"Y","N",IF(COUNTIFS($FU$2:$FU$1000,FU944,$FW$2:$FW$1000,"Y",$J$2:$J$1000,"&gt;"&amp;J944)+COUNTIFS($FU$2:$FU$1000,FU944,$FW$2:$FW$1000,"Y",$J$2:$J$1000,J944,$GD$2:$GD$1000,"&lt;"&amp;GD944)=0,"Y","N")))</f>
        <v/>
      </c>
      <c r="FY944" s="0" t="str">
        <f aca="false">IF($A944="","",IF(AND(FW944="Y",FX944="Y",Y944&amp;""&lt;&gt;""),IF(Y944&lt;=10,"Y","N"),"N"))</f>
        <v/>
      </c>
      <c r="FZ944" s="0" t="str">
        <f aca="false">IF(FY944="Y",Y944,"")</f>
        <v/>
      </c>
      <c r="GA944" s="0" t="str">
        <f aca="false">IF($A944="","",IF(AND(I944="walk-in",CN944="pass",U944="new",FT944="N",FV944="N",AQ944&lt;&gt;"Y"),"Y","N"))</f>
        <v/>
      </c>
      <c r="GB944" s="0" t="str">
        <f aca="false">IF(GA944&lt;&gt;"Y","",IF(COUNTIFS($GA$2:$GA$1000,"Y",$J$2:$J$1000,"&gt;"&amp;J944)+COUNTIFS($GA$2:$GA$1000,"Y",$J$2:$J$1000,J944,$GD$2:$GD$1000,"&lt;"&amp;GD944)+1&lt;=25,COUNTIFS($GA$2:$GA$1000,"Y",$J$2:$J$1000,"&gt;"&amp;J944)+COUNTIFS($GA$2:$GA$1000,"Y",$J$2:$J$1000,J944,$GD$2:$GD$1000,"&lt;"&amp;GD944)+1,""))</f>
        <v/>
      </c>
      <c r="GC944" s="0" t="str">
        <f aca="false">IF(AND(_xlfn.ISFORMULA(C944),_xlfn.ISFORMULA(J944)),"Y","N")</f>
        <v>Y</v>
      </c>
      <c r="GD944" s="0" t="n">
        <f aca="false">ROW()-1</f>
        <v>943</v>
      </c>
    </row>
    <row r="945" customFormat="false" ht="15" hidden="false" customHeight="false" outlineLevel="0" collapsed="false">
      <c r="C945" s="0" t="str">
        <f aca="false">IF($A945="","",IF(AW945="Y",BM945&amp;"",AY945&amp;""))</f>
        <v/>
      </c>
      <c r="D945" s="0" t="str">
        <f aca="false">IF($A945="","",IF(AW945="Y",BN945&amp;"",AZ945&amp;""))</f>
        <v/>
      </c>
      <c r="E945" s="0" t="str">
        <f aca="false">IF($A945="","",IF(AW945="Y",BO945&amp;"",BA945&amp;""))</f>
        <v/>
      </c>
      <c r="F945" s="0" t="str">
        <f aca="false">IF($A945="","",IF(AW945="Y",BP945&amp;"",BB945&amp;""))</f>
        <v/>
      </c>
      <c r="G945" s="0" t="str">
        <f aca="false">IF($A945="","",IF(AW945="Y",BQ945&amp;"",BC945&amp;""))</f>
        <v/>
      </c>
      <c r="H945" s="0" t="str">
        <f aca="false">IF($A945="","",IF(AW945="Y",BR945&amp;"",BD945&amp;""))</f>
        <v/>
      </c>
      <c r="I945" s="0" t="str">
        <f aca="false">IF($A945="","",IF(R945="Y","warm-intro",IF(H945="verified","email",IF(C945&lt;&gt;"","linkedin",CB945&amp;""))))</f>
        <v/>
      </c>
      <c r="J945" s="0" t="str">
        <f aca="false">IF($A945="","",IF(CN945="pass",ROUND(N(EM945)+N(EN945)+N(EO945)+N(EP945)+N(EQ945)+N(ER945),1),0))</f>
        <v/>
      </c>
      <c r="K945" s="0" t="str">
        <f aca="false">IF($A945="","",IF(CN945&lt;&gt;"pass",CA945&amp;"",CA945&amp;"; "&amp;IF(AW945="Y",BZ945&amp;"",BL945&amp;"")&amp;IF(R945="Y","; known to the founder (+15)","")&amp;"."))</f>
        <v/>
      </c>
      <c r="R945" s="5"/>
      <c r="U945" s="5"/>
      <c r="Y945" s="0" t="str">
        <f aca="false">IF(FX945&lt;&gt;"Y","",COUNTIFS($FX$2:$FX$1000,"Y",$J$2:$J$1000,"&gt;"&amp;J945)+COUNTIFS($FX$2:$FX$1000,"Y",$J$2:$J$1000,J945,$GD$2:$GD$1000,"&lt;"&amp;GD945)+1)</f>
        <v/>
      </c>
      <c r="AB945" s="0" t="str">
        <f aca="false">IF($A945="","",IF(AW945="Y",BY945&amp;"",BK945&amp;""))</f>
        <v/>
      </c>
      <c r="AC945" s="0" t="str">
        <f aca="false">IF($A945="","",IF(AW945="Y",BS945&amp;"",BE945&amp;""))</f>
        <v/>
      </c>
      <c r="AD945" s="0" t="str">
        <f aca="false">IF($A945="","",IF(AW945="Y",BT945&amp;"",BF945&amp;""))</f>
        <v/>
      </c>
      <c r="AE945" s="0" t="str">
        <f aca="false">IF($A945="","",IF(AW945="Y",BU945&amp;"",BG945&amp;""))</f>
        <v/>
      </c>
      <c r="AF945" s="0" t="str">
        <f aca="false">IF($A945="","",IF(AW945="Y",BV945&amp;"",BH945&amp;""))</f>
        <v/>
      </c>
      <c r="AG945" s="0" t="str">
        <f aca="false">IF($A945="","",IF(AW945="Y",BW945&amp;"",BI945&amp;""))</f>
        <v/>
      </c>
      <c r="AH945" s="0" t="str">
        <f aca="false">IF($A945="","",IF(AW945="Y",BX945&amp;"",BJ945&amp;""))</f>
        <v/>
      </c>
      <c r="AQ945" s="5"/>
      <c r="AT945" s="0" t="str">
        <f aca="false">IF($A945="","",IF(AND(CN945="pass",AQ945&lt;&gt;"Y",C945&lt;&gt;"",OR(AX945&lt;&gt;"Y",AV945="Y")),"Y","N"))</f>
        <v/>
      </c>
      <c r="AU945" s="0" t="str">
        <f aca="false">IF($A945="","",_xlfn.TEXTJOIN("; ",TRUE(),IF(CN945&lt;&gt;"pass","gated out",""),IF(AQ945="Y","on hold: "&amp;AR945,""),IF(C945="","no contact named on an opened page",""),IF(AND(AX945="Y",AV945&lt;&gt;"Y"),"Tuesday estimate band "&amp;L945&amp;": founder's call","")))</f>
        <v/>
      </c>
      <c r="BC945" s="0" t="str">
        <f aca="false">IF($A945="","",IFERROR(INDEX(Enrichment!$A$2:$GZ$2000,MATCH($A945,INDEX(Enrichment!$A$2:$GZ$2000,0,MATCH("row_id",Enrichment!$A$1:$GZ$1,0)),0),MATCH("work_email",Enrichment!$A$1:$GZ$1,0))&amp;"",""))</f>
        <v/>
      </c>
      <c r="BD945" s="0" t="str">
        <f aca="false">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Q945" s="0" t="str">
        <f aca="false">IF($A945="","",IFERROR(INDEX(Enrichment!$A$2:$GZ$2000,MATCH($A945,INDEX(Enrichment!$A$2:$GZ$2000,0,MATCH("row_id",Enrichment!$A$1:$GZ$1,0)),0),MATCH("backup_work_email",Enrichment!$A$1:$GZ$1,0))&amp;"",""))</f>
        <v/>
      </c>
      <c r="BR945" s="0" t="str">
        <f aca="false">IF($A945="","",IF(BQ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EQ945" s="0" t="str">
        <f aca="false">IF($A945="","",IF(AH945="exact",10,IF(AH945="adjacent",5,0)))</f>
        <v/>
      </c>
      <c r="ER945" s="0" t="str">
        <f aca="false">IF($A945="","",IF(R945="Y",15,0))</f>
        <v/>
      </c>
      <c r="FS945" s="0" t="str">
        <f aca="false">IF($A945="","",IF(ISNUMBER(MATCH(U945,{"queued","contacted","replied","call_booked","call_done","yes_in_principle","materials_sent"},0)),"Y","N"))</f>
        <v/>
      </c>
      <c r="FT945" s="0" t="str">
        <f aca="false">IF($A945="","",IF(OR(T945="Y",U945="do_not_contact",AS945&amp;""&lt;&gt;""),"Y","N"))</f>
        <v/>
      </c>
      <c r="FU945" s="0" t="str">
        <f aca="false">IF($A945="","",IF(AP945&amp;""&lt;&gt;"",AP945&amp;"",$A945))</f>
        <v/>
      </c>
      <c r="FV945" s="0" t="str">
        <f aca="false">IF($A945="","",IF(COUNTIFS($FU$2:$FU$1000,FU945,$FS$2:$FS$1000,"Y")+COUNTIFS($FU$2:$FU$1000,FU945,$FT$2:$FT$1000,"Y")&gt;0,"Y","N"))</f>
        <v/>
      </c>
      <c r="FW945" s="0" t="str">
        <f aca="false">IF($A945="","",IF(AND(U945="new",T945="N",FT945="N",AT945="Y",FV945="N"),"Y","N"))</f>
        <v/>
      </c>
      <c r="FX945" s="0" t="str">
        <f aca="false">IF($A945="","",IF(FW945&lt;&gt;"Y","N",IF(COUNTIFS($FU$2:$FU$1000,FU945,$FW$2:$FW$1000,"Y",$J$2:$J$1000,"&gt;"&amp;J945)+COUNTIFS($FU$2:$FU$1000,FU945,$FW$2:$FW$1000,"Y",$J$2:$J$1000,J945,$GD$2:$GD$1000,"&lt;"&amp;GD945)=0,"Y","N")))</f>
        <v/>
      </c>
      <c r="FY945" s="0" t="str">
        <f aca="false">IF($A945="","",IF(AND(FW945="Y",FX945="Y",Y945&amp;""&lt;&gt;""),IF(Y945&lt;=10,"Y","N"),"N"))</f>
        <v/>
      </c>
      <c r="FZ945" s="0" t="str">
        <f aca="false">IF(FY945="Y",Y945,"")</f>
        <v/>
      </c>
      <c r="GA945" s="0" t="str">
        <f aca="false">IF($A945="","",IF(AND(I945="walk-in",CN945="pass",U945="new",FT945="N",FV945="N",AQ945&lt;&gt;"Y"),"Y","N"))</f>
        <v/>
      </c>
      <c r="GB945" s="0" t="str">
        <f aca="false">IF(GA945&lt;&gt;"Y","",IF(COUNTIFS($GA$2:$GA$1000,"Y",$J$2:$J$1000,"&gt;"&amp;J945)+COUNTIFS($GA$2:$GA$1000,"Y",$J$2:$J$1000,J945,$GD$2:$GD$1000,"&lt;"&amp;GD945)+1&lt;=25,COUNTIFS($GA$2:$GA$1000,"Y",$J$2:$J$1000,"&gt;"&amp;J945)+COUNTIFS($GA$2:$GA$1000,"Y",$J$2:$J$1000,J945,$GD$2:$GD$1000,"&lt;"&amp;GD945)+1,""))</f>
        <v/>
      </c>
      <c r="GC945" s="0" t="str">
        <f aca="false">IF(AND(_xlfn.ISFORMULA(C945),_xlfn.ISFORMULA(J945)),"Y","N")</f>
        <v>Y</v>
      </c>
      <c r="GD945" s="0" t="n">
        <f aca="false">ROW()-1</f>
        <v>944</v>
      </c>
    </row>
    <row r="946" customFormat="false" ht="15" hidden="false" customHeight="false" outlineLevel="0" collapsed="false">
      <c r="C946" s="0" t="str">
        <f aca="false">IF($A946="","",IF(AW946="Y",BM946&amp;"",AY946&amp;""))</f>
        <v/>
      </c>
      <c r="D946" s="0" t="str">
        <f aca="false">IF($A946="","",IF(AW946="Y",BN946&amp;"",AZ946&amp;""))</f>
        <v/>
      </c>
      <c r="E946" s="0" t="str">
        <f aca="false">IF($A946="","",IF(AW946="Y",BO946&amp;"",BA946&amp;""))</f>
        <v/>
      </c>
      <c r="F946" s="0" t="str">
        <f aca="false">IF($A946="","",IF(AW946="Y",BP946&amp;"",BB946&amp;""))</f>
        <v/>
      </c>
      <c r="G946" s="0" t="str">
        <f aca="false">IF($A946="","",IF(AW946="Y",BQ946&amp;"",BC946&amp;""))</f>
        <v/>
      </c>
      <c r="H946" s="0" t="str">
        <f aca="false">IF($A946="","",IF(AW946="Y",BR946&amp;"",BD946&amp;""))</f>
        <v/>
      </c>
      <c r="I946" s="0" t="str">
        <f aca="false">IF($A946="","",IF(R946="Y","warm-intro",IF(H946="verified","email",IF(C946&lt;&gt;"","linkedin",CB946&amp;""))))</f>
        <v/>
      </c>
      <c r="J946" s="0" t="str">
        <f aca="false">IF($A946="","",IF(CN946="pass",ROUND(N(EM946)+N(EN946)+N(EO946)+N(EP946)+N(EQ946)+N(ER946),1),0))</f>
        <v/>
      </c>
      <c r="K946" s="0" t="str">
        <f aca="false">IF($A946="","",IF(CN946&lt;&gt;"pass",CA946&amp;"",CA946&amp;"; "&amp;IF(AW946="Y",BZ946&amp;"",BL946&amp;"")&amp;IF(R946="Y","; known to the founder (+15)","")&amp;"."))</f>
        <v/>
      </c>
      <c r="R946" s="5"/>
      <c r="U946" s="5"/>
      <c r="Y946" s="0" t="str">
        <f aca="false">IF(FX946&lt;&gt;"Y","",COUNTIFS($FX$2:$FX$1000,"Y",$J$2:$J$1000,"&gt;"&amp;J946)+COUNTIFS($FX$2:$FX$1000,"Y",$J$2:$J$1000,J946,$GD$2:$GD$1000,"&lt;"&amp;GD946)+1)</f>
        <v/>
      </c>
      <c r="AB946" s="0" t="str">
        <f aca="false">IF($A946="","",IF(AW946="Y",BY946&amp;"",BK946&amp;""))</f>
        <v/>
      </c>
      <c r="AC946" s="0" t="str">
        <f aca="false">IF($A946="","",IF(AW946="Y",BS946&amp;"",BE946&amp;""))</f>
        <v/>
      </c>
      <c r="AD946" s="0" t="str">
        <f aca="false">IF($A946="","",IF(AW946="Y",BT946&amp;"",BF946&amp;""))</f>
        <v/>
      </c>
      <c r="AE946" s="0" t="str">
        <f aca="false">IF($A946="","",IF(AW946="Y",BU946&amp;"",BG946&amp;""))</f>
        <v/>
      </c>
      <c r="AF946" s="0" t="str">
        <f aca="false">IF($A946="","",IF(AW946="Y",BV946&amp;"",BH946&amp;""))</f>
        <v/>
      </c>
      <c r="AG946" s="0" t="str">
        <f aca="false">IF($A946="","",IF(AW946="Y",BW946&amp;"",BI946&amp;""))</f>
        <v/>
      </c>
      <c r="AH946" s="0" t="str">
        <f aca="false">IF($A946="","",IF(AW946="Y",BX946&amp;"",BJ946&amp;""))</f>
        <v/>
      </c>
      <c r="AQ946" s="5"/>
      <c r="AT946" s="0" t="str">
        <f aca="false">IF($A946="","",IF(AND(CN946="pass",AQ946&lt;&gt;"Y",C946&lt;&gt;"",OR(AX946&lt;&gt;"Y",AV946="Y")),"Y","N"))</f>
        <v/>
      </c>
      <c r="AU946" s="0" t="str">
        <f aca="false">IF($A946="","",_xlfn.TEXTJOIN("; ",TRUE(),IF(CN946&lt;&gt;"pass","gated out",""),IF(AQ946="Y","on hold: "&amp;AR946,""),IF(C946="","no contact named on an opened page",""),IF(AND(AX946="Y",AV946&lt;&gt;"Y"),"Tuesday estimate band "&amp;L946&amp;": founder's call","")))</f>
        <v/>
      </c>
      <c r="BC946" s="0" t="str">
        <f aca="false">IF($A946="","",IFERROR(INDEX(Enrichment!$A$2:$GZ$2000,MATCH($A946,INDEX(Enrichment!$A$2:$GZ$2000,0,MATCH("row_id",Enrichment!$A$1:$GZ$1,0)),0),MATCH("work_email",Enrichment!$A$1:$GZ$1,0))&amp;"",""))</f>
        <v/>
      </c>
      <c r="BD946" s="0" t="str">
        <f aca="false">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Q946" s="0" t="str">
        <f aca="false">IF($A946="","",IFERROR(INDEX(Enrichment!$A$2:$GZ$2000,MATCH($A946,INDEX(Enrichment!$A$2:$GZ$2000,0,MATCH("row_id",Enrichment!$A$1:$GZ$1,0)),0),MATCH("backup_work_email",Enrichment!$A$1:$GZ$1,0))&amp;"",""))</f>
        <v/>
      </c>
      <c r="BR946" s="0" t="str">
        <f aca="false">IF($A946="","",IF(BQ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EQ946" s="0" t="str">
        <f aca="false">IF($A946="","",IF(AH946="exact",10,IF(AH946="adjacent",5,0)))</f>
        <v/>
      </c>
      <c r="ER946" s="0" t="str">
        <f aca="false">IF($A946="","",IF(R946="Y",15,0))</f>
        <v/>
      </c>
      <c r="FS946" s="0" t="str">
        <f aca="false">IF($A946="","",IF(ISNUMBER(MATCH(U946,{"queued","contacted","replied","call_booked","call_done","yes_in_principle","materials_sent"},0)),"Y","N"))</f>
        <v/>
      </c>
      <c r="FT946" s="0" t="str">
        <f aca="false">IF($A946="","",IF(OR(T946="Y",U946="do_not_contact",AS946&amp;""&lt;&gt;""),"Y","N"))</f>
        <v/>
      </c>
      <c r="FU946" s="0" t="str">
        <f aca="false">IF($A946="","",IF(AP946&amp;""&lt;&gt;"",AP946&amp;"",$A946))</f>
        <v/>
      </c>
      <c r="FV946" s="0" t="str">
        <f aca="false">IF($A946="","",IF(COUNTIFS($FU$2:$FU$1000,FU946,$FS$2:$FS$1000,"Y")+COUNTIFS($FU$2:$FU$1000,FU946,$FT$2:$FT$1000,"Y")&gt;0,"Y","N"))</f>
        <v/>
      </c>
      <c r="FW946" s="0" t="str">
        <f aca="false">IF($A946="","",IF(AND(U946="new",T946="N",FT946="N",AT946="Y",FV946="N"),"Y","N"))</f>
        <v/>
      </c>
      <c r="FX946" s="0" t="str">
        <f aca="false">IF($A946="","",IF(FW946&lt;&gt;"Y","N",IF(COUNTIFS($FU$2:$FU$1000,FU946,$FW$2:$FW$1000,"Y",$J$2:$J$1000,"&gt;"&amp;J946)+COUNTIFS($FU$2:$FU$1000,FU946,$FW$2:$FW$1000,"Y",$J$2:$J$1000,J946,$GD$2:$GD$1000,"&lt;"&amp;GD946)=0,"Y","N")))</f>
        <v/>
      </c>
      <c r="FY946" s="0" t="str">
        <f aca="false">IF($A946="","",IF(AND(FW946="Y",FX946="Y",Y946&amp;""&lt;&gt;""),IF(Y946&lt;=10,"Y","N"),"N"))</f>
        <v/>
      </c>
      <c r="FZ946" s="0" t="str">
        <f aca="false">IF(FY946="Y",Y946,"")</f>
        <v/>
      </c>
      <c r="GA946" s="0" t="str">
        <f aca="false">IF($A946="","",IF(AND(I946="walk-in",CN946="pass",U946="new",FT946="N",FV946="N",AQ946&lt;&gt;"Y"),"Y","N"))</f>
        <v/>
      </c>
      <c r="GB946" s="0" t="str">
        <f aca="false">IF(GA946&lt;&gt;"Y","",IF(COUNTIFS($GA$2:$GA$1000,"Y",$J$2:$J$1000,"&gt;"&amp;J946)+COUNTIFS($GA$2:$GA$1000,"Y",$J$2:$J$1000,J946,$GD$2:$GD$1000,"&lt;"&amp;GD946)+1&lt;=25,COUNTIFS($GA$2:$GA$1000,"Y",$J$2:$J$1000,"&gt;"&amp;J946)+COUNTIFS($GA$2:$GA$1000,"Y",$J$2:$J$1000,J946,$GD$2:$GD$1000,"&lt;"&amp;GD946)+1,""))</f>
        <v/>
      </c>
      <c r="GC946" s="0" t="str">
        <f aca="false">IF(AND(_xlfn.ISFORMULA(C946),_xlfn.ISFORMULA(J946)),"Y","N")</f>
        <v>Y</v>
      </c>
      <c r="GD946" s="0" t="n">
        <f aca="false">ROW()-1</f>
        <v>945</v>
      </c>
    </row>
    <row r="947" customFormat="false" ht="15" hidden="false" customHeight="false" outlineLevel="0" collapsed="false">
      <c r="C947" s="0" t="str">
        <f aca="false">IF($A947="","",IF(AW947="Y",BM947&amp;"",AY947&amp;""))</f>
        <v/>
      </c>
      <c r="D947" s="0" t="str">
        <f aca="false">IF($A947="","",IF(AW947="Y",BN947&amp;"",AZ947&amp;""))</f>
        <v/>
      </c>
      <c r="E947" s="0" t="str">
        <f aca="false">IF($A947="","",IF(AW947="Y",BO947&amp;"",BA947&amp;""))</f>
        <v/>
      </c>
      <c r="F947" s="0" t="str">
        <f aca="false">IF($A947="","",IF(AW947="Y",BP947&amp;"",BB947&amp;""))</f>
        <v/>
      </c>
      <c r="G947" s="0" t="str">
        <f aca="false">IF($A947="","",IF(AW947="Y",BQ947&amp;"",BC947&amp;""))</f>
        <v/>
      </c>
      <c r="H947" s="0" t="str">
        <f aca="false">IF($A947="","",IF(AW947="Y",BR947&amp;"",BD947&amp;""))</f>
        <v/>
      </c>
      <c r="I947" s="0" t="str">
        <f aca="false">IF($A947="","",IF(R947="Y","warm-intro",IF(H947="verified","email",IF(C947&lt;&gt;"","linkedin",CB947&amp;""))))</f>
        <v/>
      </c>
      <c r="J947" s="0" t="str">
        <f aca="false">IF($A947="","",IF(CN947="pass",ROUND(N(EM947)+N(EN947)+N(EO947)+N(EP947)+N(EQ947)+N(ER947),1),0))</f>
        <v/>
      </c>
      <c r="K947" s="0" t="str">
        <f aca="false">IF($A947="","",IF(CN947&lt;&gt;"pass",CA947&amp;"",CA947&amp;"; "&amp;IF(AW947="Y",BZ947&amp;"",BL947&amp;"")&amp;IF(R947="Y","; known to the founder (+15)","")&amp;"."))</f>
        <v/>
      </c>
      <c r="R947" s="5"/>
      <c r="U947" s="5"/>
      <c r="Y947" s="0" t="str">
        <f aca="false">IF(FX947&lt;&gt;"Y","",COUNTIFS($FX$2:$FX$1000,"Y",$J$2:$J$1000,"&gt;"&amp;J947)+COUNTIFS($FX$2:$FX$1000,"Y",$J$2:$J$1000,J947,$GD$2:$GD$1000,"&lt;"&amp;GD947)+1)</f>
        <v/>
      </c>
      <c r="AB947" s="0" t="str">
        <f aca="false">IF($A947="","",IF(AW947="Y",BY947&amp;"",BK947&amp;""))</f>
        <v/>
      </c>
      <c r="AC947" s="0" t="str">
        <f aca="false">IF($A947="","",IF(AW947="Y",BS947&amp;"",BE947&amp;""))</f>
        <v/>
      </c>
      <c r="AD947" s="0" t="str">
        <f aca="false">IF($A947="","",IF(AW947="Y",BT947&amp;"",BF947&amp;""))</f>
        <v/>
      </c>
      <c r="AE947" s="0" t="str">
        <f aca="false">IF($A947="","",IF(AW947="Y",BU947&amp;"",BG947&amp;""))</f>
        <v/>
      </c>
      <c r="AF947" s="0" t="str">
        <f aca="false">IF($A947="","",IF(AW947="Y",BV947&amp;"",BH947&amp;""))</f>
        <v/>
      </c>
      <c r="AG947" s="0" t="str">
        <f aca="false">IF($A947="","",IF(AW947="Y",BW947&amp;"",BI947&amp;""))</f>
        <v/>
      </c>
      <c r="AH947" s="0" t="str">
        <f aca="false">IF($A947="","",IF(AW947="Y",BX947&amp;"",BJ947&amp;""))</f>
        <v/>
      </c>
      <c r="AQ947" s="5"/>
      <c r="AT947" s="0" t="str">
        <f aca="false">IF($A947="","",IF(AND(CN947="pass",AQ947&lt;&gt;"Y",C947&lt;&gt;"",OR(AX947&lt;&gt;"Y",AV947="Y")),"Y","N"))</f>
        <v/>
      </c>
      <c r="AU947" s="0" t="str">
        <f aca="false">IF($A947="","",_xlfn.TEXTJOIN("; ",TRUE(),IF(CN947&lt;&gt;"pass","gated out",""),IF(AQ947="Y","on hold: "&amp;AR947,""),IF(C947="","no contact named on an opened page",""),IF(AND(AX947="Y",AV947&lt;&gt;"Y"),"Tuesday estimate band "&amp;L947&amp;": founder's call","")))</f>
        <v/>
      </c>
      <c r="BC947" s="0" t="str">
        <f aca="false">IF($A947="","",IFERROR(INDEX(Enrichment!$A$2:$GZ$2000,MATCH($A947,INDEX(Enrichment!$A$2:$GZ$2000,0,MATCH("row_id",Enrichment!$A$1:$GZ$1,0)),0),MATCH("work_email",Enrichment!$A$1:$GZ$1,0))&amp;"",""))</f>
        <v/>
      </c>
      <c r="BD947" s="0" t="str">
        <f aca="false">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Q947" s="0" t="str">
        <f aca="false">IF($A947="","",IFERROR(INDEX(Enrichment!$A$2:$GZ$2000,MATCH($A947,INDEX(Enrichment!$A$2:$GZ$2000,0,MATCH("row_id",Enrichment!$A$1:$GZ$1,0)),0),MATCH("backup_work_email",Enrichment!$A$1:$GZ$1,0))&amp;"",""))</f>
        <v/>
      </c>
      <c r="BR947" s="0" t="str">
        <f aca="false">IF($A947="","",IF(BQ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EQ947" s="0" t="str">
        <f aca="false">IF($A947="","",IF(AH947="exact",10,IF(AH947="adjacent",5,0)))</f>
        <v/>
      </c>
      <c r="ER947" s="0" t="str">
        <f aca="false">IF($A947="","",IF(R947="Y",15,0))</f>
        <v/>
      </c>
      <c r="FS947" s="0" t="str">
        <f aca="false">IF($A947="","",IF(ISNUMBER(MATCH(U947,{"queued","contacted","replied","call_booked","call_done","yes_in_principle","materials_sent"},0)),"Y","N"))</f>
        <v/>
      </c>
      <c r="FT947" s="0" t="str">
        <f aca="false">IF($A947="","",IF(OR(T947="Y",U947="do_not_contact",AS947&amp;""&lt;&gt;""),"Y","N"))</f>
        <v/>
      </c>
      <c r="FU947" s="0" t="str">
        <f aca="false">IF($A947="","",IF(AP947&amp;""&lt;&gt;"",AP947&amp;"",$A947))</f>
        <v/>
      </c>
      <c r="FV947" s="0" t="str">
        <f aca="false">IF($A947="","",IF(COUNTIFS($FU$2:$FU$1000,FU947,$FS$2:$FS$1000,"Y")+COUNTIFS($FU$2:$FU$1000,FU947,$FT$2:$FT$1000,"Y")&gt;0,"Y","N"))</f>
        <v/>
      </c>
      <c r="FW947" s="0" t="str">
        <f aca="false">IF($A947="","",IF(AND(U947="new",T947="N",FT947="N",AT947="Y",FV947="N"),"Y","N"))</f>
        <v/>
      </c>
      <c r="FX947" s="0" t="str">
        <f aca="false">IF($A947="","",IF(FW947&lt;&gt;"Y","N",IF(COUNTIFS($FU$2:$FU$1000,FU947,$FW$2:$FW$1000,"Y",$J$2:$J$1000,"&gt;"&amp;J947)+COUNTIFS($FU$2:$FU$1000,FU947,$FW$2:$FW$1000,"Y",$J$2:$J$1000,J947,$GD$2:$GD$1000,"&lt;"&amp;GD947)=0,"Y","N")))</f>
        <v/>
      </c>
      <c r="FY947" s="0" t="str">
        <f aca="false">IF($A947="","",IF(AND(FW947="Y",FX947="Y",Y947&amp;""&lt;&gt;""),IF(Y947&lt;=10,"Y","N"),"N"))</f>
        <v/>
      </c>
      <c r="FZ947" s="0" t="str">
        <f aca="false">IF(FY947="Y",Y947,"")</f>
        <v/>
      </c>
      <c r="GA947" s="0" t="str">
        <f aca="false">IF($A947="","",IF(AND(I947="walk-in",CN947="pass",U947="new",FT947="N",FV947="N",AQ947&lt;&gt;"Y"),"Y","N"))</f>
        <v/>
      </c>
      <c r="GB947" s="0" t="str">
        <f aca="false">IF(GA947&lt;&gt;"Y","",IF(COUNTIFS($GA$2:$GA$1000,"Y",$J$2:$J$1000,"&gt;"&amp;J947)+COUNTIFS($GA$2:$GA$1000,"Y",$J$2:$J$1000,J947,$GD$2:$GD$1000,"&lt;"&amp;GD947)+1&lt;=25,COUNTIFS($GA$2:$GA$1000,"Y",$J$2:$J$1000,"&gt;"&amp;J947)+COUNTIFS($GA$2:$GA$1000,"Y",$J$2:$J$1000,J947,$GD$2:$GD$1000,"&lt;"&amp;GD947)+1,""))</f>
        <v/>
      </c>
      <c r="GC947" s="0" t="str">
        <f aca="false">IF(AND(_xlfn.ISFORMULA(C947),_xlfn.ISFORMULA(J947)),"Y","N")</f>
        <v>Y</v>
      </c>
      <c r="GD947" s="0" t="n">
        <f aca="false">ROW()-1</f>
        <v>946</v>
      </c>
    </row>
    <row r="948" customFormat="false" ht="15" hidden="false" customHeight="false" outlineLevel="0" collapsed="false">
      <c r="C948" s="0" t="str">
        <f aca="false">IF($A948="","",IF(AW948="Y",BM948&amp;"",AY948&amp;""))</f>
        <v/>
      </c>
      <c r="D948" s="0" t="str">
        <f aca="false">IF($A948="","",IF(AW948="Y",BN948&amp;"",AZ948&amp;""))</f>
        <v/>
      </c>
      <c r="E948" s="0" t="str">
        <f aca="false">IF($A948="","",IF(AW948="Y",BO948&amp;"",BA948&amp;""))</f>
        <v/>
      </c>
      <c r="F948" s="0" t="str">
        <f aca="false">IF($A948="","",IF(AW948="Y",BP948&amp;"",BB948&amp;""))</f>
        <v/>
      </c>
      <c r="G948" s="0" t="str">
        <f aca="false">IF($A948="","",IF(AW948="Y",BQ948&amp;"",BC948&amp;""))</f>
        <v/>
      </c>
      <c r="H948" s="0" t="str">
        <f aca="false">IF($A948="","",IF(AW948="Y",BR948&amp;"",BD948&amp;""))</f>
        <v/>
      </c>
      <c r="I948" s="0" t="str">
        <f aca="false">IF($A948="","",IF(R948="Y","warm-intro",IF(H948="verified","email",IF(C948&lt;&gt;"","linkedin",CB948&amp;""))))</f>
        <v/>
      </c>
      <c r="J948" s="0" t="str">
        <f aca="false">IF($A948="","",IF(CN948="pass",ROUND(N(EM948)+N(EN948)+N(EO948)+N(EP948)+N(EQ948)+N(ER948),1),0))</f>
        <v/>
      </c>
      <c r="K948" s="0" t="str">
        <f aca="false">IF($A948="","",IF(CN948&lt;&gt;"pass",CA948&amp;"",CA948&amp;"; "&amp;IF(AW948="Y",BZ948&amp;"",BL948&amp;"")&amp;IF(R948="Y","; known to the founder (+15)","")&amp;"."))</f>
        <v/>
      </c>
      <c r="R948" s="5"/>
      <c r="U948" s="5"/>
      <c r="Y948" s="0" t="str">
        <f aca="false">IF(FX948&lt;&gt;"Y","",COUNTIFS($FX$2:$FX$1000,"Y",$J$2:$J$1000,"&gt;"&amp;J948)+COUNTIFS($FX$2:$FX$1000,"Y",$J$2:$J$1000,J948,$GD$2:$GD$1000,"&lt;"&amp;GD948)+1)</f>
        <v/>
      </c>
      <c r="AB948" s="0" t="str">
        <f aca="false">IF($A948="","",IF(AW948="Y",BY948&amp;"",BK948&amp;""))</f>
        <v/>
      </c>
      <c r="AC948" s="0" t="str">
        <f aca="false">IF($A948="","",IF(AW948="Y",BS948&amp;"",BE948&amp;""))</f>
        <v/>
      </c>
      <c r="AD948" s="0" t="str">
        <f aca="false">IF($A948="","",IF(AW948="Y",BT948&amp;"",BF948&amp;""))</f>
        <v/>
      </c>
      <c r="AE948" s="0" t="str">
        <f aca="false">IF($A948="","",IF(AW948="Y",BU948&amp;"",BG948&amp;""))</f>
        <v/>
      </c>
      <c r="AF948" s="0" t="str">
        <f aca="false">IF($A948="","",IF(AW948="Y",BV948&amp;"",BH948&amp;""))</f>
        <v/>
      </c>
      <c r="AG948" s="0" t="str">
        <f aca="false">IF($A948="","",IF(AW948="Y",BW948&amp;"",BI948&amp;""))</f>
        <v/>
      </c>
      <c r="AH948" s="0" t="str">
        <f aca="false">IF($A948="","",IF(AW948="Y",BX948&amp;"",BJ948&amp;""))</f>
        <v/>
      </c>
      <c r="AQ948" s="5"/>
      <c r="AT948" s="0" t="str">
        <f aca="false">IF($A948="","",IF(AND(CN948="pass",AQ948&lt;&gt;"Y",C948&lt;&gt;"",OR(AX948&lt;&gt;"Y",AV948="Y")),"Y","N"))</f>
        <v/>
      </c>
      <c r="AU948" s="0" t="str">
        <f aca="false">IF($A948="","",_xlfn.TEXTJOIN("; ",TRUE(),IF(CN948&lt;&gt;"pass","gated out",""),IF(AQ948="Y","on hold: "&amp;AR948,""),IF(C948="","no contact named on an opened page",""),IF(AND(AX948="Y",AV948&lt;&gt;"Y"),"Tuesday estimate band "&amp;L948&amp;": founder's call","")))</f>
        <v/>
      </c>
      <c r="BC948" s="0" t="str">
        <f aca="false">IF($A948="","",IFERROR(INDEX(Enrichment!$A$2:$GZ$2000,MATCH($A948,INDEX(Enrichment!$A$2:$GZ$2000,0,MATCH("row_id",Enrichment!$A$1:$GZ$1,0)),0),MATCH("work_email",Enrichment!$A$1:$GZ$1,0))&amp;"",""))</f>
        <v/>
      </c>
      <c r="BD948" s="0" t="str">
        <f aca="false">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Q948" s="0" t="str">
        <f aca="false">IF($A948="","",IFERROR(INDEX(Enrichment!$A$2:$GZ$2000,MATCH($A948,INDEX(Enrichment!$A$2:$GZ$2000,0,MATCH("row_id",Enrichment!$A$1:$GZ$1,0)),0),MATCH("backup_work_email",Enrichment!$A$1:$GZ$1,0))&amp;"",""))</f>
        <v/>
      </c>
      <c r="BR948" s="0" t="str">
        <f aca="false">IF($A948="","",IF(BQ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EQ948" s="0" t="str">
        <f aca="false">IF($A948="","",IF(AH948="exact",10,IF(AH948="adjacent",5,0)))</f>
        <v/>
      </c>
      <c r="ER948" s="0" t="str">
        <f aca="false">IF($A948="","",IF(R948="Y",15,0))</f>
        <v/>
      </c>
      <c r="FS948" s="0" t="str">
        <f aca="false">IF($A948="","",IF(ISNUMBER(MATCH(U948,{"queued","contacted","replied","call_booked","call_done","yes_in_principle","materials_sent"},0)),"Y","N"))</f>
        <v/>
      </c>
      <c r="FT948" s="0" t="str">
        <f aca="false">IF($A948="","",IF(OR(T948="Y",U948="do_not_contact",AS948&amp;""&lt;&gt;""),"Y","N"))</f>
        <v/>
      </c>
      <c r="FU948" s="0" t="str">
        <f aca="false">IF($A948="","",IF(AP948&amp;""&lt;&gt;"",AP948&amp;"",$A948))</f>
        <v/>
      </c>
      <c r="FV948" s="0" t="str">
        <f aca="false">IF($A948="","",IF(COUNTIFS($FU$2:$FU$1000,FU948,$FS$2:$FS$1000,"Y")+COUNTIFS($FU$2:$FU$1000,FU948,$FT$2:$FT$1000,"Y")&gt;0,"Y","N"))</f>
        <v/>
      </c>
      <c r="FW948" s="0" t="str">
        <f aca="false">IF($A948="","",IF(AND(U948="new",T948="N",FT948="N",AT948="Y",FV948="N"),"Y","N"))</f>
        <v/>
      </c>
      <c r="FX948" s="0" t="str">
        <f aca="false">IF($A948="","",IF(FW948&lt;&gt;"Y","N",IF(COUNTIFS($FU$2:$FU$1000,FU948,$FW$2:$FW$1000,"Y",$J$2:$J$1000,"&gt;"&amp;J948)+COUNTIFS($FU$2:$FU$1000,FU948,$FW$2:$FW$1000,"Y",$J$2:$J$1000,J948,$GD$2:$GD$1000,"&lt;"&amp;GD948)=0,"Y","N")))</f>
        <v/>
      </c>
      <c r="FY948" s="0" t="str">
        <f aca="false">IF($A948="","",IF(AND(FW948="Y",FX948="Y",Y948&amp;""&lt;&gt;""),IF(Y948&lt;=10,"Y","N"),"N"))</f>
        <v/>
      </c>
      <c r="FZ948" s="0" t="str">
        <f aca="false">IF(FY948="Y",Y948,"")</f>
        <v/>
      </c>
      <c r="GA948" s="0" t="str">
        <f aca="false">IF($A948="","",IF(AND(I948="walk-in",CN948="pass",U948="new",FT948="N",FV948="N",AQ948&lt;&gt;"Y"),"Y","N"))</f>
        <v/>
      </c>
      <c r="GB948" s="0" t="str">
        <f aca="false">IF(GA948&lt;&gt;"Y","",IF(COUNTIFS($GA$2:$GA$1000,"Y",$J$2:$J$1000,"&gt;"&amp;J948)+COUNTIFS($GA$2:$GA$1000,"Y",$J$2:$J$1000,J948,$GD$2:$GD$1000,"&lt;"&amp;GD948)+1&lt;=25,COUNTIFS($GA$2:$GA$1000,"Y",$J$2:$J$1000,"&gt;"&amp;J948)+COUNTIFS($GA$2:$GA$1000,"Y",$J$2:$J$1000,J948,$GD$2:$GD$1000,"&lt;"&amp;GD948)+1,""))</f>
        <v/>
      </c>
      <c r="GC948" s="0" t="str">
        <f aca="false">IF(AND(_xlfn.ISFORMULA(C948),_xlfn.ISFORMULA(J948)),"Y","N")</f>
        <v>Y</v>
      </c>
      <c r="GD948" s="0" t="n">
        <f aca="false">ROW()-1</f>
        <v>947</v>
      </c>
    </row>
    <row r="949" customFormat="false" ht="15" hidden="false" customHeight="false" outlineLevel="0" collapsed="false">
      <c r="C949" s="0" t="str">
        <f aca="false">IF($A949="","",IF(AW949="Y",BM949&amp;"",AY949&amp;""))</f>
        <v/>
      </c>
      <c r="D949" s="0" t="str">
        <f aca="false">IF($A949="","",IF(AW949="Y",BN949&amp;"",AZ949&amp;""))</f>
        <v/>
      </c>
      <c r="E949" s="0" t="str">
        <f aca="false">IF($A949="","",IF(AW949="Y",BO949&amp;"",BA949&amp;""))</f>
        <v/>
      </c>
      <c r="F949" s="0" t="str">
        <f aca="false">IF($A949="","",IF(AW949="Y",BP949&amp;"",BB949&amp;""))</f>
        <v/>
      </c>
      <c r="G949" s="0" t="str">
        <f aca="false">IF($A949="","",IF(AW949="Y",BQ949&amp;"",BC949&amp;""))</f>
        <v/>
      </c>
      <c r="H949" s="0" t="str">
        <f aca="false">IF($A949="","",IF(AW949="Y",BR949&amp;"",BD949&amp;""))</f>
        <v/>
      </c>
      <c r="I949" s="0" t="str">
        <f aca="false">IF($A949="","",IF(R949="Y","warm-intro",IF(H949="verified","email",IF(C949&lt;&gt;"","linkedin",CB949&amp;""))))</f>
        <v/>
      </c>
      <c r="J949" s="0" t="str">
        <f aca="false">IF($A949="","",IF(CN949="pass",ROUND(N(EM949)+N(EN949)+N(EO949)+N(EP949)+N(EQ949)+N(ER949),1),0))</f>
        <v/>
      </c>
      <c r="K949" s="0" t="str">
        <f aca="false">IF($A949="","",IF(CN949&lt;&gt;"pass",CA949&amp;"",CA949&amp;"; "&amp;IF(AW949="Y",BZ949&amp;"",BL949&amp;"")&amp;IF(R949="Y","; known to the founder (+15)","")&amp;"."))</f>
        <v/>
      </c>
      <c r="R949" s="5"/>
      <c r="U949" s="5"/>
      <c r="Y949" s="0" t="str">
        <f aca="false">IF(FX949&lt;&gt;"Y","",COUNTIFS($FX$2:$FX$1000,"Y",$J$2:$J$1000,"&gt;"&amp;J949)+COUNTIFS($FX$2:$FX$1000,"Y",$J$2:$J$1000,J949,$GD$2:$GD$1000,"&lt;"&amp;GD949)+1)</f>
        <v/>
      </c>
      <c r="AB949" s="0" t="str">
        <f aca="false">IF($A949="","",IF(AW949="Y",BY949&amp;"",BK949&amp;""))</f>
        <v/>
      </c>
      <c r="AC949" s="0" t="str">
        <f aca="false">IF($A949="","",IF(AW949="Y",BS949&amp;"",BE949&amp;""))</f>
        <v/>
      </c>
      <c r="AD949" s="0" t="str">
        <f aca="false">IF($A949="","",IF(AW949="Y",BT949&amp;"",BF949&amp;""))</f>
        <v/>
      </c>
      <c r="AE949" s="0" t="str">
        <f aca="false">IF($A949="","",IF(AW949="Y",BU949&amp;"",BG949&amp;""))</f>
        <v/>
      </c>
      <c r="AF949" s="0" t="str">
        <f aca="false">IF($A949="","",IF(AW949="Y",BV949&amp;"",BH949&amp;""))</f>
        <v/>
      </c>
      <c r="AG949" s="0" t="str">
        <f aca="false">IF($A949="","",IF(AW949="Y",BW949&amp;"",BI949&amp;""))</f>
        <v/>
      </c>
      <c r="AH949" s="0" t="str">
        <f aca="false">IF($A949="","",IF(AW949="Y",BX949&amp;"",BJ949&amp;""))</f>
        <v/>
      </c>
      <c r="AQ949" s="5"/>
      <c r="AT949" s="0" t="str">
        <f aca="false">IF($A949="","",IF(AND(CN949="pass",AQ949&lt;&gt;"Y",C949&lt;&gt;"",OR(AX949&lt;&gt;"Y",AV949="Y")),"Y","N"))</f>
        <v/>
      </c>
      <c r="AU949" s="0" t="str">
        <f aca="false">IF($A949="","",_xlfn.TEXTJOIN("; ",TRUE(),IF(CN949&lt;&gt;"pass","gated out",""),IF(AQ949="Y","on hold: "&amp;AR949,""),IF(C949="","no contact named on an opened page",""),IF(AND(AX949="Y",AV949&lt;&gt;"Y"),"Tuesday estimate band "&amp;L949&amp;": founder's call","")))</f>
        <v/>
      </c>
      <c r="BC949" s="0" t="str">
        <f aca="false">IF($A949="","",IFERROR(INDEX(Enrichment!$A$2:$GZ$2000,MATCH($A949,INDEX(Enrichment!$A$2:$GZ$2000,0,MATCH("row_id",Enrichment!$A$1:$GZ$1,0)),0),MATCH("work_email",Enrichment!$A$1:$GZ$1,0))&amp;"",""))</f>
        <v/>
      </c>
      <c r="BD949" s="0" t="str">
        <f aca="false">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Q949" s="0" t="str">
        <f aca="false">IF($A949="","",IFERROR(INDEX(Enrichment!$A$2:$GZ$2000,MATCH($A949,INDEX(Enrichment!$A$2:$GZ$2000,0,MATCH("row_id",Enrichment!$A$1:$GZ$1,0)),0),MATCH("backup_work_email",Enrichment!$A$1:$GZ$1,0))&amp;"",""))</f>
        <v/>
      </c>
      <c r="BR949" s="0" t="str">
        <f aca="false">IF($A949="","",IF(BQ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EQ949" s="0" t="str">
        <f aca="false">IF($A949="","",IF(AH949="exact",10,IF(AH949="adjacent",5,0)))</f>
        <v/>
      </c>
      <c r="ER949" s="0" t="str">
        <f aca="false">IF($A949="","",IF(R949="Y",15,0))</f>
        <v/>
      </c>
      <c r="FS949" s="0" t="str">
        <f aca="false">IF($A949="","",IF(ISNUMBER(MATCH(U949,{"queued","contacted","replied","call_booked","call_done","yes_in_principle","materials_sent"},0)),"Y","N"))</f>
        <v/>
      </c>
      <c r="FT949" s="0" t="str">
        <f aca="false">IF($A949="","",IF(OR(T949="Y",U949="do_not_contact",AS949&amp;""&lt;&gt;""),"Y","N"))</f>
        <v/>
      </c>
      <c r="FU949" s="0" t="str">
        <f aca="false">IF($A949="","",IF(AP949&amp;""&lt;&gt;"",AP949&amp;"",$A949))</f>
        <v/>
      </c>
      <c r="FV949" s="0" t="str">
        <f aca="false">IF($A949="","",IF(COUNTIFS($FU$2:$FU$1000,FU949,$FS$2:$FS$1000,"Y")+COUNTIFS($FU$2:$FU$1000,FU949,$FT$2:$FT$1000,"Y")&gt;0,"Y","N"))</f>
        <v/>
      </c>
      <c r="FW949" s="0" t="str">
        <f aca="false">IF($A949="","",IF(AND(U949="new",T949="N",FT949="N",AT949="Y",FV949="N"),"Y","N"))</f>
        <v/>
      </c>
      <c r="FX949" s="0" t="str">
        <f aca="false">IF($A949="","",IF(FW949&lt;&gt;"Y","N",IF(COUNTIFS($FU$2:$FU$1000,FU949,$FW$2:$FW$1000,"Y",$J$2:$J$1000,"&gt;"&amp;J949)+COUNTIFS($FU$2:$FU$1000,FU949,$FW$2:$FW$1000,"Y",$J$2:$J$1000,J949,$GD$2:$GD$1000,"&lt;"&amp;GD949)=0,"Y","N")))</f>
        <v/>
      </c>
      <c r="FY949" s="0" t="str">
        <f aca="false">IF($A949="","",IF(AND(FW949="Y",FX949="Y",Y949&amp;""&lt;&gt;""),IF(Y949&lt;=10,"Y","N"),"N"))</f>
        <v/>
      </c>
      <c r="FZ949" s="0" t="str">
        <f aca="false">IF(FY949="Y",Y949,"")</f>
        <v/>
      </c>
      <c r="GA949" s="0" t="str">
        <f aca="false">IF($A949="","",IF(AND(I949="walk-in",CN949="pass",U949="new",FT949="N",FV949="N",AQ949&lt;&gt;"Y"),"Y","N"))</f>
        <v/>
      </c>
      <c r="GB949" s="0" t="str">
        <f aca="false">IF(GA949&lt;&gt;"Y","",IF(COUNTIFS($GA$2:$GA$1000,"Y",$J$2:$J$1000,"&gt;"&amp;J949)+COUNTIFS($GA$2:$GA$1000,"Y",$J$2:$J$1000,J949,$GD$2:$GD$1000,"&lt;"&amp;GD949)+1&lt;=25,COUNTIFS($GA$2:$GA$1000,"Y",$J$2:$J$1000,"&gt;"&amp;J949)+COUNTIFS($GA$2:$GA$1000,"Y",$J$2:$J$1000,J949,$GD$2:$GD$1000,"&lt;"&amp;GD949)+1,""))</f>
        <v/>
      </c>
      <c r="GC949" s="0" t="str">
        <f aca="false">IF(AND(_xlfn.ISFORMULA(C949),_xlfn.ISFORMULA(J949)),"Y","N")</f>
        <v>Y</v>
      </c>
      <c r="GD949" s="0" t="n">
        <f aca="false">ROW()-1</f>
        <v>948</v>
      </c>
    </row>
    <row r="950" customFormat="false" ht="15" hidden="false" customHeight="false" outlineLevel="0" collapsed="false">
      <c r="C950" s="0" t="str">
        <f aca="false">IF($A950="","",IF(AW950="Y",BM950&amp;"",AY950&amp;""))</f>
        <v/>
      </c>
      <c r="D950" s="0" t="str">
        <f aca="false">IF($A950="","",IF(AW950="Y",BN950&amp;"",AZ950&amp;""))</f>
        <v/>
      </c>
      <c r="E950" s="0" t="str">
        <f aca="false">IF($A950="","",IF(AW950="Y",BO950&amp;"",BA950&amp;""))</f>
        <v/>
      </c>
      <c r="F950" s="0" t="str">
        <f aca="false">IF($A950="","",IF(AW950="Y",BP950&amp;"",BB950&amp;""))</f>
        <v/>
      </c>
      <c r="G950" s="0" t="str">
        <f aca="false">IF($A950="","",IF(AW950="Y",BQ950&amp;"",BC950&amp;""))</f>
        <v/>
      </c>
      <c r="H950" s="0" t="str">
        <f aca="false">IF($A950="","",IF(AW950="Y",BR950&amp;"",BD950&amp;""))</f>
        <v/>
      </c>
      <c r="I950" s="0" t="str">
        <f aca="false">IF($A950="","",IF(R950="Y","warm-intro",IF(H950="verified","email",IF(C950&lt;&gt;"","linkedin",CB950&amp;""))))</f>
        <v/>
      </c>
      <c r="J950" s="0" t="str">
        <f aca="false">IF($A950="","",IF(CN950="pass",ROUND(N(EM950)+N(EN950)+N(EO950)+N(EP950)+N(EQ950)+N(ER950),1),0))</f>
        <v/>
      </c>
      <c r="K950" s="0" t="str">
        <f aca="false">IF($A950="","",IF(CN950&lt;&gt;"pass",CA950&amp;"",CA950&amp;"; "&amp;IF(AW950="Y",BZ950&amp;"",BL950&amp;"")&amp;IF(R950="Y","; known to the founder (+15)","")&amp;"."))</f>
        <v/>
      </c>
      <c r="R950" s="5"/>
      <c r="U950" s="5"/>
      <c r="Y950" s="0" t="str">
        <f aca="false">IF(FX950&lt;&gt;"Y","",COUNTIFS($FX$2:$FX$1000,"Y",$J$2:$J$1000,"&gt;"&amp;J950)+COUNTIFS($FX$2:$FX$1000,"Y",$J$2:$J$1000,J950,$GD$2:$GD$1000,"&lt;"&amp;GD950)+1)</f>
        <v/>
      </c>
      <c r="AB950" s="0" t="str">
        <f aca="false">IF($A950="","",IF(AW950="Y",BY950&amp;"",BK950&amp;""))</f>
        <v/>
      </c>
      <c r="AC950" s="0" t="str">
        <f aca="false">IF($A950="","",IF(AW950="Y",BS950&amp;"",BE950&amp;""))</f>
        <v/>
      </c>
      <c r="AD950" s="0" t="str">
        <f aca="false">IF($A950="","",IF(AW950="Y",BT950&amp;"",BF950&amp;""))</f>
        <v/>
      </c>
      <c r="AE950" s="0" t="str">
        <f aca="false">IF($A950="","",IF(AW950="Y",BU950&amp;"",BG950&amp;""))</f>
        <v/>
      </c>
      <c r="AF950" s="0" t="str">
        <f aca="false">IF($A950="","",IF(AW950="Y",BV950&amp;"",BH950&amp;""))</f>
        <v/>
      </c>
      <c r="AG950" s="0" t="str">
        <f aca="false">IF($A950="","",IF(AW950="Y",BW950&amp;"",BI950&amp;""))</f>
        <v/>
      </c>
      <c r="AH950" s="0" t="str">
        <f aca="false">IF($A950="","",IF(AW950="Y",BX950&amp;"",BJ950&amp;""))</f>
        <v/>
      </c>
      <c r="AQ950" s="5"/>
      <c r="AT950" s="0" t="str">
        <f aca="false">IF($A950="","",IF(AND(CN950="pass",AQ950&lt;&gt;"Y",C950&lt;&gt;"",OR(AX950&lt;&gt;"Y",AV950="Y")),"Y","N"))</f>
        <v/>
      </c>
      <c r="AU950" s="0" t="str">
        <f aca="false">IF($A950="","",_xlfn.TEXTJOIN("; ",TRUE(),IF(CN950&lt;&gt;"pass","gated out",""),IF(AQ950="Y","on hold: "&amp;AR950,""),IF(C950="","no contact named on an opened page",""),IF(AND(AX950="Y",AV950&lt;&gt;"Y"),"Tuesday estimate band "&amp;L950&amp;": founder's call","")))</f>
        <v/>
      </c>
      <c r="BC950" s="0" t="str">
        <f aca="false">IF($A950="","",IFERROR(INDEX(Enrichment!$A$2:$GZ$2000,MATCH($A950,INDEX(Enrichment!$A$2:$GZ$2000,0,MATCH("row_id",Enrichment!$A$1:$GZ$1,0)),0),MATCH("work_email",Enrichment!$A$1:$GZ$1,0))&amp;"",""))</f>
        <v/>
      </c>
      <c r="BD950" s="0" t="str">
        <f aca="false">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Q950" s="0" t="str">
        <f aca="false">IF($A950="","",IFERROR(INDEX(Enrichment!$A$2:$GZ$2000,MATCH($A950,INDEX(Enrichment!$A$2:$GZ$2000,0,MATCH("row_id",Enrichment!$A$1:$GZ$1,0)),0),MATCH("backup_work_email",Enrichment!$A$1:$GZ$1,0))&amp;"",""))</f>
        <v/>
      </c>
      <c r="BR950" s="0" t="str">
        <f aca="false">IF($A950="","",IF(BQ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EQ950" s="0" t="str">
        <f aca="false">IF($A950="","",IF(AH950="exact",10,IF(AH950="adjacent",5,0)))</f>
        <v/>
      </c>
      <c r="ER950" s="0" t="str">
        <f aca="false">IF($A950="","",IF(R950="Y",15,0))</f>
        <v/>
      </c>
      <c r="FS950" s="0" t="str">
        <f aca="false">IF($A950="","",IF(ISNUMBER(MATCH(U950,{"queued","contacted","replied","call_booked","call_done","yes_in_principle","materials_sent"},0)),"Y","N"))</f>
        <v/>
      </c>
      <c r="FT950" s="0" t="str">
        <f aca="false">IF($A950="","",IF(OR(T950="Y",U950="do_not_contact",AS950&amp;""&lt;&gt;""),"Y","N"))</f>
        <v/>
      </c>
      <c r="FU950" s="0" t="str">
        <f aca="false">IF($A950="","",IF(AP950&amp;""&lt;&gt;"",AP950&amp;"",$A950))</f>
        <v/>
      </c>
      <c r="FV950" s="0" t="str">
        <f aca="false">IF($A950="","",IF(COUNTIFS($FU$2:$FU$1000,FU950,$FS$2:$FS$1000,"Y")+COUNTIFS($FU$2:$FU$1000,FU950,$FT$2:$FT$1000,"Y")&gt;0,"Y","N"))</f>
        <v/>
      </c>
      <c r="FW950" s="0" t="str">
        <f aca="false">IF($A950="","",IF(AND(U950="new",T950="N",FT950="N",AT950="Y",FV950="N"),"Y","N"))</f>
        <v/>
      </c>
      <c r="FX950" s="0" t="str">
        <f aca="false">IF($A950="","",IF(FW950&lt;&gt;"Y","N",IF(COUNTIFS($FU$2:$FU$1000,FU950,$FW$2:$FW$1000,"Y",$J$2:$J$1000,"&gt;"&amp;J950)+COUNTIFS($FU$2:$FU$1000,FU950,$FW$2:$FW$1000,"Y",$J$2:$J$1000,J950,$GD$2:$GD$1000,"&lt;"&amp;GD950)=0,"Y","N")))</f>
        <v/>
      </c>
      <c r="FY950" s="0" t="str">
        <f aca="false">IF($A950="","",IF(AND(FW950="Y",FX950="Y",Y950&amp;""&lt;&gt;""),IF(Y950&lt;=10,"Y","N"),"N"))</f>
        <v/>
      </c>
      <c r="FZ950" s="0" t="str">
        <f aca="false">IF(FY950="Y",Y950,"")</f>
        <v/>
      </c>
      <c r="GA950" s="0" t="str">
        <f aca="false">IF($A950="","",IF(AND(I950="walk-in",CN950="pass",U950="new",FT950="N",FV950="N",AQ950&lt;&gt;"Y"),"Y","N"))</f>
        <v/>
      </c>
      <c r="GB950" s="0" t="str">
        <f aca="false">IF(GA950&lt;&gt;"Y","",IF(COUNTIFS($GA$2:$GA$1000,"Y",$J$2:$J$1000,"&gt;"&amp;J950)+COUNTIFS($GA$2:$GA$1000,"Y",$J$2:$J$1000,J950,$GD$2:$GD$1000,"&lt;"&amp;GD950)+1&lt;=25,COUNTIFS($GA$2:$GA$1000,"Y",$J$2:$J$1000,"&gt;"&amp;J950)+COUNTIFS($GA$2:$GA$1000,"Y",$J$2:$J$1000,J950,$GD$2:$GD$1000,"&lt;"&amp;GD950)+1,""))</f>
        <v/>
      </c>
      <c r="GC950" s="0" t="str">
        <f aca="false">IF(AND(_xlfn.ISFORMULA(C950),_xlfn.ISFORMULA(J950)),"Y","N")</f>
        <v>Y</v>
      </c>
      <c r="GD950" s="0" t="n">
        <f aca="false">ROW()-1</f>
        <v>949</v>
      </c>
    </row>
    <row r="951" customFormat="false" ht="15" hidden="false" customHeight="false" outlineLevel="0" collapsed="false">
      <c r="C951" s="0" t="str">
        <f aca="false">IF($A951="","",IF(AW951="Y",BM951&amp;"",AY951&amp;""))</f>
        <v/>
      </c>
      <c r="D951" s="0" t="str">
        <f aca="false">IF($A951="","",IF(AW951="Y",BN951&amp;"",AZ951&amp;""))</f>
        <v/>
      </c>
      <c r="E951" s="0" t="str">
        <f aca="false">IF($A951="","",IF(AW951="Y",BO951&amp;"",BA951&amp;""))</f>
        <v/>
      </c>
      <c r="F951" s="0" t="str">
        <f aca="false">IF($A951="","",IF(AW951="Y",BP951&amp;"",BB951&amp;""))</f>
        <v/>
      </c>
      <c r="G951" s="0" t="str">
        <f aca="false">IF($A951="","",IF(AW951="Y",BQ951&amp;"",BC951&amp;""))</f>
        <v/>
      </c>
      <c r="H951" s="0" t="str">
        <f aca="false">IF($A951="","",IF(AW951="Y",BR951&amp;"",BD951&amp;""))</f>
        <v/>
      </c>
      <c r="I951" s="0" t="str">
        <f aca="false">IF($A951="","",IF(R951="Y","warm-intro",IF(H951="verified","email",IF(C951&lt;&gt;"","linkedin",CB951&amp;""))))</f>
        <v/>
      </c>
      <c r="J951" s="0" t="str">
        <f aca="false">IF($A951="","",IF(CN951="pass",ROUND(N(EM951)+N(EN951)+N(EO951)+N(EP951)+N(EQ951)+N(ER951),1),0))</f>
        <v/>
      </c>
      <c r="K951" s="0" t="str">
        <f aca="false">IF($A951="","",IF(CN951&lt;&gt;"pass",CA951&amp;"",CA951&amp;"; "&amp;IF(AW951="Y",BZ951&amp;"",BL951&amp;"")&amp;IF(R951="Y","; known to the founder (+15)","")&amp;"."))</f>
        <v/>
      </c>
      <c r="R951" s="5"/>
      <c r="U951" s="5"/>
      <c r="Y951" s="0" t="str">
        <f aca="false">IF(FX951&lt;&gt;"Y","",COUNTIFS($FX$2:$FX$1000,"Y",$J$2:$J$1000,"&gt;"&amp;J951)+COUNTIFS($FX$2:$FX$1000,"Y",$J$2:$J$1000,J951,$GD$2:$GD$1000,"&lt;"&amp;GD951)+1)</f>
        <v/>
      </c>
      <c r="AB951" s="0" t="str">
        <f aca="false">IF($A951="","",IF(AW951="Y",BY951&amp;"",BK951&amp;""))</f>
        <v/>
      </c>
      <c r="AC951" s="0" t="str">
        <f aca="false">IF($A951="","",IF(AW951="Y",BS951&amp;"",BE951&amp;""))</f>
        <v/>
      </c>
      <c r="AD951" s="0" t="str">
        <f aca="false">IF($A951="","",IF(AW951="Y",BT951&amp;"",BF951&amp;""))</f>
        <v/>
      </c>
      <c r="AE951" s="0" t="str">
        <f aca="false">IF($A951="","",IF(AW951="Y",BU951&amp;"",BG951&amp;""))</f>
        <v/>
      </c>
      <c r="AF951" s="0" t="str">
        <f aca="false">IF($A951="","",IF(AW951="Y",BV951&amp;"",BH951&amp;""))</f>
        <v/>
      </c>
      <c r="AG951" s="0" t="str">
        <f aca="false">IF($A951="","",IF(AW951="Y",BW951&amp;"",BI951&amp;""))</f>
        <v/>
      </c>
      <c r="AH951" s="0" t="str">
        <f aca="false">IF($A951="","",IF(AW951="Y",BX951&amp;"",BJ951&amp;""))</f>
        <v/>
      </c>
      <c r="AQ951" s="5"/>
      <c r="AT951" s="0" t="str">
        <f aca="false">IF($A951="","",IF(AND(CN951="pass",AQ951&lt;&gt;"Y",C951&lt;&gt;"",OR(AX951&lt;&gt;"Y",AV951="Y")),"Y","N"))</f>
        <v/>
      </c>
      <c r="AU951" s="0" t="str">
        <f aca="false">IF($A951="","",_xlfn.TEXTJOIN("; ",TRUE(),IF(CN951&lt;&gt;"pass","gated out",""),IF(AQ951="Y","on hold: "&amp;AR951,""),IF(C951="","no contact named on an opened page",""),IF(AND(AX951="Y",AV951&lt;&gt;"Y"),"Tuesday estimate band "&amp;L951&amp;": founder's call","")))</f>
        <v/>
      </c>
      <c r="BC951" s="0" t="str">
        <f aca="false">IF($A951="","",IFERROR(INDEX(Enrichment!$A$2:$GZ$2000,MATCH($A951,INDEX(Enrichment!$A$2:$GZ$2000,0,MATCH("row_id",Enrichment!$A$1:$GZ$1,0)),0),MATCH("work_email",Enrichment!$A$1:$GZ$1,0))&amp;"",""))</f>
        <v/>
      </c>
      <c r="BD951" s="0" t="str">
        <f aca="false">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Q951" s="0" t="str">
        <f aca="false">IF($A951="","",IFERROR(INDEX(Enrichment!$A$2:$GZ$2000,MATCH($A951,INDEX(Enrichment!$A$2:$GZ$2000,0,MATCH("row_id",Enrichment!$A$1:$GZ$1,0)),0),MATCH("backup_work_email",Enrichment!$A$1:$GZ$1,0))&amp;"",""))</f>
        <v/>
      </c>
      <c r="BR951" s="0" t="str">
        <f aca="false">IF($A951="","",IF(BQ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EQ951" s="0" t="str">
        <f aca="false">IF($A951="","",IF(AH951="exact",10,IF(AH951="adjacent",5,0)))</f>
        <v/>
      </c>
      <c r="ER951" s="0" t="str">
        <f aca="false">IF($A951="","",IF(R951="Y",15,0))</f>
        <v/>
      </c>
      <c r="FS951" s="0" t="str">
        <f aca="false">IF($A951="","",IF(ISNUMBER(MATCH(U951,{"queued","contacted","replied","call_booked","call_done","yes_in_principle","materials_sent"},0)),"Y","N"))</f>
        <v/>
      </c>
      <c r="FT951" s="0" t="str">
        <f aca="false">IF($A951="","",IF(OR(T951="Y",U951="do_not_contact",AS951&amp;""&lt;&gt;""),"Y","N"))</f>
        <v/>
      </c>
      <c r="FU951" s="0" t="str">
        <f aca="false">IF($A951="","",IF(AP951&amp;""&lt;&gt;"",AP951&amp;"",$A951))</f>
        <v/>
      </c>
      <c r="FV951" s="0" t="str">
        <f aca="false">IF($A951="","",IF(COUNTIFS($FU$2:$FU$1000,FU951,$FS$2:$FS$1000,"Y")+COUNTIFS($FU$2:$FU$1000,FU951,$FT$2:$FT$1000,"Y")&gt;0,"Y","N"))</f>
        <v/>
      </c>
      <c r="FW951" s="0" t="str">
        <f aca="false">IF($A951="","",IF(AND(U951="new",T951="N",FT951="N",AT951="Y",FV951="N"),"Y","N"))</f>
        <v/>
      </c>
      <c r="FX951" s="0" t="str">
        <f aca="false">IF($A951="","",IF(FW951&lt;&gt;"Y","N",IF(COUNTIFS($FU$2:$FU$1000,FU951,$FW$2:$FW$1000,"Y",$J$2:$J$1000,"&gt;"&amp;J951)+COUNTIFS($FU$2:$FU$1000,FU951,$FW$2:$FW$1000,"Y",$J$2:$J$1000,J951,$GD$2:$GD$1000,"&lt;"&amp;GD951)=0,"Y","N")))</f>
        <v/>
      </c>
      <c r="FY951" s="0" t="str">
        <f aca="false">IF($A951="","",IF(AND(FW951="Y",FX951="Y",Y951&amp;""&lt;&gt;""),IF(Y951&lt;=10,"Y","N"),"N"))</f>
        <v/>
      </c>
      <c r="FZ951" s="0" t="str">
        <f aca="false">IF(FY951="Y",Y951,"")</f>
        <v/>
      </c>
      <c r="GA951" s="0" t="str">
        <f aca="false">IF($A951="","",IF(AND(I951="walk-in",CN951="pass",U951="new",FT951="N",FV951="N",AQ951&lt;&gt;"Y"),"Y","N"))</f>
        <v/>
      </c>
      <c r="GB951" s="0" t="str">
        <f aca="false">IF(GA951&lt;&gt;"Y","",IF(COUNTIFS($GA$2:$GA$1000,"Y",$J$2:$J$1000,"&gt;"&amp;J951)+COUNTIFS($GA$2:$GA$1000,"Y",$J$2:$J$1000,J951,$GD$2:$GD$1000,"&lt;"&amp;GD951)+1&lt;=25,COUNTIFS($GA$2:$GA$1000,"Y",$J$2:$J$1000,"&gt;"&amp;J951)+COUNTIFS($GA$2:$GA$1000,"Y",$J$2:$J$1000,J951,$GD$2:$GD$1000,"&lt;"&amp;GD951)+1,""))</f>
        <v/>
      </c>
      <c r="GC951" s="0" t="str">
        <f aca="false">IF(AND(_xlfn.ISFORMULA(C951),_xlfn.ISFORMULA(J951)),"Y","N")</f>
        <v>Y</v>
      </c>
      <c r="GD951" s="0" t="n">
        <f aca="false">ROW()-1</f>
        <v>950</v>
      </c>
    </row>
    <row r="952" customFormat="false" ht="15" hidden="false" customHeight="false" outlineLevel="0" collapsed="false">
      <c r="C952" s="0" t="str">
        <f aca="false">IF($A952="","",IF(AW952="Y",BM952&amp;"",AY952&amp;""))</f>
        <v/>
      </c>
      <c r="D952" s="0" t="str">
        <f aca="false">IF($A952="","",IF(AW952="Y",BN952&amp;"",AZ952&amp;""))</f>
        <v/>
      </c>
      <c r="E952" s="0" t="str">
        <f aca="false">IF($A952="","",IF(AW952="Y",BO952&amp;"",BA952&amp;""))</f>
        <v/>
      </c>
      <c r="F952" s="0" t="str">
        <f aca="false">IF($A952="","",IF(AW952="Y",BP952&amp;"",BB952&amp;""))</f>
        <v/>
      </c>
      <c r="G952" s="0" t="str">
        <f aca="false">IF($A952="","",IF(AW952="Y",BQ952&amp;"",BC952&amp;""))</f>
        <v/>
      </c>
      <c r="H952" s="0" t="str">
        <f aca="false">IF($A952="","",IF(AW952="Y",BR952&amp;"",BD952&amp;""))</f>
        <v/>
      </c>
      <c r="I952" s="0" t="str">
        <f aca="false">IF($A952="","",IF(R952="Y","warm-intro",IF(H952="verified","email",IF(C952&lt;&gt;"","linkedin",CB952&amp;""))))</f>
        <v/>
      </c>
      <c r="J952" s="0" t="str">
        <f aca="false">IF($A952="","",IF(CN952="pass",ROUND(N(EM952)+N(EN952)+N(EO952)+N(EP952)+N(EQ952)+N(ER952),1),0))</f>
        <v/>
      </c>
      <c r="K952" s="0" t="str">
        <f aca="false">IF($A952="","",IF(CN952&lt;&gt;"pass",CA952&amp;"",CA952&amp;"; "&amp;IF(AW952="Y",BZ952&amp;"",BL952&amp;"")&amp;IF(R952="Y","; known to the founder (+15)","")&amp;"."))</f>
        <v/>
      </c>
      <c r="R952" s="5"/>
      <c r="U952" s="5"/>
      <c r="Y952" s="0" t="str">
        <f aca="false">IF(FX952&lt;&gt;"Y","",COUNTIFS($FX$2:$FX$1000,"Y",$J$2:$J$1000,"&gt;"&amp;J952)+COUNTIFS($FX$2:$FX$1000,"Y",$J$2:$J$1000,J952,$GD$2:$GD$1000,"&lt;"&amp;GD952)+1)</f>
        <v/>
      </c>
      <c r="AB952" s="0" t="str">
        <f aca="false">IF($A952="","",IF(AW952="Y",BY952&amp;"",BK952&amp;""))</f>
        <v/>
      </c>
      <c r="AC952" s="0" t="str">
        <f aca="false">IF($A952="","",IF(AW952="Y",BS952&amp;"",BE952&amp;""))</f>
        <v/>
      </c>
      <c r="AD952" s="0" t="str">
        <f aca="false">IF($A952="","",IF(AW952="Y",BT952&amp;"",BF952&amp;""))</f>
        <v/>
      </c>
      <c r="AE952" s="0" t="str">
        <f aca="false">IF($A952="","",IF(AW952="Y",BU952&amp;"",BG952&amp;""))</f>
        <v/>
      </c>
      <c r="AF952" s="0" t="str">
        <f aca="false">IF($A952="","",IF(AW952="Y",BV952&amp;"",BH952&amp;""))</f>
        <v/>
      </c>
      <c r="AG952" s="0" t="str">
        <f aca="false">IF($A952="","",IF(AW952="Y",BW952&amp;"",BI952&amp;""))</f>
        <v/>
      </c>
      <c r="AH952" s="0" t="str">
        <f aca="false">IF($A952="","",IF(AW952="Y",BX952&amp;"",BJ952&amp;""))</f>
        <v/>
      </c>
      <c r="AQ952" s="5"/>
      <c r="AT952" s="0" t="str">
        <f aca="false">IF($A952="","",IF(AND(CN952="pass",AQ952&lt;&gt;"Y",C952&lt;&gt;"",OR(AX952&lt;&gt;"Y",AV952="Y")),"Y","N"))</f>
        <v/>
      </c>
      <c r="AU952" s="0" t="str">
        <f aca="false">IF($A952="","",_xlfn.TEXTJOIN("; ",TRUE(),IF(CN952&lt;&gt;"pass","gated out",""),IF(AQ952="Y","on hold: "&amp;AR952,""),IF(C952="","no contact named on an opened page",""),IF(AND(AX952="Y",AV952&lt;&gt;"Y"),"Tuesday estimate band "&amp;L952&amp;": founder's call","")))</f>
        <v/>
      </c>
      <c r="BC952" s="0" t="str">
        <f aca="false">IF($A952="","",IFERROR(INDEX(Enrichment!$A$2:$GZ$2000,MATCH($A952,INDEX(Enrichment!$A$2:$GZ$2000,0,MATCH("row_id",Enrichment!$A$1:$GZ$1,0)),0),MATCH("work_email",Enrichment!$A$1:$GZ$1,0))&amp;"",""))</f>
        <v/>
      </c>
      <c r="BD952" s="0" t="str">
        <f aca="false">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Q952" s="0" t="str">
        <f aca="false">IF($A952="","",IFERROR(INDEX(Enrichment!$A$2:$GZ$2000,MATCH($A952,INDEX(Enrichment!$A$2:$GZ$2000,0,MATCH("row_id",Enrichment!$A$1:$GZ$1,0)),0),MATCH("backup_work_email",Enrichment!$A$1:$GZ$1,0))&amp;"",""))</f>
        <v/>
      </c>
      <c r="BR952" s="0" t="str">
        <f aca="false">IF($A952="","",IF(BQ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EQ952" s="0" t="str">
        <f aca="false">IF($A952="","",IF(AH952="exact",10,IF(AH952="adjacent",5,0)))</f>
        <v/>
      </c>
      <c r="ER952" s="0" t="str">
        <f aca="false">IF($A952="","",IF(R952="Y",15,0))</f>
        <v/>
      </c>
      <c r="FS952" s="0" t="str">
        <f aca="false">IF($A952="","",IF(ISNUMBER(MATCH(U952,{"queued","contacted","replied","call_booked","call_done","yes_in_principle","materials_sent"},0)),"Y","N"))</f>
        <v/>
      </c>
      <c r="FT952" s="0" t="str">
        <f aca="false">IF($A952="","",IF(OR(T952="Y",U952="do_not_contact",AS952&amp;""&lt;&gt;""),"Y","N"))</f>
        <v/>
      </c>
      <c r="FU952" s="0" t="str">
        <f aca="false">IF($A952="","",IF(AP952&amp;""&lt;&gt;"",AP952&amp;"",$A952))</f>
        <v/>
      </c>
      <c r="FV952" s="0" t="str">
        <f aca="false">IF($A952="","",IF(COUNTIFS($FU$2:$FU$1000,FU952,$FS$2:$FS$1000,"Y")+COUNTIFS($FU$2:$FU$1000,FU952,$FT$2:$FT$1000,"Y")&gt;0,"Y","N"))</f>
        <v/>
      </c>
      <c r="FW952" s="0" t="str">
        <f aca="false">IF($A952="","",IF(AND(U952="new",T952="N",FT952="N",AT952="Y",FV952="N"),"Y","N"))</f>
        <v/>
      </c>
      <c r="FX952" s="0" t="str">
        <f aca="false">IF($A952="","",IF(FW952&lt;&gt;"Y","N",IF(COUNTIFS($FU$2:$FU$1000,FU952,$FW$2:$FW$1000,"Y",$J$2:$J$1000,"&gt;"&amp;J952)+COUNTIFS($FU$2:$FU$1000,FU952,$FW$2:$FW$1000,"Y",$J$2:$J$1000,J952,$GD$2:$GD$1000,"&lt;"&amp;GD952)=0,"Y","N")))</f>
        <v/>
      </c>
      <c r="FY952" s="0" t="str">
        <f aca="false">IF($A952="","",IF(AND(FW952="Y",FX952="Y",Y952&amp;""&lt;&gt;""),IF(Y952&lt;=10,"Y","N"),"N"))</f>
        <v/>
      </c>
      <c r="FZ952" s="0" t="str">
        <f aca="false">IF(FY952="Y",Y952,"")</f>
        <v/>
      </c>
      <c r="GA952" s="0" t="str">
        <f aca="false">IF($A952="","",IF(AND(I952="walk-in",CN952="pass",U952="new",FT952="N",FV952="N",AQ952&lt;&gt;"Y"),"Y","N"))</f>
        <v/>
      </c>
      <c r="GB952" s="0" t="str">
        <f aca="false">IF(GA952&lt;&gt;"Y","",IF(COUNTIFS($GA$2:$GA$1000,"Y",$J$2:$J$1000,"&gt;"&amp;J952)+COUNTIFS($GA$2:$GA$1000,"Y",$J$2:$J$1000,J952,$GD$2:$GD$1000,"&lt;"&amp;GD952)+1&lt;=25,COUNTIFS($GA$2:$GA$1000,"Y",$J$2:$J$1000,"&gt;"&amp;J952)+COUNTIFS($GA$2:$GA$1000,"Y",$J$2:$J$1000,J952,$GD$2:$GD$1000,"&lt;"&amp;GD952)+1,""))</f>
        <v/>
      </c>
      <c r="GC952" s="0" t="str">
        <f aca="false">IF(AND(_xlfn.ISFORMULA(C952),_xlfn.ISFORMULA(J952)),"Y","N")</f>
        <v>Y</v>
      </c>
      <c r="GD952" s="0" t="n">
        <f aca="false">ROW()-1</f>
        <v>951</v>
      </c>
    </row>
    <row r="953" customFormat="false" ht="15" hidden="false" customHeight="false" outlineLevel="0" collapsed="false">
      <c r="C953" s="0" t="str">
        <f aca="false">IF($A953="","",IF(AW953="Y",BM953&amp;"",AY953&amp;""))</f>
        <v/>
      </c>
      <c r="D953" s="0" t="str">
        <f aca="false">IF($A953="","",IF(AW953="Y",BN953&amp;"",AZ953&amp;""))</f>
        <v/>
      </c>
      <c r="E953" s="0" t="str">
        <f aca="false">IF($A953="","",IF(AW953="Y",BO953&amp;"",BA953&amp;""))</f>
        <v/>
      </c>
      <c r="F953" s="0" t="str">
        <f aca="false">IF($A953="","",IF(AW953="Y",BP953&amp;"",BB953&amp;""))</f>
        <v/>
      </c>
      <c r="G953" s="0" t="str">
        <f aca="false">IF($A953="","",IF(AW953="Y",BQ953&amp;"",BC953&amp;""))</f>
        <v/>
      </c>
      <c r="H953" s="0" t="str">
        <f aca="false">IF($A953="","",IF(AW953="Y",BR953&amp;"",BD953&amp;""))</f>
        <v/>
      </c>
      <c r="I953" s="0" t="str">
        <f aca="false">IF($A953="","",IF(R953="Y","warm-intro",IF(H953="verified","email",IF(C953&lt;&gt;"","linkedin",CB953&amp;""))))</f>
        <v/>
      </c>
      <c r="J953" s="0" t="str">
        <f aca="false">IF($A953="","",IF(CN953="pass",ROUND(N(EM953)+N(EN953)+N(EO953)+N(EP953)+N(EQ953)+N(ER953),1),0))</f>
        <v/>
      </c>
      <c r="K953" s="0" t="str">
        <f aca="false">IF($A953="","",IF(CN953&lt;&gt;"pass",CA953&amp;"",CA953&amp;"; "&amp;IF(AW953="Y",BZ953&amp;"",BL953&amp;"")&amp;IF(R953="Y","; known to the founder (+15)","")&amp;"."))</f>
        <v/>
      </c>
      <c r="R953" s="5"/>
      <c r="U953" s="5"/>
      <c r="Y953" s="0" t="str">
        <f aca="false">IF(FX953&lt;&gt;"Y","",COUNTIFS($FX$2:$FX$1000,"Y",$J$2:$J$1000,"&gt;"&amp;J953)+COUNTIFS($FX$2:$FX$1000,"Y",$J$2:$J$1000,J953,$GD$2:$GD$1000,"&lt;"&amp;GD953)+1)</f>
        <v/>
      </c>
      <c r="AB953" s="0" t="str">
        <f aca="false">IF($A953="","",IF(AW953="Y",BY953&amp;"",BK953&amp;""))</f>
        <v/>
      </c>
      <c r="AC953" s="0" t="str">
        <f aca="false">IF($A953="","",IF(AW953="Y",BS953&amp;"",BE953&amp;""))</f>
        <v/>
      </c>
      <c r="AD953" s="0" t="str">
        <f aca="false">IF($A953="","",IF(AW953="Y",BT953&amp;"",BF953&amp;""))</f>
        <v/>
      </c>
      <c r="AE953" s="0" t="str">
        <f aca="false">IF($A953="","",IF(AW953="Y",BU953&amp;"",BG953&amp;""))</f>
        <v/>
      </c>
      <c r="AF953" s="0" t="str">
        <f aca="false">IF($A953="","",IF(AW953="Y",BV953&amp;"",BH953&amp;""))</f>
        <v/>
      </c>
      <c r="AG953" s="0" t="str">
        <f aca="false">IF($A953="","",IF(AW953="Y",BW953&amp;"",BI953&amp;""))</f>
        <v/>
      </c>
      <c r="AH953" s="0" t="str">
        <f aca="false">IF($A953="","",IF(AW953="Y",BX953&amp;"",BJ953&amp;""))</f>
        <v/>
      </c>
      <c r="AQ953" s="5"/>
      <c r="AT953" s="0" t="str">
        <f aca="false">IF($A953="","",IF(AND(CN953="pass",AQ953&lt;&gt;"Y",C953&lt;&gt;"",OR(AX953&lt;&gt;"Y",AV953="Y")),"Y","N"))</f>
        <v/>
      </c>
      <c r="AU953" s="0" t="str">
        <f aca="false">IF($A953="","",_xlfn.TEXTJOIN("; ",TRUE(),IF(CN953&lt;&gt;"pass","gated out",""),IF(AQ953="Y","on hold: "&amp;AR953,""),IF(C953="","no contact named on an opened page",""),IF(AND(AX953="Y",AV953&lt;&gt;"Y"),"Tuesday estimate band "&amp;L953&amp;": founder's call","")))</f>
        <v/>
      </c>
      <c r="BC953" s="0" t="str">
        <f aca="false">IF($A953="","",IFERROR(INDEX(Enrichment!$A$2:$GZ$2000,MATCH($A953,INDEX(Enrichment!$A$2:$GZ$2000,0,MATCH("row_id",Enrichment!$A$1:$GZ$1,0)),0),MATCH("work_email",Enrichment!$A$1:$GZ$1,0))&amp;"",""))</f>
        <v/>
      </c>
      <c r="BD953" s="0" t="str">
        <f aca="false">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Q953" s="0" t="str">
        <f aca="false">IF($A953="","",IFERROR(INDEX(Enrichment!$A$2:$GZ$2000,MATCH($A953,INDEX(Enrichment!$A$2:$GZ$2000,0,MATCH("row_id",Enrichment!$A$1:$GZ$1,0)),0),MATCH("backup_work_email",Enrichment!$A$1:$GZ$1,0))&amp;"",""))</f>
        <v/>
      </c>
      <c r="BR953" s="0" t="str">
        <f aca="false">IF($A953="","",IF(BQ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EQ953" s="0" t="str">
        <f aca="false">IF($A953="","",IF(AH953="exact",10,IF(AH953="adjacent",5,0)))</f>
        <v/>
      </c>
      <c r="ER953" s="0" t="str">
        <f aca="false">IF($A953="","",IF(R953="Y",15,0))</f>
        <v/>
      </c>
      <c r="FS953" s="0" t="str">
        <f aca="false">IF($A953="","",IF(ISNUMBER(MATCH(U953,{"queued","contacted","replied","call_booked","call_done","yes_in_principle","materials_sent"},0)),"Y","N"))</f>
        <v/>
      </c>
      <c r="FT953" s="0" t="str">
        <f aca="false">IF($A953="","",IF(OR(T953="Y",U953="do_not_contact",AS953&amp;""&lt;&gt;""),"Y","N"))</f>
        <v/>
      </c>
      <c r="FU953" s="0" t="str">
        <f aca="false">IF($A953="","",IF(AP953&amp;""&lt;&gt;"",AP953&amp;"",$A953))</f>
        <v/>
      </c>
      <c r="FV953" s="0" t="str">
        <f aca="false">IF($A953="","",IF(COUNTIFS($FU$2:$FU$1000,FU953,$FS$2:$FS$1000,"Y")+COUNTIFS($FU$2:$FU$1000,FU953,$FT$2:$FT$1000,"Y")&gt;0,"Y","N"))</f>
        <v/>
      </c>
      <c r="FW953" s="0" t="str">
        <f aca="false">IF($A953="","",IF(AND(U953="new",T953="N",FT953="N",AT953="Y",FV953="N"),"Y","N"))</f>
        <v/>
      </c>
      <c r="FX953" s="0" t="str">
        <f aca="false">IF($A953="","",IF(FW953&lt;&gt;"Y","N",IF(COUNTIFS($FU$2:$FU$1000,FU953,$FW$2:$FW$1000,"Y",$J$2:$J$1000,"&gt;"&amp;J953)+COUNTIFS($FU$2:$FU$1000,FU953,$FW$2:$FW$1000,"Y",$J$2:$J$1000,J953,$GD$2:$GD$1000,"&lt;"&amp;GD953)=0,"Y","N")))</f>
        <v/>
      </c>
      <c r="FY953" s="0" t="str">
        <f aca="false">IF($A953="","",IF(AND(FW953="Y",FX953="Y",Y953&amp;""&lt;&gt;""),IF(Y953&lt;=10,"Y","N"),"N"))</f>
        <v/>
      </c>
      <c r="FZ953" s="0" t="str">
        <f aca="false">IF(FY953="Y",Y953,"")</f>
        <v/>
      </c>
      <c r="GA953" s="0" t="str">
        <f aca="false">IF($A953="","",IF(AND(I953="walk-in",CN953="pass",U953="new",FT953="N",FV953="N",AQ953&lt;&gt;"Y"),"Y","N"))</f>
        <v/>
      </c>
      <c r="GB953" s="0" t="str">
        <f aca="false">IF(GA953&lt;&gt;"Y","",IF(COUNTIFS($GA$2:$GA$1000,"Y",$J$2:$J$1000,"&gt;"&amp;J953)+COUNTIFS($GA$2:$GA$1000,"Y",$J$2:$J$1000,J953,$GD$2:$GD$1000,"&lt;"&amp;GD953)+1&lt;=25,COUNTIFS($GA$2:$GA$1000,"Y",$J$2:$J$1000,"&gt;"&amp;J953)+COUNTIFS($GA$2:$GA$1000,"Y",$J$2:$J$1000,J953,$GD$2:$GD$1000,"&lt;"&amp;GD953)+1,""))</f>
        <v/>
      </c>
      <c r="GC953" s="0" t="str">
        <f aca="false">IF(AND(_xlfn.ISFORMULA(C953),_xlfn.ISFORMULA(J953)),"Y","N")</f>
        <v>Y</v>
      </c>
      <c r="GD953" s="0" t="n">
        <f aca="false">ROW()-1</f>
        <v>952</v>
      </c>
    </row>
    <row r="954" customFormat="false" ht="15" hidden="false" customHeight="false" outlineLevel="0" collapsed="false">
      <c r="C954" s="0" t="str">
        <f aca="false">IF($A954="","",IF(AW954="Y",BM954&amp;"",AY954&amp;""))</f>
        <v/>
      </c>
      <c r="D954" s="0" t="str">
        <f aca="false">IF($A954="","",IF(AW954="Y",BN954&amp;"",AZ954&amp;""))</f>
        <v/>
      </c>
      <c r="E954" s="0" t="str">
        <f aca="false">IF($A954="","",IF(AW954="Y",BO954&amp;"",BA954&amp;""))</f>
        <v/>
      </c>
      <c r="F954" s="0" t="str">
        <f aca="false">IF($A954="","",IF(AW954="Y",BP954&amp;"",BB954&amp;""))</f>
        <v/>
      </c>
      <c r="G954" s="0" t="str">
        <f aca="false">IF($A954="","",IF(AW954="Y",BQ954&amp;"",BC954&amp;""))</f>
        <v/>
      </c>
      <c r="H954" s="0" t="str">
        <f aca="false">IF($A954="","",IF(AW954="Y",BR954&amp;"",BD954&amp;""))</f>
        <v/>
      </c>
      <c r="I954" s="0" t="str">
        <f aca="false">IF($A954="","",IF(R954="Y","warm-intro",IF(H954="verified","email",IF(C954&lt;&gt;"","linkedin",CB954&amp;""))))</f>
        <v/>
      </c>
      <c r="J954" s="0" t="str">
        <f aca="false">IF($A954="","",IF(CN954="pass",ROUND(N(EM954)+N(EN954)+N(EO954)+N(EP954)+N(EQ954)+N(ER954),1),0))</f>
        <v/>
      </c>
      <c r="K954" s="0" t="str">
        <f aca="false">IF($A954="","",IF(CN954&lt;&gt;"pass",CA954&amp;"",CA954&amp;"; "&amp;IF(AW954="Y",BZ954&amp;"",BL954&amp;"")&amp;IF(R954="Y","; known to the founder (+15)","")&amp;"."))</f>
        <v/>
      </c>
      <c r="R954" s="5"/>
      <c r="U954" s="5"/>
      <c r="Y954" s="0" t="str">
        <f aca="false">IF(FX954&lt;&gt;"Y","",COUNTIFS($FX$2:$FX$1000,"Y",$J$2:$J$1000,"&gt;"&amp;J954)+COUNTIFS($FX$2:$FX$1000,"Y",$J$2:$J$1000,J954,$GD$2:$GD$1000,"&lt;"&amp;GD954)+1)</f>
        <v/>
      </c>
      <c r="AB954" s="0" t="str">
        <f aca="false">IF($A954="","",IF(AW954="Y",BY954&amp;"",BK954&amp;""))</f>
        <v/>
      </c>
      <c r="AC954" s="0" t="str">
        <f aca="false">IF($A954="","",IF(AW954="Y",BS954&amp;"",BE954&amp;""))</f>
        <v/>
      </c>
      <c r="AD954" s="0" t="str">
        <f aca="false">IF($A954="","",IF(AW954="Y",BT954&amp;"",BF954&amp;""))</f>
        <v/>
      </c>
      <c r="AE954" s="0" t="str">
        <f aca="false">IF($A954="","",IF(AW954="Y",BU954&amp;"",BG954&amp;""))</f>
        <v/>
      </c>
      <c r="AF954" s="0" t="str">
        <f aca="false">IF($A954="","",IF(AW954="Y",BV954&amp;"",BH954&amp;""))</f>
        <v/>
      </c>
      <c r="AG954" s="0" t="str">
        <f aca="false">IF($A954="","",IF(AW954="Y",BW954&amp;"",BI954&amp;""))</f>
        <v/>
      </c>
      <c r="AH954" s="0" t="str">
        <f aca="false">IF($A954="","",IF(AW954="Y",BX954&amp;"",BJ954&amp;""))</f>
        <v/>
      </c>
      <c r="AQ954" s="5"/>
      <c r="AT954" s="0" t="str">
        <f aca="false">IF($A954="","",IF(AND(CN954="pass",AQ954&lt;&gt;"Y",C954&lt;&gt;"",OR(AX954&lt;&gt;"Y",AV954="Y")),"Y","N"))</f>
        <v/>
      </c>
      <c r="AU954" s="0" t="str">
        <f aca="false">IF($A954="","",_xlfn.TEXTJOIN("; ",TRUE(),IF(CN954&lt;&gt;"pass","gated out",""),IF(AQ954="Y","on hold: "&amp;AR954,""),IF(C954="","no contact named on an opened page",""),IF(AND(AX954="Y",AV954&lt;&gt;"Y"),"Tuesday estimate band "&amp;L954&amp;": founder's call","")))</f>
        <v/>
      </c>
      <c r="BC954" s="0" t="str">
        <f aca="false">IF($A954="","",IFERROR(INDEX(Enrichment!$A$2:$GZ$2000,MATCH($A954,INDEX(Enrichment!$A$2:$GZ$2000,0,MATCH("row_id",Enrichment!$A$1:$GZ$1,0)),0),MATCH("work_email",Enrichment!$A$1:$GZ$1,0))&amp;"",""))</f>
        <v/>
      </c>
      <c r="BD954" s="0" t="str">
        <f aca="false">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Q954" s="0" t="str">
        <f aca="false">IF($A954="","",IFERROR(INDEX(Enrichment!$A$2:$GZ$2000,MATCH($A954,INDEX(Enrichment!$A$2:$GZ$2000,0,MATCH("row_id",Enrichment!$A$1:$GZ$1,0)),0),MATCH("backup_work_email",Enrichment!$A$1:$GZ$1,0))&amp;"",""))</f>
        <v/>
      </c>
      <c r="BR954" s="0" t="str">
        <f aca="false">IF($A954="","",IF(BQ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EQ954" s="0" t="str">
        <f aca="false">IF($A954="","",IF(AH954="exact",10,IF(AH954="adjacent",5,0)))</f>
        <v/>
      </c>
      <c r="ER954" s="0" t="str">
        <f aca="false">IF($A954="","",IF(R954="Y",15,0))</f>
        <v/>
      </c>
      <c r="FS954" s="0" t="str">
        <f aca="false">IF($A954="","",IF(ISNUMBER(MATCH(U954,{"queued","contacted","replied","call_booked","call_done","yes_in_principle","materials_sent"},0)),"Y","N"))</f>
        <v/>
      </c>
      <c r="FT954" s="0" t="str">
        <f aca="false">IF($A954="","",IF(OR(T954="Y",U954="do_not_contact",AS954&amp;""&lt;&gt;""),"Y","N"))</f>
        <v/>
      </c>
      <c r="FU954" s="0" t="str">
        <f aca="false">IF($A954="","",IF(AP954&amp;""&lt;&gt;"",AP954&amp;"",$A954))</f>
        <v/>
      </c>
      <c r="FV954" s="0" t="str">
        <f aca="false">IF($A954="","",IF(COUNTIFS($FU$2:$FU$1000,FU954,$FS$2:$FS$1000,"Y")+COUNTIFS($FU$2:$FU$1000,FU954,$FT$2:$FT$1000,"Y")&gt;0,"Y","N"))</f>
        <v/>
      </c>
      <c r="FW954" s="0" t="str">
        <f aca="false">IF($A954="","",IF(AND(U954="new",T954="N",FT954="N",AT954="Y",FV954="N"),"Y","N"))</f>
        <v/>
      </c>
      <c r="FX954" s="0" t="str">
        <f aca="false">IF($A954="","",IF(FW954&lt;&gt;"Y","N",IF(COUNTIFS($FU$2:$FU$1000,FU954,$FW$2:$FW$1000,"Y",$J$2:$J$1000,"&gt;"&amp;J954)+COUNTIFS($FU$2:$FU$1000,FU954,$FW$2:$FW$1000,"Y",$J$2:$J$1000,J954,$GD$2:$GD$1000,"&lt;"&amp;GD954)=0,"Y","N")))</f>
        <v/>
      </c>
      <c r="FY954" s="0" t="str">
        <f aca="false">IF($A954="","",IF(AND(FW954="Y",FX954="Y",Y954&amp;""&lt;&gt;""),IF(Y954&lt;=10,"Y","N"),"N"))</f>
        <v/>
      </c>
      <c r="FZ954" s="0" t="str">
        <f aca="false">IF(FY954="Y",Y954,"")</f>
        <v/>
      </c>
      <c r="GA954" s="0" t="str">
        <f aca="false">IF($A954="","",IF(AND(I954="walk-in",CN954="pass",U954="new",FT954="N",FV954="N",AQ954&lt;&gt;"Y"),"Y","N"))</f>
        <v/>
      </c>
      <c r="GB954" s="0" t="str">
        <f aca="false">IF(GA954&lt;&gt;"Y","",IF(COUNTIFS($GA$2:$GA$1000,"Y",$J$2:$J$1000,"&gt;"&amp;J954)+COUNTIFS($GA$2:$GA$1000,"Y",$J$2:$J$1000,J954,$GD$2:$GD$1000,"&lt;"&amp;GD954)+1&lt;=25,COUNTIFS($GA$2:$GA$1000,"Y",$J$2:$J$1000,"&gt;"&amp;J954)+COUNTIFS($GA$2:$GA$1000,"Y",$J$2:$J$1000,J954,$GD$2:$GD$1000,"&lt;"&amp;GD954)+1,""))</f>
        <v/>
      </c>
      <c r="GC954" s="0" t="str">
        <f aca="false">IF(AND(_xlfn.ISFORMULA(C954),_xlfn.ISFORMULA(J954)),"Y","N")</f>
        <v>Y</v>
      </c>
      <c r="GD954" s="0" t="n">
        <f aca="false">ROW()-1</f>
        <v>953</v>
      </c>
    </row>
    <row r="955" customFormat="false" ht="15" hidden="false" customHeight="false" outlineLevel="0" collapsed="false">
      <c r="C955" s="0" t="str">
        <f aca="false">IF($A955="","",IF(AW955="Y",BM955&amp;"",AY955&amp;""))</f>
        <v/>
      </c>
      <c r="D955" s="0" t="str">
        <f aca="false">IF($A955="","",IF(AW955="Y",BN955&amp;"",AZ955&amp;""))</f>
        <v/>
      </c>
      <c r="E955" s="0" t="str">
        <f aca="false">IF($A955="","",IF(AW955="Y",BO955&amp;"",BA955&amp;""))</f>
        <v/>
      </c>
      <c r="F955" s="0" t="str">
        <f aca="false">IF($A955="","",IF(AW955="Y",BP955&amp;"",BB955&amp;""))</f>
        <v/>
      </c>
      <c r="G955" s="0" t="str">
        <f aca="false">IF($A955="","",IF(AW955="Y",BQ955&amp;"",BC955&amp;""))</f>
        <v/>
      </c>
      <c r="H955" s="0" t="str">
        <f aca="false">IF($A955="","",IF(AW955="Y",BR955&amp;"",BD955&amp;""))</f>
        <v/>
      </c>
      <c r="I955" s="0" t="str">
        <f aca="false">IF($A955="","",IF(R955="Y","warm-intro",IF(H955="verified","email",IF(C955&lt;&gt;"","linkedin",CB955&amp;""))))</f>
        <v/>
      </c>
      <c r="J955" s="0" t="str">
        <f aca="false">IF($A955="","",IF(CN955="pass",ROUND(N(EM955)+N(EN955)+N(EO955)+N(EP955)+N(EQ955)+N(ER955),1),0))</f>
        <v/>
      </c>
      <c r="K955" s="0" t="str">
        <f aca="false">IF($A955="","",IF(CN955&lt;&gt;"pass",CA955&amp;"",CA955&amp;"; "&amp;IF(AW955="Y",BZ955&amp;"",BL955&amp;"")&amp;IF(R955="Y","; known to the founder (+15)","")&amp;"."))</f>
        <v/>
      </c>
      <c r="R955" s="5"/>
      <c r="U955" s="5"/>
      <c r="Y955" s="0" t="str">
        <f aca="false">IF(FX955&lt;&gt;"Y","",COUNTIFS($FX$2:$FX$1000,"Y",$J$2:$J$1000,"&gt;"&amp;J955)+COUNTIFS($FX$2:$FX$1000,"Y",$J$2:$J$1000,J955,$GD$2:$GD$1000,"&lt;"&amp;GD955)+1)</f>
        <v/>
      </c>
      <c r="AB955" s="0" t="str">
        <f aca="false">IF($A955="","",IF(AW955="Y",BY955&amp;"",BK955&amp;""))</f>
        <v/>
      </c>
      <c r="AC955" s="0" t="str">
        <f aca="false">IF($A955="","",IF(AW955="Y",BS955&amp;"",BE955&amp;""))</f>
        <v/>
      </c>
      <c r="AD955" s="0" t="str">
        <f aca="false">IF($A955="","",IF(AW955="Y",BT955&amp;"",BF955&amp;""))</f>
        <v/>
      </c>
      <c r="AE955" s="0" t="str">
        <f aca="false">IF($A955="","",IF(AW955="Y",BU955&amp;"",BG955&amp;""))</f>
        <v/>
      </c>
      <c r="AF955" s="0" t="str">
        <f aca="false">IF($A955="","",IF(AW955="Y",BV955&amp;"",BH955&amp;""))</f>
        <v/>
      </c>
      <c r="AG955" s="0" t="str">
        <f aca="false">IF($A955="","",IF(AW955="Y",BW955&amp;"",BI955&amp;""))</f>
        <v/>
      </c>
      <c r="AH955" s="0" t="str">
        <f aca="false">IF($A955="","",IF(AW955="Y",BX955&amp;"",BJ955&amp;""))</f>
        <v/>
      </c>
      <c r="AQ955" s="5"/>
      <c r="AT955" s="0" t="str">
        <f aca="false">IF($A955="","",IF(AND(CN955="pass",AQ955&lt;&gt;"Y",C955&lt;&gt;"",OR(AX955&lt;&gt;"Y",AV955="Y")),"Y","N"))</f>
        <v/>
      </c>
      <c r="AU955" s="0" t="str">
        <f aca="false">IF($A955="","",_xlfn.TEXTJOIN("; ",TRUE(),IF(CN955&lt;&gt;"pass","gated out",""),IF(AQ955="Y","on hold: "&amp;AR955,""),IF(C955="","no contact named on an opened page",""),IF(AND(AX955="Y",AV955&lt;&gt;"Y"),"Tuesday estimate band "&amp;L955&amp;": founder's call","")))</f>
        <v/>
      </c>
      <c r="BC955" s="0" t="str">
        <f aca="false">IF($A955="","",IFERROR(INDEX(Enrichment!$A$2:$GZ$2000,MATCH($A955,INDEX(Enrichment!$A$2:$GZ$2000,0,MATCH("row_id",Enrichment!$A$1:$GZ$1,0)),0),MATCH("work_email",Enrichment!$A$1:$GZ$1,0))&amp;"",""))</f>
        <v/>
      </c>
      <c r="BD955" s="0" t="str">
        <f aca="false">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Q955" s="0" t="str">
        <f aca="false">IF($A955="","",IFERROR(INDEX(Enrichment!$A$2:$GZ$2000,MATCH($A955,INDEX(Enrichment!$A$2:$GZ$2000,0,MATCH("row_id",Enrichment!$A$1:$GZ$1,0)),0),MATCH("backup_work_email",Enrichment!$A$1:$GZ$1,0))&amp;"",""))</f>
        <v/>
      </c>
      <c r="BR955" s="0" t="str">
        <f aca="false">IF($A955="","",IF(BQ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EQ955" s="0" t="str">
        <f aca="false">IF($A955="","",IF(AH955="exact",10,IF(AH955="adjacent",5,0)))</f>
        <v/>
      </c>
      <c r="ER955" s="0" t="str">
        <f aca="false">IF($A955="","",IF(R955="Y",15,0))</f>
        <v/>
      </c>
      <c r="FS955" s="0" t="str">
        <f aca="false">IF($A955="","",IF(ISNUMBER(MATCH(U955,{"queued","contacted","replied","call_booked","call_done","yes_in_principle","materials_sent"},0)),"Y","N"))</f>
        <v/>
      </c>
      <c r="FT955" s="0" t="str">
        <f aca="false">IF($A955="","",IF(OR(T955="Y",U955="do_not_contact",AS955&amp;""&lt;&gt;""),"Y","N"))</f>
        <v/>
      </c>
      <c r="FU955" s="0" t="str">
        <f aca="false">IF($A955="","",IF(AP955&amp;""&lt;&gt;"",AP955&amp;"",$A955))</f>
        <v/>
      </c>
      <c r="FV955" s="0" t="str">
        <f aca="false">IF($A955="","",IF(COUNTIFS($FU$2:$FU$1000,FU955,$FS$2:$FS$1000,"Y")+COUNTIFS($FU$2:$FU$1000,FU955,$FT$2:$FT$1000,"Y")&gt;0,"Y","N"))</f>
        <v/>
      </c>
      <c r="FW955" s="0" t="str">
        <f aca="false">IF($A955="","",IF(AND(U955="new",T955="N",FT955="N",AT955="Y",FV955="N"),"Y","N"))</f>
        <v/>
      </c>
      <c r="FX955" s="0" t="str">
        <f aca="false">IF($A955="","",IF(FW955&lt;&gt;"Y","N",IF(COUNTIFS($FU$2:$FU$1000,FU955,$FW$2:$FW$1000,"Y",$J$2:$J$1000,"&gt;"&amp;J955)+COUNTIFS($FU$2:$FU$1000,FU955,$FW$2:$FW$1000,"Y",$J$2:$J$1000,J955,$GD$2:$GD$1000,"&lt;"&amp;GD955)=0,"Y","N")))</f>
        <v/>
      </c>
      <c r="FY955" s="0" t="str">
        <f aca="false">IF($A955="","",IF(AND(FW955="Y",FX955="Y",Y955&amp;""&lt;&gt;""),IF(Y955&lt;=10,"Y","N"),"N"))</f>
        <v/>
      </c>
      <c r="FZ955" s="0" t="str">
        <f aca="false">IF(FY955="Y",Y955,"")</f>
        <v/>
      </c>
      <c r="GA955" s="0" t="str">
        <f aca="false">IF($A955="","",IF(AND(I955="walk-in",CN955="pass",U955="new",FT955="N",FV955="N",AQ955&lt;&gt;"Y"),"Y","N"))</f>
        <v/>
      </c>
      <c r="GB955" s="0" t="str">
        <f aca="false">IF(GA955&lt;&gt;"Y","",IF(COUNTIFS($GA$2:$GA$1000,"Y",$J$2:$J$1000,"&gt;"&amp;J955)+COUNTIFS($GA$2:$GA$1000,"Y",$J$2:$J$1000,J955,$GD$2:$GD$1000,"&lt;"&amp;GD955)+1&lt;=25,COUNTIFS($GA$2:$GA$1000,"Y",$J$2:$J$1000,"&gt;"&amp;J955)+COUNTIFS($GA$2:$GA$1000,"Y",$J$2:$J$1000,J955,$GD$2:$GD$1000,"&lt;"&amp;GD955)+1,""))</f>
        <v/>
      </c>
      <c r="GC955" s="0" t="str">
        <f aca="false">IF(AND(_xlfn.ISFORMULA(C955),_xlfn.ISFORMULA(J955)),"Y","N")</f>
        <v>Y</v>
      </c>
      <c r="GD955" s="0" t="n">
        <f aca="false">ROW()-1</f>
        <v>954</v>
      </c>
    </row>
    <row r="956" customFormat="false" ht="15" hidden="false" customHeight="false" outlineLevel="0" collapsed="false">
      <c r="C956" s="0" t="str">
        <f aca="false">IF($A956="","",IF(AW956="Y",BM956&amp;"",AY956&amp;""))</f>
        <v/>
      </c>
      <c r="D956" s="0" t="str">
        <f aca="false">IF($A956="","",IF(AW956="Y",BN956&amp;"",AZ956&amp;""))</f>
        <v/>
      </c>
      <c r="E956" s="0" t="str">
        <f aca="false">IF($A956="","",IF(AW956="Y",BO956&amp;"",BA956&amp;""))</f>
        <v/>
      </c>
      <c r="F956" s="0" t="str">
        <f aca="false">IF($A956="","",IF(AW956="Y",BP956&amp;"",BB956&amp;""))</f>
        <v/>
      </c>
      <c r="G956" s="0" t="str">
        <f aca="false">IF($A956="","",IF(AW956="Y",BQ956&amp;"",BC956&amp;""))</f>
        <v/>
      </c>
      <c r="H956" s="0" t="str">
        <f aca="false">IF($A956="","",IF(AW956="Y",BR956&amp;"",BD956&amp;""))</f>
        <v/>
      </c>
      <c r="I956" s="0" t="str">
        <f aca="false">IF($A956="","",IF(R956="Y","warm-intro",IF(H956="verified","email",IF(C956&lt;&gt;"","linkedin",CB956&amp;""))))</f>
        <v/>
      </c>
      <c r="J956" s="0" t="str">
        <f aca="false">IF($A956="","",IF(CN956="pass",ROUND(N(EM956)+N(EN956)+N(EO956)+N(EP956)+N(EQ956)+N(ER956),1),0))</f>
        <v/>
      </c>
      <c r="K956" s="0" t="str">
        <f aca="false">IF($A956="","",IF(CN956&lt;&gt;"pass",CA956&amp;"",CA956&amp;"; "&amp;IF(AW956="Y",BZ956&amp;"",BL956&amp;"")&amp;IF(R956="Y","; known to the founder (+15)","")&amp;"."))</f>
        <v/>
      </c>
      <c r="R956" s="5"/>
      <c r="U956" s="5"/>
      <c r="Y956" s="0" t="str">
        <f aca="false">IF(FX956&lt;&gt;"Y","",COUNTIFS($FX$2:$FX$1000,"Y",$J$2:$J$1000,"&gt;"&amp;J956)+COUNTIFS($FX$2:$FX$1000,"Y",$J$2:$J$1000,J956,$GD$2:$GD$1000,"&lt;"&amp;GD956)+1)</f>
        <v/>
      </c>
      <c r="AB956" s="0" t="str">
        <f aca="false">IF($A956="","",IF(AW956="Y",BY956&amp;"",BK956&amp;""))</f>
        <v/>
      </c>
      <c r="AC956" s="0" t="str">
        <f aca="false">IF($A956="","",IF(AW956="Y",BS956&amp;"",BE956&amp;""))</f>
        <v/>
      </c>
      <c r="AD956" s="0" t="str">
        <f aca="false">IF($A956="","",IF(AW956="Y",BT956&amp;"",BF956&amp;""))</f>
        <v/>
      </c>
      <c r="AE956" s="0" t="str">
        <f aca="false">IF($A956="","",IF(AW956="Y",BU956&amp;"",BG956&amp;""))</f>
        <v/>
      </c>
      <c r="AF956" s="0" t="str">
        <f aca="false">IF($A956="","",IF(AW956="Y",BV956&amp;"",BH956&amp;""))</f>
        <v/>
      </c>
      <c r="AG956" s="0" t="str">
        <f aca="false">IF($A956="","",IF(AW956="Y",BW956&amp;"",BI956&amp;""))</f>
        <v/>
      </c>
      <c r="AH956" s="0" t="str">
        <f aca="false">IF($A956="","",IF(AW956="Y",BX956&amp;"",BJ956&amp;""))</f>
        <v/>
      </c>
      <c r="AQ956" s="5"/>
      <c r="AT956" s="0" t="str">
        <f aca="false">IF($A956="","",IF(AND(CN956="pass",AQ956&lt;&gt;"Y",C956&lt;&gt;"",OR(AX956&lt;&gt;"Y",AV956="Y")),"Y","N"))</f>
        <v/>
      </c>
      <c r="AU956" s="0" t="str">
        <f aca="false">IF($A956="","",_xlfn.TEXTJOIN("; ",TRUE(),IF(CN956&lt;&gt;"pass","gated out",""),IF(AQ956="Y","on hold: "&amp;AR956,""),IF(C956="","no contact named on an opened page",""),IF(AND(AX956="Y",AV956&lt;&gt;"Y"),"Tuesday estimate band "&amp;L956&amp;": founder's call","")))</f>
        <v/>
      </c>
      <c r="BC956" s="0" t="str">
        <f aca="false">IF($A956="","",IFERROR(INDEX(Enrichment!$A$2:$GZ$2000,MATCH($A956,INDEX(Enrichment!$A$2:$GZ$2000,0,MATCH("row_id",Enrichment!$A$1:$GZ$1,0)),0),MATCH("work_email",Enrichment!$A$1:$GZ$1,0))&amp;"",""))</f>
        <v/>
      </c>
      <c r="BD956" s="0" t="str">
        <f aca="false">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Q956" s="0" t="str">
        <f aca="false">IF($A956="","",IFERROR(INDEX(Enrichment!$A$2:$GZ$2000,MATCH($A956,INDEX(Enrichment!$A$2:$GZ$2000,0,MATCH("row_id",Enrichment!$A$1:$GZ$1,0)),0),MATCH("backup_work_email",Enrichment!$A$1:$GZ$1,0))&amp;"",""))</f>
        <v/>
      </c>
      <c r="BR956" s="0" t="str">
        <f aca="false">IF($A956="","",IF(BQ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EQ956" s="0" t="str">
        <f aca="false">IF($A956="","",IF(AH956="exact",10,IF(AH956="adjacent",5,0)))</f>
        <v/>
      </c>
      <c r="ER956" s="0" t="str">
        <f aca="false">IF($A956="","",IF(R956="Y",15,0))</f>
        <v/>
      </c>
      <c r="FS956" s="0" t="str">
        <f aca="false">IF($A956="","",IF(ISNUMBER(MATCH(U956,{"queued","contacted","replied","call_booked","call_done","yes_in_principle","materials_sent"},0)),"Y","N"))</f>
        <v/>
      </c>
      <c r="FT956" s="0" t="str">
        <f aca="false">IF($A956="","",IF(OR(T956="Y",U956="do_not_contact",AS956&amp;""&lt;&gt;""),"Y","N"))</f>
        <v/>
      </c>
      <c r="FU956" s="0" t="str">
        <f aca="false">IF($A956="","",IF(AP956&amp;""&lt;&gt;"",AP956&amp;"",$A956))</f>
        <v/>
      </c>
      <c r="FV956" s="0" t="str">
        <f aca="false">IF($A956="","",IF(COUNTIFS($FU$2:$FU$1000,FU956,$FS$2:$FS$1000,"Y")+COUNTIFS($FU$2:$FU$1000,FU956,$FT$2:$FT$1000,"Y")&gt;0,"Y","N"))</f>
        <v/>
      </c>
      <c r="FW956" s="0" t="str">
        <f aca="false">IF($A956="","",IF(AND(U956="new",T956="N",FT956="N",AT956="Y",FV956="N"),"Y","N"))</f>
        <v/>
      </c>
      <c r="FX956" s="0" t="str">
        <f aca="false">IF($A956="","",IF(FW956&lt;&gt;"Y","N",IF(COUNTIFS($FU$2:$FU$1000,FU956,$FW$2:$FW$1000,"Y",$J$2:$J$1000,"&gt;"&amp;J956)+COUNTIFS($FU$2:$FU$1000,FU956,$FW$2:$FW$1000,"Y",$J$2:$J$1000,J956,$GD$2:$GD$1000,"&lt;"&amp;GD956)=0,"Y","N")))</f>
        <v/>
      </c>
      <c r="FY956" s="0" t="str">
        <f aca="false">IF($A956="","",IF(AND(FW956="Y",FX956="Y",Y956&amp;""&lt;&gt;""),IF(Y956&lt;=10,"Y","N"),"N"))</f>
        <v/>
      </c>
      <c r="FZ956" s="0" t="str">
        <f aca="false">IF(FY956="Y",Y956,"")</f>
        <v/>
      </c>
      <c r="GA956" s="0" t="str">
        <f aca="false">IF($A956="","",IF(AND(I956="walk-in",CN956="pass",U956="new",FT956="N",FV956="N",AQ956&lt;&gt;"Y"),"Y","N"))</f>
        <v/>
      </c>
      <c r="GB956" s="0" t="str">
        <f aca="false">IF(GA956&lt;&gt;"Y","",IF(COUNTIFS($GA$2:$GA$1000,"Y",$J$2:$J$1000,"&gt;"&amp;J956)+COUNTIFS($GA$2:$GA$1000,"Y",$J$2:$J$1000,J956,$GD$2:$GD$1000,"&lt;"&amp;GD956)+1&lt;=25,COUNTIFS($GA$2:$GA$1000,"Y",$J$2:$J$1000,"&gt;"&amp;J956)+COUNTIFS($GA$2:$GA$1000,"Y",$J$2:$J$1000,J956,$GD$2:$GD$1000,"&lt;"&amp;GD956)+1,""))</f>
        <v/>
      </c>
      <c r="GC956" s="0" t="str">
        <f aca="false">IF(AND(_xlfn.ISFORMULA(C956),_xlfn.ISFORMULA(J956)),"Y","N")</f>
        <v>Y</v>
      </c>
      <c r="GD956" s="0" t="n">
        <f aca="false">ROW()-1</f>
        <v>955</v>
      </c>
    </row>
    <row r="957" customFormat="false" ht="15" hidden="false" customHeight="false" outlineLevel="0" collapsed="false">
      <c r="C957" s="0" t="str">
        <f aca="false">IF($A957="","",IF(AW957="Y",BM957&amp;"",AY957&amp;""))</f>
        <v/>
      </c>
      <c r="D957" s="0" t="str">
        <f aca="false">IF($A957="","",IF(AW957="Y",BN957&amp;"",AZ957&amp;""))</f>
        <v/>
      </c>
      <c r="E957" s="0" t="str">
        <f aca="false">IF($A957="","",IF(AW957="Y",BO957&amp;"",BA957&amp;""))</f>
        <v/>
      </c>
      <c r="F957" s="0" t="str">
        <f aca="false">IF($A957="","",IF(AW957="Y",BP957&amp;"",BB957&amp;""))</f>
        <v/>
      </c>
      <c r="G957" s="0" t="str">
        <f aca="false">IF($A957="","",IF(AW957="Y",BQ957&amp;"",BC957&amp;""))</f>
        <v/>
      </c>
      <c r="H957" s="0" t="str">
        <f aca="false">IF($A957="","",IF(AW957="Y",BR957&amp;"",BD957&amp;""))</f>
        <v/>
      </c>
      <c r="I957" s="0" t="str">
        <f aca="false">IF($A957="","",IF(R957="Y","warm-intro",IF(H957="verified","email",IF(C957&lt;&gt;"","linkedin",CB957&amp;""))))</f>
        <v/>
      </c>
      <c r="J957" s="0" t="str">
        <f aca="false">IF($A957="","",IF(CN957="pass",ROUND(N(EM957)+N(EN957)+N(EO957)+N(EP957)+N(EQ957)+N(ER957),1),0))</f>
        <v/>
      </c>
      <c r="K957" s="0" t="str">
        <f aca="false">IF($A957="","",IF(CN957&lt;&gt;"pass",CA957&amp;"",CA957&amp;"; "&amp;IF(AW957="Y",BZ957&amp;"",BL957&amp;"")&amp;IF(R957="Y","; known to the founder (+15)","")&amp;"."))</f>
        <v/>
      </c>
      <c r="R957" s="5"/>
      <c r="U957" s="5"/>
      <c r="Y957" s="0" t="str">
        <f aca="false">IF(FX957&lt;&gt;"Y","",COUNTIFS($FX$2:$FX$1000,"Y",$J$2:$J$1000,"&gt;"&amp;J957)+COUNTIFS($FX$2:$FX$1000,"Y",$J$2:$J$1000,J957,$GD$2:$GD$1000,"&lt;"&amp;GD957)+1)</f>
        <v/>
      </c>
      <c r="AB957" s="0" t="str">
        <f aca="false">IF($A957="","",IF(AW957="Y",BY957&amp;"",BK957&amp;""))</f>
        <v/>
      </c>
      <c r="AC957" s="0" t="str">
        <f aca="false">IF($A957="","",IF(AW957="Y",BS957&amp;"",BE957&amp;""))</f>
        <v/>
      </c>
      <c r="AD957" s="0" t="str">
        <f aca="false">IF($A957="","",IF(AW957="Y",BT957&amp;"",BF957&amp;""))</f>
        <v/>
      </c>
      <c r="AE957" s="0" t="str">
        <f aca="false">IF($A957="","",IF(AW957="Y",BU957&amp;"",BG957&amp;""))</f>
        <v/>
      </c>
      <c r="AF957" s="0" t="str">
        <f aca="false">IF($A957="","",IF(AW957="Y",BV957&amp;"",BH957&amp;""))</f>
        <v/>
      </c>
      <c r="AG957" s="0" t="str">
        <f aca="false">IF($A957="","",IF(AW957="Y",BW957&amp;"",BI957&amp;""))</f>
        <v/>
      </c>
      <c r="AH957" s="0" t="str">
        <f aca="false">IF($A957="","",IF(AW957="Y",BX957&amp;"",BJ957&amp;""))</f>
        <v/>
      </c>
      <c r="AQ957" s="5"/>
      <c r="AT957" s="0" t="str">
        <f aca="false">IF($A957="","",IF(AND(CN957="pass",AQ957&lt;&gt;"Y",C957&lt;&gt;"",OR(AX957&lt;&gt;"Y",AV957="Y")),"Y","N"))</f>
        <v/>
      </c>
      <c r="AU957" s="0" t="str">
        <f aca="false">IF($A957="","",_xlfn.TEXTJOIN("; ",TRUE(),IF(CN957&lt;&gt;"pass","gated out",""),IF(AQ957="Y","on hold: "&amp;AR957,""),IF(C957="","no contact named on an opened page",""),IF(AND(AX957="Y",AV957&lt;&gt;"Y"),"Tuesday estimate band "&amp;L957&amp;": founder's call","")))</f>
        <v/>
      </c>
      <c r="BC957" s="0" t="str">
        <f aca="false">IF($A957="","",IFERROR(INDEX(Enrichment!$A$2:$GZ$2000,MATCH($A957,INDEX(Enrichment!$A$2:$GZ$2000,0,MATCH("row_id",Enrichment!$A$1:$GZ$1,0)),0),MATCH("work_email",Enrichment!$A$1:$GZ$1,0))&amp;"",""))</f>
        <v/>
      </c>
      <c r="BD957" s="0" t="str">
        <f aca="false">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Q957" s="0" t="str">
        <f aca="false">IF($A957="","",IFERROR(INDEX(Enrichment!$A$2:$GZ$2000,MATCH($A957,INDEX(Enrichment!$A$2:$GZ$2000,0,MATCH("row_id",Enrichment!$A$1:$GZ$1,0)),0),MATCH("backup_work_email",Enrichment!$A$1:$GZ$1,0))&amp;"",""))</f>
        <v/>
      </c>
      <c r="BR957" s="0" t="str">
        <f aca="false">IF($A957="","",IF(BQ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EQ957" s="0" t="str">
        <f aca="false">IF($A957="","",IF(AH957="exact",10,IF(AH957="adjacent",5,0)))</f>
        <v/>
      </c>
      <c r="ER957" s="0" t="str">
        <f aca="false">IF($A957="","",IF(R957="Y",15,0))</f>
        <v/>
      </c>
      <c r="FS957" s="0" t="str">
        <f aca="false">IF($A957="","",IF(ISNUMBER(MATCH(U957,{"queued","contacted","replied","call_booked","call_done","yes_in_principle","materials_sent"},0)),"Y","N"))</f>
        <v/>
      </c>
      <c r="FT957" s="0" t="str">
        <f aca="false">IF($A957="","",IF(OR(T957="Y",U957="do_not_contact",AS957&amp;""&lt;&gt;""),"Y","N"))</f>
        <v/>
      </c>
      <c r="FU957" s="0" t="str">
        <f aca="false">IF($A957="","",IF(AP957&amp;""&lt;&gt;"",AP957&amp;"",$A957))</f>
        <v/>
      </c>
      <c r="FV957" s="0" t="str">
        <f aca="false">IF($A957="","",IF(COUNTIFS($FU$2:$FU$1000,FU957,$FS$2:$FS$1000,"Y")+COUNTIFS($FU$2:$FU$1000,FU957,$FT$2:$FT$1000,"Y")&gt;0,"Y","N"))</f>
        <v/>
      </c>
      <c r="FW957" s="0" t="str">
        <f aca="false">IF($A957="","",IF(AND(U957="new",T957="N",FT957="N",AT957="Y",FV957="N"),"Y","N"))</f>
        <v/>
      </c>
      <c r="FX957" s="0" t="str">
        <f aca="false">IF($A957="","",IF(FW957&lt;&gt;"Y","N",IF(COUNTIFS($FU$2:$FU$1000,FU957,$FW$2:$FW$1000,"Y",$J$2:$J$1000,"&gt;"&amp;J957)+COUNTIFS($FU$2:$FU$1000,FU957,$FW$2:$FW$1000,"Y",$J$2:$J$1000,J957,$GD$2:$GD$1000,"&lt;"&amp;GD957)=0,"Y","N")))</f>
        <v/>
      </c>
      <c r="FY957" s="0" t="str">
        <f aca="false">IF($A957="","",IF(AND(FW957="Y",FX957="Y",Y957&amp;""&lt;&gt;""),IF(Y957&lt;=10,"Y","N"),"N"))</f>
        <v/>
      </c>
      <c r="FZ957" s="0" t="str">
        <f aca="false">IF(FY957="Y",Y957,"")</f>
        <v/>
      </c>
      <c r="GA957" s="0" t="str">
        <f aca="false">IF($A957="","",IF(AND(I957="walk-in",CN957="pass",U957="new",FT957="N",FV957="N",AQ957&lt;&gt;"Y"),"Y","N"))</f>
        <v/>
      </c>
      <c r="GB957" s="0" t="str">
        <f aca="false">IF(GA957&lt;&gt;"Y","",IF(COUNTIFS($GA$2:$GA$1000,"Y",$J$2:$J$1000,"&gt;"&amp;J957)+COUNTIFS($GA$2:$GA$1000,"Y",$J$2:$J$1000,J957,$GD$2:$GD$1000,"&lt;"&amp;GD957)+1&lt;=25,COUNTIFS($GA$2:$GA$1000,"Y",$J$2:$J$1000,"&gt;"&amp;J957)+COUNTIFS($GA$2:$GA$1000,"Y",$J$2:$J$1000,J957,$GD$2:$GD$1000,"&lt;"&amp;GD957)+1,""))</f>
        <v/>
      </c>
      <c r="GC957" s="0" t="str">
        <f aca="false">IF(AND(_xlfn.ISFORMULA(C957),_xlfn.ISFORMULA(J957)),"Y","N")</f>
        <v>Y</v>
      </c>
      <c r="GD957" s="0" t="n">
        <f aca="false">ROW()-1</f>
        <v>956</v>
      </c>
    </row>
    <row r="958" customFormat="false" ht="15" hidden="false" customHeight="false" outlineLevel="0" collapsed="false">
      <c r="C958" s="0" t="str">
        <f aca="false">IF($A958="","",IF(AW958="Y",BM958&amp;"",AY958&amp;""))</f>
        <v/>
      </c>
      <c r="D958" s="0" t="str">
        <f aca="false">IF($A958="","",IF(AW958="Y",BN958&amp;"",AZ958&amp;""))</f>
        <v/>
      </c>
      <c r="E958" s="0" t="str">
        <f aca="false">IF($A958="","",IF(AW958="Y",BO958&amp;"",BA958&amp;""))</f>
        <v/>
      </c>
      <c r="F958" s="0" t="str">
        <f aca="false">IF($A958="","",IF(AW958="Y",BP958&amp;"",BB958&amp;""))</f>
        <v/>
      </c>
      <c r="G958" s="0" t="str">
        <f aca="false">IF($A958="","",IF(AW958="Y",BQ958&amp;"",BC958&amp;""))</f>
        <v/>
      </c>
      <c r="H958" s="0" t="str">
        <f aca="false">IF($A958="","",IF(AW958="Y",BR958&amp;"",BD958&amp;""))</f>
        <v/>
      </c>
      <c r="I958" s="0" t="str">
        <f aca="false">IF($A958="","",IF(R958="Y","warm-intro",IF(H958="verified","email",IF(C958&lt;&gt;"","linkedin",CB958&amp;""))))</f>
        <v/>
      </c>
      <c r="J958" s="0" t="str">
        <f aca="false">IF($A958="","",IF(CN958="pass",ROUND(N(EM958)+N(EN958)+N(EO958)+N(EP958)+N(EQ958)+N(ER958),1),0))</f>
        <v/>
      </c>
      <c r="K958" s="0" t="str">
        <f aca="false">IF($A958="","",IF(CN958&lt;&gt;"pass",CA958&amp;"",CA958&amp;"; "&amp;IF(AW958="Y",BZ958&amp;"",BL958&amp;"")&amp;IF(R958="Y","; known to the founder (+15)","")&amp;"."))</f>
        <v/>
      </c>
      <c r="R958" s="5"/>
      <c r="U958" s="5"/>
      <c r="Y958" s="0" t="str">
        <f aca="false">IF(FX958&lt;&gt;"Y","",COUNTIFS($FX$2:$FX$1000,"Y",$J$2:$J$1000,"&gt;"&amp;J958)+COUNTIFS($FX$2:$FX$1000,"Y",$J$2:$J$1000,J958,$GD$2:$GD$1000,"&lt;"&amp;GD958)+1)</f>
        <v/>
      </c>
      <c r="AB958" s="0" t="str">
        <f aca="false">IF($A958="","",IF(AW958="Y",BY958&amp;"",BK958&amp;""))</f>
        <v/>
      </c>
      <c r="AC958" s="0" t="str">
        <f aca="false">IF($A958="","",IF(AW958="Y",BS958&amp;"",BE958&amp;""))</f>
        <v/>
      </c>
      <c r="AD958" s="0" t="str">
        <f aca="false">IF($A958="","",IF(AW958="Y",BT958&amp;"",BF958&amp;""))</f>
        <v/>
      </c>
      <c r="AE958" s="0" t="str">
        <f aca="false">IF($A958="","",IF(AW958="Y",BU958&amp;"",BG958&amp;""))</f>
        <v/>
      </c>
      <c r="AF958" s="0" t="str">
        <f aca="false">IF($A958="","",IF(AW958="Y",BV958&amp;"",BH958&amp;""))</f>
        <v/>
      </c>
      <c r="AG958" s="0" t="str">
        <f aca="false">IF($A958="","",IF(AW958="Y",BW958&amp;"",BI958&amp;""))</f>
        <v/>
      </c>
      <c r="AH958" s="0" t="str">
        <f aca="false">IF($A958="","",IF(AW958="Y",BX958&amp;"",BJ958&amp;""))</f>
        <v/>
      </c>
      <c r="AQ958" s="5"/>
      <c r="AT958" s="0" t="str">
        <f aca="false">IF($A958="","",IF(AND(CN958="pass",AQ958&lt;&gt;"Y",C958&lt;&gt;"",OR(AX958&lt;&gt;"Y",AV958="Y")),"Y","N"))</f>
        <v/>
      </c>
      <c r="AU958" s="0" t="str">
        <f aca="false">IF($A958="","",_xlfn.TEXTJOIN("; ",TRUE(),IF(CN958&lt;&gt;"pass","gated out",""),IF(AQ958="Y","on hold: "&amp;AR958,""),IF(C958="","no contact named on an opened page",""),IF(AND(AX958="Y",AV958&lt;&gt;"Y"),"Tuesday estimate band "&amp;L958&amp;": founder's call","")))</f>
        <v/>
      </c>
      <c r="BC958" s="0" t="str">
        <f aca="false">IF($A958="","",IFERROR(INDEX(Enrichment!$A$2:$GZ$2000,MATCH($A958,INDEX(Enrichment!$A$2:$GZ$2000,0,MATCH("row_id",Enrichment!$A$1:$GZ$1,0)),0),MATCH("work_email",Enrichment!$A$1:$GZ$1,0))&amp;"",""))</f>
        <v/>
      </c>
      <c r="BD958" s="0" t="str">
        <f aca="false">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Q958" s="0" t="str">
        <f aca="false">IF($A958="","",IFERROR(INDEX(Enrichment!$A$2:$GZ$2000,MATCH($A958,INDEX(Enrichment!$A$2:$GZ$2000,0,MATCH("row_id",Enrichment!$A$1:$GZ$1,0)),0),MATCH("backup_work_email",Enrichment!$A$1:$GZ$1,0))&amp;"",""))</f>
        <v/>
      </c>
      <c r="BR958" s="0" t="str">
        <f aca="false">IF($A958="","",IF(BQ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EQ958" s="0" t="str">
        <f aca="false">IF($A958="","",IF(AH958="exact",10,IF(AH958="adjacent",5,0)))</f>
        <v/>
      </c>
      <c r="ER958" s="0" t="str">
        <f aca="false">IF($A958="","",IF(R958="Y",15,0))</f>
        <v/>
      </c>
      <c r="FS958" s="0" t="str">
        <f aca="false">IF($A958="","",IF(ISNUMBER(MATCH(U958,{"queued","contacted","replied","call_booked","call_done","yes_in_principle","materials_sent"},0)),"Y","N"))</f>
        <v/>
      </c>
      <c r="FT958" s="0" t="str">
        <f aca="false">IF($A958="","",IF(OR(T958="Y",U958="do_not_contact",AS958&amp;""&lt;&gt;""),"Y","N"))</f>
        <v/>
      </c>
      <c r="FU958" s="0" t="str">
        <f aca="false">IF($A958="","",IF(AP958&amp;""&lt;&gt;"",AP958&amp;"",$A958))</f>
        <v/>
      </c>
      <c r="FV958" s="0" t="str">
        <f aca="false">IF($A958="","",IF(COUNTIFS($FU$2:$FU$1000,FU958,$FS$2:$FS$1000,"Y")+COUNTIFS($FU$2:$FU$1000,FU958,$FT$2:$FT$1000,"Y")&gt;0,"Y","N"))</f>
        <v/>
      </c>
      <c r="FW958" s="0" t="str">
        <f aca="false">IF($A958="","",IF(AND(U958="new",T958="N",FT958="N",AT958="Y",FV958="N"),"Y","N"))</f>
        <v/>
      </c>
      <c r="FX958" s="0" t="str">
        <f aca="false">IF($A958="","",IF(FW958&lt;&gt;"Y","N",IF(COUNTIFS($FU$2:$FU$1000,FU958,$FW$2:$FW$1000,"Y",$J$2:$J$1000,"&gt;"&amp;J958)+COUNTIFS($FU$2:$FU$1000,FU958,$FW$2:$FW$1000,"Y",$J$2:$J$1000,J958,$GD$2:$GD$1000,"&lt;"&amp;GD958)=0,"Y","N")))</f>
        <v/>
      </c>
      <c r="FY958" s="0" t="str">
        <f aca="false">IF($A958="","",IF(AND(FW958="Y",FX958="Y",Y958&amp;""&lt;&gt;""),IF(Y958&lt;=10,"Y","N"),"N"))</f>
        <v/>
      </c>
      <c r="FZ958" s="0" t="str">
        <f aca="false">IF(FY958="Y",Y958,"")</f>
        <v/>
      </c>
      <c r="GA958" s="0" t="str">
        <f aca="false">IF($A958="","",IF(AND(I958="walk-in",CN958="pass",U958="new",FT958="N",FV958="N",AQ958&lt;&gt;"Y"),"Y","N"))</f>
        <v/>
      </c>
      <c r="GB958" s="0" t="str">
        <f aca="false">IF(GA958&lt;&gt;"Y","",IF(COUNTIFS($GA$2:$GA$1000,"Y",$J$2:$J$1000,"&gt;"&amp;J958)+COUNTIFS($GA$2:$GA$1000,"Y",$J$2:$J$1000,J958,$GD$2:$GD$1000,"&lt;"&amp;GD958)+1&lt;=25,COUNTIFS($GA$2:$GA$1000,"Y",$J$2:$J$1000,"&gt;"&amp;J958)+COUNTIFS($GA$2:$GA$1000,"Y",$J$2:$J$1000,J958,$GD$2:$GD$1000,"&lt;"&amp;GD958)+1,""))</f>
        <v/>
      </c>
      <c r="GC958" s="0" t="str">
        <f aca="false">IF(AND(_xlfn.ISFORMULA(C958),_xlfn.ISFORMULA(J958)),"Y","N")</f>
        <v>Y</v>
      </c>
      <c r="GD958" s="0" t="n">
        <f aca="false">ROW()-1</f>
        <v>957</v>
      </c>
    </row>
    <row r="959" customFormat="false" ht="15" hidden="false" customHeight="false" outlineLevel="0" collapsed="false">
      <c r="C959" s="0" t="str">
        <f aca="false">IF($A959="","",IF(AW959="Y",BM959&amp;"",AY959&amp;""))</f>
        <v/>
      </c>
      <c r="D959" s="0" t="str">
        <f aca="false">IF($A959="","",IF(AW959="Y",BN959&amp;"",AZ959&amp;""))</f>
        <v/>
      </c>
      <c r="E959" s="0" t="str">
        <f aca="false">IF($A959="","",IF(AW959="Y",BO959&amp;"",BA959&amp;""))</f>
        <v/>
      </c>
      <c r="F959" s="0" t="str">
        <f aca="false">IF($A959="","",IF(AW959="Y",BP959&amp;"",BB959&amp;""))</f>
        <v/>
      </c>
      <c r="G959" s="0" t="str">
        <f aca="false">IF($A959="","",IF(AW959="Y",BQ959&amp;"",BC959&amp;""))</f>
        <v/>
      </c>
      <c r="H959" s="0" t="str">
        <f aca="false">IF($A959="","",IF(AW959="Y",BR959&amp;"",BD959&amp;""))</f>
        <v/>
      </c>
      <c r="I959" s="0" t="str">
        <f aca="false">IF($A959="","",IF(R959="Y","warm-intro",IF(H959="verified","email",IF(C959&lt;&gt;"","linkedin",CB959&amp;""))))</f>
        <v/>
      </c>
      <c r="J959" s="0" t="str">
        <f aca="false">IF($A959="","",IF(CN959="pass",ROUND(N(EM959)+N(EN959)+N(EO959)+N(EP959)+N(EQ959)+N(ER959),1),0))</f>
        <v/>
      </c>
      <c r="K959" s="0" t="str">
        <f aca="false">IF($A959="","",IF(CN959&lt;&gt;"pass",CA959&amp;"",CA959&amp;"; "&amp;IF(AW959="Y",BZ959&amp;"",BL959&amp;"")&amp;IF(R959="Y","; known to the founder (+15)","")&amp;"."))</f>
        <v/>
      </c>
      <c r="R959" s="5"/>
      <c r="U959" s="5"/>
      <c r="Y959" s="0" t="str">
        <f aca="false">IF(FX959&lt;&gt;"Y","",COUNTIFS($FX$2:$FX$1000,"Y",$J$2:$J$1000,"&gt;"&amp;J959)+COUNTIFS($FX$2:$FX$1000,"Y",$J$2:$J$1000,J959,$GD$2:$GD$1000,"&lt;"&amp;GD959)+1)</f>
        <v/>
      </c>
      <c r="AB959" s="0" t="str">
        <f aca="false">IF($A959="","",IF(AW959="Y",BY959&amp;"",BK959&amp;""))</f>
        <v/>
      </c>
      <c r="AC959" s="0" t="str">
        <f aca="false">IF($A959="","",IF(AW959="Y",BS959&amp;"",BE959&amp;""))</f>
        <v/>
      </c>
      <c r="AD959" s="0" t="str">
        <f aca="false">IF($A959="","",IF(AW959="Y",BT959&amp;"",BF959&amp;""))</f>
        <v/>
      </c>
      <c r="AE959" s="0" t="str">
        <f aca="false">IF($A959="","",IF(AW959="Y",BU959&amp;"",BG959&amp;""))</f>
        <v/>
      </c>
      <c r="AF959" s="0" t="str">
        <f aca="false">IF($A959="","",IF(AW959="Y",BV959&amp;"",BH959&amp;""))</f>
        <v/>
      </c>
      <c r="AG959" s="0" t="str">
        <f aca="false">IF($A959="","",IF(AW959="Y",BW959&amp;"",BI959&amp;""))</f>
        <v/>
      </c>
      <c r="AH959" s="0" t="str">
        <f aca="false">IF($A959="","",IF(AW959="Y",BX959&amp;"",BJ959&amp;""))</f>
        <v/>
      </c>
      <c r="AQ959" s="5"/>
      <c r="AT959" s="0" t="str">
        <f aca="false">IF($A959="","",IF(AND(CN959="pass",AQ959&lt;&gt;"Y",C959&lt;&gt;"",OR(AX959&lt;&gt;"Y",AV959="Y")),"Y","N"))</f>
        <v/>
      </c>
      <c r="AU959" s="0" t="str">
        <f aca="false">IF($A959="","",_xlfn.TEXTJOIN("; ",TRUE(),IF(CN959&lt;&gt;"pass","gated out",""),IF(AQ959="Y","on hold: "&amp;AR959,""),IF(C959="","no contact named on an opened page",""),IF(AND(AX959="Y",AV959&lt;&gt;"Y"),"Tuesday estimate band "&amp;L959&amp;": founder's call","")))</f>
        <v/>
      </c>
      <c r="BC959" s="0" t="str">
        <f aca="false">IF($A959="","",IFERROR(INDEX(Enrichment!$A$2:$GZ$2000,MATCH($A959,INDEX(Enrichment!$A$2:$GZ$2000,0,MATCH("row_id",Enrichment!$A$1:$GZ$1,0)),0),MATCH("work_email",Enrichment!$A$1:$GZ$1,0))&amp;"",""))</f>
        <v/>
      </c>
      <c r="BD959" s="0" t="str">
        <f aca="false">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Q959" s="0" t="str">
        <f aca="false">IF($A959="","",IFERROR(INDEX(Enrichment!$A$2:$GZ$2000,MATCH($A959,INDEX(Enrichment!$A$2:$GZ$2000,0,MATCH("row_id",Enrichment!$A$1:$GZ$1,0)),0),MATCH("backup_work_email",Enrichment!$A$1:$GZ$1,0))&amp;"",""))</f>
        <v/>
      </c>
      <c r="BR959" s="0" t="str">
        <f aca="false">IF($A959="","",IF(BQ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EQ959" s="0" t="str">
        <f aca="false">IF($A959="","",IF(AH959="exact",10,IF(AH959="adjacent",5,0)))</f>
        <v/>
      </c>
      <c r="ER959" s="0" t="str">
        <f aca="false">IF($A959="","",IF(R959="Y",15,0))</f>
        <v/>
      </c>
      <c r="FS959" s="0" t="str">
        <f aca="false">IF($A959="","",IF(ISNUMBER(MATCH(U959,{"queued","contacted","replied","call_booked","call_done","yes_in_principle","materials_sent"},0)),"Y","N"))</f>
        <v/>
      </c>
      <c r="FT959" s="0" t="str">
        <f aca="false">IF($A959="","",IF(OR(T959="Y",U959="do_not_contact",AS959&amp;""&lt;&gt;""),"Y","N"))</f>
        <v/>
      </c>
      <c r="FU959" s="0" t="str">
        <f aca="false">IF($A959="","",IF(AP959&amp;""&lt;&gt;"",AP959&amp;"",$A959))</f>
        <v/>
      </c>
      <c r="FV959" s="0" t="str">
        <f aca="false">IF($A959="","",IF(COUNTIFS($FU$2:$FU$1000,FU959,$FS$2:$FS$1000,"Y")+COUNTIFS($FU$2:$FU$1000,FU959,$FT$2:$FT$1000,"Y")&gt;0,"Y","N"))</f>
        <v/>
      </c>
      <c r="FW959" s="0" t="str">
        <f aca="false">IF($A959="","",IF(AND(U959="new",T959="N",FT959="N",AT959="Y",FV959="N"),"Y","N"))</f>
        <v/>
      </c>
      <c r="FX959" s="0" t="str">
        <f aca="false">IF($A959="","",IF(FW959&lt;&gt;"Y","N",IF(COUNTIFS($FU$2:$FU$1000,FU959,$FW$2:$FW$1000,"Y",$J$2:$J$1000,"&gt;"&amp;J959)+COUNTIFS($FU$2:$FU$1000,FU959,$FW$2:$FW$1000,"Y",$J$2:$J$1000,J959,$GD$2:$GD$1000,"&lt;"&amp;GD959)=0,"Y","N")))</f>
        <v/>
      </c>
      <c r="FY959" s="0" t="str">
        <f aca="false">IF($A959="","",IF(AND(FW959="Y",FX959="Y",Y959&amp;""&lt;&gt;""),IF(Y959&lt;=10,"Y","N"),"N"))</f>
        <v/>
      </c>
      <c r="FZ959" s="0" t="str">
        <f aca="false">IF(FY959="Y",Y959,"")</f>
        <v/>
      </c>
      <c r="GA959" s="0" t="str">
        <f aca="false">IF($A959="","",IF(AND(I959="walk-in",CN959="pass",U959="new",FT959="N",FV959="N",AQ959&lt;&gt;"Y"),"Y","N"))</f>
        <v/>
      </c>
      <c r="GB959" s="0" t="str">
        <f aca="false">IF(GA959&lt;&gt;"Y","",IF(COUNTIFS($GA$2:$GA$1000,"Y",$J$2:$J$1000,"&gt;"&amp;J959)+COUNTIFS($GA$2:$GA$1000,"Y",$J$2:$J$1000,J959,$GD$2:$GD$1000,"&lt;"&amp;GD959)+1&lt;=25,COUNTIFS($GA$2:$GA$1000,"Y",$J$2:$J$1000,"&gt;"&amp;J959)+COUNTIFS($GA$2:$GA$1000,"Y",$J$2:$J$1000,J959,$GD$2:$GD$1000,"&lt;"&amp;GD959)+1,""))</f>
        <v/>
      </c>
      <c r="GC959" s="0" t="str">
        <f aca="false">IF(AND(_xlfn.ISFORMULA(C959),_xlfn.ISFORMULA(J959)),"Y","N")</f>
        <v>Y</v>
      </c>
      <c r="GD959" s="0" t="n">
        <f aca="false">ROW()-1</f>
        <v>958</v>
      </c>
    </row>
    <row r="960" customFormat="false" ht="15" hidden="false" customHeight="false" outlineLevel="0" collapsed="false">
      <c r="C960" s="0" t="str">
        <f aca="false">IF($A960="","",IF(AW960="Y",BM960&amp;"",AY960&amp;""))</f>
        <v/>
      </c>
      <c r="D960" s="0" t="str">
        <f aca="false">IF($A960="","",IF(AW960="Y",BN960&amp;"",AZ960&amp;""))</f>
        <v/>
      </c>
      <c r="E960" s="0" t="str">
        <f aca="false">IF($A960="","",IF(AW960="Y",BO960&amp;"",BA960&amp;""))</f>
        <v/>
      </c>
      <c r="F960" s="0" t="str">
        <f aca="false">IF($A960="","",IF(AW960="Y",BP960&amp;"",BB960&amp;""))</f>
        <v/>
      </c>
      <c r="G960" s="0" t="str">
        <f aca="false">IF($A960="","",IF(AW960="Y",BQ960&amp;"",BC960&amp;""))</f>
        <v/>
      </c>
      <c r="H960" s="0" t="str">
        <f aca="false">IF($A960="","",IF(AW960="Y",BR960&amp;"",BD960&amp;""))</f>
        <v/>
      </c>
      <c r="I960" s="0" t="str">
        <f aca="false">IF($A960="","",IF(R960="Y","warm-intro",IF(H960="verified","email",IF(C960&lt;&gt;"","linkedin",CB960&amp;""))))</f>
        <v/>
      </c>
      <c r="J960" s="0" t="str">
        <f aca="false">IF($A960="","",IF(CN960="pass",ROUND(N(EM960)+N(EN960)+N(EO960)+N(EP960)+N(EQ960)+N(ER960),1),0))</f>
        <v/>
      </c>
      <c r="K960" s="0" t="str">
        <f aca="false">IF($A960="","",IF(CN960&lt;&gt;"pass",CA960&amp;"",CA960&amp;"; "&amp;IF(AW960="Y",BZ960&amp;"",BL960&amp;"")&amp;IF(R960="Y","; known to the founder (+15)","")&amp;"."))</f>
        <v/>
      </c>
      <c r="R960" s="5"/>
      <c r="U960" s="5"/>
      <c r="Y960" s="0" t="str">
        <f aca="false">IF(FX960&lt;&gt;"Y","",COUNTIFS($FX$2:$FX$1000,"Y",$J$2:$J$1000,"&gt;"&amp;J960)+COUNTIFS($FX$2:$FX$1000,"Y",$J$2:$J$1000,J960,$GD$2:$GD$1000,"&lt;"&amp;GD960)+1)</f>
        <v/>
      </c>
      <c r="AB960" s="0" t="str">
        <f aca="false">IF($A960="","",IF(AW960="Y",BY960&amp;"",BK960&amp;""))</f>
        <v/>
      </c>
      <c r="AC960" s="0" t="str">
        <f aca="false">IF($A960="","",IF(AW960="Y",BS960&amp;"",BE960&amp;""))</f>
        <v/>
      </c>
      <c r="AD960" s="0" t="str">
        <f aca="false">IF($A960="","",IF(AW960="Y",BT960&amp;"",BF960&amp;""))</f>
        <v/>
      </c>
      <c r="AE960" s="0" t="str">
        <f aca="false">IF($A960="","",IF(AW960="Y",BU960&amp;"",BG960&amp;""))</f>
        <v/>
      </c>
      <c r="AF960" s="0" t="str">
        <f aca="false">IF($A960="","",IF(AW960="Y",BV960&amp;"",BH960&amp;""))</f>
        <v/>
      </c>
      <c r="AG960" s="0" t="str">
        <f aca="false">IF($A960="","",IF(AW960="Y",BW960&amp;"",BI960&amp;""))</f>
        <v/>
      </c>
      <c r="AH960" s="0" t="str">
        <f aca="false">IF($A960="","",IF(AW960="Y",BX960&amp;"",BJ960&amp;""))</f>
        <v/>
      </c>
      <c r="AQ960" s="5"/>
      <c r="AT960" s="0" t="str">
        <f aca="false">IF($A960="","",IF(AND(CN960="pass",AQ960&lt;&gt;"Y",C960&lt;&gt;"",OR(AX960&lt;&gt;"Y",AV960="Y")),"Y","N"))</f>
        <v/>
      </c>
      <c r="AU960" s="0" t="str">
        <f aca="false">IF($A960="","",_xlfn.TEXTJOIN("; ",TRUE(),IF(CN960&lt;&gt;"pass","gated out",""),IF(AQ960="Y","on hold: "&amp;AR960,""),IF(C960="","no contact named on an opened page",""),IF(AND(AX960="Y",AV960&lt;&gt;"Y"),"Tuesday estimate band "&amp;L960&amp;": founder's call","")))</f>
        <v/>
      </c>
      <c r="BC960" s="0" t="str">
        <f aca="false">IF($A960="","",IFERROR(INDEX(Enrichment!$A$2:$GZ$2000,MATCH($A960,INDEX(Enrichment!$A$2:$GZ$2000,0,MATCH("row_id",Enrichment!$A$1:$GZ$1,0)),0),MATCH("work_email",Enrichment!$A$1:$GZ$1,0))&amp;"",""))</f>
        <v/>
      </c>
      <c r="BD960" s="0" t="str">
        <f aca="false">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Q960" s="0" t="str">
        <f aca="false">IF($A960="","",IFERROR(INDEX(Enrichment!$A$2:$GZ$2000,MATCH($A960,INDEX(Enrichment!$A$2:$GZ$2000,0,MATCH("row_id",Enrichment!$A$1:$GZ$1,0)),0),MATCH("backup_work_email",Enrichment!$A$1:$GZ$1,0))&amp;"",""))</f>
        <v/>
      </c>
      <c r="BR960" s="0" t="str">
        <f aca="false">IF($A960="","",IF(BQ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EQ960" s="0" t="str">
        <f aca="false">IF($A960="","",IF(AH960="exact",10,IF(AH960="adjacent",5,0)))</f>
        <v/>
      </c>
      <c r="ER960" s="0" t="str">
        <f aca="false">IF($A960="","",IF(R960="Y",15,0))</f>
        <v/>
      </c>
      <c r="FS960" s="0" t="str">
        <f aca="false">IF($A960="","",IF(ISNUMBER(MATCH(U960,{"queued","contacted","replied","call_booked","call_done","yes_in_principle","materials_sent"},0)),"Y","N"))</f>
        <v/>
      </c>
      <c r="FT960" s="0" t="str">
        <f aca="false">IF($A960="","",IF(OR(T960="Y",U960="do_not_contact",AS960&amp;""&lt;&gt;""),"Y","N"))</f>
        <v/>
      </c>
      <c r="FU960" s="0" t="str">
        <f aca="false">IF($A960="","",IF(AP960&amp;""&lt;&gt;"",AP960&amp;"",$A960))</f>
        <v/>
      </c>
      <c r="FV960" s="0" t="str">
        <f aca="false">IF($A960="","",IF(COUNTIFS($FU$2:$FU$1000,FU960,$FS$2:$FS$1000,"Y")+COUNTIFS($FU$2:$FU$1000,FU960,$FT$2:$FT$1000,"Y")&gt;0,"Y","N"))</f>
        <v/>
      </c>
      <c r="FW960" s="0" t="str">
        <f aca="false">IF($A960="","",IF(AND(U960="new",T960="N",FT960="N",AT960="Y",FV960="N"),"Y","N"))</f>
        <v/>
      </c>
      <c r="FX960" s="0" t="str">
        <f aca="false">IF($A960="","",IF(FW960&lt;&gt;"Y","N",IF(COUNTIFS($FU$2:$FU$1000,FU960,$FW$2:$FW$1000,"Y",$J$2:$J$1000,"&gt;"&amp;J960)+COUNTIFS($FU$2:$FU$1000,FU960,$FW$2:$FW$1000,"Y",$J$2:$J$1000,J960,$GD$2:$GD$1000,"&lt;"&amp;GD960)=0,"Y","N")))</f>
        <v/>
      </c>
      <c r="FY960" s="0" t="str">
        <f aca="false">IF($A960="","",IF(AND(FW960="Y",FX960="Y",Y960&amp;""&lt;&gt;""),IF(Y960&lt;=10,"Y","N"),"N"))</f>
        <v/>
      </c>
      <c r="FZ960" s="0" t="str">
        <f aca="false">IF(FY960="Y",Y960,"")</f>
        <v/>
      </c>
      <c r="GA960" s="0" t="str">
        <f aca="false">IF($A960="","",IF(AND(I960="walk-in",CN960="pass",U960="new",FT960="N",FV960="N",AQ960&lt;&gt;"Y"),"Y","N"))</f>
        <v/>
      </c>
      <c r="GB960" s="0" t="str">
        <f aca="false">IF(GA960&lt;&gt;"Y","",IF(COUNTIFS($GA$2:$GA$1000,"Y",$J$2:$J$1000,"&gt;"&amp;J960)+COUNTIFS($GA$2:$GA$1000,"Y",$J$2:$J$1000,J960,$GD$2:$GD$1000,"&lt;"&amp;GD960)+1&lt;=25,COUNTIFS($GA$2:$GA$1000,"Y",$J$2:$J$1000,"&gt;"&amp;J960)+COUNTIFS($GA$2:$GA$1000,"Y",$J$2:$J$1000,J960,$GD$2:$GD$1000,"&lt;"&amp;GD960)+1,""))</f>
        <v/>
      </c>
      <c r="GC960" s="0" t="str">
        <f aca="false">IF(AND(_xlfn.ISFORMULA(C960),_xlfn.ISFORMULA(J960)),"Y","N")</f>
        <v>Y</v>
      </c>
      <c r="GD960" s="0" t="n">
        <f aca="false">ROW()-1</f>
        <v>959</v>
      </c>
    </row>
    <row r="961" customFormat="false" ht="15" hidden="false" customHeight="false" outlineLevel="0" collapsed="false">
      <c r="C961" s="0" t="str">
        <f aca="false">IF($A961="","",IF(AW961="Y",BM961&amp;"",AY961&amp;""))</f>
        <v/>
      </c>
      <c r="D961" s="0" t="str">
        <f aca="false">IF($A961="","",IF(AW961="Y",BN961&amp;"",AZ961&amp;""))</f>
        <v/>
      </c>
      <c r="E961" s="0" t="str">
        <f aca="false">IF($A961="","",IF(AW961="Y",BO961&amp;"",BA961&amp;""))</f>
        <v/>
      </c>
      <c r="F961" s="0" t="str">
        <f aca="false">IF($A961="","",IF(AW961="Y",BP961&amp;"",BB961&amp;""))</f>
        <v/>
      </c>
      <c r="G961" s="0" t="str">
        <f aca="false">IF($A961="","",IF(AW961="Y",BQ961&amp;"",BC961&amp;""))</f>
        <v/>
      </c>
      <c r="H961" s="0" t="str">
        <f aca="false">IF($A961="","",IF(AW961="Y",BR961&amp;"",BD961&amp;""))</f>
        <v/>
      </c>
      <c r="I961" s="0" t="str">
        <f aca="false">IF($A961="","",IF(R961="Y","warm-intro",IF(H961="verified","email",IF(C961&lt;&gt;"","linkedin",CB961&amp;""))))</f>
        <v/>
      </c>
      <c r="J961" s="0" t="str">
        <f aca="false">IF($A961="","",IF(CN961="pass",ROUND(N(EM961)+N(EN961)+N(EO961)+N(EP961)+N(EQ961)+N(ER961),1),0))</f>
        <v/>
      </c>
      <c r="K961" s="0" t="str">
        <f aca="false">IF($A961="","",IF(CN961&lt;&gt;"pass",CA961&amp;"",CA961&amp;"; "&amp;IF(AW961="Y",BZ961&amp;"",BL961&amp;"")&amp;IF(R961="Y","; known to the founder (+15)","")&amp;"."))</f>
        <v/>
      </c>
      <c r="R961" s="5"/>
      <c r="U961" s="5"/>
      <c r="Y961" s="0" t="str">
        <f aca="false">IF(FX961&lt;&gt;"Y","",COUNTIFS($FX$2:$FX$1000,"Y",$J$2:$J$1000,"&gt;"&amp;J961)+COUNTIFS($FX$2:$FX$1000,"Y",$J$2:$J$1000,J961,$GD$2:$GD$1000,"&lt;"&amp;GD961)+1)</f>
        <v/>
      </c>
      <c r="AB961" s="0" t="str">
        <f aca="false">IF($A961="","",IF(AW961="Y",BY961&amp;"",BK961&amp;""))</f>
        <v/>
      </c>
      <c r="AC961" s="0" t="str">
        <f aca="false">IF($A961="","",IF(AW961="Y",BS961&amp;"",BE961&amp;""))</f>
        <v/>
      </c>
      <c r="AD961" s="0" t="str">
        <f aca="false">IF($A961="","",IF(AW961="Y",BT961&amp;"",BF961&amp;""))</f>
        <v/>
      </c>
      <c r="AE961" s="0" t="str">
        <f aca="false">IF($A961="","",IF(AW961="Y",BU961&amp;"",BG961&amp;""))</f>
        <v/>
      </c>
      <c r="AF961" s="0" t="str">
        <f aca="false">IF($A961="","",IF(AW961="Y",BV961&amp;"",BH961&amp;""))</f>
        <v/>
      </c>
      <c r="AG961" s="0" t="str">
        <f aca="false">IF($A961="","",IF(AW961="Y",BW961&amp;"",BI961&amp;""))</f>
        <v/>
      </c>
      <c r="AH961" s="0" t="str">
        <f aca="false">IF($A961="","",IF(AW961="Y",BX961&amp;"",BJ961&amp;""))</f>
        <v/>
      </c>
      <c r="AQ961" s="5"/>
      <c r="AT961" s="0" t="str">
        <f aca="false">IF($A961="","",IF(AND(CN961="pass",AQ961&lt;&gt;"Y",C961&lt;&gt;"",OR(AX961&lt;&gt;"Y",AV961="Y")),"Y","N"))</f>
        <v/>
      </c>
      <c r="AU961" s="0" t="str">
        <f aca="false">IF($A961="","",_xlfn.TEXTJOIN("; ",TRUE(),IF(CN961&lt;&gt;"pass","gated out",""),IF(AQ961="Y","on hold: "&amp;AR961,""),IF(C961="","no contact named on an opened page",""),IF(AND(AX961="Y",AV961&lt;&gt;"Y"),"Tuesday estimate band "&amp;L961&amp;": founder's call","")))</f>
        <v/>
      </c>
      <c r="BC961" s="0" t="str">
        <f aca="false">IF($A961="","",IFERROR(INDEX(Enrichment!$A$2:$GZ$2000,MATCH($A961,INDEX(Enrichment!$A$2:$GZ$2000,0,MATCH("row_id",Enrichment!$A$1:$GZ$1,0)),0),MATCH("work_email",Enrichment!$A$1:$GZ$1,0))&amp;"",""))</f>
        <v/>
      </c>
      <c r="BD961" s="0" t="str">
        <f aca="false">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Q961" s="0" t="str">
        <f aca="false">IF($A961="","",IFERROR(INDEX(Enrichment!$A$2:$GZ$2000,MATCH($A961,INDEX(Enrichment!$A$2:$GZ$2000,0,MATCH("row_id",Enrichment!$A$1:$GZ$1,0)),0),MATCH("backup_work_email",Enrichment!$A$1:$GZ$1,0))&amp;"",""))</f>
        <v/>
      </c>
      <c r="BR961" s="0" t="str">
        <f aca="false">IF($A961="","",IF(BQ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EQ961" s="0" t="str">
        <f aca="false">IF($A961="","",IF(AH961="exact",10,IF(AH961="adjacent",5,0)))</f>
        <v/>
      </c>
      <c r="ER961" s="0" t="str">
        <f aca="false">IF($A961="","",IF(R961="Y",15,0))</f>
        <v/>
      </c>
      <c r="FS961" s="0" t="str">
        <f aca="false">IF($A961="","",IF(ISNUMBER(MATCH(U961,{"queued","contacted","replied","call_booked","call_done","yes_in_principle","materials_sent"},0)),"Y","N"))</f>
        <v/>
      </c>
      <c r="FT961" s="0" t="str">
        <f aca="false">IF($A961="","",IF(OR(T961="Y",U961="do_not_contact",AS961&amp;""&lt;&gt;""),"Y","N"))</f>
        <v/>
      </c>
      <c r="FU961" s="0" t="str">
        <f aca="false">IF($A961="","",IF(AP961&amp;""&lt;&gt;"",AP961&amp;"",$A961))</f>
        <v/>
      </c>
      <c r="FV961" s="0" t="str">
        <f aca="false">IF($A961="","",IF(COUNTIFS($FU$2:$FU$1000,FU961,$FS$2:$FS$1000,"Y")+COUNTIFS($FU$2:$FU$1000,FU961,$FT$2:$FT$1000,"Y")&gt;0,"Y","N"))</f>
        <v/>
      </c>
      <c r="FW961" s="0" t="str">
        <f aca="false">IF($A961="","",IF(AND(U961="new",T961="N",FT961="N",AT961="Y",FV961="N"),"Y","N"))</f>
        <v/>
      </c>
      <c r="FX961" s="0" t="str">
        <f aca="false">IF($A961="","",IF(FW961&lt;&gt;"Y","N",IF(COUNTIFS($FU$2:$FU$1000,FU961,$FW$2:$FW$1000,"Y",$J$2:$J$1000,"&gt;"&amp;J961)+COUNTIFS($FU$2:$FU$1000,FU961,$FW$2:$FW$1000,"Y",$J$2:$J$1000,J961,$GD$2:$GD$1000,"&lt;"&amp;GD961)=0,"Y","N")))</f>
        <v/>
      </c>
      <c r="FY961" s="0" t="str">
        <f aca="false">IF($A961="","",IF(AND(FW961="Y",FX961="Y",Y961&amp;""&lt;&gt;""),IF(Y961&lt;=10,"Y","N"),"N"))</f>
        <v/>
      </c>
      <c r="FZ961" s="0" t="str">
        <f aca="false">IF(FY961="Y",Y961,"")</f>
        <v/>
      </c>
      <c r="GA961" s="0" t="str">
        <f aca="false">IF($A961="","",IF(AND(I961="walk-in",CN961="pass",U961="new",FT961="N",FV961="N",AQ961&lt;&gt;"Y"),"Y","N"))</f>
        <v/>
      </c>
      <c r="GB961" s="0" t="str">
        <f aca="false">IF(GA961&lt;&gt;"Y","",IF(COUNTIFS($GA$2:$GA$1000,"Y",$J$2:$J$1000,"&gt;"&amp;J961)+COUNTIFS($GA$2:$GA$1000,"Y",$J$2:$J$1000,J961,$GD$2:$GD$1000,"&lt;"&amp;GD961)+1&lt;=25,COUNTIFS($GA$2:$GA$1000,"Y",$J$2:$J$1000,"&gt;"&amp;J961)+COUNTIFS($GA$2:$GA$1000,"Y",$J$2:$J$1000,J961,$GD$2:$GD$1000,"&lt;"&amp;GD961)+1,""))</f>
        <v/>
      </c>
      <c r="GC961" s="0" t="str">
        <f aca="false">IF(AND(_xlfn.ISFORMULA(C961),_xlfn.ISFORMULA(J961)),"Y","N")</f>
        <v>Y</v>
      </c>
      <c r="GD961" s="0" t="n">
        <f aca="false">ROW()-1</f>
        <v>960</v>
      </c>
    </row>
    <row r="962" customFormat="false" ht="15" hidden="false" customHeight="false" outlineLevel="0" collapsed="false">
      <c r="C962" s="0" t="str">
        <f aca="false">IF($A962="","",IF(AW962="Y",BM962&amp;"",AY962&amp;""))</f>
        <v/>
      </c>
      <c r="D962" s="0" t="str">
        <f aca="false">IF($A962="","",IF(AW962="Y",BN962&amp;"",AZ962&amp;""))</f>
        <v/>
      </c>
      <c r="E962" s="0" t="str">
        <f aca="false">IF($A962="","",IF(AW962="Y",BO962&amp;"",BA962&amp;""))</f>
        <v/>
      </c>
      <c r="F962" s="0" t="str">
        <f aca="false">IF($A962="","",IF(AW962="Y",BP962&amp;"",BB962&amp;""))</f>
        <v/>
      </c>
      <c r="G962" s="0" t="str">
        <f aca="false">IF($A962="","",IF(AW962="Y",BQ962&amp;"",BC962&amp;""))</f>
        <v/>
      </c>
      <c r="H962" s="0" t="str">
        <f aca="false">IF($A962="","",IF(AW962="Y",BR962&amp;"",BD962&amp;""))</f>
        <v/>
      </c>
      <c r="I962" s="0" t="str">
        <f aca="false">IF($A962="","",IF(R962="Y","warm-intro",IF(H962="verified","email",IF(C962&lt;&gt;"","linkedin",CB962&amp;""))))</f>
        <v/>
      </c>
      <c r="J962" s="0" t="str">
        <f aca="false">IF($A962="","",IF(CN962="pass",ROUND(N(EM962)+N(EN962)+N(EO962)+N(EP962)+N(EQ962)+N(ER962),1),0))</f>
        <v/>
      </c>
      <c r="K962" s="0" t="str">
        <f aca="false">IF($A962="","",IF(CN962&lt;&gt;"pass",CA962&amp;"",CA962&amp;"; "&amp;IF(AW962="Y",BZ962&amp;"",BL962&amp;"")&amp;IF(R962="Y","; known to the founder (+15)","")&amp;"."))</f>
        <v/>
      </c>
      <c r="R962" s="5"/>
      <c r="U962" s="5"/>
      <c r="Y962" s="0" t="str">
        <f aca="false">IF(FX962&lt;&gt;"Y","",COUNTIFS($FX$2:$FX$1000,"Y",$J$2:$J$1000,"&gt;"&amp;J962)+COUNTIFS($FX$2:$FX$1000,"Y",$J$2:$J$1000,J962,$GD$2:$GD$1000,"&lt;"&amp;GD962)+1)</f>
        <v/>
      </c>
      <c r="AB962" s="0" t="str">
        <f aca="false">IF($A962="","",IF(AW962="Y",BY962&amp;"",BK962&amp;""))</f>
        <v/>
      </c>
      <c r="AC962" s="0" t="str">
        <f aca="false">IF($A962="","",IF(AW962="Y",BS962&amp;"",BE962&amp;""))</f>
        <v/>
      </c>
      <c r="AD962" s="0" t="str">
        <f aca="false">IF($A962="","",IF(AW962="Y",BT962&amp;"",BF962&amp;""))</f>
        <v/>
      </c>
      <c r="AE962" s="0" t="str">
        <f aca="false">IF($A962="","",IF(AW962="Y",BU962&amp;"",BG962&amp;""))</f>
        <v/>
      </c>
      <c r="AF962" s="0" t="str">
        <f aca="false">IF($A962="","",IF(AW962="Y",BV962&amp;"",BH962&amp;""))</f>
        <v/>
      </c>
      <c r="AG962" s="0" t="str">
        <f aca="false">IF($A962="","",IF(AW962="Y",BW962&amp;"",BI962&amp;""))</f>
        <v/>
      </c>
      <c r="AH962" s="0" t="str">
        <f aca="false">IF($A962="","",IF(AW962="Y",BX962&amp;"",BJ962&amp;""))</f>
        <v/>
      </c>
      <c r="AQ962" s="5"/>
      <c r="AT962" s="0" t="str">
        <f aca="false">IF($A962="","",IF(AND(CN962="pass",AQ962&lt;&gt;"Y",C962&lt;&gt;"",OR(AX962&lt;&gt;"Y",AV962="Y")),"Y","N"))</f>
        <v/>
      </c>
      <c r="AU962" s="0" t="str">
        <f aca="false">IF($A962="","",_xlfn.TEXTJOIN("; ",TRUE(),IF(CN962&lt;&gt;"pass","gated out",""),IF(AQ962="Y","on hold: "&amp;AR962,""),IF(C962="","no contact named on an opened page",""),IF(AND(AX962="Y",AV962&lt;&gt;"Y"),"Tuesday estimate band "&amp;L962&amp;": founder's call","")))</f>
        <v/>
      </c>
      <c r="BC962" s="0" t="str">
        <f aca="false">IF($A962="","",IFERROR(INDEX(Enrichment!$A$2:$GZ$2000,MATCH($A962,INDEX(Enrichment!$A$2:$GZ$2000,0,MATCH("row_id",Enrichment!$A$1:$GZ$1,0)),0),MATCH("work_email",Enrichment!$A$1:$GZ$1,0))&amp;"",""))</f>
        <v/>
      </c>
      <c r="BD962" s="0" t="str">
        <f aca="false">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Q962" s="0" t="str">
        <f aca="false">IF($A962="","",IFERROR(INDEX(Enrichment!$A$2:$GZ$2000,MATCH($A962,INDEX(Enrichment!$A$2:$GZ$2000,0,MATCH("row_id",Enrichment!$A$1:$GZ$1,0)),0),MATCH("backup_work_email",Enrichment!$A$1:$GZ$1,0))&amp;"",""))</f>
        <v/>
      </c>
      <c r="BR962" s="0" t="str">
        <f aca="false">IF($A962="","",IF(BQ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EQ962" s="0" t="str">
        <f aca="false">IF($A962="","",IF(AH962="exact",10,IF(AH962="adjacent",5,0)))</f>
        <v/>
      </c>
      <c r="ER962" s="0" t="str">
        <f aca="false">IF($A962="","",IF(R962="Y",15,0))</f>
        <v/>
      </c>
      <c r="FS962" s="0" t="str">
        <f aca="false">IF($A962="","",IF(ISNUMBER(MATCH(U962,{"queued","contacted","replied","call_booked","call_done","yes_in_principle","materials_sent"},0)),"Y","N"))</f>
        <v/>
      </c>
      <c r="FT962" s="0" t="str">
        <f aca="false">IF($A962="","",IF(OR(T962="Y",U962="do_not_contact",AS962&amp;""&lt;&gt;""),"Y","N"))</f>
        <v/>
      </c>
      <c r="FU962" s="0" t="str">
        <f aca="false">IF($A962="","",IF(AP962&amp;""&lt;&gt;"",AP962&amp;"",$A962))</f>
        <v/>
      </c>
      <c r="FV962" s="0" t="str">
        <f aca="false">IF($A962="","",IF(COUNTIFS($FU$2:$FU$1000,FU962,$FS$2:$FS$1000,"Y")+COUNTIFS($FU$2:$FU$1000,FU962,$FT$2:$FT$1000,"Y")&gt;0,"Y","N"))</f>
        <v/>
      </c>
      <c r="FW962" s="0" t="str">
        <f aca="false">IF($A962="","",IF(AND(U962="new",T962="N",FT962="N",AT962="Y",FV962="N"),"Y","N"))</f>
        <v/>
      </c>
      <c r="FX962" s="0" t="str">
        <f aca="false">IF($A962="","",IF(FW962&lt;&gt;"Y","N",IF(COUNTIFS($FU$2:$FU$1000,FU962,$FW$2:$FW$1000,"Y",$J$2:$J$1000,"&gt;"&amp;J962)+COUNTIFS($FU$2:$FU$1000,FU962,$FW$2:$FW$1000,"Y",$J$2:$J$1000,J962,$GD$2:$GD$1000,"&lt;"&amp;GD962)=0,"Y","N")))</f>
        <v/>
      </c>
      <c r="FY962" s="0" t="str">
        <f aca="false">IF($A962="","",IF(AND(FW962="Y",FX962="Y",Y962&amp;""&lt;&gt;""),IF(Y962&lt;=10,"Y","N"),"N"))</f>
        <v/>
      </c>
      <c r="FZ962" s="0" t="str">
        <f aca="false">IF(FY962="Y",Y962,"")</f>
        <v/>
      </c>
      <c r="GA962" s="0" t="str">
        <f aca="false">IF($A962="","",IF(AND(I962="walk-in",CN962="pass",U962="new",FT962="N",FV962="N",AQ962&lt;&gt;"Y"),"Y","N"))</f>
        <v/>
      </c>
      <c r="GB962" s="0" t="str">
        <f aca="false">IF(GA962&lt;&gt;"Y","",IF(COUNTIFS($GA$2:$GA$1000,"Y",$J$2:$J$1000,"&gt;"&amp;J962)+COUNTIFS($GA$2:$GA$1000,"Y",$J$2:$J$1000,J962,$GD$2:$GD$1000,"&lt;"&amp;GD962)+1&lt;=25,COUNTIFS($GA$2:$GA$1000,"Y",$J$2:$J$1000,"&gt;"&amp;J962)+COUNTIFS($GA$2:$GA$1000,"Y",$J$2:$J$1000,J962,$GD$2:$GD$1000,"&lt;"&amp;GD962)+1,""))</f>
        <v/>
      </c>
      <c r="GC962" s="0" t="str">
        <f aca="false">IF(AND(_xlfn.ISFORMULA(C962),_xlfn.ISFORMULA(J962)),"Y","N")</f>
        <v>Y</v>
      </c>
      <c r="GD962" s="0" t="n">
        <f aca="false">ROW()-1</f>
        <v>961</v>
      </c>
    </row>
    <row r="963" customFormat="false" ht="15" hidden="false" customHeight="false" outlineLevel="0" collapsed="false">
      <c r="C963" s="0" t="str">
        <f aca="false">IF($A963="","",IF(AW963="Y",BM963&amp;"",AY963&amp;""))</f>
        <v/>
      </c>
      <c r="D963" s="0" t="str">
        <f aca="false">IF($A963="","",IF(AW963="Y",BN963&amp;"",AZ963&amp;""))</f>
        <v/>
      </c>
      <c r="E963" s="0" t="str">
        <f aca="false">IF($A963="","",IF(AW963="Y",BO963&amp;"",BA963&amp;""))</f>
        <v/>
      </c>
      <c r="F963" s="0" t="str">
        <f aca="false">IF($A963="","",IF(AW963="Y",BP963&amp;"",BB963&amp;""))</f>
        <v/>
      </c>
      <c r="G963" s="0" t="str">
        <f aca="false">IF($A963="","",IF(AW963="Y",BQ963&amp;"",BC963&amp;""))</f>
        <v/>
      </c>
      <c r="H963" s="0" t="str">
        <f aca="false">IF($A963="","",IF(AW963="Y",BR963&amp;"",BD963&amp;""))</f>
        <v/>
      </c>
      <c r="I963" s="0" t="str">
        <f aca="false">IF($A963="","",IF(R963="Y","warm-intro",IF(H963="verified","email",IF(C963&lt;&gt;"","linkedin",CB963&amp;""))))</f>
        <v/>
      </c>
      <c r="J963" s="0" t="str">
        <f aca="false">IF($A963="","",IF(CN963="pass",ROUND(N(EM963)+N(EN963)+N(EO963)+N(EP963)+N(EQ963)+N(ER963),1),0))</f>
        <v/>
      </c>
      <c r="K963" s="0" t="str">
        <f aca="false">IF($A963="","",IF(CN963&lt;&gt;"pass",CA963&amp;"",CA963&amp;"; "&amp;IF(AW963="Y",BZ963&amp;"",BL963&amp;"")&amp;IF(R963="Y","; known to the founder (+15)","")&amp;"."))</f>
        <v/>
      </c>
      <c r="R963" s="5"/>
      <c r="U963" s="5"/>
      <c r="Y963" s="0" t="str">
        <f aca="false">IF(FX963&lt;&gt;"Y","",COUNTIFS($FX$2:$FX$1000,"Y",$J$2:$J$1000,"&gt;"&amp;J963)+COUNTIFS($FX$2:$FX$1000,"Y",$J$2:$J$1000,J963,$GD$2:$GD$1000,"&lt;"&amp;GD963)+1)</f>
        <v/>
      </c>
      <c r="AB963" s="0" t="str">
        <f aca="false">IF($A963="","",IF(AW963="Y",BY963&amp;"",BK963&amp;""))</f>
        <v/>
      </c>
      <c r="AC963" s="0" t="str">
        <f aca="false">IF($A963="","",IF(AW963="Y",BS963&amp;"",BE963&amp;""))</f>
        <v/>
      </c>
      <c r="AD963" s="0" t="str">
        <f aca="false">IF($A963="","",IF(AW963="Y",BT963&amp;"",BF963&amp;""))</f>
        <v/>
      </c>
      <c r="AE963" s="0" t="str">
        <f aca="false">IF($A963="","",IF(AW963="Y",BU963&amp;"",BG963&amp;""))</f>
        <v/>
      </c>
      <c r="AF963" s="0" t="str">
        <f aca="false">IF($A963="","",IF(AW963="Y",BV963&amp;"",BH963&amp;""))</f>
        <v/>
      </c>
      <c r="AG963" s="0" t="str">
        <f aca="false">IF($A963="","",IF(AW963="Y",BW963&amp;"",BI963&amp;""))</f>
        <v/>
      </c>
      <c r="AH963" s="0" t="str">
        <f aca="false">IF($A963="","",IF(AW963="Y",BX963&amp;"",BJ963&amp;""))</f>
        <v/>
      </c>
      <c r="AQ963" s="5"/>
      <c r="AT963" s="0" t="str">
        <f aca="false">IF($A963="","",IF(AND(CN963="pass",AQ963&lt;&gt;"Y",C963&lt;&gt;"",OR(AX963&lt;&gt;"Y",AV963="Y")),"Y","N"))</f>
        <v/>
      </c>
      <c r="AU963" s="0" t="str">
        <f aca="false">IF($A963="","",_xlfn.TEXTJOIN("; ",TRUE(),IF(CN963&lt;&gt;"pass","gated out",""),IF(AQ963="Y","on hold: "&amp;AR963,""),IF(C963="","no contact named on an opened page",""),IF(AND(AX963="Y",AV963&lt;&gt;"Y"),"Tuesday estimate band "&amp;L963&amp;": founder's call","")))</f>
        <v/>
      </c>
      <c r="BC963" s="0" t="str">
        <f aca="false">IF($A963="","",IFERROR(INDEX(Enrichment!$A$2:$GZ$2000,MATCH($A963,INDEX(Enrichment!$A$2:$GZ$2000,0,MATCH("row_id",Enrichment!$A$1:$GZ$1,0)),0),MATCH("work_email",Enrichment!$A$1:$GZ$1,0))&amp;"",""))</f>
        <v/>
      </c>
      <c r="BD963" s="0" t="str">
        <f aca="false">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Q963" s="0" t="str">
        <f aca="false">IF($A963="","",IFERROR(INDEX(Enrichment!$A$2:$GZ$2000,MATCH($A963,INDEX(Enrichment!$A$2:$GZ$2000,0,MATCH("row_id",Enrichment!$A$1:$GZ$1,0)),0),MATCH("backup_work_email",Enrichment!$A$1:$GZ$1,0))&amp;"",""))</f>
        <v/>
      </c>
      <c r="BR963" s="0" t="str">
        <f aca="false">IF($A963="","",IF(BQ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EQ963" s="0" t="str">
        <f aca="false">IF($A963="","",IF(AH963="exact",10,IF(AH963="adjacent",5,0)))</f>
        <v/>
      </c>
      <c r="ER963" s="0" t="str">
        <f aca="false">IF($A963="","",IF(R963="Y",15,0))</f>
        <v/>
      </c>
      <c r="FS963" s="0" t="str">
        <f aca="false">IF($A963="","",IF(ISNUMBER(MATCH(U963,{"queued","contacted","replied","call_booked","call_done","yes_in_principle","materials_sent"},0)),"Y","N"))</f>
        <v/>
      </c>
      <c r="FT963" s="0" t="str">
        <f aca="false">IF($A963="","",IF(OR(T963="Y",U963="do_not_contact",AS963&amp;""&lt;&gt;""),"Y","N"))</f>
        <v/>
      </c>
      <c r="FU963" s="0" t="str">
        <f aca="false">IF($A963="","",IF(AP963&amp;""&lt;&gt;"",AP963&amp;"",$A963))</f>
        <v/>
      </c>
      <c r="FV963" s="0" t="str">
        <f aca="false">IF($A963="","",IF(COUNTIFS($FU$2:$FU$1000,FU963,$FS$2:$FS$1000,"Y")+COUNTIFS($FU$2:$FU$1000,FU963,$FT$2:$FT$1000,"Y")&gt;0,"Y","N"))</f>
        <v/>
      </c>
      <c r="FW963" s="0" t="str">
        <f aca="false">IF($A963="","",IF(AND(U963="new",T963="N",FT963="N",AT963="Y",FV963="N"),"Y","N"))</f>
        <v/>
      </c>
      <c r="FX963" s="0" t="str">
        <f aca="false">IF($A963="","",IF(FW963&lt;&gt;"Y","N",IF(COUNTIFS($FU$2:$FU$1000,FU963,$FW$2:$FW$1000,"Y",$J$2:$J$1000,"&gt;"&amp;J963)+COUNTIFS($FU$2:$FU$1000,FU963,$FW$2:$FW$1000,"Y",$J$2:$J$1000,J963,$GD$2:$GD$1000,"&lt;"&amp;GD963)=0,"Y","N")))</f>
        <v/>
      </c>
      <c r="FY963" s="0" t="str">
        <f aca="false">IF($A963="","",IF(AND(FW963="Y",FX963="Y",Y963&amp;""&lt;&gt;""),IF(Y963&lt;=10,"Y","N"),"N"))</f>
        <v/>
      </c>
      <c r="FZ963" s="0" t="str">
        <f aca="false">IF(FY963="Y",Y963,"")</f>
        <v/>
      </c>
      <c r="GA963" s="0" t="str">
        <f aca="false">IF($A963="","",IF(AND(I963="walk-in",CN963="pass",U963="new",FT963="N",FV963="N",AQ963&lt;&gt;"Y"),"Y","N"))</f>
        <v/>
      </c>
      <c r="GB963" s="0" t="str">
        <f aca="false">IF(GA963&lt;&gt;"Y","",IF(COUNTIFS($GA$2:$GA$1000,"Y",$J$2:$J$1000,"&gt;"&amp;J963)+COUNTIFS($GA$2:$GA$1000,"Y",$J$2:$J$1000,J963,$GD$2:$GD$1000,"&lt;"&amp;GD963)+1&lt;=25,COUNTIFS($GA$2:$GA$1000,"Y",$J$2:$J$1000,"&gt;"&amp;J963)+COUNTIFS($GA$2:$GA$1000,"Y",$J$2:$J$1000,J963,$GD$2:$GD$1000,"&lt;"&amp;GD963)+1,""))</f>
        <v/>
      </c>
      <c r="GC963" s="0" t="str">
        <f aca="false">IF(AND(_xlfn.ISFORMULA(C963),_xlfn.ISFORMULA(J963)),"Y","N")</f>
        <v>Y</v>
      </c>
      <c r="GD963" s="0" t="n">
        <f aca="false">ROW()-1</f>
        <v>962</v>
      </c>
    </row>
    <row r="964" customFormat="false" ht="15" hidden="false" customHeight="false" outlineLevel="0" collapsed="false">
      <c r="C964" s="0" t="str">
        <f aca="false">IF($A964="","",IF(AW964="Y",BM964&amp;"",AY964&amp;""))</f>
        <v/>
      </c>
      <c r="D964" s="0" t="str">
        <f aca="false">IF($A964="","",IF(AW964="Y",BN964&amp;"",AZ964&amp;""))</f>
        <v/>
      </c>
      <c r="E964" s="0" t="str">
        <f aca="false">IF($A964="","",IF(AW964="Y",BO964&amp;"",BA964&amp;""))</f>
        <v/>
      </c>
      <c r="F964" s="0" t="str">
        <f aca="false">IF($A964="","",IF(AW964="Y",BP964&amp;"",BB964&amp;""))</f>
        <v/>
      </c>
      <c r="G964" s="0" t="str">
        <f aca="false">IF($A964="","",IF(AW964="Y",BQ964&amp;"",BC964&amp;""))</f>
        <v/>
      </c>
      <c r="H964" s="0" t="str">
        <f aca="false">IF($A964="","",IF(AW964="Y",BR964&amp;"",BD964&amp;""))</f>
        <v/>
      </c>
      <c r="I964" s="0" t="str">
        <f aca="false">IF($A964="","",IF(R964="Y","warm-intro",IF(H964="verified","email",IF(C964&lt;&gt;"","linkedin",CB964&amp;""))))</f>
        <v/>
      </c>
      <c r="J964" s="0" t="str">
        <f aca="false">IF($A964="","",IF(CN964="pass",ROUND(N(EM964)+N(EN964)+N(EO964)+N(EP964)+N(EQ964)+N(ER964),1),0))</f>
        <v/>
      </c>
      <c r="K964" s="0" t="str">
        <f aca="false">IF($A964="","",IF(CN964&lt;&gt;"pass",CA964&amp;"",CA964&amp;"; "&amp;IF(AW964="Y",BZ964&amp;"",BL964&amp;"")&amp;IF(R964="Y","; known to the founder (+15)","")&amp;"."))</f>
        <v/>
      </c>
      <c r="R964" s="5"/>
      <c r="U964" s="5"/>
      <c r="Y964" s="0" t="str">
        <f aca="false">IF(FX964&lt;&gt;"Y","",COUNTIFS($FX$2:$FX$1000,"Y",$J$2:$J$1000,"&gt;"&amp;J964)+COUNTIFS($FX$2:$FX$1000,"Y",$J$2:$J$1000,J964,$GD$2:$GD$1000,"&lt;"&amp;GD964)+1)</f>
        <v/>
      </c>
      <c r="AB964" s="0" t="str">
        <f aca="false">IF($A964="","",IF(AW964="Y",BY964&amp;"",BK964&amp;""))</f>
        <v/>
      </c>
      <c r="AC964" s="0" t="str">
        <f aca="false">IF($A964="","",IF(AW964="Y",BS964&amp;"",BE964&amp;""))</f>
        <v/>
      </c>
      <c r="AD964" s="0" t="str">
        <f aca="false">IF($A964="","",IF(AW964="Y",BT964&amp;"",BF964&amp;""))</f>
        <v/>
      </c>
      <c r="AE964" s="0" t="str">
        <f aca="false">IF($A964="","",IF(AW964="Y",BU964&amp;"",BG964&amp;""))</f>
        <v/>
      </c>
      <c r="AF964" s="0" t="str">
        <f aca="false">IF($A964="","",IF(AW964="Y",BV964&amp;"",BH964&amp;""))</f>
        <v/>
      </c>
      <c r="AG964" s="0" t="str">
        <f aca="false">IF($A964="","",IF(AW964="Y",BW964&amp;"",BI964&amp;""))</f>
        <v/>
      </c>
      <c r="AH964" s="0" t="str">
        <f aca="false">IF($A964="","",IF(AW964="Y",BX964&amp;"",BJ964&amp;""))</f>
        <v/>
      </c>
      <c r="AQ964" s="5"/>
      <c r="AT964" s="0" t="str">
        <f aca="false">IF($A964="","",IF(AND(CN964="pass",AQ964&lt;&gt;"Y",C964&lt;&gt;"",OR(AX964&lt;&gt;"Y",AV964="Y")),"Y","N"))</f>
        <v/>
      </c>
      <c r="AU964" s="0" t="str">
        <f aca="false">IF($A964="","",_xlfn.TEXTJOIN("; ",TRUE(),IF(CN964&lt;&gt;"pass","gated out",""),IF(AQ964="Y","on hold: "&amp;AR964,""),IF(C964="","no contact named on an opened page",""),IF(AND(AX964="Y",AV964&lt;&gt;"Y"),"Tuesday estimate band "&amp;L964&amp;": founder's call","")))</f>
        <v/>
      </c>
      <c r="BC964" s="0" t="str">
        <f aca="false">IF($A964="","",IFERROR(INDEX(Enrichment!$A$2:$GZ$2000,MATCH($A964,INDEX(Enrichment!$A$2:$GZ$2000,0,MATCH("row_id",Enrichment!$A$1:$GZ$1,0)),0),MATCH("work_email",Enrichment!$A$1:$GZ$1,0))&amp;"",""))</f>
        <v/>
      </c>
      <c r="BD964" s="0" t="str">
        <f aca="false">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Q964" s="0" t="str">
        <f aca="false">IF($A964="","",IFERROR(INDEX(Enrichment!$A$2:$GZ$2000,MATCH($A964,INDEX(Enrichment!$A$2:$GZ$2000,0,MATCH("row_id",Enrichment!$A$1:$GZ$1,0)),0),MATCH("backup_work_email",Enrichment!$A$1:$GZ$1,0))&amp;"",""))</f>
        <v/>
      </c>
      <c r="BR964" s="0" t="str">
        <f aca="false">IF($A964="","",IF(BQ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EQ964" s="0" t="str">
        <f aca="false">IF($A964="","",IF(AH964="exact",10,IF(AH964="adjacent",5,0)))</f>
        <v/>
      </c>
      <c r="ER964" s="0" t="str">
        <f aca="false">IF($A964="","",IF(R964="Y",15,0))</f>
        <v/>
      </c>
      <c r="FS964" s="0" t="str">
        <f aca="false">IF($A964="","",IF(ISNUMBER(MATCH(U964,{"queued","contacted","replied","call_booked","call_done","yes_in_principle","materials_sent"},0)),"Y","N"))</f>
        <v/>
      </c>
      <c r="FT964" s="0" t="str">
        <f aca="false">IF($A964="","",IF(OR(T964="Y",U964="do_not_contact",AS964&amp;""&lt;&gt;""),"Y","N"))</f>
        <v/>
      </c>
      <c r="FU964" s="0" t="str">
        <f aca="false">IF($A964="","",IF(AP964&amp;""&lt;&gt;"",AP964&amp;"",$A964))</f>
        <v/>
      </c>
      <c r="FV964" s="0" t="str">
        <f aca="false">IF($A964="","",IF(COUNTIFS($FU$2:$FU$1000,FU964,$FS$2:$FS$1000,"Y")+COUNTIFS($FU$2:$FU$1000,FU964,$FT$2:$FT$1000,"Y")&gt;0,"Y","N"))</f>
        <v/>
      </c>
      <c r="FW964" s="0" t="str">
        <f aca="false">IF($A964="","",IF(AND(U964="new",T964="N",FT964="N",AT964="Y",FV964="N"),"Y","N"))</f>
        <v/>
      </c>
      <c r="FX964" s="0" t="str">
        <f aca="false">IF($A964="","",IF(FW964&lt;&gt;"Y","N",IF(COUNTIFS($FU$2:$FU$1000,FU964,$FW$2:$FW$1000,"Y",$J$2:$J$1000,"&gt;"&amp;J964)+COUNTIFS($FU$2:$FU$1000,FU964,$FW$2:$FW$1000,"Y",$J$2:$J$1000,J964,$GD$2:$GD$1000,"&lt;"&amp;GD964)=0,"Y","N")))</f>
        <v/>
      </c>
      <c r="FY964" s="0" t="str">
        <f aca="false">IF($A964="","",IF(AND(FW964="Y",FX964="Y",Y964&amp;""&lt;&gt;""),IF(Y964&lt;=10,"Y","N"),"N"))</f>
        <v/>
      </c>
      <c r="FZ964" s="0" t="str">
        <f aca="false">IF(FY964="Y",Y964,"")</f>
        <v/>
      </c>
      <c r="GA964" s="0" t="str">
        <f aca="false">IF($A964="","",IF(AND(I964="walk-in",CN964="pass",U964="new",FT964="N",FV964="N",AQ964&lt;&gt;"Y"),"Y","N"))</f>
        <v/>
      </c>
      <c r="GB964" s="0" t="str">
        <f aca="false">IF(GA964&lt;&gt;"Y","",IF(COUNTIFS($GA$2:$GA$1000,"Y",$J$2:$J$1000,"&gt;"&amp;J964)+COUNTIFS($GA$2:$GA$1000,"Y",$J$2:$J$1000,J964,$GD$2:$GD$1000,"&lt;"&amp;GD964)+1&lt;=25,COUNTIFS($GA$2:$GA$1000,"Y",$J$2:$J$1000,"&gt;"&amp;J964)+COUNTIFS($GA$2:$GA$1000,"Y",$J$2:$J$1000,J964,$GD$2:$GD$1000,"&lt;"&amp;GD964)+1,""))</f>
        <v/>
      </c>
      <c r="GC964" s="0" t="str">
        <f aca="false">IF(AND(_xlfn.ISFORMULA(C964),_xlfn.ISFORMULA(J964)),"Y","N")</f>
        <v>Y</v>
      </c>
      <c r="GD964" s="0" t="n">
        <f aca="false">ROW()-1</f>
        <v>963</v>
      </c>
    </row>
    <row r="965" customFormat="false" ht="15" hidden="false" customHeight="false" outlineLevel="0" collapsed="false">
      <c r="C965" s="0" t="str">
        <f aca="false">IF($A965="","",IF(AW965="Y",BM965&amp;"",AY965&amp;""))</f>
        <v/>
      </c>
      <c r="D965" s="0" t="str">
        <f aca="false">IF($A965="","",IF(AW965="Y",BN965&amp;"",AZ965&amp;""))</f>
        <v/>
      </c>
      <c r="E965" s="0" t="str">
        <f aca="false">IF($A965="","",IF(AW965="Y",BO965&amp;"",BA965&amp;""))</f>
        <v/>
      </c>
      <c r="F965" s="0" t="str">
        <f aca="false">IF($A965="","",IF(AW965="Y",BP965&amp;"",BB965&amp;""))</f>
        <v/>
      </c>
      <c r="G965" s="0" t="str">
        <f aca="false">IF($A965="","",IF(AW965="Y",BQ965&amp;"",BC965&amp;""))</f>
        <v/>
      </c>
      <c r="H965" s="0" t="str">
        <f aca="false">IF($A965="","",IF(AW965="Y",BR965&amp;"",BD965&amp;""))</f>
        <v/>
      </c>
      <c r="I965" s="0" t="str">
        <f aca="false">IF($A965="","",IF(R965="Y","warm-intro",IF(H965="verified","email",IF(C965&lt;&gt;"","linkedin",CB965&amp;""))))</f>
        <v/>
      </c>
      <c r="J965" s="0" t="str">
        <f aca="false">IF($A965="","",IF(CN965="pass",ROUND(N(EM965)+N(EN965)+N(EO965)+N(EP965)+N(EQ965)+N(ER965),1),0))</f>
        <v/>
      </c>
      <c r="K965" s="0" t="str">
        <f aca="false">IF($A965="","",IF(CN965&lt;&gt;"pass",CA965&amp;"",CA965&amp;"; "&amp;IF(AW965="Y",BZ965&amp;"",BL965&amp;"")&amp;IF(R965="Y","; known to the founder (+15)","")&amp;"."))</f>
        <v/>
      </c>
      <c r="R965" s="5"/>
      <c r="U965" s="5"/>
      <c r="Y965" s="0" t="str">
        <f aca="false">IF(FX965&lt;&gt;"Y","",COUNTIFS($FX$2:$FX$1000,"Y",$J$2:$J$1000,"&gt;"&amp;J965)+COUNTIFS($FX$2:$FX$1000,"Y",$J$2:$J$1000,J965,$GD$2:$GD$1000,"&lt;"&amp;GD965)+1)</f>
        <v/>
      </c>
      <c r="AB965" s="0" t="str">
        <f aca="false">IF($A965="","",IF(AW965="Y",BY965&amp;"",BK965&amp;""))</f>
        <v/>
      </c>
      <c r="AC965" s="0" t="str">
        <f aca="false">IF($A965="","",IF(AW965="Y",BS965&amp;"",BE965&amp;""))</f>
        <v/>
      </c>
      <c r="AD965" s="0" t="str">
        <f aca="false">IF($A965="","",IF(AW965="Y",BT965&amp;"",BF965&amp;""))</f>
        <v/>
      </c>
      <c r="AE965" s="0" t="str">
        <f aca="false">IF($A965="","",IF(AW965="Y",BU965&amp;"",BG965&amp;""))</f>
        <v/>
      </c>
      <c r="AF965" s="0" t="str">
        <f aca="false">IF($A965="","",IF(AW965="Y",BV965&amp;"",BH965&amp;""))</f>
        <v/>
      </c>
      <c r="AG965" s="0" t="str">
        <f aca="false">IF($A965="","",IF(AW965="Y",BW965&amp;"",BI965&amp;""))</f>
        <v/>
      </c>
      <c r="AH965" s="0" t="str">
        <f aca="false">IF($A965="","",IF(AW965="Y",BX965&amp;"",BJ965&amp;""))</f>
        <v/>
      </c>
      <c r="AQ965" s="5"/>
      <c r="AT965" s="0" t="str">
        <f aca="false">IF($A965="","",IF(AND(CN965="pass",AQ965&lt;&gt;"Y",C965&lt;&gt;"",OR(AX965&lt;&gt;"Y",AV965="Y")),"Y","N"))</f>
        <v/>
      </c>
      <c r="AU965" s="0" t="str">
        <f aca="false">IF($A965="","",_xlfn.TEXTJOIN("; ",TRUE(),IF(CN965&lt;&gt;"pass","gated out",""),IF(AQ965="Y","on hold: "&amp;AR965,""),IF(C965="","no contact named on an opened page",""),IF(AND(AX965="Y",AV965&lt;&gt;"Y"),"Tuesday estimate band "&amp;L965&amp;": founder's call","")))</f>
        <v/>
      </c>
      <c r="BC965" s="0" t="str">
        <f aca="false">IF($A965="","",IFERROR(INDEX(Enrichment!$A$2:$GZ$2000,MATCH($A965,INDEX(Enrichment!$A$2:$GZ$2000,0,MATCH("row_id",Enrichment!$A$1:$GZ$1,0)),0),MATCH("work_email",Enrichment!$A$1:$GZ$1,0))&amp;"",""))</f>
        <v/>
      </c>
      <c r="BD965" s="0" t="str">
        <f aca="false">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Q965" s="0" t="str">
        <f aca="false">IF($A965="","",IFERROR(INDEX(Enrichment!$A$2:$GZ$2000,MATCH($A965,INDEX(Enrichment!$A$2:$GZ$2000,0,MATCH("row_id",Enrichment!$A$1:$GZ$1,0)),0),MATCH("backup_work_email",Enrichment!$A$1:$GZ$1,0))&amp;"",""))</f>
        <v/>
      </c>
      <c r="BR965" s="0" t="str">
        <f aca="false">IF($A965="","",IF(BQ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EQ965" s="0" t="str">
        <f aca="false">IF($A965="","",IF(AH965="exact",10,IF(AH965="adjacent",5,0)))</f>
        <v/>
      </c>
      <c r="ER965" s="0" t="str">
        <f aca="false">IF($A965="","",IF(R965="Y",15,0))</f>
        <v/>
      </c>
      <c r="FS965" s="0" t="str">
        <f aca="false">IF($A965="","",IF(ISNUMBER(MATCH(U965,{"queued","contacted","replied","call_booked","call_done","yes_in_principle","materials_sent"},0)),"Y","N"))</f>
        <v/>
      </c>
      <c r="FT965" s="0" t="str">
        <f aca="false">IF($A965="","",IF(OR(T965="Y",U965="do_not_contact",AS965&amp;""&lt;&gt;""),"Y","N"))</f>
        <v/>
      </c>
      <c r="FU965" s="0" t="str">
        <f aca="false">IF($A965="","",IF(AP965&amp;""&lt;&gt;"",AP965&amp;"",$A965))</f>
        <v/>
      </c>
      <c r="FV965" s="0" t="str">
        <f aca="false">IF($A965="","",IF(COUNTIFS($FU$2:$FU$1000,FU965,$FS$2:$FS$1000,"Y")+COUNTIFS($FU$2:$FU$1000,FU965,$FT$2:$FT$1000,"Y")&gt;0,"Y","N"))</f>
        <v/>
      </c>
      <c r="FW965" s="0" t="str">
        <f aca="false">IF($A965="","",IF(AND(U965="new",T965="N",FT965="N",AT965="Y",FV965="N"),"Y","N"))</f>
        <v/>
      </c>
      <c r="FX965" s="0" t="str">
        <f aca="false">IF($A965="","",IF(FW965&lt;&gt;"Y","N",IF(COUNTIFS($FU$2:$FU$1000,FU965,$FW$2:$FW$1000,"Y",$J$2:$J$1000,"&gt;"&amp;J965)+COUNTIFS($FU$2:$FU$1000,FU965,$FW$2:$FW$1000,"Y",$J$2:$J$1000,J965,$GD$2:$GD$1000,"&lt;"&amp;GD965)=0,"Y","N")))</f>
        <v/>
      </c>
      <c r="FY965" s="0" t="str">
        <f aca="false">IF($A965="","",IF(AND(FW965="Y",FX965="Y",Y965&amp;""&lt;&gt;""),IF(Y965&lt;=10,"Y","N"),"N"))</f>
        <v/>
      </c>
      <c r="FZ965" s="0" t="str">
        <f aca="false">IF(FY965="Y",Y965,"")</f>
        <v/>
      </c>
      <c r="GA965" s="0" t="str">
        <f aca="false">IF($A965="","",IF(AND(I965="walk-in",CN965="pass",U965="new",FT965="N",FV965="N",AQ965&lt;&gt;"Y"),"Y","N"))</f>
        <v/>
      </c>
      <c r="GB965" s="0" t="str">
        <f aca="false">IF(GA965&lt;&gt;"Y","",IF(COUNTIFS($GA$2:$GA$1000,"Y",$J$2:$J$1000,"&gt;"&amp;J965)+COUNTIFS($GA$2:$GA$1000,"Y",$J$2:$J$1000,J965,$GD$2:$GD$1000,"&lt;"&amp;GD965)+1&lt;=25,COUNTIFS($GA$2:$GA$1000,"Y",$J$2:$J$1000,"&gt;"&amp;J965)+COUNTIFS($GA$2:$GA$1000,"Y",$J$2:$J$1000,J965,$GD$2:$GD$1000,"&lt;"&amp;GD965)+1,""))</f>
        <v/>
      </c>
      <c r="GC965" s="0" t="str">
        <f aca="false">IF(AND(_xlfn.ISFORMULA(C965),_xlfn.ISFORMULA(J965)),"Y","N")</f>
        <v>Y</v>
      </c>
      <c r="GD965" s="0" t="n">
        <f aca="false">ROW()-1</f>
        <v>964</v>
      </c>
    </row>
    <row r="966" customFormat="false" ht="15" hidden="false" customHeight="false" outlineLevel="0" collapsed="false">
      <c r="C966" s="0" t="str">
        <f aca="false">IF($A966="","",IF(AW966="Y",BM966&amp;"",AY966&amp;""))</f>
        <v/>
      </c>
      <c r="D966" s="0" t="str">
        <f aca="false">IF($A966="","",IF(AW966="Y",BN966&amp;"",AZ966&amp;""))</f>
        <v/>
      </c>
      <c r="E966" s="0" t="str">
        <f aca="false">IF($A966="","",IF(AW966="Y",BO966&amp;"",BA966&amp;""))</f>
        <v/>
      </c>
      <c r="F966" s="0" t="str">
        <f aca="false">IF($A966="","",IF(AW966="Y",BP966&amp;"",BB966&amp;""))</f>
        <v/>
      </c>
      <c r="G966" s="0" t="str">
        <f aca="false">IF($A966="","",IF(AW966="Y",BQ966&amp;"",BC966&amp;""))</f>
        <v/>
      </c>
      <c r="H966" s="0" t="str">
        <f aca="false">IF($A966="","",IF(AW966="Y",BR966&amp;"",BD966&amp;""))</f>
        <v/>
      </c>
      <c r="I966" s="0" t="str">
        <f aca="false">IF($A966="","",IF(R966="Y","warm-intro",IF(H966="verified","email",IF(C966&lt;&gt;"","linkedin",CB966&amp;""))))</f>
        <v/>
      </c>
      <c r="J966" s="0" t="str">
        <f aca="false">IF($A966="","",IF(CN966="pass",ROUND(N(EM966)+N(EN966)+N(EO966)+N(EP966)+N(EQ966)+N(ER966),1),0))</f>
        <v/>
      </c>
      <c r="K966" s="0" t="str">
        <f aca="false">IF($A966="","",IF(CN966&lt;&gt;"pass",CA966&amp;"",CA966&amp;"; "&amp;IF(AW966="Y",BZ966&amp;"",BL966&amp;"")&amp;IF(R966="Y","; known to the founder (+15)","")&amp;"."))</f>
        <v/>
      </c>
      <c r="R966" s="5"/>
      <c r="U966" s="5"/>
      <c r="Y966" s="0" t="str">
        <f aca="false">IF(FX966&lt;&gt;"Y","",COUNTIFS($FX$2:$FX$1000,"Y",$J$2:$J$1000,"&gt;"&amp;J966)+COUNTIFS($FX$2:$FX$1000,"Y",$J$2:$J$1000,J966,$GD$2:$GD$1000,"&lt;"&amp;GD966)+1)</f>
        <v/>
      </c>
      <c r="AB966" s="0" t="str">
        <f aca="false">IF($A966="","",IF(AW966="Y",BY966&amp;"",BK966&amp;""))</f>
        <v/>
      </c>
      <c r="AC966" s="0" t="str">
        <f aca="false">IF($A966="","",IF(AW966="Y",BS966&amp;"",BE966&amp;""))</f>
        <v/>
      </c>
      <c r="AD966" s="0" t="str">
        <f aca="false">IF($A966="","",IF(AW966="Y",BT966&amp;"",BF966&amp;""))</f>
        <v/>
      </c>
      <c r="AE966" s="0" t="str">
        <f aca="false">IF($A966="","",IF(AW966="Y",BU966&amp;"",BG966&amp;""))</f>
        <v/>
      </c>
      <c r="AF966" s="0" t="str">
        <f aca="false">IF($A966="","",IF(AW966="Y",BV966&amp;"",BH966&amp;""))</f>
        <v/>
      </c>
      <c r="AG966" s="0" t="str">
        <f aca="false">IF($A966="","",IF(AW966="Y",BW966&amp;"",BI966&amp;""))</f>
        <v/>
      </c>
      <c r="AH966" s="0" t="str">
        <f aca="false">IF($A966="","",IF(AW966="Y",BX966&amp;"",BJ966&amp;""))</f>
        <v/>
      </c>
      <c r="AQ966" s="5"/>
      <c r="AT966" s="0" t="str">
        <f aca="false">IF($A966="","",IF(AND(CN966="pass",AQ966&lt;&gt;"Y",C966&lt;&gt;"",OR(AX966&lt;&gt;"Y",AV966="Y")),"Y","N"))</f>
        <v/>
      </c>
      <c r="AU966" s="0" t="str">
        <f aca="false">IF($A966="","",_xlfn.TEXTJOIN("; ",TRUE(),IF(CN966&lt;&gt;"pass","gated out",""),IF(AQ966="Y","on hold: "&amp;AR966,""),IF(C966="","no contact named on an opened page",""),IF(AND(AX966="Y",AV966&lt;&gt;"Y"),"Tuesday estimate band "&amp;L966&amp;": founder's call","")))</f>
        <v/>
      </c>
      <c r="BC966" s="0" t="str">
        <f aca="false">IF($A966="","",IFERROR(INDEX(Enrichment!$A$2:$GZ$2000,MATCH($A966,INDEX(Enrichment!$A$2:$GZ$2000,0,MATCH("row_id",Enrichment!$A$1:$GZ$1,0)),0),MATCH("work_email",Enrichment!$A$1:$GZ$1,0))&amp;"",""))</f>
        <v/>
      </c>
      <c r="BD966" s="0" t="str">
        <f aca="false">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Q966" s="0" t="str">
        <f aca="false">IF($A966="","",IFERROR(INDEX(Enrichment!$A$2:$GZ$2000,MATCH($A966,INDEX(Enrichment!$A$2:$GZ$2000,0,MATCH("row_id",Enrichment!$A$1:$GZ$1,0)),0),MATCH("backup_work_email",Enrichment!$A$1:$GZ$1,0))&amp;"",""))</f>
        <v/>
      </c>
      <c r="BR966" s="0" t="str">
        <f aca="false">IF($A966="","",IF(BQ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EQ966" s="0" t="str">
        <f aca="false">IF($A966="","",IF(AH966="exact",10,IF(AH966="adjacent",5,0)))</f>
        <v/>
      </c>
      <c r="ER966" s="0" t="str">
        <f aca="false">IF($A966="","",IF(R966="Y",15,0))</f>
        <v/>
      </c>
      <c r="FS966" s="0" t="str">
        <f aca="false">IF($A966="","",IF(ISNUMBER(MATCH(U966,{"queued","contacted","replied","call_booked","call_done","yes_in_principle","materials_sent"},0)),"Y","N"))</f>
        <v/>
      </c>
      <c r="FT966" s="0" t="str">
        <f aca="false">IF($A966="","",IF(OR(T966="Y",U966="do_not_contact",AS966&amp;""&lt;&gt;""),"Y","N"))</f>
        <v/>
      </c>
      <c r="FU966" s="0" t="str">
        <f aca="false">IF($A966="","",IF(AP966&amp;""&lt;&gt;"",AP966&amp;"",$A966))</f>
        <v/>
      </c>
      <c r="FV966" s="0" t="str">
        <f aca="false">IF($A966="","",IF(COUNTIFS($FU$2:$FU$1000,FU966,$FS$2:$FS$1000,"Y")+COUNTIFS($FU$2:$FU$1000,FU966,$FT$2:$FT$1000,"Y")&gt;0,"Y","N"))</f>
        <v/>
      </c>
      <c r="FW966" s="0" t="str">
        <f aca="false">IF($A966="","",IF(AND(U966="new",T966="N",FT966="N",AT966="Y",FV966="N"),"Y","N"))</f>
        <v/>
      </c>
      <c r="FX966" s="0" t="str">
        <f aca="false">IF($A966="","",IF(FW966&lt;&gt;"Y","N",IF(COUNTIFS($FU$2:$FU$1000,FU966,$FW$2:$FW$1000,"Y",$J$2:$J$1000,"&gt;"&amp;J966)+COUNTIFS($FU$2:$FU$1000,FU966,$FW$2:$FW$1000,"Y",$J$2:$J$1000,J966,$GD$2:$GD$1000,"&lt;"&amp;GD966)=0,"Y","N")))</f>
        <v/>
      </c>
      <c r="FY966" s="0" t="str">
        <f aca="false">IF($A966="","",IF(AND(FW966="Y",FX966="Y",Y966&amp;""&lt;&gt;""),IF(Y966&lt;=10,"Y","N"),"N"))</f>
        <v/>
      </c>
      <c r="FZ966" s="0" t="str">
        <f aca="false">IF(FY966="Y",Y966,"")</f>
        <v/>
      </c>
      <c r="GA966" s="0" t="str">
        <f aca="false">IF($A966="","",IF(AND(I966="walk-in",CN966="pass",U966="new",FT966="N",FV966="N",AQ966&lt;&gt;"Y"),"Y","N"))</f>
        <v/>
      </c>
      <c r="GB966" s="0" t="str">
        <f aca="false">IF(GA966&lt;&gt;"Y","",IF(COUNTIFS($GA$2:$GA$1000,"Y",$J$2:$J$1000,"&gt;"&amp;J966)+COUNTIFS($GA$2:$GA$1000,"Y",$J$2:$J$1000,J966,$GD$2:$GD$1000,"&lt;"&amp;GD966)+1&lt;=25,COUNTIFS($GA$2:$GA$1000,"Y",$J$2:$J$1000,"&gt;"&amp;J966)+COUNTIFS($GA$2:$GA$1000,"Y",$J$2:$J$1000,J966,$GD$2:$GD$1000,"&lt;"&amp;GD966)+1,""))</f>
        <v/>
      </c>
      <c r="GC966" s="0" t="str">
        <f aca="false">IF(AND(_xlfn.ISFORMULA(C966),_xlfn.ISFORMULA(J966)),"Y","N")</f>
        <v>Y</v>
      </c>
      <c r="GD966" s="0" t="n">
        <f aca="false">ROW()-1</f>
        <v>965</v>
      </c>
    </row>
    <row r="967" customFormat="false" ht="15" hidden="false" customHeight="false" outlineLevel="0" collapsed="false">
      <c r="C967" s="0" t="str">
        <f aca="false">IF($A967="","",IF(AW967="Y",BM967&amp;"",AY967&amp;""))</f>
        <v/>
      </c>
      <c r="D967" s="0" t="str">
        <f aca="false">IF($A967="","",IF(AW967="Y",BN967&amp;"",AZ967&amp;""))</f>
        <v/>
      </c>
      <c r="E967" s="0" t="str">
        <f aca="false">IF($A967="","",IF(AW967="Y",BO967&amp;"",BA967&amp;""))</f>
        <v/>
      </c>
      <c r="F967" s="0" t="str">
        <f aca="false">IF($A967="","",IF(AW967="Y",BP967&amp;"",BB967&amp;""))</f>
        <v/>
      </c>
      <c r="G967" s="0" t="str">
        <f aca="false">IF($A967="","",IF(AW967="Y",BQ967&amp;"",BC967&amp;""))</f>
        <v/>
      </c>
      <c r="H967" s="0" t="str">
        <f aca="false">IF($A967="","",IF(AW967="Y",BR967&amp;"",BD967&amp;""))</f>
        <v/>
      </c>
      <c r="I967" s="0" t="str">
        <f aca="false">IF($A967="","",IF(R967="Y","warm-intro",IF(H967="verified","email",IF(C967&lt;&gt;"","linkedin",CB967&amp;""))))</f>
        <v/>
      </c>
      <c r="J967" s="0" t="str">
        <f aca="false">IF($A967="","",IF(CN967="pass",ROUND(N(EM967)+N(EN967)+N(EO967)+N(EP967)+N(EQ967)+N(ER967),1),0))</f>
        <v/>
      </c>
      <c r="K967" s="0" t="str">
        <f aca="false">IF($A967="","",IF(CN967&lt;&gt;"pass",CA967&amp;"",CA967&amp;"; "&amp;IF(AW967="Y",BZ967&amp;"",BL967&amp;"")&amp;IF(R967="Y","; known to the founder (+15)","")&amp;"."))</f>
        <v/>
      </c>
      <c r="R967" s="5"/>
      <c r="U967" s="5"/>
      <c r="Y967" s="0" t="str">
        <f aca="false">IF(FX967&lt;&gt;"Y","",COUNTIFS($FX$2:$FX$1000,"Y",$J$2:$J$1000,"&gt;"&amp;J967)+COUNTIFS($FX$2:$FX$1000,"Y",$J$2:$J$1000,J967,$GD$2:$GD$1000,"&lt;"&amp;GD967)+1)</f>
        <v/>
      </c>
      <c r="AB967" s="0" t="str">
        <f aca="false">IF($A967="","",IF(AW967="Y",BY967&amp;"",BK967&amp;""))</f>
        <v/>
      </c>
      <c r="AC967" s="0" t="str">
        <f aca="false">IF($A967="","",IF(AW967="Y",BS967&amp;"",BE967&amp;""))</f>
        <v/>
      </c>
      <c r="AD967" s="0" t="str">
        <f aca="false">IF($A967="","",IF(AW967="Y",BT967&amp;"",BF967&amp;""))</f>
        <v/>
      </c>
      <c r="AE967" s="0" t="str">
        <f aca="false">IF($A967="","",IF(AW967="Y",BU967&amp;"",BG967&amp;""))</f>
        <v/>
      </c>
      <c r="AF967" s="0" t="str">
        <f aca="false">IF($A967="","",IF(AW967="Y",BV967&amp;"",BH967&amp;""))</f>
        <v/>
      </c>
      <c r="AG967" s="0" t="str">
        <f aca="false">IF($A967="","",IF(AW967="Y",BW967&amp;"",BI967&amp;""))</f>
        <v/>
      </c>
      <c r="AH967" s="0" t="str">
        <f aca="false">IF($A967="","",IF(AW967="Y",BX967&amp;"",BJ967&amp;""))</f>
        <v/>
      </c>
      <c r="AQ967" s="5"/>
      <c r="AT967" s="0" t="str">
        <f aca="false">IF($A967="","",IF(AND(CN967="pass",AQ967&lt;&gt;"Y",C967&lt;&gt;"",OR(AX967&lt;&gt;"Y",AV967="Y")),"Y","N"))</f>
        <v/>
      </c>
      <c r="AU967" s="0" t="str">
        <f aca="false">IF($A967="","",_xlfn.TEXTJOIN("; ",TRUE(),IF(CN967&lt;&gt;"pass","gated out",""),IF(AQ967="Y","on hold: "&amp;AR967,""),IF(C967="","no contact named on an opened page",""),IF(AND(AX967="Y",AV967&lt;&gt;"Y"),"Tuesday estimate band "&amp;L967&amp;": founder's call","")))</f>
        <v/>
      </c>
      <c r="BC967" s="0" t="str">
        <f aca="false">IF($A967="","",IFERROR(INDEX(Enrichment!$A$2:$GZ$2000,MATCH($A967,INDEX(Enrichment!$A$2:$GZ$2000,0,MATCH("row_id",Enrichment!$A$1:$GZ$1,0)),0),MATCH("work_email",Enrichment!$A$1:$GZ$1,0))&amp;"",""))</f>
        <v/>
      </c>
      <c r="BD967" s="0" t="str">
        <f aca="false">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Q967" s="0" t="str">
        <f aca="false">IF($A967="","",IFERROR(INDEX(Enrichment!$A$2:$GZ$2000,MATCH($A967,INDEX(Enrichment!$A$2:$GZ$2000,0,MATCH("row_id",Enrichment!$A$1:$GZ$1,0)),0),MATCH("backup_work_email",Enrichment!$A$1:$GZ$1,0))&amp;"",""))</f>
        <v/>
      </c>
      <c r="BR967" s="0" t="str">
        <f aca="false">IF($A967="","",IF(BQ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EQ967" s="0" t="str">
        <f aca="false">IF($A967="","",IF(AH967="exact",10,IF(AH967="adjacent",5,0)))</f>
        <v/>
      </c>
      <c r="ER967" s="0" t="str">
        <f aca="false">IF($A967="","",IF(R967="Y",15,0))</f>
        <v/>
      </c>
      <c r="FS967" s="0" t="str">
        <f aca="false">IF($A967="","",IF(ISNUMBER(MATCH(U967,{"queued","contacted","replied","call_booked","call_done","yes_in_principle","materials_sent"},0)),"Y","N"))</f>
        <v/>
      </c>
      <c r="FT967" s="0" t="str">
        <f aca="false">IF($A967="","",IF(OR(T967="Y",U967="do_not_contact",AS967&amp;""&lt;&gt;""),"Y","N"))</f>
        <v/>
      </c>
      <c r="FU967" s="0" t="str">
        <f aca="false">IF($A967="","",IF(AP967&amp;""&lt;&gt;"",AP967&amp;"",$A967))</f>
        <v/>
      </c>
      <c r="FV967" s="0" t="str">
        <f aca="false">IF($A967="","",IF(COUNTIFS($FU$2:$FU$1000,FU967,$FS$2:$FS$1000,"Y")+COUNTIFS($FU$2:$FU$1000,FU967,$FT$2:$FT$1000,"Y")&gt;0,"Y","N"))</f>
        <v/>
      </c>
      <c r="FW967" s="0" t="str">
        <f aca="false">IF($A967="","",IF(AND(U967="new",T967="N",FT967="N",AT967="Y",FV967="N"),"Y","N"))</f>
        <v/>
      </c>
      <c r="FX967" s="0" t="str">
        <f aca="false">IF($A967="","",IF(FW967&lt;&gt;"Y","N",IF(COUNTIFS($FU$2:$FU$1000,FU967,$FW$2:$FW$1000,"Y",$J$2:$J$1000,"&gt;"&amp;J967)+COUNTIFS($FU$2:$FU$1000,FU967,$FW$2:$FW$1000,"Y",$J$2:$J$1000,J967,$GD$2:$GD$1000,"&lt;"&amp;GD967)=0,"Y","N")))</f>
        <v/>
      </c>
      <c r="FY967" s="0" t="str">
        <f aca="false">IF($A967="","",IF(AND(FW967="Y",FX967="Y",Y967&amp;""&lt;&gt;""),IF(Y967&lt;=10,"Y","N"),"N"))</f>
        <v/>
      </c>
      <c r="FZ967" s="0" t="str">
        <f aca="false">IF(FY967="Y",Y967,"")</f>
        <v/>
      </c>
      <c r="GA967" s="0" t="str">
        <f aca="false">IF($A967="","",IF(AND(I967="walk-in",CN967="pass",U967="new",FT967="N",FV967="N",AQ967&lt;&gt;"Y"),"Y","N"))</f>
        <v/>
      </c>
      <c r="GB967" s="0" t="str">
        <f aca="false">IF(GA967&lt;&gt;"Y","",IF(COUNTIFS($GA$2:$GA$1000,"Y",$J$2:$J$1000,"&gt;"&amp;J967)+COUNTIFS($GA$2:$GA$1000,"Y",$J$2:$J$1000,J967,$GD$2:$GD$1000,"&lt;"&amp;GD967)+1&lt;=25,COUNTIFS($GA$2:$GA$1000,"Y",$J$2:$J$1000,"&gt;"&amp;J967)+COUNTIFS($GA$2:$GA$1000,"Y",$J$2:$J$1000,J967,$GD$2:$GD$1000,"&lt;"&amp;GD967)+1,""))</f>
        <v/>
      </c>
      <c r="GC967" s="0" t="str">
        <f aca="false">IF(AND(_xlfn.ISFORMULA(C967),_xlfn.ISFORMULA(J967)),"Y","N")</f>
        <v>Y</v>
      </c>
      <c r="GD967" s="0" t="n">
        <f aca="false">ROW()-1</f>
        <v>966</v>
      </c>
    </row>
    <row r="968" customFormat="false" ht="15" hidden="false" customHeight="false" outlineLevel="0" collapsed="false">
      <c r="C968" s="0" t="str">
        <f aca="false">IF($A968="","",IF(AW968="Y",BM968&amp;"",AY968&amp;""))</f>
        <v/>
      </c>
      <c r="D968" s="0" t="str">
        <f aca="false">IF($A968="","",IF(AW968="Y",BN968&amp;"",AZ968&amp;""))</f>
        <v/>
      </c>
      <c r="E968" s="0" t="str">
        <f aca="false">IF($A968="","",IF(AW968="Y",BO968&amp;"",BA968&amp;""))</f>
        <v/>
      </c>
      <c r="F968" s="0" t="str">
        <f aca="false">IF($A968="","",IF(AW968="Y",BP968&amp;"",BB968&amp;""))</f>
        <v/>
      </c>
      <c r="G968" s="0" t="str">
        <f aca="false">IF($A968="","",IF(AW968="Y",BQ968&amp;"",BC968&amp;""))</f>
        <v/>
      </c>
      <c r="H968" s="0" t="str">
        <f aca="false">IF($A968="","",IF(AW968="Y",BR968&amp;"",BD968&amp;""))</f>
        <v/>
      </c>
      <c r="I968" s="0" t="str">
        <f aca="false">IF($A968="","",IF(R968="Y","warm-intro",IF(H968="verified","email",IF(C968&lt;&gt;"","linkedin",CB968&amp;""))))</f>
        <v/>
      </c>
      <c r="J968" s="0" t="str">
        <f aca="false">IF($A968="","",IF(CN968="pass",ROUND(N(EM968)+N(EN968)+N(EO968)+N(EP968)+N(EQ968)+N(ER968),1),0))</f>
        <v/>
      </c>
      <c r="K968" s="0" t="str">
        <f aca="false">IF($A968="","",IF(CN968&lt;&gt;"pass",CA968&amp;"",CA968&amp;"; "&amp;IF(AW968="Y",BZ968&amp;"",BL968&amp;"")&amp;IF(R968="Y","; known to the founder (+15)","")&amp;"."))</f>
        <v/>
      </c>
      <c r="R968" s="5"/>
      <c r="U968" s="5"/>
      <c r="Y968" s="0" t="str">
        <f aca="false">IF(FX968&lt;&gt;"Y","",COUNTIFS($FX$2:$FX$1000,"Y",$J$2:$J$1000,"&gt;"&amp;J968)+COUNTIFS($FX$2:$FX$1000,"Y",$J$2:$J$1000,J968,$GD$2:$GD$1000,"&lt;"&amp;GD968)+1)</f>
        <v/>
      </c>
      <c r="AB968" s="0" t="str">
        <f aca="false">IF($A968="","",IF(AW968="Y",BY968&amp;"",BK968&amp;""))</f>
        <v/>
      </c>
      <c r="AC968" s="0" t="str">
        <f aca="false">IF($A968="","",IF(AW968="Y",BS968&amp;"",BE968&amp;""))</f>
        <v/>
      </c>
      <c r="AD968" s="0" t="str">
        <f aca="false">IF($A968="","",IF(AW968="Y",BT968&amp;"",BF968&amp;""))</f>
        <v/>
      </c>
      <c r="AE968" s="0" t="str">
        <f aca="false">IF($A968="","",IF(AW968="Y",BU968&amp;"",BG968&amp;""))</f>
        <v/>
      </c>
      <c r="AF968" s="0" t="str">
        <f aca="false">IF($A968="","",IF(AW968="Y",BV968&amp;"",BH968&amp;""))</f>
        <v/>
      </c>
      <c r="AG968" s="0" t="str">
        <f aca="false">IF($A968="","",IF(AW968="Y",BW968&amp;"",BI968&amp;""))</f>
        <v/>
      </c>
      <c r="AH968" s="0" t="str">
        <f aca="false">IF($A968="","",IF(AW968="Y",BX968&amp;"",BJ968&amp;""))</f>
        <v/>
      </c>
      <c r="AQ968" s="5"/>
      <c r="AT968" s="0" t="str">
        <f aca="false">IF($A968="","",IF(AND(CN968="pass",AQ968&lt;&gt;"Y",C968&lt;&gt;"",OR(AX968&lt;&gt;"Y",AV968="Y")),"Y","N"))</f>
        <v/>
      </c>
      <c r="AU968" s="0" t="str">
        <f aca="false">IF($A968="","",_xlfn.TEXTJOIN("; ",TRUE(),IF(CN968&lt;&gt;"pass","gated out",""),IF(AQ968="Y","on hold: "&amp;AR968,""),IF(C968="","no contact named on an opened page",""),IF(AND(AX968="Y",AV968&lt;&gt;"Y"),"Tuesday estimate band "&amp;L968&amp;": founder's call","")))</f>
        <v/>
      </c>
      <c r="BC968" s="0" t="str">
        <f aca="false">IF($A968="","",IFERROR(INDEX(Enrichment!$A$2:$GZ$2000,MATCH($A968,INDEX(Enrichment!$A$2:$GZ$2000,0,MATCH("row_id",Enrichment!$A$1:$GZ$1,0)),0),MATCH("work_email",Enrichment!$A$1:$GZ$1,0))&amp;"",""))</f>
        <v/>
      </c>
      <c r="BD968" s="0" t="str">
        <f aca="false">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Q968" s="0" t="str">
        <f aca="false">IF($A968="","",IFERROR(INDEX(Enrichment!$A$2:$GZ$2000,MATCH($A968,INDEX(Enrichment!$A$2:$GZ$2000,0,MATCH("row_id",Enrichment!$A$1:$GZ$1,0)),0),MATCH("backup_work_email",Enrichment!$A$1:$GZ$1,0))&amp;"",""))</f>
        <v/>
      </c>
      <c r="BR968" s="0" t="str">
        <f aca="false">IF($A968="","",IF(BQ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EQ968" s="0" t="str">
        <f aca="false">IF($A968="","",IF(AH968="exact",10,IF(AH968="adjacent",5,0)))</f>
        <v/>
      </c>
      <c r="ER968" s="0" t="str">
        <f aca="false">IF($A968="","",IF(R968="Y",15,0))</f>
        <v/>
      </c>
      <c r="FS968" s="0" t="str">
        <f aca="false">IF($A968="","",IF(ISNUMBER(MATCH(U968,{"queued","contacted","replied","call_booked","call_done","yes_in_principle","materials_sent"},0)),"Y","N"))</f>
        <v/>
      </c>
      <c r="FT968" s="0" t="str">
        <f aca="false">IF($A968="","",IF(OR(T968="Y",U968="do_not_contact",AS968&amp;""&lt;&gt;""),"Y","N"))</f>
        <v/>
      </c>
      <c r="FU968" s="0" t="str">
        <f aca="false">IF($A968="","",IF(AP968&amp;""&lt;&gt;"",AP968&amp;"",$A968))</f>
        <v/>
      </c>
      <c r="FV968" s="0" t="str">
        <f aca="false">IF($A968="","",IF(COUNTIFS($FU$2:$FU$1000,FU968,$FS$2:$FS$1000,"Y")+COUNTIFS($FU$2:$FU$1000,FU968,$FT$2:$FT$1000,"Y")&gt;0,"Y","N"))</f>
        <v/>
      </c>
      <c r="FW968" s="0" t="str">
        <f aca="false">IF($A968="","",IF(AND(U968="new",T968="N",FT968="N",AT968="Y",FV968="N"),"Y","N"))</f>
        <v/>
      </c>
      <c r="FX968" s="0" t="str">
        <f aca="false">IF($A968="","",IF(FW968&lt;&gt;"Y","N",IF(COUNTIFS($FU$2:$FU$1000,FU968,$FW$2:$FW$1000,"Y",$J$2:$J$1000,"&gt;"&amp;J968)+COUNTIFS($FU$2:$FU$1000,FU968,$FW$2:$FW$1000,"Y",$J$2:$J$1000,J968,$GD$2:$GD$1000,"&lt;"&amp;GD968)=0,"Y","N")))</f>
        <v/>
      </c>
      <c r="FY968" s="0" t="str">
        <f aca="false">IF($A968="","",IF(AND(FW968="Y",FX968="Y",Y968&amp;""&lt;&gt;""),IF(Y968&lt;=10,"Y","N"),"N"))</f>
        <v/>
      </c>
      <c r="FZ968" s="0" t="str">
        <f aca="false">IF(FY968="Y",Y968,"")</f>
        <v/>
      </c>
      <c r="GA968" s="0" t="str">
        <f aca="false">IF($A968="","",IF(AND(I968="walk-in",CN968="pass",U968="new",FT968="N",FV968="N",AQ968&lt;&gt;"Y"),"Y","N"))</f>
        <v/>
      </c>
      <c r="GB968" s="0" t="str">
        <f aca="false">IF(GA968&lt;&gt;"Y","",IF(COUNTIFS($GA$2:$GA$1000,"Y",$J$2:$J$1000,"&gt;"&amp;J968)+COUNTIFS($GA$2:$GA$1000,"Y",$J$2:$J$1000,J968,$GD$2:$GD$1000,"&lt;"&amp;GD968)+1&lt;=25,COUNTIFS($GA$2:$GA$1000,"Y",$J$2:$J$1000,"&gt;"&amp;J968)+COUNTIFS($GA$2:$GA$1000,"Y",$J$2:$J$1000,J968,$GD$2:$GD$1000,"&lt;"&amp;GD968)+1,""))</f>
        <v/>
      </c>
      <c r="GC968" s="0" t="str">
        <f aca="false">IF(AND(_xlfn.ISFORMULA(C968),_xlfn.ISFORMULA(J968)),"Y","N")</f>
        <v>Y</v>
      </c>
      <c r="GD968" s="0" t="n">
        <f aca="false">ROW()-1</f>
        <v>967</v>
      </c>
    </row>
    <row r="969" customFormat="false" ht="15" hidden="false" customHeight="false" outlineLevel="0" collapsed="false">
      <c r="C969" s="0" t="str">
        <f aca="false">IF($A969="","",IF(AW969="Y",BM969&amp;"",AY969&amp;""))</f>
        <v/>
      </c>
      <c r="D969" s="0" t="str">
        <f aca="false">IF($A969="","",IF(AW969="Y",BN969&amp;"",AZ969&amp;""))</f>
        <v/>
      </c>
      <c r="E969" s="0" t="str">
        <f aca="false">IF($A969="","",IF(AW969="Y",BO969&amp;"",BA969&amp;""))</f>
        <v/>
      </c>
      <c r="F969" s="0" t="str">
        <f aca="false">IF($A969="","",IF(AW969="Y",BP969&amp;"",BB969&amp;""))</f>
        <v/>
      </c>
      <c r="G969" s="0" t="str">
        <f aca="false">IF($A969="","",IF(AW969="Y",BQ969&amp;"",BC969&amp;""))</f>
        <v/>
      </c>
      <c r="H969" s="0" t="str">
        <f aca="false">IF($A969="","",IF(AW969="Y",BR969&amp;"",BD969&amp;""))</f>
        <v/>
      </c>
      <c r="I969" s="0" t="str">
        <f aca="false">IF($A969="","",IF(R969="Y","warm-intro",IF(H969="verified","email",IF(C969&lt;&gt;"","linkedin",CB969&amp;""))))</f>
        <v/>
      </c>
      <c r="J969" s="0" t="str">
        <f aca="false">IF($A969="","",IF(CN969="pass",ROUND(N(EM969)+N(EN969)+N(EO969)+N(EP969)+N(EQ969)+N(ER969),1),0))</f>
        <v/>
      </c>
      <c r="K969" s="0" t="str">
        <f aca="false">IF($A969="","",IF(CN969&lt;&gt;"pass",CA969&amp;"",CA969&amp;"; "&amp;IF(AW969="Y",BZ969&amp;"",BL969&amp;"")&amp;IF(R969="Y","; known to the founder (+15)","")&amp;"."))</f>
        <v/>
      </c>
      <c r="R969" s="5"/>
      <c r="U969" s="5"/>
      <c r="Y969" s="0" t="str">
        <f aca="false">IF(FX969&lt;&gt;"Y","",COUNTIFS($FX$2:$FX$1000,"Y",$J$2:$J$1000,"&gt;"&amp;J969)+COUNTIFS($FX$2:$FX$1000,"Y",$J$2:$J$1000,J969,$GD$2:$GD$1000,"&lt;"&amp;GD969)+1)</f>
        <v/>
      </c>
      <c r="AB969" s="0" t="str">
        <f aca="false">IF($A969="","",IF(AW969="Y",BY969&amp;"",BK969&amp;""))</f>
        <v/>
      </c>
      <c r="AC969" s="0" t="str">
        <f aca="false">IF($A969="","",IF(AW969="Y",BS969&amp;"",BE969&amp;""))</f>
        <v/>
      </c>
      <c r="AD969" s="0" t="str">
        <f aca="false">IF($A969="","",IF(AW969="Y",BT969&amp;"",BF969&amp;""))</f>
        <v/>
      </c>
      <c r="AE969" s="0" t="str">
        <f aca="false">IF($A969="","",IF(AW969="Y",BU969&amp;"",BG969&amp;""))</f>
        <v/>
      </c>
      <c r="AF969" s="0" t="str">
        <f aca="false">IF($A969="","",IF(AW969="Y",BV969&amp;"",BH969&amp;""))</f>
        <v/>
      </c>
      <c r="AG969" s="0" t="str">
        <f aca="false">IF($A969="","",IF(AW969="Y",BW969&amp;"",BI969&amp;""))</f>
        <v/>
      </c>
      <c r="AH969" s="0" t="str">
        <f aca="false">IF($A969="","",IF(AW969="Y",BX969&amp;"",BJ969&amp;""))</f>
        <v/>
      </c>
      <c r="AQ969" s="5"/>
      <c r="AT969" s="0" t="str">
        <f aca="false">IF($A969="","",IF(AND(CN969="pass",AQ969&lt;&gt;"Y",C969&lt;&gt;"",OR(AX969&lt;&gt;"Y",AV969="Y")),"Y","N"))</f>
        <v/>
      </c>
      <c r="AU969" s="0" t="str">
        <f aca="false">IF($A969="","",_xlfn.TEXTJOIN("; ",TRUE(),IF(CN969&lt;&gt;"pass","gated out",""),IF(AQ969="Y","on hold: "&amp;AR969,""),IF(C969="","no contact named on an opened page",""),IF(AND(AX969="Y",AV969&lt;&gt;"Y"),"Tuesday estimate band "&amp;L969&amp;": founder's call","")))</f>
        <v/>
      </c>
      <c r="BC969" s="0" t="str">
        <f aca="false">IF($A969="","",IFERROR(INDEX(Enrichment!$A$2:$GZ$2000,MATCH($A969,INDEX(Enrichment!$A$2:$GZ$2000,0,MATCH("row_id",Enrichment!$A$1:$GZ$1,0)),0),MATCH("work_email",Enrichment!$A$1:$GZ$1,0))&amp;"",""))</f>
        <v/>
      </c>
      <c r="BD969" s="0" t="str">
        <f aca="false">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Q969" s="0" t="str">
        <f aca="false">IF($A969="","",IFERROR(INDEX(Enrichment!$A$2:$GZ$2000,MATCH($A969,INDEX(Enrichment!$A$2:$GZ$2000,0,MATCH("row_id",Enrichment!$A$1:$GZ$1,0)),0),MATCH("backup_work_email",Enrichment!$A$1:$GZ$1,0))&amp;"",""))</f>
        <v/>
      </c>
      <c r="BR969" s="0" t="str">
        <f aca="false">IF($A969="","",IF(BQ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EQ969" s="0" t="str">
        <f aca="false">IF($A969="","",IF(AH969="exact",10,IF(AH969="adjacent",5,0)))</f>
        <v/>
      </c>
      <c r="ER969" s="0" t="str">
        <f aca="false">IF($A969="","",IF(R969="Y",15,0))</f>
        <v/>
      </c>
      <c r="FS969" s="0" t="str">
        <f aca="false">IF($A969="","",IF(ISNUMBER(MATCH(U969,{"queued","contacted","replied","call_booked","call_done","yes_in_principle","materials_sent"},0)),"Y","N"))</f>
        <v/>
      </c>
      <c r="FT969" s="0" t="str">
        <f aca="false">IF($A969="","",IF(OR(T969="Y",U969="do_not_contact",AS969&amp;""&lt;&gt;""),"Y","N"))</f>
        <v/>
      </c>
      <c r="FU969" s="0" t="str">
        <f aca="false">IF($A969="","",IF(AP969&amp;""&lt;&gt;"",AP969&amp;"",$A969))</f>
        <v/>
      </c>
      <c r="FV969" s="0" t="str">
        <f aca="false">IF($A969="","",IF(COUNTIFS($FU$2:$FU$1000,FU969,$FS$2:$FS$1000,"Y")+COUNTIFS($FU$2:$FU$1000,FU969,$FT$2:$FT$1000,"Y")&gt;0,"Y","N"))</f>
        <v/>
      </c>
      <c r="FW969" s="0" t="str">
        <f aca="false">IF($A969="","",IF(AND(U969="new",T969="N",FT969="N",AT969="Y",FV969="N"),"Y","N"))</f>
        <v/>
      </c>
      <c r="FX969" s="0" t="str">
        <f aca="false">IF($A969="","",IF(FW969&lt;&gt;"Y","N",IF(COUNTIFS($FU$2:$FU$1000,FU969,$FW$2:$FW$1000,"Y",$J$2:$J$1000,"&gt;"&amp;J969)+COUNTIFS($FU$2:$FU$1000,FU969,$FW$2:$FW$1000,"Y",$J$2:$J$1000,J969,$GD$2:$GD$1000,"&lt;"&amp;GD969)=0,"Y","N")))</f>
        <v/>
      </c>
      <c r="FY969" s="0" t="str">
        <f aca="false">IF($A969="","",IF(AND(FW969="Y",FX969="Y",Y969&amp;""&lt;&gt;""),IF(Y969&lt;=10,"Y","N"),"N"))</f>
        <v/>
      </c>
      <c r="FZ969" s="0" t="str">
        <f aca="false">IF(FY969="Y",Y969,"")</f>
        <v/>
      </c>
      <c r="GA969" s="0" t="str">
        <f aca="false">IF($A969="","",IF(AND(I969="walk-in",CN969="pass",U969="new",FT969="N",FV969="N",AQ969&lt;&gt;"Y"),"Y","N"))</f>
        <v/>
      </c>
      <c r="GB969" s="0" t="str">
        <f aca="false">IF(GA969&lt;&gt;"Y","",IF(COUNTIFS($GA$2:$GA$1000,"Y",$J$2:$J$1000,"&gt;"&amp;J969)+COUNTIFS($GA$2:$GA$1000,"Y",$J$2:$J$1000,J969,$GD$2:$GD$1000,"&lt;"&amp;GD969)+1&lt;=25,COUNTIFS($GA$2:$GA$1000,"Y",$J$2:$J$1000,"&gt;"&amp;J969)+COUNTIFS($GA$2:$GA$1000,"Y",$J$2:$J$1000,J969,$GD$2:$GD$1000,"&lt;"&amp;GD969)+1,""))</f>
        <v/>
      </c>
      <c r="GC969" s="0" t="str">
        <f aca="false">IF(AND(_xlfn.ISFORMULA(C969),_xlfn.ISFORMULA(J969)),"Y","N")</f>
        <v>Y</v>
      </c>
      <c r="GD969" s="0" t="n">
        <f aca="false">ROW()-1</f>
        <v>968</v>
      </c>
    </row>
    <row r="970" customFormat="false" ht="15" hidden="false" customHeight="false" outlineLevel="0" collapsed="false">
      <c r="C970" s="0" t="str">
        <f aca="false">IF($A970="","",IF(AW970="Y",BM970&amp;"",AY970&amp;""))</f>
        <v/>
      </c>
      <c r="D970" s="0" t="str">
        <f aca="false">IF($A970="","",IF(AW970="Y",BN970&amp;"",AZ970&amp;""))</f>
        <v/>
      </c>
      <c r="E970" s="0" t="str">
        <f aca="false">IF($A970="","",IF(AW970="Y",BO970&amp;"",BA970&amp;""))</f>
        <v/>
      </c>
      <c r="F970" s="0" t="str">
        <f aca="false">IF($A970="","",IF(AW970="Y",BP970&amp;"",BB970&amp;""))</f>
        <v/>
      </c>
      <c r="G970" s="0" t="str">
        <f aca="false">IF($A970="","",IF(AW970="Y",BQ970&amp;"",BC970&amp;""))</f>
        <v/>
      </c>
      <c r="H970" s="0" t="str">
        <f aca="false">IF($A970="","",IF(AW970="Y",BR970&amp;"",BD970&amp;""))</f>
        <v/>
      </c>
      <c r="I970" s="0" t="str">
        <f aca="false">IF($A970="","",IF(R970="Y","warm-intro",IF(H970="verified","email",IF(C970&lt;&gt;"","linkedin",CB970&amp;""))))</f>
        <v/>
      </c>
      <c r="J970" s="0" t="str">
        <f aca="false">IF($A970="","",IF(CN970="pass",ROUND(N(EM970)+N(EN970)+N(EO970)+N(EP970)+N(EQ970)+N(ER970),1),0))</f>
        <v/>
      </c>
      <c r="K970" s="0" t="str">
        <f aca="false">IF($A970="","",IF(CN970&lt;&gt;"pass",CA970&amp;"",CA970&amp;"; "&amp;IF(AW970="Y",BZ970&amp;"",BL970&amp;"")&amp;IF(R970="Y","; known to the founder (+15)","")&amp;"."))</f>
        <v/>
      </c>
      <c r="R970" s="5"/>
      <c r="U970" s="5"/>
      <c r="Y970" s="0" t="str">
        <f aca="false">IF(FX970&lt;&gt;"Y","",COUNTIFS($FX$2:$FX$1000,"Y",$J$2:$J$1000,"&gt;"&amp;J970)+COUNTIFS($FX$2:$FX$1000,"Y",$J$2:$J$1000,J970,$GD$2:$GD$1000,"&lt;"&amp;GD970)+1)</f>
        <v/>
      </c>
      <c r="AB970" s="0" t="str">
        <f aca="false">IF($A970="","",IF(AW970="Y",BY970&amp;"",BK970&amp;""))</f>
        <v/>
      </c>
      <c r="AC970" s="0" t="str">
        <f aca="false">IF($A970="","",IF(AW970="Y",BS970&amp;"",BE970&amp;""))</f>
        <v/>
      </c>
      <c r="AD970" s="0" t="str">
        <f aca="false">IF($A970="","",IF(AW970="Y",BT970&amp;"",BF970&amp;""))</f>
        <v/>
      </c>
      <c r="AE970" s="0" t="str">
        <f aca="false">IF($A970="","",IF(AW970="Y",BU970&amp;"",BG970&amp;""))</f>
        <v/>
      </c>
      <c r="AF970" s="0" t="str">
        <f aca="false">IF($A970="","",IF(AW970="Y",BV970&amp;"",BH970&amp;""))</f>
        <v/>
      </c>
      <c r="AG970" s="0" t="str">
        <f aca="false">IF($A970="","",IF(AW970="Y",BW970&amp;"",BI970&amp;""))</f>
        <v/>
      </c>
      <c r="AH970" s="0" t="str">
        <f aca="false">IF($A970="","",IF(AW970="Y",BX970&amp;"",BJ970&amp;""))</f>
        <v/>
      </c>
      <c r="AQ970" s="5"/>
      <c r="AT970" s="0" t="str">
        <f aca="false">IF($A970="","",IF(AND(CN970="pass",AQ970&lt;&gt;"Y",C970&lt;&gt;"",OR(AX970&lt;&gt;"Y",AV970="Y")),"Y","N"))</f>
        <v/>
      </c>
      <c r="AU970" s="0" t="str">
        <f aca="false">IF($A970="","",_xlfn.TEXTJOIN("; ",TRUE(),IF(CN970&lt;&gt;"pass","gated out",""),IF(AQ970="Y","on hold: "&amp;AR970,""),IF(C970="","no contact named on an opened page",""),IF(AND(AX970="Y",AV970&lt;&gt;"Y"),"Tuesday estimate band "&amp;L970&amp;": founder's call","")))</f>
        <v/>
      </c>
      <c r="BC970" s="0" t="str">
        <f aca="false">IF($A970="","",IFERROR(INDEX(Enrichment!$A$2:$GZ$2000,MATCH($A970,INDEX(Enrichment!$A$2:$GZ$2000,0,MATCH("row_id",Enrichment!$A$1:$GZ$1,0)),0),MATCH("work_email",Enrichment!$A$1:$GZ$1,0))&amp;"",""))</f>
        <v/>
      </c>
      <c r="BD970" s="0" t="str">
        <f aca="false">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Q970" s="0" t="str">
        <f aca="false">IF($A970="","",IFERROR(INDEX(Enrichment!$A$2:$GZ$2000,MATCH($A970,INDEX(Enrichment!$A$2:$GZ$2000,0,MATCH("row_id",Enrichment!$A$1:$GZ$1,0)),0),MATCH("backup_work_email",Enrichment!$A$1:$GZ$1,0))&amp;"",""))</f>
        <v/>
      </c>
      <c r="BR970" s="0" t="str">
        <f aca="false">IF($A970="","",IF(BQ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EQ970" s="0" t="str">
        <f aca="false">IF($A970="","",IF(AH970="exact",10,IF(AH970="adjacent",5,0)))</f>
        <v/>
      </c>
      <c r="ER970" s="0" t="str">
        <f aca="false">IF($A970="","",IF(R970="Y",15,0))</f>
        <v/>
      </c>
      <c r="FS970" s="0" t="str">
        <f aca="false">IF($A970="","",IF(ISNUMBER(MATCH(U970,{"queued","contacted","replied","call_booked","call_done","yes_in_principle","materials_sent"},0)),"Y","N"))</f>
        <v/>
      </c>
      <c r="FT970" s="0" t="str">
        <f aca="false">IF($A970="","",IF(OR(T970="Y",U970="do_not_contact",AS970&amp;""&lt;&gt;""),"Y","N"))</f>
        <v/>
      </c>
      <c r="FU970" s="0" t="str">
        <f aca="false">IF($A970="","",IF(AP970&amp;""&lt;&gt;"",AP970&amp;"",$A970))</f>
        <v/>
      </c>
      <c r="FV970" s="0" t="str">
        <f aca="false">IF($A970="","",IF(COUNTIFS($FU$2:$FU$1000,FU970,$FS$2:$FS$1000,"Y")+COUNTIFS($FU$2:$FU$1000,FU970,$FT$2:$FT$1000,"Y")&gt;0,"Y","N"))</f>
        <v/>
      </c>
      <c r="FW970" s="0" t="str">
        <f aca="false">IF($A970="","",IF(AND(U970="new",T970="N",FT970="N",AT970="Y",FV970="N"),"Y","N"))</f>
        <v/>
      </c>
      <c r="FX970" s="0" t="str">
        <f aca="false">IF($A970="","",IF(FW970&lt;&gt;"Y","N",IF(COUNTIFS($FU$2:$FU$1000,FU970,$FW$2:$FW$1000,"Y",$J$2:$J$1000,"&gt;"&amp;J970)+COUNTIFS($FU$2:$FU$1000,FU970,$FW$2:$FW$1000,"Y",$J$2:$J$1000,J970,$GD$2:$GD$1000,"&lt;"&amp;GD970)=0,"Y","N")))</f>
        <v/>
      </c>
      <c r="FY970" s="0" t="str">
        <f aca="false">IF($A970="","",IF(AND(FW970="Y",FX970="Y",Y970&amp;""&lt;&gt;""),IF(Y970&lt;=10,"Y","N"),"N"))</f>
        <v/>
      </c>
      <c r="FZ970" s="0" t="str">
        <f aca="false">IF(FY970="Y",Y970,"")</f>
        <v/>
      </c>
      <c r="GA970" s="0" t="str">
        <f aca="false">IF($A970="","",IF(AND(I970="walk-in",CN970="pass",U970="new",FT970="N",FV970="N",AQ970&lt;&gt;"Y"),"Y","N"))</f>
        <v/>
      </c>
      <c r="GB970" s="0" t="str">
        <f aca="false">IF(GA970&lt;&gt;"Y","",IF(COUNTIFS($GA$2:$GA$1000,"Y",$J$2:$J$1000,"&gt;"&amp;J970)+COUNTIFS($GA$2:$GA$1000,"Y",$J$2:$J$1000,J970,$GD$2:$GD$1000,"&lt;"&amp;GD970)+1&lt;=25,COUNTIFS($GA$2:$GA$1000,"Y",$J$2:$J$1000,"&gt;"&amp;J970)+COUNTIFS($GA$2:$GA$1000,"Y",$J$2:$J$1000,J970,$GD$2:$GD$1000,"&lt;"&amp;GD970)+1,""))</f>
        <v/>
      </c>
      <c r="GC970" s="0" t="str">
        <f aca="false">IF(AND(_xlfn.ISFORMULA(C970),_xlfn.ISFORMULA(J970)),"Y","N")</f>
        <v>Y</v>
      </c>
      <c r="GD970" s="0" t="n">
        <f aca="false">ROW()-1</f>
        <v>969</v>
      </c>
    </row>
    <row r="971" customFormat="false" ht="15" hidden="false" customHeight="false" outlineLevel="0" collapsed="false">
      <c r="C971" s="0" t="str">
        <f aca="false">IF($A971="","",IF(AW971="Y",BM971&amp;"",AY971&amp;""))</f>
        <v/>
      </c>
      <c r="D971" s="0" t="str">
        <f aca="false">IF($A971="","",IF(AW971="Y",BN971&amp;"",AZ971&amp;""))</f>
        <v/>
      </c>
      <c r="E971" s="0" t="str">
        <f aca="false">IF($A971="","",IF(AW971="Y",BO971&amp;"",BA971&amp;""))</f>
        <v/>
      </c>
      <c r="F971" s="0" t="str">
        <f aca="false">IF($A971="","",IF(AW971="Y",BP971&amp;"",BB971&amp;""))</f>
        <v/>
      </c>
      <c r="G971" s="0" t="str">
        <f aca="false">IF($A971="","",IF(AW971="Y",BQ971&amp;"",BC971&amp;""))</f>
        <v/>
      </c>
      <c r="H971" s="0" t="str">
        <f aca="false">IF($A971="","",IF(AW971="Y",BR971&amp;"",BD971&amp;""))</f>
        <v/>
      </c>
      <c r="I971" s="0" t="str">
        <f aca="false">IF($A971="","",IF(R971="Y","warm-intro",IF(H971="verified","email",IF(C971&lt;&gt;"","linkedin",CB971&amp;""))))</f>
        <v/>
      </c>
      <c r="J971" s="0" t="str">
        <f aca="false">IF($A971="","",IF(CN971="pass",ROUND(N(EM971)+N(EN971)+N(EO971)+N(EP971)+N(EQ971)+N(ER971),1),0))</f>
        <v/>
      </c>
      <c r="K971" s="0" t="str">
        <f aca="false">IF($A971="","",IF(CN971&lt;&gt;"pass",CA971&amp;"",CA971&amp;"; "&amp;IF(AW971="Y",BZ971&amp;"",BL971&amp;"")&amp;IF(R971="Y","; known to the founder (+15)","")&amp;"."))</f>
        <v/>
      </c>
      <c r="R971" s="5"/>
      <c r="U971" s="5"/>
      <c r="Y971" s="0" t="str">
        <f aca="false">IF(FX971&lt;&gt;"Y","",COUNTIFS($FX$2:$FX$1000,"Y",$J$2:$J$1000,"&gt;"&amp;J971)+COUNTIFS($FX$2:$FX$1000,"Y",$J$2:$J$1000,J971,$GD$2:$GD$1000,"&lt;"&amp;GD971)+1)</f>
        <v/>
      </c>
      <c r="AB971" s="0" t="str">
        <f aca="false">IF($A971="","",IF(AW971="Y",BY971&amp;"",BK971&amp;""))</f>
        <v/>
      </c>
      <c r="AC971" s="0" t="str">
        <f aca="false">IF($A971="","",IF(AW971="Y",BS971&amp;"",BE971&amp;""))</f>
        <v/>
      </c>
      <c r="AD971" s="0" t="str">
        <f aca="false">IF($A971="","",IF(AW971="Y",BT971&amp;"",BF971&amp;""))</f>
        <v/>
      </c>
      <c r="AE971" s="0" t="str">
        <f aca="false">IF($A971="","",IF(AW971="Y",BU971&amp;"",BG971&amp;""))</f>
        <v/>
      </c>
      <c r="AF971" s="0" t="str">
        <f aca="false">IF($A971="","",IF(AW971="Y",BV971&amp;"",BH971&amp;""))</f>
        <v/>
      </c>
      <c r="AG971" s="0" t="str">
        <f aca="false">IF($A971="","",IF(AW971="Y",BW971&amp;"",BI971&amp;""))</f>
        <v/>
      </c>
      <c r="AH971" s="0" t="str">
        <f aca="false">IF($A971="","",IF(AW971="Y",BX971&amp;"",BJ971&amp;""))</f>
        <v/>
      </c>
      <c r="AQ971" s="5"/>
      <c r="AT971" s="0" t="str">
        <f aca="false">IF($A971="","",IF(AND(CN971="pass",AQ971&lt;&gt;"Y",C971&lt;&gt;"",OR(AX971&lt;&gt;"Y",AV971="Y")),"Y","N"))</f>
        <v/>
      </c>
      <c r="AU971" s="0" t="str">
        <f aca="false">IF($A971="","",_xlfn.TEXTJOIN("; ",TRUE(),IF(CN971&lt;&gt;"pass","gated out",""),IF(AQ971="Y","on hold: "&amp;AR971,""),IF(C971="","no contact named on an opened page",""),IF(AND(AX971="Y",AV971&lt;&gt;"Y"),"Tuesday estimate band "&amp;L971&amp;": founder's call","")))</f>
        <v/>
      </c>
      <c r="BC971" s="0" t="str">
        <f aca="false">IF($A971="","",IFERROR(INDEX(Enrichment!$A$2:$GZ$2000,MATCH($A971,INDEX(Enrichment!$A$2:$GZ$2000,0,MATCH("row_id",Enrichment!$A$1:$GZ$1,0)),0),MATCH("work_email",Enrichment!$A$1:$GZ$1,0))&amp;"",""))</f>
        <v/>
      </c>
      <c r="BD971" s="0" t="str">
        <f aca="false">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Q971" s="0" t="str">
        <f aca="false">IF($A971="","",IFERROR(INDEX(Enrichment!$A$2:$GZ$2000,MATCH($A971,INDEX(Enrichment!$A$2:$GZ$2000,0,MATCH("row_id",Enrichment!$A$1:$GZ$1,0)),0),MATCH("backup_work_email",Enrichment!$A$1:$GZ$1,0))&amp;"",""))</f>
        <v/>
      </c>
      <c r="BR971" s="0" t="str">
        <f aca="false">IF($A971="","",IF(BQ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EQ971" s="0" t="str">
        <f aca="false">IF($A971="","",IF(AH971="exact",10,IF(AH971="adjacent",5,0)))</f>
        <v/>
      </c>
      <c r="ER971" s="0" t="str">
        <f aca="false">IF($A971="","",IF(R971="Y",15,0))</f>
        <v/>
      </c>
      <c r="FS971" s="0" t="str">
        <f aca="false">IF($A971="","",IF(ISNUMBER(MATCH(U971,{"queued","contacted","replied","call_booked","call_done","yes_in_principle","materials_sent"},0)),"Y","N"))</f>
        <v/>
      </c>
      <c r="FT971" s="0" t="str">
        <f aca="false">IF($A971="","",IF(OR(T971="Y",U971="do_not_contact",AS971&amp;""&lt;&gt;""),"Y","N"))</f>
        <v/>
      </c>
      <c r="FU971" s="0" t="str">
        <f aca="false">IF($A971="","",IF(AP971&amp;""&lt;&gt;"",AP971&amp;"",$A971))</f>
        <v/>
      </c>
      <c r="FV971" s="0" t="str">
        <f aca="false">IF($A971="","",IF(COUNTIFS($FU$2:$FU$1000,FU971,$FS$2:$FS$1000,"Y")+COUNTIFS($FU$2:$FU$1000,FU971,$FT$2:$FT$1000,"Y")&gt;0,"Y","N"))</f>
        <v/>
      </c>
      <c r="FW971" s="0" t="str">
        <f aca="false">IF($A971="","",IF(AND(U971="new",T971="N",FT971="N",AT971="Y",FV971="N"),"Y","N"))</f>
        <v/>
      </c>
      <c r="FX971" s="0" t="str">
        <f aca="false">IF($A971="","",IF(FW971&lt;&gt;"Y","N",IF(COUNTIFS($FU$2:$FU$1000,FU971,$FW$2:$FW$1000,"Y",$J$2:$J$1000,"&gt;"&amp;J971)+COUNTIFS($FU$2:$FU$1000,FU971,$FW$2:$FW$1000,"Y",$J$2:$J$1000,J971,$GD$2:$GD$1000,"&lt;"&amp;GD971)=0,"Y","N")))</f>
        <v/>
      </c>
      <c r="FY971" s="0" t="str">
        <f aca="false">IF($A971="","",IF(AND(FW971="Y",FX971="Y",Y971&amp;""&lt;&gt;""),IF(Y971&lt;=10,"Y","N"),"N"))</f>
        <v/>
      </c>
      <c r="FZ971" s="0" t="str">
        <f aca="false">IF(FY971="Y",Y971,"")</f>
        <v/>
      </c>
      <c r="GA971" s="0" t="str">
        <f aca="false">IF($A971="","",IF(AND(I971="walk-in",CN971="pass",U971="new",FT971="N",FV971="N",AQ971&lt;&gt;"Y"),"Y","N"))</f>
        <v/>
      </c>
      <c r="GB971" s="0" t="str">
        <f aca="false">IF(GA971&lt;&gt;"Y","",IF(COUNTIFS($GA$2:$GA$1000,"Y",$J$2:$J$1000,"&gt;"&amp;J971)+COUNTIFS($GA$2:$GA$1000,"Y",$J$2:$J$1000,J971,$GD$2:$GD$1000,"&lt;"&amp;GD971)+1&lt;=25,COUNTIFS($GA$2:$GA$1000,"Y",$J$2:$J$1000,"&gt;"&amp;J971)+COUNTIFS($GA$2:$GA$1000,"Y",$J$2:$J$1000,J971,$GD$2:$GD$1000,"&lt;"&amp;GD971)+1,""))</f>
        <v/>
      </c>
      <c r="GC971" s="0" t="str">
        <f aca="false">IF(AND(_xlfn.ISFORMULA(C971),_xlfn.ISFORMULA(J971)),"Y","N")</f>
        <v>Y</v>
      </c>
      <c r="GD971" s="0" t="n">
        <f aca="false">ROW()-1</f>
        <v>970</v>
      </c>
    </row>
    <row r="972" customFormat="false" ht="15" hidden="false" customHeight="false" outlineLevel="0" collapsed="false">
      <c r="C972" s="0" t="str">
        <f aca="false">IF($A972="","",IF(AW972="Y",BM972&amp;"",AY972&amp;""))</f>
        <v/>
      </c>
      <c r="D972" s="0" t="str">
        <f aca="false">IF($A972="","",IF(AW972="Y",BN972&amp;"",AZ972&amp;""))</f>
        <v/>
      </c>
      <c r="E972" s="0" t="str">
        <f aca="false">IF($A972="","",IF(AW972="Y",BO972&amp;"",BA972&amp;""))</f>
        <v/>
      </c>
      <c r="F972" s="0" t="str">
        <f aca="false">IF($A972="","",IF(AW972="Y",BP972&amp;"",BB972&amp;""))</f>
        <v/>
      </c>
      <c r="G972" s="0" t="str">
        <f aca="false">IF($A972="","",IF(AW972="Y",BQ972&amp;"",BC972&amp;""))</f>
        <v/>
      </c>
      <c r="H972" s="0" t="str">
        <f aca="false">IF($A972="","",IF(AW972="Y",BR972&amp;"",BD972&amp;""))</f>
        <v/>
      </c>
      <c r="I972" s="0" t="str">
        <f aca="false">IF($A972="","",IF(R972="Y","warm-intro",IF(H972="verified","email",IF(C972&lt;&gt;"","linkedin",CB972&amp;""))))</f>
        <v/>
      </c>
      <c r="J972" s="0" t="str">
        <f aca="false">IF($A972="","",IF(CN972="pass",ROUND(N(EM972)+N(EN972)+N(EO972)+N(EP972)+N(EQ972)+N(ER972),1),0))</f>
        <v/>
      </c>
      <c r="K972" s="0" t="str">
        <f aca="false">IF($A972="","",IF(CN972&lt;&gt;"pass",CA972&amp;"",CA972&amp;"; "&amp;IF(AW972="Y",BZ972&amp;"",BL972&amp;"")&amp;IF(R972="Y","; known to the founder (+15)","")&amp;"."))</f>
        <v/>
      </c>
      <c r="R972" s="5"/>
      <c r="U972" s="5"/>
      <c r="Y972" s="0" t="str">
        <f aca="false">IF(FX972&lt;&gt;"Y","",COUNTIFS($FX$2:$FX$1000,"Y",$J$2:$J$1000,"&gt;"&amp;J972)+COUNTIFS($FX$2:$FX$1000,"Y",$J$2:$J$1000,J972,$GD$2:$GD$1000,"&lt;"&amp;GD972)+1)</f>
        <v/>
      </c>
      <c r="AB972" s="0" t="str">
        <f aca="false">IF($A972="","",IF(AW972="Y",BY972&amp;"",BK972&amp;""))</f>
        <v/>
      </c>
      <c r="AC972" s="0" t="str">
        <f aca="false">IF($A972="","",IF(AW972="Y",BS972&amp;"",BE972&amp;""))</f>
        <v/>
      </c>
      <c r="AD972" s="0" t="str">
        <f aca="false">IF($A972="","",IF(AW972="Y",BT972&amp;"",BF972&amp;""))</f>
        <v/>
      </c>
      <c r="AE972" s="0" t="str">
        <f aca="false">IF($A972="","",IF(AW972="Y",BU972&amp;"",BG972&amp;""))</f>
        <v/>
      </c>
      <c r="AF972" s="0" t="str">
        <f aca="false">IF($A972="","",IF(AW972="Y",BV972&amp;"",BH972&amp;""))</f>
        <v/>
      </c>
      <c r="AG972" s="0" t="str">
        <f aca="false">IF($A972="","",IF(AW972="Y",BW972&amp;"",BI972&amp;""))</f>
        <v/>
      </c>
      <c r="AH972" s="0" t="str">
        <f aca="false">IF($A972="","",IF(AW972="Y",BX972&amp;"",BJ972&amp;""))</f>
        <v/>
      </c>
      <c r="AQ972" s="5"/>
      <c r="AT972" s="0" t="str">
        <f aca="false">IF($A972="","",IF(AND(CN972="pass",AQ972&lt;&gt;"Y",C972&lt;&gt;"",OR(AX972&lt;&gt;"Y",AV972="Y")),"Y","N"))</f>
        <v/>
      </c>
      <c r="AU972" s="0" t="str">
        <f aca="false">IF($A972="","",_xlfn.TEXTJOIN("; ",TRUE(),IF(CN972&lt;&gt;"pass","gated out",""),IF(AQ972="Y","on hold: "&amp;AR972,""),IF(C972="","no contact named on an opened page",""),IF(AND(AX972="Y",AV972&lt;&gt;"Y"),"Tuesday estimate band "&amp;L972&amp;": founder's call","")))</f>
        <v/>
      </c>
      <c r="BC972" s="0" t="str">
        <f aca="false">IF($A972="","",IFERROR(INDEX(Enrichment!$A$2:$GZ$2000,MATCH($A972,INDEX(Enrichment!$A$2:$GZ$2000,0,MATCH("row_id",Enrichment!$A$1:$GZ$1,0)),0),MATCH("work_email",Enrichment!$A$1:$GZ$1,0))&amp;"",""))</f>
        <v/>
      </c>
      <c r="BD972" s="0" t="str">
        <f aca="false">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Q972" s="0" t="str">
        <f aca="false">IF($A972="","",IFERROR(INDEX(Enrichment!$A$2:$GZ$2000,MATCH($A972,INDEX(Enrichment!$A$2:$GZ$2000,0,MATCH("row_id",Enrichment!$A$1:$GZ$1,0)),0),MATCH("backup_work_email",Enrichment!$A$1:$GZ$1,0))&amp;"",""))</f>
        <v/>
      </c>
      <c r="BR972" s="0" t="str">
        <f aca="false">IF($A972="","",IF(BQ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EQ972" s="0" t="str">
        <f aca="false">IF($A972="","",IF(AH972="exact",10,IF(AH972="adjacent",5,0)))</f>
        <v/>
      </c>
      <c r="ER972" s="0" t="str">
        <f aca="false">IF($A972="","",IF(R972="Y",15,0))</f>
        <v/>
      </c>
      <c r="FS972" s="0" t="str">
        <f aca="false">IF($A972="","",IF(ISNUMBER(MATCH(U972,{"queued","contacted","replied","call_booked","call_done","yes_in_principle","materials_sent"},0)),"Y","N"))</f>
        <v/>
      </c>
      <c r="FT972" s="0" t="str">
        <f aca="false">IF($A972="","",IF(OR(T972="Y",U972="do_not_contact",AS972&amp;""&lt;&gt;""),"Y","N"))</f>
        <v/>
      </c>
      <c r="FU972" s="0" t="str">
        <f aca="false">IF($A972="","",IF(AP972&amp;""&lt;&gt;"",AP972&amp;"",$A972))</f>
        <v/>
      </c>
      <c r="FV972" s="0" t="str">
        <f aca="false">IF($A972="","",IF(COUNTIFS($FU$2:$FU$1000,FU972,$FS$2:$FS$1000,"Y")+COUNTIFS($FU$2:$FU$1000,FU972,$FT$2:$FT$1000,"Y")&gt;0,"Y","N"))</f>
        <v/>
      </c>
      <c r="FW972" s="0" t="str">
        <f aca="false">IF($A972="","",IF(AND(U972="new",T972="N",FT972="N",AT972="Y",FV972="N"),"Y","N"))</f>
        <v/>
      </c>
      <c r="FX972" s="0" t="str">
        <f aca="false">IF($A972="","",IF(FW972&lt;&gt;"Y","N",IF(COUNTIFS($FU$2:$FU$1000,FU972,$FW$2:$FW$1000,"Y",$J$2:$J$1000,"&gt;"&amp;J972)+COUNTIFS($FU$2:$FU$1000,FU972,$FW$2:$FW$1000,"Y",$J$2:$J$1000,J972,$GD$2:$GD$1000,"&lt;"&amp;GD972)=0,"Y","N")))</f>
        <v/>
      </c>
      <c r="FY972" s="0" t="str">
        <f aca="false">IF($A972="","",IF(AND(FW972="Y",FX972="Y",Y972&amp;""&lt;&gt;""),IF(Y972&lt;=10,"Y","N"),"N"))</f>
        <v/>
      </c>
      <c r="FZ972" s="0" t="str">
        <f aca="false">IF(FY972="Y",Y972,"")</f>
        <v/>
      </c>
      <c r="GA972" s="0" t="str">
        <f aca="false">IF($A972="","",IF(AND(I972="walk-in",CN972="pass",U972="new",FT972="N",FV972="N",AQ972&lt;&gt;"Y"),"Y","N"))</f>
        <v/>
      </c>
      <c r="GB972" s="0" t="str">
        <f aca="false">IF(GA972&lt;&gt;"Y","",IF(COUNTIFS($GA$2:$GA$1000,"Y",$J$2:$J$1000,"&gt;"&amp;J972)+COUNTIFS($GA$2:$GA$1000,"Y",$J$2:$J$1000,J972,$GD$2:$GD$1000,"&lt;"&amp;GD972)+1&lt;=25,COUNTIFS($GA$2:$GA$1000,"Y",$J$2:$J$1000,"&gt;"&amp;J972)+COUNTIFS($GA$2:$GA$1000,"Y",$J$2:$J$1000,J972,$GD$2:$GD$1000,"&lt;"&amp;GD972)+1,""))</f>
        <v/>
      </c>
      <c r="GC972" s="0" t="str">
        <f aca="false">IF(AND(_xlfn.ISFORMULA(C972),_xlfn.ISFORMULA(J972)),"Y","N")</f>
        <v>Y</v>
      </c>
      <c r="GD972" s="0" t="n">
        <f aca="false">ROW()-1</f>
        <v>971</v>
      </c>
    </row>
    <row r="973" customFormat="false" ht="15" hidden="false" customHeight="false" outlineLevel="0" collapsed="false">
      <c r="C973" s="0" t="str">
        <f aca="false">IF($A973="","",IF(AW973="Y",BM973&amp;"",AY973&amp;""))</f>
        <v/>
      </c>
      <c r="D973" s="0" t="str">
        <f aca="false">IF($A973="","",IF(AW973="Y",BN973&amp;"",AZ973&amp;""))</f>
        <v/>
      </c>
      <c r="E973" s="0" t="str">
        <f aca="false">IF($A973="","",IF(AW973="Y",BO973&amp;"",BA973&amp;""))</f>
        <v/>
      </c>
      <c r="F973" s="0" t="str">
        <f aca="false">IF($A973="","",IF(AW973="Y",BP973&amp;"",BB973&amp;""))</f>
        <v/>
      </c>
      <c r="G973" s="0" t="str">
        <f aca="false">IF($A973="","",IF(AW973="Y",BQ973&amp;"",BC973&amp;""))</f>
        <v/>
      </c>
      <c r="H973" s="0" t="str">
        <f aca="false">IF($A973="","",IF(AW973="Y",BR973&amp;"",BD973&amp;""))</f>
        <v/>
      </c>
      <c r="I973" s="0" t="str">
        <f aca="false">IF($A973="","",IF(R973="Y","warm-intro",IF(H973="verified","email",IF(C973&lt;&gt;"","linkedin",CB973&amp;""))))</f>
        <v/>
      </c>
      <c r="J973" s="0" t="str">
        <f aca="false">IF($A973="","",IF(CN973="pass",ROUND(N(EM973)+N(EN973)+N(EO973)+N(EP973)+N(EQ973)+N(ER973),1),0))</f>
        <v/>
      </c>
      <c r="K973" s="0" t="str">
        <f aca="false">IF($A973="","",IF(CN973&lt;&gt;"pass",CA973&amp;"",CA973&amp;"; "&amp;IF(AW973="Y",BZ973&amp;"",BL973&amp;"")&amp;IF(R973="Y","; known to the founder (+15)","")&amp;"."))</f>
        <v/>
      </c>
      <c r="R973" s="5"/>
      <c r="U973" s="5"/>
      <c r="Y973" s="0" t="str">
        <f aca="false">IF(FX973&lt;&gt;"Y","",COUNTIFS($FX$2:$FX$1000,"Y",$J$2:$J$1000,"&gt;"&amp;J973)+COUNTIFS($FX$2:$FX$1000,"Y",$J$2:$J$1000,J973,$GD$2:$GD$1000,"&lt;"&amp;GD973)+1)</f>
        <v/>
      </c>
      <c r="AB973" s="0" t="str">
        <f aca="false">IF($A973="","",IF(AW973="Y",BY973&amp;"",BK973&amp;""))</f>
        <v/>
      </c>
      <c r="AC973" s="0" t="str">
        <f aca="false">IF($A973="","",IF(AW973="Y",BS973&amp;"",BE973&amp;""))</f>
        <v/>
      </c>
      <c r="AD973" s="0" t="str">
        <f aca="false">IF($A973="","",IF(AW973="Y",BT973&amp;"",BF973&amp;""))</f>
        <v/>
      </c>
      <c r="AE973" s="0" t="str">
        <f aca="false">IF($A973="","",IF(AW973="Y",BU973&amp;"",BG973&amp;""))</f>
        <v/>
      </c>
      <c r="AF973" s="0" t="str">
        <f aca="false">IF($A973="","",IF(AW973="Y",BV973&amp;"",BH973&amp;""))</f>
        <v/>
      </c>
      <c r="AG973" s="0" t="str">
        <f aca="false">IF($A973="","",IF(AW973="Y",BW973&amp;"",BI973&amp;""))</f>
        <v/>
      </c>
      <c r="AH973" s="0" t="str">
        <f aca="false">IF($A973="","",IF(AW973="Y",BX973&amp;"",BJ973&amp;""))</f>
        <v/>
      </c>
      <c r="AQ973" s="5"/>
      <c r="AT973" s="0" t="str">
        <f aca="false">IF($A973="","",IF(AND(CN973="pass",AQ973&lt;&gt;"Y",C973&lt;&gt;"",OR(AX973&lt;&gt;"Y",AV973="Y")),"Y","N"))</f>
        <v/>
      </c>
      <c r="AU973" s="0" t="str">
        <f aca="false">IF($A973="","",_xlfn.TEXTJOIN("; ",TRUE(),IF(CN973&lt;&gt;"pass","gated out",""),IF(AQ973="Y","on hold: "&amp;AR973,""),IF(C973="","no contact named on an opened page",""),IF(AND(AX973="Y",AV973&lt;&gt;"Y"),"Tuesday estimate band "&amp;L973&amp;": founder's call","")))</f>
        <v/>
      </c>
      <c r="BC973" s="0" t="str">
        <f aca="false">IF($A973="","",IFERROR(INDEX(Enrichment!$A$2:$GZ$2000,MATCH($A973,INDEX(Enrichment!$A$2:$GZ$2000,0,MATCH("row_id",Enrichment!$A$1:$GZ$1,0)),0),MATCH("work_email",Enrichment!$A$1:$GZ$1,0))&amp;"",""))</f>
        <v/>
      </c>
      <c r="BD973" s="0" t="str">
        <f aca="false">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Q973" s="0" t="str">
        <f aca="false">IF($A973="","",IFERROR(INDEX(Enrichment!$A$2:$GZ$2000,MATCH($A973,INDEX(Enrichment!$A$2:$GZ$2000,0,MATCH("row_id",Enrichment!$A$1:$GZ$1,0)),0),MATCH("backup_work_email",Enrichment!$A$1:$GZ$1,0))&amp;"",""))</f>
        <v/>
      </c>
      <c r="BR973" s="0" t="str">
        <f aca="false">IF($A973="","",IF(BQ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EQ973" s="0" t="str">
        <f aca="false">IF($A973="","",IF(AH973="exact",10,IF(AH973="adjacent",5,0)))</f>
        <v/>
      </c>
      <c r="ER973" s="0" t="str">
        <f aca="false">IF($A973="","",IF(R973="Y",15,0))</f>
        <v/>
      </c>
      <c r="FS973" s="0" t="str">
        <f aca="false">IF($A973="","",IF(ISNUMBER(MATCH(U973,{"queued","contacted","replied","call_booked","call_done","yes_in_principle","materials_sent"},0)),"Y","N"))</f>
        <v/>
      </c>
      <c r="FT973" s="0" t="str">
        <f aca="false">IF($A973="","",IF(OR(T973="Y",U973="do_not_contact",AS973&amp;""&lt;&gt;""),"Y","N"))</f>
        <v/>
      </c>
      <c r="FU973" s="0" t="str">
        <f aca="false">IF($A973="","",IF(AP973&amp;""&lt;&gt;"",AP973&amp;"",$A973))</f>
        <v/>
      </c>
      <c r="FV973" s="0" t="str">
        <f aca="false">IF($A973="","",IF(COUNTIFS($FU$2:$FU$1000,FU973,$FS$2:$FS$1000,"Y")+COUNTIFS($FU$2:$FU$1000,FU973,$FT$2:$FT$1000,"Y")&gt;0,"Y","N"))</f>
        <v/>
      </c>
      <c r="FW973" s="0" t="str">
        <f aca="false">IF($A973="","",IF(AND(U973="new",T973="N",FT973="N",AT973="Y",FV973="N"),"Y","N"))</f>
        <v/>
      </c>
      <c r="FX973" s="0" t="str">
        <f aca="false">IF($A973="","",IF(FW973&lt;&gt;"Y","N",IF(COUNTIFS($FU$2:$FU$1000,FU973,$FW$2:$FW$1000,"Y",$J$2:$J$1000,"&gt;"&amp;J973)+COUNTIFS($FU$2:$FU$1000,FU973,$FW$2:$FW$1000,"Y",$J$2:$J$1000,J973,$GD$2:$GD$1000,"&lt;"&amp;GD973)=0,"Y","N")))</f>
        <v/>
      </c>
      <c r="FY973" s="0" t="str">
        <f aca="false">IF($A973="","",IF(AND(FW973="Y",FX973="Y",Y973&amp;""&lt;&gt;""),IF(Y973&lt;=10,"Y","N"),"N"))</f>
        <v/>
      </c>
      <c r="FZ973" s="0" t="str">
        <f aca="false">IF(FY973="Y",Y973,"")</f>
        <v/>
      </c>
      <c r="GA973" s="0" t="str">
        <f aca="false">IF($A973="","",IF(AND(I973="walk-in",CN973="pass",U973="new",FT973="N",FV973="N",AQ973&lt;&gt;"Y"),"Y","N"))</f>
        <v/>
      </c>
      <c r="GB973" s="0" t="str">
        <f aca="false">IF(GA973&lt;&gt;"Y","",IF(COUNTIFS($GA$2:$GA$1000,"Y",$J$2:$J$1000,"&gt;"&amp;J973)+COUNTIFS($GA$2:$GA$1000,"Y",$J$2:$J$1000,J973,$GD$2:$GD$1000,"&lt;"&amp;GD973)+1&lt;=25,COUNTIFS($GA$2:$GA$1000,"Y",$J$2:$J$1000,"&gt;"&amp;J973)+COUNTIFS($GA$2:$GA$1000,"Y",$J$2:$J$1000,J973,$GD$2:$GD$1000,"&lt;"&amp;GD973)+1,""))</f>
        <v/>
      </c>
      <c r="GC973" s="0" t="str">
        <f aca="false">IF(AND(_xlfn.ISFORMULA(C973),_xlfn.ISFORMULA(J973)),"Y","N")</f>
        <v>Y</v>
      </c>
      <c r="GD973" s="0" t="n">
        <f aca="false">ROW()-1</f>
        <v>972</v>
      </c>
    </row>
    <row r="974" customFormat="false" ht="15" hidden="false" customHeight="false" outlineLevel="0" collapsed="false">
      <c r="C974" s="0" t="str">
        <f aca="false">IF($A974="","",IF(AW974="Y",BM974&amp;"",AY974&amp;""))</f>
        <v/>
      </c>
      <c r="D974" s="0" t="str">
        <f aca="false">IF($A974="","",IF(AW974="Y",BN974&amp;"",AZ974&amp;""))</f>
        <v/>
      </c>
      <c r="E974" s="0" t="str">
        <f aca="false">IF($A974="","",IF(AW974="Y",BO974&amp;"",BA974&amp;""))</f>
        <v/>
      </c>
      <c r="F974" s="0" t="str">
        <f aca="false">IF($A974="","",IF(AW974="Y",BP974&amp;"",BB974&amp;""))</f>
        <v/>
      </c>
      <c r="G974" s="0" t="str">
        <f aca="false">IF($A974="","",IF(AW974="Y",BQ974&amp;"",BC974&amp;""))</f>
        <v/>
      </c>
      <c r="H974" s="0" t="str">
        <f aca="false">IF($A974="","",IF(AW974="Y",BR974&amp;"",BD974&amp;""))</f>
        <v/>
      </c>
      <c r="I974" s="0" t="str">
        <f aca="false">IF($A974="","",IF(R974="Y","warm-intro",IF(H974="verified","email",IF(C974&lt;&gt;"","linkedin",CB974&amp;""))))</f>
        <v/>
      </c>
      <c r="J974" s="0" t="str">
        <f aca="false">IF($A974="","",IF(CN974="pass",ROUND(N(EM974)+N(EN974)+N(EO974)+N(EP974)+N(EQ974)+N(ER974),1),0))</f>
        <v/>
      </c>
      <c r="K974" s="0" t="str">
        <f aca="false">IF($A974="","",IF(CN974&lt;&gt;"pass",CA974&amp;"",CA974&amp;"; "&amp;IF(AW974="Y",BZ974&amp;"",BL974&amp;"")&amp;IF(R974="Y","; known to the founder (+15)","")&amp;"."))</f>
        <v/>
      </c>
      <c r="R974" s="5"/>
      <c r="U974" s="5"/>
      <c r="Y974" s="0" t="str">
        <f aca="false">IF(FX974&lt;&gt;"Y","",COUNTIFS($FX$2:$FX$1000,"Y",$J$2:$J$1000,"&gt;"&amp;J974)+COUNTIFS($FX$2:$FX$1000,"Y",$J$2:$J$1000,J974,$GD$2:$GD$1000,"&lt;"&amp;GD974)+1)</f>
        <v/>
      </c>
      <c r="AB974" s="0" t="str">
        <f aca="false">IF($A974="","",IF(AW974="Y",BY974&amp;"",BK974&amp;""))</f>
        <v/>
      </c>
      <c r="AC974" s="0" t="str">
        <f aca="false">IF($A974="","",IF(AW974="Y",BS974&amp;"",BE974&amp;""))</f>
        <v/>
      </c>
      <c r="AD974" s="0" t="str">
        <f aca="false">IF($A974="","",IF(AW974="Y",BT974&amp;"",BF974&amp;""))</f>
        <v/>
      </c>
      <c r="AE974" s="0" t="str">
        <f aca="false">IF($A974="","",IF(AW974="Y",BU974&amp;"",BG974&amp;""))</f>
        <v/>
      </c>
      <c r="AF974" s="0" t="str">
        <f aca="false">IF($A974="","",IF(AW974="Y",BV974&amp;"",BH974&amp;""))</f>
        <v/>
      </c>
      <c r="AG974" s="0" t="str">
        <f aca="false">IF($A974="","",IF(AW974="Y",BW974&amp;"",BI974&amp;""))</f>
        <v/>
      </c>
      <c r="AH974" s="0" t="str">
        <f aca="false">IF($A974="","",IF(AW974="Y",BX974&amp;"",BJ974&amp;""))</f>
        <v/>
      </c>
      <c r="AQ974" s="5"/>
      <c r="AT974" s="0" t="str">
        <f aca="false">IF($A974="","",IF(AND(CN974="pass",AQ974&lt;&gt;"Y",C974&lt;&gt;"",OR(AX974&lt;&gt;"Y",AV974="Y")),"Y","N"))</f>
        <v/>
      </c>
      <c r="AU974" s="0" t="str">
        <f aca="false">IF($A974="","",_xlfn.TEXTJOIN("; ",TRUE(),IF(CN974&lt;&gt;"pass","gated out",""),IF(AQ974="Y","on hold: "&amp;AR974,""),IF(C974="","no contact named on an opened page",""),IF(AND(AX974="Y",AV974&lt;&gt;"Y"),"Tuesday estimate band "&amp;L974&amp;": founder's call","")))</f>
        <v/>
      </c>
      <c r="BC974" s="0" t="str">
        <f aca="false">IF($A974="","",IFERROR(INDEX(Enrichment!$A$2:$GZ$2000,MATCH($A974,INDEX(Enrichment!$A$2:$GZ$2000,0,MATCH("row_id",Enrichment!$A$1:$GZ$1,0)),0),MATCH("work_email",Enrichment!$A$1:$GZ$1,0))&amp;"",""))</f>
        <v/>
      </c>
      <c r="BD974" s="0" t="str">
        <f aca="false">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Q974" s="0" t="str">
        <f aca="false">IF($A974="","",IFERROR(INDEX(Enrichment!$A$2:$GZ$2000,MATCH($A974,INDEX(Enrichment!$A$2:$GZ$2000,0,MATCH("row_id",Enrichment!$A$1:$GZ$1,0)),0),MATCH("backup_work_email",Enrichment!$A$1:$GZ$1,0))&amp;"",""))</f>
        <v/>
      </c>
      <c r="BR974" s="0" t="str">
        <f aca="false">IF($A974="","",IF(BQ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EQ974" s="0" t="str">
        <f aca="false">IF($A974="","",IF(AH974="exact",10,IF(AH974="adjacent",5,0)))</f>
        <v/>
      </c>
      <c r="ER974" s="0" t="str">
        <f aca="false">IF($A974="","",IF(R974="Y",15,0))</f>
        <v/>
      </c>
      <c r="FS974" s="0" t="str">
        <f aca="false">IF($A974="","",IF(ISNUMBER(MATCH(U974,{"queued","contacted","replied","call_booked","call_done","yes_in_principle","materials_sent"},0)),"Y","N"))</f>
        <v/>
      </c>
      <c r="FT974" s="0" t="str">
        <f aca="false">IF($A974="","",IF(OR(T974="Y",U974="do_not_contact",AS974&amp;""&lt;&gt;""),"Y","N"))</f>
        <v/>
      </c>
      <c r="FU974" s="0" t="str">
        <f aca="false">IF($A974="","",IF(AP974&amp;""&lt;&gt;"",AP974&amp;"",$A974))</f>
        <v/>
      </c>
      <c r="FV974" s="0" t="str">
        <f aca="false">IF($A974="","",IF(COUNTIFS($FU$2:$FU$1000,FU974,$FS$2:$FS$1000,"Y")+COUNTIFS($FU$2:$FU$1000,FU974,$FT$2:$FT$1000,"Y")&gt;0,"Y","N"))</f>
        <v/>
      </c>
      <c r="FW974" s="0" t="str">
        <f aca="false">IF($A974="","",IF(AND(U974="new",T974="N",FT974="N",AT974="Y",FV974="N"),"Y","N"))</f>
        <v/>
      </c>
      <c r="FX974" s="0" t="str">
        <f aca="false">IF($A974="","",IF(FW974&lt;&gt;"Y","N",IF(COUNTIFS($FU$2:$FU$1000,FU974,$FW$2:$FW$1000,"Y",$J$2:$J$1000,"&gt;"&amp;J974)+COUNTIFS($FU$2:$FU$1000,FU974,$FW$2:$FW$1000,"Y",$J$2:$J$1000,J974,$GD$2:$GD$1000,"&lt;"&amp;GD974)=0,"Y","N")))</f>
        <v/>
      </c>
      <c r="FY974" s="0" t="str">
        <f aca="false">IF($A974="","",IF(AND(FW974="Y",FX974="Y",Y974&amp;""&lt;&gt;""),IF(Y974&lt;=10,"Y","N"),"N"))</f>
        <v/>
      </c>
      <c r="FZ974" s="0" t="str">
        <f aca="false">IF(FY974="Y",Y974,"")</f>
        <v/>
      </c>
      <c r="GA974" s="0" t="str">
        <f aca="false">IF($A974="","",IF(AND(I974="walk-in",CN974="pass",U974="new",FT974="N",FV974="N",AQ974&lt;&gt;"Y"),"Y","N"))</f>
        <v/>
      </c>
      <c r="GB974" s="0" t="str">
        <f aca="false">IF(GA974&lt;&gt;"Y","",IF(COUNTIFS($GA$2:$GA$1000,"Y",$J$2:$J$1000,"&gt;"&amp;J974)+COUNTIFS($GA$2:$GA$1000,"Y",$J$2:$J$1000,J974,$GD$2:$GD$1000,"&lt;"&amp;GD974)+1&lt;=25,COUNTIFS($GA$2:$GA$1000,"Y",$J$2:$J$1000,"&gt;"&amp;J974)+COUNTIFS($GA$2:$GA$1000,"Y",$J$2:$J$1000,J974,$GD$2:$GD$1000,"&lt;"&amp;GD974)+1,""))</f>
        <v/>
      </c>
      <c r="GC974" s="0" t="str">
        <f aca="false">IF(AND(_xlfn.ISFORMULA(C974),_xlfn.ISFORMULA(J974)),"Y","N")</f>
        <v>Y</v>
      </c>
      <c r="GD974" s="0" t="n">
        <f aca="false">ROW()-1</f>
        <v>973</v>
      </c>
    </row>
    <row r="975" customFormat="false" ht="15" hidden="false" customHeight="false" outlineLevel="0" collapsed="false">
      <c r="C975" s="0" t="str">
        <f aca="false">IF($A975="","",IF(AW975="Y",BM975&amp;"",AY975&amp;""))</f>
        <v/>
      </c>
      <c r="D975" s="0" t="str">
        <f aca="false">IF($A975="","",IF(AW975="Y",BN975&amp;"",AZ975&amp;""))</f>
        <v/>
      </c>
      <c r="E975" s="0" t="str">
        <f aca="false">IF($A975="","",IF(AW975="Y",BO975&amp;"",BA975&amp;""))</f>
        <v/>
      </c>
      <c r="F975" s="0" t="str">
        <f aca="false">IF($A975="","",IF(AW975="Y",BP975&amp;"",BB975&amp;""))</f>
        <v/>
      </c>
      <c r="G975" s="0" t="str">
        <f aca="false">IF($A975="","",IF(AW975="Y",BQ975&amp;"",BC975&amp;""))</f>
        <v/>
      </c>
      <c r="H975" s="0" t="str">
        <f aca="false">IF($A975="","",IF(AW975="Y",BR975&amp;"",BD975&amp;""))</f>
        <v/>
      </c>
      <c r="I975" s="0" t="str">
        <f aca="false">IF($A975="","",IF(R975="Y","warm-intro",IF(H975="verified","email",IF(C975&lt;&gt;"","linkedin",CB975&amp;""))))</f>
        <v/>
      </c>
      <c r="J975" s="0" t="str">
        <f aca="false">IF($A975="","",IF(CN975="pass",ROUND(N(EM975)+N(EN975)+N(EO975)+N(EP975)+N(EQ975)+N(ER975),1),0))</f>
        <v/>
      </c>
      <c r="K975" s="0" t="str">
        <f aca="false">IF($A975="","",IF(CN975&lt;&gt;"pass",CA975&amp;"",CA975&amp;"; "&amp;IF(AW975="Y",BZ975&amp;"",BL975&amp;"")&amp;IF(R975="Y","; known to the founder (+15)","")&amp;"."))</f>
        <v/>
      </c>
      <c r="R975" s="5"/>
      <c r="U975" s="5"/>
      <c r="Y975" s="0" t="str">
        <f aca="false">IF(FX975&lt;&gt;"Y","",COUNTIFS($FX$2:$FX$1000,"Y",$J$2:$J$1000,"&gt;"&amp;J975)+COUNTIFS($FX$2:$FX$1000,"Y",$J$2:$J$1000,J975,$GD$2:$GD$1000,"&lt;"&amp;GD975)+1)</f>
        <v/>
      </c>
      <c r="AB975" s="0" t="str">
        <f aca="false">IF($A975="","",IF(AW975="Y",BY975&amp;"",BK975&amp;""))</f>
        <v/>
      </c>
      <c r="AC975" s="0" t="str">
        <f aca="false">IF($A975="","",IF(AW975="Y",BS975&amp;"",BE975&amp;""))</f>
        <v/>
      </c>
      <c r="AD975" s="0" t="str">
        <f aca="false">IF($A975="","",IF(AW975="Y",BT975&amp;"",BF975&amp;""))</f>
        <v/>
      </c>
      <c r="AE975" s="0" t="str">
        <f aca="false">IF($A975="","",IF(AW975="Y",BU975&amp;"",BG975&amp;""))</f>
        <v/>
      </c>
      <c r="AF975" s="0" t="str">
        <f aca="false">IF($A975="","",IF(AW975="Y",BV975&amp;"",BH975&amp;""))</f>
        <v/>
      </c>
      <c r="AG975" s="0" t="str">
        <f aca="false">IF($A975="","",IF(AW975="Y",BW975&amp;"",BI975&amp;""))</f>
        <v/>
      </c>
      <c r="AH975" s="0" t="str">
        <f aca="false">IF($A975="","",IF(AW975="Y",BX975&amp;"",BJ975&amp;""))</f>
        <v/>
      </c>
      <c r="AQ975" s="5"/>
      <c r="AT975" s="0" t="str">
        <f aca="false">IF($A975="","",IF(AND(CN975="pass",AQ975&lt;&gt;"Y",C975&lt;&gt;"",OR(AX975&lt;&gt;"Y",AV975="Y")),"Y","N"))</f>
        <v/>
      </c>
      <c r="AU975" s="0" t="str">
        <f aca="false">IF($A975="","",_xlfn.TEXTJOIN("; ",TRUE(),IF(CN975&lt;&gt;"pass","gated out",""),IF(AQ975="Y","on hold: "&amp;AR975,""),IF(C975="","no contact named on an opened page",""),IF(AND(AX975="Y",AV975&lt;&gt;"Y"),"Tuesday estimate band "&amp;L975&amp;": founder's call","")))</f>
        <v/>
      </c>
      <c r="BC975" s="0" t="str">
        <f aca="false">IF($A975="","",IFERROR(INDEX(Enrichment!$A$2:$GZ$2000,MATCH($A975,INDEX(Enrichment!$A$2:$GZ$2000,0,MATCH("row_id",Enrichment!$A$1:$GZ$1,0)),0),MATCH("work_email",Enrichment!$A$1:$GZ$1,0))&amp;"",""))</f>
        <v/>
      </c>
      <c r="BD975" s="0" t="str">
        <f aca="false">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Q975" s="0" t="str">
        <f aca="false">IF($A975="","",IFERROR(INDEX(Enrichment!$A$2:$GZ$2000,MATCH($A975,INDEX(Enrichment!$A$2:$GZ$2000,0,MATCH("row_id",Enrichment!$A$1:$GZ$1,0)),0),MATCH("backup_work_email",Enrichment!$A$1:$GZ$1,0))&amp;"",""))</f>
        <v/>
      </c>
      <c r="BR975" s="0" t="str">
        <f aca="false">IF($A975="","",IF(BQ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EQ975" s="0" t="str">
        <f aca="false">IF($A975="","",IF(AH975="exact",10,IF(AH975="adjacent",5,0)))</f>
        <v/>
      </c>
      <c r="ER975" s="0" t="str">
        <f aca="false">IF($A975="","",IF(R975="Y",15,0))</f>
        <v/>
      </c>
      <c r="FS975" s="0" t="str">
        <f aca="false">IF($A975="","",IF(ISNUMBER(MATCH(U975,{"queued","contacted","replied","call_booked","call_done","yes_in_principle","materials_sent"},0)),"Y","N"))</f>
        <v/>
      </c>
      <c r="FT975" s="0" t="str">
        <f aca="false">IF($A975="","",IF(OR(T975="Y",U975="do_not_contact",AS975&amp;""&lt;&gt;""),"Y","N"))</f>
        <v/>
      </c>
      <c r="FU975" s="0" t="str">
        <f aca="false">IF($A975="","",IF(AP975&amp;""&lt;&gt;"",AP975&amp;"",$A975))</f>
        <v/>
      </c>
      <c r="FV975" s="0" t="str">
        <f aca="false">IF($A975="","",IF(COUNTIFS($FU$2:$FU$1000,FU975,$FS$2:$FS$1000,"Y")+COUNTIFS($FU$2:$FU$1000,FU975,$FT$2:$FT$1000,"Y")&gt;0,"Y","N"))</f>
        <v/>
      </c>
      <c r="FW975" s="0" t="str">
        <f aca="false">IF($A975="","",IF(AND(U975="new",T975="N",FT975="N",AT975="Y",FV975="N"),"Y","N"))</f>
        <v/>
      </c>
      <c r="FX975" s="0" t="str">
        <f aca="false">IF($A975="","",IF(FW975&lt;&gt;"Y","N",IF(COUNTIFS($FU$2:$FU$1000,FU975,$FW$2:$FW$1000,"Y",$J$2:$J$1000,"&gt;"&amp;J975)+COUNTIFS($FU$2:$FU$1000,FU975,$FW$2:$FW$1000,"Y",$J$2:$J$1000,J975,$GD$2:$GD$1000,"&lt;"&amp;GD975)=0,"Y","N")))</f>
        <v/>
      </c>
      <c r="FY975" s="0" t="str">
        <f aca="false">IF($A975="","",IF(AND(FW975="Y",FX975="Y",Y975&amp;""&lt;&gt;""),IF(Y975&lt;=10,"Y","N"),"N"))</f>
        <v/>
      </c>
      <c r="FZ975" s="0" t="str">
        <f aca="false">IF(FY975="Y",Y975,"")</f>
        <v/>
      </c>
      <c r="GA975" s="0" t="str">
        <f aca="false">IF($A975="","",IF(AND(I975="walk-in",CN975="pass",U975="new",FT975="N",FV975="N",AQ975&lt;&gt;"Y"),"Y","N"))</f>
        <v/>
      </c>
      <c r="GB975" s="0" t="str">
        <f aca="false">IF(GA975&lt;&gt;"Y","",IF(COUNTIFS($GA$2:$GA$1000,"Y",$J$2:$J$1000,"&gt;"&amp;J975)+COUNTIFS($GA$2:$GA$1000,"Y",$J$2:$J$1000,J975,$GD$2:$GD$1000,"&lt;"&amp;GD975)+1&lt;=25,COUNTIFS($GA$2:$GA$1000,"Y",$J$2:$J$1000,"&gt;"&amp;J975)+COUNTIFS($GA$2:$GA$1000,"Y",$J$2:$J$1000,J975,$GD$2:$GD$1000,"&lt;"&amp;GD975)+1,""))</f>
        <v/>
      </c>
      <c r="GC975" s="0" t="str">
        <f aca="false">IF(AND(_xlfn.ISFORMULA(C975),_xlfn.ISFORMULA(J975)),"Y","N")</f>
        <v>Y</v>
      </c>
      <c r="GD975" s="0" t="n">
        <f aca="false">ROW()-1</f>
        <v>974</v>
      </c>
    </row>
    <row r="976" customFormat="false" ht="15" hidden="false" customHeight="false" outlineLevel="0" collapsed="false">
      <c r="C976" s="0" t="str">
        <f aca="false">IF($A976="","",IF(AW976="Y",BM976&amp;"",AY976&amp;""))</f>
        <v/>
      </c>
      <c r="D976" s="0" t="str">
        <f aca="false">IF($A976="","",IF(AW976="Y",BN976&amp;"",AZ976&amp;""))</f>
        <v/>
      </c>
      <c r="E976" s="0" t="str">
        <f aca="false">IF($A976="","",IF(AW976="Y",BO976&amp;"",BA976&amp;""))</f>
        <v/>
      </c>
      <c r="F976" s="0" t="str">
        <f aca="false">IF($A976="","",IF(AW976="Y",BP976&amp;"",BB976&amp;""))</f>
        <v/>
      </c>
      <c r="G976" s="0" t="str">
        <f aca="false">IF($A976="","",IF(AW976="Y",BQ976&amp;"",BC976&amp;""))</f>
        <v/>
      </c>
      <c r="H976" s="0" t="str">
        <f aca="false">IF($A976="","",IF(AW976="Y",BR976&amp;"",BD976&amp;""))</f>
        <v/>
      </c>
      <c r="I976" s="0" t="str">
        <f aca="false">IF($A976="","",IF(R976="Y","warm-intro",IF(H976="verified","email",IF(C976&lt;&gt;"","linkedin",CB976&amp;""))))</f>
        <v/>
      </c>
      <c r="J976" s="0" t="str">
        <f aca="false">IF($A976="","",IF(CN976="pass",ROUND(N(EM976)+N(EN976)+N(EO976)+N(EP976)+N(EQ976)+N(ER976),1),0))</f>
        <v/>
      </c>
      <c r="K976" s="0" t="str">
        <f aca="false">IF($A976="","",IF(CN976&lt;&gt;"pass",CA976&amp;"",CA976&amp;"; "&amp;IF(AW976="Y",BZ976&amp;"",BL976&amp;"")&amp;IF(R976="Y","; known to the founder (+15)","")&amp;"."))</f>
        <v/>
      </c>
      <c r="R976" s="5"/>
      <c r="U976" s="5"/>
      <c r="Y976" s="0" t="str">
        <f aca="false">IF(FX976&lt;&gt;"Y","",COUNTIFS($FX$2:$FX$1000,"Y",$J$2:$J$1000,"&gt;"&amp;J976)+COUNTIFS($FX$2:$FX$1000,"Y",$J$2:$J$1000,J976,$GD$2:$GD$1000,"&lt;"&amp;GD976)+1)</f>
        <v/>
      </c>
      <c r="AB976" s="0" t="str">
        <f aca="false">IF($A976="","",IF(AW976="Y",BY976&amp;"",BK976&amp;""))</f>
        <v/>
      </c>
      <c r="AC976" s="0" t="str">
        <f aca="false">IF($A976="","",IF(AW976="Y",BS976&amp;"",BE976&amp;""))</f>
        <v/>
      </c>
      <c r="AD976" s="0" t="str">
        <f aca="false">IF($A976="","",IF(AW976="Y",BT976&amp;"",BF976&amp;""))</f>
        <v/>
      </c>
      <c r="AE976" s="0" t="str">
        <f aca="false">IF($A976="","",IF(AW976="Y",BU976&amp;"",BG976&amp;""))</f>
        <v/>
      </c>
      <c r="AF976" s="0" t="str">
        <f aca="false">IF($A976="","",IF(AW976="Y",BV976&amp;"",BH976&amp;""))</f>
        <v/>
      </c>
      <c r="AG976" s="0" t="str">
        <f aca="false">IF($A976="","",IF(AW976="Y",BW976&amp;"",BI976&amp;""))</f>
        <v/>
      </c>
      <c r="AH976" s="0" t="str">
        <f aca="false">IF($A976="","",IF(AW976="Y",BX976&amp;"",BJ976&amp;""))</f>
        <v/>
      </c>
      <c r="AQ976" s="5"/>
      <c r="AT976" s="0" t="str">
        <f aca="false">IF($A976="","",IF(AND(CN976="pass",AQ976&lt;&gt;"Y",C976&lt;&gt;"",OR(AX976&lt;&gt;"Y",AV976="Y")),"Y","N"))</f>
        <v/>
      </c>
      <c r="AU976" s="0" t="str">
        <f aca="false">IF($A976="","",_xlfn.TEXTJOIN("; ",TRUE(),IF(CN976&lt;&gt;"pass","gated out",""),IF(AQ976="Y","on hold: "&amp;AR976,""),IF(C976="","no contact named on an opened page",""),IF(AND(AX976="Y",AV976&lt;&gt;"Y"),"Tuesday estimate band "&amp;L976&amp;": founder's call","")))</f>
        <v/>
      </c>
      <c r="BC976" s="0" t="str">
        <f aca="false">IF($A976="","",IFERROR(INDEX(Enrichment!$A$2:$GZ$2000,MATCH($A976,INDEX(Enrichment!$A$2:$GZ$2000,0,MATCH("row_id",Enrichment!$A$1:$GZ$1,0)),0),MATCH("work_email",Enrichment!$A$1:$GZ$1,0))&amp;"",""))</f>
        <v/>
      </c>
      <c r="BD976" s="0" t="str">
        <f aca="false">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Q976" s="0" t="str">
        <f aca="false">IF($A976="","",IFERROR(INDEX(Enrichment!$A$2:$GZ$2000,MATCH($A976,INDEX(Enrichment!$A$2:$GZ$2000,0,MATCH("row_id",Enrichment!$A$1:$GZ$1,0)),0),MATCH("backup_work_email",Enrichment!$A$1:$GZ$1,0))&amp;"",""))</f>
        <v/>
      </c>
      <c r="BR976" s="0" t="str">
        <f aca="false">IF($A976="","",IF(BQ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EQ976" s="0" t="str">
        <f aca="false">IF($A976="","",IF(AH976="exact",10,IF(AH976="adjacent",5,0)))</f>
        <v/>
      </c>
      <c r="ER976" s="0" t="str">
        <f aca="false">IF($A976="","",IF(R976="Y",15,0))</f>
        <v/>
      </c>
      <c r="FS976" s="0" t="str">
        <f aca="false">IF($A976="","",IF(ISNUMBER(MATCH(U976,{"queued","contacted","replied","call_booked","call_done","yes_in_principle","materials_sent"},0)),"Y","N"))</f>
        <v/>
      </c>
      <c r="FT976" s="0" t="str">
        <f aca="false">IF($A976="","",IF(OR(T976="Y",U976="do_not_contact",AS976&amp;""&lt;&gt;""),"Y","N"))</f>
        <v/>
      </c>
      <c r="FU976" s="0" t="str">
        <f aca="false">IF($A976="","",IF(AP976&amp;""&lt;&gt;"",AP976&amp;"",$A976))</f>
        <v/>
      </c>
      <c r="FV976" s="0" t="str">
        <f aca="false">IF($A976="","",IF(COUNTIFS($FU$2:$FU$1000,FU976,$FS$2:$FS$1000,"Y")+COUNTIFS($FU$2:$FU$1000,FU976,$FT$2:$FT$1000,"Y")&gt;0,"Y","N"))</f>
        <v/>
      </c>
      <c r="FW976" s="0" t="str">
        <f aca="false">IF($A976="","",IF(AND(U976="new",T976="N",FT976="N",AT976="Y",FV976="N"),"Y","N"))</f>
        <v/>
      </c>
      <c r="FX976" s="0" t="str">
        <f aca="false">IF($A976="","",IF(FW976&lt;&gt;"Y","N",IF(COUNTIFS($FU$2:$FU$1000,FU976,$FW$2:$FW$1000,"Y",$J$2:$J$1000,"&gt;"&amp;J976)+COUNTIFS($FU$2:$FU$1000,FU976,$FW$2:$FW$1000,"Y",$J$2:$J$1000,J976,$GD$2:$GD$1000,"&lt;"&amp;GD976)=0,"Y","N")))</f>
        <v/>
      </c>
      <c r="FY976" s="0" t="str">
        <f aca="false">IF($A976="","",IF(AND(FW976="Y",FX976="Y",Y976&amp;""&lt;&gt;""),IF(Y976&lt;=10,"Y","N"),"N"))</f>
        <v/>
      </c>
      <c r="FZ976" s="0" t="str">
        <f aca="false">IF(FY976="Y",Y976,"")</f>
        <v/>
      </c>
      <c r="GA976" s="0" t="str">
        <f aca="false">IF($A976="","",IF(AND(I976="walk-in",CN976="pass",U976="new",FT976="N",FV976="N",AQ976&lt;&gt;"Y"),"Y","N"))</f>
        <v/>
      </c>
      <c r="GB976" s="0" t="str">
        <f aca="false">IF(GA976&lt;&gt;"Y","",IF(COUNTIFS($GA$2:$GA$1000,"Y",$J$2:$J$1000,"&gt;"&amp;J976)+COUNTIFS($GA$2:$GA$1000,"Y",$J$2:$J$1000,J976,$GD$2:$GD$1000,"&lt;"&amp;GD976)+1&lt;=25,COUNTIFS($GA$2:$GA$1000,"Y",$J$2:$J$1000,"&gt;"&amp;J976)+COUNTIFS($GA$2:$GA$1000,"Y",$J$2:$J$1000,J976,$GD$2:$GD$1000,"&lt;"&amp;GD976)+1,""))</f>
        <v/>
      </c>
      <c r="GC976" s="0" t="str">
        <f aca="false">IF(AND(_xlfn.ISFORMULA(C976),_xlfn.ISFORMULA(J976)),"Y","N")</f>
        <v>Y</v>
      </c>
      <c r="GD976" s="0" t="n">
        <f aca="false">ROW()-1</f>
        <v>975</v>
      </c>
    </row>
    <row r="977" customFormat="false" ht="15" hidden="false" customHeight="false" outlineLevel="0" collapsed="false">
      <c r="C977" s="0" t="str">
        <f aca="false">IF($A977="","",IF(AW977="Y",BM977&amp;"",AY977&amp;""))</f>
        <v/>
      </c>
      <c r="D977" s="0" t="str">
        <f aca="false">IF($A977="","",IF(AW977="Y",BN977&amp;"",AZ977&amp;""))</f>
        <v/>
      </c>
      <c r="E977" s="0" t="str">
        <f aca="false">IF($A977="","",IF(AW977="Y",BO977&amp;"",BA977&amp;""))</f>
        <v/>
      </c>
      <c r="F977" s="0" t="str">
        <f aca="false">IF($A977="","",IF(AW977="Y",BP977&amp;"",BB977&amp;""))</f>
        <v/>
      </c>
      <c r="G977" s="0" t="str">
        <f aca="false">IF($A977="","",IF(AW977="Y",BQ977&amp;"",BC977&amp;""))</f>
        <v/>
      </c>
      <c r="H977" s="0" t="str">
        <f aca="false">IF($A977="","",IF(AW977="Y",BR977&amp;"",BD977&amp;""))</f>
        <v/>
      </c>
      <c r="I977" s="0" t="str">
        <f aca="false">IF($A977="","",IF(R977="Y","warm-intro",IF(H977="verified","email",IF(C977&lt;&gt;"","linkedin",CB977&amp;""))))</f>
        <v/>
      </c>
      <c r="J977" s="0" t="str">
        <f aca="false">IF($A977="","",IF(CN977="pass",ROUND(N(EM977)+N(EN977)+N(EO977)+N(EP977)+N(EQ977)+N(ER977),1),0))</f>
        <v/>
      </c>
      <c r="K977" s="0" t="str">
        <f aca="false">IF($A977="","",IF(CN977&lt;&gt;"pass",CA977&amp;"",CA977&amp;"; "&amp;IF(AW977="Y",BZ977&amp;"",BL977&amp;"")&amp;IF(R977="Y","; known to the founder (+15)","")&amp;"."))</f>
        <v/>
      </c>
      <c r="R977" s="5"/>
      <c r="U977" s="5"/>
      <c r="Y977" s="0" t="str">
        <f aca="false">IF(FX977&lt;&gt;"Y","",COUNTIFS($FX$2:$FX$1000,"Y",$J$2:$J$1000,"&gt;"&amp;J977)+COUNTIFS($FX$2:$FX$1000,"Y",$J$2:$J$1000,J977,$GD$2:$GD$1000,"&lt;"&amp;GD977)+1)</f>
        <v/>
      </c>
      <c r="AB977" s="0" t="str">
        <f aca="false">IF($A977="","",IF(AW977="Y",BY977&amp;"",BK977&amp;""))</f>
        <v/>
      </c>
      <c r="AC977" s="0" t="str">
        <f aca="false">IF($A977="","",IF(AW977="Y",BS977&amp;"",BE977&amp;""))</f>
        <v/>
      </c>
      <c r="AD977" s="0" t="str">
        <f aca="false">IF($A977="","",IF(AW977="Y",BT977&amp;"",BF977&amp;""))</f>
        <v/>
      </c>
      <c r="AE977" s="0" t="str">
        <f aca="false">IF($A977="","",IF(AW977="Y",BU977&amp;"",BG977&amp;""))</f>
        <v/>
      </c>
      <c r="AF977" s="0" t="str">
        <f aca="false">IF($A977="","",IF(AW977="Y",BV977&amp;"",BH977&amp;""))</f>
        <v/>
      </c>
      <c r="AG977" s="0" t="str">
        <f aca="false">IF($A977="","",IF(AW977="Y",BW977&amp;"",BI977&amp;""))</f>
        <v/>
      </c>
      <c r="AH977" s="0" t="str">
        <f aca="false">IF($A977="","",IF(AW977="Y",BX977&amp;"",BJ977&amp;""))</f>
        <v/>
      </c>
      <c r="AQ977" s="5"/>
      <c r="AT977" s="0" t="str">
        <f aca="false">IF($A977="","",IF(AND(CN977="pass",AQ977&lt;&gt;"Y",C977&lt;&gt;"",OR(AX977&lt;&gt;"Y",AV977="Y")),"Y","N"))</f>
        <v/>
      </c>
      <c r="AU977" s="0" t="str">
        <f aca="false">IF($A977="","",_xlfn.TEXTJOIN("; ",TRUE(),IF(CN977&lt;&gt;"pass","gated out",""),IF(AQ977="Y","on hold: "&amp;AR977,""),IF(C977="","no contact named on an opened page",""),IF(AND(AX977="Y",AV977&lt;&gt;"Y"),"Tuesday estimate band "&amp;L977&amp;": founder's call","")))</f>
        <v/>
      </c>
      <c r="BC977" s="0" t="str">
        <f aca="false">IF($A977="","",IFERROR(INDEX(Enrichment!$A$2:$GZ$2000,MATCH($A977,INDEX(Enrichment!$A$2:$GZ$2000,0,MATCH("row_id",Enrichment!$A$1:$GZ$1,0)),0),MATCH("work_email",Enrichment!$A$1:$GZ$1,0))&amp;"",""))</f>
        <v/>
      </c>
      <c r="BD977" s="0" t="str">
        <f aca="false">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Q977" s="0" t="str">
        <f aca="false">IF($A977="","",IFERROR(INDEX(Enrichment!$A$2:$GZ$2000,MATCH($A977,INDEX(Enrichment!$A$2:$GZ$2000,0,MATCH("row_id",Enrichment!$A$1:$GZ$1,0)),0),MATCH("backup_work_email",Enrichment!$A$1:$GZ$1,0))&amp;"",""))</f>
        <v/>
      </c>
      <c r="BR977" s="0" t="str">
        <f aca="false">IF($A977="","",IF(BQ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EQ977" s="0" t="str">
        <f aca="false">IF($A977="","",IF(AH977="exact",10,IF(AH977="adjacent",5,0)))</f>
        <v/>
      </c>
      <c r="ER977" s="0" t="str">
        <f aca="false">IF($A977="","",IF(R977="Y",15,0))</f>
        <v/>
      </c>
      <c r="FS977" s="0" t="str">
        <f aca="false">IF($A977="","",IF(ISNUMBER(MATCH(U977,{"queued","contacted","replied","call_booked","call_done","yes_in_principle","materials_sent"},0)),"Y","N"))</f>
        <v/>
      </c>
      <c r="FT977" s="0" t="str">
        <f aca="false">IF($A977="","",IF(OR(T977="Y",U977="do_not_contact",AS977&amp;""&lt;&gt;""),"Y","N"))</f>
        <v/>
      </c>
      <c r="FU977" s="0" t="str">
        <f aca="false">IF($A977="","",IF(AP977&amp;""&lt;&gt;"",AP977&amp;"",$A977))</f>
        <v/>
      </c>
      <c r="FV977" s="0" t="str">
        <f aca="false">IF($A977="","",IF(COUNTIFS($FU$2:$FU$1000,FU977,$FS$2:$FS$1000,"Y")+COUNTIFS($FU$2:$FU$1000,FU977,$FT$2:$FT$1000,"Y")&gt;0,"Y","N"))</f>
        <v/>
      </c>
      <c r="FW977" s="0" t="str">
        <f aca="false">IF($A977="","",IF(AND(U977="new",T977="N",FT977="N",AT977="Y",FV977="N"),"Y","N"))</f>
        <v/>
      </c>
      <c r="FX977" s="0" t="str">
        <f aca="false">IF($A977="","",IF(FW977&lt;&gt;"Y","N",IF(COUNTIFS($FU$2:$FU$1000,FU977,$FW$2:$FW$1000,"Y",$J$2:$J$1000,"&gt;"&amp;J977)+COUNTIFS($FU$2:$FU$1000,FU977,$FW$2:$FW$1000,"Y",$J$2:$J$1000,J977,$GD$2:$GD$1000,"&lt;"&amp;GD977)=0,"Y","N")))</f>
        <v/>
      </c>
      <c r="FY977" s="0" t="str">
        <f aca="false">IF($A977="","",IF(AND(FW977="Y",FX977="Y",Y977&amp;""&lt;&gt;""),IF(Y977&lt;=10,"Y","N"),"N"))</f>
        <v/>
      </c>
      <c r="FZ977" s="0" t="str">
        <f aca="false">IF(FY977="Y",Y977,"")</f>
        <v/>
      </c>
      <c r="GA977" s="0" t="str">
        <f aca="false">IF($A977="","",IF(AND(I977="walk-in",CN977="pass",U977="new",FT977="N",FV977="N",AQ977&lt;&gt;"Y"),"Y","N"))</f>
        <v/>
      </c>
      <c r="GB977" s="0" t="str">
        <f aca="false">IF(GA977&lt;&gt;"Y","",IF(COUNTIFS($GA$2:$GA$1000,"Y",$J$2:$J$1000,"&gt;"&amp;J977)+COUNTIFS($GA$2:$GA$1000,"Y",$J$2:$J$1000,J977,$GD$2:$GD$1000,"&lt;"&amp;GD977)+1&lt;=25,COUNTIFS($GA$2:$GA$1000,"Y",$J$2:$J$1000,"&gt;"&amp;J977)+COUNTIFS($GA$2:$GA$1000,"Y",$J$2:$J$1000,J977,$GD$2:$GD$1000,"&lt;"&amp;GD977)+1,""))</f>
        <v/>
      </c>
      <c r="GC977" s="0" t="str">
        <f aca="false">IF(AND(_xlfn.ISFORMULA(C977),_xlfn.ISFORMULA(J977)),"Y","N")</f>
        <v>Y</v>
      </c>
      <c r="GD977" s="0" t="n">
        <f aca="false">ROW()-1</f>
        <v>976</v>
      </c>
    </row>
    <row r="978" customFormat="false" ht="15" hidden="false" customHeight="false" outlineLevel="0" collapsed="false">
      <c r="C978" s="0" t="str">
        <f aca="false">IF($A978="","",IF(AW978="Y",BM978&amp;"",AY978&amp;""))</f>
        <v/>
      </c>
      <c r="D978" s="0" t="str">
        <f aca="false">IF($A978="","",IF(AW978="Y",BN978&amp;"",AZ978&amp;""))</f>
        <v/>
      </c>
      <c r="E978" s="0" t="str">
        <f aca="false">IF($A978="","",IF(AW978="Y",BO978&amp;"",BA978&amp;""))</f>
        <v/>
      </c>
      <c r="F978" s="0" t="str">
        <f aca="false">IF($A978="","",IF(AW978="Y",BP978&amp;"",BB978&amp;""))</f>
        <v/>
      </c>
      <c r="G978" s="0" t="str">
        <f aca="false">IF($A978="","",IF(AW978="Y",BQ978&amp;"",BC978&amp;""))</f>
        <v/>
      </c>
      <c r="H978" s="0" t="str">
        <f aca="false">IF($A978="","",IF(AW978="Y",BR978&amp;"",BD978&amp;""))</f>
        <v/>
      </c>
      <c r="I978" s="0" t="str">
        <f aca="false">IF($A978="","",IF(R978="Y","warm-intro",IF(H978="verified","email",IF(C978&lt;&gt;"","linkedin",CB978&amp;""))))</f>
        <v/>
      </c>
      <c r="J978" s="0" t="str">
        <f aca="false">IF($A978="","",IF(CN978="pass",ROUND(N(EM978)+N(EN978)+N(EO978)+N(EP978)+N(EQ978)+N(ER978),1),0))</f>
        <v/>
      </c>
      <c r="K978" s="0" t="str">
        <f aca="false">IF($A978="","",IF(CN978&lt;&gt;"pass",CA978&amp;"",CA978&amp;"; "&amp;IF(AW978="Y",BZ978&amp;"",BL978&amp;"")&amp;IF(R978="Y","; known to the founder (+15)","")&amp;"."))</f>
        <v/>
      </c>
      <c r="R978" s="5"/>
      <c r="U978" s="5"/>
      <c r="Y978" s="0" t="str">
        <f aca="false">IF(FX978&lt;&gt;"Y","",COUNTIFS($FX$2:$FX$1000,"Y",$J$2:$J$1000,"&gt;"&amp;J978)+COUNTIFS($FX$2:$FX$1000,"Y",$J$2:$J$1000,J978,$GD$2:$GD$1000,"&lt;"&amp;GD978)+1)</f>
        <v/>
      </c>
      <c r="AB978" s="0" t="str">
        <f aca="false">IF($A978="","",IF(AW978="Y",BY978&amp;"",BK978&amp;""))</f>
        <v/>
      </c>
      <c r="AC978" s="0" t="str">
        <f aca="false">IF($A978="","",IF(AW978="Y",BS978&amp;"",BE978&amp;""))</f>
        <v/>
      </c>
      <c r="AD978" s="0" t="str">
        <f aca="false">IF($A978="","",IF(AW978="Y",BT978&amp;"",BF978&amp;""))</f>
        <v/>
      </c>
      <c r="AE978" s="0" t="str">
        <f aca="false">IF($A978="","",IF(AW978="Y",BU978&amp;"",BG978&amp;""))</f>
        <v/>
      </c>
      <c r="AF978" s="0" t="str">
        <f aca="false">IF($A978="","",IF(AW978="Y",BV978&amp;"",BH978&amp;""))</f>
        <v/>
      </c>
      <c r="AG978" s="0" t="str">
        <f aca="false">IF($A978="","",IF(AW978="Y",BW978&amp;"",BI978&amp;""))</f>
        <v/>
      </c>
      <c r="AH978" s="0" t="str">
        <f aca="false">IF($A978="","",IF(AW978="Y",BX978&amp;"",BJ978&amp;""))</f>
        <v/>
      </c>
      <c r="AQ978" s="5"/>
      <c r="AT978" s="0" t="str">
        <f aca="false">IF($A978="","",IF(AND(CN978="pass",AQ978&lt;&gt;"Y",C978&lt;&gt;"",OR(AX978&lt;&gt;"Y",AV978="Y")),"Y","N"))</f>
        <v/>
      </c>
      <c r="AU978" s="0" t="str">
        <f aca="false">IF($A978="","",_xlfn.TEXTJOIN("; ",TRUE(),IF(CN978&lt;&gt;"pass","gated out",""),IF(AQ978="Y","on hold: "&amp;AR978,""),IF(C978="","no contact named on an opened page",""),IF(AND(AX978="Y",AV978&lt;&gt;"Y"),"Tuesday estimate band "&amp;L978&amp;": founder's call","")))</f>
        <v/>
      </c>
      <c r="BC978" s="0" t="str">
        <f aca="false">IF($A978="","",IFERROR(INDEX(Enrichment!$A$2:$GZ$2000,MATCH($A978,INDEX(Enrichment!$A$2:$GZ$2000,0,MATCH("row_id",Enrichment!$A$1:$GZ$1,0)),0),MATCH("work_email",Enrichment!$A$1:$GZ$1,0))&amp;"",""))</f>
        <v/>
      </c>
      <c r="BD978" s="0" t="str">
        <f aca="false">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Q978" s="0" t="str">
        <f aca="false">IF($A978="","",IFERROR(INDEX(Enrichment!$A$2:$GZ$2000,MATCH($A978,INDEX(Enrichment!$A$2:$GZ$2000,0,MATCH("row_id",Enrichment!$A$1:$GZ$1,0)),0),MATCH("backup_work_email",Enrichment!$A$1:$GZ$1,0))&amp;"",""))</f>
        <v/>
      </c>
      <c r="BR978" s="0" t="str">
        <f aca="false">IF($A978="","",IF(BQ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EQ978" s="0" t="str">
        <f aca="false">IF($A978="","",IF(AH978="exact",10,IF(AH978="adjacent",5,0)))</f>
        <v/>
      </c>
      <c r="ER978" s="0" t="str">
        <f aca="false">IF($A978="","",IF(R978="Y",15,0))</f>
        <v/>
      </c>
      <c r="FS978" s="0" t="str">
        <f aca="false">IF($A978="","",IF(ISNUMBER(MATCH(U978,{"queued","contacted","replied","call_booked","call_done","yes_in_principle","materials_sent"},0)),"Y","N"))</f>
        <v/>
      </c>
      <c r="FT978" s="0" t="str">
        <f aca="false">IF($A978="","",IF(OR(T978="Y",U978="do_not_contact",AS978&amp;""&lt;&gt;""),"Y","N"))</f>
        <v/>
      </c>
      <c r="FU978" s="0" t="str">
        <f aca="false">IF($A978="","",IF(AP978&amp;""&lt;&gt;"",AP978&amp;"",$A978))</f>
        <v/>
      </c>
      <c r="FV978" s="0" t="str">
        <f aca="false">IF($A978="","",IF(COUNTIFS($FU$2:$FU$1000,FU978,$FS$2:$FS$1000,"Y")+COUNTIFS($FU$2:$FU$1000,FU978,$FT$2:$FT$1000,"Y")&gt;0,"Y","N"))</f>
        <v/>
      </c>
      <c r="FW978" s="0" t="str">
        <f aca="false">IF($A978="","",IF(AND(U978="new",T978="N",FT978="N",AT978="Y",FV978="N"),"Y","N"))</f>
        <v/>
      </c>
      <c r="FX978" s="0" t="str">
        <f aca="false">IF($A978="","",IF(FW978&lt;&gt;"Y","N",IF(COUNTIFS($FU$2:$FU$1000,FU978,$FW$2:$FW$1000,"Y",$J$2:$J$1000,"&gt;"&amp;J978)+COUNTIFS($FU$2:$FU$1000,FU978,$FW$2:$FW$1000,"Y",$J$2:$J$1000,J978,$GD$2:$GD$1000,"&lt;"&amp;GD978)=0,"Y","N")))</f>
        <v/>
      </c>
      <c r="FY978" s="0" t="str">
        <f aca="false">IF($A978="","",IF(AND(FW978="Y",FX978="Y",Y978&amp;""&lt;&gt;""),IF(Y978&lt;=10,"Y","N"),"N"))</f>
        <v/>
      </c>
      <c r="FZ978" s="0" t="str">
        <f aca="false">IF(FY978="Y",Y978,"")</f>
        <v/>
      </c>
      <c r="GA978" s="0" t="str">
        <f aca="false">IF($A978="","",IF(AND(I978="walk-in",CN978="pass",U978="new",FT978="N",FV978="N",AQ978&lt;&gt;"Y"),"Y","N"))</f>
        <v/>
      </c>
      <c r="GB978" s="0" t="str">
        <f aca="false">IF(GA978&lt;&gt;"Y","",IF(COUNTIFS($GA$2:$GA$1000,"Y",$J$2:$J$1000,"&gt;"&amp;J978)+COUNTIFS($GA$2:$GA$1000,"Y",$J$2:$J$1000,J978,$GD$2:$GD$1000,"&lt;"&amp;GD978)+1&lt;=25,COUNTIFS($GA$2:$GA$1000,"Y",$J$2:$J$1000,"&gt;"&amp;J978)+COUNTIFS($GA$2:$GA$1000,"Y",$J$2:$J$1000,J978,$GD$2:$GD$1000,"&lt;"&amp;GD978)+1,""))</f>
        <v/>
      </c>
      <c r="GC978" s="0" t="str">
        <f aca="false">IF(AND(_xlfn.ISFORMULA(C978),_xlfn.ISFORMULA(J978)),"Y","N")</f>
        <v>Y</v>
      </c>
      <c r="GD978" s="0" t="n">
        <f aca="false">ROW()-1</f>
        <v>977</v>
      </c>
    </row>
    <row r="979" customFormat="false" ht="15" hidden="false" customHeight="false" outlineLevel="0" collapsed="false">
      <c r="C979" s="0" t="str">
        <f aca="false">IF($A979="","",IF(AW979="Y",BM979&amp;"",AY979&amp;""))</f>
        <v/>
      </c>
      <c r="D979" s="0" t="str">
        <f aca="false">IF($A979="","",IF(AW979="Y",BN979&amp;"",AZ979&amp;""))</f>
        <v/>
      </c>
      <c r="E979" s="0" t="str">
        <f aca="false">IF($A979="","",IF(AW979="Y",BO979&amp;"",BA979&amp;""))</f>
        <v/>
      </c>
      <c r="F979" s="0" t="str">
        <f aca="false">IF($A979="","",IF(AW979="Y",BP979&amp;"",BB979&amp;""))</f>
        <v/>
      </c>
      <c r="G979" s="0" t="str">
        <f aca="false">IF($A979="","",IF(AW979="Y",BQ979&amp;"",BC979&amp;""))</f>
        <v/>
      </c>
      <c r="H979" s="0" t="str">
        <f aca="false">IF($A979="","",IF(AW979="Y",BR979&amp;"",BD979&amp;""))</f>
        <v/>
      </c>
      <c r="I979" s="0" t="str">
        <f aca="false">IF($A979="","",IF(R979="Y","warm-intro",IF(H979="verified","email",IF(C979&lt;&gt;"","linkedin",CB979&amp;""))))</f>
        <v/>
      </c>
      <c r="J979" s="0" t="str">
        <f aca="false">IF($A979="","",IF(CN979="pass",ROUND(N(EM979)+N(EN979)+N(EO979)+N(EP979)+N(EQ979)+N(ER979),1),0))</f>
        <v/>
      </c>
      <c r="K979" s="0" t="str">
        <f aca="false">IF($A979="","",IF(CN979&lt;&gt;"pass",CA979&amp;"",CA979&amp;"; "&amp;IF(AW979="Y",BZ979&amp;"",BL979&amp;"")&amp;IF(R979="Y","; known to the founder (+15)","")&amp;"."))</f>
        <v/>
      </c>
      <c r="R979" s="5"/>
      <c r="U979" s="5"/>
      <c r="Y979" s="0" t="str">
        <f aca="false">IF(FX979&lt;&gt;"Y","",COUNTIFS($FX$2:$FX$1000,"Y",$J$2:$J$1000,"&gt;"&amp;J979)+COUNTIFS($FX$2:$FX$1000,"Y",$J$2:$J$1000,J979,$GD$2:$GD$1000,"&lt;"&amp;GD979)+1)</f>
        <v/>
      </c>
      <c r="AB979" s="0" t="str">
        <f aca="false">IF($A979="","",IF(AW979="Y",BY979&amp;"",BK979&amp;""))</f>
        <v/>
      </c>
      <c r="AC979" s="0" t="str">
        <f aca="false">IF($A979="","",IF(AW979="Y",BS979&amp;"",BE979&amp;""))</f>
        <v/>
      </c>
      <c r="AD979" s="0" t="str">
        <f aca="false">IF($A979="","",IF(AW979="Y",BT979&amp;"",BF979&amp;""))</f>
        <v/>
      </c>
      <c r="AE979" s="0" t="str">
        <f aca="false">IF($A979="","",IF(AW979="Y",BU979&amp;"",BG979&amp;""))</f>
        <v/>
      </c>
      <c r="AF979" s="0" t="str">
        <f aca="false">IF($A979="","",IF(AW979="Y",BV979&amp;"",BH979&amp;""))</f>
        <v/>
      </c>
      <c r="AG979" s="0" t="str">
        <f aca="false">IF($A979="","",IF(AW979="Y",BW979&amp;"",BI979&amp;""))</f>
        <v/>
      </c>
      <c r="AH979" s="0" t="str">
        <f aca="false">IF($A979="","",IF(AW979="Y",BX979&amp;"",BJ979&amp;""))</f>
        <v/>
      </c>
      <c r="AQ979" s="5"/>
      <c r="AT979" s="0" t="str">
        <f aca="false">IF($A979="","",IF(AND(CN979="pass",AQ979&lt;&gt;"Y",C979&lt;&gt;"",OR(AX979&lt;&gt;"Y",AV979="Y")),"Y","N"))</f>
        <v/>
      </c>
      <c r="AU979" s="0" t="str">
        <f aca="false">IF($A979="","",_xlfn.TEXTJOIN("; ",TRUE(),IF(CN979&lt;&gt;"pass","gated out",""),IF(AQ979="Y","on hold: "&amp;AR979,""),IF(C979="","no contact named on an opened page",""),IF(AND(AX979="Y",AV979&lt;&gt;"Y"),"Tuesday estimate band "&amp;L979&amp;": founder's call","")))</f>
        <v/>
      </c>
      <c r="BC979" s="0" t="str">
        <f aca="false">IF($A979="","",IFERROR(INDEX(Enrichment!$A$2:$GZ$2000,MATCH($A979,INDEX(Enrichment!$A$2:$GZ$2000,0,MATCH("row_id",Enrichment!$A$1:$GZ$1,0)),0),MATCH("work_email",Enrichment!$A$1:$GZ$1,0))&amp;"",""))</f>
        <v/>
      </c>
      <c r="BD979" s="0" t="str">
        <f aca="false">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Q979" s="0" t="str">
        <f aca="false">IF($A979="","",IFERROR(INDEX(Enrichment!$A$2:$GZ$2000,MATCH($A979,INDEX(Enrichment!$A$2:$GZ$2000,0,MATCH("row_id",Enrichment!$A$1:$GZ$1,0)),0),MATCH("backup_work_email",Enrichment!$A$1:$GZ$1,0))&amp;"",""))</f>
        <v/>
      </c>
      <c r="BR979" s="0" t="str">
        <f aca="false">IF($A979="","",IF(BQ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EQ979" s="0" t="str">
        <f aca="false">IF($A979="","",IF(AH979="exact",10,IF(AH979="adjacent",5,0)))</f>
        <v/>
      </c>
      <c r="ER979" s="0" t="str">
        <f aca="false">IF($A979="","",IF(R979="Y",15,0))</f>
        <v/>
      </c>
      <c r="FS979" s="0" t="str">
        <f aca="false">IF($A979="","",IF(ISNUMBER(MATCH(U979,{"queued","contacted","replied","call_booked","call_done","yes_in_principle","materials_sent"},0)),"Y","N"))</f>
        <v/>
      </c>
      <c r="FT979" s="0" t="str">
        <f aca="false">IF($A979="","",IF(OR(T979="Y",U979="do_not_contact",AS979&amp;""&lt;&gt;""),"Y","N"))</f>
        <v/>
      </c>
      <c r="FU979" s="0" t="str">
        <f aca="false">IF($A979="","",IF(AP979&amp;""&lt;&gt;"",AP979&amp;"",$A979))</f>
        <v/>
      </c>
      <c r="FV979" s="0" t="str">
        <f aca="false">IF($A979="","",IF(COUNTIFS($FU$2:$FU$1000,FU979,$FS$2:$FS$1000,"Y")+COUNTIFS($FU$2:$FU$1000,FU979,$FT$2:$FT$1000,"Y")&gt;0,"Y","N"))</f>
        <v/>
      </c>
      <c r="FW979" s="0" t="str">
        <f aca="false">IF($A979="","",IF(AND(U979="new",T979="N",FT979="N",AT979="Y",FV979="N"),"Y","N"))</f>
        <v/>
      </c>
      <c r="FX979" s="0" t="str">
        <f aca="false">IF($A979="","",IF(FW979&lt;&gt;"Y","N",IF(COUNTIFS($FU$2:$FU$1000,FU979,$FW$2:$FW$1000,"Y",$J$2:$J$1000,"&gt;"&amp;J979)+COUNTIFS($FU$2:$FU$1000,FU979,$FW$2:$FW$1000,"Y",$J$2:$J$1000,J979,$GD$2:$GD$1000,"&lt;"&amp;GD979)=0,"Y","N")))</f>
        <v/>
      </c>
      <c r="FY979" s="0" t="str">
        <f aca="false">IF($A979="","",IF(AND(FW979="Y",FX979="Y",Y979&amp;""&lt;&gt;""),IF(Y979&lt;=10,"Y","N"),"N"))</f>
        <v/>
      </c>
      <c r="FZ979" s="0" t="str">
        <f aca="false">IF(FY979="Y",Y979,"")</f>
        <v/>
      </c>
      <c r="GA979" s="0" t="str">
        <f aca="false">IF($A979="","",IF(AND(I979="walk-in",CN979="pass",U979="new",FT979="N",FV979="N",AQ979&lt;&gt;"Y"),"Y","N"))</f>
        <v/>
      </c>
      <c r="GB979" s="0" t="str">
        <f aca="false">IF(GA979&lt;&gt;"Y","",IF(COUNTIFS($GA$2:$GA$1000,"Y",$J$2:$J$1000,"&gt;"&amp;J979)+COUNTIFS($GA$2:$GA$1000,"Y",$J$2:$J$1000,J979,$GD$2:$GD$1000,"&lt;"&amp;GD979)+1&lt;=25,COUNTIFS($GA$2:$GA$1000,"Y",$J$2:$J$1000,"&gt;"&amp;J979)+COUNTIFS($GA$2:$GA$1000,"Y",$J$2:$J$1000,J979,$GD$2:$GD$1000,"&lt;"&amp;GD979)+1,""))</f>
        <v/>
      </c>
      <c r="GC979" s="0" t="str">
        <f aca="false">IF(AND(_xlfn.ISFORMULA(C979),_xlfn.ISFORMULA(J979)),"Y","N")</f>
        <v>Y</v>
      </c>
      <c r="GD979" s="0" t="n">
        <f aca="false">ROW()-1</f>
        <v>978</v>
      </c>
    </row>
    <row r="980" customFormat="false" ht="15" hidden="false" customHeight="false" outlineLevel="0" collapsed="false">
      <c r="C980" s="0" t="str">
        <f aca="false">IF($A980="","",IF(AW980="Y",BM980&amp;"",AY980&amp;""))</f>
        <v/>
      </c>
      <c r="D980" s="0" t="str">
        <f aca="false">IF($A980="","",IF(AW980="Y",BN980&amp;"",AZ980&amp;""))</f>
        <v/>
      </c>
      <c r="E980" s="0" t="str">
        <f aca="false">IF($A980="","",IF(AW980="Y",BO980&amp;"",BA980&amp;""))</f>
        <v/>
      </c>
      <c r="F980" s="0" t="str">
        <f aca="false">IF($A980="","",IF(AW980="Y",BP980&amp;"",BB980&amp;""))</f>
        <v/>
      </c>
      <c r="G980" s="0" t="str">
        <f aca="false">IF($A980="","",IF(AW980="Y",BQ980&amp;"",BC980&amp;""))</f>
        <v/>
      </c>
      <c r="H980" s="0" t="str">
        <f aca="false">IF($A980="","",IF(AW980="Y",BR980&amp;"",BD980&amp;""))</f>
        <v/>
      </c>
      <c r="I980" s="0" t="str">
        <f aca="false">IF($A980="","",IF(R980="Y","warm-intro",IF(H980="verified","email",IF(C980&lt;&gt;"","linkedin",CB980&amp;""))))</f>
        <v/>
      </c>
      <c r="J980" s="0" t="str">
        <f aca="false">IF($A980="","",IF(CN980="pass",ROUND(N(EM980)+N(EN980)+N(EO980)+N(EP980)+N(EQ980)+N(ER980),1),0))</f>
        <v/>
      </c>
      <c r="K980" s="0" t="str">
        <f aca="false">IF($A980="","",IF(CN980&lt;&gt;"pass",CA980&amp;"",CA980&amp;"; "&amp;IF(AW980="Y",BZ980&amp;"",BL980&amp;"")&amp;IF(R980="Y","; known to the founder (+15)","")&amp;"."))</f>
        <v/>
      </c>
      <c r="R980" s="5"/>
      <c r="U980" s="5"/>
      <c r="Y980" s="0" t="str">
        <f aca="false">IF(FX980&lt;&gt;"Y","",COUNTIFS($FX$2:$FX$1000,"Y",$J$2:$J$1000,"&gt;"&amp;J980)+COUNTIFS($FX$2:$FX$1000,"Y",$J$2:$J$1000,J980,$GD$2:$GD$1000,"&lt;"&amp;GD980)+1)</f>
        <v/>
      </c>
      <c r="AB980" s="0" t="str">
        <f aca="false">IF($A980="","",IF(AW980="Y",BY980&amp;"",BK980&amp;""))</f>
        <v/>
      </c>
      <c r="AC980" s="0" t="str">
        <f aca="false">IF($A980="","",IF(AW980="Y",BS980&amp;"",BE980&amp;""))</f>
        <v/>
      </c>
      <c r="AD980" s="0" t="str">
        <f aca="false">IF($A980="","",IF(AW980="Y",BT980&amp;"",BF980&amp;""))</f>
        <v/>
      </c>
      <c r="AE980" s="0" t="str">
        <f aca="false">IF($A980="","",IF(AW980="Y",BU980&amp;"",BG980&amp;""))</f>
        <v/>
      </c>
      <c r="AF980" s="0" t="str">
        <f aca="false">IF($A980="","",IF(AW980="Y",BV980&amp;"",BH980&amp;""))</f>
        <v/>
      </c>
      <c r="AG980" s="0" t="str">
        <f aca="false">IF($A980="","",IF(AW980="Y",BW980&amp;"",BI980&amp;""))</f>
        <v/>
      </c>
      <c r="AH980" s="0" t="str">
        <f aca="false">IF($A980="","",IF(AW980="Y",BX980&amp;"",BJ980&amp;""))</f>
        <v/>
      </c>
      <c r="AQ980" s="5"/>
      <c r="AT980" s="0" t="str">
        <f aca="false">IF($A980="","",IF(AND(CN980="pass",AQ980&lt;&gt;"Y",C980&lt;&gt;"",OR(AX980&lt;&gt;"Y",AV980="Y")),"Y","N"))</f>
        <v/>
      </c>
      <c r="AU980" s="0" t="str">
        <f aca="false">IF($A980="","",_xlfn.TEXTJOIN("; ",TRUE(),IF(CN980&lt;&gt;"pass","gated out",""),IF(AQ980="Y","on hold: "&amp;AR980,""),IF(C980="","no contact named on an opened page",""),IF(AND(AX980="Y",AV980&lt;&gt;"Y"),"Tuesday estimate band "&amp;L980&amp;": founder's call","")))</f>
        <v/>
      </c>
      <c r="BC980" s="0" t="str">
        <f aca="false">IF($A980="","",IFERROR(INDEX(Enrichment!$A$2:$GZ$2000,MATCH($A980,INDEX(Enrichment!$A$2:$GZ$2000,0,MATCH("row_id",Enrichment!$A$1:$GZ$1,0)),0),MATCH("work_email",Enrichment!$A$1:$GZ$1,0))&amp;"",""))</f>
        <v/>
      </c>
      <c r="BD980" s="0" t="str">
        <f aca="false">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Q980" s="0" t="str">
        <f aca="false">IF($A980="","",IFERROR(INDEX(Enrichment!$A$2:$GZ$2000,MATCH($A980,INDEX(Enrichment!$A$2:$GZ$2000,0,MATCH("row_id",Enrichment!$A$1:$GZ$1,0)),0),MATCH("backup_work_email",Enrichment!$A$1:$GZ$1,0))&amp;"",""))</f>
        <v/>
      </c>
      <c r="BR980" s="0" t="str">
        <f aca="false">IF($A980="","",IF(BQ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EQ980" s="0" t="str">
        <f aca="false">IF($A980="","",IF(AH980="exact",10,IF(AH980="adjacent",5,0)))</f>
        <v/>
      </c>
      <c r="ER980" s="0" t="str">
        <f aca="false">IF($A980="","",IF(R980="Y",15,0))</f>
        <v/>
      </c>
      <c r="FS980" s="0" t="str">
        <f aca="false">IF($A980="","",IF(ISNUMBER(MATCH(U980,{"queued","contacted","replied","call_booked","call_done","yes_in_principle","materials_sent"},0)),"Y","N"))</f>
        <v/>
      </c>
      <c r="FT980" s="0" t="str">
        <f aca="false">IF($A980="","",IF(OR(T980="Y",U980="do_not_contact",AS980&amp;""&lt;&gt;""),"Y","N"))</f>
        <v/>
      </c>
      <c r="FU980" s="0" t="str">
        <f aca="false">IF($A980="","",IF(AP980&amp;""&lt;&gt;"",AP980&amp;"",$A980))</f>
        <v/>
      </c>
      <c r="FV980" s="0" t="str">
        <f aca="false">IF($A980="","",IF(COUNTIFS($FU$2:$FU$1000,FU980,$FS$2:$FS$1000,"Y")+COUNTIFS($FU$2:$FU$1000,FU980,$FT$2:$FT$1000,"Y")&gt;0,"Y","N"))</f>
        <v/>
      </c>
      <c r="FW980" s="0" t="str">
        <f aca="false">IF($A980="","",IF(AND(U980="new",T980="N",FT980="N",AT980="Y",FV980="N"),"Y","N"))</f>
        <v/>
      </c>
      <c r="FX980" s="0" t="str">
        <f aca="false">IF($A980="","",IF(FW980&lt;&gt;"Y","N",IF(COUNTIFS($FU$2:$FU$1000,FU980,$FW$2:$FW$1000,"Y",$J$2:$J$1000,"&gt;"&amp;J980)+COUNTIFS($FU$2:$FU$1000,FU980,$FW$2:$FW$1000,"Y",$J$2:$J$1000,J980,$GD$2:$GD$1000,"&lt;"&amp;GD980)=0,"Y","N")))</f>
        <v/>
      </c>
      <c r="FY980" s="0" t="str">
        <f aca="false">IF($A980="","",IF(AND(FW980="Y",FX980="Y",Y980&amp;""&lt;&gt;""),IF(Y980&lt;=10,"Y","N"),"N"))</f>
        <v/>
      </c>
      <c r="FZ980" s="0" t="str">
        <f aca="false">IF(FY980="Y",Y980,"")</f>
        <v/>
      </c>
      <c r="GA980" s="0" t="str">
        <f aca="false">IF($A980="","",IF(AND(I980="walk-in",CN980="pass",U980="new",FT980="N",FV980="N",AQ980&lt;&gt;"Y"),"Y","N"))</f>
        <v/>
      </c>
      <c r="GB980" s="0" t="str">
        <f aca="false">IF(GA980&lt;&gt;"Y","",IF(COUNTIFS($GA$2:$GA$1000,"Y",$J$2:$J$1000,"&gt;"&amp;J980)+COUNTIFS($GA$2:$GA$1000,"Y",$J$2:$J$1000,J980,$GD$2:$GD$1000,"&lt;"&amp;GD980)+1&lt;=25,COUNTIFS($GA$2:$GA$1000,"Y",$J$2:$J$1000,"&gt;"&amp;J980)+COUNTIFS($GA$2:$GA$1000,"Y",$J$2:$J$1000,J980,$GD$2:$GD$1000,"&lt;"&amp;GD980)+1,""))</f>
        <v/>
      </c>
      <c r="GC980" s="0" t="str">
        <f aca="false">IF(AND(_xlfn.ISFORMULA(C980),_xlfn.ISFORMULA(J980)),"Y","N")</f>
        <v>Y</v>
      </c>
      <c r="GD980" s="0" t="n">
        <f aca="false">ROW()-1</f>
        <v>979</v>
      </c>
    </row>
    <row r="981" customFormat="false" ht="15" hidden="false" customHeight="false" outlineLevel="0" collapsed="false">
      <c r="C981" s="0" t="str">
        <f aca="false">IF($A981="","",IF(AW981="Y",BM981&amp;"",AY981&amp;""))</f>
        <v/>
      </c>
      <c r="D981" s="0" t="str">
        <f aca="false">IF($A981="","",IF(AW981="Y",BN981&amp;"",AZ981&amp;""))</f>
        <v/>
      </c>
      <c r="E981" s="0" t="str">
        <f aca="false">IF($A981="","",IF(AW981="Y",BO981&amp;"",BA981&amp;""))</f>
        <v/>
      </c>
      <c r="F981" s="0" t="str">
        <f aca="false">IF($A981="","",IF(AW981="Y",BP981&amp;"",BB981&amp;""))</f>
        <v/>
      </c>
      <c r="G981" s="0" t="str">
        <f aca="false">IF($A981="","",IF(AW981="Y",BQ981&amp;"",BC981&amp;""))</f>
        <v/>
      </c>
      <c r="H981" s="0" t="str">
        <f aca="false">IF($A981="","",IF(AW981="Y",BR981&amp;"",BD981&amp;""))</f>
        <v/>
      </c>
      <c r="I981" s="0" t="str">
        <f aca="false">IF($A981="","",IF(R981="Y","warm-intro",IF(H981="verified","email",IF(C981&lt;&gt;"","linkedin",CB981&amp;""))))</f>
        <v/>
      </c>
      <c r="J981" s="0" t="str">
        <f aca="false">IF($A981="","",IF(CN981="pass",ROUND(N(EM981)+N(EN981)+N(EO981)+N(EP981)+N(EQ981)+N(ER981),1),0))</f>
        <v/>
      </c>
      <c r="K981" s="0" t="str">
        <f aca="false">IF($A981="","",IF(CN981&lt;&gt;"pass",CA981&amp;"",CA981&amp;"; "&amp;IF(AW981="Y",BZ981&amp;"",BL981&amp;"")&amp;IF(R981="Y","; known to the founder (+15)","")&amp;"."))</f>
        <v/>
      </c>
      <c r="R981" s="5"/>
      <c r="U981" s="5"/>
      <c r="Y981" s="0" t="str">
        <f aca="false">IF(FX981&lt;&gt;"Y","",COUNTIFS($FX$2:$FX$1000,"Y",$J$2:$J$1000,"&gt;"&amp;J981)+COUNTIFS($FX$2:$FX$1000,"Y",$J$2:$J$1000,J981,$GD$2:$GD$1000,"&lt;"&amp;GD981)+1)</f>
        <v/>
      </c>
      <c r="AB981" s="0" t="str">
        <f aca="false">IF($A981="","",IF(AW981="Y",BY981&amp;"",BK981&amp;""))</f>
        <v/>
      </c>
      <c r="AC981" s="0" t="str">
        <f aca="false">IF($A981="","",IF(AW981="Y",BS981&amp;"",BE981&amp;""))</f>
        <v/>
      </c>
      <c r="AD981" s="0" t="str">
        <f aca="false">IF($A981="","",IF(AW981="Y",BT981&amp;"",BF981&amp;""))</f>
        <v/>
      </c>
      <c r="AE981" s="0" t="str">
        <f aca="false">IF($A981="","",IF(AW981="Y",BU981&amp;"",BG981&amp;""))</f>
        <v/>
      </c>
      <c r="AF981" s="0" t="str">
        <f aca="false">IF($A981="","",IF(AW981="Y",BV981&amp;"",BH981&amp;""))</f>
        <v/>
      </c>
      <c r="AG981" s="0" t="str">
        <f aca="false">IF($A981="","",IF(AW981="Y",BW981&amp;"",BI981&amp;""))</f>
        <v/>
      </c>
      <c r="AH981" s="0" t="str">
        <f aca="false">IF($A981="","",IF(AW981="Y",BX981&amp;"",BJ981&amp;""))</f>
        <v/>
      </c>
      <c r="AQ981" s="5"/>
      <c r="AT981" s="0" t="str">
        <f aca="false">IF($A981="","",IF(AND(CN981="pass",AQ981&lt;&gt;"Y",C981&lt;&gt;"",OR(AX981&lt;&gt;"Y",AV981="Y")),"Y","N"))</f>
        <v/>
      </c>
      <c r="AU981" s="0" t="str">
        <f aca="false">IF($A981="","",_xlfn.TEXTJOIN("; ",TRUE(),IF(CN981&lt;&gt;"pass","gated out",""),IF(AQ981="Y","on hold: "&amp;AR981,""),IF(C981="","no contact named on an opened page",""),IF(AND(AX981="Y",AV981&lt;&gt;"Y"),"Tuesday estimate band "&amp;L981&amp;": founder's call","")))</f>
        <v/>
      </c>
      <c r="BC981" s="0" t="str">
        <f aca="false">IF($A981="","",IFERROR(INDEX(Enrichment!$A$2:$GZ$2000,MATCH($A981,INDEX(Enrichment!$A$2:$GZ$2000,0,MATCH("row_id",Enrichment!$A$1:$GZ$1,0)),0),MATCH("work_email",Enrichment!$A$1:$GZ$1,0))&amp;"",""))</f>
        <v/>
      </c>
      <c r="BD981" s="0" t="str">
        <f aca="false">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Q981" s="0" t="str">
        <f aca="false">IF($A981="","",IFERROR(INDEX(Enrichment!$A$2:$GZ$2000,MATCH($A981,INDEX(Enrichment!$A$2:$GZ$2000,0,MATCH("row_id",Enrichment!$A$1:$GZ$1,0)),0),MATCH("backup_work_email",Enrichment!$A$1:$GZ$1,0))&amp;"",""))</f>
        <v/>
      </c>
      <c r="BR981" s="0" t="str">
        <f aca="false">IF($A981="","",IF(BQ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EQ981" s="0" t="str">
        <f aca="false">IF($A981="","",IF(AH981="exact",10,IF(AH981="adjacent",5,0)))</f>
        <v/>
      </c>
      <c r="ER981" s="0" t="str">
        <f aca="false">IF($A981="","",IF(R981="Y",15,0))</f>
        <v/>
      </c>
      <c r="FS981" s="0" t="str">
        <f aca="false">IF($A981="","",IF(ISNUMBER(MATCH(U981,{"queued","contacted","replied","call_booked","call_done","yes_in_principle","materials_sent"},0)),"Y","N"))</f>
        <v/>
      </c>
      <c r="FT981" s="0" t="str">
        <f aca="false">IF($A981="","",IF(OR(T981="Y",U981="do_not_contact",AS981&amp;""&lt;&gt;""),"Y","N"))</f>
        <v/>
      </c>
      <c r="FU981" s="0" t="str">
        <f aca="false">IF($A981="","",IF(AP981&amp;""&lt;&gt;"",AP981&amp;"",$A981))</f>
        <v/>
      </c>
      <c r="FV981" s="0" t="str">
        <f aca="false">IF($A981="","",IF(COUNTIFS($FU$2:$FU$1000,FU981,$FS$2:$FS$1000,"Y")+COUNTIFS($FU$2:$FU$1000,FU981,$FT$2:$FT$1000,"Y")&gt;0,"Y","N"))</f>
        <v/>
      </c>
      <c r="FW981" s="0" t="str">
        <f aca="false">IF($A981="","",IF(AND(U981="new",T981="N",FT981="N",AT981="Y",FV981="N"),"Y","N"))</f>
        <v/>
      </c>
      <c r="FX981" s="0" t="str">
        <f aca="false">IF($A981="","",IF(FW981&lt;&gt;"Y","N",IF(COUNTIFS($FU$2:$FU$1000,FU981,$FW$2:$FW$1000,"Y",$J$2:$J$1000,"&gt;"&amp;J981)+COUNTIFS($FU$2:$FU$1000,FU981,$FW$2:$FW$1000,"Y",$J$2:$J$1000,J981,$GD$2:$GD$1000,"&lt;"&amp;GD981)=0,"Y","N")))</f>
        <v/>
      </c>
      <c r="FY981" s="0" t="str">
        <f aca="false">IF($A981="","",IF(AND(FW981="Y",FX981="Y",Y981&amp;""&lt;&gt;""),IF(Y981&lt;=10,"Y","N"),"N"))</f>
        <v/>
      </c>
      <c r="FZ981" s="0" t="str">
        <f aca="false">IF(FY981="Y",Y981,"")</f>
        <v/>
      </c>
      <c r="GA981" s="0" t="str">
        <f aca="false">IF($A981="","",IF(AND(I981="walk-in",CN981="pass",U981="new",FT981="N",FV981="N",AQ981&lt;&gt;"Y"),"Y","N"))</f>
        <v/>
      </c>
      <c r="GB981" s="0" t="str">
        <f aca="false">IF(GA981&lt;&gt;"Y","",IF(COUNTIFS($GA$2:$GA$1000,"Y",$J$2:$J$1000,"&gt;"&amp;J981)+COUNTIFS($GA$2:$GA$1000,"Y",$J$2:$J$1000,J981,$GD$2:$GD$1000,"&lt;"&amp;GD981)+1&lt;=25,COUNTIFS($GA$2:$GA$1000,"Y",$J$2:$J$1000,"&gt;"&amp;J981)+COUNTIFS($GA$2:$GA$1000,"Y",$J$2:$J$1000,J981,$GD$2:$GD$1000,"&lt;"&amp;GD981)+1,""))</f>
        <v/>
      </c>
      <c r="GC981" s="0" t="str">
        <f aca="false">IF(AND(_xlfn.ISFORMULA(C981),_xlfn.ISFORMULA(J981)),"Y","N")</f>
        <v>Y</v>
      </c>
      <c r="GD981" s="0" t="n">
        <f aca="false">ROW()-1</f>
        <v>980</v>
      </c>
    </row>
    <row r="982" customFormat="false" ht="15" hidden="false" customHeight="false" outlineLevel="0" collapsed="false">
      <c r="C982" s="0" t="str">
        <f aca="false">IF($A982="","",IF(AW982="Y",BM982&amp;"",AY982&amp;""))</f>
        <v/>
      </c>
      <c r="D982" s="0" t="str">
        <f aca="false">IF($A982="","",IF(AW982="Y",BN982&amp;"",AZ982&amp;""))</f>
        <v/>
      </c>
      <c r="E982" s="0" t="str">
        <f aca="false">IF($A982="","",IF(AW982="Y",BO982&amp;"",BA982&amp;""))</f>
        <v/>
      </c>
      <c r="F982" s="0" t="str">
        <f aca="false">IF($A982="","",IF(AW982="Y",BP982&amp;"",BB982&amp;""))</f>
        <v/>
      </c>
      <c r="G982" s="0" t="str">
        <f aca="false">IF($A982="","",IF(AW982="Y",BQ982&amp;"",BC982&amp;""))</f>
        <v/>
      </c>
      <c r="H982" s="0" t="str">
        <f aca="false">IF($A982="","",IF(AW982="Y",BR982&amp;"",BD982&amp;""))</f>
        <v/>
      </c>
      <c r="I982" s="0" t="str">
        <f aca="false">IF($A982="","",IF(R982="Y","warm-intro",IF(H982="verified","email",IF(C982&lt;&gt;"","linkedin",CB982&amp;""))))</f>
        <v/>
      </c>
      <c r="J982" s="0" t="str">
        <f aca="false">IF($A982="","",IF(CN982="pass",ROUND(N(EM982)+N(EN982)+N(EO982)+N(EP982)+N(EQ982)+N(ER982),1),0))</f>
        <v/>
      </c>
      <c r="K982" s="0" t="str">
        <f aca="false">IF($A982="","",IF(CN982&lt;&gt;"pass",CA982&amp;"",CA982&amp;"; "&amp;IF(AW982="Y",BZ982&amp;"",BL982&amp;"")&amp;IF(R982="Y","; known to the founder (+15)","")&amp;"."))</f>
        <v/>
      </c>
      <c r="R982" s="5"/>
      <c r="U982" s="5"/>
      <c r="Y982" s="0" t="str">
        <f aca="false">IF(FX982&lt;&gt;"Y","",COUNTIFS($FX$2:$FX$1000,"Y",$J$2:$J$1000,"&gt;"&amp;J982)+COUNTIFS($FX$2:$FX$1000,"Y",$J$2:$J$1000,J982,$GD$2:$GD$1000,"&lt;"&amp;GD982)+1)</f>
        <v/>
      </c>
      <c r="AB982" s="0" t="str">
        <f aca="false">IF($A982="","",IF(AW982="Y",BY982&amp;"",BK982&amp;""))</f>
        <v/>
      </c>
      <c r="AC982" s="0" t="str">
        <f aca="false">IF($A982="","",IF(AW982="Y",BS982&amp;"",BE982&amp;""))</f>
        <v/>
      </c>
      <c r="AD982" s="0" t="str">
        <f aca="false">IF($A982="","",IF(AW982="Y",BT982&amp;"",BF982&amp;""))</f>
        <v/>
      </c>
      <c r="AE982" s="0" t="str">
        <f aca="false">IF($A982="","",IF(AW982="Y",BU982&amp;"",BG982&amp;""))</f>
        <v/>
      </c>
      <c r="AF982" s="0" t="str">
        <f aca="false">IF($A982="","",IF(AW982="Y",BV982&amp;"",BH982&amp;""))</f>
        <v/>
      </c>
      <c r="AG982" s="0" t="str">
        <f aca="false">IF($A982="","",IF(AW982="Y",BW982&amp;"",BI982&amp;""))</f>
        <v/>
      </c>
      <c r="AH982" s="0" t="str">
        <f aca="false">IF($A982="","",IF(AW982="Y",BX982&amp;"",BJ982&amp;""))</f>
        <v/>
      </c>
      <c r="AQ982" s="5"/>
      <c r="AT982" s="0" t="str">
        <f aca="false">IF($A982="","",IF(AND(CN982="pass",AQ982&lt;&gt;"Y",C982&lt;&gt;"",OR(AX982&lt;&gt;"Y",AV982="Y")),"Y","N"))</f>
        <v/>
      </c>
      <c r="AU982" s="0" t="str">
        <f aca="false">IF($A982="","",_xlfn.TEXTJOIN("; ",TRUE(),IF(CN982&lt;&gt;"pass","gated out",""),IF(AQ982="Y","on hold: "&amp;AR982,""),IF(C982="","no contact named on an opened page",""),IF(AND(AX982="Y",AV982&lt;&gt;"Y"),"Tuesday estimate band "&amp;L982&amp;": founder's call","")))</f>
        <v/>
      </c>
      <c r="BC982" s="0" t="str">
        <f aca="false">IF($A982="","",IFERROR(INDEX(Enrichment!$A$2:$GZ$2000,MATCH($A982,INDEX(Enrichment!$A$2:$GZ$2000,0,MATCH("row_id",Enrichment!$A$1:$GZ$1,0)),0),MATCH("work_email",Enrichment!$A$1:$GZ$1,0))&amp;"",""))</f>
        <v/>
      </c>
      <c r="BD982" s="0" t="str">
        <f aca="false">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Q982" s="0" t="str">
        <f aca="false">IF($A982="","",IFERROR(INDEX(Enrichment!$A$2:$GZ$2000,MATCH($A982,INDEX(Enrichment!$A$2:$GZ$2000,0,MATCH("row_id",Enrichment!$A$1:$GZ$1,0)),0),MATCH("backup_work_email",Enrichment!$A$1:$GZ$1,0))&amp;"",""))</f>
        <v/>
      </c>
      <c r="BR982" s="0" t="str">
        <f aca="false">IF($A982="","",IF(BQ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EQ982" s="0" t="str">
        <f aca="false">IF($A982="","",IF(AH982="exact",10,IF(AH982="adjacent",5,0)))</f>
        <v/>
      </c>
      <c r="ER982" s="0" t="str">
        <f aca="false">IF($A982="","",IF(R982="Y",15,0))</f>
        <v/>
      </c>
      <c r="FS982" s="0" t="str">
        <f aca="false">IF($A982="","",IF(ISNUMBER(MATCH(U982,{"queued","contacted","replied","call_booked","call_done","yes_in_principle","materials_sent"},0)),"Y","N"))</f>
        <v/>
      </c>
      <c r="FT982" s="0" t="str">
        <f aca="false">IF($A982="","",IF(OR(T982="Y",U982="do_not_contact",AS982&amp;""&lt;&gt;""),"Y","N"))</f>
        <v/>
      </c>
      <c r="FU982" s="0" t="str">
        <f aca="false">IF($A982="","",IF(AP982&amp;""&lt;&gt;"",AP982&amp;"",$A982))</f>
        <v/>
      </c>
      <c r="FV982" s="0" t="str">
        <f aca="false">IF($A982="","",IF(COUNTIFS($FU$2:$FU$1000,FU982,$FS$2:$FS$1000,"Y")+COUNTIFS($FU$2:$FU$1000,FU982,$FT$2:$FT$1000,"Y")&gt;0,"Y","N"))</f>
        <v/>
      </c>
      <c r="FW982" s="0" t="str">
        <f aca="false">IF($A982="","",IF(AND(U982="new",T982="N",FT982="N",AT982="Y",FV982="N"),"Y","N"))</f>
        <v/>
      </c>
      <c r="FX982" s="0" t="str">
        <f aca="false">IF($A982="","",IF(FW982&lt;&gt;"Y","N",IF(COUNTIFS($FU$2:$FU$1000,FU982,$FW$2:$FW$1000,"Y",$J$2:$J$1000,"&gt;"&amp;J982)+COUNTIFS($FU$2:$FU$1000,FU982,$FW$2:$FW$1000,"Y",$J$2:$J$1000,J982,$GD$2:$GD$1000,"&lt;"&amp;GD982)=0,"Y","N")))</f>
        <v/>
      </c>
      <c r="FY982" s="0" t="str">
        <f aca="false">IF($A982="","",IF(AND(FW982="Y",FX982="Y",Y982&amp;""&lt;&gt;""),IF(Y982&lt;=10,"Y","N"),"N"))</f>
        <v/>
      </c>
      <c r="FZ982" s="0" t="str">
        <f aca="false">IF(FY982="Y",Y982,"")</f>
        <v/>
      </c>
      <c r="GA982" s="0" t="str">
        <f aca="false">IF($A982="","",IF(AND(I982="walk-in",CN982="pass",U982="new",FT982="N",FV982="N",AQ982&lt;&gt;"Y"),"Y","N"))</f>
        <v/>
      </c>
      <c r="GB982" s="0" t="str">
        <f aca="false">IF(GA982&lt;&gt;"Y","",IF(COUNTIFS($GA$2:$GA$1000,"Y",$J$2:$J$1000,"&gt;"&amp;J982)+COUNTIFS($GA$2:$GA$1000,"Y",$J$2:$J$1000,J982,$GD$2:$GD$1000,"&lt;"&amp;GD982)+1&lt;=25,COUNTIFS($GA$2:$GA$1000,"Y",$J$2:$J$1000,"&gt;"&amp;J982)+COUNTIFS($GA$2:$GA$1000,"Y",$J$2:$J$1000,J982,$GD$2:$GD$1000,"&lt;"&amp;GD982)+1,""))</f>
        <v/>
      </c>
      <c r="GC982" s="0" t="str">
        <f aca="false">IF(AND(_xlfn.ISFORMULA(C982),_xlfn.ISFORMULA(J982)),"Y","N")</f>
        <v>Y</v>
      </c>
      <c r="GD982" s="0" t="n">
        <f aca="false">ROW()-1</f>
        <v>981</v>
      </c>
    </row>
    <row r="983" customFormat="false" ht="15" hidden="false" customHeight="false" outlineLevel="0" collapsed="false">
      <c r="C983" s="0" t="str">
        <f aca="false">IF($A983="","",IF(AW983="Y",BM983&amp;"",AY983&amp;""))</f>
        <v/>
      </c>
      <c r="D983" s="0" t="str">
        <f aca="false">IF($A983="","",IF(AW983="Y",BN983&amp;"",AZ983&amp;""))</f>
        <v/>
      </c>
      <c r="E983" s="0" t="str">
        <f aca="false">IF($A983="","",IF(AW983="Y",BO983&amp;"",BA983&amp;""))</f>
        <v/>
      </c>
      <c r="F983" s="0" t="str">
        <f aca="false">IF($A983="","",IF(AW983="Y",BP983&amp;"",BB983&amp;""))</f>
        <v/>
      </c>
      <c r="G983" s="0" t="str">
        <f aca="false">IF($A983="","",IF(AW983="Y",BQ983&amp;"",BC983&amp;""))</f>
        <v/>
      </c>
      <c r="H983" s="0" t="str">
        <f aca="false">IF($A983="","",IF(AW983="Y",BR983&amp;"",BD983&amp;""))</f>
        <v/>
      </c>
      <c r="I983" s="0" t="str">
        <f aca="false">IF($A983="","",IF(R983="Y","warm-intro",IF(H983="verified","email",IF(C983&lt;&gt;"","linkedin",CB983&amp;""))))</f>
        <v/>
      </c>
      <c r="J983" s="0" t="str">
        <f aca="false">IF($A983="","",IF(CN983="pass",ROUND(N(EM983)+N(EN983)+N(EO983)+N(EP983)+N(EQ983)+N(ER983),1),0))</f>
        <v/>
      </c>
      <c r="K983" s="0" t="str">
        <f aca="false">IF($A983="","",IF(CN983&lt;&gt;"pass",CA983&amp;"",CA983&amp;"; "&amp;IF(AW983="Y",BZ983&amp;"",BL983&amp;"")&amp;IF(R983="Y","; known to the founder (+15)","")&amp;"."))</f>
        <v/>
      </c>
      <c r="R983" s="5"/>
      <c r="U983" s="5"/>
      <c r="Y983" s="0" t="str">
        <f aca="false">IF(FX983&lt;&gt;"Y","",COUNTIFS($FX$2:$FX$1000,"Y",$J$2:$J$1000,"&gt;"&amp;J983)+COUNTIFS($FX$2:$FX$1000,"Y",$J$2:$J$1000,J983,$GD$2:$GD$1000,"&lt;"&amp;GD983)+1)</f>
        <v/>
      </c>
      <c r="AB983" s="0" t="str">
        <f aca="false">IF($A983="","",IF(AW983="Y",BY983&amp;"",BK983&amp;""))</f>
        <v/>
      </c>
      <c r="AC983" s="0" t="str">
        <f aca="false">IF($A983="","",IF(AW983="Y",BS983&amp;"",BE983&amp;""))</f>
        <v/>
      </c>
      <c r="AD983" s="0" t="str">
        <f aca="false">IF($A983="","",IF(AW983="Y",BT983&amp;"",BF983&amp;""))</f>
        <v/>
      </c>
      <c r="AE983" s="0" t="str">
        <f aca="false">IF($A983="","",IF(AW983="Y",BU983&amp;"",BG983&amp;""))</f>
        <v/>
      </c>
      <c r="AF983" s="0" t="str">
        <f aca="false">IF($A983="","",IF(AW983="Y",BV983&amp;"",BH983&amp;""))</f>
        <v/>
      </c>
      <c r="AG983" s="0" t="str">
        <f aca="false">IF($A983="","",IF(AW983="Y",BW983&amp;"",BI983&amp;""))</f>
        <v/>
      </c>
      <c r="AH983" s="0" t="str">
        <f aca="false">IF($A983="","",IF(AW983="Y",BX983&amp;"",BJ983&amp;""))</f>
        <v/>
      </c>
      <c r="AQ983" s="5"/>
      <c r="AT983" s="0" t="str">
        <f aca="false">IF($A983="","",IF(AND(CN983="pass",AQ983&lt;&gt;"Y",C983&lt;&gt;"",OR(AX983&lt;&gt;"Y",AV983="Y")),"Y","N"))</f>
        <v/>
      </c>
      <c r="AU983" s="0" t="str">
        <f aca="false">IF($A983="","",_xlfn.TEXTJOIN("; ",TRUE(),IF(CN983&lt;&gt;"pass","gated out",""),IF(AQ983="Y","on hold: "&amp;AR983,""),IF(C983="","no contact named on an opened page",""),IF(AND(AX983="Y",AV983&lt;&gt;"Y"),"Tuesday estimate band "&amp;L983&amp;": founder's call","")))</f>
        <v/>
      </c>
      <c r="BC983" s="0" t="str">
        <f aca="false">IF($A983="","",IFERROR(INDEX(Enrichment!$A$2:$GZ$2000,MATCH($A983,INDEX(Enrichment!$A$2:$GZ$2000,0,MATCH("row_id",Enrichment!$A$1:$GZ$1,0)),0),MATCH("work_email",Enrichment!$A$1:$GZ$1,0))&amp;"",""))</f>
        <v/>
      </c>
      <c r="BD983" s="0" t="str">
        <f aca="false">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Q983" s="0" t="str">
        <f aca="false">IF($A983="","",IFERROR(INDEX(Enrichment!$A$2:$GZ$2000,MATCH($A983,INDEX(Enrichment!$A$2:$GZ$2000,0,MATCH("row_id",Enrichment!$A$1:$GZ$1,0)),0),MATCH("backup_work_email",Enrichment!$A$1:$GZ$1,0))&amp;"",""))</f>
        <v/>
      </c>
      <c r="BR983" s="0" t="str">
        <f aca="false">IF($A983="","",IF(BQ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EQ983" s="0" t="str">
        <f aca="false">IF($A983="","",IF(AH983="exact",10,IF(AH983="adjacent",5,0)))</f>
        <v/>
      </c>
      <c r="ER983" s="0" t="str">
        <f aca="false">IF($A983="","",IF(R983="Y",15,0))</f>
        <v/>
      </c>
      <c r="FS983" s="0" t="str">
        <f aca="false">IF($A983="","",IF(ISNUMBER(MATCH(U983,{"queued","contacted","replied","call_booked","call_done","yes_in_principle","materials_sent"},0)),"Y","N"))</f>
        <v/>
      </c>
      <c r="FT983" s="0" t="str">
        <f aca="false">IF($A983="","",IF(OR(T983="Y",U983="do_not_contact",AS983&amp;""&lt;&gt;""),"Y","N"))</f>
        <v/>
      </c>
      <c r="FU983" s="0" t="str">
        <f aca="false">IF($A983="","",IF(AP983&amp;""&lt;&gt;"",AP983&amp;"",$A983))</f>
        <v/>
      </c>
      <c r="FV983" s="0" t="str">
        <f aca="false">IF($A983="","",IF(COUNTIFS($FU$2:$FU$1000,FU983,$FS$2:$FS$1000,"Y")+COUNTIFS($FU$2:$FU$1000,FU983,$FT$2:$FT$1000,"Y")&gt;0,"Y","N"))</f>
        <v/>
      </c>
      <c r="FW983" s="0" t="str">
        <f aca="false">IF($A983="","",IF(AND(U983="new",T983="N",FT983="N",AT983="Y",FV983="N"),"Y","N"))</f>
        <v/>
      </c>
      <c r="FX983" s="0" t="str">
        <f aca="false">IF($A983="","",IF(FW983&lt;&gt;"Y","N",IF(COUNTIFS($FU$2:$FU$1000,FU983,$FW$2:$FW$1000,"Y",$J$2:$J$1000,"&gt;"&amp;J983)+COUNTIFS($FU$2:$FU$1000,FU983,$FW$2:$FW$1000,"Y",$J$2:$J$1000,J983,$GD$2:$GD$1000,"&lt;"&amp;GD983)=0,"Y","N")))</f>
        <v/>
      </c>
      <c r="FY983" s="0" t="str">
        <f aca="false">IF($A983="","",IF(AND(FW983="Y",FX983="Y",Y983&amp;""&lt;&gt;""),IF(Y983&lt;=10,"Y","N"),"N"))</f>
        <v/>
      </c>
      <c r="FZ983" s="0" t="str">
        <f aca="false">IF(FY983="Y",Y983,"")</f>
        <v/>
      </c>
      <c r="GA983" s="0" t="str">
        <f aca="false">IF($A983="","",IF(AND(I983="walk-in",CN983="pass",U983="new",FT983="N",FV983="N",AQ983&lt;&gt;"Y"),"Y","N"))</f>
        <v/>
      </c>
      <c r="GB983" s="0" t="str">
        <f aca="false">IF(GA983&lt;&gt;"Y","",IF(COUNTIFS($GA$2:$GA$1000,"Y",$J$2:$J$1000,"&gt;"&amp;J983)+COUNTIFS($GA$2:$GA$1000,"Y",$J$2:$J$1000,J983,$GD$2:$GD$1000,"&lt;"&amp;GD983)+1&lt;=25,COUNTIFS($GA$2:$GA$1000,"Y",$J$2:$J$1000,"&gt;"&amp;J983)+COUNTIFS($GA$2:$GA$1000,"Y",$J$2:$J$1000,J983,$GD$2:$GD$1000,"&lt;"&amp;GD983)+1,""))</f>
        <v/>
      </c>
      <c r="GC983" s="0" t="str">
        <f aca="false">IF(AND(_xlfn.ISFORMULA(C983),_xlfn.ISFORMULA(J983)),"Y","N")</f>
        <v>Y</v>
      </c>
      <c r="GD983" s="0" t="n">
        <f aca="false">ROW()-1</f>
        <v>982</v>
      </c>
    </row>
    <row r="984" customFormat="false" ht="15" hidden="false" customHeight="false" outlineLevel="0" collapsed="false">
      <c r="C984" s="0" t="str">
        <f aca="false">IF($A984="","",IF(AW984="Y",BM984&amp;"",AY984&amp;""))</f>
        <v/>
      </c>
      <c r="D984" s="0" t="str">
        <f aca="false">IF($A984="","",IF(AW984="Y",BN984&amp;"",AZ984&amp;""))</f>
        <v/>
      </c>
      <c r="E984" s="0" t="str">
        <f aca="false">IF($A984="","",IF(AW984="Y",BO984&amp;"",BA984&amp;""))</f>
        <v/>
      </c>
      <c r="F984" s="0" t="str">
        <f aca="false">IF($A984="","",IF(AW984="Y",BP984&amp;"",BB984&amp;""))</f>
        <v/>
      </c>
      <c r="G984" s="0" t="str">
        <f aca="false">IF($A984="","",IF(AW984="Y",BQ984&amp;"",BC984&amp;""))</f>
        <v/>
      </c>
      <c r="H984" s="0" t="str">
        <f aca="false">IF($A984="","",IF(AW984="Y",BR984&amp;"",BD984&amp;""))</f>
        <v/>
      </c>
      <c r="I984" s="0" t="str">
        <f aca="false">IF($A984="","",IF(R984="Y","warm-intro",IF(H984="verified","email",IF(C984&lt;&gt;"","linkedin",CB984&amp;""))))</f>
        <v/>
      </c>
      <c r="J984" s="0" t="str">
        <f aca="false">IF($A984="","",IF(CN984="pass",ROUND(N(EM984)+N(EN984)+N(EO984)+N(EP984)+N(EQ984)+N(ER984),1),0))</f>
        <v/>
      </c>
      <c r="K984" s="0" t="str">
        <f aca="false">IF($A984="","",IF(CN984&lt;&gt;"pass",CA984&amp;"",CA984&amp;"; "&amp;IF(AW984="Y",BZ984&amp;"",BL984&amp;"")&amp;IF(R984="Y","; known to the founder (+15)","")&amp;"."))</f>
        <v/>
      </c>
      <c r="R984" s="5"/>
      <c r="U984" s="5"/>
      <c r="Y984" s="0" t="str">
        <f aca="false">IF(FX984&lt;&gt;"Y","",COUNTIFS($FX$2:$FX$1000,"Y",$J$2:$J$1000,"&gt;"&amp;J984)+COUNTIFS($FX$2:$FX$1000,"Y",$J$2:$J$1000,J984,$GD$2:$GD$1000,"&lt;"&amp;GD984)+1)</f>
        <v/>
      </c>
      <c r="AB984" s="0" t="str">
        <f aca="false">IF($A984="","",IF(AW984="Y",BY984&amp;"",BK984&amp;""))</f>
        <v/>
      </c>
      <c r="AC984" s="0" t="str">
        <f aca="false">IF($A984="","",IF(AW984="Y",BS984&amp;"",BE984&amp;""))</f>
        <v/>
      </c>
      <c r="AD984" s="0" t="str">
        <f aca="false">IF($A984="","",IF(AW984="Y",BT984&amp;"",BF984&amp;""))</f>
        <v/>
      </c>
      <c r="AE984" s="0" t="str">
        <f aca="false">IF($A984="","",IF(AW984="Y",BU984&amp;"",BG984&amp;""))</f>
        <v/>
      </c>
      <c r="AF984" s="0" t="str">
        <f aca="false">IF($A984="","",IF(AW984="Y",BV984&amp;"",BH984&amp;""))</f>
        <v/>
      </c>
      <c r="AG984" s="0" t="str">
        <f aca="false">IF($A984="","",IF(AW984="Y",BW984&amp;"",BI984&amp;""))</f>
        <v/>
      </c>
      <c r="AH984" s="0" t="str">
        <f aca="false">IF($A984="","",IF(AW984="Y",BX984&amp;"",BJ984&amp;""))</f>
        <v/>
      </c>
      <c r="AQ984" s="5"/>
      <c r="AT984" s="0" t="str">
        <f aca="false">IF($A984="","",IF(AND(CN984="pass",AQ984&lt;&gt;"Y",C984&lt;&gt;"",OR(AX984&lt;&gt;"Y",AV984="Y")),"Y","N"))</f>
        <v/>
      </c>
      <c r="AU984" s="0" t="str">
        <f aca="false">IF($A984="","",_xlfn.TEXTJOIN("; ",TRUE(),IF(CN984&lt;&gt;"pass","gated out",""),IF(AQ984="Y","on hold: "&amp;AR984,""),IF(C984="","no contact named on an opened page",""),IF(AND(AX984="Y",AV984&lt;&gt;"Y"),"Tuesday estimate band "&amp;L984&amp;": founder's call","")))</f>
        <v/>
      </c>
      <c r="BC984" s="0" t="str">
        <f aca="false">IF($A984="","",IFERROR(INDEX(Enrichment!$A$2:$GZ$2000,MATCH($A984,INDEX(Enrichment!$A$2:$GZ$2000,0,MATCH("row_id",Enrichment!$A$1:$GZ$1,0)),0),MATCH("work_email",Enrichment!$A$1:$GZ$1,0))&amp;"",""))</f>
        <v/>
      </c>
      <c r="BD984" s="0" t="str">
        <f aca="false">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Q984" s="0" t="str">
        <f aca="false">IF($A984="","",IFERROR(INDEX(Enrichment!$A$2:$GZ$2000,MATCH($A984,INDEX(Enrichment!$A$2:$GZ$2000,0,MATCH("row_id",Enrichment!$A$1:$GZ$1,0)),0),MATCH("backup_work_email",Enrichment!$A$1:$GZ$1,0))&amp;"",""))</f>
        <v/>
      </c>
      <c r="BR984" s="0" t="str">
        <f aca="false">IF($A984="","",IF(BQ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EQ984" s="0" t="str">
        <f aca="false">IF($A984="","",IF(AH984="exact",10,IF(AH984="adjacent",5,0)))</f>
        <v/>
      </c>
      <c r="ER984" s="0" t="str">
        <f aca="false">IF($A984="","",IF(R984="Y",15,0))</f>
        <v/>
      </c>
      <c r="FS984" s="0" t="str">
        <f aca="false">IF($A984="","",IF(ISNUMBER(MATCH(U984,{"queued","contacted","replied","call_booked","call_done","yes_in_principle","materials_sent"},0)),"Y","N"))</f>
        <v/>
      </c>
      <c r="FT984" s="0" t="str">
        <f aca="false">IF($A984="","",IF(OR(T984="Y",U984="do_not_contact",AS984&amp;""&lt;&gt;""),"Y","N"))</f>
        <v/>
      </c>
      <c r="FU984" s="0" t="str">
        <f aca="false">IF($A984="","",IF(AP984&amp;""&lt;&gt;"",AP984&amp;"",$A984))</f>
        <v/>
      </c>
      <c r="FV984" s="0" t="str">
        <f aca="false">IF($A984="","",IF(COUNTIFS($FU$2:$FU$1000,FU984,$FS$2:$FS$1000,"Y")+COUNTIFS($FU$2:$FU$1000,FU984,$FT$2:$FT$1000,"Y")&gt;0,"Y","N"))</f>
        <v/>
      </c>
      <c r="FW984" s="0" t="str">
        <f aca="false">IF($A984="","",IF(AND(U984="new",T984="N",FT984="N",AT984="Y",FV984="N"),"Y","N"))</f>
        <v/>
      </c>
      <c r="FX984" s="0" t="str">
        <f aca="false">IF($A984="","",IF(FW984&lt;&gt;"Y","N",IF(COUNTIFS($FU$2:$FU$1000,FU984,$FW$2:$FW$1000,"Y",$J$2:$J$1000,"&gt;"&amp;J984)+COUNTIFS($FU$2:$FU$1000,FU984,$FW$2:$FW$1000,"Y",$J$2:$J$1000,J984,$GD$2:$GD$1000,"&lt;"&amp;GD984)=0,"Y","N")))</f>
        <v/>
      </c>
      <c r="FY984" s="0" t="str">
        <f aca="false">IF($A984="","",IF(AND(FW984="Y",FX984="Y",Y984&amp;""&lt;&gt;""),IF(Y984&lt;=10,"Y","N"),"N"))</f>
        <v/>
      </c>
      <c r="FZ984" s="0" t="str">
        <f aca="false">IF(FY984="Y",Y984,"")</f>
        <v/>
      </c>
      <c r="GA984" s="0" t="str">
        <f aca="false">IF($A984="","",IF(AND(I984="walk-in",CN984="pass",U984="new",FT984="N",FV984="N",AQ984&lt;&gt;"Y"),"Y","N"))</f>
        <v/>
      </c>
      <c r="GB984" s="0" t="str">
        <f aca="false">IF(GA984&lt;&gt;"Y","",IF(COUNTIFS($GA$2:$GA$1000,"Y",$J$2:$J$1000,"&gt;"&amp;J984)+COUNTIFS($GA$2:$GA$1000,"Y",$J$2:$J$1000,J984,$GD$2:$GD$1000,"&lt;"&amp;GD984)+1&lt;=25,COUNTIFS($GA$2:$GA$1000,"Y",$J$2:$J$1000,"&gt;"&amp;J984)+COUNTIFS($GA$2:$GA$1000,"Y",$J$2:$J$1000,J984,$GD$2:$GD$1000,"&lt;"&amp;GD984)+1,""))</f>
        <v/>
      </c>
      <c r="GC984" s="0" t="str">
        <f aca="false">IF(AND(_xlfn.ISFORMULA(C984),_xlfn.ISFORMULA(J984)),"Y","N")</f>
        <v>Y</v>
      </c>
      <c r="GD984" s="0" t="n">
        <f aca="false">ROW()-1</f>
        <v>983</v>
      </c>
    </row>
    <row r="985" customFormat="false" ht="15" hidden="false" customHeight="false" outlineLevel="0" collapsed="false">
      <c r="C985" s="0" t="str">
        <f aca="false">IF($A985="","",IF(AW985="Y",BM985&amp;"",AY985&amp;""))</f>
        <v/>
      </c>
      <c r="D985" s="0" t="str">
        <f aca="false">IF($A985="","",IF(AW985="Y",BN985&amp;"",AZ985&amp;""))</f>
        <v/>
      </c>
      <c r="E985" s="0" t="str">
        <f aca="false">IF($A985="","",IF(AW985="Y",BO985&amp;"",BA985&amp;""))</f>
        <v/>
      </c>
      <c r="F985" s="0" t="str">
        <f aca="false">IF($A985="","",IF(AW985="Y",BP985&amp;"",BB985&amp;""))</f>
        <v/>
      </c>
      <c r="G985" s="0" t="str">
        <f aca="false">IF($A985="","",IF(AW985="Y",BQ985&amp;"",BC985&amp;""))</f>
        <v/>
      </c>
      <c r="H985" s="0" t="str">
        <f aca="false">IF($A985="","",IF(AW985="Y",BR985&amp;"",BD985&amp;""))</f>
        <v/>
      </c>
      <c r="I985" s="0" t="str">
        <f aca="false">IF($A985="","",IF(R985="Y","warm-intro",IF(H985="verified","email",IF(C985&lt;&gt;"","linkedin",CB985&amp;""))))</f>
        <v/>
      </c>
      <c r="J985" s="0" t="str">
        <f aca="false">IF($A985="","",IF(CN985="pass",ROUND(N(EM985)+N(EN985)+N(EO985)+N(EP985)+N(EQ985)+N(ER985),1),0))</f>
        <v/>
      </c>
      <c r="K985" s="0" t="str">
        <f aca="false">IF($A985="","",IF(CN985&lt;&gt;"pass",CA985&amp;"",CA985&amp;"; "&amp;IF(AW985="Y",BZ985&amp;"",BL985&amp;"")&amp;IF(R985="Y","; known to the founder (+15)","")&amp;"."))</f>
        <v/>
      </c>
      <c r="R985" s="5"/>
      <c r="U985" s="5"/>
      <c r="Y985" s="0" t="str">
        <f aca="false">IF(FX985&lt;&gt;"Y","",COUNTIFS($FX$2:$FX$1000,"Y",$J$2:$J$1000,"&gt;"&amp;J985)+COUNTIFS($FX$2:$FX$1000,"Y",$J$2:$J$1000,J985,$GD$2:$GD$1000,"&lt;"&amp;GD985)+1)</f>
        <v/>
      </c>
      <c r="AB985" s="0" t="str">
        <f aca="false">IF($A985="","",IF(AW985="Y",BY985&amp;"",BK985&amp;""))</f>
        <v/>
      </c>
      <c r="AC985" s="0" t="str">
        <f aca="false">IF($A985="","",IF(AW985="Y",BS985&amp;"",BE985&amp;""))</f>
        <v/>
      </c>
      <c r="AD985" s="0" t="str">
        <f aca="false">IF($A985="","",IF(AW985="Y",BT985&amp;"",BF985&amp;""))</f>
        <v/>
      </c>
      <c r="AE985" s="0" t="str">
        <f aca="false">IF($A985="","",IF(AW985="Y",BU985&amp;"",BG985&amp;""))</f>
        <v/>
      </c>
      <c r="AF985" s="0" t="str">
        <f aca="false">IF($A985="","",IF(AW985="Y",BV985&amp;"",BH985&amp;""))</f>
        <v/>
      </c>
      <c r="AG985" s="0" t="str">
        <f aca="false">IF($A985="","",IF(AW985="Y",BW985&amp;"",BI985&amp;""))</f>
        <v/>
      </c>
      <c r="AH985" s="0" t="str">
        <f aca="false">IF($A985="","",IF(AW985="Y",BX985&amp;"",BJ985&amp;""))</f>
        <v/>
      </c>
      <c r="AQ985" s="5"/>
      <c r="AT985" s="0" t="str">
        <f aca="false">IF($A985="","",IF(AND(CN985="pass",AQ985&lt;&gt;"Y",C985&lt;&gt;"",OR(AX985&lt;&gt;"Y",AV985="Y")),"Y","N"))</f>
        <v/>
      </c>
      <c r="AU985" s="0" t="str">
        <f aca="false">IF($A985="","",_xlfn.TEXTJOIN("; ",TRUE(),IF(CN985&lt;&gt;"pass","gated out",""),IF(AQ985="Y","on hold: "&amp;AR985,""),IF(C985="","no contact named on an opened page",""),IF(AND(AX985="Y",AV985&lt;&gt;"Y"),"Tuesday estimate band "&amp;L985&amp;": founder's call","")))</f>
        <v/>
      </c>
      <c r="BC985" s="0" t="str">
        <f aca="false">IF($A985="","",IFERROR(INDEX(Enrichment!$A$2:$GZ$2000,MATCH($A985,INDEX(Enrichment!$A$2:$GZ$2000,0,MATCH("row_id",Enrichment!$A$1:$GZ$1,0)),0),MATCH("work_email",Enrichment!$A$1:$GZ$1,0))&amp;"",""))</f>
        <v/>
      </c>
      <c r="BD985" s="0" t="str">
        <f aca="false">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Q985" s="0" t="str">
        <f aca="false">IF($A985="","",IFERROR(INDEX(Enrichment!$A$2:$GZ$2000,MATCH($A985,INDEX(Enrichment!$A$2:$GZ$2000,0,MATCH("row_id",Enrichment!$A$1:$GZ$1,0)),0),MATCH("backup_work_email",Enrichment!$A$1:$GZ$1,0))&amp;"",""))</f>
        <v/>
      </c>
      <c r="BR985" s="0" t="str">
        <f aca="false">IF($A985="","",IF(BQ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EQ985" s="0" t="str">
        <f aca="false">IF($A985="","",IF(AH985="exact",10,IF(AH985="adjacent",5,0)))</f>
        <v/>
      </c>
      <c r="ER985" s="0" t="str">
        <f aca="false">IF($A985="","",IF(R985="Y",15,0))</f>
        <v/>
      </c>
      <c r="FS985" s="0" t="str">
        <f aca="false">IF($A985="","",IF(ISNUMBER(MATCH(U985,{"queued","contacted","replied","call_booked","call_done","yes_in_principle","materials_sent"},0)),"Y","N"))</f>
        <v/>
      </c>
      <c r="FT985" s="0" t="str">
        <f aca="false">IF($A985="","",IF(OR(T985="Y",U985="do_not_contact",AS985&amp;""&lt;&gt;""),"Y","N"))</f>
        <v/>
      </c>
      <c r="FU985" s="0" t="str">
        <f aca="false">IF($A985="","",IF(AP985&amp;""&lt;&gt;"",AP985&amp;"",$A985))</f>
        <v/>
      </c>
      <c r="FV985" s="0" t="str">
        <f aca="false">IF($A985="","",IF(COUNTIFS($FU$2:$FU$1000,FU985,$FS$2:$FS$1000,"Y")+COUNTIFS($FU$2:$FU$1000,FU985,$FT$2:$FT$1000,"Y")&gt;0,"Y","N"))</f>
        <v/>
      </c>
      <c r="FW985" s="0" t="str">
        <f aca="false">IF($A985="","",IF(AND(U985="new",T985="N",FT985="N",AT985="Y",FV985="N"),"Y","N"))</f>
        <v/>
      </c>
      <c r="FX985" s="0" t="str">
        <f aca="false">IF($A985="","",IF(FW985&lt;&gt;"Y","N",IF(COUNTIFS($FU$2:$FU$1000,FU985,$FW$2:$FW$1000,"Y",$J$2:$J$1000,"&gt;"&amp;J985)+COUNTIFS($FU$2:$FU$1000,FU985,$FW$2:$FW$1000,"Y",$J$2:$J$1000,J985,$GD$2:$GD$1000,"&lt;"&amp;GD985)=0,"Y","N")))</f>
        <v/>
      </c>
      <c r="FY985" s="0" t="str">
        <f aca="false">IF($A985="","",IF(AND(FW985="Y",FX985="Y",Y985&amp;""&lt;&gt;""),IF(Y985&lt;=10,"Y","N"),"N"))</f>
        <v/>
      </c>
      <c r="FZ985" s="0" t="str">
        <f aca="false">IF(FY985="Y",Y985,"")</f>
        <v/>
      </c>
      <c r="GA985" s="0" t="str">
        <f aca="false">IF($A985="","",IF(AND(I985="walk-in",CN985="pass",U985="new",FT985="N",FV985="N",AQ985&lt;&gt;"Y"),"Y","N"))</f>
        <v/>
      </c>
      <c r="GB985" s="0" t="str">
        <f aca="false">IF(GA985&lt;&gt;"Y","",IF(COUNTIFS($GA$2:$GA$1000,"Y",$J$2:$J$1000,"&gt;"&amp;J985)+COUNTIFS($GA$2:$GA$1000,"Y",$J$2:$J$1000,J985,$GD$2:$GD$1000,"&lt;"&amp;GD985)+1&lt;=25,COUNTIFS($GA$2:$GA$1000,"Y",$J$2:$J$1000,"&gt;"&amp;J985)+COUNTIFS($GA$2:$GA$1000,"Y",$J$2:$J$1000,J985,$GD$2:$GD$1000,"&lt;"&amp;GD985)+1,""))</f>
        <v/>
      </c>
      <c r="GC985" s="0" t="str">
        <f aca="false">IF(AND(_xlfn.ISFORMULA(C985),_xlfn.ISFORMULA(J985)),"Y","N")</f>
        <v>Y</v>
      </c>
      <c r="GD985" s="0" t="n">
        <f aca="false">ROW()-1</f>
        <v>984</v>
      </c>
    </row>
    <row r="986" customFormat="false" ht="15" hidden="false" customHeight="false" outlineLevel="0" collapsed="false">
      <c r="C986" s="0" t="str">
        <f aca="false">IF($A986="","",IF(AW986="Y",BM986&amp;"",AY986&amp;""))</f>
        <v/>
      </c>
      <c r="D986" s="0" t="str">
        <f aca="false">IF($A986="","",IF(AW986="Y",BN986&amp;"",AZ986&amp;""))</f>
        <v/>
      </c>
      <c r="E986" s="0" t="str">
        <f aca="false">IF($A986="","",IF(AW986="Y",BO986&amp;"",BA986&amp;""))</f>
        <v/>
      </c>
      <c r="F986" s="0" t="str">
        <f aca="false">IF($A986="","",IF(AW986="Y",BP986&amp;"",BB986&amp;""))</f>
        <v/>
      </c>
      <c r="G986" s="0" t="str">
        <f aca="false">IF($A986="","",IF(AW986="Y",BQ986&amp;"",BC986&amp;""))</f>
        <v/>
      </c>
      <c r="H986" s="0" t="str">
        <f aca="false">IF($A986="","",IF(AW986="Y",BR986&amp;"",BD986&amp;""))</f>
        <v/>
      </c>
      <c r="I986" s="0" t="str">
        <f aca="false">IF($A986="","",IF(R986="Y","warm-intro",IF(H986="verified","email",IF(C986&lt;&gt;"","linkedin",CB986&amp;""))))</f>
        <v/>
      </c>
      <c r="J986" s="0" t="str">
        <f aca="false">IF($A986="","",IF(CN986="pass",ROUND(N(EM986)+N(EN986)+N(EO986)+N(EP986)+N(EQ986)+N(ER986),1),0))</f>
        <v/>
      </c>
      <c r="K986" s="0" t="str">
        <f aca="false">IF($A986="","",IF(CN986&lt;&gt;"pass",CA986&amp;"",CA986&amp;"; "&amp;IF(AW986="Y",BZ986&amp;"",BL986&amp;"")&amp;IF(R986="Y","; known to the founder (+15)","")&amp;"."))</f>
        <v/>
      </c>
      <c r="R986" s="5"/>
      <c r="U986" s="5"/>
      <c r="Y986" s="0" t="str">
        <f aca="false">IF(FX986&lt;&gt;"Y","",COUNTIFS($FX$2:$FX$1000,"Y",$J$2:$J$1000,"&gt;"&amp;J986)+COUNTIFS($FX$2:$FX$1000,"Y",$J$2:$J$1000,J986,$GD$2:$GD$1000,"&lt;"&amp;GD986)+1)</f>
        <v/>
      </c>
      <c r="AB986" s="0" t="str">
        <f aca="false">IF($A986="","",IF(AW986="Y",BY986&amp;"",BK986&amp;""))</f>
        <v/>
      </c>
      <c r="AC986" s="0" t="str">
        <f aca="false">IF($A986="","",IF(AW986="Y",BS986&amp;"",BE986&amp;""))</f>
        <v/>
      </c>
      <c r="AD986" s="0" t="str">
        <f aca="false">IF($A986="","",IF(AW986="Y",BT986&amp;"",BF986&amp;""))</f>
        <v/>
      </c>
      <c r="AE986" s="0" t="str">
        <f aca="false">IF($A986="","",IF(AW986="Y",BU986&amp;"",BG986&amp;""))</f>
        <v/>
      </c>
      <c r="AF986" s="0" t="str">
        <f aca="false">IF($A986="","",IF(AW986="Y",BV986&amp;"",BH986&amp;""))</f>
        <v/>
      </c>
      <c r="AG986" s="0" t="str">
        <f aca="false">IF($A986="","",IF(AW986="Y",BW986&amp;"",BI986&amp;""))</f>
        <v/>
      </c>
      <c r="AH986" s="0" t="str">
        <f aca="false">IF($A986="","",IF(AW986="Y",BX986&amp;"",BJ986&amp;""))</f>
        <v/>
      </c>
      <c r="AQ986" s="5"/>
      <c r="AT986" s="0" t="str">
        <f aca="false">IF($A986="","",IF(AND(CN986="pass",AQ986&lt;&gt;"Y",C986&lt;&gt;"",OR(AX986&lt;&gt;"Y",AV986="Y")),"Y","N"))</f>
        <v/>
      </c>
      <c r="AU986" s="0" t="str">
        <f aca="false">IF($A986="","",_xlfn.TEXTJOIN("; ",TRUE(),IF(CN986&lt;&gt;"pass","gated out",""),IF(AQ986="Y","on hold: "&amp;AR986,""),IF(C986="","no contact named on an opened page",""),IF(AND(AX986="Y",AV986&lt;&gt;"Y"),"Tuesday estimate band "&amp;L986&amp;": founder's call","")))</f>
        <v/>
      </c>
      <c r="BC986" s="0" t="str">
        <f aca="false">IF($A986="","",IFERROR(INDEX(Enrichment!$A$2:$GZ$2000,MATCH($A986,INDEX(Enrichment!$A$2:$GZ$2000,0,MATCH("row_id",Enrichment!$A$1:$GZ$1,0)),0),MATCH("work_email",Enrichment!$A$1:$GZ$1,0))&amp;"",""))</f>
        <v/>
      </c>
      <c r="BD986" s="0" t="str">
        <f aca="false">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Q986" s="0" t="str">
        <f aca="false">IF($A986="","",IFERROR(INDEX(Enrichment!$A$2:$GZ$2000,MATCH($A986,INDEX(Enrichment!$A$2:$GZ$2000,0,MATCH("row_id",Enrichment!$A$1:$GZ$1,0)),0),MATCH("backup_work_email",Enrichment!$A$1:$GZ$1,0))&amp;"",""))</f>
        <v/>
      </c>
      <c r="BR986" s="0" t="str">
        <f aca="false">IF($A986="","",IF(BQ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EQ986" s="0" t="str">
        <f aca="false">IF($A986="","",IF(AH986="exact",10,IF(AH986="adjacent",5,0)))</f>
        <v/>
      </c>
      <c r="ER986" s="0" t="str">
        <f aca="false">IF($A986="","",IF(R986="Y",15,0))</f>
        <v/>
      </c>
      <c r="FS986" s="0" t="str">
        <f aca="false">IF($A986="","",IF(ISNUMBER(MATCH(U986,{"queued","contacted","replied","call_booked","call_done","yes_in_principle","materials_sent"},0)),"Y","N"))</f>
        <v/>
      </c>
      <c r="FT986" s="0" t="str">
        <f aca="false">IF($A986="","",IF(OR(T986="Y",U986="do_not_contact",AS986&amp;""&lt;&gt;""),"Y","N"))</f>
        <v/>
      </c>
      <c r="FU986" s="0" t="str">
        <f aca="false">IF($A986="","",IF(AP986&amp;""&lt;&gt;"",AP986&amp;"",$A986))</f>
        <v/>
      </c>
      <c r="FV986" s="0" t="str">
        <f aca="false">IF($A986="","",IF(COUNTIFS($FU$2:$FU$1000,FU986,$FS$2:$FS$1000,"Y")+COUNTIFS($FU$2:$FU$1000,FU986,$FT$2:$FT$1000,"Y")&gt;0,"Y","N"))</f>
        <v/>
      </c>
      <c r="FW986" s="0" t="str">
        <f aca="false">IF($A986="","",IF(AND(U986="new",T986="N",FT986="N",AT986="Y",FV986="N"),"Y","N"))</f>
        <v/>
      </c>
      <c r="FX986" s="0" t="str">
        <f aca="false">IF($A986="","",IF(FW986&lt;&gt;"Y","N",IF(COUNTIFS($FU$2:$FU$1000,FU986,$FW$2:$FW$1000,"Y",$J$2:$J$1000,"&gt;"&amp;J986)+COUNTIFS($FU$2:$FU$1000,FU986,$FW$2:$FW$1000,"Y",$J$2:$J$1000,J986,$GD$2:$GD$1000,"&lt;"&amp;GD986)=0,"Y","N")))</f>
        <v/>
      </c>
      <c r="FY986" s="0" t="str">
        <f aca="false">IF($A986="","",IF(AND(FW986="Y",FX986="Y",Y986&amp;""&lt;&gt;""),IF(Y986&lt;=10,"Y","N"),"N"))</f>
        <v/>
      </c>
      <c r="FZ986" s="0" t="str">
        <f aca="false">IF(FY986="Y",Y986,"")</f>
        <v/>
      </c>
      <c r="GA986" s="0" t="str">
        <f aca="false">IF($A986="","",IF(AND(I986="walk-in",CN986="pass",U986="new",FT986="N",FV986="N",AQ986&lt;&gt;"Y"),"Y","N"))</f>
        <v/>
      </c>
      <c r="GB986" s="0" t="str">
        <f aca="false">IF(GA986&lt;&gt;"Y","",IF(COUNTIFS($GA$2:$GA$1000,"Y",$J$2:$J$1000,"&gt;"&amp;J986)+COUNTIFS($GA$2:$GA$1000,"Y",$J$2:$J$1000,J986,$GD$2:$GD$1000,"&lt;"&amp;GD986)+1&lt;=25,COUNTIFS($GA$2:$GA$1000,"Y",$J$2:$J$1000,"&gt;"&amp;J986)+COUNTIFS($GA$2:$GA$1000,"Y",$J$2:$J$1000,J986,$GD$2:$GD$1000,"&lt;"&amp;GD986)+1,""))</f>
        <v/>
      </c>
      <c r="GC986" s="0" t="str">
        <f aca="false">IF(AND(_xlfn.ISFORMULA(C986),_xlfn.ISFORMULA(J986)),"Y","N")</f>
        <v>Y</v>
      </c>
      <c r="GD986" s="0" t="n">
        <f aca="false">ROW()-1</f>
        <v>985</v>
      </c>
    </row>
    <row r="987" customFormat="false" ht="15" hidden="false" customHeight="false" outlineLevel="0" collapsed="false">
      <c r="C987" s="0" t="str">
        <f aca="false">IF($A987="","",IF(AW987="Y",BM987&amp;"",AY987&amp;""))</f>
        <v/>
      </c>
      <c r="D987" s="0" t="str">
        <f aca="false">IF($A987="","",IF(AW987="Y",BN987&amp;"",AZ987&amp;""))</f>
        <v/>
      </c>
      <c r="E987" s="0" t="str">
        <f aca="false">IF($A987="","",IF(AW987="Y",BO987&amp;"",BA987&amp;""))</f>
        <v/>
      </c>
      <c r="F987" s="0" t="str">
        <f aca="false">IF($A987="","",IF(AW987="Y",BP987&amp;"",BB987&amp;""))</f>
        <v/>
      </c>
      <c r="G987" s="0" t="str">
        <f aca="false">IF($A987="","",IF(AW987="Y",BQ987&amp;"",BC987&amp;""))</f>
        <v/>
      </c>
      <c r="H987" s="0" t="str">
        <f aca="false">IF($A987="","",IF(AW987="Y",BR987&amp;"",BD987&amp;""))</f>
        <v/>
      </c>
      <c r="I987" s="0" t="str">
        <f aca="false">IF($A987="","",IF(R987="Y","warm-intro",IF(H987="verified","email",IF(C987&lt;&gt;"","linkedin",CB987&amp;""))))</f>
        <v/>
      </c>
      <c r="J987" s="0" t="str">
        <f aca="false">IF($A987="","",IF(CN987="pass",ROUND(N(EM987)+N(EN987)+N(EO987)+N(EP987)+N(EQ987)+N(ER987),1),0))</f>
        <v/>
      </c>
      <c r="K987" s="0" t="str">
        <f aca="false">IF($A987="","",IF(CN987&lt;&gt;"pass",CA987&amp;"",CA987&amp;"; "&amp;IF(AW987="Y",BZ987&amp;"",BL987&amp;"")&amp;IF(R987="Y","; known to the founder (+15)","")&amp;"."))</f>
        <v/>
      </c>
      <c r="R987" s="5"/>
      <c r="U987" s="5"/>
      <c r="Y987" s="0" t="str">
        <f aca="false">IF(FX987&lt;&gt;"Y","",COUNTIFS($FX$2:$FX$1000,"Y",$J$2:$J$1000,"&gt;"&amp;J987)+COUNTIFS($FX$2:$FX$1000,"Y",$J$2:$J$1000,J987,$GD$2:$GD$1000,"&lt;"&amp;GD987)+1)</f>
        <v/>
      </c>
      <c r="AB987" s="0" t="str">
        <f aca="false">IF($A987="","",IF(AW987="Y",BY987&amp;"",BK987&amp;""))</f>
        <v/>
      </c>
      <c r="AC987" s="0" t="str">
        <f aca="false">IF($A987="","",IF(AW987="Y",BS987&amp;"",BE987&amp;""))</f>
        <v/>
      </c>
      <c r="AD987" s="0" t="str">
        <f aca="false">IF($A987="","",IF(AW987="Y",BT987&amp;"",BF987&amp;""))</f>
        <v/>
      </c>
      <c r="AE987" s="0" t="str">
        <f aca="false">IF($A987="","",IF(AW987="Y",BU987&amp;"",BG987&amp;""))</f>
        <v/>
      </c>
      <c r="AF987" s="0" t="str">
        <f aca="false">IF($A987="","",IF(AW987="Y",BV987&amp;"",BH987&amp;""))</f>
        <v/>
      </c>
      <c r="AG987" s="0" t="str">
        <f aca="false">IF($A987="","",IF(AW987="Y",BW987&amp;"",BI987&amp;""))</f>
        <v/>
      </c>
      <c r="AH987" s="0" t="str">
        <f aca="false">IF($A987="","",IF(AW987="Y",BX987&amp;"",BJ987&amp;""))</f>
        <v/>
      </c>
      <c r="AQ987" s="5"/>
      <c r="AT987" s="0" t="str">
        <f aca="false">IF($A987="","",IF(AND(CN987="pass",AQ987&lt;&gt;"Y",C987&lt;&gt;"",OR(AX987&lt;&gt;"Y",AV987="Y")),"Y","N"))</f>
        <v/>
      </c>
      <c r="AU987" s="0" t="str">
        <f aca="false">IF($A987="","",_xlfn.TEXTJOIN("; ",TRUE(),IF(CN987&lt;&gt;"pass","gated out",""),IF(AQ987="Y","on hold: "&amp;AR987,""),IF(C987="","no contact named on an opened page",""),IF(AND(AX987="Y",AV987&lt;&gt;"Y"),"Tuesday estimate band "&amp;L987&amp;": founder's call","")))</f>
        <v/>
      </c>
      <c r="BC987" s="0" t="str">
        <f aca="false">IF($A987="","",IFERROR(INDEX(Enrichment!$A$2:$GZ$2000,MATCH($A987,INDEX(Enrichment!$A$2:$GZ$2000,0,MATCH("row_id",Enrichment!$A$1:$GZ$1,0)),0),MATCH("work_email",Enrichment!$A$1:$GZ$1,0))&amp;"",""))</f>
        <v/>
      </c>
      <c r="BD987" s="0" t="str">
        <f aca="false">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Q987" s="0" t="str">
        <f aca="false">IF($A987="","",IFERROR(INDEX(Enrichment!$A$2:$GZ$2000,MATCH($A987,INDEX(Enrichment!$A$2:$GZ$2000,0,MATCH("row_id",Enrichment!$A$1:$GZ$1,0)),0),MATCH("backup_work_email",Enrichment!$A$1:$GZ$1,0))&amp;"",""))</f>
        <v/>
      </c>
      <c r="BR987" s="0" t="str">
        <f aca="false">IF($A987="","",IF(BQ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EQ987" s="0" t="str">
        <f aca="false">IF($A987="","",IF(AH987="exact",10,IF(AH987="adjacent",5,0)))</f>
        <v/>
      </c>
      <c r="ER987" s="0" t="str">
        <f aca="false">IF($A987="","",IF(R987="Y",15,0))</f>
        <v/>
      </c>
      <c r="FS987" s="0" t="str">
        <f aca="false">IF($A987="","",IF(ISNUMBER(MATCH(U987,{"queued","contacted","replied","call_booked","call_done","yes_in_principle","materials_sent"},0)),"Y","N"))</f>
        <v/>
      </c>
      <c r="FT987" s="0" t="str">
        <f aca="false">IF($A987="","",IF(OR(T987="Y",U987="do_not_contact",AS987&amp;""&lt;&gt;""),"Y","N"))</f>
        <v/>
      </c>
      <c r="FU987" s="0" t="str">
        <f aca="false">IF($A987="","",IF(AP987&amp;""&lt;&gt;"",AP987&amp;"",$A987))</f>
        <v/>
      </c>
      <c r="FV987" s="0" t="str">
        <f aca="false">IF($A987="","",IF(COUNTIFS($FU$2:$FU$1000,FU987,$FS$2:$FS$1000,"Y")+COUNTIFS($FU$2:$FU$1000,FU987,$FT$2:$FT$1000,"Y")&gt;0,"Y","N"))</f>
        <v/>
      </c>
      <c r="FW987" s="0" t="str">
        <f aca="false">IF($A987="","",IF(AND(U987="new",T987="N",FT987="N",AT987="Y",FV987="N"),"Y","N"))</f>
        <v/>
      </c>
      <c r="FX987" s="0" t="str">
        <f aca="false">IF($A987="","",IF(FW987&lt;&gt;"Y","N",IF(COUNTIFS($FU$2:$FU$1000,FU987,$FW$2:$FW$1000,"Y",$J$2:$J$1000,"&gt;"&amp;J987)+COUNTIFS($FU$2:$FU$1000,FU987,$FW$2:$FW$1000,"Y",$J$2:$J$1000,J987,$GD$2:$GD$1000,"&lt;"&amp;GD987)=0,"Y","N")))</f>
        <v/>
      </c>
      <c r="FY987" s="0" t="str">
        <f aca="false">IF($A987="","",IF(AND(FW987="Y",FX987="Y",Y987&amp;""&lt;&gt;""),IF(Y987&lt;=10,"Y","N"),"N"))</f>
        <v/>
      </c>
      <c r="FZ987" s="0" t="str">
        <f aca="false">IF(FY987="Y",Y987,"")</f>
        <v/>
      </c>
      <c r="GA987" s="0" t="str">
        <f aca="false">IF($A987="","",IF(AND(I987="walk-in",CN987="pass",U987="new",FT987="N",FV987="N",AQ987&lt;&gt;"Y"),"Y","N"))</f>
        <v/>
      </c>
      <c r="GB987" s="0" t="str">
        <f aca="false">IF(GA987&lt;&gt;"Y","",IF(COUNTIFS($GA$2:$GA$1000,"Y",$J$2:$J$1000,"&gt;"&amp;J987)+COUNTIFS($GA$2:$GA$1000,"Y",$J$2:$J$1000,J987,$GD$2:$GD$1000,"&lt;"&amp;GD987)+1&lt;=25,COUNTIFS($GA$2:$GA$1000,"Y",$J$2:$J$1000,"&gt;"&amp;J987)+COUNTIFS($GA$2:$GA$1000,"Y",$J$2:$J$1000,J987,$GD$2:$GD$1000,"&lt;"&amp;GD987)+1,""))</f>
        <v/>
      </c>
      <c r="GC987" s="0" t="str">
        <f aca="false">IF(AND(_xlfn.ISFORMULA(C987),_xlfn.ISFORMULA(J987)),"Y","N")</f>
        <v>Y</v>
      </c>
      <c r="GD987" s="0" t="n">
        <f aca="false">ROW()-1</f>
        <v>986</v>
      </c>
    </row>
    <row r="988" customFormat="false" ht="15" hidden="false" customHeight="false" outlineLevel="0" collapsed="false">
      <c r="C988" s="0" t="str">
        <f aca="false">IF($A988="","",IF(AW988="Y",BM988&amp;"",AY988&amp;""))</f>
        <v/>
      </c>
      <c r="D988" s="0" t="str">
        <f aca="false">IF($A988="","",IF(AW988="Y",BN988&amp;"",AZ988&amp;""))</f>
        <v/>
      </c>
      <c r="E988" s="0" t="str">
        <f aca="false">IF($A988="","",IF(AW988="Y",BO988&amp;"",BA988&amp;""))</f>
        <v/>
      </c>
      <c r="F988" s="0" t="str">
        <f aca="false">IF($A988="","",IF(AW988="Y",BP988&amp;"",BB988&amp;""))</f>
        <v/>
      </c>
      <c r="G988" s="0" t="str">
        <f aca="false">IF($A988="","",IF(AW988="Y",BQ988&amp;"",BC988&amp;""))</f>
        <v/>
      </c>
      <c r="H988" s="0" t="str">
        <f aca="false">IF($A988="","",IF(AW988="Y",BR988&amp;"",BD988&amp;""))</f>
        <v/>
      </c>
      <c r="I988" s="0" t="str">
        <f aca="false">IF($A988="","",IF(R988="Y","warm-intro",IF(H988="verified","email",IF(C988&lt;&gt;"","linkedin",CB988&amp;""))))</f>
        <v/>
      </c>
      <c r="J988" s="0" t="str">
        <f aca="false">IF($A988="","",IF(CN988="pass",ROUND(N(EM988)+N(EN988)+N(EO988)+N(EP988)+N(EQ988)+N(ER988),1),0))</f>
        <v/>
      </c>
      <c r="K988" s="0" t="str">
        <f aca="false">IF($A988="","",IF(CN988&lt;&gt;"pass",CA988&amp;"",CA988&amp;"; "&amp;IF(AW988="Y",BZ988&amp;"",BL988&amp;"")&amp;IF(R988="Y","; known to the founder (+15)","")&amp;"."))</f>
        <v/>
      </c>
      <c r="R988" s="5"/>
      <c r="U988" s="5"/>
      <c r="Y988" s="0" t="str">
        <f aca="false">IF(FX988&lt;&gt;"Y","",COUNTIFS($FX$2:$FX$1000,"Y",$J$2:$J$1000,"&gt;"&amp;J988)+COUNTIFS($FX$2:$FX$1000,"Y",$J$2:$J$1000,J988,$GD$2:$GD$1000,"&lt;"&amp;GD988)+1)</f>
        <v/>
      </c>
      <c r="AB988" s="0" t="str">
        <f aca="false">IF($A988="","",IF(AW988="Y",BY988&amp;"",BK988&amp;""))</f>
        <v/>
      </c>
      <c r="AC988" s="0" t="str">
        <f aca="false">IF($A988="","",IF(AW988="Y",BS988&amp;"",BE988&amp;""))</f>
        <v/>
      </c>
      <c r="AD988" s="0" t="str">
        <f aca="false">IF($A988="","",IF(AW988="Y",BT988&amp;"",BF988&amp;""))</f>
        <v/>
      </c>
      <c r="AE988" s="0" t="str">
        <f aca="false">IF($A988="","",IF(AW988="Y",BU988&amp;"",BG988&amp;""))</f>
        <v/>
      </c>
      <c r="AF988" s="0" t="str">
        <f aca="false">IF($A988="","",IF(AW988="Y",BV988&amp;"",BH988&amp;""))</f>
        <v/>
      </c>
      <c r="AG988" s="0" t="str">
        <f aca="false">IF($A988="","",IF(AW988="Y",BW988&amp;"",BI988&amp;""))</f>
        <v/>
      </c>
      <c r="AH988" s="0" t="str">
        <f aca="false">IF($A988="","",IF(AW988="Y",BX988&amp;"",BJ988&amp;""))</f>
        <v/>
      </c>
      <c r="AQ988" s="5"/>
      <c r="AT988" s="0" t="str">
        <f aca="false">IF($A988="","",IF(AND(CN988="pass",AQ988&lt;&gt;"Y",C988&lt;&gt;"",OR(AX988&lt;&gt;"Y",AV988="Y")),"Y","N"))</f>
        <v/>
      </c>
      <c r="AU988" s="0" t="str">
        <f aca="false">IF($A988="","",_xlfn.TEXTJOIN("; ",TRUE(),IF(CN988&lt;&gt;"pass","gated out",""),IF(AQ988="Y","on hold: "&amp;AR988,""),IF(C988="","no contact named on an opened page",""),IF(AND(AX988="Y",AV988&lt;&gt;"Y"),"Tuesday estimate band "&amp;L988&amp;": founder's call","")))</f>
        <v/>
      </c>
      <c r="BC988" s="0" t="str">
        <f aca="false">IF($A988="","",IFERROR(INDEX(Enrichment!$A$2:$GZ$2000,MATCH($A988,INDEX(Enrichment!$A$2:$GZ$2000,0,MATCH("row_id",Enrichment!$A$1:$GZ$1,0)),0),MATCH("work_email",Enrichment!$A$1:$GZ$1,0))&amp;"",""))</f>
        <v/>
      </c>
      <c r="BD988" s="0" t="str">
        <f aca="false">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Q988" s="0" t="str">
        <f aca="false">IF($A988="","",IFERROR(INDEX(Enrichment!$A$2:$GZ$2000,MATCH($A988,INDEX(Enrichment!$A$2:$GZ$2000,0,MATCH("row_id",Enrichment!$A$1:$GZ$1,0)),0),MATCH("backup_work_email",Enrichment!$A$1:$GZ$1,0))&amp;"",""))</f>
        <v/>
      </c>
      <c r="BR988" s="0" t="str">
        <f aca="false">IF($A988="","",IF(BQ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EQ988" s="0" t="str">
        <f aca="false">IF($A988="","",IF(AH988="exact",10,IF(AH988="adjacent",5,0)))</f>
        <v/>
      </c>
      <c r="ER988" s="0" t="str">
        <f aca="false">IF($A988="","",IF(R988="Y",15,0))</f>
        <v/>
      </c>
      <c r="FS988" s="0" t="str">
        <f aca="false">IF($A988="","",IF(ISNUMBER(MATCH(U988,{"queued","contacted","replied","call_booked","call_done","yes_in_principle","materials_sent"},0)),"Y","N"))</f>
        <v/>
      </c>
      <c r="FT988" s="0" t="str">
        <f aca="false">IF($A988="","",IF(OR(T988="Y",U988="do_not_contact",AS988&amp;""&lt;&gt;""),"Y","N"))</f>
        <v/>
      </c>
      <c r="FU988" s="0" t="str">
        <f aca="false">IF($A988="","",IF(AP988&amp;""&lt;&gt;"",AP988&amp;"",$A988))</f>
        <v/>
      </c>
      <c r="FV988" s="0" t="str">
        <f aca="false">IF($A988="","",IF(COUNTIFS($FU$2:$FU$1000,FU988,$FS$2:$FS$1000,"Y")+COUNTIFS($FU$2:$FU$1000,FU988,$FT$2:$FT$1000,"Y")&gt;0,"Y","N"))</f>
        <v/>
      </c>
      <c r="FW988" s="0" t="str">
        <f aca="false">IF($A988="","",IF(AND(U988="new",T988="N",FT988="N",AT988="Y",FV988="N"),"Y","N"))</f>
        <v/>
      </c>
      <c r="FX988" s="0" t="str">
        <f aca="false">IF($A988="","",IF(FW988&lt;&gt;"Y","N",IF(COUNTIFS($FU$2:$FU$1000,FU988,$FW$2:$FW$1000,"Y",$J$2:$J$1000,"&gt;"&amp;J988)+COUNTIFS($FU$2:$FU$1000,FU988,$FW$2:$FW$1000,"Y",$J$2:$J$1000,J988,$GD$2:$GD$1000,"&lt;"&amp;GD988)=0,"Y","N")))</f>
        <v/>
      </c>
      <c r="FY988" s="0" t="str">
        <f aca="false">IF($A988="","",IF(AND(FW988="Y",FX988="Y",Y988&amp;""&lt;&gt;""),IF(Y988&lt;=10,"Y","N"),"N"))</f>
        <v/>
      </c>
      <c r="FZ988" s="0" t="str">
        <f aca="false">IF(FY988="Y",Y988,"")</f>
        <v/>
      </c>
      <c r="GA988" s="0" t="str">
        <f aca="false">IF($A988="","",IF(AND(I988="walk-in",CN988="pass",U988="new",FT988="N",FV988="N",AQ988&lt;&gt;"Y"),"Y","N"))</f>
        <v/>
      </c>
      <c r="GB988" s="0" t="str">
        <f aca="false">IF(GA988&lt;&gt;"Y","",IF(COUNTIFS($GA$2:$GA$1000,"Y",$J$2:$J$1000,"&gt;"&amp;J988)+COUNTIFS($GA$2:$GA$1000,"Y",$J$2:$J$1000,J988,$GD$2:$GD$1000,"&lt;"&amp;GD988)+1&lt;=25,COUNTIFS($GA$2:$GA$1000,"Y",$J$2:$J$1000,"&gt;"&amp;J988)+COUNTIFS($GA$2:$GA$1000,"Y",$J$2:$J$1000,J988,$GD$2:$GD$1000,"&lt;"&amp;GD988)+1,""))</f>
        <v/>
      </c>
      <c r="GC988" s="0" t="str">
        <f aca="false">IF(AND(_xlfn.ISFORMULA(C988),_xlfn.ISFORMULA(J988)),"Y","N")</f>
        <v>Y</v>
      </c>
      <c r="GD988" s="0" t="n">
        <f aca="false">ROW()-1</f>
        <v>987</v>
      </c>
    </row>
    <row r="989" customFormat="false" ht="15" hidden="false" customHeight="false" outlineLevel="0" collapsed="false">
      <c r="C989" s="0" t="str">
        <f aca="false">IF($A989="","",IF(AW989="Y",BM989&amp;"",AY989&amp;""))</f>
        <v/>
      </c>
      <c r="D989" s="0" t="str">
        <f aca="false">IF($A989="","",IF(AW989="Y",BN989&amp;"",AZ989&amp;""))</f>
        <v/>
      </c>
      <c r="E989" s="0" t="str">
        <f aca="false">IF($A989="","",IF(AW989="Y",BO989&amp;"",BA989&amp;""))</f>
        <v/>
      </c>
      <c r="F989" s="0" t="str">
        <f aca="false">IF($A989="","",IF(AW989="Y",BP989&amp;"",BB989&amp;""))</f>
        <v/>
      </c>
      <c r="G989" s="0" t="str">
        <f aca="false">IF($A989="","",IF(AW989="Y",BQ989&amp;"",BC989&amp;""))</f>
        <v/>
      </c>
      <c r="H989" s="0" t="str">
        <f aca="false">IF($A989="","",IF(AW989="Y",BR989&amp;"",BD989&amp;""))</f>
        <v/>
      </c>
      <c r="I989" s="0" t="str">
        <f aca="false">IF($A989="","",IF(R989="Y","warm-intro",IF(H989="verified","email",IF(C989&lt;&gt;"","linkedin",CB989&amp;""))))</f>
        <v/>
      </c>
      <c r="J989" s="0" t="str">
        <f aca="false">IF($A989="","",IF(CN989="pass",ROUND(N(EM989)+N(EN989)+N(EO989)+N(EP989)+N(EQ989)+N(ER989),1),0))</f>
        <v/>
      </c>
      <c r="K989" s="0" t="str">
        <f aca="false">IF($A989="","",IF(CN989&lt;&gt;"pass",CA989&amp;"",CA989&amp;"; "&amp;IF(AW989="Y",BZ989&amp;"",BL989&amp;"")&amp;IF(R989="Y","; known to the founder (+15)","")&amp;"."))</f>
        <v/>
      </c>
      <c r="R989" s="5"/>
      <c r="U989" s="5"/>
      <c r="Y989" s="0" t="str">
        <f aca="false">IF(FX989&lt;&gt;"Y","",COUNTIFS($FX$2:$FX$1000,"Y",$J$2:$J$1000,"&gt;"&amp;J989)+COUNTIFS($FX$2:$FX$1000,"Y",$J$2:$J$1000,J989,$GD$2:$GD$1000,"&lt;"&amp;GD989)+1)</f>
        <v/>
      </c>
      <c r="AB989" s="0" t="str">
        <f aca="false">IF($A989="","",IF(AW989="Y",BY989&amp;"",BK989&amp;""))</f>
        <v/>
      </c>
      <c r="AC989" s="0" t="str">
        <f aca="false">IF($A989="","",IF(AW989="Y",BS989&amp;"",BE989&amp;""))</f>
        <v/>
      </c>
      <c r="AD989" s="0" t="str">
        <f aca="false">IF($A989="","",IF(AW989="Y",BT989&amp;"",BF989&amp;""))</f>
        <v/>
      </c>
      <c r="AE989" s="0" t="str">
        <f aca="false">IF($A989="","",IF(AW989="Y",BU989&amp;"",BG989&amp;""))</f>
        <v/>
      </c>
      <c r="AF989" s="0" t="str">
        <f aca="false">IF($A989="","",IF(AW989="Y",BV989&amp;"",BH989&amp;""))</f>
        <v/>
      </c>
      <c r="AG989" s="0" t="str">
        <f aca="false">IF($A989="","",IF(AW989="Y",BW989&amp;"",BI989&amp;""))</f>
        <v/>
      </c>
      <c r="AH989" s="0" t="str">
        <f aca="false">IF($A989="","",IF(AW989="Y",BX989&amp;"",BJ989&amp;""))</f>
        <v/>
      </c>
      <c r="AQ989" s="5"/>
      <c r="AT989" s="0" t="str">
        <f aca="false">IF($A989="","",IF(AND(CN989="pass",AQ989&lt;&gt;"Y",C989&lt;&gt;"",OR(AX989&lt;&gt;"Y",AV989="Y")),"Y","N"))</f>
        <v/>
      </c>
      <c r="AU989" s="0" t="str">
        <f aca="false">IF($A989="","",_xlfn.TEXTJOIN("; ",TRUE(),IF(CN989&lt;&gt;"pass","gated out",""),IF(AQ989="Y","on hold: "&amp;AR989,""),IF(C989="","no contact named on an opened page",""),IF(AND(AX989="Y",AV989&lt;&gt;"Y"),"Tuesday estimate band "&amp;L989&amp;": founder's call","")))</f>
        <v/>
      </c>
      <c r="BC989" s="0" t="str">
        <f aca="false">IF($A989="","",IFERROR(INDEX(Enrichment!$A$2:$GZ$2000,MATCH($A989,INDEX(Enrichment!$A$2:$GZ$2000,0,MATCH("row_id",Enrichment!$A$1:$GZ$1,0)),0),MATCH("work_email",Enrichment!$A$1:$GZ$1,0))&amp;"",""))</f>
        <v/>
      </c>
      <c r="BD989" s="0" t="str">
        <f aca="false">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Q989" s="0" t="str">
        <f aca="false">IF($A989="","",IFERROR(INDEX(Enrichment!$A$2:$GZ$2000,MATCH($A989,INDEX(Enrichment!$A$2:$GZ$2000,0,MATCH("row_id",Enrichment!$A$1:$GZ$1,0)),0),MATCH("backup_work_email",Enrichment!$A$1:$GZ$1,0))&amp;"",""))</f>
        <v/>
      </c>
      <c r="BR989" s="0" t="str">
        <f aca="false">IF($A989="","",IF(BQ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EQ989" s="0" t="str">
        <f aca="false">IF($A989="","",IF(AH989="exact",10,IF(AH989="adjacent",5,0)))</f>
        <v/>
      </c>
      <c r="ER989" s="0" t="str">
        <f aca="false">IF($A989="","",IF(R989="Y",15,0))</f>
        <v/>
      </c>
      <c r="FS989" s="0" t="str">
        <f aca="false">IF($A989="","",IF(ISNUMBER(MATCH(U989,{"queued","contacted","replied","call_booked","call_done","yes_in_principle","materials_sent"},0)),"Y","N"))</f>
        <v/>
      </c>
      <c r="FT989" s="0" t="str">
        <f aca="false">IF($A989="","",IF(OR(T989="Y",U989="do_not_contact",AS989&amp;""&lt;&gt;""),"Y","N"))</f>
        <v/>
      </c>
      <c r="FU989" s="0" t="str">
        <f aca="false">IF($A989="","",IF(AP989&amp;""&lt;&gt;"",AP989&amp;"",$A989))</f>
        <v/>
      </c>
      <c r="FV989" s="0" t="str">
        <f aca="false">IF($A989="","",IF(COUNTIFS($FU$2:$FU$1000,FU989,$FS$2:$FS$1000,"Y")+COUNTIFS($FU$2:$FU$1000,FU989,$FT$2:$FT$1000,"Y")&gt;0,"Y","N"))</f>
        <v/>
      </c>
      <c r="FW989" s="0" t="str">
        <f aca="false">IF($A989="","",IF(AND(U989="new",T989="N",FT989="N",AT989="Y",FV989="N"),"Y","N"))</f>
        <v/>
      </c>
      <c r="FX989" s="0" t="str">
        <f aca="false">IF($A989="","",IF(FW989&lt;&gt;"Y","N",IF(COUNTIFS($FU$2:$FU$1000,FU989,$FW$2:$FW$1000,"Y",$J$2:$J$1000,"&gt;"&amp;J989)+COUNTIFS($FU$2:$FU$1000,FU989,$FW$2:$FW$1000,"Y",$J$2:$J$1000,J989,$GD$2:$GD$1000,"&lt;"&amp;GD989)=0,"Y","N")))</f>
        <v/>
      </c>
      <c r="FY989" s="0" t="str">
        <f aca="false">IF($A989="","",IF(AND(FW989="Y",FX989="Y",Y989&amp;""&lt;&gt;""),IF(Y989&lt;=10,"Y","N"),"N"))</f>
        <v/>
      </c>
      <c r="FZ989" s="0" t="str">
        <f aca="false">IF(FY989="Y",Y989,"")</f>
        <v/>
      </c>
      <c r="GA989" s="0" t="str">
        <f aca="false">IF($A989="","",IF(AND(I989="walk-in",CN989="pass",U989="new",FT989="N",FV989="N",AQ989&lt;&gt;"Y"),"Y","N"))</f>
        <v/>
      </c>
      <c r="GB989" s="0" t="str">
        <f aca="false">IF(GA989&lt;&gt;"Y","",IF(COUNTIFS($GA$2:$GA$1000,"Y",$J$2:$J$1000,"&gt;"&amp;J989)+COUNTIFS($GA$2:$GA$1000,"Y",$J$2:$J$1000,J989,$GD$2:$GD$1000,"&lt;"&amp;GD989)+1&lt;=25,COUNTIFS($GA$2:$GA$1000,"Y",$J$2:$J$1000,"&gt;"&amp;J989)+COUNTIFS($GA$2:$GA$1000,"Y",$J$2:$J$1000,J989,$GD$2:$GD$1000,"&lt;"&amp;GD989)+1,""))</f>
        <v/>
      </c>
      <c r="GC989" s="0" t="str">
        <f aca="false">IF(AND(_xlfn.ISFORMULA(C989),_xlfn.ISFORMULA(J989)),"Y","N")</f>
        <v>Y</v>
      </c>
      <c r="GD989" s="0" t="n">
        <f aca="false">ROW()-1</f>
        <v>988</v>
      </c>
    </row>
    <row r="990" customFormat="false" ht="15" hidden="false" customHeight="false" outlineLevel="0" collapsed="false">
      <c r="C990" s="0" t="str">
        <f aca="false">IF($A990="","",IF(AW990="Y",BM990&amp;"",AY990&amp;""))</f>
        <v/>
      </c>
      <c r="D990" s="0" t="str">
        <f aca="false">IF($A990="","",IF(AW990="Y",BN990&amp;"",AZ990&amp;""))</f>
        <v/>
      </c>
      <c r="E990" s="0" t="str">
        <f aca="false">IF($A990="","",IF(AW990="Y",BO990&amp;"",BA990&amp;""))</f>
        <v/>
      </c>
      <c r="F990" s="0" t="str">
        <f aca="false">IF($A990="","",IF(AW990="Y",BP990&amp;"",BB990&amp;""))</f>
        <v/>
      </c>
      <c r="G990" s="0" t="str">
        <f aca="false">IF($A990="","",IF(AW990="Y",BQ990&amp;"",BC990&amp;""))</f>
        <v/>
      </c>
      <c r="H990" s="0" t="str">
        <f aca="false">IF($A990="","",IF(AW990="Y",BR990&amp;"",BD990&amp;""))</f>
        <v/>
      </c>
      <c r="I990" s="0" t="str">
        <f aca="false">IF($A990="","",IF(R990="Y","warm-intro",IF(H990="verified","email",IF(C990&lt;&gt;"","linkedin",CB990&amp;""))))</f>
        <v/>
      </c>
      <c r="J990" s="0" t="str">
        <f aca="false">IF($A990="","",IF(CN990="pass",ROUND(N(EM990)+N(EN990)+N(EO990)+N(EP990)+N(EQ990)+N(ER990),1),0))</f>
        <v/>
      </c>
      <c r="K990" s="0" t="str">
        <f aca="false">IF($A990="","",IF(CN990&lt;&gt;"pass",CA990&amp;"",CA990&amp;"; "&amp;IF(AW990="Y",BZ990&amp;"",BL990&amp;"")&amp;IF(R990="Y","; known to the founder (+15)","")&amp;"."))</f>
        <v/>
      </c>
      <c r="R990" s="5"/>
      <c r="U990" s="5"/>
      <c r="Y990" s="0" t="str">
        <f aca="false">IF(FX990&lt;&gt;"Y","",COUNTIFS($FX$2:$FX$1000,"Y",$J$2:$J$1000,"&gt;"&amp;J990)+COUNTIFS($FX$2:$FX$1000,"Y",$J$2:$J$1000,J990,$GD$2:$GD$1000,"&lt;"&amp;GD990)+1)</f>
        <v/>
      </c>
      <c r="AB990" s="0" t="str">
        <f aca="false">IF($A990="","",IF(AW990="Y",BY990&amp;"",BK990&amp;""))</f>
        <v/>
      </c>
      <c r="AC990" s="0" t="str">
        <f aca="false">IF($A990="","",IF(AW990="Y",BS990&amp;"",BE990&amp;""))</f>
        <v/>
      </c>
      <c r="AD990" s="0" t="str">
        <f aca="false">IF($A990="","",IF(AW990="Y",BT990&amp;"",BF990&amp;""))</f>
        <v/>
      </c>
      <c r="AE990" s="0" t="str">
        <f aca="false">IF($A990="","",IF(AW990="Y",BU990&amp;"",BG990&amp;""))</f>
        <v/>
      </c>
      <c r="AF990" s="0" t="str">
        <f aca="false">IF($A990="","",IF(AW990="Y",BV990&amp;"",BH990&amp;""))</f>
        <v/>
      </c>
      <c r="AG990" s="0" t="str">
        <f aca="false">IF($A990="","",IF(AW990="Y",BW990&amp;"",BI990&amp;""))</f>
        <v/>
      </c>
      <c r="AH990" s="0" t="str">
        <f aca="false">IF($A990="","",IF(AW990="Y",BX990&amp;"",BJ990&amp;""))</f>
        <v/>
      </c>
      <c r="AQ990" s="5"/>
      <c r="AT990" s="0" t="str">
        <f aca="false">IF($A990="","",IF(AND(CN990="pass",AQ990&lt;&gt;"Y",C990&lt;&gt;"",OR(AX990&lt;&gt;"Y",AV990="Y")),"Y","N"))</f>
        <v/>
      </c>
      <c r="AU990" s="0" t="str">
        <f aca="false">IF($A990="","",_xlfn.TEXTJOIN("; ",TRUE(),IF(CN990&lt;&gt;"pass","gated out",""),IF(AQ990="Y","on hold: "&amp;AR990,""),IF(C990="","no contact named on an opened page",""),IF(AND(AX990="Y",AV990&lt;&gt;"Y"),"Tuesday estimate band "&amp;L990&amp;": founder's call","")))</f>
        <v/>
      </c>
      <c r="BC990" s="0" t="str">
        <f aca="false">IF($A990="","",IFERROR(INDEX(Enrichment!$A$2:$GZ$2000,MATCH($A990,INDEX(Enrichment!$A$2:$GZ$2000,0,MATCH("row_id",Enrichment!$A$1:$GZ$1,0)),0),MATCH("work_email",Enrichment!$A$1:$GZ$1,0))&amp;"",""))</f>
        <v/>
      </c>
      <c r="BD990" s="0" t="str">
        <f aca="false">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Q990" s="0" t="str">
        <f aca="false">IF($A990="","",IFERROR(INDEX(Enrichment!$A$2:$GZ$2000,MATCH($A990,INDEX(Enrichment!$A$2:$GZ$2000,0,MATCH("row_id",Enrichment!$A$1:$GZ$1,0)),0),MATCH("backup_work_email",Enrichment!$A$1:$GZ$1,0))&amp;"",""))</f>
        <v/>
      </c>
      <c r="BR990" s="0" t="str">
        <f aca="false">IF($A990="","",IF(BQ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EQ990" s="0" t="str">
        <f aca="false">IF($A990="","",IF(AH990="exact",10,IF(AH990="adjacent",5,0)))</f>
        <v/>
      </c>
      <c r="ER990" s="0" t="str">
        <f aca="false">IF($A990="","",IF(R990="Y",15,0))</f>
        <v/>
      </c>
      <c r="FS990" s="0" t="str">
        <f aca="false">IF($A990="","",IF(ISNUMBER(MATCH(U990,{"queued","contacted","replied","call_booked","call_done","yes_in_principle","materials_sent"},0)),"Y","N"))</f>
        <v/>
      </c>
      <c r="FT990" s="0" t="str">
        <f aca="false">IF($A990="","",IF(OR(T990="Y",U990="do_not_contact",AS990&amp;""&lt;&gt;""),"Y","N"))</f>
        <v/>
      </c>
      <c r="FU990" s="0" t="str">
        <f aca="false">IF($A990="","",IF(AP990&amp;""&lt;&gt;"",AP990&amp;"",$A990))</f>
        <v/>
      </c>
      <c r="FV990" s="0" t="str">
        <f aca="false">IF($A990="","",IF(COUNTIFS($FU$2:$FU$1000,FU990,$FS$2:$FS$1000,"Y")+COUNTIFS($FU$2:$FU$1000,FU990,$FT$2:$FT$1000,"Y")&gt;0,"Y","N"))</f>
        <v/>
      </c>
      <c r="FW990" s="0" t="str">
        <f aca="false">IF($A990="","",IF(AND(U990="new",T990="N",FT990="N",AT990="Y",FV990="N"),"Y","N"))</f>
        <v/>
      </c>
      <c r="FX990" s="0" t="str">
        <f aca="false">IF($A990="","",IF(FW990&lt;&gt;"Y","N",IF(COUNTIFS($FU$2:$FU$1000,FU990,$FW$2:$FW$1000,"Y",$J$2:$J$1000,"&gt;"&amp;J990)+COUNTIFS($FU$2:$FU$1000,FU990,$FW$2:$FW$1000,"Y",$J$2:$J$1000,J990,$GD$2:$GD$1000,"&lt;"&amp;GD990)=0,"Y","N")))</f>
        <v/>
      </c>
      <c r="FY990" s="0" t="str">
        <f aca="false">IF($A990="","",IF(AND(FW990="Y",FX990="Y",Y990&amp;""&lt;&gt;""),IF(Y990&lt;=10,"Y","N"),"N"))</f>
        <v/>
      </c>
      <c r="FZ990" s="0" t="str">
        <f aca="false">IF(FY990="Y",Y990,"")</f>
        <v/>
      </c>
      <c r="GA990" s="0" t="str">
        <f aca="false">IF($A990="","",IF(AND(I990="walk-in",CN990="pass",U990="new",FT990="N",FV990="N",AQ990&lt;&gt;"Y"),"Y","N"))</f>
        <v/>
      </c>
      <c r="GB990" s="0" t="str">
        <f aca="false">IF(GA990&lt;&gt;"Y","",IF(COUNTIFS($GA$2:$GA$1000,"Y",$J$2:$J$1000,"&gt;"&amp;J990)+COUNTIFS($GA$2:$GA$1000,"Y",$J$2:$J$1000,J990,$GD$2:$GD$1000,"&lt;"&amp;GD990)+1&lt;=25,COUNTIFS($GA$2:$GA$1000,"Y",$J$2:$J$1000,"&gt;"&amp;J990)+COUNTIFS($GA$2:$GA$1000,"Y",$J$2:$J$1000,J990,$GD$2:$GD$1000,"&lt;"&amp;GD990)+1,""))</f>
        <v/>
      </c>
      <c r="GC990" s="0" t="str">
        <f aca="false">IF(AND(_xlfn.ISFORMULA(C990),_xlfn.ISFORMULA(J990)),"Y","N")</f>
        <v>Y</v>
      </c>
      <c r="GD990" s="0" t="n">
        <f aca="false">ROW()-1</f>
        <v>989</v>
      </c>
    </row>
    <row r="991" customFormat="false" ht="15" hidden="false" customHeight="false" outlineLevel="0" collapsed="false">
      <c r="C991" s="0" t="str">
        <f aca="false">IF($A991="","",IF(AW991="Y",BM991&amp;"",AY991&amp;""))</f>
        <v/>
      </c>
      <c r="D991" s="0" t="str">
        <f aca="false">IF($A991="","",IF(AW991="Y",BN991&amp;"",AZ991&amp;""))</f>
        <v/>
      </c>
      <c r="E991" s="0" t="str">
        <f aca="false">IF($A991="","",IF(AW991="Y",BO991&amp;"",BA991&amp;""))</f>
        <v/>
      </c>
      <c r="F991" s="0" t="str">
        <f aca="false">IF($A991="","",IF(AW991="Y",BP991&amp;"",BB991&amp;""))</f>
        <v/>
      </c>
      <c r="G991" s="0" t="str">
        <f aca="false">IF($A991="","",IF(AW991="Y",BQ991&amp;"",BC991&amp;""))</f>
        <v/>
      </c>
      <c r="H991" s="0" t="str">
        <f aca="false">IF($A991="","",IF(AW991="Y",BR991&amp;"",BD991&amp;""))</f>
        <v/>
      </c>
      <c r="I991" s="0" t="str">
        <f aca="false">IF($A991="","",IF(R991="Y","warm-intro",IF(H991="verified","email",IF(C991&lt;&gt;"","linkedin",CB991&amp;""))))</f>
        <v/>
      </c>
      <c r="J991" s="0" t="str">
        <f aca="false">IF($A991="","",IF(CN991="pass",ROUND(N(EM991)+N(EN991)+N(EO991)+N(EP991)+N(EQ991)+N(ER991),1),0))</f>
        <v/>
      </c>
      <c r="K991" s="0" t="str">
        <f aca="false">IF($A991="","",IF(CN991&lt;&gt;"pass",CA991&amp;"",CA991&amp;"; "&amp;IF(AW991="Y",BZ991&amp;"",BL991&amp;"")&amp;IF(R991="Y","; known to the founder (+15)","")&amp;"."))</f>
        <v/>
      </c>
      <c r="R991" s="5"/>
      <c r="U991" s="5"/>
      <c r="Y991" s="0" t="str">
        <f aca="false">IF(FX991&lt;&gt;"Y","",COUNTIFS($FX$2:$FX$1000,"Y",$J$2:$J$1000,"&gt;"&amp;J991)+COUNTIFS($FX$2:$FX$1000,"Y",$J$2:$J$1000,J991,$GD$2:$GD$1000,"&lt;"&amp;GD991)+1)</f>
        <v/>
      </c>
      <c r="AB991" s="0" t="str">
        <f aca="false">IF($A991="","",IF(AW991="Y",BY991&amp;"",BK991&amp;""))</f>
        <v/>
      </c>
      <c r="AC991" s="0" t="str">
        <f aca="false">IF($A991="","",IF(AW991="Y",BS991&amp;"",BE991&amp;""))</f>
        <v/>
      </c>
      <c r="AD991" s="0" t="str">
        <f aca="false">IF($A991="","",IF(AW991="Y",BT991&amp;"",BF991&amp;""))</f>
        <v/>
      </c>
      <c r="AE991" s="0" t="str">
        <f aca="false">IF($A991="","",IF(AW991="Y",BU991&amp;"",BG991&amp;""))</f>
        <v/>
      </c>
      <c r="AF991" s="0" t="str">
        <f aca="false">IF($A991="","",IF(AW991="Y",BV991&amp;"",BH991&amp;""))</f>
        <v/>
      </c>
      <c r="AG991" s="0" t="str">
        <f aca="false">IF($A991="","",IF(AW991="Y",BW991&amp;"",BI991&amp;""))</f>
        <v/>
      </c>
      <c r="AH991" s="0" t="str">
        <f aca="false">IF($A991="","",IF(AW991="Y",BX991&amp;"",BJ991&amp;""))</f>
        <v/>
      </c>
      <c r="AQ991" s="5"/>
      <c r="AT991" s="0" t="str">
        <f aca="false">IF($A991="","",IF(AND(CN991="pass",AQ991&lt;&gt;"Y",C991&lt;&gt;"",OR(AX991&lt;&gt;"Y",AV991="Y")),"Y","N"))</f>
        <v/>
      </c>
      <c r="AU991" s="0" t="str">
        <f aca="false">IF($A991="","",_xlfn.TEXTJOIN("; ",TRUE(),IF(CN991&lt;&gt;"pass","gated out",""),IF(AQ991="Y","on hold: "&amp;AR991,""),IF(C991="","no contact named on an opened page",""),IF(AND(AX991="Y",AV991&lt;&gt;"Y"),"Tuesday estimate band "&amp;L991&amp;": founder's call","")))</f>
        <v/>
      </c>
      <c r="BC991" s="0" t="str">
        <f aca="false">IF($A991="","",IFERROR(INDEX(Enrichment!$A$2:$GZ$2000,MATCH($A991,INDEX(Enrichment!$A$2:$GZ$2000,0,MATCH("row_id",Enrichment!$A$1:$GZ$1,0)),0),MATCH("work_email",Enrichment!$A$1:$GZ$1,0))&amp;"",""))</f>
        <v/>
      </c>
      <c r="BD991" s="0" t="str">
        <f aca="false">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Q991" s="0" t="str">
        <f aca="false">IF($A991="","",IFERROR(INDEX(Enrichment!$A$2:$GZ$2000,MATCH($A991,INDEX(Enrichment!$A$2:$GZ$2000,0,MATCH("row_id",Enrichment!$A$1:$GZ$1,0)),0),MATCH("backup_work_email",Enrichment!$A$1:$GZ$1,0))&amp;"",""))</f>
        <v/>
      </c>
      <c r="BR991" s="0" t="str">
        <f aca="false">IF($A991="","",IF(BQ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EQ991" s="0" t="str">
        <f aca="false">IF($A991="","",IF(AH991="exact",10,IF(AH991="adjacent",5,0)))</f>
        <v/>
      </c>
      <c r="ER991" s="0" t="str">
        <f aca="false">IF($A991="","",IF(R991="Y",15,0))</f>
        <v/>
      </c>
      <c r="FS991" s="0" t="str">
        <f aca="false">IF($A991="","",IF(ISNUMBER(MATCH(U991,{"queued","contacted","replied","call_booked","call_done","yes_in_principle","materials_sent"},0)),"Y","N"))</f>
        <v/>
      </c>
      <c r="FT991" s="0" t="str">
        <f aca="false">IF($A991="","",IF(OR(T991="Y",U991="do_not_contact",AS991&amp;""&lt;&gt;""),"Y","N"))</f>
        <v/>
      </c>
      <c r="FU991" s="0" t="str">
        <f aca="false">IF($A991="","",IF(AP991&amp;""&lt;&gt;"",AP991&amp;"",$A991))</f>
        <v/>
      </c>
      <c r="FV991" s="0" t="str">
        <f aca="false">IF($A991="","",IF(COUNTIFS($FU$2:$FU$1000,FU991,$FS$2:$FS$1000,"Y")+COUNTIFS($FU$2:$FU$1000,FU991,$FT$2:$FT$1000,"Y")&gt;0,"Y","N"))</f>
        <v/>
      </c>
      <c r="FW991" s="0" t="str">
        <f aca="false">IF($A991="","",IF(AND(U991="new",T991="N",FT991="N",AT991="Y",FV991="N"),"Y","N"))</f>
        <v/>
      </c>
      <c r="FX991" s="0" t="str">
        <f aca="false">IF($A991="","",IF(FW991&lt;&gt;"Y","N",IF(COUNTIFS($FU$2:$FU$1000,FU991,$FW$2:$FW$1000,"Y",$J$2:$J$1000,"&gt;"&amp;J991)+COUNTIFS($FU$2:$FU$1000,FU991,$FW$2:$FW$1000,"Y",$J$2:$J$1000,J991,$GD$2:$GD$1000,"&lt;"&amp;GD991)=0,"Y","N")))</f>
        <v/>
      </c>
      <c r="FY991" s="0" t="str">
        <f aca="false">IF($A991="","",IF(AND(FW991="Y",FX991="Y",Y991&amp;""&lt;&gt;""),IF(Y991&lt;=10,"Y","N"),"N"))</f>
        <v/>
      </c>
      <c r="FZ991" s="0" t="str">
        <f aca="false">IF(FY991="Y",Y991,"")</f>
        <v/>
      </c>
      <c r="GA991" s="0" t="str">
        <f aca="false">IF($A991="","",IF(AND(I991="walk-in",CN991="pass",U991="new",FT991="N",FV991="N",AQ991&lt;&gt;"Y"),"Y","N"))</f>
        <v/>
      </c>
      <c r="GB991" s="0" t="str">
        <f aca="false">IF(GA991&lt;&gt;"Y","",IF(COUNTIFS($GA$2:$GA$1000,"Y",$J$2:$J$1000,"&gt;"&amp;J991)+COUNTIFS($GA$2:$GA$1000,"Y",$J$2:$J$1000,J991,$GD$2:$GD$1000,"&lt;"&amp;GD991)+1&lt;=25,COUNTIFS($GA$2:$GA$1000,"Y",$J$2:$J$1000,"&gt;"&amp;J991)+COUNTIFS($GA$2:$GA$1000,"Y",$J$2:$J$1000,J991,$GD$2:$GD$1000,"&lt;"&amp;GD991)+1,""))</f>
        <v/>
      </c>
      <c r="GC991" s="0" t="str">
        <f aca="false">IF(AND(_xlfn.ISFORMULA(C991),_xlfn.ISFORMULA(J991)),"Y","N")</f>
        <v>Y</v>
      </c>
      <c r="GD991" s="0" t="n">
        <f aca="false">ROW()-1</f>
        <v>990</v>
      </c>
    </row>
    <row r="992" customFormat="false" ht="15" hidden="false" customHeight="false" outlineLevel="0" collapsed="false">
      <c r="C992" s="0" t="str">
        <f aca="false">IF($A992="","",IF(AW992="Y",BM992&amp;"",AY992&amp;""))</f>
        <v/>
      </c>
      <c r="D992" s="0" t="str">
        <f aca="false">IF($A992="","",IF(AW992="Y",BN992&amp;"",AZ992&amp;""))</f>
        <v/>
      </c>
      <c r="E992" s="0" t="str">
        <f aca="false">IF($A992="","",IF(AW992="Y",BO992&amp;"",BA992&amp;""))</f>
        <v/>
      </c>
      <c r="F992" s="0" t="str">
        <f aca="false">IF($A992="","",IF(AW992="Y",BP992&amp;"",BB992&amp;""))</f>
        <v/>
      </c>
      <c r="G992" s="0" t="str">
        <f aca="false">IF($A992="","",IF(AW992="Y",BQ992&amp;"",BC992&amp;""))</f>
        <v/>
      </c>
      <c r="H992" s="0" t="str">
        <f aca="false">IF($A992="","",IF(AW992="Y",BR992&amp;"",BD992&amp;""))</f>
        <v/>
      </c>
      <c r="I992" s="0" t="str">
        <f aca="false">IF($A992="","",IF(R992="Y","warm-intro",IF(H992="verified","email",IF(C992&lt;&gt;"","linkedin",CB992&amp;""))))</f>
        <v/>
      </c>
      <c r="J992" s="0" t="str">
        <f aca="false">IF($A992="","",IF(CN992="pass",ROUND(N(EM992)+N(EN992)+N(EO992)+N(EP992)+N(EQ992)+N(ER992),1),0))</f>
        <v/>
      </c>
      <c r="K992" s="0" t="str">
        <f aca="false">IF($A992="","",IF(CN992&lt;&gt;"pass",CA992&amp;"",CA992&amp;"; "&amp;IF(AW992="Y",BZ992&amp;"",BL992&amp;"")&amp;IF(R992="Y","; known to the founder (+15)","")&amp;"."))</f>
        <v/>
      </c>
      <c r="R992" s="5"/>
      <c r="U992" s="5"/>
      <c r="Y992" s="0" t="str">
        <f aca="false">IF(FX992&lt;&gt;"Y","",COUNTIFS($FX$2:$FX$1000,"Y",$J$2:$J$1000,"&gt;"&amp;J992)+COUNTIFS($FX$2:$FX$1000,"Y",$J$2:$J$1000,J992,$GD$2:$GD$1000,"&lt;"&amp;GD992)+1)</f>
        <v/>
      </c>
      <c r="AB992" s="0" t="str">
        <f aca="false">IF($A992="","",IF(AW992="Y",BY992&amp;"",BK992&amp;""))</f>
        <v/>
      </c>
      <c r="AC992" s="0" t="str">
        <f aca="false">IF($A992="","",IF(AW992="Y",BS992&amp;"",BE992&amp;""))</f>
        <v/>
      </c>
      <c r="AD992" s="0" t="str">
        <f aca="false">IF($A992="","",IF(AW992="Y",BT992&amp;"",BF992&amp;""))</f>
        <v/>
      </c>
      <c r="AE992" s="0" t="str">
        <f aca="false">IF($A992="","",IF(AW992="Y",BU992&amp;"",BG992&amp;""))</f>
        <v/>
      </c>
      <c r="AF992" s="0" t="str">
        <f aca="false">IF($A992="","",IF(AW992="Y",BV992&amp;"",BH992&amp;""))</f>
        <v/>
      </c>
      <c r="AG992" s="0" t="str">
        <f aca="false">IF($A992="","",IF(AW992="Y",BW992&amp;"",BI992&amp;""))</f>
        <v/>
      </c>
      <c r="AH992" s="0" t="str">
        <f aca="false">IF($A992="","",IF(AW992="Y",BX992&amp;"",BJ992&amp;""))</f>
        <v/>
      </c>
      <c r="AQ992" s="5"/>
      <c r="AT992" s="0" t="str">
        <f aca="false">IF($A992="","",IF(AND(CN992="pass",AQ992&lt;&gt;"Y",C992&lt;&gt;"",OR(AX992&lt;&gt;"Y",AV992="Y")),"Y","N"))</f>
        <v/>
      </c>
      <c r="AU992" s="0" t="str">
        <f aca="false">IF($A992="","",_xlfn.TEXTJOIN("; ",TRUE(),IF(CN992&lt;&gt;"pass","gated out",""),IF(AQ992="Y","on hold: "&amp;AR992,""),IF(C992="","no contact named on an opened page",""),IF(AND(AX992="Y",AV992&lt;&gt;"Y"),"Tuesday estimate band "&amp;L992&amp;": founder's call","")))</f>
        <v/>
      </c>
      <c r="BC992" s="0" t="str">
        <f aca="false">IF($A992="","",IFERROR(INDEX(Enrichment!$A$2:$GZ$2000,MATCH($A992,INDEX(Enrichment!$A$2:$GZ$2000,0,MATCH("row_id",Enrichment!$A$1:$GZ$1,0)),0),MATCH("work_email",Enrichment!$A$1:$GZ$1,0))&amp;"",""))</f>
        <v/>
      </c>
      <c r="BD992" s="0" t="str">
        <f aca="false">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Q992" s="0" t="str">
        <f aca="false">IF($A992="","",IFERROR(INDEX(Enrichment!$A$2:$GZ$2000,MATCH($A992,INDEX(Enrichment!$A$2:$GZ$2000,0,MATCH("row_id",Enrichment!$A$1:$GZ$1,0)),0),MATCH("backup_work_email",Enrichment!$A$1:$GZ$1,0))&amp;"",""))</f>
        <v/>
      </c>
      <c r="BR992" s="0" t="str">
        <f aca="false">IF($A992="","",IF(BQ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EQ992" s="0" t="str">
        <f aca="false">IF($A992="","",IF(AH992="exact",10,IF(AH992="adjacent",5,0)))</f>
        <v/>
      </c>
      <c r="ER992" s="0" t="str">
        <f aca="false">IF($A992="","",IF(R992="Y",15,0))</f>
        <v/>
      </c>
      <c r="FS992" s="0" t="str">
        <f aca="false">IF($A992="","",IF(ISNUMBER(MATCH(U992,{"queued","contacted","replied","call_booked","call_done","yes_in_principle","materials_sent"},0)),"Y","N"))</f>
        <v/>
      </c>
      <c r="FT992" s="0" t="str">
        <f aca="false">IF($A992="","",IF(OR(T992="Y",U992="do_not_contact",AS992&amp;""&lt;&gt;""),"Y","N"))</f>
        <v/>
      </c>
      <c r="FU992" s="0" t="str">
        <f aca="false">IF($A992="","",IF(AP992&amp;""&lt;&gt;"",AP992&amp;"",$A992))</f>
        <v/>
      </c>
      <c r="FV992" s="0" t="str">
        <f aca="false">IF($A992="","",IF(COUNTIFS($FU$2:$FU$1000,FU992,$FS$2:$FS$1000,"Y")+COUNTIFS($FU$2:$FU$1000,FU992,$FT$2:$FT$1000,"Y")&gt;0,"Y","N"))</f>
        <v/>
      </c>
      <c r="FW992" s="0" t="str">
        <f aca="false">IF($A992="","",IF(AND(U992="new",T992="N",FT992="N",AT992="Y",FV992="N"),"Y","N"))</f>
        <v/>
      </c>
      <c r="FX992" s="0" t="str">
        <f aca="false">IF($A992="","",IF(FW992&lt;&gt;"Y","N",IF(COUNTIFS($FU$2:$FU$1000,FU992,$FW$2:$FW$1000,"Y",$J$2:$J$1000,"&gt;"&amp;J992)+COUNTIFS($FU$2:$FU$1000,FU992,$FW$2:$FW$1000,"Y",$J$2:$J$1000,J992,$GD$2:$GD$1000,"&lt;"&amp;GD992)=0,"Y","N")))</f>
        <v/>
      </c>
      <c r="FY992" s="0" t="str">
        <f aca="false">IF($A992="","",IF(AND(FW992="Y",FX992="Y",Y992&amp;""&lt;&gt;""),IF(Y992&lt;=10,"Y","N"),"N"))</f>
        <v/>
      </c>
      <c r="FZ992" s="0" t="str">
        <f aca="false">IF(FY992="Y",Y992,"")</f>
        <v/>
      </c>
      <c r="GA992" s="0" t="str">
        <f aca="false">IF($A992="","",IF(AND(I992="walk-in",CN992="pass",U992="new",FT992="N",FV992="N",AQ992&lt;&gt;"Y"),"Y","N"))</f>
        <v/>
      </c>
      <c r="GB992" s="0" t="str">
        <f aca="false">IF(GA992&lt;&gt;"Y","",IF(COUNTIFS($GA$2:$GA$1000,"Y",$J$2:$J$1000,"&gt;"&amp;J992)+COUNTIFS($GA$2:$GA$1000,"Y",$J$2:$J$1000,J992,$GD$2:$GD$1000,"&lt;"&amp;GD992)+1&lt;=25,COUNTIFS($GA$2:$GA$1000,"Y",$J$2:$J$1000,"&gt;"&amp;J992)+COUNTIFS($GA$2:$GA$1000,"Y",$J$2:$J$1000,J992,$GD$2:$GD$1000,"&lt;"&amp;GD992)+1,""))</f>
        <v/>
      </c>
      <c r="GC992" s="0" t="str">
        <f aca="false">IF(AND(_xlfn.ISFORMULA(C992),_xlfn.ISFORMULA(J992)),"Y","N")</f>
        <v>Y</v>
      </c>
      <c r="GD992" s="0" t="n">
        <f aca="false">ROW()-1</f>
        <v>991</v>
      </c>
    </row>
    <row r="993" customFormat="false" ht="15" hidden="false" customHeight="false" outlineLevel="0" collapsed="false">
      <c r="C993" s="0" t="str">
        <f aca="false">IF($A993="","",IF(AW993="Y",BM993&amp;"",AY993&amp;""))</f>
        <v/>
      </c>
      <c r="D993" s="0" t="str">
        <f aca="false">IF($A993="","",IF(AW993="Y",BN993&amp;"",AZ993&amp;""))</f>
        <v/>
      </c>
      <c r="E993" s="0" t="str">
        <f aca="false">IF($A993="","",IF(AW993="Y",BO993&amp;"",BA993&amp;""))</f>
        <v/>
      </c>
      <c r="F993" s="0" t="str">
        <f aca="false">IF($A993="","",IF(AW993="Y",BP993&amp;"",BB993&amp;""))</f>
        <v/>
      </c>
      <c r="G993" s="0" t="str">
        <f aca="false">IF($A993="","",IF(AW993="Y",BQ993&amp;"",BC993&amp;""))</f>
        <v/>
      </c>
      <c r="H993" s="0" t="str">
        <f aca="false">IF($A993="","",IF(AW993="Y",BR993&amp;"",BD993&amp;""))</f>
        <v/>
      </c>
      <c r="I993" s="0" t="str">
        <f aca="false">IF($A993="","",IF(R993="Y","warm-intro",IF(H993="verified","email",IF(C993&lt;&gt;"","linkedin",CB993&amp;""))))</f>
        <v/>
      </c>
      <c r="J993" s="0" t="str">
        <f aca="false">IF($A993="","",IF(CN993="pass",ROUND(N(EM993)+N(EN993)+N(EO993)+N(EP993)+N(EQ993)+N(ER993),1),0))</f>
        <v/>
      </c>
      <c r="K993" s="0" t="str">
        <f aca="false">IF($A993="","",IF(CN993&lt;&gt;"pass",CA993&amp;"",CA993&amp;"; "&amp;IF(AW993="Y",BZ993&amp;"",BL993&amp;"")&amp;IF(R993="Y","; known to the founder (+15)","")&amp;"."))</f>
        <v/>
      </c>
      <c r="R993" s="5"/>
      <c r="U993" s="5"/>
      <c r="Y993" s="0" t="str">
        <f aca="false">IF(FX993&lt;&gt;"Y","",COUNTIFS($FX$2:$FX$1000,"Y",$J$2:$J$1000,"&gt;"&amp;J993)+COUNTIFS($FX$2:$FX$1000,"Y",$J$2:$J$1000,J993,$GD$2:$GD$1000,"&lt;"&amp;GD993)+1)</f>
        <v/>
      </c>
      <c r="AB993" s="0" t="str">
        <f aca="false">IF($A993="","",IF(AW993="Y",BY993&amp;"",BK993&amp;""))</f>
        <v/>
      </c>
      <c r="AC993" s="0" t="str">
        <f aca="false">IF($A993="","",IF(AW993="Y",BS993&amp;"",BE993&amp;""))</f>
        <v/>
      </c>
      <c r="AD993" s="0" t="str">
        <f aca="false">IF($A993="","",IF(AW993="Y",BT993&amp;"",BF993&amp;""))</f>
        <v/>
      </c>
      <c r="AE993" s="0" t="str">
        <f aca="false">IF($A993="","",IF(AW993="Y",BU993&amp;"",BG993&amp;""))</f>
        <v/>
      </c>
      <c r="AF993" s="0" t="str">
        <f aca="false">IF($A993="","",IF(AW993="Y",BV993&amp;"",BH993&amp;""))</f>
        <v/>
      </c>
      <c r="AG993" s="0" t="str">
        <f aca="false">IF($A993="","",IF(AW993="Y",BW993&amp;"",BI993&amp;""))</f>
        <v/>
      </c>
      <c r="AH993" s="0" t="str">
        <f aca="false">IF($A993="","",IF(AW993="Y",BX993&amp;"",BJ993&amp;""))</f>
        <v/>
      </c>
      <c r="AQ993" s="5"/>
      <c r="AT993" s="0" t="str">
        <f aca="false">IF($A993="","",IF(AND(CN993="pass",AQ993&lt;&gt;"Y",C993&lt;&gt;"",OR(AX993&lt;&gt;"Y",AV993="Y")),"Y","N"))</f>
        <v/>
      </c>
      <c r="AU993" s="0" t="str">
        <f aca="false">IF($A993="","",_xlfn.TEXTJOIN("; ",TRUE(),IF(CN993&lt;&gt;"pass","gated out",""),IF(AQ993="Y","on hold: "&amp;AR993,""),IF(C993="","no contact named on an opened page",""),IF(AND(AX993="Y",AV993&lt;&gt;"Y"),"Tuesday estimate band "&amp;L993&amp;": founder's call","")))</f>
        <v/>
      </c>
      <c r="BC993" s="0" t="str">
        <f aca="false">IF($A993="","",IFERROR(INDEX(Enrichment!$A$2:$GZ$2000,MATCH($A993,INDEX(Enrichment!$A$2:$GZ$2000,0,MATCH("row_id",Enrichment!$A$1:$GZ$1,0)),0),MATCH("work_email",Enrichment!$A$1:$GZ$1,0))&amp;"",""))</f>
        <v/>
      </c>
      <c r="BD993" s="0" t="str">
        <f aca="false">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Q993" s="0" t="str">
        <f aca="false">IF($A993="","",IFERROR(INDEX(Enrichment!$A$2:$GZ$2000,MATCH($A993,INDEX(Enrichment!$A$2:$GZ$2000,0,MATCH("row_id",Enrichment!$A$1:$GZ$1,0)),0),MATCH("backup_work_email",Enrichment!$A$1:$GZ$1,0))&amp;"",""))</f>
        <v/>
      </c>
      <c r="BR993" s="0" t="str">
        <f aca="false">IF($A993="","",IF(BQ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EQ993" s="0" t="str">
        <f aca="false">IF($A993="","",IF(AH993="exact",10,IF(AH993="adjacent",5,0)))</f>
        <v/>
      </c>
      <c r="ER993" s="0" t="str">
        <f aca="false">IF($A993="","",IF(R993="Y",15,0))</f>
        <v/>
      </c>
      <c r="FS993" s="0" t="str">
        <f aca="false">IF($A993="","",IF(ISNUMBER(MATCH(U993,{"queued","contacted","replied","call_booked","call_done","yes_in_principle","materials_sent"},0)),"Y","N"))</f>
        <v/>
      </c>
      <c r="FT993" s="0" t="str">
        <f aca="false">IF($A993="","",IF(OR(T993="Y",U993="do_not_contact",AS993&amp;""&lt;&gt;""),"Y","N"))</f>
        <v/>
      </c>
      <c r="FU993" s="0" t="str">
        <f aca="false">IF($A993="","",IF(AP993&amp;""&lt;&gt;"",AP993&amp;"",$A993))</f>
        <v/>
      </c>
      <c r="FV993" s="0" t="str">
        <f aca="false">IF($A993="","",IF(COUNTIFS($FU$2:$FU$1000,FU993,$FS$2:$FS$1000,"Y")+COUNTIFS($FU$2:$FU$1000,FU993,$FT$2:$FT$1000,"Y")&gt;0,"Y","N"))</f>
        <v/>
      </c>
      <c r="FW993" s="0" t="str">
        <f aca="false">IF($A993="","",IF(AND(U993="new",T993="N",FT993="N",AT993="Y",FV993="N"),"Y","N"))</f>
        <v/>
      </c>
      <c r="FX993" s="0" t="str">
        <f aca="false">IF($A993="","",IF(FW993&lt;&gt;"Y","N",IF(COUNTIFS($FU$2:$FU$1000,FU993,$FW$2:$FW$1000,"Y",$J$2:$J$1000,"&gt;"&amp;J993)+COUNTIFS($FU$2:$FU$1000,FU993,$FW$2:$FW$1000,"Y",$J$2:$J$1000,J993,$GD$2:$GD$1000,"&lt;"&amp;GD993)=0,"Y","N")))</f>
        <v/>
      </c>
      <c r="FY993" s="0" t="str">
        <f aca="false">IF($A993="","",IF(AND(FW993="Y",FX993="Y",Y993&amp;""&lt;&gt;""),IF(Y993&lt;=10,"Y","N"),"N"))</f>
        <v/>
      </c>
      <c r="FZ993" s="0" t="str">
        <f aca="false">IF(FY993="Y",Y993,"")</f>
        <v/>
      </c>
      <c r="GA993" s="0" t="str">
        <f aca="false">IF($A993="","",IF(AND(I993="walk-in",CN993="pass",U993="new",FT993="N",FV993="N",AQ993&lt;&gt;"Y"),"Y","N"))</f>
        <v/>
      </c>
      <c r="GB993" s="0" t="str">
        <f aca="false">IF(GA993&lt;&gt;"Y","",IF(COUNTIFS($GA$2:$GA$1000,"Y",$J$2:$J$1000,"&gt;"&amp;J993)+COUNTIFS($GA$2:$GA$1000,"Y",$J$2:$J$1000,J993,$GD$2:$GD$1000,"&lt;"&amp;GD993)+1&lt;=25,COUNTIFS($GA$2:$GA$1000,"Y",$J$2:$J$1000,"&gt;"&amp;J993)+COUNTIFS($GA$2:$GA$1000,"Y",$J$2:$J$1000,J993,$GD$2:$GD$1000,"&lt;"&amp;GD993)+1,""))</f>
        <v/>
      </c>
      <c r="GC993" s="0" t="str">
        <f aca="false">IF(AND(_xlfn.ISFORMULA(C993),_xlfn.ISFORMULA(J993)),"Y","N")</f>
        <v>Y</v>
      </c>
      <c r="GD993" s="0" t="n">
        <f aca="false">ROW()-1</f>
        <v>992</v>
      </c>
    </row>
    <row r="994" customFormat="false" ht="15" hidden="false" customHeight="false" outlineLevel="0" collapsed="false">
      <c r="C994" s="0" t="str">
        <f aca="false">IF($A994="","",IF(AW994="Y",BM994&amp;"",AY994&amp;""))</f>
        <v/>
      </c>
      <c r="D994" s="0" t="str">
        <f aca="false">IF($A994="","",IF(AW994="Y",BN994&amp;"",AZ994&amp;""))</f>
        <v/>
      </c>
      <c r="E994" s="0" t="str">
        <f aca="false">IF($A994="","",IF(AW994="Y",BO994&amp;"",BA994&amp;""))</f>
        <v/>
      </c>
      <c r="F994" s="0" t="str">
        <f aca="false">IF($A994="","",IF(AW994="Y",BP994&amp;"",BB994&amp;""))</f>
        <v/>
      </c>
      <c r="G994" s="0" t="str">
        <f aca="false">IF($A994="","",IF(AW994="Y",BQ994&amp;"",BC994&amp;""))</f>
        <v/>
      </c>
      <c r="H994" s="0" t="str">
        <f aca="false">IF($A994="","",IF(AW994="Y",BR994&amp;"",BD994&amp;""))</f>
        <v/>
      </c>
      <c r="I994" s="0" t="str">
        <f aca="false">IF($A994="","",IF(R994="Y","warm-intro",IF(H994="verified","email",IF(C994&lt;&gt;"","linkedin",CB994&amp;""))))</f>
        <v/>
      </c>
      <c r="J994" s="0" t="str">
        <f aca="false">IF($A994="","",IF(CN994="pass",ROUND(N(EM994)+N(EN994)+N(EO994)+N(EP994)+N(EQ994)+N(ER994),1),0))</f>
        <v/>
      </c>
      <c r="K994" s="0" t="str">
        <f aca="false">IF($A994="","",IF(CN994&lt;&gt;"pass",CA994&amp;"",CA994&amp;"; "&amp;IF(AW994="Y",BZ994&amp;"",BL994&amp;"")&amp;IF(R994="Y","; known to the founder (+15)","")&amp;"."))</f>
        <v/>
      </c>
      <c r="R994" s="5"/>
      <c r="U994" s="5"/>
      <c r="Y994" s="0" t="str">
        <f aca="false">IF(FX994&lt;&gt;"Y","",COUNTIFS($FX$2:$FX$1000,"Y",$J$2:$J$1000,"&gt;"&amp;J994)+COUNTIFS($FX$2:$FX$1000,"Y",$J$2:$J$1000,J994,$GD$2:$GD$1000,"&lt;"&amp;GD994)+1)</f>
        <v/>
      </c>
      <c r="AB994" s="0" t="str">
        <f aca="false">IF($A994="","",IF(AW994="Y",BY994&amp;"",BK994&amp;""))</f>
        <v/>
      </c>
      <c r="AC994" s="0" t="str">
        <f aca="false">IF($A994="","",IF(AW994="Y",BS994&amp;"",BE994&amp;""))</f>
        <v/>
      </c>
      <c r="AD994" s="0" t="str">
        <f aca="false">IF($A994="","",IF(AW994="Y",BT994&amp;"",BF994&amp;""))</f>
        <v/>
      </c>
      <c r="AE994" s="0" t="str">
        <f aca="false">IF($A994="","",IF(AW994="Y",BU994&amp;"",BG994&amp;""))</f>
        <v/>
      </c>
      <c r="AF994" s="0" t="str">
        <f aca="false">IF($A994="","",IF(AW994="Y",BV994&amp;"",BH994&amp;""))</f>
        <v/>
      </c>
      <c r="AG994" s="0" t="str">
        <f aca="false">IF($A994="","",IF(AW994="Y",BW994&amp;"",BI994&amp;""))</f>
        <v/>
      </c>
      <c r="AH994" s="0" t="str">
        <f aca="false">IF($A994="","",IF(AW994="Y",BX994&amp;"",BJ994&amp;""))</f>
        <v/>
      </c>
      <c r="AQ994" s="5"/>
      <c r="AT994" s="0" t="str">
        <f aca="false">IF($A994="","",IF(AND(CN994="pass",AQ994&lt;&gt;"Y",C994&lt;&gt;"",OR(AX994&lt;&gt;"Y",AV994="Y")),"Y","N"))</f>
        <v/>
      </c>
      <c r="AU994" s="0" t="str">
        <f aca="false">IF($A994="","",_xlfn.TEXTJOIN("; ",TRUE(),IF(CN994&lt;&gt;"pass","gated out",""),IF(AQ994="Y","on hold: "&amp;AR994,""),IF(C994="","no contact named on an opened page",""),IF(AND(AX994="Y",AV994&lt;&gt;"Y"),"Tuesday estimate band "&amp;L994&amp;": founder's call","")))</f>
        <v/>
      </c>
      <c r="BC994" s="0" t="str">
        <f aca="false">IF($A994="","",IFERROR(INDEX(Enrichment!$A$2:$GZ$2000,MATCH($A994,INDEX(Enrichment!$A$2:$GZ$2000,0,MATCH("row_id",Enrichment!$A$1:$GZ$1,0)),0),MATCH("work_email",Enrichment!$A$1:$GZ$1,0))&amp;"",""))</f>
        <v/>
      </c>
      <c r="BD994" s="0" t="str">
        <f aca="false">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Q994" s="0" t="str">
        <f aca="false">IF($A994="","",IFERROR(INDEX(Enrichment!$A$2:$GZ$2000,MATCH($A994,INDEX(Enrichment!$A$2:$GZ$2000,0,MATCH("row_id",Enrichment!$A$1:$GZ$1,0)),0),MATCH("backup_work_email",Enrichment!$A$1:$GZ$1,0))&amp;"",""))</f>
        <v/>
      </c>
      <c r="BR994" s="0" t="str">
        <f aca="false">IF($A994="","",IF(BQ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EQ994" s="0" t="str">
        <f aca="false">IF($A994="","",IF(AH994="exact",10,IF(AH994="adjacent",5,0)))</f>
        <v/>
      </c>
      <c r="ER994" s="0" t="str">
        <f aca="false">IF($A994="","",IF(R994="Y",15,0))</f>
        <v/>
      </c>
      <c r="FS994" s="0" t="str">
        <f aca="false">IF($A994="","",IF(ISNUMBER(MATCH(U994,{"queued","contacted","replied","call_booked","call_done","yes_in_principle","materials_sent"},0)),"Y","N"))</f>
        <v/>
      </c>
      <c r="FT994" s="0" t="str">
        <f aca="false">IF($A994="","",IF(OR(T994="Y",U994="do_not_contact",AS994&amp;""&lt;&gt;""),"Y","N"))</f>
        <v/>
      </c>
      <c r="FU994" s="0" t="str">
        <f aca="false">IF($A994="","",IF(AP994&amp;""&lt;&gt;"",AP994&amp;"",$A994))</f>
        <v/>
      </c>
      <c r="FV994" s="0" t="str">
        <f aca="false">IF($A994="","",IF(COUNTIFS($FU$2:$FU$1000,FU994,$FS$2:$FS$1000,"Y")+COUNTIFS($FU$2:$FU$1000,FU994,$FT$2:$FT$1000,"Y")&gt;0,"Y","N"))</f>
        <v/>
      </c>
      <c r="FW994" s="0" t="str">
        <f aca="false">IF($A994="","",IF(AND(U994="new",T994="N",FT994="N",AT994="Y",FV994="N"),"Y","N"))</f>
        <v/>
      </c>
      <c r="FX994" s="0" t="str">
        <f aca="false">IF($A994="","",IF(FW994&lt;&gt;"Y","N",IF(COUNTIFS($FU$2:$FU$1000,FU994,$FW$2:$FW$1000,"Y",$J$2:$J$1000,"&gt;"&amp;J994)+COUNTIFS($FU$2:$FU$1000,FU994,$FW$2:$FW$1000,"Y",$J$2:$J$1000,J994,$GD$2:$GD$1000,"&lt;"&amp;GD994)=0,"Y","N")))</f>
        <v/>
      </c>
      <c r="FY994" s="0" t="str">
        <f aca="false">IF($A994="","",IF(AND(FW994="Y",FX994="Y",Y994&amp;""&lt;&gt;""),IF(Y994&lt;=10,"Y","N"),"N"))</f>
        <v/>
      </c>
      <c r="FZ994" s="0" t="str">
        <f aca="false">IF(FY994="Y",Y994,"")</f>
        <v/>
      </c>
      <c r="GA994" s="0" t="str">
        <f aca="false">IF($A994="","",IF(AND(I994="walk-in",CN994="pass",U994="new",FT994="N",FV994="N",AQ994&lt;&gt;"Y"),"Y","N"))</f>
        <v/>
      </c>
      <c r="GB994" s="0" t="str">
        <f aca="false">IF(GA994&lt;&gt;"Y","",IF(COUNTIFS($GA$2:$GA$1000,"Y",$J$2:$J$1000,"&gt;"&amp;J994)+COUNTIFS($GA$2:$GA$1000,"Y",$J$2:$J$1000,J994,$GD$2:$GD$1000,"&lt;"&amp;GD994)+1&lt;=25,COUNTIFS($GA$2:$GA$1000,"Y",$J$2:$J$1000,"&gt;"&amp;J994)+COUNTIFS($GA$2:$GA$1000,"Y",$J$2:$J$1000,J994,$GD$2:$GD$1000,"&lt;"&amp;GD994)+1,""))</f>
        <v/>
      </c>
      <c r="GC994" s="0" t="str">
        <f aca="false">IF(AND(_xlfn.ISFORMULA(C994),_xlfn.ISFORMULA(J994)),"Y","N")</f>
        <v>Y</v>
      </c>
      <c r="GD994" s="0" t="n">
        <f aca="false">ROW()-1</f>
        <v>993</v>
      </c>
    </row>
    <row r="995" customFormat="false" ht="15" hidden="false" customHeight="false" outlineLevel="0" collapsed="false">
      <c r="C995" s="0" t="str">
        <f aca="false">IF($A995="","",IF(AW995="Y",BM995&amp;"",AY995&amp;""))</f>
        <v/>
      </c>
      <c r="D995" s="0" t="str">
        <f aca="false">IF($A995="","",IF(AW995="Y",BN995&amp;"",AZ995&amp;""))</f>
        <v/>
      </c>
      <c r="E995" s="0" t="str">
        <f aca="false">IF($A995="","",IF(AW995="Y",BO995&amp;"",BA995&amp;""))</f>
        <v/>
      </c>
      <c r="F995" s="0" t="str">
        <f aca="false">IF($A995="","",IF(AW995="Y",BP995&amp;"",BB995&amp;""))</f>
        <v/>
      </c>
      <c r="G995" s="0" t="str">
        <f aca="false">IF($A995="","",IF(AW995="Y",BQ995&amp;"",BC995&amp;""))</f>
        <v/>
      </c>
      <c r="H995" s="0" t="str">
        <f aca="false">IF($A995="","",IF(AW995="Y",BR995&amp;"",BD995&amp;""))</f>
        <v/>
      </c>
      <c r="I995" s="0" t="str">
        <f aca="false">IF($A995="","",IF(R995="Y","warm-intro",IF(H995="verified","email",IF(C995&lt;&gt;"","linkedin",CB995&amp;""))))</f>
        <v/>
      </c>
      <c r="J995" s="0" t="str">
        <f aca="false">IF($A995="","",IF(CN995="pass",ROUND(N(EM995)+N(EN995)+N(EO995)+N(EP995)+N(EQ995)+N(ER995),1),0))</f>
        <v/>
      </c>
      <c r="K995" s="0" t="str">
        <f aca="false">IF($A995="","",IF(CN995&lt;&gt;"pass",CA995&amp;"",CA995&amp;"; "&amp;IF(AW995="Y",BZ995&amp;"",BL995&amp;"")&amp;IF(R995="Y","; known to the founder (+15)","")&amp;"."))</f>
        <v/>
      </c>
      <c r="R995" s="5"/>
      <c r="U995" s="5"/>
      <c r="Y995" s="0" t="str">
        <f aca="false">IF(FX995&lt;&gt;"Y","",COUNTIFS($FX$2:$FX$1000,"Y",$J$2:$J$1000,"&gt;"&amp;J995)+COUNTIFS($FX$2:$FX$1000,"Y",$J$2:$J$1000,J995,$GD$2:$GD$1000,"&lt;"&amp;GD995)+1)</f>
        <v/>
      </c>
      <c r="AB995" s="0" t="str">
        <f aca="false">IF($A995="","",IF(AW995="Y",BY995&amp;"",BK995&amp;""))</f>
        <v/>
      </c>
      <c r="AC995" s="0" t="str">
        <f aca="false">IF($A995="","",IF(AW995="Y",BS995&amp;"",BE995&amp;""))</f>
        <v/>
      </c>
      <c r="AD995" s="0" t="str">
        <f aca="false">IF($A995="","",IF(AW995="Y",BT995&amp;"",BF995&amp;""))</f>
        <v/>
      </c>
      <c r="AE995" s="0" t="str">
        <f aca="false">IF($A995="","",IF(AW995="Y",BU995&amp;"",BG995&amp;""))</f>
        <v/>
      </c>
      <c r="AF995" s="0" t="str">
        <f aca="false">IF($A995="","",IF(AW995="Y",BV995&amp;"",BH995&amp;""))</f>
        <v/>
      </c>
      <c r="AG995" s="0" t="str">
        <f aca="false">IF($A995="","",IF(AW995="Y",BW995&amp;"",BI995&amp;""))</f>
        <v/>
      </c>
      <c r="AH995" s="0" t="str">
        <f aca="false">IF($A995="","",IF(AW995="Y",BX995&amp;"",BJ995&amp;""))</f>
        <v/>
      </c>
      <c r="AQ995" s="5"/>
      <c r="AT995" s="0" t="str">
        <f aca="false">IF($A995="","",IF(AND(CN995="pass",AQ995&lt;&gt;"Y",C995&lt;&gt;"",OR(AX995&lt;&gt;"Y",AV995="Y")),"Y","N"))</f>
        <v/>
      </c>
      <c r="AU995" s="0" t="str">
        <f aca="false">IF($A995="","",_xlfn.TEXTJOIN("; ",TRUE(),IF(CN995&lt;&gt;"pass","gated out",""),IF(AQ995="Y","on hold: "&amp;AR995,""),IF(C995="","no contact named on an opened page",""),IF(AND(AX995="Y",AV995&lt;&gt;"Y"),"Tuesday estimate band "&amp;L995&amp;": founder's call","")))</f>
        <v/>
      </c>
      <c r="BC995" s="0" t="str">
        <f aca="false">IF($A995="","",IFERROR(INDEX(Enrichment!$A$2:$GZ$2000,MATCH($A995,INDEX(Enrichment!$A$2:$GZ$2000,0,MATCH("row_id",Enrichment!$A$1:$GZ$1,0)),0),MATCH("work_email",Enrichment!$A$1:$GZ$1,0))&amp;"",""))</f>
        <v/>
      </c>
      <c r="BD995" s="0" t="str">
        <f aca="false">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Q995" s="0" t="str">
        <f aca="false">IF($A995="","",IFERROR(INDEX(Enrichment!$A$2:$GZ$2000,MATCH($A995,INDEX(Enrichment!$A$2:$GZ$2000,0,MATCH("row_id",Enrichment!$A$1:$GZ$1,0)),0),MATCH("backup_work_email",Enrichment!$A$1:$GZ$1,0))&amp;"",""))</f>
        <v/>
      </c>
      <c r="BR995" s="0" t="str">
        <f aca="false">IF($A995="","",IF(BQ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EQ995" s="0" t="str">
        <f aca="false">IF($A995="","",IF(AH995="exact",10,IF(AH995="adjacent",5,0)))</f>
        <v/>
      </c>
      <c r="ER995" s="0" t="str">
        <f aca="false">IF($A995="","",IF(R995="Y",15,0))</f>
        <v/>
      </c>
      <c r="FS995" s="0" t="str">
        <f aca="false">IF($A995="","",IF(ISNUMBER(MATCH(U995,{"queued","contacted","replied","call_booked","call_done","yes_in_principle","materials_sent"},0)),"Y","N"))</f>
        <v/>
      </c>
      <c r="FT995" s="0" t="str">
        <f aca="false">IF($A995="","",IF(OR(T995="Y",U995="do_not_contact",AS995&amp;""&lt;&gt;""),"Y","N"))</f>
        <v/>
      </c>
      <c r="FU995" s="0" t="str">
        <f aca="false">IF($A995="","",IF(AP995&amp;""&lt;&gt;"",AP995&amp;"",$A995))</f>
        <v/>
      </c>
      <c r="FV995" s="0" t="str">
        <f aca="false">IF($A995="","",IF(COUNTIFS($FU$2:$FU$1000,FU995,$FS$2:$FS$1000,"Y")+COUNTIFS($FU$2:$FU$1000,FU995,$FT$2:$FT$1000,"Y")&gt;0,"Y","N"))</f>
        <v/>
      </c>
      <c r="FW995" s="0" t="str">
        <f aca="false">IF($A995="","",IF(AND(U995="new",T995="N",FT995="N",AT995="Y",FV995="N"),"Y","N"))</f>
        <v/>
      </c>
      <c r="FX995" s="0" t="str">
        <f aca="false">IF($A995="","",IF(FW995&lt;&gt;"Y","N",IF(COUNTIFS($FU$2:$FU$1000,FU995,$FW$2:$FW$1000,"Y",$J$2:$J$1000,"&gt;"&amp;J995)+COUNTIFS($FU$2:$FU$1000,FU995,$FW$2:$FW$1000,"Y",$J$2:$J$1000,J995,$GD$2:$GD$1000,"&lt;"&amp;GD995)=0,"Y","N")))</f>
        <v/>
      </c>
      <c r="FY995" s="0" t="str">
        <f aca="false">IF($A995="","",IF(AND(FW995="Y",FX995="Y",Y995&amp;""&lt;&gt;""),IF(Y995&lt;=10,"Y","N"),"N"))</f>
        <v/>
      </c>
      <c r="FZ995" s="0" t="str">
        <f aca="false">IF(FY995="Y",Y995,"")</f>
        <v/>
      </c>
      <c r="GA995" s="0" t="str">
        <f aca="false">IF($A995="","",IF(AND(I995="walk-in",CN995="pass",U995="new",FT995="N",FV995="N",AQ995&lt;&gt;"Y"),"Y","N"))</f>
        <v/>
      </c>
      <c r="GB995" s="0" t="str">
        <f aca="false">IF(GA995&lt;&gt;"Y","",IF(COUNTIFS($GA$2:$GA$1000,"Y",$J$2:$J$1000,"&gt;"&amp;J995)+COUNTIFS($GA$2:$GA$1000,"Y",$J$2:$J$1000,J995,$GD$2:$GD$1000,"&lt;"&amp;GD995)+1&lt;=25,COUNTIFS($GA$2:$GA$1000,"Y",$J$2:$J$1000,"&gt;"&amp;J995)+COUNTIFS($GA$2:$GA$1000,"Y",$J$2:$J$1000,J995,$GD$2:$GD$1000,"&lt;"&amp;GD995)+1,""))</f>
        <v/>
      </c>
      <c r="GC995" s="0" t="str">
        <f aca="false">IF(AND(_xlfn.ISFORMULA(C995),_xlfn.ISFORMULA(J995)),"Y","N")</f>
        <v>Y</v>
      </c>
      <c r="GD995" s="0" t="n">
        <f aca="false">ROW()-1</f>
        <v>994</v>
      </c>
    </row>
    <row r="996" customFormat="false" ht="15" hidden="false" customHeight="false" outlineLevel="0" collapsed="false">
      <c r="C996" s="0" t="str">
        <f aca="false">IF($A996="","",IF(AW996="Y",BM996&amp;"",AY996&amp;""))</f>
        <v/>
      </c>
      <c r="D996" s="0" t="str">
        <f aca="false">IF($A996="","",IF(AW996="Y",BN996&amp;"",AZ996&amp;""))</f>
        <v/>
      </c>
      <c r="E996" s="0" t="str">
        <f aca="false">IF($A996="","",IF(AW996="Y",BO996&amp;"",BA996&amp;""))</f>
        <v/>
      </c>
      <c r="F996" s="0" t="str">
        <f aca="false">IF($A996="","",IF(AW996="Y",BP996&amp;"",BB996&amp;""))</f>
        <v/>
      </c>
      <c r="G996" s="0" t="str">
        <f aca="false">IF($A996="","",IF(AW996="Y",BQ996&amp;"",BC996&amp;""))</f>
        <v/>
      </c>
      <c r="H996" s="0" t="str">
        <f aca="false">IF($A996="","",IF(AW996="Y",BR996&amp;"",BD996&amp;""))</f>
        <v/>
      </c>
      <c r="I996" s="0" t="str">
        <f aca="false">IF($A996="","",IF(R996="Y","warm-intro",IF(H996="verified","email",IF(C996&lt;&gt;"","linkedin",CB996&amp;""))))</f>
        <v/>
      </c>
      <c r="J996" s="0" t="str">
        <f aca="false">IF($A996="","",IF(CN996="pass",ROUND(N(EM996)+N(EN996)+N(EO996)+N(EP996)+N(EQ996)+N(ER996),1),0))</f>
        <v/>
      </c>
      <c r="K996" s="0" t="str">
        <f aca="false">IF($A996="","",IF(CN996&lt;&gt;"pass",CA996&amp;"",CA996&amp;"; "&amp;IF(AW996="Y",BZ996&amp;"",BL996&amp;"")&amp;IF(R996="Y","; known to the founder (+15)","")&amp;"."))</f>
        <v/>
      </c>
      <c r="R996" s="5"/>
      <c r="U996" s="5"/>
      <c r="Y996" s="0" t="str">
        <f aca="false">IF(FX996&lt;&gt;"Y","",COUNTIFS($FX$2:$FX$1000,"Y",$J$2:$J$1000,"&gt;"&amp;J996)+COUNTIFS($FX$2:$FX$1000,"Y",$J$2:$J$1000,J996,$GD$2:$GD$1000,"&lt;"&amp;GD996)+1)</f>
        <v/>
      </c>
      <c r="AB996" s="0" t="str">
        <f aca="false">IF($A996="","",IF(AW996="Y",BY996&amp;"",BK996&amp;""))</f>
        <v/>
      </c>
      <c r="AC996" s="0" t="str">
        <f aca="false">IF($A996="","",IF(AW996="Y",BS996&amp;"",BE996&amp;""))</f>
        <v/>
      </c>
      <c r="AD996" s="0" t="str">
        <f aca="false">IF($A996="","",IF(AW996="Y",BT996&amp;"",BF996&amp;""))</f>
        <v/>
      </c>
      <c r="AE996" s="0" t="str">
        <f aca="false">IF($A996="","",IF(AW996="Y",BU996&amp;"",BG996&amp;""))</f>
        <v/>
      </c>
      <c r="AF996" s="0" t="str">
        <f aca="false">IF($A996="","",IF(AW996="Y",BV996&amp;"",BH996&amp;""))</f>
        <v/>
      </c>
      <c r="AG996" s="0" t="str">
        <f aca="false">IF($A996="","",IF(AW996="Y",BW996&amp;"",BI996&amp;""))</f>
        <v/>
      </c>
      <c r="AH996" s="0" t="str">
        <f aca="false">IF($A996="","",IF(AW996="Y",BX996&amp;"",BJ996&amp;""))</f>
        <v/>
      </c>
      <c r="AQ996" s="5"/>
      <c r="AT996" s="0" t="str">
        <f aca="false">IF($A996="","",IF(AND(CN996="pass",AQ996&lt;&gt;"Y",C996&lt;&gt;"",OR(AX996&lt;&gt;"Y",AV996="Y")),"Y","N"))</f>
        <v/>
      </c>
      <c r="AU996" s="0" t="str">
        <f aca="false">IF($A996="","",_xlfn.TEXTJOIN("; ",TRUE(),IF(CN996&lt;&gt;"pass","gated out",""),IF(AQ996="Y","on hold: "&amp;AR996,""),IF(C996="","no contact named on an opened page",""),IF(AND(AX996="Y",AV996&lt;&gt;"Y"),"Tuesday estimate band "&amp;L996&amp;": founder's call","")))</f>
        <v/>
      </c>
      <c r="BC996" s="0" t="str">
        <f aca="false">IF($A996="","",IFERROR(INDEX(Enrichment!$A$2:$GZ$2000,MATCH($A996,INDEX(Enrichment!$A$2:$GZ$2000,0,MATCH("row_id",Enrichment!$A$1:$GZ$1,0)),0),MATCH("work_email",Enrichment!$A$1:$GZ$1,0))&amp;"",""))</f>
        <v/>
      </c>
      <c r="BD996" s="0" t="str">
        <f aca="false">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Q996" s="0" t="str">
        <f aca="false">IF($A996="","",IFERROR(INDEX(Enrichment!$A$2:$GZ$2000,MATCH($A996,INDEX(Enrichment!$A$2:$GZ$2000,0,MATCH("row_id",Enrichment!$A$1:$GZ$1,0)),0),MATCH("backup_work_email",Enrichment!$A$1:$GZ$1,0))&amp;"",""))</f>
        <v/>
      </c>
      <c r="BR996" s="0" t="str">
        <f aca="false">IF($A996="","",IF(BQ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EQ996" s="0" t="str">
        <f aca="false">IF($A996="","",IF(AH996="exact",10,IF(AH996="adjacent",5,0)))</f>
        <v/>
      </c>
      <c r="ER996" s="0" t="str">
        <f aca="false">IF($A996="","",IF(R996="Y",15,0))</f>
        <v/>
      </c>
      <c r="FS996" s="0" t="str">
        <f aca="false">IF($A996="","",IF(ISNUMBER(MATCH(U996,{"queued","contacted","replied","call_booked","call_done","yes_in_principle","materials_sent"},0)),"Y","N"))</f>
        <v/>
      </c>
      <c r="FT996" s="0" t="str">
        <f aca="false">IF($A996="","",IF(OR(T996="Y",U996="do_not_contact",AS996&amp;""&lt;&gt;""),"Y","N"))</f>
        <v/>
      </c>
      <c r="FU996" s="0" t="str">
        <f aca="false">IF($A996="","",IF(AP996&amp;""&lt;&gt;"",AP996&amp;"",$A996))</f>
        <v/>
      </c>
      <c r="FV996" s="0" t="str">
        <f aca="false">IF($A996="","",IF(COUNTIFS($FU$2:$FU$1000,FU996,$FS$2:$FS$1000,"Y")+COUNTIFS($FU$2:$FU$1000,FU996,$FT$2:$FT$1000,"Y")&gt;0,"Y","N"))</f>
        <v/>
      </c>
      <c r="FW996" s="0" t="str">
        <f aca="false">IF($A996="","",IF(AND(U996="new",T996="N",FT996="N",AT996="Y",FV996="N"),"Y","N"))</f>
        <v/>
      </c>
      <c r="FX996" s="0" t="str">
        <f aca="false">IF($A996="","",IF(FW996&lt;&gt;"Y","N",IF(COUNTIFS($FU$2:$FU$1000,FU996,$FW$2:$FW$1000,"Y",$J$2:$J$1000,"&gt;"&amp;J996)+COUNTIFS($FU$2:$FU$1000,FU996,$FW$2:$FW$1000,"Y",$J$2:$J$1000,J996,$GD$2:$GD$1000,"&lt;"&amp;GD996)=0,"Y","N")))</f>
        <v/>
      </c>
      <c r="FY996" s="0" t="str">
        <f aca="false">IF($A996="","",IF(AND(FW996="Y",FX996="Y",Y996&amp;""&lt;&gt;""),IF(Y996&lt;=10,"Y","N"),"N"))</f>
        <v/>
      </c>
      <c r="FZ996" s="0" t="str">
        <f aca="false">IF(FY996="Y",Y996,"")</f>
        <v/>
      </c>
      <c r="GA996" s="0" t="str">
        <f aca="false">IF($A996="","",IF(AND(I996="walk-in",CN996="pass",U996="new",FT996="N",FV996="N",AQ996&lt;&gt;"Y"),"Y","N"))</f>
        <v/>
      </c>
      <c r="GB996" s="0" t="str">
        <f aca="false">IF(GA996&lt;&gt;"Y","",IF(COUNTIFS($GA$2:$GA$1000,"Y",$J$2:$J$1000,"&gt;"&amp;J996)+COUNTIFS($GA$2:$GA$1000,"Y",$J$2:$J$1000,J996,$GD$2:$GD$1000,"&lt;"&amp;GD996)+1&lt;=25,COUNTIFS($GA$2:$GA$1000,"Y",$J$2:$J$1000,"&gt;"&amp;J996)+COUNTIFS($GA$2:$GA$1000,"Y",$J$2:$J$1000,J996,$GD$2:$GD$1000,"&lt;"&amp;GD996)+1,""))</f>
        <v/>
      </c>
      <c r="GC996" s="0" t="str">
        <f aca="false">IF(AND(_xlfn.ISFORMULA(C996),_xlfn.ISFORMULA(J996)),"Y","N")</f>
        <v>Y</v>
      </c>
      <c r="GD996" s="0" t="n">
        <f aca="false">ROW()-1</f>
        <v>995</v>
      </c>
    </row>
    <row r="997" customFormat="false" ht="15" hidden="false" customHeight="false" outlineLevel="0" collapsed="false">
      <c r="C997" s="0" t="str">
        <f aca="false">IF($A997="","",IF(AW997="Y",BM997&amp;"",AY997&amp;""))</f>
        <v/>
      </c>
      <c r="D997" s="0" t="str">
        <f aca="false">IF($A997="","",IF(AW997="Y",BN997&amp;"",AZ997&amp;""))</f>
        <v/>
      </c>
      <c r="E997" s="0" t="str">
        <f aca="false">IF($A997="","",IF(AW997="Y",BO997&amp;"",BA997&amp;""))</f>
        <v/>
      </c>
      <c r="F997" s="0" t="str">
        <f aca="false">IF($A997="","",IF(AW997="Y",BP997&amp;"",BB997&amp;""))</f>
        <v/>
      </c>
      <c r="G997" s="0" t="str">
        <f aca="false">IF($A997="","",IF(AW997="Y",BQ997&amp;"",BC997&amp;""))</f>
        <v/>
      </c>
      <c r="H997" s="0" t="str">
        <f aca="false">IF($A997="","",IF(AW997="Y",BR997&amp;"",BD997&amp;""))</f>
        <v/>
      </c>
      <c r="I997" s="0" t="str">
        <f aca="false">IF($A997="","",IF(R997="Y","warm-intro",IF(H997="verified","email",IF(C997&lt;&gt;"","linkedin",CB997&amp;""))))</f>
        <v/>
      </c>
      <c r="J997" s="0" t="str">
        <f aca="false">IF($A997="","",IF(CN997="pass",ROUND(N(EM997)+N(EN997)+N(EO997)+N(EP997)+N(EQ997)+N(ER997),1),0))</f>
        <v/>
      </c>
      <c r="K997" s="0" t="str">
        <f aca="false">IF($A997="","",IF(CN997&lt;&gt;"pass",CA997&amp;"",CA997&amp;"; "&amp;IF(AW997="Y",BZ997&amp;"",BL997&amp;"")&amp;IF(R997="Y","; known to the founder (+15)","")&amp;"."))</f>
        <v/>
      </c>
      <c r="R997" s="5"/>
      <c r="U997" s="5"/>
      <c r="Y997" s="0" t="str">
        <f aca="false">IF(FX997&lt;&gt;"Y","",COUNTIFS($FX$2:$FX$1000,"Y",$J$2:$J$1000,"&gt;"&amp;J997)+COUNTIFS($FX$2:$FX$1000,"Y",$J$2:$J$1000,J997,$GD$2:$GD$1000,"&lt;"&amp;GD997)+1)</f>
        <v/>
      </c>
      <c r="AB997" s="0" t="str">
        <f aca="false">IF($A997="","",IF(AW997="Y",BY997&amp;"",BK997&amp;""))</f>
        <v/>
      </c>
      <c r="AC997" s="0" t="str">
        <f aca="false">IF($A997="","",IF(AW997="Y",BS997&amp;"",BE997&amp;""))</f>
        <v/>
      </c>
      <c r="AD997" s="0" t="str">
        <f aca="false">IF($A997="","",IF(AW997="Y",BT997&amp;"",BF997&amp;""))</f>
        <v/>
      </c>
      <c r="AE997" s="0" t="str">
        <f aca="false">IF($A997="","",IF(AW997="Y",BU997&amp;"",BG997&amp;""))</f>
        <v/>
      </c>
      <c r="AF997" s="0" t="str">
        <f aca="false">IF($A997="","",IF(AW997="Y",BV997&amp;"",BH997&amp;""))</f>
        <v/>
      </c>
      <c r="AG997" s="0" t="str">
        <f aca="false">IF($A997="","",IF(AW997="Y",BW997&amp;"",BI997&amp;""))</f>
        <v/>
      </c>
      <c r="AH997" s="0" t="str">
        <f aca="false">IF($A997="","",IF(AW997="Y",BX997&amp;"",BJ997&amp;""))</f>
        <v/>
      </c>
      <c r="AQ997" s="5"/>
      <c r="AT997" s="0" t="str">
        <f aca="false">IF($A997="","",IF(AND(CN997="pass",AQ997&lt;&gt;"Y",C997&lt;&gt;"",OR(AX997&lt;&gt;"Y",AV997="Y")),"Y","N"))</f>
        <v/>
      </c>
      <c r="AU997" s="0" t="str">
        <f aca="false">IF($A997="","",_xlfn.TEXTJOIN("; ",TRUE(),IF(CN997&lt;&gt;"pass","gated out",""),IF(AQ997="Y","on hold: "&amp;AR997,""),IF(C997="","no contact named on an opened page",""),IF(AND(AX997="Y",AV997&lt;&gt;"Y"),"Tuesday estimate band "&amp;L997&amp;": founder's call","")))</f>
        <v/>
      </c>
      <c r="BC997" s="0" t="str">
        <f aca="false">IF($A997="","",IFERROR(INDEX(Enrichment!$A$2:$GZ$2000,MATCH($A997,INDEX(Enrichment!$A$2:$GZ$2000,0,MATCH("row_id",Enrichment!$A$1:$GZ$1,0)),0),MATCH("work_email",Enrichment!$A$1:$GZ$1,0))&amp;"",""))</f>
        <v/>
      </c>
      <c r="BD997" s="0" t="str">
        <f aca="false">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Q997" s="0" t="str">
        <f aca="false">IF($A997="","",IFERROR(INDEX(Enrichment!$A$2:$GZ$2000,MATCH($A997,INDEX(Enrichment!$A$2:$GZ$2000,0,MATCH("row_id",Enrichment!$A$1:$GZ$1,0)),0),MATCH("backup_work_email",Enrichment!$A$1:$GZ$1,0))&amp;"",""))</f>
        <v/>
      </c>
      <c r="BR997" s="0" t="str">
        <f aca="false">IF($A997="","",IF(BQ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EQ997" s="0" t="str">
        <f aca="false">IF($A997="","",IF(AH997="exact",10,IF(AH997="adjacent",5,0)))</f>
        <v/>
      </c>
      <c r="ER997" s="0" t="str">
        <f aca="false">IF($A997="","",IF(R997="Y",15,0))</f>
        <v/>
      </c>
      <c r="FS997" s="0" t="str">
        <f aca="false">IF($A997="","",IF(ISNUMBER(MATCH(U997,{"queued","contacted","replied","call_booked","call_done","yes_in_principle","materials_sent"},0)),"Y","N"))</f>
        <v/>
      </c>
      <c r="FT997" s="0" t="str">
        <f aca="false">IF($A997="","",IF(OR(T997="Y",U997="do_not_contact",AS997&amp;""&lt;&gt;""),"Y","N"))</f>
        <v/>
      </c>
      <c r="FU997" s="0" t="str">
        <f aca="false">IF($A997="","",IF(AP997&amp;""&lt;&gt;"",AP997&amp;"",$A997))</f>
        <v/>
      </c>
      <c r="FV997" s="0" t="str">
        <f aca="false">IF($A997="","",IF(COUNTIFS($FU$2:$FU$1000,FU997,$FS$2:$FS$1000,"Y")+COUNTIFS($FU$2:$FU$1000,FU997,$FT$2:$FT$1000,"Y")&gt;0,"Y","N"))</f>
        <v/>
      </c>
      <c r="FW997" s="0" t="str">
        <f aca="false">IF($A997="","",IF(AND(U997="new",T997="N",FT997="N",AT997="Y",FV997="N"),"Y","N"))</f>
        <v/>
      </c>
      <c r="FX997" s="0" t="str">
        <f aca="false">IF($A997="","",IF(FW997&lt;&gt;"Y","N",IF(COUNTIFS($FU$2:$FU$1000,FU997,$FW$2:$FW$1000,"Y",$J$2:$J$1000,"&gt;"&amp;J997)+COUNTIFS($FU$2:$FU$1000,FU997,$FW$2:$FW$1000,"Y",$J$2:$J$1000,J997,$GD$2:$GD$1000,"&lt;"&amp;GD997)=0,"Y","N")))</f>
        <v/>
      </c>
      <c r="FY997" s="0" t="str">
        <f aca="false">IF($A997="","",IF(AND(FW997="Y",FX997="Y",Y997&amp;""&lt;&gt;""),IF(Y997&lt;=10,"Y","N"),"N"))</f>
        <v/>
      </c>
      <c r="FZ997" s="0" t="str">
        <f aca="false">IF(FY997="Y",Y997,"")</f>
        <v/>
      </c>
      <c r="GA997" s="0" t="str">
        <f aca="false">IF($A997="","",IF(AND(I997="walk-in",CN997="pass",U997="new",FT997="N",FV997="N",AQ997&lt;&gt;"Y"),"Y","N"))</f>
        <v/>
      </c>
      <c r="GB997" s="0" t="str">
        <f aca="false">IF(GA997&lt;&gt;"Y","",IF(COUNTIFS($GA$2:$GA$1000,"Y",$J$2:$J$1000,"&gt;"&amp;J997)+COUNTIFS($GA$2:$GA$1000,"Y",$J$2:$J$1000,J997,$GD$2:$GD$1000,"&lt;"&amp;GD997)+1&lt;=25,COUNTIFS($GA$2:$GA$1000,"Y",$J$2:$J$1000,"&gt;"&amp;J997)+COUNTIFS($GA$2:$GA$1000,"Y",$J$2:$J$1000,J997,$GD$2:$GD$1000,"&lt;"&amp;GD997)+1,""))</f>
        <v/>
      </c>
      <c r="GC997" s="0" t="str">
        <f aca="false">IF(AND(_xlfn.ISFORMULA(C997),_xlfn.ISFORMULA(J997)),"Y","N")</f>
        <v>Y</v>
      </c>
      <c r="GD997" s="0" t="n">
        <f aca="false">ROW()-1</f>
        <v>996</v>
      </c>
    </row>
    <row r="998" customFormat="false" ht="15" hidden="false" customHeight="false" outlineLevel="0" collapsed="false">
      <c r="C998" s="0" t="str">
        <f aca="false">IF($A998="","",IF(AW998="Y",BM998&amp;"",AY998&amp;""))</f>
        <v/>
      </c>
      <c r="D998" s="0" t="str">
        <f aca="false">IF($A998="","",IF(AW998="Y",BN998&amp;"",AZ998&amp;""))</f>
        <v/>
      </c>
      <c r="E998" s="0" t="str">
        <f aca="false">IF($A998="","",IF(AW998="Y",BO998&amp;"",BA998&amp;""))</f>
        <v/>
      </c>
      <c r="F998" s="0" t="str">
        <f aca="false">IF($A998="","",IF(AW998="Y",BP998&amp;"",BB998&amp;""))</f>
        <v/>
      </c>
      <c r="G998" s="0" t="str">
        <f aca="false">IF($A998="","",IF(AW998="Y",BQ998&amp;"",BC998&amp;""))</f>
        <v/>
      </c>
      <c r="H998" s="0" t="str">
        <f aca="false">IF($A998="","",IF(AW998="Y",BR998&amp;"",BD998&amp;""))</f>
        <v/>
      </c>
      <c r="I998" s="0" t="str">
        <f aca="false">IF($A998="","",IF(R998="Y","warm-intro",IF(H998="verified","email",IF(C998&lt;&gt;"","linkedin",CB998&amp;""))))</f>
        <v/>
      </c>
      <c r="J998" s="0" t="str">
        <f aca="false">IF($A998="","",IF(CN998="pass",ROUND(N(EM998)+N(EN998)+N(EO998)+N(EP998)+N(EQ998)+N(ER998),1),0))</f>
        <v/>
      </c>
      <c r="K998" s="0" t="str">
        <f aca="false">IF($A998="","",IF(CN998&lt;&gt;"pass",CA998&amp;"",CA998&amp;"; "&amp;IF(AW998="Y",BZ998&amp;"",BL998&amp;"")&amp;IF(R998="Y","; known to the founder (+15)","")&amp;"."))</f>
        <v/>
      </c>
      <c r="R998" s="5"/>
      <c r="U998" s="5"/>
      <c r="Y998" s="0" t="str">
        <f aca="false">IF(FX998&lt;&gt;"Y","",COUNTIFS($FX$2:$FX$1000,"Y",$J$2:$J$1000,"&gt;"&amp;J998)+COUNTIFS($FX$2:$FX$1000,"Y",$J$2:$J$1000,J998,$GD$2:$GD$1000,"&lt;"&amp;GD998)+1)</f>
        <v/>
      </c>
      <c r="AB998" s="0" t="str">
        <f aca="false">IF($A998="","",IF(AW998="Y",BY998&amp;"",BK998&amp;""))</f>
        <v/>
      </c>
      <c r="AC998" s="0" t="str">
        <f aca="false">IF($A998="","",IF(AW998="Y",BS998&amp;"",BE998&amp;""))</f>
        <v/>
      </c>
      <c r="AD998" s="0" t="str">
        <f aca="false">IF($A998="","",IF(AW998="Y",BT998&amp;"",BF998&amp;""))</f>
        <v/>
      </c>
      <c r="AE998" s="0" t="str">
        <f aca="false">IF($A998="","",IF(AW998="Y",BU998&amp;"",BG998&amp;""))</f>
        <v/>
      </c>
      <c r="AF998" s="0" t="str">
        <f aca="false">IF($A998="","",IF(AW998="Y",BV998&amp;"",BH998&amp;""))</f>
        <v/>
      </c>
      <c r="AG998" s="0" t="str">
        <f aca="false">IF($A998="","",IF(AW998="Y",BW998&amp;"",BI998&amp;""))</f>
        <v/>
      </c>
      <c r="AH998" s="0" t="str">
        <f aca="false">IF($A998="","",IF(AW998="Y",BX998&amp;"",BJ998&amp;""))</f>
        <v/>
      </c>
      <c r="AQ998" s="5"/>
      <c r="AT998" s="0" t="str">
        <f aca="false">IF($A998="","",IF(AND(CN998="pass",AQ998&lt;&gt;"Y",C998&lt;&gt;"",OR(AX998&lt;&gt;"Y",AV998="Y")),"Y","N"))</f>
        <v/>
      </c>
      <c r="AU998" s="0" t="str">
        <f aca="false">IF($A998="","",_xlfn.TEXTJOIN("; ",TRUE(),IF(CN998&lt;&gt;"pass","gated out",""),IF(AQ998="Y","on hold: "&amp;AR998,""),IF(C998="","no contact named on an opened page",""),IF(AND(AX998="Y",AV998&lt;&gt;"Y"),"Tuesday estimate band "&amp;L998&amp;": founder's call","")))</f>
        <v/>
      </c>
      <c r="BC998" s="0" t="str">
        <f aca="false">IF($A998="","",IFERROR(INDEX(Enrichment!$A$2:$GZ$2000,MATCH($A998,INDEX(Enrichment!$A$2:$GZ$2000,0,MATCH("row_id",Enrichment!$A$1:$GZ$1,0)),0),MATCH("work_email",Enrichment!$A$1:$GZ$1,0))&amp;"",""))</f>
        <v/>
      </c>
      <c r="BD998" s="0" t="str">
        <f aca="false">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Q998" s="0" t="str">
        <f aca="false">IF($A998="","",IFERROR(INDEX(Enrichment!$A$2:$GZ$2000,MATCH($A998,INDEX(Enrichment!$A$2:$GZ$2000,0,MATCH("row_id",Enrichment!$A$1:$GZ$1,0)),0),MATCH("backup_work_email",Enrichment!$A$1:$GZ$1,0))&amp;"",""))</f>
        <v/>
      </c>
      <c r="BR998" s="0" t="str">
        <f aca="false">IF($A998="","",IF(BQ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EQ998" s="0" t="str">
        <f aca="false">IF($A998="","",IF(AH998="exact",10,IF(AH998="adjacent",5,0)))</f>
        <v/>
      </c>
      <c r="ER998" s="0" t="str">
        <f aca="false">IF($A998="","",IF(R998="Y",15,0))</f>
        <v/>
      </c>
      <c r="FS998" s="0" t="str">
        <f aca="false">IF($A998="","",IF(ISNUMBER(MATCH(U998,{"queued","contacted","replied","call_booked","call_done","yes_in_principle","materials_sent"},0)),"Y","N"))</f>
        <v/>
      </c>
      <c r="FT998" s="0" t="str">
        <f aca="false">IF($A998="","",IF(OR(T998="Y",U998="do_not_contact",AS998&amp;""&lt;&gt;""),"Y","N"))</f>
        <v/>
      </c>
      <c r="FU998" s="0" t="str">
        <f aca="false">IF($A998="","",IF(AP998&amp;""&lt;&gt;"",AP998&amp;"",$A998))</f>
        <v/>
      </c>
      <c r="FV998" s="0" t="str">
        <f aca="false">IF($A998="","",IF(COUNTIFS($FU$2:$FU$1000,FU998,$FS$2:$FS$1000,"Y")+COUNTIFS($FU$2:$FU$1000,FU998,$FT$2:$FT$1000,"Y")&gt;0,"Y","N"))</f>
        <v/>
      </c>
      <c r="FW998" s="0" t="str">
        <f aca="false">IF($A998="","",IF(AND(U998="new",T998="N",FT998="N",AT998="Y",FV998="N"),"Y","N"))</f>
        <v/>
      </c>
      <c r="FX998" s="0" t="str">
        <f aca="false">IF($A998="","",IF(FW998&lt;&gt;"Y","N",IF(COUNTIFS($FU$2:$FU$1000,FU998,$FW$2:$FW$1000,"Y",$J$2:$J$1000,"&gt;"&amp;J998)+COUNTIFS($FU$2:$FU$1000,FU998,$FW$2:$FW$1000,"Y",$J$2:$J$1000,J998,$GD$2:$GD$1000,"&lt;"&amp;GD998)=0,"Y","N")))</f>
        <v/>
      </c>
      <c r="FY998" s="0" t="str">
        <f aca="false">IF($A998="","",IF(AND(FW998="Y",FX998="Y",Y998&amp;""&lt;&gt;""),IF(Y998&lt;=10,"Y","N"),"N"))</f>
        <v/>
      </c>
      <c r="FZ998" s="0" t="str">
        <f aca="false">IF(FY998="Y",Y998,"")</f>
        <v/>
      </c>
      <c r="GA998" s="0" t="str">
        <f aca="false">IF($A998="","",IF(AND(I998="walk-in",CN998="pass",U998="new",FT998="N",FV998="N",AQ998&lt;&gt;"Y"),"Y","N"))</f>
        <v/>
      </c>
      <c r="GB998" s="0" t="str">
        <f aca="false">IF(GA998&lt;&gt;"Y","",IF(COUNTIFS($GA$2:$GA$1000,"Y",$J$2:$J$1000,"&gt;"&amp;J998)+COUNTIFS($GA$2:$GA$1000,"Y",$J$2:$J$1000,J998,$GD$2:$GD$1000,"&lt;"&amp;GD998)+1&lt;=25,COUNTIFS($GA$2:$GA$1000,"Y",$J$2:$J$1000,"&gt;"&amp;J998)+COUNTIFS($GA$2:$GA$1000,"Y",$J$2:$J$1000,J998,$GD$2:$GD$1000,"&lt;"&amp;GD998)+1,""))</f>
        <v/>
      </c>
      <c r="GC998" s="0" t="str">
        <f aca="false">IF(AND(_xlfn.ISFORMULA(C998),_xlfn.ISFORMULA(J998)),"Y","N")</f>
        <v>Y</v>
      </c>
      <c r="GD998" s="0" t="n">
        <f aca="false">ROW()-1</f>
        <v>997</v>
      </c>
    </row>
    <row r="999" customFormat="false" ht="15" hidden="false" customHeight="false" outlineLevel="0" collapsed="false">
      <c r="C999" s="0" t="str">
        <f aca="false">IF($A999="","",IF(AW999="Y",BM999&amp;"",AY999&amp;""))</f>
        <v/>
      </c>
      <c r="D999" s="0" t="str">
        <f aca="false">IF($A999="","",IF(AW999="Y",BN999&amp;"",AZ999&amp;""))</f>
        <v/>
      </c>
      <c r="E999" s="0" t="str">
        <f aca="false">IF($A999="","",IF(AW999="Y",BO999&amp;"",BA999&amp;""))</f>
        <v/>
      </c>
      <c r="F999" s="0" t="str">
        <f aca="false">IF($A999="","",IF(AW999="Y",BP999&amp;"",BB999&amp;""))</f>
        <v/>
      </c>
      <c r="G999" s="0" t="str">
        <f aca="false">IF($A999="","",IF(AW999="Y",BQ999&amp;"",BC999&amp;""))</f>
        <v/>
      </c>
      <c r="H999" s="0" t="str">
        <f aca="false">IF($A999="","",IF(AW999="Y",BR999&amp;"",BD999&amp;""))</f>
        <v/>
      </c>
      <c r="I999" s="0" t="str">
        <f aca="false">IF($A999="","",IF(R999="Y","warm-intro",IF(H999="verified","email",IF(C999&lt;&gt;"","linkedin",CB999&amp;""))))</f>
        <v/>
      </c>
      <c r="J999" s="0" t="str">
        <f aca="false">IF($A999="","",IF(CN999="pass",ROUND(N(EM999)+N(EN999)+N(EO999)+N(EP999)+N(EQ999)+N(ER999),1),0))</f>
        <v/>
      </c>
      <c r="K999" s="0" t="str">
        <f aca="false">IF($A999="","",IF(CN999&lt;&gt;"pass",CA999&amp;"",CA999&amp;"; "&amp;IF(AW999="Y",BZ999&amp;"",BL999&amp;"")&amp;IF(R999="Y","; known to the founder (+15)","")&amp;"."))</f>
        <v/>
      </c>
      <c r="R999" s="5"/>
      <c r="U999" s="5"/>
      <c r="Y999" s="0" t="str">
        <f aca="false">IF(FX999&lt;&gt;"Y","",COUNTIFS($FX$2:$FX$1000,"Y",$J$2:$J$1000,"&gt;"&amp;J999)+COUNTIFS($FX$2:$FX$1000,"Y",$J$2:$J$1000,J999,$GD$2:$GD$1000,"&lt;"&amp;GD999)+1)</f>
        <v/>
      </c>
      <c r="AB999" s="0" t="str">
        <f aca="false">IF($A999="","",IF(AW999="Y",BY999&amp;"",BK999&amp;""))</f>
        <v/>
      </c>
      <c r="AC999" s="0" t="str">
        <f aca="false">IF($A999="","",IF(AW999="Y",BS999&amp;"",BE999&amp;""))</f>
        <v/>
      </c>
      <c r="AD999" s="0" t="str">
        <f aca="false">IF($A999="","",IF(AW999="Y",BT999&amp;"",BF999&amp;""))</f>
        <v/>
      </c>
      <c r="AE999" s="0" t="str">
        <f aca="false">IF($A999="","",IF(AW999="Y",BU999&amp;"",BG999&amp;""))</f>
        <v/>
      </c>
      <c r="AF999" s="0" t="str">
        <f aca="false">IF($A999="","",IF(AW999="Y",BV999&amp;"",BH999&amp;""))</f>
        <v/>
      </c>
      <c r="AG999" s="0" t="str">
        <f aca="false">IF($A999="","",IF(AW999="Y",BW999&amp;"",BI999&amp;""))</f>
        <v/>
      </c>
      <c r="AH999" s="0" t="str">
        <f aca="false">IF($A999="","",IF(AW999="Y",BX999&amp;"",BJ999&amp;""))</f>
        <v/>
      </c>
      <c r="AQ999" s="5"/>
      <c r="AT999" s="0" t="str">
        <f aca="false">IF($A999="","",IF(AND(CN999="pass",AQ999&lt;&gt;"Y",C999&lt;&gt;"",OR(AX999&lt;&gt;"Y",AV999="Y")),"Y","N"))</f>
        <v/>
      </c>
      <c r="AU999" s="0" t="str">
        <f aca="false">IF($A999="","",_xlfn.TEXTJOIN("; ",TRUE(),IF(CN999&lt;&gt;"pass","gated out",""),IF(AQ999="Y","on hold: "&amp;AR999,""),IF(C999="","no contact named on an opened page",""),IF(AND(AX999="Y",AV999&lt;&gt;"Y"),"Tuesday estimate band "&amp;L999&amp;": founder's call","")))</f>
        <v/>
      </c>
      <c r="BC999" s="0" t="str">
        <f aca="false">IF($A999="","",IFERROR(INDEX(Enrichment!$A$2:$GZ$2000,MATCH($A999,INDEX(Enrichment!$A$2:$GZ$2000,0,MATCH("row_id",Enrichment!$A$1:$GZ$1,0)),0),MATCH("work_email",Enrichment!$A$1:$GZ$1,0))&amp;"",""))</f>
        <v/>
      </c>
      <c r="BD999" s="0" t="str">
        <f aca="false">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Q999" s="0" t="str">
        <f aca="false">IF($A999="","",IFERROR(INDEX(Enrichment!$A$2:$GZ$2000,MATCH($A999,INDEX(Enrichment!$A$2:$GZ$2000,0,MATCH("row_id",Enrichment!$A$1:$GZ$1,0)),0),MATCH("backup_work_email",Enrichment!$A$1:$GZ$1,0))&amp;"",""))</f>
        <v/>
      </c>
      <c r="BR999" s="0" t="str">
        <f aca="false">IF($A999="","",IF(BQ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EQ999" s="0" t="str">
        <f aca="false">IF($A999="","",IF(AH999="exact",10,IF(AH999="adjacent",5,0)))</f>
        <v/>
      </c>
      <c r="ER999" s="0" t="str">
        <f aca="false">IF($A999="","",IF(R999="Y",15,0))</f>
        <v/>
      </c>
      <c r="FS999" s="0" t="str">
        <f aca="false">IF($A999="","",IF(ISNUMBER(MATCH(U999,{"queued","contacted","replied","call_booked","call_done","yes_in_principle","materials_sent"},0)),"Y","N"))</f>
        <v/>
      </c>
      <c r="FT999" s="0" t="str">
        <f aca="false">IF($A999="","",IF(OR(T999="Y",U999="do_not_contact",AS999&amp;""&lt;&gt;""),"Y","N"))</f>
        <v/>
      </c>
      <c r="FU999" s="0" t="str">
        <f aca="false">IF($A999="","",IF(AP999&amp;""&lt;&gt;"",AP999&amp;"",$A999))</f>
        <v/>
      </c>
      <c r="FV999" s="0" t="str">
        <f aca="false">IF($A999="","",IF(COUNTIFS($FU$2:$FU$1000,FU999,$FS$2:$FS$1000,"Y")+COUNTIFS($FU$2:$FU$1000,FU999,$FT$2:$FT$1000,"Y")&gt;0,"Y","N"))</f>
        <v/>
      </c>
      <c r="FW999" s="0" t="str">
        <f aca="false">IF($A999="","",IF(AND(U999="new",T999="N",FT999="N",AT999="Y",FV999="N"),"Y","N"))</f>
        <v/>
      </c>
      <c r="FX999" s="0" t="str">
        <f aca="false">IF($A999="","",IF(FW999&lt;&gt;"Y","N",IF(COUNTIFS($FU$2:$FU$1000,FU999,$FW$2:$FW$1000,"Y",$J$2:$J$1000,"&gt;"&amp;J999)+COUNTIFS($FU$2:$FU$1000,FU999,$FW$2:$FW$1000,"Y",$J$2:$J$1000,J999,$GD$2:$GD$1000,"&lt;"&amp;GD999)=0,"Y","N")))</f>
        <v/>
      </c>
      <c r="FY999" s="0" t="str">
        <f aca="false">IF($A999="","",IF(AND(FW999="Y",FX999="Y",Y999&amp;""&lt;&gt;""),IF(Y999&lt;=10,"Y","N"),"N"))</f>
        <v/>
      </c>
      <c r="FZ999" s="0" t="str">
        <f aca="false">IF(FY999="Y",Y999,"")</f>
        <v/>
      </c>
      <c r="GA999" s="0" t="str">
        <f aca="false">IF($A999="","",IF(AND(I999="walk-in",CN999="pass",U999="new",FT999="N",FV999="N",AQ999&lt;&gt;"Y"),"Y","N"))</f>
        <v/>
      </c>
      <c r="GB999" s="0" t="str">
        <f aca="false">IF(GA999&lt;&gt;"Y","",IF(COUNTIFS($GA$2:$GA$1000,"Y",$J$2:$J$1000,"&gt;"&amp;J999)+COUNTIFS($GA$2:$GA$1000,"Y",$J$2:$J$1000,J999,$GD$2:$GD$1000,"&lt;"&amp;GD999)+1&lt;=25,COUNTIFS($GA$2:$GA$1000,"Y",$J$2:$J$1000,"&gt;"&amp;J999)+COUNTIFS($GA$2:$GA$1000,"Y",$J$2:$J$1000,J999,$GD$2:$GD$1000,"&lt;"&amp;GD999)+1,""))</f>
        <v/>
      </c>
      <c r="GC999" s="0" t="str">
        <f aca="false">IF(AND(_xlfn.ISFORMULA(C999),_xlfn.ISFORMULA(J999)),"Y","N")</f>
        <v>Y</v>
      </c>
      <c r="GD999" s="0" t="n">
        <f aca="false">ROW()-1</f>
        <v>998</v>
      </c>
    </row>
    <row r="1000" customFormat="false" ht="15" hidden="false" customHeight="false" outlineLevel="0" collapsed="false">
      <c r="C1000" s="0" t="str">
        <f aca="false">IF($A1000="","",IF(AW1000="Y",BM1000&amp;"",AY1000&amp;""))</f>
        <v/>
      </c>
      <c r="D1000" s="0" t="str">
        <f aca="false">IF($A1000="","",IF(AW1000="Y",BN1000&amp;"",AZ1000&amp;""))</f>
        <v/>
      </c>
      <c r="E1000" s="0" t="str">
        <f aca="false">IF($A1000="","",IF(AW1000="Y",BO1000&amp;"",BA1000&amp;""))</f>
        <v/>
      </c>
      <c r="F1000" s="0" t="str">
        <f aca="false">IF($A1000="","",IF(AW1000="Y",BP1000&amp;"",BB1000&amp;""))</f>
        <v/>
      </c>
      <c r="G1000" s="0" t="str">
        <f aca="false">IF($A1000="","",IF(AW1000="Y",BQ1000&amp;"",BC1000&amp;""))</f>
        <v/>
      </c>
      <c r="H1000" s="0" t="str">
        <f aca="false">IF($A1000="","",IF(AW1000="Y",BR1000&amp;"",BD1000&amp;""))</f>
        <v/>
      </c>
      <c r="I1000" s="0" t="str">
        <f aca="false">IF($A1000="","",IF(R1000="Y","warm-intro",IF(H1000="verified","email",IF(C1000&lt;&gt;"","linkedin",CB1000&amp;""))))</f>
        <v/>
      </c>
      <c r="J1000" s="0" t="str">
        <f aca="false">IF($A1000="","",IF(CN1000="pass",ROUND(N(EM1000)+N(EN1000)+N(EO1000)+N(EP1000)+N(EQ1000)+N(ER1000),1),0))</f>
        <v/>
      </c>
      <c r="K1000" s="0" t="str">
        <f aca="false">IF($A1000="","",IF(CN1000&lt;&gt;"pass",CA1000&amp;"",CA1000&amp;"; "&amp;IF(AW1000="Y",BZ1000&amp;"",BL1000&amp;"")&amp;IF(R1000="Y","; known to the founder (+15)","")&amp;"."))</f>
        <v/>
      </c>
      <c r="R1000" s="5"/>
      <c r="U1000" s="5"/>
      <c r="Y1000" s="0" t="str">
        <f aca="false">IF(FX1000&lt;&gt;"Y","",COUNTIFS($FX$2:$FX$1000,"Y",$J$2:$J$1000,"&gt;"&amp;J1000)+COUNTIFS($FX$2:$FX$1000,"Y",$J$2:$J$1000,J1000,$GD$2:$GD$1000,"&lt;"&amp;GD1000)+1)</f>
        <v/>
      </c>
      <c r="AB1000" s="0" t="str">
        <f aca="false">IF($A1000="","",IF(AW1000="Y",BY1000&amp;"",BK1000&amp;""))</f>
        <v/>
      </c>
      <c r="AC1000" s="0" t="str">
        <f aca="false">IF($A1000="","",IF(AW1000="Y",BS1000&amp;"",BE1000&amp;""))</f>
        <v/>
      </c>
      <c r="AD1000" s="0" t="str">
        <f aca="false">IF($A1000="","",IF(AW1000="Y",BT1000&amp;"",BF1000&amp;""))</f>
        <v/>
      </c>
      <c r="AE1000" s="0" t="str">
        <f aca="false">IF($A1000="","",IF(AW1000="Y",BU1000&amp;"",BG1000&amp;""))</f>
        <v/>
      </c>
      <c r="AF1000" s="0" t="str">
        <f aca="false">IF($A1000="","",IF(AW1000="Y",BV1000&amp;"",BH1000&amp;""))</f>
        <v/>
      </c>
      <c r="AG1000" s="0" t="str">
        <f aca="false">IF($A1000="","",IF(AW1000="Y",BW1000&amp;"",BI1000&amp;""))</f>
        <v/>
      </c>
      <c r="AH1000" s="0" t="str">
        <f aca="false">IF($A1000="","",IF(AW1000="Y",BX1000&amp;"",BJ1000&amp;""))</f>
        <v/>
      </c>
      <c r="AQ1000" s="5"/>
      <c r="AT1000" s="0" t="str">
        <f aca="false">IF($A1000="","",IF(AND(CN1000="pass",AQ1000&lt;&gt;"Y",C1000&lt;&gt;"",OR(AX1000&lt;&gt;"Y",AV1000="Y")),"Y","N"))</f>
        <v/>
      </c>
      <c r="AU1000" s="0" t="str">
        <f aca="false">IF($A1000="","",_xlfn.TEXTJOIN("; ",TRUE(),IF(CN1000&lt;&gt;"pass","gated out",""),IF(AQ1000="Y","on hold: "&amp;AR1000,""),IF(C1000="","no contact named on an opened page",""),IF(AND(AX1000="Y",AV1000&lt;&gt;"Y"),"Tuesday estimate band "&amp;L1000&amp;": founder's call","")))</f>
        <v/>
      </c>
      <c r="BC1000" s="0" t="str">
        <f aca="false">IF($A1000="","",IFERROR(INDEX(Enrichment!$A$2:$GZ$2000,MATCH($A1000,INDEX(Enrichment!$A$2:$GZ$2000,0,MATCH("row_id",Enrichment!$A$1:$GZ$1,0)),0),MATCH("work_email",Enrichment!$A$1:$GZ$1,0))&amp;"",""))</f>
        <v/>
      </c>
      <c r="BD1000" s="0" t="str">
        <f aca="false">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Q1000" s="0" t="str">
        <f aca="false">IF($A1000="","",IFERROR(INDEX(Enrichment!$A$2:$GZ$2000,MATCH($A1000,INDEX(Enrichment!$A$2:$GZ$2000,0,MATCH("row_id",Enrichment!$A$1:$GZ$1,0)),0),MATCH("backup_work_email",Enrichment!$A$1:$GZ$1,0))&amp;"",""))</f>
        <v/>
      </c>
      <c r="BR1000" s="0" t="str">
        <f aca="false">IF($A1000="","",IF(BQ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EQ1000" s="0" t="str">
        <f aca="false">IF($A1000="","",IF(AH1000="exact",10,IF(AH1000="adjacent",5,0)))</f>
        <v/>
      </c>
      <c r="ER1000" s="0" t="str">
        <f aca="false">IF($A1000="","",IF(R1000="Y",15,0))</f>
        <v/>
      </c>
      <c r="FS1000" s="0" t="str">
        <f aca="false">IF($A1000="","",IF(ISNUMBER(MATCH(U1000,{"queued","contacted","replied","call_booked","call_done","yes_in_principle","materials_sent"},0)),"Y","N"))</f>
        <v/>
      </c>
      <c r="FT1000" s="0" t="str">
        <f aca="false">IF($A1000="","",IF(OR(T1000="Y",U1000="do_not_contact",AS1000&amp;""&lt;&gt;""),"Y","N"))</f>
        <v/>
      </c>
      <c r="FU1000" s="0" t="str">
        <f aca="false">IF($A1000="","",IF(AP1000&amp;""&lt;&gt;"",AP1000&amp;"",$A1000))</f>
        <v/>
      </c>
      <c r="FV1000" s="0" t="str">
        <f aca="false">IF($A1000="","",IF(COUNTIFS($FU$2:$FU$1000,FU1000,$FS$2:$FS$1000,"Y")+COUNTIFS($FU$2:$FU$1000,FU1000,$FT$2:$FT$1000,"Y")&gt;0,"Y","N"))</f>
        <v/>
      </c>
      <c r="FW1000" s="0" t="str">
        <f aca="false">IF($A1000="","",IF(AND(U1000="new",T1000="N",FT1000="N",AT1000="Y",FV1000="N"),"Y","N"))</f>
        <v/>
      </c>
      <c r="FX1000" s="0" t="str">
        <f aca="false">IF($A1000="","",IF(FW1000&lt;&gt;"Y","N",IF(COUNTIFS($FU$2:$FU$1000,FU1000,$FW$2:$FW$1000,"Y",$J$2:$J$1000,"&gt;"&amp;J1000)+COUNTIFS($FU$2:$FU$1000,FU1000,$FW$2:$FW$1000,"Y",$J$2:$J$1000,J1000,$GD$2:$GD$1000,"&lt;"&amp;GD1000)=0,"Y","N")))</f>
        <v/>
      </c>
      <c r="FY1000" s="0" t="str">
        <f aca="false">IF($A1000="","",IF(AND(FW1000="Y",FX1000="Y",Y1000&amp;""&lt;&gt;""),IF(Y1000&lt;=10,"Y","N"),"N"))</f>
        <v/>
      </c>
      <c r="FZ1000" s="0" t="str">
        <f aca="false">IF(FY1000="Y",Y1000,"")</f>
        <v/>
      </c>
      <c r="GA1000" s="0" t="str">
        <f aca="false">IF($A1000="","",IF(AND(I1000="walk-in",CN1000="pass",U1000="new",FT1000="N",FV1000="N",AQ1000&lt;&gt;"Y"),"Y","N"))</f>
        <v/>
      </c>
      <c r="GB1000" s="0" t="str">
        <f aca="false">IF(GA1000&lt;&gt;"Y","",IF(COUNTIFS($GA$2:$GA$1000,"Y",$J$2:$J$1000,"&gt;"&amp;J1000)+COUNTIFS($GA$2:$GA$1000,"Y",$J$2:$J$1000,J1000,$GD$2:$GD$1000,"&lt;"&amp;GD1000)+1&lt;=25,COUNTIFS($GA$2:$GA$1000,"Y",$J$2:$J$1000,"&gt;"&amp;J1000)+COUNTIFS($GA$2:$GA$1000,"Y",$J$2:$J$1000,J1000,$GD$2:$GD$1000,"&lt;"&amp;GD1000)+1,""))</f>
        <v/>
      </c>
      <c r="GC1000" s="0" t="str">
        <f aca="false">IF(AND(_xlfn.ISFORMULA(C1000),_xlfn.ISFORMULA(J1000)),"Y","N")</f>
        <v>Y</v>
      </c>
      <c r="GD1000" s="0" t="n">
        <f aca="false">ROW()-1</f>
        <v>999</v>
      </c>
    </row>
  </sheetData>
  <autoFilter ref="A1:GD309"/>
  <conditionalFormatting sqref="U2:U1000 T2:T1000 AS2:AS1000">
    <cfRule type="expression" priority="2" aboveAverage="0" equalAverage="0" bottom="0" percent="0" rank="0" text="" dxfId="7">
      <formula>AND($A2&lt;&gt;"",OR(AND($U2="do_not_contact",$T2&lt;&gt;"Y"),AND($T2="Y",$U2&lt;&gt;"do_not_contact"),AND($AS2&amp;""&lt;&gt;"",$T2&lt;&gt;"Y")))</formula>
    </cfRule>
  </conditionalFormatting>
  <dataValidations count="6">
    <dataValidation allowBlank="true" error="status takes only: new, queued, contacted, replied, call_booked, call_done, yes_in_principle, materials_sent, signed, not_now, no, wrong_person, do_not_contact" errorStyle="stop" errorTitle="Not an allowed value" operator="between" showDropDown="false" showErrorMessage="true" showInputMessage="false" sqref="U2:U1000" type="list">
      <formula1>"new,queued,contacted,replied,call_booked,call_done,yes_in_principle,materials_sent,signed,not_now,no,wrong_person,do_not_contact"</formula1>
      <formula2>0</formula2>
    </dataValidation>
    <dataValidation allowBlank="true" error="do_not_contact takes only: Y, N" errorStyle="stop" errorTitle="Not an allowed value" operator="between" showDropDown="false" showErrorMessage="true" showInputMessage="false" sqref="T2:T1000" type="list">
      <formula1>"Y,N"</formula1>
      <formula2>0</formula2>
    </dataValidation>
    <dataValidation allowBlank="true" error="known_to_founder takes only: Y, N" errorStyle="stop" errorTitle="Not an allowed value" operator="between" showDropDown="false" showErrorMessage="true" showInputMessage="false" sqref="R2:R1000" type="list">
      <formula1>"Y,N"</formula1>
      <formula2>0</formula2>
    </dataValidation>
    <dataValidation allowBlank="true" error="hold_before_outreach takes only: Y, N" errorStyle="stop" errorTitle="Not an allowed value" operator="between" showDropDown="false" showErrorMessage="true" showInputMessage="false" sqref="AQ2:AQ1000" type="list">
      <formula1>"Y,N"</formula1>
      <formula2>0</formula2>
    </dataValidation>
    <dataValidation allowBlank="true" error="founder_ok_to_queue takes only: Y" errorStyle="stop" errorTitle="Not an allowed value" operator="between" showDropDown="false" showErrorMessage="true" showInputMessage="false" sqref="AV2:AV1000" type="list">
      <formula1>"Y"</formula1>
      <formula2>0</formula2>
    </dataValidation>
    <dataValidation allowBlank="true" error="promote_backup takes only: Y" errorStyle="stop" errorTitle="Not an allowed value" operator="between" showDropDown="false" showErrorMessage="true" showInputMessage="false" sqref="AW2:AW1000" type="list">
      <formula1>"Y"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38" min="29" style="0" width="14"/>
    <col collapsed="false" customWidth="true" hidden="false" outlineLevel="0" max="39" min="39" style="0" width="40"/>
    <col collapsed="false" customWidth="true" hidden="false" outlineLevel="0" max="41" min="40" style="0" width="14"/>
    <col collapsed="false" customWidth="true" hidden="false" outlineLevel="0" max="42" min="42" style="0" width="40"/>
    <col collapsed="false" customWidth="true" hidden="false" outlineLevel="0" max="44" min="43" style="0" width="14"/>
    <col collapsed="false" customWidth="true" hidden="false" outlineLevel="0" max="45" min="45" style="0" width="40"/>
    <col collapsed="false" customWidth="true" hidden="false" outlineLevel="0" max="81" min="46" style="0" width="14"/>
    <col collapsed="false" customWidth="true" hidden="false" outlineLevel="0" max="82" min="82" style="0" width="40"/>
    <col collapsed="false" customWidth="true" hidden="false" outlineLevel="0" max="90" min="83" style="0" width="14"/>
    <col collapsed="false" customWidth="true" hidden="false" outlineLevel="0" max="91" min="91" style="0" width="40"/>
    <col collapsed="false" customWidth="true" hidden="false" outlineLevel="0" max="129" min="92" style="0" width="14"/>
    <col collapsed="false" customWidth="true" hidden="false" outlineLevel="0" max="130" min="130" style="0" width="40"/>
    <col collapsed="false" customWidth="true" hidden="false" outlineLevel="0" max="163" min="131" style="0" width="14"/>
  </cols>
  <sheetData>
    <row r="1" customFormat="false" ht="15" hidden="false" customHeight="false" outlineLevel="0" collapsed="false">
      <c r="A1" s="1" t="s">
        <v>0</v>
      </c>
      <c r="B1" s="1" t="s">
        <v>1</v>
      </c>
      <c r="C1" s="2" t="s">
        <v>5488</v>
      </c>
      <c r="D1" s="2" t="s">
        <v>5489</v>
      </c>
      <c r="E1" s="2" t="s">
        <v>5490</v>
      </c>
      <c r="F1" s="2" t="s">
        <v>5491</v>
      </c>
      <c r="G1" s="2" t="s">
        <v>5492</v>
      </c>
      <c r="H1" s="2" t="s">
        <v>5493</v>
      </c>
      <c r="I1" s="2" t="s">
        <v>5494</v>
      </c>
      <c r="J1" s="2" t="s">
        <v>5495</v>
      </c>
      <c r="K1" s="2" t="s">
        <v>5496</v>
      </c>
      <c r="L1" s="1" t="s">
        <v>36</v>
      </c>
      <c r="M1" s="1" t="s">
        <v>5497</v>
      </c>
      <c r="N1" s="1" t="s">
        <v>5498</v>
      </c>
      <c r="O1" s="1" t="s">
        <v>5499</v>
      </c>
      <c r="P1" s="1" t="s">
        <v>5500</v>
      </c>
      <c r="Q1" s="1" t="s">
        <v>5501</v>
      </c>
      <c r="R1" s="3" t="s">
        <v>5502</v>
      </c>
      <c r="S1" s="1" t="s">
        <v>5503</v>
      </c>
      <c r="T1" s="4" t="s">
        <v>5504</v>
      </c>
      <c r="U1" s="4" t="s">
        <v>5505</v>
      </c>
      <c r="V1" s="1" t="s">
        <v>5506</v>
      </c>
      <c r="W1" s="1" t="s">
        <v>5507</v>
      </c>
      <c r="X1" s="1" t="s">
        <v>5508</v>
      </c>
      <c r="Y1" s="2" t="s">
        <v>5509</v>
      </c>
      <c r="Z1" s="1" t="s">
        <v>4</v>
      </c>
      <c r="AA1" s="1" t="s">
        <v>5510</v>
      </c>
      <c r="AB1" s="2" t="s">
        <v>5511</v>
      </c>
      <c r="AC1" s="2" t="s">
        <v>5512</v>
      </c>
      <c r="AD1" s="2" t="s">
        <v>5513</v>
      </c>
      <c r="AE1" s="2" t="s">
        <v>5514</v>
      </c>
      <c r="AF1" s="2" t="s">
        <v>5515</v>
      </c>
      <c r="AG1" s="2" t="s">
        <v>5516</v>
      </c>
      <c r="AH1" s="1" t="s">
        <v>5517</v>
      </c>
      <c r="AI1" s="1" t="s">
        <v>5518</v>
      </c>
      <c r="AJ1" s="1" t="s">
        <v>78</v>
      </c>
      <c r="AK1" s="1" t="s">
        <v>5519</v>
      </c>
      <c r="AL1" s="1" t="s">
        <v>5520</v>
      </c>
      <c r="AM1" s="1" t="s">
        <v>5521</v>
      </c>
      <c r="AN1" s="1" t="s">
        <v>41</v>
      </c>
      <c r="AO1" s="3" t="s">
        <v>42</v>
      </c>
      <c r="AP1" s="1" t="s">
        <v>43</v>
      </c>
      <c r="AQ1" s="4" t="s">
        <v>44</v>
      </c>
      <c r="AR1" s="2" t="s">
        <v>45</v>
      </c>
      <c r="AS1" s="2" t="s">
        <v>46</v>
      </c>
      <c r="AT1" s="3" t="s">
        <v>48</v>
      </c>
      <c r="AU1" s="1" t="s">
        <v>5522</v>
      </c>
      <c r="AV1" s="3" t="s">
        <v>5523</v>
      </c>
      <c r="AW1" s="3" t="s">
        <v>5524</v>
      </c>
      <c r="AX1" s="1" t="s">
        <v>5525</v>
      </c>
      <c r="AY1" s="1" t="s">
        <v>7</v>
      </c>
      <c r="AZ1" s="1" t="s">
        <v>8</v>
      </c>
      <c r="BA1" s="1" t="s">
        <v>9</v>
      </c>
      <c r="BB1" s="3" t="s">
        <v>10</v>
      </c>
      <c r="BC1" s="2" t="s">
        <v>50</v>
      </c>
      <c r="BD1" s="2" t="s">
        <v>51</v>
      </c>
      <c r="BE1" s="1" t="s">
        <v>11</v>
      </c>
      <c r="BF1" s="1" t="s">
        <v>12</v>
      </c>
      <c r="BG1" s="1" t="s">
        <v>13</v>
      </c>
      <c r="BH1" s="1" t="s">
        <v>14</v>
      </c>
      <c r="BI1" s="1" t="s">
        <v>15</v>
      </c>
      <c r="BJ1" s="1" t="s">
        <v>53</v>
      </c>
      <c r="BK1" s="1" t="s">
        <v>54</v>
      </c>
      <c r="BL1" s="1" t="s">
        <v>16</v>
      </c>
      <c r="BM1" s="1" t="s">
        <v>17</v>
      </c>
      <c r="BN1" s="1" t="s">
        <v>18</v>
      </c>
      <c r="BO1" s="3" t="s">
        <v>19</v>
      </c>
      <c r="BP1" s="2" t="s">
        <v>55</v>
      </c>
      <c r="BQ1" s="2" t="s">
        <v>56</v>
      </c>
      <c r="BR1" s="1" t="s">
        <v>20</v>
      </c>
      <c r="BS1" s="1" t="s">
        <v>21</v>
      </c>
      <c r="BT1" s="1" t="s">
        <v>22</v>
      </c>
      <c r="BU1" s="1" t="s">
        <v>23</v>
      </c>
      <c r="BV1" s="1" t="s">
        <v>24</v>
      </c>
      <c r="BW1" s="1" t="s">
        <v>58</v>
      </c>
      <c r="BX1" s="1" t="s">
        <v>59</v>
      </c>
      <c r="BY1" s="1" t="s">
        <v>60</v>
      </c>
      <c r="BZ1" s="1" t="s">
        <v>5526</v>
      </c>
      <c r="CA1" s="1" t="s">
        <v>61</v>
      </c>
      <c r="CB1" s="1" t="s">
        <v>62</v>
      </c>
      <c r="CC1" s="1" t="s">
        <v>63</v>
      </c>
      <c r="CD1" s="1" t="s">
        <v>64</v>
      </c>
      <c r="CE1" s="1" t="s">
        <v>66</v>
      </c>
      <c r="CF1" s="1" t="s">
        <v>25</v>
      </c>
      <c r="CG1" s="1" t="s">
        <v>26</v>
      </c>
      <c r="CH1" s="1" t="s">
        <v>27</v>
      </c>
      <c r="CI1" s="1" t="s">
        <v>29</v>
      </c>
      <c r="CJ1" s="1" t="s">
        <v>37</v>
      </c>
      <c r="CK1" s="1" t="s">
        <v>67</v>
      </c>
      <c r="CL1" s="1" t="s">
        <v>5527</v>
      </c>
      <c r="CM1" s="1" t="s">
        <v>68</v>
      </c>
      <c r="CN1" s="1" t="s">
        <v>5528</v>
      </c>
      <c r="CO1" s="1" t="s">
        <v>2</v>
      </c>
      <c r="CP1" s="1" t="s">
        <v>5529</v>
      </c>
      <c r="CQ1" s="1" t="s">
        <v>5530</v>
      </c>
      <c r="CR1" s="1" t="s">
        <v>5531</v>
      </c>
      <c r="CS1" s="1" t="s">
        <v>5532</v>
      </c>
      <c r="CT1" s="1" t="s">
        <v>5533</v>
      </c>
      <c r="CU1" s="1" t="s">
        <v>5534</v>
      </c>
      <c r="CV1" s="1" t="s">
        <v>5535</v>
      </c>
      <c r="CW1" s="1" t="s">
        <v>5536</v>
      </c>
      <c r="CX1" s="1" t="s">
        <v>5537</v>
      </c>
      <c r="CY1" s="1" t="s">
        <v>5538</v>
      </c>
      <c r="CZ1" s="1" t="s">
        <v>5539</v>
      </c>
      <c r="DA1" s="1" t="s">
        <v>5540</v>
      </c>
      <c r="DB1" s="1" t="s">
        <v>5541</v>
      </c>
      <c r="DC1" s="1" t="s">
        <v>5542</v>
      </c>
      <c r="DD1" s="1" t="s">
        <v>5543</v>
      </c>
      <c r="DE1" s="1" t="s">
        <v>5544</v>
      </c>
      <c r="DF1" s="1" t="s">
        <v>5545</v>
      </c>
      <c r="DG1" s="1" t="s">
        <v>5546</v>
      </c>
      <c r="DH1" s="1" t="s">
        <v>5547</v>
      </c>
      <c r="DI1" s="1" t="s">
        <v>5548</v>
      </c>
      <c r="DJ1" s="1" t="s">
        <v>5549</v>
      </c>
      <c r="DK1" s="1" t="s">
        <v>5550</v>
      </c>
      <c r="DL1" s="1" t="s">
        <v>5551</v>
      </c>
      <c r="DM1" s="1" t="s">
        <v>5552</v>
      </c>
      <c r="DN1" s="1" t="s">
        <v>113</v>
      </c>
      <c r="DO1" s="1" t="s">
        <v>5553</v>
      </c>
      <c r="DP1" s="1" t="s">
        <v>5554</v>
      </c>
      <c r="DQ1" s="1" t="s">
        <v>5555</v>
      </c>
      <c r="DR1" s="1" t="s">
        <v>5556</v>
      </c>
      <c r="DS1" s="1" t="s">
        <v>5557</v>
      </c>
      <c r="DT1" s="1" t="s">
        <v>5558</v>
      </c>
      <c r="DU1" s="2" t="s">
        <v>119</v>
      </c>
      <c r="DV1" s="1" t="s">
        <v>5559</v>
      </c>
      <c r="DW1" s="1" t="s">
        <v>5560</v>
      </c>
      <c r="DX1" s="1" t="s">
        <v>5561</v>
      </c>
      <c r="DY1" s="1" t="s">
        <v>5562</v>
      </c>
      <c r="DZ1" s="1" t="s">
        <v>5563</v>
      </c>
      <c r="EA1" s="1" t="s">
        <v>5564</v>
      </c>
      <c r="EB1" s="1" t="s">
        <v>5565</v>
      </c>
      <c r="EC1" s="1" t="s">
        <v>128</v>
      </c>
      <c r="ED1" s="4" t="s">
        <v>129</v>
      </c>
      <c r="EE1" s="4" t="s">
        <v>130</v>
      </c>
      <c r="EF1" s="4" t="s">
        <v>131</v>
      </c>
      <c r="EG1" s="4" t="s">
        <v>132</v>
      </c>
      <c r="EH1" s="4" t="s">
        <v>133</v>
      </c>
      <c r="EI1" s="4" t="s">
        <v>134</v>
      </c>
      <c r="EJ1" s="4" t="s">
        <v>135</v>
      </c>
      <c r="EK1" s="4" t="s">
        <v>136</v>
      </c>
      <c r="EL1" s="4" t="s">
        <v>137</v>
      </c>
      <c r="EM1" s="4" t="s">
        <v>138</v>
      </c>
      <c r="EN1" s="4" t="s">
        <v>139</v>
      </c>
      <c r="EO1" s="4" t="s">
        <v>140</v>
      </c>
      <c r="EP1" s="4" t="s">
        <v>142</v>
      </c>
      <c r="EQ1" s="4" t="s">
        <v>5566</v>
      </c>
      <c r="ER1" s="4" t="s">
        <v>143</v>
      </c>
      <c r="ES1" s="4" t="s">
        <v>144</v>
      </c>
      <c r="ET1" s="4" t="s">
        <v>145</v>
      </c>
      <c r="EU1" s="4" t="s">
        <v>5567</v>
      </c>
      <c r="EV1" s="2" t="s">
        <v>146</v>
      </c>
      <c r="EW1" s="2" t="s">
        <v>147</v>
      </c>
      <c r="EX1" s="2" t="s">
        <v>148</v>
      </c>
      <c r="EY1" s="2" t="s">
        <v>149</v>
      </c>
      <c r="EZ1" s="2" t="s">
        <v>150</v>
      </c>
      <c r="FA1" s="2" t="s">
        <v>151</v>
      </c>
      <c r="FB1" s="2" t="s">
        <v>152</v>
      </c>
      <c r="FC1" s="2" t="s">
        <v>153</v>
      </c>
      <c r="FD1" s="2" t="s">
        <v>5568</v>
      </c>
      <c r="FE1" s="2" t="s">
        <v>5569</v>
      </c>
      <c r="FF1" s="2" t="s">
        <v>156</v>
      </c>
      <c r="FG1" s="2" t="s">
        <v>157</v>
      </c>
    </row>
    <row r="2" customFormat="false" ht="15" hidden="false" customHeight="false" outlineLevel="0" collapsed="false">
      <c r="A2" s="0" t="s">
        <v>5570</v>
      </c>
      <c r="B2" s="0" t="s">
        <v>5571</v>
      </c>
      <c r="C2" s="0" t="str">
        <f aca="false">IF($A2="","",IF(AT2="Y",BL2&amp;"",AY2&amp;""))</f>
        <v>Fane</v>
      </c>
      <c r="D2" s="0" t="str">
        <f aca="false">IF($A2="","",IF(AT2="Y",BM2&amp;"",AZ2&amp;""))</f>
        <v>He</v>
      </c>
      <c r="E2" s="0" t="str">
        <f aca="false">IF($A2="","",IF(AT2="Y",BN2&amp;"",BA2&amp;""))</f>
        <v>Co-founder and Chief Motion Officer</v>
      </c>
      <c r="F2" s="0" t="str">
        <f aca="false">IF($A2="","",IF(AT2="Y",BO2&amp;"",BB2&amp;""))</f>
        <v>https://www.linkedin.com/in/fane-he/</v>
      </c>
      <c r="G2" s="0" t="str">
        <f aca="false">IF($A2="","",IF(AT2="Y",BP2&amp;"",BC2&amp;""))</f>
        <v/>
      </c>
      <c r="H2" s="0" t="str">
        <f aca="false">IF($A2="","",IF(AT2="Y",BQ2&amp;"",BD2&amp;""))</f>
        <v>none</v>
      </c>
      <c r="I2" s="0" t="str">
        <f aca="false">IF($A2="","",IF(R2="Y","warm-intro",IF(H2="verified","email",IF(C2&lt;&gt;"","linkedin",CA2&amp;""))))</f>
        <v>linkedin</v>
      </c>
      <c r="J2" s="0" t="n">
        <f aca="false">IF($A2="","",IF(CK2="pass",ROUND(N(DO2)+N(DP2)+N(DQ2)+N(DR2)+N(DS2)+N(DT2)+N(DU2)+N(DV2),0),0))</f>
        <v>81</v>
      </c>
      <c r="K2" s="0" t="str">
        <f aca="false">IF($A2="","",IF(CK2&lt;&gt;"pass",BY2&amp;"",BY2&amp;", "&amp;IF(AT2="Y",BX2&amp;"",BK2&amp;"")&amp;BZ2&amp;IF(R2="Y","; known to the founder (+10)","")&amp;"."))</f>
        <v>New York City brand, store page shows Whole Foods Market NoMad inside the cluster, news 176 days ago, revenue unknown, contact named (crowd-listed on The Org) plus a marketing lead; founder review: nutrient-claim.</v>
      </c>
      <c r="M2" s="0" t="s">
        <v>5572</v>
      </c>
      <c r="N2" s="0" t="s">
        <v>5573</v>
      </c>
      <c r="O2" s="0" t="s">
        <v>5574</v>
      </c>
      <c r="P2" s="0" t="s">
        <v>5575</v>
      </c>
      <c r="Q2" s="0" t="s">
        <v>3074</v>
      </c>
      <c r="R2" s="5" t="s">
        <v>189</v>
      </c>
      <c r="S2" s="0" t="s">
        <v>164</v>
      </c>
      <c r="T2" s="5" t="s">
        <v>189</v>
      </c>
      <c r="U2" s="5" t="s">
        <v>5576</v>
      </c>
      <c r="V2" s="0" t="s">
        <v>5577</v>
      </c>
      <c r="W2" s="0" t="s">
        <v>263</v>
      </c>
      <c r="X2" s="0" t="s">
        <v>5578</v>
      </c>
      <c r="Y2" s="0" t="str">
        <f aca="false">IF(FA2&lt;&gt;"Y","",COUNTIFS($FA$2:$FA$1000,"Y",$J$2:$J$1000,"&gt;"&amp;J2)+COUNTIFS($FA$2:$FA$1000,"Y",$J$2:$J$1000,J2,$FG$2:$FG$1000,"&lt;"&amp;FG2)+1)</f>
        <v/>
      </c>
      <c r="Z2" s="0" t="n">
        <v>1</v>
      </c>
      <c r="AA2" s="0" t="s">
        <v>164</v>
      </c>
      <c r="AB2" s="0" t="str">
        <f aca="false">IF($A2="","",IF(AT2="Y",BW2&amp;"",BJ2&amp;""))</f>
        <v>open the LinkedIn URL and confirm it is Fane He, Co-founder and Chief Motion Officer at The Lucky Ox (found on another page, never opened); use the Whole Foods Market NoMad line only if retailer_checked_date is this week's Friday check</v>
      </c>
      <c r="AC2" s="0" t="str">
        <f aca="false">IF($A2="","",IF(AT2="Y",BR2&amp;"",BE2&amp;""))</f>
        <v>founder</v>
      </c>
      <c r="AD2" s="0" t="str">
        <f aca="false">IF($A2="","",IF(AT2="Y",BS2&amp;"",BF2&amp;""))</f>
        <v>crowd-listed</v>
      </c>
      <c r="AE2" s="0" t="str">
        <f aca="false">IF($A2="","",IF(AT2="Y",BT2&amp;"",BG2&amp;""))</f>
        <v>The Org (crowd-edited org chart)</v>
      </c>
      <c r="AF2" s="0" t="str">
        <f aca="false">IF($A2="","",IF(AT2="Y",BU2&amp;"",BH2&amp;""))</f>
        <v>https://theorg.com/org/the-lucky-ox/person/fane-he</v>
      </c>
      <c r="AG2" s="0" t="str">
        <f aca="false">IF($A2="","",IF(AT2="Y",BV2&amp;"",BI2&amp;""))</f>
        <v>2026-10-24</v>
      </c>
      <c r="AH2" s="0" t="s">
        <v>5579</v>
      </c>
      <c r="AI2" s="0" t="s">
        <v>5580</v>
      </c>
      <c r="AJ2" s="0" t="s">
        <v>5581</v>
      </c>
      <c r="AK2" s="0" t="s">
        <v>5582</v>
      </c>
      <c r="AL2" s="0" t="s">
        <v>164</v>
      </c>
      <c r="AM2" s="0" t="s">
        <v>5583</v>
      </c>
      <c r="AN2" s="0" t="s">
        <v>5570</v>
      </c>
      <c r="AO2" s="5" t="s">
        <v>189</v>
      </c>
      <c r="AR2" s="0" t="str">
        <f aca="false">IF($A2="","",IF(AND(CK2="pass",AO2&lt;&gt;"Y",C2&lt;&gt;"",OR(AU2&lt;&gt;"Y",AV2="Y")),"Y","N"))</f>
        <v>Y</v>
      </c>
      <c r="AS2" s="0" t="str">
        <f aca="false">IF($A2="","",_xlfn.TEXTJOIN("; ",TRUE(),IF(CK2&lt;&gt;"pass","gated out",""),IF(AO2="Y","on hold: "&amp;AP2,""),IF(C2="","no contact named on an opened page",""),IF(AND(AU2="Y",AV2&lt;&gt;"Y"),"founder review pending (Founder review tab)","")))</f>
        <v/>
      </c>
      <c r="AU2" s="0" t="s">
        <v>189</v>
      </c>
      <c r="AX2" s="0" t="s">
        <v>5584</v>
      </c>
      <c r="AY2" s="0" t="s">
        <v>5585</v>
      </c>
      <c r="AZ2" s="0" t="s">
        <v>5586</v>
      </c>
      <c r="BA2" s="0" t="s">
        <v>5587</v>
      </c>
      <c r="BB2" s="0" t="s">
        <v>5588</v>
      </c>
      <c r="BC2" s="0" t="str">
        <f aca="false">IF($A2="","",IFERROR(INDEX(Enrichment!$A$2:$GZ$2000,MATCH($A2,INDEX(Enrichment!$A$2:$GZ$2000,0,MATCH("row_id",Enrichment!$A$1:$GZ$1,0)),0),MATCH("work_email",Enrichment!$A$1:$GZ$1,0))&amp;"",""))</f>
        <v/>
      </c>
      <c r="BD2" s="0" t="str">
        <f aca="false">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none</v>
      </c>
      <c r="BE2" s="0" t="s">
        <v>5589</v>
      </c>
      <c r="BF2" s="0" t="s">
        <v>283</v>
      </c>
      <c r="BG2" s="0" t="s">
        <v>284</v>
      </c>
      <c r="BH2" s="0" t="s">
        <v>5590</v>
      </c>
      <c r="BI2" s="0" t="s">
        <v>172</v>
      </c>
      <c r="BJ2" s="0" t="s">
        <v>5591</v>
      </c>
      <c r="BK2" s="0" t="s">
        <v>5592</v>
      </c>
      <c r="BL2" s="0" t="s">
        <v>5593</v>
      </c>
      <c r="BM2" s="0" t="s">
        <v>5594</v>
      </c>
      <c r="BN2" s="0" t="s">
        <v>5595</v>
      </c>
      <c r="BP2" s="0" t="str">
        <f aca="false">IF($A2="","",IFERROR(INDEX(Enrichment!$A$2:$GZ$2000,MATCH($A2,INDEX(Enrichment!$A$2:$GZ$2000,0,MATCH("row_id",Enrichment!$A$1:$GZ$1,0)),0),MATCH("backup_work_email",Enrichment!$A$1:$GZ$1,0))&amp;"",""))</f>
        <v/>
      </c>
      <c r="BQ2" s="0" t="str">
        <f aca="false">IF($A2="","",IF(BP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none</v>
      </c>
      <c r="BR2" s="0" t="s">
        <v>5596</v>
      </c>
      <c r="BS2" s="0" t="s">
        <v>283</v>
      </c>
      <c r="BT2" s="0" t="s">
        <v>284</v>
      </c>
      <c r="BU2" s="0" t="s">
        <v>5597</v>
      </c>
      <c r="BV2" s="0" t="s">
        <v>172</v>
      </c>
      <c r="BW2" s="0" t="s">
        <v>5598</v>
      </c>
      <c r="BX2" s="0" t="s">
        <v>5599</v>
      </c>
      <c r="BY2" s="0" t="s">
        <v>5600</v>
      </c>
      <c r="BZ2" s="0" t="s">
        <v>5601</v>
      </c>
      <c r="CB2" s="0" t="s">
        <v>5602</v>
      </c>
      <c r="CC2" s="0" t="s">
        <v>4224</v>
      </c>
      <c r="CD2" s="0" t="s">
        <v>5603</v>
      </c>
      <c r="CE2" s="0" t="s">
        <v>244</v>
      </c>
      <c r="CF2" s="0" t="s">
        <v>5604</v>
      </c>
      <c r="CG2" s="0" t="s">
        <v>806</v>
      </c>
      <c r="CH2" s="0" t="s">
        <v>5605</v>
      </c>
      <c r="CJ2" s="0" t="s">
        <v>5606</v>
      </c>
      <c r="CK2" s="0" t="s">
        <v>200</v>
      </c>
      <c r="CM2" s="0" t="s">
        <v>201</v>
      </c>
      <c r="CN2" s="0" t="s">
        <v>5607</v>
      </c>
      <c r="CO2" s="0" t="s">
        <v>5582</v>
      </c>
      <c r="CP2" s="0" t="s">
        <v>5608</v>
      </c>
      <c r="CQ2" s="0" t="s">
        <v>5609</v>
      </c>
      <c r="CR2" s="0" t="s">
        <v>5610</v>
      </c>
      <c r="CT2" s="0" t="s">
        <v>164</v>
      </c>
      <c r="CU2" s="0" t="s">
        <v>5611</v>
      </c>
      <c r="CV2" s="0" t="s">
        <v>164</v>
      </c>
      <c r="CW2" s="0" t="s">
        <v>164</v>
      </c>
      <c r="CX2" s="0" t="s">
        <v>209</v>
      </c>
      <c r="CZ2" s="0" t="s">
        <v>5612</v>
      </c>
      <c r="DA2" s="0" t="s">
        <v>189</v>
      </c>
      <c r="DB2" s="0" t="s">
        <v>189</v>
      </c>
      <c r="DD2" s="0" t="n">
        <v>0</v>
      </c>
      <c r="DE2" s="0" t="s">
        <v>164</v>
      </c>
      <c r="DF2" s="0" t="n">
        <v>12</v>
      </c>
      <c r="DG2" s="0" t="s">
        <v>5613</v>
      </c>
      <c r="DH2" s="0" t="s">
        <v>5614</v>
      </c>
      <c r="DI2" s="0" t="s">
        <v>5615</v>
      </c>
      <c r="DJ2" s="0" t="s">
        <v>5616</v>
      </c>
      <c r="DK2" s="0" t="s">
        <v>5617</v>
      </c>
      <c r="DL2" s="0" t="n">
        <v>176</v>
      </c>
      <c r="DM2" s="0" t="s">
        <v>5575</v>
      </c>
      <c r="DN2" s="0" t="n">
        <v>81</v>
      </c>
      <c r="DO2" s="0" t="n">
        <v>25</v>
      </c>
      <c r="DP2" s="0" t="n">
        <v>20</v>
      </c>
      <c r="DQ2" s="0" t="n">
        <v>15</v>
      </c>
      <c r="DR2" s="0" t="n">
        <v>5</v>
      </c>
      <c r="DS2" s="0" t="n">
        <v>10</v>
      </c>
      <c r="DT2" s="0" t="n">
        <v>10</v>
      </c>
      <c r="DU2" s="0" t="n">
        <f aca="false">IF($A2="","",IF(R2="Y",10,0))</f>
        <v>0</v>
      </c>
      <c r="DV2" s="0" t="n">
        <v>-4</v>
      </c>
      <c r="DW2" s="0" t="s">
        <v>5618</v>
      </c>
      <c r="DX2" s="0" t="s">
        <v>5619</v>
      </c>
      <c r="DY2" s="0" t="s">
        <v>5620</v>
      </c>
      <c r="DZ2" s="0" t="s">
        <v>5621</v>
      </c>
      <c r="EA2" s="0" t="s">
        <v>5622</v>
      </c>
      <c r="EV2" s="0" t="str">
        <f aca="false">IF($A2="","",IF(ISNUMBER(MATCH(U2,{"queued","contacted","replied","call_booked","call_done","yes_in_principle","materials_sent"},0)),"Y","N"))</f>
        <v>Y</v>
      </c>
      <c r="EW2" s="0" t="str">
        <f aca="false">IF($A2="","",IF(OR(T2="Y",U2="do_not_contact",AQ2&amp;""&lt;&gt;""),"Y","N"))</f>
        <v>N</v>
      </c>
      <c r="EX2" s="0" t="str">
        <f aca="false">IF($A2="","",IF(AN2&amp;""&lt;&gt;"",AN2&amp;"",$A2))</f>
        <v>AB-219</v>
      </c>
      <c r="EY2" s="0" t="str">
        <f aca="false">IF($A2="","",IF(COUNTIFS($EX$2:$EX$1000,EX2,$EV$2:$EV$1000,"Y")+COUNTIFS($EX$2:$EX$1000,EX2,$EW$2:$EW$1000,"Y")&gt;0,"Y","N"))</f>
        <v>Y</v>
      </c>
      <c r="EZ2" s="0" t="str">
        <f aca="false">IF($A2="","",IF(AND(U2="new",T2="N",EW2="N",AR2="Y",EY2="N"),"Y","N"))</f>
        <v>N</v>
      </c>
      <c r="FA2" s="0" t="str">
        <f aca="false">IF($A2="","",IF(EZ2&lt;&gt;"Y","N",IF(COUNTIFS($EX$2:$EX$1000,EX2,$EZ$2:$EZ$1000,"Y",$J$2:$J$1000,"&gt;"&amp;J2)+COUNTIFS($EX$2:$EX$1000,EX2,$EZ$2:$EZ$1000,"Y",$J$2:$J$1000,J2,$FG$2:$FG$1000,"&lt;"&amp;FG2)=0,"Y","N")))</f>
        <v>N</v>
      </c>
      <c r="FB2" s="0" t="str">
        <f aca="false">IF($A2="","",IF(AND(EZ2="Y",FA2="Y",Y2&amp;""&lt;&gt;""),IF(Y2&lt;=10,"Y","N"),"N"))</f>
        <v>N</v>
      </c>
      <c r="FC2" s="0" t="str">
        <f aca="false">IF(FB2="Y",Y2,"")</f>
        <v/>
      </c>
      <c r="FD2" s="0" t="str">
        <f aca="false">IF($A2="","",IF(AND(CK2="pass",AU2="Y",AV2&lt;&gt;"Y",U2="new",EW2="N"),"Y","N"))</f>
        <v>N</v>
      </c>
      <c r="FE2" s="0" t="str">
        <f aca="false">IF(FD2&lt;&gt;"Y","",IF(COUNTIFS($FD$2:$FD$1000,"Y",$J$2:$J$1000,"&gt;"&amp;J2)+COUNTIFS($FD$2:$FD$1000,"Y",$J$2:$J$1000,J2,$FG$2:$FG$1000,"&lt;"&amp;FG2)+1&lt;=30,COUNTIFS($FD$2:$FD$1000,"Y",$J$2:$J$1000,"&gt;"&amp;J2)+COUNTIFS($FD$2:$FD$1000,"Y",$J$2:$J$1000,J2,$FG$2:$FG$1000,"&lt;"&amp;FG2)+1,""))</f>
        <v/>
      </c>
      <c r="FF2" s="0" t="str">
        <f aca="false">IF(AND(_xlfn.ISFORMULA(C2),_xlfn.ISFORMULA(J2)),"Y","N")</f>
        <v>Y</v>
      </c>
      <c r="FG2" s="0" t="n">
        <f aca="false">ROW()-1</f>
        <v>1</v>
      </c>
    </row>
    <row r="3" customFormat="false" ht="15" hidden="false" customHeight="false" outlineLevel="0" collapsed="false">
      <c r="A3" s="0" t="s">
        <v>5623</v>
      </c>
      <c r="B3" s="0" t="s">
        <v>5624</v>
      </c>
      <c r="C3" s="0" t="str">
        <f aca="false">IF($A3="","",IF(AT3="Y",BL3&amp;"",AY3&amp;""))</f>
        <v>Crystal</v>
      </c>
      <c r="D3" s="0" t="str">
        <f aca="false">IF($A3="","",IF(AT3="Y",BM3&amp;"",AZ3&amp;""))</f>
        <v>Bennett</v>
      </c>
      <c r="E3" s="0" t="str">
        <f aca="false">IF($A3="","",IF(AT3="Y",BN3&amp;"",BA3&amp;""))</f>
        <v>Partner and company spokeswoman</v>
      </c>
      <c r="F3" s="0" t="str">
        <f aca="false">IF($A3="","",IF(AT3="Y",BO3&amp;"",BB3&amp;""))</f>
        <v/>
      </c>
      <c r="G3" s="0" t="str">
        <f aca="false">IF($A3="","",IF(AT3="Y",BP3&amp;"",BC3&amp;""))</f>
        <v/>
      </c>
      <c r="H3" s="0" t="str">
        <f aca="false">IF($A3="","",IF(AT3="Y",BQ3&amp;"",BD3&amp;""))</f>
        <v>none</v>
      </c>
      <c r="I3" s="0" t="str">
        <f aca="false">IF($A3="","",IF(R3="Y","warm-intro",IF(H3="verified","email",IF(C3&lt;&gt;"","linkedin",CA3&amp;""))))</f>
        <v>linkedin</v>
      </c>
      <c r="J3" s="0" t="n">
        <f aca="false">IF($A3="","",IF(CK3="pass",ROUND(N(DO3)+N(DP3)+N(DQ3)+N(DR3)+N(DS3)+N(DT3)+N(DU3)+N(DV3),0),0))</f>
        <v>78</v>
      </c>
      <c r="K3" s="0" t="str">
        <f aca="false">IF($A3="","",IF(CK3&lt;&gt;"pass",BY3&amp;"",BY3&amp;", "&amp;IF(AT3="Y",BX3&amp;"",BK3&amp;"")&amp;BZ3&amp;IF(R3="Y","; known to the founder (+10)","")&amp;"."))</f>
        <v>New York City brand, store page shows Whole Foods Market Union Square inside the cluster, news 248 days ago, revenue unknown, contact named.</v>
      </c>
      <c r="M3" s="0" t="s">
        <v>5625</v>
      </c>
      <c r="N3" s="0" t="s">
        <v>5573</v>
      </c>
      <c r="O3" s="0" t="s">
        <v>5626</v>
      </c>
      <c r="P3" s="0" t="s">
        <v>5627</v>
      </c>
      <c r="Q3" s="0" t="s">
        <v>758</v>
      </c>
      <c r="R3" s="5" t="s">
        <v>189</v>
      </c>
      <c r="S3" s="0" t="s">
        <v>164</v>
      </c>
      <c r="T3" s="5" t="s">
        <v>189</v>
      </c>
      <c r="U3" s="5" t="s">
        <v>3896</v>
      </c>
      <c r="V3" s="0" t="s">
        <v>5628</v>
      </c>
      <c r="W3" s="0" t="s">
        <v>263</v>
      </c>
      <c r="X3" s="0" t="s">
        <v>5578</v>
      </c>
      <c r="Y3" s="0" t="n">
        <f aca="false">IF(FA3&lt;&gt;"Y","",COUNTIFS($FA$2:$FA$1000,"Y",$J$2:$J$1000,"&gt;"&amp;J3)+COUNTIFS($FA$2:$FA$1000,"Y",$J$2:$J$1000,J3,$FG$2:$FG$1000,"&lt;"&amp;FG3)+1)</f>
        <v>2</v>
      </c>
      <c r="Z3" s="0" t="n">
        <v>2</v>
      </c>
      <c r="AA3" s="0" t="s">
        <v>164</v>
      </c>
      <c r="AB3" s="0" t="str">
        <f aca="false">IF($A3="","",IF(AT3="Y",BW3&amp;"",BJ3&amp;""))</f>
        <v>find Crystal Bennett at The Matzo Project on LinkedIn and paste the profile URL into backup_linkedin_url; use the Whole Foods Market Union Square line only if retailer_checked_date is this week's Friday check</v>
      </c>
      <c r="AC3" s="0" t="str">
        <f aca="false">IF($A3="","",IF(AT3="Y",BR3&amp;"",BE3&amp;""))</f>
        <v>marketing lead</v>
      </c>
      <c r="AD3" s="0" t="str">
        <f aca="false">IF($A3="","",IF(AT3="Y",BS3&amp;"",BF3&amp;""))</f>
        <v>verified-page</v>
      </c>
      <c r="AE3" s="0" t="str">
        <f aca="false">IF($A3="","",IF(AT3="Y",BT3&amp;"",BG3&amp;""))</f>
        <v>press, event or podcast page</v>
      </c>
      <c r="AF3" s="0" t="str">
        <f aca="false">IF($A3="","",IF(AT3="Y",BU3&amp;"",BH3&amp;""))</f>
        <v>https://www.foodnavigator-usa.com/Article/2025/07/23/brands-give-jewish-staples-a-new-look-new-uses</v>
      </c>
      <c r="AG3" s="0" t="str">
        <f aca="false">IF($A3="","",IF(AT3="Y",BV3&amp;"",BI3&amp;""))</f>
        <v>2026-10-24</v>
      </c>
      <c r="AH3" s="0" t="s">
        <v>5629</v>
      </c>
      <c r="AI3" s="0" t="s">
        <v>5630</v>
      </c>
      <c r="AJ3" s="0" t="s">
        <v>5631</v>
      </c>
      <c r="AK3" s="0" t="s">
        <v>5632</v>
      </c>
      <c r="AL3" s="0" t="s">
        <v>189</v>
      </c>
      <c r="AN3" s="0" t="s">
        <v>5623</v>
      </c>
      <c r="AO3" s="5" t="s">
        <v>189</v>
      </c>
      <c r="AR3" s="0" t="str">
        <f aca="false">IF($A3="","",IF(AND(CK3="pass",AO3&lt;&gt;"Y",C3&lt;&gt;"",OR(AU3&lt;&gt;"Y",AV3="Y")),"Y","N"))</f>
        <v>Y</v>
      </c>
      <c r="AS3" s="0" t="str">
        <f aca="false">IF($A3="","",_xlfn.TEXTJOIN("; ",TRUE(),IF(CK3&lt;&gt;"pass","gated out",""),IF(AO3="Y","on hold: "&amp;AP3,""),IF(C3="","no contact named on an opened page",""),IF(AND(AU3="Y",AV3&lt;&gt;"Y"),"founder review pending (Founder review tab)","")))</f>
        <v/>
      </c>
      <c r="AT3" s="0" t="s">
        <v>164</v>
      </c>
      <c r="AU3" s="0" t="s">
        <v>189</v>
      </c>
      <c r="AX3" s="0" t="s">
        <v>5633</v>
      </c>
      <c r="AY3" s="0" t="s">
        <v>5634</v>
      </c>
      <c r="AZ3" s="0" t="s">
        <v>5635</v>
      </c>
      <c r="BA3" s="0" t="s">
        <v>5636</v>
      </c>
      <c r="BC3" s="0" t="str">
        <f aca="false">IF($A3="","",IFERROR(INDEX(Enrichment!$A$2:$GZ$2000,MATCH($A3,INDEX(Enrichment!$A$2:$GZ$2000,0,MATCH("row_id",Enrichment!$A$1:$GZ$1,0)),0),MATCH("work_email",Enrichment!$A$1:$GZ$1,0))&amp;"",""))</f>
        <v/>
      </c>
      <c r="BD3" s="0" t="str">
        <f aca="false">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none</v>
      </c>
      <c r="BE3" s="0" t="s">
        <v>5589</v>
      </c>
      <c r="BF3" s="0" t="s">
        <v>169</v>
      </c>
      <c r="BG3" s="0" t="s">
        <v>1252</v>
      </c>
      <c r="BH3" s="0" t="s">
        <v>5627</v>
      </c>
      <c r="BI3" s="0" t="s">
        <v>172</v>
      </c>
      <c r="BJ3" s="0" t="s">
        <v>5637</v>
      </c>
      <c r="BK3" s="0" t="s">
        <v>5638</v>
      </c>
      <c r="BL3" s="0" t="s">
        <v>825</v>
      </c>
      <c r="BM3" s="0" t="s">
        <v>5639</v>
      </c>
      <c r="BN3" s="0" t="s">
        <v>5640</v>
      </c>
      <c r="BP3" s="0" t="str">
        <f aca="false">IF($A3="","",IFERROR(INDEX(Enrichment!$A$2:$GZ$2000,MATCH($A3,INDEX(Enrichment!$A$2:$GZ$2000,0,MATCH("row_id",Enrichment!$A$1:$GZ$1,0)),0),MATCH("backup_work_email",Enrichment!$A$1:$GZ$1,0))&amp;"",""))</f>
        <v/>
      </c>
      <c r="BQ3" s="0" t="str">
        <f aca="false">IF($A3="","",IF(BP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none</v>
      </c>
      <c r="BR3" s="0" t="s">
        <v>5596</v>
      </c>
      <c r="BS3" s="0" t="s">
        <v>169</v>
      </c>
      <c r="BT3" s="0" t="s">
        <v>1252</v>
      </c>
      <c r="BU3" s="0" t="s">
        <v>5641</v>
      </c>
      <c r="BV3" s="0" t="s">
        <v>172</v>
      </c>
      <c r="BW3" s="0" t="s">
        <v>5642</v>
      </c>
      <c r="BX3" s="0" t="s">
        <v>5643</v>
      </c>
      <c r="BY3" s="0" t="s">
        <v>5644</v>
      </c>
      <c r="CB3" s="0" t="s">
        <v>5645</v>
      </c>
      <c r="CD3" s="0" t="s">
        <v>5646</v>
      </c>
      <c r="CF3" s="0" t="s">
        <v>5647</v>
      </c>
      <c r="CH3" s="0" t="s">
        <v>5648</v>
      </c>
      <c r="CJ3" s="0" t="s">
        <v>5606</v>
      </c>
      <c r="CK3" s="0" t="s">
        <v>200</v>
      </c>
      <c r="CM3" s="0" t="s">
        <v>201</v>
      </c>
      <c r="CO3" s="0" t="s">
        <v>5632</v>
      </c>
      <c r="CP3" s="0" t="s">
        <v>5608</v>
      </c>
      <c r="CQ3" s="0" t="s">
        <v>5609</v>
      </c>
      <c r="CR3" s="0" t="s">
        <v>209</v>
      </c>
      <c r="CT3" s="0" t="s">
        <v>164</v>
      </c>
      <c r="CU3" s="0" t="s">
        <v>5649</v>
      </c>
      <c r="CV3" s="0" t="s">
        <v>164</v>
      </c>
      <c r="CW3" s="0" t="s">
        <v>164</v>
      </c>
      <c r="CX3" s="0" t="s">
        <v>209</v>
      </c>
      <c r="CZ3" s="0" t="s">
        <v>209</v>
      </c>
      <c r="DA3" s="0" t="s">
        <v>189</v>
      </c>
      <c r="DB3" s="0" t="s">
        <v>189</v>
      </c>
      <c r="DD3" s="0" t="n">
        <v>0</v>
      </c>
      <c r="DE3" s="0" t="s">
        <v>164</v>
      </c>
      <c r="DF3" s="0" t="n">
        <v>1</v>
      </c>
      <c r="DG3" s="0" t="s">
        <v>5650</v>
      </c>
      <c r="DI3" s="0" t="s">
        <v>5651</v>
      </c>
      <c r="DJ3" s="0" t="s">
        <v>5633</v>
      </c>
      <c r="DK3" s="0" t="s">
        <v>5617</v>
      </c>
      <c r="DL3" s="0" t="n">
        <v>248</v>
      </c>
      <c r="DM3" s="0" t="s">
        <v>5652</v>
      </c>
      <c r="DN3" s="0" t="n">
        <v>78</v>
      </c>
      <c r="DO3" s="0" t="n">
        <v>25</v>
      </c>
      <c r="DP3" s="0" t="n">
        <v>20</v>
      </c>
      <c r="DQ3" s="0" t="n">
        <v>8</v>
      </c>
      <c r="DR3" s="0" t="n">
        <v>5</v>
      </c>
      <c r="DS3" s="0" t="n">
        <v>10</v>
      </c>
      <c r="DT3" s="0" t="n">
        <v>10</v>
      </c>
      <c r="DU3" s="0" t="n">
        <f aca="false">IF($A3="","",IF(R3="Y",10,0))</f>
        <v>0</v>
      </c>
      <c r="DV3" s="0" t="n">
        <v>0</v>
      </c>
      <c r="DX3" s="0" t="s">
        <v>5619</v>
      </c>
      <c r="DY3" s="0" t="s">
        <v>5653</v>
      </c>
      <c r="DZ3" s="0" t="s">
        <v>5654</v>
      </c>
      <c r="EA3" s="0" t="s">
        <v>5655</v>
      </c>
      <c r="EB3" s="0" t="s">
        <v>5656</v>
      </c>
      <c r="EV3" s="0" t="str">
        <f aca="false">IF($A3="","",IF(ISNUMBER(MATCH(U3,{"queued","contacted","replied","call_booked","call_done","yes_in_principle","materials_sent"},0)),"Y","N"))</f>
        <v>N</v>
      </c>
      <c r="EW3" s="0" t="str">
        <f aca="false">IF($A3="","",IF(OR(T3="Y",U3="do_not_contact",AQ3&amp;""&lt;&gt;""),"Y","N"))</f>
        <v>N</v>
      </c>
      <c r="EX3" s="0" t="str">
        <f aca="false">IF($A3="","",IF(AN3&amp;""&lt;&gt;"",AN3&amp;"",$A3))</f>
        <v>AB-216</v>
      </c>
      <c r="EY3" s="0" t="str">
        <f aca="false">IF($A3="","",IF(COUNTIFS($EX$2:$EX$1000,EX3,$EV$2:$EV$1000,"Y")+COUNTIFS($EX$2:$EX$1000,EX3,$EW$2:$EW$1000,"Y")&gt;0,"Y","N"))</f>
        <v>N</v>
      </c>
      <c r="EZ3" s="0" t="str">
        <f aca="false">IF($A3="","",IF(AND(U3="new",T3="N",EW3="N",AR3="Y",EY3="N"),"Y","N"))</f>
        <v>Y</v>
      </c>
      <c r="FA3" s="0" t="str">
        <f aca="false">IF($A3="","",IF(EZ3&lt;&gt;"Y","N",IF(COUNTIFS($EX$2:$EX$1000,EX3,$EZ$2:$EZ$1000,"Y",$J$2:$J$1000,"&gt;"&amp;J3)+COUNTIFS($EX$2:$EX$1000,EX3,$EZ$2:$EZ$1000,"Y",$J$2:$J$1000,J3,$FG$2:$FG$1000,"&lt;"&amp;FG3)=0,"Y","N")))</f>
        <v>Y</v>
      </c>
      <c r="FB3" s="0" t="str">
        <f aca="false">IF($A3="","",IF(AND(EZ3="Y",FA3="Y",Y3&amp;""&lt;&gt;""),IF(Y3&lt;=10,"Y","N"),"N"))</f>
        <v>Y</v>
      </c>
      <c r="FC3" s="0" t="n">
        <f aca="false">IF(FB3="Y",Y3,"")</f>
        <v>2</v>
      </c>
      <c r="FD3" s="0" t="str">
        <f aca="false">IF($A3="","",IF(AND(CK3="pass",AU3="Y",AV3&lt;&gt;"Y",U3="new",EW3="N"),"Y","N"))</f>
        <v>N</v>
      </c>
      <c r="FE3" s="0" t="str">
        <f aca="false">IF(FD3&lt;&gt;"Y","",IF(COUNTIFS($FD$2:$FD$1000,"Y",$J$2:$J$1000,"&gt;"&amp;J3)+COUNTIFS($FD$2:$FD$1000,"Y",$J$2:$J$1000,J3,$FG$2:$FG$1000,"&lt;"&amp;FG3)+1&lt;=30,COUNTIFS($FD$2:$FD$1000,"Y",$J$2:$J$1000,"&gt;"&amp;J3)+COUNTIFS($FD$2:$FD$1000,"Y",$J$2:$J$1000,J3,$FG$2:$FG$1000,"&lt;"&amp;FG3)+1,""))</f>
        <v/>
      </c>
      <c r="FF3" s="0" t="str">
        <f aca="false">IF(AND(_xlfn.ISFORMULA(C3),_xlfn.ISFORMULA(J3)),"Y","N")</f>
        <v>Y</v>
      </c>
      <c r="FG3" s="0" t="n">
        <f aca="false">ROW()-1</f>
        <v>2</v>
      </c>
    </row>
    <row r="4" customFormat="false" ht="15" hidden="false" customHeight="false" outlineLevel="0" collapsed="false">
      <c r="A4" s="0" t="s">
        <v>5657</v>
      </c>
      <c r="B4" s="0" t="s">
        <v>5658</v>
      </c>
      <c r="C4" s="0" t="str">
        <f aca="false">IF($A4="","",IF(AT4="Y",BL4&amp;"",AY4&amp;""))</f>
        <v>Tim</v>
      </c>
      <c r="D4" s="0" t="str">
        <f aca="false">IF($A4="","",IF(AT4="Y",BM4&amp;"",AZ4&amp;""))</f>
        <v>McCollum</v>
      </c>
      <c r="E4" s="0" t="str">
        <f aca="false">IF($A4="","",IF(AT4="Y",BN4&amp;"",BA4&amp;""))</f>
        <v>Founder and CEO</v>
      </c>
      <c r="F4" s="0" t="str">
        <f aca="false">IF($A4="","",IF(AT4="Y",BO4&amp;"",BB4&amp;""))</f>
        <v/>
      </c>
      <c r="G4" s="0" t="str">
        <f aca="false">IF($A4="","",IF(AT4="Y",BP4&amp;"",BC4&amp;""))</f>
        <v/>
      </c>
      <c r="H4" s="0" t="str">
        <f aca="false">IF($A4="","",IF(AT4="Y",BQ4&amp;"",BD4&amp;""))</f>
        <v>none</v>
      </c>
      <c r="I4" s="0" t="str">
        <f aca="false">IF($A4="","",IF(R4="Y","warm-intro",IF(H4="verified","email",IF(C4&lt;&gt;"","linkedin",CA4&amp;""))))</f>
        <v>linkedin</v>
      </c>
      <c r="J4" s="0" t="n">
        <f aca="false">IF($A4="","",IF(CK4="pass",ROUND(N(DO4)+N(DP4)+N(DQ4)+N(DR4)+N(DS4)+N(DT4)+N(DU4)+N(DV4),0),0))</f>
        <v>76</v>
      </c>
      <c r="K4" s="0" t="str">
        <f aca="false">IF($A4="","",IF(CK4&lt;&gt;"pass",BY4&amp;"",BY4&amp;", "&amp;IF(AT4="Y",BX4&amp;"",BK4&amp;"")&amp;BZ4&amp;IF(R4="Y","; known to the founder (+10)","")&amp;"."))</f>
        <v>New York City brand, store page shows Whole Foods Market NoMad inside the cluster, a new store listing 22 days ago, revenue unknown, contact named (crowd-listed on The Org) plus a marketing lead; founder review: shelf life not stated.</v>
      </c>
      <c r="M4" s="0" t="s">
        <v>5572</v>
      </c>
      <c r="N4" s="0" t="s">
        <v>5573</v>
      </c>
      <c r="O4" s="0" t="s">
        <v>5659</v>
      </c>
      <c r="P4" s="0" t="s">
        <v>5660</v>
      </c>
      <c r="Q4" s="0" t="s">
        <v>5661</v>
      </c>
      <c r="R4" s="5" t="s">
        <v>189</v>
      </c>
      <c r="S4" s="0" t="s">
        <v>209</v>
      </c>
      <c r="T4" s="5" t="s">
        <v>189</v>
      </c>
      <c r="U4" s="5" t="s">
        <v>3896</v>
      </c>
      <c r="V4" s="0" t="s">
        <v>5662</v>
      </c>
      <c r="W4" s="0" t="s">
        <v>263</v>
      </c>
      <c r="X4" s="0" t="s">
        <v>5578</v>
      </c>
      <c r="Y4" s="0" t="n">
        <f aca="false">IF(FA4&lt;&gt;"Y","",COUNTIFS($FA$2:$FA$1000,"Y",$J$2:$J$1000,"&gt;"&amp;J4)+COUNTIFS($FA$2:$FA$1000,"Y",$J$2:$J$1000,J4,$FG$2:$FG$1000,"&lt;"&amp;FG4)+1)</f>
        <v>3</v>
      </c>
      <c r="Z4" s="0" t="n">
        <v>3</v>
      </c>
      <c r="AA4" s="0" t="s">
        <v>164</v>
      </c>
      <c r="AB4" s="0" t="str">
        <f aca="false">IF($A4="","",IF(AT4="Y",BW4&amp;"",BJ4&amp;""))</f>
        <v>find Tim McCollum at Beyond Good on LinkedIn and paste the profile URL into primary_linkedin_url (this also confirms the name: The Org is crowd-edited and marks it Unverified); use the Whole Foods Market NoMad line only if retailer_checked_date is this week's Friday check</v>
      </c>
      <c r="AC4" s="0" t="str">
        <f aca="false">IF($A4="","",IF(AT4="Y",BR4&amp;"",BE4&amp;""))</f>
        <v>founder</v>
      </c>
      <c r="AD4" s="0" t="str">
        <f aca="false">IF($A4="","",IF(AT4="Y",BS4&amp;"",BF4&amp;""))</f>
        <v>crowd-listed</v>
      </c>
      <c r="AE4" s="0" t="str">
        <f aca="false">IF($A4="","",IF(AT4="Y",BT4&amp;"",BG4&amp;""))</f>
        <v>The Org (crowd-edited org chart)</v>
      </c>
      <c r="AF4" s="0" t="str">
        <f aca="false">IF($A4="","",IF(AT4="Y",BU4&amp;"",BH4&amp;""))</f>
        <v>https://theorg.com/org/beyond-good/person/tim-mccollum</v>
      </c>
      <c r="AG4" s="0" t="str">
        <f aca="false">IF($A4="","",IF(AT4="Y",BV4&amp;"",BI4&amp;""))</f>
        <v>2026-10-24</v>
      </c>
      <c r="AH4" s="0" t="s">
        <v>5663</v>
      </c>
      <c r="AI4" s="0" t="s">
        <v>5664</v>
      </c>
      <c r="AJ4" s="0" t="s">
        <v>5631</v>
      </c>
      <c r="AK4" s="0" t="s">
        <v>5665</v>
      </c>
      <c r="AL4" s="0" t="s">
        <v>164</v>
      </c>
      <c r="AM4" s="0" t="s">
        <v>5666</v>
      </c>
      <c r="AN4" s="0" t="s">
        <v>5657</v>
      </c>
      <c r="AO4" s="5" t="s">
        <v>189</v>
      </c>
      <c r="AR4" s="0" t="str">
        <f aca="false">IF($A4="","",IF(AND(CK4="pass",AO4&lt;&gt;"Y",C4&lt;&gt;"",OR(AU4&lt;&gt;"Y",AV4="Y")),"Y","N"))</f>
        <v>Y</v>
      </c>
      <c r="AS4" s="0" t="str">
        <f aca="false">IF($A4="","",_xlfn.TEXTJOIN("; ",TRUE(),IF(CK4&lt;&gt;"pass","gated out",""),IF(AO4="Y","on hold: "&amp;AP4,""),IF(C4="","no contact named on an opened page",""),IF(AND(AU4="Y",AV4&lt;&gt;"Y"),"founder review pending (Founder review tab)","")))</f>
        <v/>
      </c>
      <c r="AU4" s="0" t="s">
        <v>189</v>
      </c>
      <c r="AX4" s="0" t="s">
        <v>5667</v>
      </c>
      <c r="AY4" s="0" t="s">
        <v>5668</v>
      </c>
      <c r="AZ4" s="0" t="s">
        <v>5669</v>
      </c>
      <c r="BA4" s="0" t="s">
        <v>5670</v>
      </c>
      <c r="BC4" s="0" t="str">
        <f aca="false">IF($A4="","",IFERROR(INDEX(Enrichment!$A$2:$GZ$2000,MATCH($A4,INDEX(Enrichment!$A$2:$GZ$2000,0,MATCH("row_id",Enrichment!$A$1:$GZ$1,0)),0),MATCH("work_email",Enrichment!$A$1:$GZ$1,0))&amp;"",""))</f>
        <v/>
      </c>
      <c r="BD4" s="0" t="str">
        <f aca="false">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none</v>
      </c>
      <c r="BE4" s="0" t="s">
        <v>5589</v>
      </c>
      <c r="BF4" s="0" t="s">
        <v>283</v>
      </c>
      <c r="BG4" s="0" t="s">
        <v>284</v>
      </c>
      <c r="BH4" s="0" t="s">
        <v>5671</v>
      </c>
      <c r="BI4" s="0" t="s">
        <v>172</v>
      </c>
      <c r="BJ4" s="0" t="s">
        <v>5672</v>
      </c>
      <c r="BK4" s="0" t="s">
        <v>5592</v>
      </c>
      <c r="BL4" s="0" t="s">
        <v>5673</v>
      </c>
      <c r="BM4" s="0" t="s">
        <v>5674</v>
      </c>
      <c r="BN4" s="0" t="s">
        <v>5675</v>
      </c>
      <c r="BP4" s="0" t="str">
        <f aca="false">IF($A4="","",IFERROR(INDEX(Enrichment!$A$2:$GZ$2000,MATCH($A4,INDEX(Enrichment!$A$2:$GZ$2000,0,MATCH("row_id",Enrichment!$A$1:$GZ$1,0)),0),MATCH("backup_work_email",Enrichment!$A$1:$GZ$1,0))&amp;"",""))</f>
        <v/>
      </c>
      <c r="BQ4" s="0" t="str">
        <f aca="false">IF($A4="","",IF(BP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none</v>
      </c>
      <c r="BR4" s="0" t="s">
        <v>5596</v>
      </c>
      <c r="BS4" s="0" t="s">
        <v>283</v>
      </c>
      <c r="BT4" s="0" t="s">
        <v>284</v>
      </c>
      <c r="BU4" s="0" t="s">
        <v>5676</v>
      </c>
      <c r="BV4" s="0" t="s">
        <v>172</v>
      </c>
      <c r="BW4" s="0" t="s">
        <v>5677</v>
      </c>
      <c r="BX4" s="0" t="s">
        <v>5599</v>
      </c>
      <c r="BY4" s="0" t="s">
        <v>5678</v>
      </c>
      <c r="BZ4" s="0" t="s">
        <v>5679</v>
      </c>
      <c r="CB4" s="0" t="s">
        <v>5680</v>
      </c>
      <c r="CC4" s="0" t="s">
        <v>391</v>
      </c>
      <c r="CD4" s="0" t="s">
        <v>5681</v>
      </c>
      <c r="CF4" s="0" t="s">
        <v>5682</v>
      </c>
      <c r="CG4" s="0" t="s">
        <v>5683</v>
      </c>
      <c r="CH4" s="0" t="s">
        <v>5684</v>
      </c>
      <c r="CJ4" s="0" t="s">
        <v>5606</v>
      </c>
      <c r="CK4" s="0" t="s">
        <v>200</v>
      </c>
      <c r="CM4" s="0" t="s">
        <v>201</v>
      </c>
      <c r="CO4" s="0" t="s">
        <v>5665</v>
      </c>
      <c r="CP4" s="0" t="s">
        <v>5608</v>
      </c>
      <c r="CQ4" s="0" t="s">
        <v>5609</v>
      </c>
      <c r="CR4" s="0" t="s">
        <v>209</v>
      </c>
      <c r="CT4" s="0" t="s">
        <v>352</v>
      </c>
      <c r="CU4" s="0" t="s">
        <v>5685</v>
      </c>
      <c r="CV4" s="0" t="s">
        <v>164</v>
      </c>
      <c r="CW4" s="0" t="s">
        <v>164</v>
      </c>
      <c r="CX4" s="0" t="s">
        <v>209</v>
      </c>
      <c r="CZ4" s="0" t="s">
        <v>209</v>
      </c>
      <c r="DA4" s="0" t="s">
        <v>189</v>
      </c>
      <c r="DB4" s="0" t="s">
        <v>189</v>
      </c>
      <c r="DD4" s="0" t="n">
        <v>0</v>
      </c>
      <c r="DE4" s="0" t="s">
        <v>164</v>
      </c>
      <c r="DF4" s="0" t="n">
        <v>3</v>
      </c>
      <c r="DG4" s="0" t="s">
        <v>5686</v>
      </c>
      <c r="DI4" s="0" t="s">
        <v>5687</v>
      </c>
      <c r="DJ4" s="0" t="s">
        <v>5688</v>
      </c>
      <c r="DK4" s="0" t="s">
        <v>5689</v>
      </c>
      <c r="DL4" s="0" t="n">
        <v>22</v>
      </c>
      <c r="DN4" s="0" t="n">
        <v>76</v>
      </c>
      <c r="DO4" s="0" t="n">
        <v>25</v>
      </c>
      <c r="DP4" s="0" t="n">
        <v>20</v>
      </c>
      <c r="DQ4" s="0" t="n">
        <v>8</v>
      </c>
      <c r="DR4" s="0" t="n">
        <v>5</v>
      </c>
      <c r="DS4" s="0" t="n">
        <v>8</v>
      </c>
      <c r="DT4" s="0" t="n">
        <v>10</v>
      </c>
      <c r="DU4" s="0" t="n">
        <f aca="false">IF($A4="","",IF(R4="Y",10,0))</f>
        <v>0</v>
      </c>
      <c r="DV4" s="0" t="n">
        <v>0</v>
      </c>
      <c r="DW4" s="0" t="s">
        <v>5690</v>
      </c>
      <c r="DX4" s="0" t="s">
        <v>5691</v>
      </c>
      <c r="DY4" s="0" t="s">
        <v>5692</v>
      </c>
      <c r="DZ4" s="0" t="s">
        <v>5693</v>
      </c>
      <c r="EA4" s="0" t="s">
        <v>5694</v>
      </c>
      <c r="EV4" s="0" t="str">
        <f aca="false">IF($A4="","",IF(ISNUMBER(MATCH(U4,{"queued","contacted","replied","call_booked","call_done","yes_in_principle","materials_sent"},0)),"Y","N"))</f>
        <v>N</v>
      </c>
      <c r="EW4" s="0" t="str">
        <f aca="false">IF($A4="","",IF(OR(T4="Y",U4="do_not_contact",AQ4&amp;""&lt;&gt;""),"Y","N"))</f>
        <v>N</v>
      </c>
      <c r="EX4" s="0" t="str">
        <f aca="false">IF($A4="","",IF(AN4&amp;""&lt;&gt;"",AN4&amp;"",$A4))</f>
        <v>AB-097</v>
      </c>
      <c r="EY4" s="0" t="str">
        <f aca="false">IF($A4="","",IF(COUNTIFS($EX$2:$EX$1000,EX4,$EV$2:$EV$1000,"Y")+COUNTIFS($EX$2:$EX$1000,EX4,$EW$2:$EW$1000,"Y")&gt;0,"Y","N"))</f>
        <v>N</v>
      </c>
      <c r="EZ4" s="0" t="str">
        <f aca="false">IF($A4="","",IF(AND(U4="new",T4="N",EW4="N",AR4="Y",EY4="N"),"Y","N"))</f>
        <v>Y</v>
      </c>
      <c r="FA4" s="0" t="str">
        <f aca="false">IF($A4="","",IF(EZ4&lt;&gt;"Y","N",IF(COUNTIFS($EX$2:$EX$1000,EX4,$EZ$2:$EZ$1000,"Y",$J$2:$J$1000,"&gt;"&amp;J4)+COUNTIFS($EX$2:$EX$1000,EX4,$EZ$2:$EZ$1000,"Y",$J$2:$J$1000,J4,$FG$2:$FG$1000,"&lt;"&amp;FG4)=0,"Y","N")))</f>
        <v>Y</v>
      </c>
      <c r="FB4" s="0" t="str">
        <f aca="false">IF($A4="","",IF(AND(EZ4="Y",FA4="Y",Y4&amp;""&lt;&gt;""),IF(Y4&lt;=10,"Y","N"),"N"))</f>
        <v>Y</v>
      </c>
      <c r="FC4" s="0" t="n">
        <f aca="false">IF(FB4="Y",Y4,"")</f>
        <v>3</v>
      </c>
      <c r="FD4" s="0" t="str">
        <f aca="false">IF($A4="","",IF(AND(CK4="pass",AU4="Y",AV4&lt;&gt;"Y",U4="new",EW4="N"),"Y","N"))</f>
        <v>N</v>
      </c>
      <c r="FE4" s="0" t="str">
        <f aca="false">IF(FD4&lt;&gt;"Y","",IF(COUNTIFS($FD$2:$FD$1000,"Y",$J$2:$J$1000,"&gt;"&amp;J4)+COUNTIFS($FD$2:$FD$1000,"Y",$J$2:$J$1000,J4,$FG$2:$FG$1000,"&lt;"&amp;FG4)+1&lt;=30,COUNTIFS($FD$2:$FD$1000,"Y",$J$2:$J$1000,"&gt;"&amp;J4)+COUNTIFS($FD$2:$FD$1000,"Y",$J$2:$J$1000,J4,$FG$2:$FG$1000,"&lt;"&amp;FG4)+1,""))</f>
        <v/>
      </c>
      <c r="FF4" s="0" t="str">
        <f aca="false">IF(AND(_xlfn.ISFORMULA(C4),_xlfn.ISFORMULA(J4)),"Y","N")</f>
        <v>Y</v>
      </c>
      <c r="FG4" s="0" t="n">
        <f aca="false">ROW()-1</f>
        <v>3</v>
      </c>
    </row>
    <row r="5" customFormat="false" ht="15" hidden="false" customHeight="false" outlineLevel="0" collapsed="false">
      <c r="A5" s="0" t="s">
        <v>5695</v>
      </c>
      <c r="B5" s="0" t="s">
        <v>5696</v>
      </c>
      <c r="C5" s="0" t="str">
        <f aca="false">IF($A5="","",IF(AT5="Y",BL5&amp;"",AY5&amp;""))</f>
        <v>Eleni</v>
      </c>
      <c r="D5" s="0" t="str">
        <f aca="false">IF($A5="","",IF(AT5="Y",BM5&amp;"",AZ5&amp;""))</f>
        <v>Gianopulos</v>
      </c>
      <c r="E5" s="0" t="str">
        <f aca="false">IF($A5="","",IF(AT5="Y",BN5&amp;"",BA5&amp;""))</f>
        <v>Founder and CEO</v>
      </c>
      <c r="F5" s="0" t="str">
        <f aca="false">IF($A5="","",IF(AT5="Y",BO5&amp;"",BB5&amp;""))</f>
        <v/>
      </c>
      <c r="G5" s="0" t="str">
        <f aca="false">IF($A5="","",IF(AT5="Y",BP5&amp;"",BC5&amp;""))</f>
        <v/>
      </c>
      <c r="H5" s="0" t="str">
        <f aca="false">IF($A5="","",IF(AT5="Y",BQ5&amp;"",BD5&amp;""))</f>
        <v>none</v>
      </c>
      <c r="I5" s="0" t="str">
        <f aca="false">IF($A5="","",IF(R5="Y","warm-intro",IF(H5="verified","email",IF(C5&lt;&gt;"","linkedin",CA5&amp;""))))</f>
        <v>linkedin</v>
      </c>
      <c r="J5" s="0" t="n">
        <f aca="false">IF($A5="","",IF(CK5="pass",ROUND(N(DO5)+N(DP5)+N(DQ5)+N(DR5)+N(DS5)+N(DT5)+N(DU5)+N(DV5),0),0))</f>
        <v>74</v>
      </c>
      <c r="K5" s="0" t="str">
        <f aca="false">IF($A5="","",IF(CK5&lt;&gt;"pass",BY5&amp;"",BY5&amp;", "&amp;IF(AT5="Y",BX5&amp;"",BK5&amp;"")&amp;BZ5&amp;IF(R5="Y","; known to the founder (+10)","")&amp;"."))</f>
        <v>New York City brand, store page shows Whole Foods Market NoMad inside the cluster, news 201 days ago, revenue unknown, contact named (crowd-listed on The Org).</v>
      </c>
      <c r="M5" s="0" t="s">
        <v>5572</v>
      </c>
      <c r="N5" s="0" t="s">
        <v>5573</v>
      </c>
      <c r="O5" s="0" t="s">
        <v>5697</v>
      </c>
      <c r="P5" s="0" t="s">
        <v>5698</v>
      </c>
      <c r="Q5" s="0" t="s">
        <v>5699</v>
      </c>
      <c r="R5" s="5" t="s">
        <v>189</v>
      </c>
      <c r="S5" s="0" t="s">
        <v>209</v>
      </c>
      <c r="T5" s="5" t="s">
        <v>189</v>
      </c>
      <c r="U5" s="5" t="s">
        <v>3896</v>
      </c>
      <c r="V5" s="0" t="s">
        <v>5700</v>
      </c>
      <c r="W5" s="0" t="s">
        <v>263</v>
      </c>
      <c r="X5" s="0" t="s">
        <v>5578</v>
      </c>
      <c r="Y5" s="0" t="n">
        <f aca="false">IF(FA5&lt;&gt;"Y","",COUNTIFS($FA$2:$FA$1000,"Y",$J$2:$J$1000,"&gt;"&amp;J5)+COUNTIFS($FA$2:$FA$1000,"Y",$J$2:$J$1000,J5,$FG$2:$FG$1000,"&lt;"&amp;FG5)+1)</f>
        <v>4</v>
      </c>
      <c r="Z5" s="0" t="n">
        <v>4</v>
      </c>
      <c r="AA5" s="0" t="s">
        <v>164</v>
      </c>
      <c r="AB5" s="0" t="str">
        <f aca="false">IF($A5="","",IF(AT5="Y",BW5&amp;"",BJ5&amp;""))</f>
        <v>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v>
      </c>
      <c r="AC5" s="0" t="str">
        <f aca="false">IF($A5="","",IF(AT5="Y",BR5&amp;"",BE5&amp;""))</f>
        <v>founder</v>
      </c>
      <c r="AD5" s="0" t="str">
        <f aca="false">IF($A5="","",IF(AT5="Y",BS5&amp;"",BF5&amp;""))</f>
        <v>crowd-listed</v>
      </c>
      <c r="AE5" s="0" t="str">
        <f aca="false">IF($A5="","",IF(AT5="Y",BT5&amp;"",BG5&amp;""))</f>
        <v>The Org (crowd-edited org chart)</v>
      </c>
      <c r="AF5" s="0" t="str">
        <f aca="false">IF($A5="","",IF(AT5="Y",BU5&amp;"",BH5&amp;""))</f>
        <v>https://theorg.com/org/elenis/person/eleni-gianopulos</v>
      </c>
      <c r="AG5" s="0" t="str">
        <f aca="false">IF($A5="","",IF(AT5="Y",BV5&amp;"",BI5&amp;""))</f>
        <v>2026-10-24</v>
      </c>
      <c r="AH5" s="0" t="s">
        <v>5701</v>
      </c>
      <c r="AI5" s="0" t="s">
        <v>5702</v>
      </c>
      <c r="AJ5" s="0" t="s">
        <v>259</v>
      </c>
      <c r="AK5" s="0" t="s">
        <v>5703</v>
      </c>
      <c r="AL5" s="0" t="s">
        <v>189</v>
      </c>
      <c r="AN5" s="0" t="s">
        <v>5695</v>
      </c>
      <c r="AO5" s="5" t="s">
        <v>189</v>
      </c>
      <c r="AR5" s="0" t="str">
        <f aca="false">IF($A5="","",IF(AND(CK5="pass",AO5&lt;&gt;"Y",C5&lt;&gt;"",OR(AU5&lt;&gt;"Y",AV5="Y")),"Y","N"))</f>
        <v>Y</v>
      </c>
      <c r="AS5" s="0" t="str">
        <f aca="false">IF($A5="","",_xlfn.TEXTJOIN("; ",TRUE(),IF(CK5&lt;&gt;"pass","gated out",""),IF(AO5="Y","on hold: "&amp;AP5,""),IF(C5="","no contact named on an opened page",""),IF(AND(AU5="Y",AV5&lt;&gt;"Y"),"founder review pending (Founder review tab)","")))</f>
        <v/>
      </c>
      <c r="AU5" s="0" t="s">
        <v>189</v>
      </c>
      <c r="AX5" s="0" t="s">
        <v>5704</v>
      </c>
      <c r="AY5" s="0" t="s">
        <v>5705</v>
      </c>
      <c r="AZ5" s="0" t="s">
        <v>5706</v>
      </c>
      <c r="BA5" s="0" t="s">
        <v>5670</v>
      </c>
      <c r="BC5" s="0" t="str">
        <f aca="false">IF($A5="","",IFERROR(INDEX(Enrichment!$A$2:$GZ$2000,MATCH($A5,INDEX(Enrichment!$A$2:$GZ$2000,0,MATCH("row_id",Enrichment!$A$1:$GZ$1,0)),0),MATCH("work_email",Enrichment!$A$1:$GZ$1,0))&amp;"",""))</f>
        <v/>
      </c>
      <c r="BD5" s="0" t="str">
        <f aca="false">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none</v>
      </c>
      <c r="BE5" s="0" t="s">
        <v>5589</v>
      </c>
      <c r="BF5" s="0" t="s">
        <v>283</v>
      </c>
      <c r="BG5" s="0" t="s">
        <v>284</v>
      </c>
      <c r="BH5" s="0" t="s">
        <v>5707</v>
      </c>
      <c r="BI5" s="0" t="s">
        <v>172</v>
      </c>
      <c r="BJ5" s="0" t="s">
        <v>5708</v>
      </c>
      <c r="BK5" s="0" t="s">
        <v>5599</v>
      </c>
      <c r="BL5" s="0" t="s">
        <v>5709</v>
      </c>
      <c r="BM5" s="0" t="s">
        <v>5710</v>
      </c>
      <c r="BN5" s="0" t="s">
        <v>5711</v>
      </c>
      <c r="BP5" s="0" t="str">
        <f aca="false">IF($A5="","",IFERROR(INDEX(Enrichment!$A$2:$GZ$2000,MATCH($A5,INDEX(Enrichment!$A$2:$GZ$2000,0,MATCH("row_id",Enrichment!$A$1:$GZ$1,0)),0),MATCH("backup_work_email",Enrichment!$A$1:$GZ$1,0))&amp;"",""))</f>
        <v/>
      </c>
      <c r="BQ5" s="0" t="str">
        <f aca="false">IF($A5="","",IF(BP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none</v>
      </c>
      <c r="BR5" s="0" t="s">
        <v>5712</v>
      </c>
      <c r="BS5" s="0" t="s">
        <v>283</v>
      </c>
      <c r="BT5" s="0" t="s">
        <v>284</v>
      </c>
      <c r="BU5" s="0" t="s">
        <v>5713</v>
      </c>
      <c r="BV5" s="0" t="s">
        <v>172</v>
      </c>
      <c r="BW5" s="0" t="s">
        <v>5714</v>
      </c>
      <c r="BX5" s="0" t="s">
        <v>5599</v>
      </c>
      <c r="BY5" s="0" t="s">
        <v>5715</v>
      </c>
      <c r="CB5" s="0" t="s">
        <v>5716</v>
      </c>
      <c r="CC5" s="0" t="s">
        <v>3968</v>
      </c>
      <c r="CD5" s="0" t="s">
        <v>5717</v>
      </c>
      <c r="CF5" s="0" t="s">
        <v>5718</v>
      </c>
      <c r="CG5" s="0" t="s">
        <v>3968</v>
      </c>
      <c r="CH5" s="0" t="s">
        <v>5719</v>
      </c>
      <c r="CJ5" s="0" t="s">
        <v>5720</v>
      </c>
      <c r="CK5" s="0" t="s">
        <v>200</v>
      </c>
      <c r="CM5" s="0" t="s">
        <v>201</v>
      </c>
      <c r="CO5" s="0" t="s">
        <v>5703</v>
      </c>
      <c r="CP5" s="0" t="s">
        <v>5608</v>
      </c>
      <c r="CQ5" s="0" t="s">
        <v>5609</v>
      </c>
      <c r="CR5" s="0" t="s">
        <v>209</v>
      </c>
      <c r="CT5" s="0" t="s">
        <v>164</v>
      </c>
      <c r="CU5" s="0" t="s">
        <v>5721</v>
      </c>
      <c r="CV5" s="0" t="s">
        <v>164</v>
      </c>
      <c r="CW5" s="0" t="s">
        <v>164</v>
      </c>
      <c r="CX5" s="0" t="s">
        <v>209</v>
      </c>
      <c r="CZ5" s="0" t="s">
        <v>209</v>
      </c>
      <c r="DA5" s="0" t="s">
        <v>189</v>
      </c>
      <c r="DB5" s="0" t="s">
        <v>189</v>
      </c>
      <c r="DD5" s="0" t="n">
        <v>0</v>
      </c>
      <c r="DE5" s="0" t="s">
        <v>164</v>
      </c>
      <c r="DF5" s="0" t="n">
        <v>10</v>
      </c>
      <c r="DG5" s="0" t="s">
        <v>5722</v>
      </c>
      <c r="DI5" s="0" t="s">
        <v>5723</v>
      </c>
      <c r="DJ5" s="0" t="s">
        <v>5724</v>
      </c>
      <c r="DK5" s="0" t="s">
        <v>5617</v>
      </c>
      <c r="DL5" s="0" t="n">
        <v>201</v>
      </c>
      <c r="DN5" s="0" t="n">
        <v>74</v>
      </c>
      <c r="DO5" s="0" t="n">
        <v>25</v>
      </c>
      <c r="DP5" s="0" t="n">
        <v>20</v>
      </c>
      <c r="DQ5" s="0" t="n">
        <v>8</v>
      </c>
      <c r="DR5" s="0" t="n">
        <v>5</v>
      </c>
      <c r="DS5" s="0" t="n">
        <v>10</v>
      </c>
      <c r="DT5" s="0" t="n">
        <v>6</v>
      </c>
      <c r="DU5" s="0" t="n">
        <f aca="false">IF($A5="","",IF(R5="Y",10,0))</f>
        <v>0</v>
      </c>
      <c r="DV5" s="0" t="n">
        <v>0</v>
      </c>
      <c r="DW5" s="0" t="s">
        <v>5725</v>
      </c>
      <c r="DX5" s="0" t="s">
        <v>5691</v>
      </c>
      <c r="DY5" s="0" t="s">
        <v>5726</v>
      </c>
      <c r="DZ5" s="0" t="s">
        <v>5727</v>
      </c>
      <c r="EA5" s="0" t="s">
        <v>5728</v>
      </c>
      <c r="EV5" s="0" t="str">
        <f aca="false">IF($A5="","",IF(ISNUMBER(MATCH(U5,{"queued","contacted","replied","call_booked","call_done","yes_in_principle","materials_sent"},0)),"Y","N"))</f>
        <v>N</v>
      </c>
      <c r="EW5" s="0" t="str">
        <f aca="false">IF($A5="","",IF(OR(T5="Y",U5="do_not_contact",AQ5&amp;""&lt;&gt;""),"Y","N"))</f>
        <v>N</v>
      </c>
      <c r="EX5" s="0" t="str">
        <f aca="false">IF($A5="","",IF(AN5&amp;""&lt;&gt;"",AN5&amp;"",$A5))</f>
        <v>AB-075</v>
      </c>
      <c r="EY5" s="0" t="str">
        <f aca="false">IF($A5="","",IF(COUNTIFS($EX$2:$EX$1000,EX5,$EV$2:$EV$1000,"Y")+COUNTIFS($EX$2:$EX$1000,EX5,$EW$2:$EW$1000,"Y")&gt;0,"Y","N"))</f>
        <v>N</v>
      </c>
      <c r="EZ5" s="0" t="str">
        <f aca="false">IF($A5="","",IF(AND(U5="new",T5="N",EW5="N",AR5="Y",EY5="N"),"Y","N"))</f>
        <v>Y</v>
      </c>
      <c r="FA5" s="0" t="str">
        <f aca="false">IF($A5="","",IF(EZ5&lt;&gt;"Y","N",IF(COUNTIFS($EX$2:$EX$1000,EX5,$EZ$2:$EZ$1000,"Y",$J$2:$J$1000,"&gt;"&amp;J5)+COUNTIFS($EX$2:$EX$1000,EX5,$EZ$2:$EZ$1000,"Y",$J$2:$J$1000,J5,$FG$2:$FG$1000,"&lt;"&amp;FG5)=0,"Y","N")))</f>
        <v>Y</v>
      </c>
      <c r="FB5" s="0" t="str">
        <f aca="false">IF($A5="","",IF(AND(EZ5="Y",FA5="Y",Y5&amp;""&lt;&gt;""),IF(Y5&lt;=10,"Y","N"),"N"))</f>
        <v>Y</v>
      </c>
      <c r="FC5" s="0" t="n">
        <f aca="false">IF(FB5="Y",Y5,"")</f>
        <v>4</v>
      </c>
      <c r="FD5" s="0" t="str">
        <f aca="false">IF($A5="","",IF(AND(CK5="pass",AU5="Y",AV5&lt;&gt;"Y",U5="new",EW5="N"),"Y","N"))</f>
        <v>N</v>
      </c>
      <c r="FE5" s="0" t="str">
        <f aca="false">IF(FD5&lt;&gt;"Y","",IF(COUNTIFS($FD$2:$FD$1000,"Y",$J$2:$J$1000,"&gt;"&amp;J5)+COUNTIFS($FD$2:$FD$1000,"Y",$J$2:$J$1000,J5,$FG$2:$FG$1000,"&lt;"&amp;FG5)+1&lt;=30,COUNTIFS($FD$2:$FD$1000,"Y",$J$2:$J$1000,"&gt;"&amp;J5)+COUNTIFS($FD$2:$FD$1000,"Y",$J$2:$J$1000,J5,$FG$2:$FG$1000,"&lt;"&amp;FG5)+1,""))</f>
        <v/>
      </c>
      <c r="FF5" s="0" t="str">
        <f aca="false">IF(AND(_xlfn.ISFORMULA(C5),_xlfn.ISFORMULA(J5)),"Y","N")</f>
        <v>Y</v>
      </c>
      <c r="FG5" s="0" t="n">
        <f aca="false">ROW()-1</f>
        <v>4</v>
      </c>
    </row>
    <row r="6" customFormat="false" ht="15" hidden="false" customHeight="false" outlineLevel="0" collapsed="false">
      <c r="A6" s="0" t="s">
        <v>5729</v>
      </c>
      <c r="B6" s="0" t="s">
        <v>5730</v>
      </c>
      <c r="C6" s="0" t="str">
        <f aca="false">IF($A6="","",IF(AT6="Y",BL6&amp;"",AY6&amp;""))</f>
        <v>Daniel</v>
      </c>
      <c r="D6" s="0" t="str">
        <f aca="false">IF($A6="","",IF(AT6="Y",BM6&amp;"",AZ6&amp;""))</f>
        <v>Sklaar</v>
      </c>
      <c r="E6" s="0" t="str">
        <f aca="false">IF($A6="","",IF(AT6="Y",BN6&amp;"",BA6&amp;""))</f>
        <v>Founder</v>
      </c>
      <c r="F6" s="0" t="str">
        <f aca="false">IF($A6="","",IF(AT6="Y",BO6&amp;"",BB6&amp;""))</f>
        <v/>
      </c>
      <c r="G6" s="0" t="str">
        <f aca="false">IF($A6="","",IF(AT6="Y",BP6&amp;"",BC6&amp;""))</f>
        <v/>
      </c>
      <c r="H6" s="0" t="str">
        <f aca="false">IF($A6="","",IF(AT6="Y",BQ6&amp;"",BD6&amp;""))</f>
        <v>none</v>
      </c>
      <c r="I6" s="0" t="str">
        <f aca="false">IF($A6="","",IF(R6="Y","warm-intro",IF(H6="verified","email",IF(C6&lt;&gt;"","linkedin",CA6&amp;""))))</f>
        <v>linkedin</v>
      </c>
      <c r="J6" s="0" t="n">
        <f aca="false">IF($A6="","",IF(CK6="pass",ROUND(N(DO6)+N(DP6)+N(DQ6)+N(DR6)+N(DS6)+N(DT6)+N(DU6)+N(DV6),0),0))</f>
        <v>72</v>
      </c>
      <c r="K6" s="0" t="str">
        <f aca="false">IF($A6="","",IF(CK6&lt;&gt;"pass",BY6&amp;"",BY6&amp;", "&amp;IF(AT6="Y",BX6&amp;"",BK6&amp;"")&amp;BZ6&amp;IF(R6="Y","; known to the founder (+10)","")&amp;"."))</f>
        <v>New York City brand, store page shows Whole Foods Market NoMad inside the cluster, a new store listing 9 days ago, revenue unknown, contact named; founder review: shelf life not stated.</v>
      </c>
      <c r="M6" s="0" t="s">
        <v>5572</v>
      </c>
      <c r="N6" s="0" t="s">
        <v>5573</v>
      </c>
      <c r="O6" s="0" t="s">
        <v>5731</v>
      </c>
      <c r="P6" s="0" t="s">
        <v>5732</v>
      </c>
      <c r="Q6" s="0" t="s">
        <v>5733</v>
      </c>
      <c r="R6" s="5" t="s">
        <v>189</v>
      </c>
      <c r="S6" s="0" t="s">
        <v>209</v>
      </c>
      <c r="T6" s="5" t="s">
        <v>189</v>
      </c>
      <c r="U6" s="5" t="s">
        <v>3896</v>
      </c>
      <c r="V6" s="0" t="s">
        <v>5734</v>
      </c>
      <c r="W6" s="0" t="s">
        <v>263</v>
      </c>
      <c r="X6" s="0" t="s">
        <v>5578</v>
      </c>
      <c r="Y6" s="0" t="n">
        <f aca="false">IF(FA6&lt;&gt;"Y","",COUNTIFS($FA$2:$FA$1000,"Y",$J$2:$J$1000,"&gt;"&amp;J6)+COUNTIFS($FA$2:$FA$1000,"Y",$J$2:$J$1000,J6,$FG$2:$FG$1000,"&lt;"&amp;FG6)+1)</f>
        <v>5</v>
      </c>
      <c r="Z6" s="0" t="n">
        <v>5</v>
      </c>
      <c r="AA6" s="0" t="s">
        <v>164</v>
      </c>
      <c r="AB6" s="0" t="str">
        <f aca="false">IF($A6="","",IF(AT6="Y",BW6&amp;"",BJ6&amp;""))</f>
        <v>find Daniel Sklaar at Fine &amp; Raw on LinkedIn and paste the profile URL into primary_linkedin_url; use the Whole Foods Market NoMad line only if retailer_checked_date is this week's Friday check</v>
      </c>
      <c r="AC6" s="0" t="str">
        <f aca="false">IF($A6="","",IF(AT6="Y",BR6&amp;"",BE6&amp;""))</f>
        <v>founder</v>
      </c>
      <c r="AD6" s="0" t="str">
        <f aca="false">IF($A6="","",IF(AT6="Y",BS6&amp;"",BF6&amp;""))</f>
        <v>verified-page</v>
      </c>
      <c r="AE6" s="0" t="str">
        <f aca="false">IF($A6="","",IF(AT6="Y",BT6&amp;"",BG6&amp;""))</f>
        <v>employer's own site</v>
      </c>
      <c r="AF6" s="0" t="str">
        <f aca="false">IF($A6="","",IF(AT6="Y",BU6&amp;"",BH6&amp;""))</f>
        <v>https://www.fineandraw.com/pages/about</v>
      </c>
      <c r="AG6" s="0" t="str">
        <f aca="false">IF($A6="","",IF(AT6="Y",BV6&amp;"",BI6&amp;""))</f>
        <v>2026-10-24</v>
      </c>
      <c r="AH6" s="0" t="s">
        <v>5735</v>
      </c>
      <c r="AI6" s="0" t="s">
        <v>5664</v>
      </c>
      <c r="AJ6" s="0" t="s">
        <v>5631</v>
      </c>
      <c r="AK6" s="0" t="s">
        <v>5736</v>
      </c>
      <c r="AL6" s="0" t="s">
        <v>164</v>
      </c>
      <c r="AM6" s="0" t="s">
        <v>5666</v>
      </c>
      <c r="AN6" s="0" t="s">
        <v>5729</v>
      </c>
      <c r="AO6" s="5" t="s">
        <v>189</v>
      </c>
      <c r="AR6" s="0" t="str">
        <f aca="false">IF($A6="","",IF(AND(CK6="pass",AO6&lt;&gt;"Y",C6&lt;&gt;"",OR(AU6&lt;&gt;"Y",AV6="Y")),"Y","N"))</f>
        <v>Y</v>
      </c>
      <c r="AS6" s="0" t="str">
        <f aca="false">IF($A6="","",_xlfn.TEXTJOIN("; ",TRUE(),IF(CK6&lt;&gt;"pass","gated out",""),IF(AO6="Y","on hold: "&amp;AP6,""),IF(C6="","no contact named on an opened page",""),IF(AND(AU6="Y",AV6&lt;&gt;"Y"),"founder review pending (Founder review tab)","")))</f>
        <v/>
      </c>
      <c r="AU6" s="0" t="s">
        <v>189</v>
      </c>
      <c r="AX6" s="0" t="s">
        <v>5737</v>
      </c>
      <c r="AY6" s="0" t="s">
        <v>2400</v>
      </c>
      <c r="AZ6" s="0" t="s">
        <v>5738</v>
      </c>
      <c r="BA6" s="0" t="s">
        <v>5739</v>
      </c>
      <c r="BC6" s="0" t="str">
        <f aca="false">IF($A6="","",IFERROR(INDEX(Enrichment!$A$2:$GZ$2000,MATCH($A6,INDEX(Enrichment!$A$2:$GZ$2000,0,MATCH("row_id",Enrichment!$A$1:$GZ$1,0)),0),MATCH("work_email",Enrichment!$A$1:$GZ$1,0))&amp;"",""))</f>
        <v/>
      </c>
      <c r="BD6" s="0" t="str">
        <f aca="false">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none</v>
      </c>
      <c r="BE6" s="0" t="s">
        <v>5589</v>
      </c>
      <c r="BF6" s="0" t="s">
        <v>169</v>
      </c>
      <c r="BG6" s="0" t="s">
        <v>170</v>
      </c>
      <c r="BH6" s="0" t="s">
        <v>5734</v>
      </c>
      <c r="BI6" s="0" t="s">
        <v>172</v>
      </c>
      <c r="BJ6" s="0" t="s">
        <v>5740</v>
      </c>
      <c r="BK6" s="0" t="s">
        <v>5643</v>
      </c>
      <c r="BP6" s="0" t="str">
        <f aca="false">IF($A6="","",IFERROR(INDEX(Enrichment!$A$2:$GZ$2000,MATCH($A6,INDEX(Enrichment!$A$2:$GZ$2000,0,MATCH("row_id",Enrichment!$A$1:$GZ$1,0)),0),MATCH("backup_work_email",Enrichment!$A$1:$GZ$1,0))&amp;"",""))</f>
        <v/>
      </c>
      <c r="BQ6" s="0" t="str">
        <f aca="false">IF($A6="","",IF(BP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none</v>
      </c>
      <c r="BS6" s="0" t="s">
        <v>380</v>
      </c>
      <c r="BW6" s="0" t="s">
        <v>5741</v>
      </c>
      <c r="BX6" s="0" t="s">
        <v>388</v>
      </c>
      <c r="BY6" s="0" t="s">
        <v>5742</v>
      </c>
      <c r="BZ6" s="0" t="s">
        <v>5679</v>
      </c>
      <c r="CB6" s="0" t="s">
        <v>5743</v>
      </c>
      <c r="CD6" s="0" t="s">
        <v>5744</v>
      </c>
      <c r="CJ6" s="0" t="s">
        <v>5606</v>
      </c>
      <c r="CK6" s="0" t="s">
        <v>200</v>
      </c>
      <c r="CM6" s="0" t="s">
        <v>201</v>
      </c>
      <c r="CO6" s="0" t="s">
        <v>5736</v>
      </c>
      <c r="CP6" s="0" t="s">
        <v>5608</v>
      </c>
      <c r="CQ6" s="0" t="s">
        <v>5609</v>
      </c>
      <c r="CR6" s="0" t="s">
        <v>209</v>
      </c>
      <c r="CT6" s="0" t="s">
        <v>352</v>
      </c>
      <c r="CU6" s="0" t="s">
        <v>5745</v>
      </c>
      <c r="CV6" s="0" t="s">
        <v>164</v>
      </c>
      <c r="CW6" s="0" t="s">
        <v>164</v>
      </c>
      <c r="CX6" s="0" t="s">
        <v>209</v>
      </c>
      <c r="CZ6" s="0" t="s">
        <v>209</v>
      </c>
      <c r="DA6" s="0" t="s">
        <v>189</v>
      </c>
      <c r="DB6" s="0" t="s">
        <v>189</v>
      </c>
      <c r="DD6" s="0" t="n">
        <v>0</v>
      </c>
      <c r="DE6" s="0" t="s">
        <v>164</v>
      </c>
      <c r="DF6" s="0" t="n">
        <v>2</v>
      </c>
      <c r="DG6" s="0" t="s">
        <v>5746</v>
      </c>
      <c r="DI6" s="0" t="s">
        <v>5687</v>
      </c>
      <c r="DJ6" s="0" t="s">
        <v>5747</v>
      </c>
      <c r="DK6" s="0" t="s">
        <v>5689</v>
      </c>
      <c r="DL6" s="0" t="n">
        <v>9</v>
      </c>
      <c r="DN6" s="0" t="n">
        <v>72</v>
      </c>
      <c r="DO6" s="0" t="n">
        <v>25</v>
      </c>
      <c r="DP6" s="0" t="n">
        <v>20</v>
      </c>
      <c r="DQ6" s="0" t="n">
        <v>8</v>
      </c>
      <c r="DR6" s="0" t="n">
        <v>5</v>
      </c>
      <c r="DS6" s="0" t="n">
        <v>8</v>
      </c>
      <c r="DT6" s="0" t="n">
        <v>6</v>
      </c>
      <c r="DU6" s="0" t="n">
        <f aca="false">IF($A6="","",IF(R6="Y",10,0))</f>
        <v>0</v>
      </c>
      <c r="DV6" s="0" t="n">
        <v>0</v>
      </c>
      <c r="DW6" s="0" t="s">
        <v>5748</v>
      </c>
      <c r="DX6" s="0" t="s">
        <v>5691</v>
      </c>
      <c r="DY6" s="0" t="s">
        <v>5749</v>
      </c>
      <c r="DZ6" s="0" t="s">
        <v>5750</v>
      </c>
      <c r="EA6" s="0" t="s">
        <v>5751</v>
      </c>
      <c r="EV6" s="0" t="str">
        <f aca="false">IF($A6="","",IF(ISNUMBER(MATCH(U6,{"queued","contacted","replied","call_booked","call_done","yes_in_principle","materials_sent"},0)),"Y","N"))</f>
        <v>N</v>
      </c>
      <c r="EW6" s="0" t="str">
        <f aca="false">IF($A6="","",IF(OR(T6="Y",U6="do_not_contact",AQ6&amp;""&lt;&gt;""),"Y","N"))</f>
        <v>N</v>
      </c>
      <c r="EX6" s="0" t="str">
        <f aca="false">IF($A6="","",IF(AN6&amp;""&lt;&gt;"",AN6&amp;"",$A6))</f>
        <v>AB-071</v>
      </c>
      <c r="EY6" s="0" t="str">
        <f aca="false">IF($A6="","",IF(COUNTIFS($EX$2:$EX$1000,EX6,$EV$2:$EV$1000,"Y")+COUNTIFS($EX$2:$EX$1000,EX6,$EW$2:$EW$1000,"Y")&gt;0,"Y","N"))</f>
        <v>N</v>
      </c>
      <c r="EZ6" s="0" t="str">
        <f aca="false">IF($A6="","",IF(AND(U6="new",T6="N",EW6="N",AR6="Y",EY6="N"),"Y","N"))</f>
        <v>Y</v>
      </c>
      <c r="FA6" s="0" t="str">
        <f aca="false">IF($A6="","",IF(EZ6&lt;&gt;"Y","N",IF(COUNTIFS($EX$2:$EX$1000,EX6,$EZ$2:$EZ$1000,"Y",$J$2:$J$1000,"&gt;"&amp;J6)+COUNTIFS($EX$2:$EX$1000,EX6,$EZ$2:$EZ$1000,"Y",$J$2:$J$1000,J6,$FG$2:$FG$1000,"&lt;"&amp;FG6)=0,"Y","N")))</f>
        <v>Y</v>
      </c>
      <c r="FB6" s="0" t="str">
        <f aca="false">IF($A6="","",IF(AND(EZ6="Y",FA6="Y",Y6&amp;""&lt;&gt;""),IF(Y6&lt;=10,"Y","N"),"N"))</f>
        <v>Y</v>
      </c>
      <c r="FC6" s="0" t="n">
        <f aca="false">IF(FB6="Y",Y6,"")</f>
        <v>5</v>
      </c>
      <c r="FD6" s="0" t="str">
        <f aca="false">IF($A6="","",IF(AND(CK6="pass",AU6="Y",AV6&lt;&gt;"Y",U6="new",EW6="N"),"Y","N"))</f>
        <v>N</v>
      </c>
      <c r="FE6" s="0" t="str">
        <f aca="false">IF(FD6&lt;&gt;"Y","",IF(COUNTIFS($FD$2:$FD$1000,"Y",$J$2:$J$1000,"&gt;"&amp;J6)+COUNTIFS($FD$2:$FD$1000,"Y",$J$2:$J$1000,J6,$FG$2:$FG$1000,"&lt;"&amp;FG6)+1&lt;=30,COUNTIFS($FD$2:$FD$1000,"Y",$J$2:$J$1000,"&gt;"&amp;J6)+COUNTIFS($FD$2:$FD$1000,"Y",$J$2:$J$1000,J6,$FG$2:$FG$1000,"&lt;"&amp;FG6)+1,""))</f>
        <v/>
      </c>
      <c r="FF6" s="0" t="str">
        <f aca="false">IF(AND(_xlfn.ISFORMULA(C6),_xlfn.ISFORMULA(J6)),"Y","N")</f>
        <v>Y</v>
      </c>
      <c r="FG6" s="0" t="n">
        <f aca="false">ROW()-1</f>
        <v>5</v>
      </c>
    </row>
    <row r="7" customFormat="false" ht="15" hidden="false" customHeight="false" outlineLevel="0" collapsed="false">
      <c r="A7" s="0" t="s">
        <v>5752</v>
      </c>
      <c r="B7" s="0" t="s">
        <v>5753</v>
      </c>
      <c r="C7" s="0" t="str">
        <f aca="false">IF($A7="","",IF(AT7="Y",BL7&amp;"",AY7&amp;""))</f>
        <v>Steve</v>
      </c>
      <c r="D7" s="0" t="str">
        <f aca="false">IF($A7="","",IF(AT7="Y",BM7&amp;"",AZ7&amp;""))</f>
        <v>Marino</v>
      </c>
      <c r="E7" s="0" t="str">
        <f aca="false">IF($A7="","",IF(AT7="Y",BN7&amp;"",BA7&amp;""))</f>
        <v>Co-founder</v>
      </c>
      <c r="F7" s="0" t="str">
        <f aca="false">IF($A7="","",IF(AT7="Y",BO7&amp;"",BB7&amp;""))</f>
        <v/>
      </c>
      <c r="G7" s="0" t="str">
        <f aca="false">IF($A7="","",IF(AT7="Y",BP7&amp;"",BC7&amp;""))</f>
        <v/>
      </c>
      <c r="H7" s="0" t="str">
        <f aca="false">IF($A7="","",IF(AT7="Y",BQ7&amp;"",BD7&amp;""))</f>
        <v>none</v>
      </c>
      <c r="I7" s="0" t="str">
        <f aca="false">IF($A7="","",IF(R7="Y","warm-intro",IF(H7="verified","email",IF(C7&lt;&gt;"","linkedin",CA7&amp;""))))</f>
        <v>warm-intro</v>
      </c>
      <c r="J7" s="0" t="n">
        <f aca="false">IF($A7="","",IF(CK7="pass",ROUND(N(DO7)+N(DP7)+N(DQ7)+N(DR7)+N(DS7)+N(DT7)+N(DU7)+N(DV7),0),0))</f>
        <v>82</v>
      </c>
      <c r="K7" s="0" t="str">
        <f aca="false">IF($A7="","",IF(CK7&lt;&gt;"pass",BY7&amp;"",BY7&amp;", "&amp;IF(AT7="Y",BX7&amp;"",BK7&amp;"")&amp;BZ7&amp;IF(R7="Y","; known to the founder (+10)","")&amp;"."))</f>
        <v>New York City brand, store page shows Whole Foods Market NoMad inside the cluster, a new store listing 36 days ago, revenue unknown, contact named; founder review: format-unconfirmed; known to the founder (+10).</v>
      </c>
      <c r="M7" s="0" t="s">
        <v>5572</v>
      </c>
      <c r="N7" s="0" t="s">
        <v>5573</v>
      </c>
      <c r="O7" s="0" t="s">
        <v>5754</v>
      </c>
      <c r="P7" s="0" t="s">
        <v>5755</v>
      </c>
      <c r="Q7" s="0" t="s">
        <v>5756</v>
      </c>
      <c r="R7" s="5" t="s">
        <v>164</v>
      </c>
      <c r="S7" s="0" t="s">
        <v>209</v>
      </c>
      <c r="T7" s="5" t="s">
        <v>189</v>
      </c>
      <c r="U7" s="5" t="s">
        <v>3896</v>
      </c>
      <c r="V7" s="0" t="s">
        <v>5757</v>
      </c>
      <c r="W7" s="0" t="s">
        <v>263</v>
      </c>
      <c r="X7" s="0" t="s">
        <v>5578</v>
      </c>
      <c r="Y7" s="0" t="n">
        <f aca="false">IF(FA7&lt;&gt;"Y","",COUNTIFS($FA$2:$FA$1000,"Y",$J$2:$J$1000,"&gt;"&amp;J7)+COUNTIFS($FA$2:$FA$1000,"Y",$J$2:$J$1000,J7,$FG$2:$FG$1000,"&lt;"&amp;FG7)+1)</f>
        <v>1</v>
      </c>
      <c r="Z7" s="0" t="n">
        <v>6</v>
      </c>
      <c r="AA7" s="0" t="s">
        <v>164</v>
      </c>
      <c r="AB7" s="0" t="str">
        <f aca="false">IF($A7="","",IF(AT7="Y",BW7&amp;"",BJ7&amp;""))</f>
        <v>find Steve Marino at Steve &amp; Andy's on LinkedIn and paste the profile URL into primary_linkedin_url; use the Whole Foods Market NoMad line only if retailer_checked_date is this week's Friday check</v>
      </c>
      <c r="AC7" s="0" t="str">
        <f aca="false">IF($A7="","",IF(AT7="Y",BR7&amp;"",BE7&amp;""))</f>
        <v>founder</v>
      </c>
      <c r="AD7" s="0" t="str">
        <f aca="false">IF($A7="","",IF(AT7="Y",BS7&amp;"",BF7&amp;""))</f>
        <v>verified-page</v>
      </c>
      <c r="AE7" s="0" t="str">
        <f aca="false">IF($A7="","",IF(AT7="Y",BT7&amp;"",BG7&amp;""))</f>
        <v>employer's own site</v>
      </c>
      <c r="AF7" s="0" t="str">
        <f aca="false">IF($A7="","",IF(AT7="Y",BU7&amp;"",BH7&amp;""))</f>
        <v>https://steveandandys.com/pages/about</v>
      </c>
      <c r="AG7" s="0" t="str">
        <f aca="false">IF($A7="","",IF(AT7="Y",BV7&amp;"",BI7&amp;""))</f>
        <v>2026-10-24</v>
      </c>
      <c r="AH7" s="0" t="s">
        <v>5758</v>
      </c>
      <c r="AI7" s="0" t="s">
        <v>5702</v>
      </c>
      <c r="AJ7" s="0" t="s">
        <v>259</v>
      </c>
      <c r="AK7" s="0" t="s">
        <v>5759</v>
      </c>
      <c r="AL7" s="0" t="s">
        <v>164</v>
      </c>
      <c r="AM7" s="0" t="s">
        <v>5760</v>
      </c>
      <c r="AN7" s="0" t="s">
        <v>5752</v>
      </c>
      <c r="AO7" s="5" t="s">
        <v>189</v>
      </c>
      <c r="AR7" s="0" t="str">
        <f aca="false">IF($A7="","",IF(AND(CK7="pass",AO7&lt;&gt;"Y",C7&lt;&gt;"",OR(AU7&lt;&gt;"Y",AV7="Y")),"Y","N"))</f>
        <v>Y</v>
      </c>
      <c r="AS7" s="0" t="str">
        <f aca="false">IF($A7="","",_xlfn.TEXTJOIN("; ",TRUE(),IF(CK7&lt;&gt;"pass","gated out",""),IF(AO7="Y","on hold: "&amp;AP7,""),IF(C7="","no contact named on an opened page",""),IF(AND(AU7="Y",AV7&lt;&gt;"Y"),"founder review pending (Founder review tab)","")))</f>
        <v/>
      </c>
      <c r="AU7" s="0" t="s">
        <v>189</v>
      </c>
      <c r="AX7" s="0" t="s">
        <v>5761</v>
      </c>
      <c r="AY7" s="0" t="s">
        <v>5762</v>
      </c>
      <c r="AZ7" s="0" t="s">
        <v>5763</v>
      </c>
      <c r="BA7" s="0" t="s">
        <v>5636</v>
      </c>
      <c r="BC7" s="0" t="str">
        <f aca="false">IF($A7="","",IFERROR(INDEX(Enrichment!$A$2:$GZ$2000,MATCH($A7,INDEX(Enrichment!$A$2:$GZ$2000,0,MATCH("row_id",Enrichment!$A$1:$GZ$1,0)),0),MATCH("work_email",Enrichment!$A$1:$GZ$1,0))&amp;"",""))</f>
        <v/>
      </c>
      <c r="BD7" s="0" t="str">
        <f aca="false">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none</v>
      </c>
      <c r="BE7" s="0" t="s">
        <v>5589</v>
      </c>
      <c r="BF7" s="0" t="s">
        <v>169</v>
      </c>
      <c r="BG7" s="0" t="s">
        <v>170</v>
      </c>
      <c r="BH7" s="0" t="s">
        <v>5757</v>
      </c>
      <c r="BI7" s="0" t="s">
        <v>172</v>
      </c>
      <c r="BJ7" s="0" t="s">
        <v>5764</v>
      </c>
      <c r="BK7" s="0" t="s">
        <v>5643</v>
      </c>
      <c r="BL7" s="0" t="s">
        <v>5765</v>
      </c>
      <c r="BM7" s="0" t="s">
        <v>5766</v>
      </c>
      <c r="BN7" s="0" t="s">
        <v>5636</v>
      </c>
      <c r="BP7" s="0" t="str">
        <f aca="false">IF($A7="","",IFERROR(INDEX(Enrichment!$A$2:$GZ$2000,MATCH($A7,INDEX(Enrichment!$A$2:$GZ$2000,0,MATCH("row_id",Enrichment!$A$1:$GZ$1,0)),0),MATCH("backup_work_email",Enrichment!$A$1:$GZ$1,0))&amp;"",""))</f>
        <v/>
      </c>
      <c r="BQ7" s="0" t="str">
        <f aca="false">IF($A7="","",IF(BP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none</v>
      </c>
      <c r="BR7" s="0" t="s">
        <v>5712</v>
      </c>
      <c r="BS7" s="0" t="s">
        <v>169</v>
      </c>
      <c r="BT7" s="0" t="s">
        <v>170</v>
      </c>
      <c r="BU7" s="0" t="s">
        <v>5757</v>
      </c>
      <c r="BV7" s="0" t="s">
        <v>172</v>
      </c>
      <c r="BW7" s="0" t="s">
        <v>5767</v>
      </c>
      <c r="BX7" s="0" t="s">
        <v>5643</v>
      </c>
      <c r="BY7" s="0" t="s">
        <v>5768</v>
      </c>
      <c r="BZ7" s="0" t="s">
        <v>5769</v>
      </c>
      <c r="CB7" s="0" t="s">
        <v>5770</v>
      </c>
      <c r="CD7" s="0" t="s">
        <v>5771</v>
      </c>
      <c r="CF7" s="0" t="s">
        <v>5772</v>
      </c>
      <c r="CH7" s="0" t="s">
        <v>5773</v>
      </c>
      <c r="CJ7" s="0" t="s">
        <v>5606</v>
      </c>
      <c r="CK7" s="0" t="s">
        <v>200</v>
      </c>
      <c r="CM7" s="0" t="s">
        <v>201</v>
      </c>
      <c r="CN7" s="0" t="s">
        <v>5774</v>
      </c>
      <c r="CO7" s="0" t="s">
        <v>5759</v>
      </c>
      <c r="CP7" s="0" t="s">
        <v>5608</v>
      </c>
      <c r="CQ7" s="0" t="s">
        <v>5609</v>
      </c>
      <c r="CR7" s="0" t="s">
        <v>209</v>
      </c>
      <c r="CT7" s="0" t="s">
        <v>164</v>
      </c>
      <c r="CU7" s="0" t="s">
        <v>5775</v>
      </c>
      <c r="CV7" s="0" t="s">
        <v>209</v>
      </c>
      <c r="CW7" s="0" t="s">
        <v>164</v>
      </c>
      <c r="CX7" s="0" t="s">
        <v>209</v>
      </c>
      <c r="CZ7" s="0" t="s">
        <v>209</v>
      </c>
      <c r="DA7" s="0" t="s">
        <v>189</v>
      </c>
      <c r="DB7" s="0" t="s">
        <v>189</v>
      </c>
      <c r="DD7" s="0" t="n">
        <v>0</v>
      </c>
      <c r="DE7" s="0" t="s">
        <v>164</v>
      </c>
      <c r="DF7" s="0" t="n">
        <v>3</v>
      </c>
      <c r="DG7" s="0" t="s">
        <v>5686</v>
      </c>
      <c r="DI7" s="0" t="s">
        <v>5776</v>
      </c>
      <c r="DJ7" s="0" t="s">
        <v>5777</v>
      </c>
      <c r="DK7" s="0" t="s">
        <v>5689</v>
      </c>
      <c r="DL7" s="0" t="n">
        <v>36</v>
      </c>
      <c r="DN7" s="0" t="n">
        <v>72</v>
      </c>
      <c r="DO7" s="0" t="n">
        <v>25</v>
      </c>
      <c r="DP7" s="0" t="n">
        <v>20</v>
      </c>
      <c r="DQ7" s="0" t="n">
        <v>8</v>
      </c>
      <c r="DR7" s="0" t="n">
        <v>5</v>
      </c>
      <c r="DS7" s="0" t="n">
        <v>8</v>
      </c>
      <c r="DT7" s="0" t="n">
        <v>6</v>
      </c>
      <c r="DU7" s="0" t="n">
        <f aca="false">IF($A7="","",IF(R7="Y",10,0))</f>
        <v>10</v>
      </c>
      <c r="DV7" s="0" t="n">
        <v>0</v>
      </c>
      <c r="DW7" s="0" t="s">
        <v>5778</v>
      </c>
      <c r="DX7" s="0" t="s">
        <v>5691</v>
      </c>
      <c r="DY7" s="0" t="s">
        <v>5779</v>
      </c>
      <c r="DZ7" s="0" t="s">
        <v>5780</v>
      </c>
      <c r="EA7" s="0" t="s">
        <v>5781</v>
      </c>
      <c r="EV7" s="0" t="str">
        <f aca="false">IF($A7="","",IF(ISNUMBER(MATCH(U7,{"queued","contacted","replied","call_booked","call_done","yes_in_principle","materials_sent"},0)),"Y","N"))</f>
        <v>N</v>
      </c>
      <c r="EW7" s="0" t="str">
        <f aca="false">IF($A7="","",IF(OR(T7="Y",U7="do_not_contact",AQ7&amp;""&lt;&gt;""),"Y","N"))</f>
        <v>N</v>
      </c>
      <c r="EX7" s="0" t="str">
        <f aca="false">IF($A7="","",IF(AN7&amp;""&lt;&gt;"",AN7&amp;"",$A7))</f>
        <v>AB-082</v>
      </c>
      <c r="EY7" s="0" t="str">
        <f aca="false">IF($A7="","",IF(COUNTIFS($EX$2:$EX$1000,EX7,$EV$2:$EV$1000,"Y")+COUNTIFS($EX$2:$EX$1000,EX7,$EW$2:$EW$1000,"Y")&gt;0,"Y","N"))</f>
        <v>N</v>
      </c>
      <c r="EZ7" s="0" t="str">
        <f aca="false">IF($A7="","",IF(AND(U7="new",T7="N",EW7="N",AR7="Y",EY7="N"),"Y","N"))</f>
        <v>Y</v>
      </c>
      <c r="FA7" s="0" t="str">
        <f aca="false">IF($A7="","",IF(EZ7&lt;&gt;"Y","N",IF(COUNTIFS($EX$2:$EX$1000,EX7,$EZ$2:$EZ$1000,"Y",$J$2:$J$1000,"&gt;"&amp;J7)+COUNTIFS($EX$2:$EX$1000,EX7,$EZ$2:$EZ$1000,"Y",$J$2:$J$1000,J7,$FG$2:$FG$1000,"&lt;"&amp;FG7)=0,"Y","N")))</f>
        <v>Y</v>
      </c>
      <c r="FB7" s="0" t="str">
        <f aca="false">IF($A7="","",IF(AND(EZ7="Y",FA7="Y",Y7&amp;""&lt;&gt;""),IF(Y7&lt;=10,"Y","N"),"N"))</f>
        <v>Y</v>
      </c>
      <c r="FC7" s="0" t="n">
        <f aca="false">IF(FB7="Y",Y7,"")</f>
        <v>1</v>
      </c>
      <c r="FD7" s="0" t="str">
        <f aca="false">IF($A7="","",IF(AND(CK7="pass",AU7="Y",AV7&lt;&gt;"Y",U7="new",EW7="N"),"Y","N"))</f>
        <v>N</v>
      </c>
      <c r="FE7" s="0" t="str">
        <f aca="false">IF(FD7&lt;&gt;"Y","",IF(COUNTIFS($FD$2:$FD$1000,"Y",$J$2:$J$1000,"&gt;"&amp;J7)+COUNTIFS($FD$2:$FD$1000,"Y",$J$2:$J$1000,J7,$FG$2:$FG$1000,"&lt;"&amp;FG7)+1&lt;=30,COUNTIFS($FD$2:$FD$1000,"Y",$J$2:$J$1000,"&gt;"&amp;J7)+COUNTIFS($FD$2:$FD$1000,"Y",$J$2:$J$1000,J7,$FG$2:$FG$1000,"&lt;"&amp;FG7)+1,""))</f>
        <v/>
      </c>
      <c r="FF7" s="0" t="str">
        <f aca="false">IF(AND(_xlfn.ISFORMULA(C7),_xlfn.ISFORMULA(J7)),"Y","N")</f>
        <v>Y</v>
      </c>
      <c r="FG7" s="0" t="n">
        <f aca="false">ROW()-1</f>
        <v>6</v>
      </c>
    </row>
    <row r="8" customFormat="false" ht="15" hidden="false" customHeight="false" outlineLevel="0" collapsed="false">
      <c r="A8" s="0" t="s">
        <v>5782</v>
      </c>
      <c r="B8" s="0" t="s">
        <v>5783</v>
      </c>
      <c r="C8" s="0" t="str">
        <f aca="false">IF($A8="","",IF(AT8="Y",BL8&amp;"",AY8&amp;""))</f>
        <v>Zack</v>
      </c>
      <c r="D8" s="0" t="str">
        <f aca="false">IF($A8="","",IF(AT8="Y",BM8&amp;"",AZ8&amp;""))</f>
        <v>Gazzaniga</v>
      </c>
      <c r="E8" s="0" t="str">
        <f aca="false">IF($A8="","",IF(AT8="Y",BN8&amp;"",BA8&amp;""))</f>
        <v>Founder</v>
      </c>
      <c r="F8" s="0" t="str">
        <f aca="false">IF($A8="","",IF(AT8="Y",BO8&amp;"",BB8&amp;""))</f>
        <v/>
      </c>
      <c r="G8" s="0" t="str">
        <f aca="false">IF($A8="","",IF(AT8="Y",BP8&amp;"",BC8&amp;""))</f>
        <v/>
      </c>
      <c r="H8" s="0" t="str">
        <f aca="false">IF($A8="","",IF(AT8="Y",BQ8&amp;"",BD8&amp;""))</f>
        <v>none</v>
      </c>
      <c r="I8" s="0" t="str">
        <f aca="false">IF($A8="","",IF(R8="Y","warm-intro",IF(H8="verified","email",IF(C8&lt;&gt;"","linkedin",CA8&amp;""))))</f>
        <v>linkedin</v>
      </c>
      <c r="J8" s="0" t="n">
        <f aca="false">IF($A8="","",IF(CK8="pass",ROUND(N(DO8)+N(DP8)+N(DQ8)+N(DR8)+N(DS8)+N(DT8)+N(DU8)+N(DV8),0),0))</f>
        <v>71</v>
      </c>
      <c r="K8" s="0" t="str">
        <f aca="false">IF($A8="","",IF(CK8&lt;&gt;"pass",BY8&amp;"",BY8&amp;", "&amp;IF(AT8="Y",BX8&amp;"",BK8&amp;"")&amp;BZ8&amp;IF(R8="Y","; known to the founder (+10)","")&amp;"."))</f>
        <v>New York City brand, store page shows Whole Foods Market NoMad inside the cluster, a new store listing 12 days ago, revenue unknown, contact named plus a marketing lead; founder review: format.</v>
      </c>
      <c r="M8" s="0" t="s">
        <v>5572</v>
      </c>
      <c r="N8" s="0" t="s">
        <v>5573</v>
      </c>
      <c r="O8" s="0" t="s">
        <v>5784</v>
      </c>
      <c r="P8" s="0" t="s">
        <v>5785</v>
      </c>
      <c r="Q8" s="0" t="s">
        <v>5786</v>
      </c>
      <c r="R8" s="5" t="s">
        <v>189</v>
      </c>
      <c r="S8" s="0" t="s">
        <v>209</v>
      </c>
      <c r="T8" s="5" t="s">
        <v>189</v>
      </c>
      <c r="U8" s="5" t="s">
        <v>3896</v>
      </c>
      <c r="V8" s="0" t="s">
        <v>5787</v>
      </c>
      <c r="W8" s="0" t="s">
        <v>263</v>
      </c>
      <c r="X8" s="0" t="s">
        <v>5578</v>
      </c>
      <c r="Y8" s="0" t="n">
        <f aca="false">IF(FA8&lt;&gt;"Y","",COUNTIFS($FA$2:$FA$1000,"Y",$J$2:$J$1000,"&gt;"&amp;J8)+COUNTIFS($FA$2:$FA$1000,"Y",$J$2:$J$1000,J8,$FG$2:$FG$1000,"&lt;"&amp;FG8)+1)</f>
        <v>6</v>
      </c>
      <c r="Z8" s="0" t="n">
        <v>7</v>
      </c>
      <c r="AA8" s="0" t="s">
        <v>164</v>
      </c>
      <c r="AB8" s="0" t="str">
        <f aca="false">IF($A8="","",IF(AT8="Y",BW8&amp;"",BJ8&amp;""))</f>
        <v>find Zack Gazzaniga at Zack's Mighty on LinkedIn and paste the profile URL into primary_linkedin_url; use the Whole Foods Market NoMad line only if retailer_checked_date is this week's Friday check</v>
      </c>
      <c r="AC8" s="0" t="str">
        <f aca="false">IF($A8="","",IF(AT8="Y",BR8&amp;"",BE8&amp;""))</f>
        <v>founder</v>
      </c>
      <c r="AD8" s="0" t="str">
        <f aca="false">IF($A8="","",IF(AT8="Y",BS8&amp;"",BF8&amp;""))</f>
        <v>verified-page</v>
      </c>
      <c r="AE8" s="0" t="str">
        <f aca="false">IF($A8="","",IF(AT8="Y",BT8&amp;"",BG8&amp;""))</f>
        <v>press, event or podcast page</v>
      </c>
      <c r="AF8" s="0" t="str">
        <f aca="false">IF($A8="","",IF(AT8="Y",BU8&amp;"",BH8&amp;""))</f>
        <v>https://www.snackandbakery.com/articles/110099-zacks-mighty-reveals-first-ever-non-gmo-rolled-tortilla-chips</v>
      </c>
      <c r="AG8" s="0" t="str">
        <f aca="false">IF($A8="","",IF(AT8="Y",BV8&amp;"",BI8&amp;""))</f>
        <v>2026-10-24</v>
      </c>
      <c r="AH8" s="0" t="s">
        <v>5788</v>
      </c>
      <c r="AI8" s="0" t="s">
        <v>5789</v>
      </c>
      <c r="AJ8" s="0" t="s">
        <v>5631</v>
      </c>
      <c r="AK8" s="0" t="s">
        <v>5787</v>
      </c>
      <c r="AL8" s="0" t="s">
        <v>164</v>
      </c>
      <c r="AM8" s="0" t="s">
        <v>5790</v>
      </c>
      <c r="AN8" s="0" t="s">
        <v>5782</v>
      </c>
      <c r="AO8" s="5" t="s">
        <v>189</v>
      </c>
      <c r="AR8" s="0" t="str">
        <f aca="false">IF($A8="","",IF(AND(CK8="pass",AO8&lt;&gt;"Y",C8&lt;&gt;"",OR(AU8&lt;&gt;"Y",AV8="Y")),"Y","N"))</f>
        <v>Y</v>
      </c>
      <c r="AS8" s="0" t="str">
        <f aca="false">IF($A8="","",_xlfn.TEXTJOIN("; ",TRUE(),IF(CK8&lt;&gt;"pass","gated out",""),IF(AO8="Y","on hold: "&amp;AP8,""),IF(C8="","no contact named on an opened page",""),IF(AND(AU8="Y",AV8&lt;&gt;"Y"),"founder review pending (Founder review tab)","")))</f>
        <v/>
      </c>
      <c r="AU8" s="0" t="s">
        <v>164</v>
      </c>
      <c r="AV8" s="0" t="s">
        <v>164</v>
      </c>
      <c r="AX8" s="0" t="s">
        <v>5791</v>
      </c>
      <c r="AY8" s="0" t="s">
        <v>5792</v>
      </c>
      <c r="AZ8" s="0" t="s">
        <v>5793</v>
      </c>
      <c r="BA8" s="0" t="s">
        <v>5739</v>
      </c>
      <c r="BC8" s="0" t="str">
        <f aca="false">IF($A8="","",IFERROR(INDEX(Enrichment!$A$2:$GZ$2000,MATCH($A8,INDEX(Enrichment!$A$2:$GZ$2000,0,MATCH("row_id",Enrichment!$A$1:$GZ$1,0)),0),MATCH("work_email",Enrichment!$A$1:$GZ$1,0))&amp;"",""))</f>
        <v/>
      </c>
      <c r="BD8" s="0" t="str">
        <f aca="false">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none</v>
      </c>
      <c r="BE8" s="0" t="s">
        <v>5589</v>
      </c>
      <c r="BF8" s="0" t="s">
        <v>169</v>
      </c>
      <c r="BG8" s="0" t="s">
        <v>1252</v>
      </c>
      <c r="BH8" s="0" t="s">
        <v>5794</v>
      </c>
      <c r="BI8" s="0" t="s">
        <v>172</v>
      </c>
      <c r="BJ8" s="0" t="s">
        <v>5795</v>
      </c>
      <c r="BK8" s="0" t="s">
        <v>5638</v>
      </c>
      <c r="BL8" s="0" t="s">
        <v>5796</v>
      </c>
      <c r="BM8" s="0" t="s">
        <v>5797</v>
      </c>
      <c r="BN8" s="0" t="s">
        <v>5798</v>
      </c>
      <c r="BP8" s="0" t="str">
        <f aca="false">IF($A8="","",IFERROR(INDEX(Enrichment!$A$2:$GZ$2000,MATCH($A8,INDEX(Enrichment!$A$2:$GZ$2000,0,MATCH("row_id",Enrichment!$A$1:$GZ$1,0)),0),MATCH("backup_work_email",Enrichment!$A$1:$GZ$1,0))&amp;"",""))</f>
        <v/>
      </c>
      <c r="BQ8" s="0" t="str">
        <f aca="false">IF($A8="","",IF(BP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none</v>
      </c>
      <c r="BR8" s="0" t="s">
        <v>5596</v>
      </c>
      <c r="BS8" s="0" t="s">
        <v>283</v>
      </c>
      <c r="BT8" s="0" t="s">
        <v>284</v>
      </c>
      <c r="BU8" s="0" t="s">
        <v>5799</v>
      </c>
      <c r="BV8" s="0" t="s">
        <v>172</v>
      </c>
      <c r="BW8" s="0" t="s">
        <v>5800</v>
      </c>
      <c r="BX8" s="0" t="s">
        <v>5599</v>
      </c>
      <c r="BY8" s="0" t="s">
        <v>5801</v>
      </c>
      <c r="BZ8" s="0" t="s">
        <v>5802</v>
      </c>
      <c r="CB8" s="0" t="s">
        <v>5803</v>
      </c>
      <c r="CD8" s="0" t="s">
        <v>5804</v>
      </c>
      <c r="CF8" s="0" t="s">
        <v>5805</v>
      </c>
      <c r="CG8" s="0" t="s">
        <v>5806</v>
      </c>
      <c r="CH8" s="0" t="s">
        <v>5807</v>
      </c>
      <c r="CJ8" s="0" t="s">
        <v>5606</v>
      </c>
      <c r="CK8" s="0" t="s">
        <v>200</v>
      </c>
      <c r="CM8" s="0" t="s">
        <v>201</v>
      </c>
      <c r="CN8" s="0" t="s">
        <v>5808</v>
      </c>
      <c r="CO8" s="0" t="s">
        <v>5787</v>
      </c>
      <c r="CP8" s="0" t="s">
        <v>5608</v>
      </c>
      <c r="CQ8" s="0" t="s">
        <v>5609</v>
      </c>
      <c r="CR8" s="0" t="s">
        <v>5809</v>
      </c>
      <c r="CS8" s="0" t="s">
        <v>5810</v>
      </c>
      <c r="CT8" s="0" t="s">
        <v>164</v>
      </c>
      <c r="CU8" s="0" t="s">
        <v>5811</v>
      </c>
      <c r="CV8" s="0" t="s">
        <v>189</v>
      </c>
      <c r="CW8" s="0" t="s">
        <v>164</v>
      </c>
      <c r="CX8" s="0" t="s">
        <v>209</v>
      </c>
      <c r="CZ8" s="0" t="s">
        <v>209</v>
      </c>
      <c r="DA8" s="0" t="s">
        <v>189</v>
      </c>
      <c r="DB8" s="0" t="s">
        <v>189</v>
      </c>
      <c r="DD8" s="0" t="n">
        <v>0</v>
      </c>
      <c r="DE8" s="0" t="s">
        <v>164</v>
      </c>
      <c r="DF8" s="0" t="n">
        <v>2</v>
      </c>
      <c r="DG8" s="0" t="s">
        <v>5746</v>
      </c>
      <c r="DI8" s="0" t="s">
        <v>5812</v>
      </c>
      <c r="DJ8" s="0" t="s">
        <v>5813</v>
      </c>
      <c r="DK8" s="0" t="s">
        <v>5689</v>
      </c>
      <c r="DL8" s="0" t="n">
        <v>12</v>
      </c>
      <c r="DN8" s="0" t="n">
        <v>71</v>
      </c>
      <c r="DO8" s="0" t="n">
        <v>25</v>
      </c>
      <c r="DP8" s="0" t="n">
        <v>20</v>
      </c>
      <c r="DQ8" s="0" t="n">
        <v>8</v>
      </c>
      <c r="DR8" s="0" t="n">
        <v>5</v>
      </c>
      <c r="DS8" s="0" t="n">
        <v>7</v>
      </c>
      <c r="DT8" s="0" t="n">
        <v>10</v>
      </c>
      <c r="DU8" s="0" t="n">
        <f aca="false">IF($A8="","",IF(R8="Y",10,0))</f>
        <v>0</v>
      </c>
      <c r="DV8" s="0" t="n">
        <v>-4</v>
      </c>
      <c r="DW8" s="0" t="s">
        <v>209</v>
      </c>
      <c r="DX8" s="0" t="s">
        <v>5814</v>
      </c>
      <c r="DY8" s="0" t="s">
        <v>5815</v>
      </c>
      <c r="DZ8" s="0" t="s">
        <v>5816</v>
      </c>
      <c r="EA8" s="0" t="s">
        <v>5817</v>
      </c>
      <c r="EV8" s="0" t="str">
        <f aca="false">IF($A8="","",IF(ISNUMBER(MATCH(U8,{"queued","contacted","replied","call_booked","call_done","yes_in_principle","materials_sent"},0)),"Y","N"))</f>
        <v>N</v>
      </c>
      <c r="EW8" s="0" t="str">
        <f aca="false">IF($A8="","",IF(OR(T8="Y",U8="do_not_contact",AQ8&amp;""&lt;&gt;""),"Y","N"))</f>
        <v>N</v>
      </c>
      <c r="EX8" s="0" t="str">
        <f aca="false">IF($A8="","",IF(AN8&amp;""&lt;&gt;"",AN8&amp;"",$A8))</f>
        <v>AB-002</v>
      </c>
      <c r="EY8" s="0" t="str">
        <f aca="false">IF($A8="","",IF(COUNTIFS($EX$2:$EX$1000,EX8,$EV$2:$EV$1000,"Y")+COUNTIFS($EX$2:$EX$1000,EX8,$EW$2:$EW$1000,"Y")&gt;0,"Y","N"))</f>
        <v>N</v>
      </c>
      <c r="EZ8" s="0" t="str">
        <f aca="false">IF($A8="","",IF(AND(U8="new",T8="N",EW8="N",AR8="Y",EY8="N"),"Y","N"))</f>
        <v>Y</v>
      </c>
      <c r="FA8" s="0" t="str">
        <f aca="false">IF($A8="","",IF(EZ8&lt;&gt;"Y","N",IF(COUNTIFS($EX$2:$EX$1000,EX8,$EZ$2:$EZ$1000,"Y",$J$2:$J$1000,"&gt;"&amp;J8)+COUNTIFS($EX$2:$EX$1000,EX8,$EZ$2:$EZ$1000,"Y",$J$2:$J$1000,J8,$FG$2:$FG$1000,"&lt;"&amp;FG8)=0,"Y","N")))</f>
        <v>Y</v>
      </c>
      <c r="FB8" s="0" t="str">
        <f aca="false">IF($A8="","",IF(AND(EZ8="Y",FA8="Y",Y8&amp;""&lt;&gt;""),IF(Y8&lt;=10,"Y","N"),"N"))</f>
        <v>Y</v>
      </c>
      <c r="FC8" s="0" t="n">
        <f aca="false">IF(FB8="Y",Y8,"")</f>
        <v>6</v>
      </c>
      <c r="FD8" s="0" t="str">
        <f aca="false">IF($A8="","",IF(AND(CK8="pass",AU8="Y",AV8&lt;&gt;"Y",U8="new",EW8="N"),"Y","N"))</f>
        <v>N</v>
      </c>
      <c r="FE8" s="0" t="str">
        <f aca="false">IF(FD8&lt;&gt;"Y","",IF(COUNTIFS($FD$2:$FD$1000,"Y",$J$2:$J$1000,"&gt;"&amp;J8)+COUNTIFS($FD$2:$FD$1000,"Y",$J$2:$J$1000,J8,$FG$2:$FG$1000,"&lt;"&amp;FG8)+1&lt;=30,COUNTIFS($FD$2:$FD$1000,"Y",$J$2:$J$1000,"&gt;"&amp;J8)+COUNTIFS($FD$2:$FD$1000,"Y",$J$2:$J$1000,J8,$FG$2:$FG$1000,"&lt;"&amp;FG8)+1,""))</f>
        <v/>
      </c>
      <c r="FF8" s="0" t="str">
        <f aca="false">IF(AND(_xlfn.ISFORMULA(C8),_xlfn.ISFORMULA(J8)),"Y","N")</f>
        <v>Y</v>
      </c>
      <c r="FG8" s="0" t="n">
        <f aca="false">ROW()-1</f>
        <v>7</v>
      </c>
    </row>
    <row r="9" customFormat="false" ht="15" hidden="false" customHeight="false" outlineLevel="0" collapsed="false">
      <c r="A9" s="0" t="s">
        <v>5818</v>
      </c>
      <c r="B9" s="0" t="s">
        <v>5819</v>
      </c>
      <c r="C9" s="0" t="str">
        <f aca="false">IF($A9="","",IF(AT9="Y",BL9&amp;"",AY9&amp;""))</f>
        <v>Sammy</v>
      </c>
      <c r="D9" s="0" t="str">
        <f aca="false">IF($A9="","",IF(AT9="Y",BM9&amp;"",AZ9&amp;""))</f>
        <v>Kestenbaum</v>
      </c>
      <c r="E9" s="0" t="str">
        <f aca="false">IF($A9="","",IF(AT9="Y",BN9&amp;"",BA9&amp;""))</f>
        <v>Co-founder and CEO</v>
      </c>
      <c r="F9" s="0" t="str">
        <f aca="false">IF($A9="","",IF(AT9="Y",BO9&amp;"",BB9&amp;""))</f>
        <v>https://www.linkedin.com/in/samuel-kestenbaum-26154418/</v>
      </c>
      <c r="G9" s="0" t="str">
        <f aca="false">IF($A9="","",IF(AT9="Y",BP9&amp;"",BC9&amp;""))</f>
        <v/>
      </c>
      <c r="H9" s="0" t="str">
        <f aca="false">IF($A9="","",IF(AT9="Y",BQ9&amp;"",BD9&amp;""))</f>
        <v>none</v>
      </c>
      <c r="I9" s="0" t="str">
        <f aca="false">IF($A9="","",IF(R9="Y","warm-intro",IF(H9="verified","email",IF(C9&lt;&gt;"","linkedin",CA9&amp;""))))</f>
        <v>linkedin</v>
      </c>
      <c r="J9" s="0" t="n">
        <f aca="false">IF($A9="","",IF(CK9="pass",ROUND(N(DO9)+N(DP9)+N(DQ9)+N(DR9)+N(DS9)+N(DT9)+N(DU9)+N(DV9),0),0))</f>
        <v>68</v>
      </c>
      <c r="K9" s="0" t="str">
        <f aca="false">IF($A9="","",IF(CK9&lt;&gt;"pass",BY9&amp;"",BY9&amp;", "&amp;IF(AT9="Y",BX9&amp;"",BK9&amp;"")&amp;BZ9&amp;IF(R9="Y","; known to the founder (+10)","")&amp;"."))</f>
        <v>Northeast brand (HQ unverified), store page shows Whole Foods Market NoMad inside the cluster, news 80 days ago, revenue unknown, contact named; founder review: shelf life not stated.</v>
      </c>
      <c r="M9" s="0" t="s">
        <v>5572</v>
      </c>
      <c r="N9" s="0" t="s">
        <v>5573</v>
      </c>
      <c r="O9" s="0" t="s">
        <v>5820</v>
      </c>
      <c r="P9" s="0" t="s">
        <v>5821</v>
      </c>
      <c r="Q9" s="0" t="s">
        <v>5147</v>
      </c>
      <c r="R9" s="5" t="s">
        <v>189</v>
      </c>
      <c r="S9" s="0" t="s">
        <v>209</v>
      </c>
      <c r="T9" s="5" t="s">
        <v>189</v>
      </c>
      <c r="U9" s="5" t="s">
        <v>3896</v>
      </c>
      <c r="V9" s="0" t="s">
        <v>5822</v>
      </c>
      <c r="W9" s="0" t="s">
        <v>263</v>
      </c>
      <c r="X9" s="0" t="s">
        <v>5578</v>
      </c>
      <c r="Y9" s="0" t="str">
        <f aca="false">IF(FA9&lt;&gt;"Y","",COUNTIFS($FA$2:$FA$1000,"Y",$J$2:$J$1000,"&gt;"&amp;J9)+COUNTIFS($FA$2:$FA$1000,"Y",$J$2:$J$1000,J9,$FG$2:$FG$1000,"&lt;"&amp;FG9)+1)</f>
        <v/>
      </c>
      <c r="Z9" s="0" t="n">
        <v>8</v>
      </c>
      <c r="AA9" s="0" t="s">
        <v>164</v>
      </c>
      <c r="AB9" s="0" t="str">
        <f aca="false">IF($A9="","",IF(AT9="Y",BW9&amp;"",BJ9&amp;""))</f>
        <v>open the LinkedIn URL and confirm it is Sammy Kestenbaum, Co-founder and CEO at PRETZELIZED (found on another page, never opened); use the Whole Foods Market NoMad line only if retailer_checked_date is this week's Friday check</v>
      </c>
      <c r="AC9" s="0" t="str">
        <f aca="false">IF($A9="","",IF(AT9="Y",BR9&amp;"",BE9&amp;""))</f>
        <v>founder</v>
      </c>
      <c r="AD9" s="0" t="str">
        <f aca="false">IF($A9="","",IF(AT9="Y",BS9&amp;"",BF9&amp;""))</f>
        <v>verified-page</v>
      </c>
      <c r="AE9" s="0" t="str">
        <f aca="false">IF($A9="","",IF(AT9="Y",BT9&amp;"",BG9&amp;""))</f>
        <v>employer's own site</v>
      </c>
      <c r="AF9" s="0" t="str">
        <f aca="false">IF($A9="","",IF(AT9="Y",BU9&amp;"",BH9&amp;""))</f>
        <v>https://pretzelized.com/pages/press</v>
      </c>
      <c r="AG9" s="0" t="str">
        <f aca="false">IF($A9="","",IF(AT9="Y",BV9&amp;"",BI9&amp;""))</f>
        <v>2026-10-24</v>
      </c>
      <c r="AH9" s="0" t="s">
        <v>5823</v>
      </c>
      <c r="AI9" s="0" t="s">
        <v>5630</v>
      </c>
      <c r="AJ9" s="0" t="s">
        <v>5824</v>
      </c>
      <c r="AK9" s="0" t="s">
        <v>5822</v>
      </c>
      <c r="AL9" s="0" t="s">
        <v>164</v>
      </c>
      <c r="AM9" s="0" t="s">
        <v>5825</v>
      </c>
      <c r="AN9" s="0" t="s">
        <v>5826</v>
      </c>
      <c r="AO9" s="5" t="s">
        <v>189</v>
      </c>
      <c r="AR9" s="0" t="str">
        <f aca="false">IF($A9="","",IF(AND(CK9="pass",AO9&lt;&gt;"Y",C9&lt;&gt;"",OR(AU9&lt;&gt;"Y",AV9="Y")),"Y","N"))</f>
        <v>Y</v>
      </c>
      <c r="AS9" s="0" t="str">
        <f aca="false">IF($A9="","",_xlfn.TEXTJOIN("; ",TRUE(),IF(CK9&lt;&gt;"pass","gated out",""),IF(AO9="Y","on hold: "&amp;AP9,""),IF(C9="","no contact named on an opened page",""),IF(AND(AU9="Y",AV9&lt;&gt;"Y"),"founder review pending (Founder review tab)","")))</f>
        <v/>
      </c>
      <c r="AU9" s="0" t="s">
        <v>189</v>
      </c>
      <c r="AX9" s="0" t="s">
        <v>5827</v>
      </c>
      <c r="AY9" s="0" t="s">
        <v>5828</v>
      </c>
      <c r="AZ9" s="0" t="s">
        <v>5829</v>
      </c>
      <c r="BA9" s="0" t="s">
        <v>5830</v>
      </c>
      <c r="BB9" s="0" t="s">
        <v>5831</v>
      </c>
      <c r="BC9" s="0" t="str">
        <f aca="false">IF($A9="","",IFERROR(INDEX(Enrichment!$A$2:$GZ$2000,MATCH($A9,INDEX(Enrichment!$A$2:$GZ$2000,0,MATCH("row_id",Enrichment!$A$1:$GZ$1,0)),0),MATCH("work_email",Enrichment!$A$1:$GZ$1,0))&amp;"",""))</f>
        <v/>
      </c>
      <c r="BD9" s="0" t="str">
        <f aca="false">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none</v>
      </c>
      <c r="BE9" s="0" t="s">
        <v>5589</v>
      </c>
      <c r="BF9" s="0" t="s">
        <v>169</v>
      </c>
      <c r="BG9" s="0" t="s">
        <v>170</v>
      </c>
      <c r="BH9" s="0" t="s">
        <v>5832</v>
      </c>
      <c r="BI9" s="0" t="s">
        <v>172</v>
      </c>
      <c r="BJ9" s="0" t="s">
        <v>5833</v>
      </c>
      <c r="BK9" s="0" t="s">
        <v>5643</v>
      </c>
      <c r="BP9" s="0" t="str">
        <f aca="false">IF($A9="","",IFERROR(INDEX(Enrichment!$A$2:$GZ$2000,MATCH($A9,INDEX(Enrichment!$A$2:$GZ$2000,0,MATCH("row_id",Enrichment!$A$1:$GZ$1,0)),0),MATCH("backup_work_email",Enrichment!$A$1:$GZ$1,0))&amp;"",""))</f>
        <v/>
      </c>
      <c r="BQ9" s="0" t="str">
        <f aca="false">IF($A9="","",IF(BP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none</v>
      </c>
      <c r="BR9" s="0" t="s">
        <v>5596</v>
      </c>
      <c r="BS9" s="0" t="s">
        <v>740</v>
      </c>
      <c r="BT9" s="0" t="s">
        <v>741</v>
      </c>
      <c r="BV9" s="0" t="s">
        <v>172</v>
      </c>
      <c r="BW9" s="0" t="s">
        <v>5741</v>
      </c>
      <c r="BX9" s="0" t="s">
        <v>5834</v>
      </c>
      <c r="BY9" s="0" t="s">
        <v>5835</v>
      </c>
      <c r="BZ9" s="0" t="s">
        <v>5679</v>
      </c>
      <c r="CB9" s="0" t="s">
        <v>5836</v>
      </c>
      <c r="CD9" s="0" t="s">
        <v>5837</v>
      </c>
      <c r="CE9" s="0" t="s">
        <v>244</v>
      </c>
      <c r="CF9" s="0" t="s">
        <v>5838</v>
      </c>
      <c r="CH9" s="0" t="s">
        <v>5839</v>
      </c>
      <c r="CJ9" s="0" t="s">
        <v>5606</v>
      </c>
      <c r="CK9" s="0" t="s">
        <v>200</v>
      </c>
      <c r="CM9" s="0" t="s">
        <v>201</v>
      </c>
      <c r="CO9" s="0" t="s">
        <v>5822</v>
      </c>
      <c r="CP9" s="0" t="s">
        <v>5840</v>
      </c>
      <c r="CQ9" s="0" t="s">
        <v>5841</v>
      </c>
      <c r="CR9" s="0" t="s">
        <v>5842</v>
      </c>
      <c r="CT9" s="0" t="s">
        <v>164</v>
      </c>
      <c r="CU9" s="0" t="s">
        <v>5843</v>
      </c>
      <c r="CV9" s="0" t="s">
        <v>164</v>
      </c>
      <c r="CW9" s="0" t="s">
        <v>189</v>
      </c>
      <c r="CX9" s="0" t="s">
        <v>209</v>
      </c>
      <c r="CZ9" s="0" t="s">
        <v>209</v>
      </c>
      <c r="DA9" s="0" t="s">
        <v>189</v>
      </c>
      <c r="DB9" s="0" t="s">
        <v>189</v>
      </c>
      <c r="DD9" s="0" t="n">
        <v>0</v>
      </c>
      <c r="DE9" s="0" t="s">
        <v>164</v>
      </c>
      <c r="DF9" s="0" t="n">
        <v>3</v>
      </c>
      <c r="DG9" s="0" t="s">
        <v>5686</v>
      </c>
      <c r="DI9" s="0" t="s">
        <v>5844</v>
      </c>
      <c r="DJ9" s="0" t="s">
        <v>5845</v>
      </c>
      <c r="DK9" s="0" t="s">
        <v>5617</v>
      </c>
      <c r="DL9" s="0" t="n">
        <v>80</v>
      </c>
      <c r="DN9" s="0" t="n">
        <v>68</v>
      </c>
      <c r="DO9" s="0" t="n">
        <v>25</v>
      </c>
      <c r="DP9" s="0" t="n">
        <v>8</v>
      </c>
      <c r="DQ9" s="0" t="n">
        <v>15</v>
      </c>
      <c r="DR9" s="0" t="n">
        <v>5</v>
      </c>
      <c r="DS9" s="0" t="n">
        <v>7</v>
      </c>
      <c r="DT9" s="0" t="n">
        <v>8</v>
      </c>
      <c r="DU9" s="0" t="n">
        <f aca="false">IF($A9="","",IF(R9="Y",10,0))</f>
        <v>0</v>
      </c>
      <c r="DV9" s="0" t="n">
        <v>0</v>
      </c>
      <c r="DW9" s="0" t="s">
        <v>209</v>
      </c>
      <c r="DX9" s="0" t="s">
        <v>5814</v>
      </c>
      <c r="DY9" s="0" t="s">
        <v>5846</v>
      </c>
      <c r="DZ9" s="0" t="s">
        <v>5847</v>
      </c>
      <c r="EA9" s="0" t="s">
        <v>5848</v>
      </c>
      <c r="EB9" s="0" t="s">
        <v>5849</v>
      </c>
      <c r="EC9" s="0" t="s">
        <v>5850</v>
      </c>
      <c r="EV9" s="0" t="str">
        <f aca="false">IF($A9="","",IF(ISNUMBER(MATCH(U9,{"queued","contacted","replied","call_booked","call_done","yes_in_principle","materials_sent"},0)),"Y","N"))</f>
        <v>N</v>
      </c>
      <c r="EW9" s="0" t="str">
        <f aca="false">IF($A9="","",IF(OR(T9="Y",U9="do_not_contact",AQ9&amp;""&lt;&gt;""),"Y","N"))</f>
        <v>N</v>
      </c>
      <c r="EX9" s="0" t="str">
        <f aca="false">IF($A9="","",IF(AN9&amp;""&lt;&gt;"",AN9&amp;"",$A9))</f>
        <v>grp-003-024</v>
      </c>
      <c r="EY9" s="0" t="str">
        <f aca="false">IF($A9="","",IF(COUNTIFS($EX$2:$EX$1000,EX9,$EV$2:$EV$1000,"Y")+COUNTIFS($EX$2:$EX$1000,EX9,$EW$2:$EW$1000,"Y")&gt;0,"Y","N"))</f>
        <v>Y</v>
      </c>
      <c r="EZ9" s="0" t="str">
        <f aca="false">IF($A9="","",IF(AND(U9="new",T9="N",EW9="N",AR9="Y",EY9="N"),"Y","N"))</f>
        <v>N</v>
      </c>
      <c r="FA9" s="0" t="str">
        <f aca="false">IF($A9="","",IF(EZ9&lt;&gt;"Y","N",IF(COUNTIFS($EX$2:$EX$1000,EX9,$EZ$2:$EZ$1000,"Y",$J$2:$J$1000,"&gt;"&amp;J9)+COUNTIFS($EX$2:$EX$1000,EX9,$EZ$2:$EZ$1000,"Y",$J$2:$J$1000,J9,$FG$2:$FG$1000,"&lt;"&amp;FG9)=0,"Y","N")))</f>
        <v>N</v>
      </c>
      <c r="FB9" s="0" t="str">
        <f aca="false">IF($A9="","",IF(AND(EZ9="Y",FA9="Y",Y9&amp;""&lt;&gt;""),IF(Y9&lt;=10,"Y","N"),"N"))</f>
        <v>N</v>
      </c>
      <c r="FC9" s="0" t="str">
        <f aca="false">IF(FB9="Y",Y9,"")</f>
        <v/>
      </c>
      <c r="FD9" s="0" t="str">
        <f aca="false">IF($A9="","",IF(AND(CK9="pass",AU9="Y",AV9&lt;&gt;"Y",U9="new",EW9="N"),"Y","N"))</f>
        <v>N</v>
      </c>
      <c r="FE9" s="0" t="str">
        <f aca="false">IF(FD9&lt;&gt;"Y","",IF(COUNTIFS($FD$2:$FD$1000,"Y",$J$2:$J$1000,"&gt;"&amp;J9)+COUNTIFS($FD$2:$FD$1000,"Y",$J$2:$J$1000,J9,$FG$2:$FG$1000,"&lt;"&amp;FG9)+1&lt;=30,COUNTIFS($FD$2:$FD$1000,"Y",$J$2:$J$1000,"&gt;"&amp;J9)+COUNTIFS($FD$2:$FD$1000,"Y",$J$2:$J$1000,J9,$FG$2:$FG$1000,"&lt;"&amp;FG9)+1,""))</f>
        <v/>
      </c>
      <c r="FF9" s="0" t="str">
        <f aca="false">IF(AND(_xlfn.ISFORMULA(C9),_xlfn.ISFORMULA(J9)),"Y","N")</f>
        <v>Y</v>
      </c>
      <c r="FG9" s="0" t="n">
        <f aca="false">ROW()-1</f>
        <v>8</v>
      </c>
    </row>
    <row r="10" customFormat="false" ht="15" hidden="false" customHeight="false" outlineLevel="0" collapsed="false">
      <c r="A10" s="0" t="s">
        <v>5851</v>
      </c>
      <c r="B10" s="0" t="s">
        <v>5852</v>
      </c>
      <c r="C10" s="0" t="str">
        <f aca="false">IF($A10="","",IF(AT10="Y",BL10&amp;"",AY10&amp;""))</f>
        <v>Andrew</v>
      </c>
      <c r="D10" s="0" t="str">
        <f aca="false">IF($A10="","",IF(AT10="Y",BM10&amp;"",AZ10&amp;""))</f>
        <v>Issa</v>
      </c>
      <c r="E10" s="0" t="str">
        <f aca="false">IF($A10="","",IF(AT10="Y",BN10&amp;"",BA10&amp;""))</f>
        <v>Co-founder</v>
      </c>
      <c r="F10" s="0" t="str">
        <f aca="false">IF($A10="","",IF(AT10="Y",BO10&amp;"",BB10&amp;""))</f>
        <v/>
      </c>
      <c r="G10" s="0" t="str">
        <f aca="false">IF($A10="","",IF(AT10="Y",BP10&amp;"",BC10&amp;""))</f>
        <v/>
      </c>
      <c r="H10" s="0" t="str">
        <f aca="false">IF($A10="","",IF(AT10="Y",BQ10&amp;"",BD10&amp;""))</f>
        <v>none</v>
      </c>
      <c r="I10" s="0" t="str">
        <f aca="false">IF($A10="","",IF(R10="Y","warm-intro",IF(H10="verified","email",IF(C10&lt;&gt;"","linkedin",CA10&amp;""))))</f>
        <v>linkedin</v>
      </c>
      <c r="J10" s="0" t="n">
        <f aca="false">IF($A10="","",IF(CK10="pass",ROUND(N(DO10)+N(DP10)+N(DQ10)+N(DR10)+N(DS10)+N(DT10)+N(DU10)+N(DV10),0),0))</f>
        <v>67</v>
      </c>
      <c r="K10" s="0" t="str">
        <f aca="false">IF($A10="","",IF(CK10&lt;&gt;"pass",BY10&amp;"",BY10&amp;", "&amp;IF(AT10="Y",BX10&amp;"",BK10&amp;"")&amp;BZ10&amp;IF(R10="Y","; known to the founder (+10)","")&amp;"."))</f>
        <v>New York State brand, store page shows Whole Foods Market NoMad inside the cluster, a new store listing 95 days ago, revenue unknown, contact named.</v>
      </c>
      <c r="M10" s="0" t="s">
        <v>5572</v>
      </c>
      <c r="N10" s="0" t="s">
        <v>5573</v>
      </c>
      <c r="O10" s="0" t="s">
        <v>5853</v>
      </c>
      <c r="P10" s="0" t="s">
        <v>5854</v>
      </c>
      <c r="Q10" s="0" t="s">
        <v>3658</v>
      </c>
      <c r="R10" s="5" t="s">
        <v>189</v>
      </c>
      <c r="S10" s="0" t="s">
        <v>209</v>
      </c>
      <c r="T10" s="5" t="s">
        <v>189</v>
      </c>
      <c r="U10" s="5" t="s">
        <v>3896</v>
      </c>
      <c r="V10" s="0" t="s">
        <v>5855</v>
      </c>
      <c r="W10" s="0" t="s">
        <v>263</v>
      </c>
      <c r="X10" s="0" t="s">
        <v>5578</v>
      </c>
      <c r="Y10" s="0" t="n">
        <f aca="false">IF(FA10&lt;&gt;"Y","",COUNTIFS($FA$2:$FA$1000,"Y",$J$2:$J$1000,"&gt;"&amp;J10)+COUNTIFS($FA$2:$FA$1000,"Y",$J$2:$J$1000,J10,$FG$2:$FG$1000,"&lt;"&amp;FG10)+1)</f>
        <v>7</v>
      </c>
      <c r="Z10" s="0" t="n">
        <v>9</v>
      </c>
      <c r="AA10" s="0" t="s">
        <v>164</v>
      </c>
      <c r="AB10" s="0" t="str">
        <f aca="false">IF($A10="","",IF(AT10="Y",BW10&amp;"",BJ10&amp;""))</f>
        <v>find Andrew Issa at Issa's on LinkedIn and paste the profile URL into primary_linkedin_url; use the Whole Foods Market NoMad line only if retailer_checked_date is this week's Friday check</v>
      </c>
      <c r="AC10" s="0" t="str">
        <f aca="false">IF($A10="","",IF(AT10="Y",BR10&amp;"",BE10&amp;""))</f>
        <v>founder</v>
      </c>
      <c r="AD10" s="0" t="str">
        <f aca="false">IF($A10="","",IF(AT10="Y",BS10&amp;"",BF10&amp;""))</f>
        <v>verified-page</v>
      </c>
      <c r="AE10" s="0" t="str">
        <f aca="false">IF($A10="","",IF(AT10="Y",BT10&amp;"",BG10&amp;""))</f>
        <v>press, event or podcast page</v>
      </c>
      <c r="AF10" s="0" t="str">
        <f aca="false">IF($A10="","",IF(AT10="Y",BU10&amp;"",BH10&amp;""))</f>
        <v>https://www.wkbw.com/news/local-news/believe-in-buffalo/buffalo-born-issas-makes-pita-chips-like-no-other-in-the-nation-using-family-recipe-and-flame-baking-process</v>
      </c>
      <c r="AG10" s="0" t="str">
        <f aca="false">IF($A10="","",IF(AT10="Y",BV10&amp;"",BI10&amp;""))</f>
        <v>2026-10-24</v>
      </c>
      <c r="AH10" s="0" t="s">
        <v>5856</v>
      </c>
      <c r="AI10" s="0" t="s">
        <v>5789</v>
      </c>
      <c r="AJ10" s="0" t="s">
        <v>5857</v>
      </c>
      <c r="AK10" s="0" t="s">
        <v>5858</v>
      </c>
      <c r="AL10" s="0" t="s">
        <v>189</v>
      </c>
      <c r="AN10" s="0" t="s">
        <v>5851</v>
      </c>
      <c r="AO10" s="5" t="s">
        <v>189</v>
      </c>
      <c r="AR10" s="0" t="str">
        <f aca="false">IF($A10="","",IF(AND(CK10="pass",AO10&lt;&gt;"Y",C10&lt;&gt;"",OR(AU10&lt;&gt;"Y",AV10="Y")),"Y","N"))</f>
        <v>Y</v>
      </c>
      <c r="AS10" s="0" t="str">
        <f aca="false">IF($A10="","",_xlfn.TEXTJOIN("; ",TRUE(),IF(CK10&lt;&gt;"pass","gated out",""),IF(AO10="Y","on hold: "&amp;AP10,""),IF(C10="","no contact named on an opened page",""),IF(AND(AU10="Y",AV10&lt;&gt;"Y"),"founder review pending (Founder review tab)","")))</f>
        <v/>
      </c>
      <c r="AU10" s="0" t="s">
        <v>189</v>
      </c>
      <c r="AX10" s="0" t="s">
        <v>5859</v>
      </c>
      <c r="AY10" s="0" t="s">
        <v>5860</v>
      </c>
      <c r="AZ10" s="0" t="s">
        <v>5861</v>
      </c>
      <c r="BA10" s="0" t="s">
        <v>5636</v>
      </c>
      <c r="BC10" s="0" t="str">
        <f aca="false">IF($A10="","",IFERROR(INDEX(Enrichment!$A$2:$GZ$2000,MATCH($A10,INDEX(Enrichment!$A$2:$GZ$2000,0,MATCH("row_id",Enrichment!$A$1:$GZ$1,0)),0),MATCH("work_email",Enrichment!$A$1:$GZ$1,0))&amp;"",""))</f>
        <v/>
      </c>
      <c r="BD10" s="0" t="str">
        <f aca="false">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none</v>
      </c>
      <c r="BE10" s="0" t="s">
        <v>5589</v>
      </c>
      <c r="BF10" s="0" t="s">
        <v>169</v>
      </c>
      <c r="BG10" s="0" t="s">
        <v>1252</v>
      </c>
      <c r="BH10" s="0" t="s">
        <v>5862</v>
      </c>
      <c r="BI10" s="0" t="s">
        <v>172</v>
      </c>
      <c r="BJ10" s="0" t="s">
        <v>5863</v>
      </c>
      <c r="BK10" s="0" t="s">
        <v>5643</v>
      </c>
      <c r="BL10" s="0" t="s">
        <v>1032</v>
      </c>
      <c r="BM10" s="0" t="s">
        <v>5861</v>
      </c>
      <c r="BN10" s="0" t="s">
        <v>5636</v>
      </c>
      <c r="BP10" s="0" t="str">
        <f aca="false">IF($A10="","",IFERROR(INDEX(Enrichment!$A$2:$GZ$2000,MATCH($A10,INDEX(Enrichment!$A$2:$GZ$2000,0,MATCH("row_id",Enrichment!$A$1:$GZ$1,0)),0),MATCH("backup_work_email",Enrichment!$A$1:$GZ$1,0))&amp;"",""))</f>
        <v/>
      </c>
      <c r="BQ10" s="0" t="str">
        <f aca="false">IF($A10="","",IF(BP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none</v>
      </c>
      <c r="BR10" s="0" t="s">
        <v>5712</v>
      </c>
      <c r="BS10" s="0" t="s">
        <v>169</v>
      </c>
      <c r="BT10" s="0" t="s">
        <v>1252</v>
      </c>
      <c r="BU10" s="0" t="s">
        <v>5862</v>
      </c>
      <c r="BV10" s="0" t="s">
        <v>172</v>
      </c>
      <c r="BW10" s="0" t="s">
        <v>5864</v>
      </c>
      <c r="BX10" s="0" t="s">
        <v>5643</v>
      </c>
      <c r="BY10" s="0" t="s">
        <v>5865</v>
      </c>
      <c r="CB10" s="0" t="s">
        <v>5866</v>
      </c>
      <c r="CD10" s="0" t="s">
        <v>5867</v>
      </c>
      <c r="CF10" s="0" t="s">
        <v>5868</v>
      </c>
      <c r="CH10" s="0" t="s">
        <v>5869</v>
      </c>
      <c r="CJ10" s="0" t="s">
        <v>5606</v>
      </c>
      <c r="CK10" s="0" t="s">
        <v>200</v>
      </c>
      <c r="CM10" s="0" t="s">
        <v>201</v>
      </c>
      <c r="CO10" s="0" t="s">
        <v>5858</v>
      </c>
      <c r="CP10" s="0" t="s">
        <v>5608</v>
      </c>
      <c r="CQ10" s="0" t="s">
        <v>5870</v>
      </c>
      <c r="CR10" s="0" t="s">
        <v>5871</v>
      </c>
      <c r="CS10" s="0" t="s">
        <v>5855</v>
      </c>
      <c r="CT10" s="0" t="s">
        <v>164</v>
      </c>
      <c r="CU10" s="0" t="s">
        <v>5872</v>
      </c>
      <c r="CV10" s="0" t="s">
        <v>164</v>
      </c>
      <c r="CW10" s="0" t="s">
        <v>164</v>
      </c>
      <c r="CX10" s="0" t="s">
        <v>209</v>
      </c>
      <c r="CZ10" s="0" t="s">
        <v>209</v>
      </c>
      <c r="DA10" s="0" t="s">
        <v>189</v>
      </c>
      <c r="DB10" s="0" t="s">
        <v>189</v>
      </c>
      <c r="DD10" s="0" t="n">
        <v>0</v>
      </c>
      <c r="DE10" s="0" t="s">
        <v>164</v>
      </c>
      <c r="DF10" s="0" t="n">
        <v>6</v>
      </c>
      <c r="DG10" s="0" t="s">
        <v>5873</v>
      </c>
      <c r="DH10" s="0" t="s">
        <v>5874</v>
      </c>
      <c r="DI10" s="0" t="s">
        <v>5875</v>
      </c>
      <c r="DJ10" s="0" t="s">
        <v>5876</v>
      </c>
      <c r="DK10" s="0" t="s">
        <v>5689</v>
      </c>
      <c r="DL10" s="0" t="n">
        <v>95</v>
      </c>
      <c r="DN10" s="0" t="n">
        <v>67</v>
      </c>
      <c r="DO10" s="0" t="n">
        <v>25</v>
      </c>
      <c r="DP10" s="0" t="n">
        <v>13</v>
      </c>
      <c r="DQ10" s="0" t="n">
        <v>8</v>
      </c>
      <c r="DR10" s="0" t="n">
        <v>5</v>
      </c>
      <c r="DS10" s="0" t="n">
        <v>10</v>
      </c>
      <c r="DT10" s="0" t="n">
        <v>6</v>
      </c>
      <c r="DU10" s="0" t="n">
        <f aca="false">IF($A10="","",IF(R10="Y",10,0))</f>
        <v>0</v>
      </c>
      <c r="DV10" s="0" t="n">
        <v>0</v>
      </c>
      <c r="DW10" s="0" t="s">
        <v>5877</v>
      </c>
      <c r="DX10" s="0" t="s">
        <v>5619</v>
      </c>
      <c r="DY10" s="0" t="s">
        <v>5878</v>
      </c>
      <c r="DZ10" s="0" t="s">
        <v>5879</v>
      </c>
      <c r="EA10" s="0" t="s">
        <v>5880</v>
      </c>
      <c r="EV10" s="0" t="str">
        <f aca="false">IF($A10="","",IF(ISNUMBER(MATCH(U10,{"queued","contacted","replied","call_booked","call_done","yes_in_principle","materials_sent"},0)),"Y","N"))</f>
        <v>N</v>
      </c>
      <c r="EW10" s="0" t="str">
        <f aca="false">IF($A10="","",IF(OR(T10="Y",U10="do_not_contact",AQ10&amp;""&lt;&gt;""),"Y","N"))</f>
        <v>N</v>
      </c>
      <c r="EX10" s="0" t="str">
        <f aca="false">IF($A10="","",IF(AN10&amp;""&lt;&gt;"",AN10&amp;"",$A10))</f>
        <v>AB-235</v>
      </c>
      <c r="EY10" s="0" t="str">
        <f aca="false">IF($A10="","",IF(COUNTIFS($EX$2:$EX$1000,EX10,$EV$2:$EV$1000,"Y")+COUNTIFS($EX$2:$EX$1000,EX10,$EW$2:$EW$1000,"Y")&gt;0,"Y","N"))</f>
        <v>N</v>
      </c>
      <c r="EZ10" s="0" t="str">
        <f aca="false">IF($A10="","",IF(AND(U10="new",T10="N",EW10="N",AR10="Y",EY10="N"),"Y","N"))</f>
        <v>Y</v>
      </c>
      <c r="FA10" s="0" t="str">
        <f aca="false">IF($A10="","",IF(EZ10&lt;&gt;"Y","N",IF(COUNTIFS($EX$2:$EX$1000,EX10,$EZ$2:$EZ$1000,"Y",$J$2:$J$1000,"&gt;"&amp;J10)+COUNTIFS($EX$2:$EX$1000,EX10,$EZ$2:$EZ$1000,"Y",$J$2:$J$1000,J10,$FG$2:$FG$1000,"&lt;"&amp;FG10)=0,"Y","N")))</f>
        <v>Y</v>
      </c>
      <c r="FB10" s="0" t="str">
        <f aca="false">IF($A10="","",IF(AND(EZ10="Y",FA10="Y",Y10&amp;""&lt;&gt;""),IF(Y10&lt;=10,"Y","N"),"N"))</f>
        <v>Y</v>
      </c>
      <c r="FC10" s="0" t="n">
        <f aca="false">IF(FB10="Y",Y10,"")</f>
        <v>7</v>
      </c>
      <c r="FD10" s="0" t="str">
        <f aca="false">IF($A10="","",IF(AND(CK10="pass",AU10="Y",AV10&lt;&gt;"Y",U10="new",EW10="N"),"Y","N"))</f>
        <v>N</v>
      </c>
      <c r="FE10" s="0" t="str">
        <f aca="false">IF(FD10&lt;&gt;"Y","",IF(COUNTIFS($FD$2:$FD$1000,"Y",$J$2:$J$1000,"&gt;"&amp;J10)+COUNTIFS($FD$2:$FD$1000,"Y",$J$2:$J$1000,J10,$FG$2:$FG$1000,"&lt;"&amp;FG10)+1&lt;=30,COUNTIFS($FD$2:$FD$1000,"Y",$J$2:$J$1000,"&gt;"&amp;J10)+COUNTIFS($FD$2:$FD$1000,"Y",$J$2:$J$1000,J10,$FG$2:$FG$1000,"&lt;"&amp;FG10)+1,""))</f>
        <v/>
      </c>
      <c r="FF10" s="0" t="str">
        <f aca="false">IF(AND(_xlfn.ISFORMULA(C10),_xlfn.ISFORMULA(J10)),"Y","N")</f>
        <v>Y</v>
      </c>
      <c r="FG10" s="0" t="n">
        <f aca="false">ROW()-1</f>
        <v>9</v>
      </c>
    </row>
    <row r="11" customFormat="false" ht="15" hidden="false" customHeight="false" outlineLevel="0" collapsed="false">
      <c r="A11" s="0" t="s">
        <v>5881</v>
      </c>
      <c r="B11" s="0" t="s">
        <v>5882</v>
      </c>
      <c r="C11" s="0" t="str">
        <f aca="false">IF($A11="","",IF(AT11="Y",BL11&amp;"",AY11&amp;""))</f>
        <v>Bryan</v>
      </c>
      <c r="D11" s="0" t="str">
        <f aca="false">IF($A11="","",IF(AT11="Y",BM11&amp;"",AZ11&amp;""))</f>
        <v>Graham</v>
      </c>
      <c r="E11" s="0" t="str">
        <f aca="false">IF($A11="","",IF(AT11="Y",BN11&amp;"",BA11&amp;""))</f>
        <v>Founder</v>
      </c>
      <c r="F11" s="0" t="str">
        <f aca="false">IF($A11="","",IF(AT11="Y",BO11&amp;"",BB11&amp;""))</f>
        <v/>
      </c>
      <c r="G11" s="0" t="str">
        <f aca="false">IF($A11="","",IF(AT11="Y",BP11&amp;"",BC11&amp;""))</f>
        <v/>
      </c>
      <c r="H11" s="0" t="str">
        <f aca="false">IF($A11="","",IF(AT11="Y",BQ11&amp;"",BD11&amp;""))</f>
        <v>none</v>
      </c>
      <c r="I11" s="0" t="str">
        <f aca="false">IF($A11="","",IF(R11="Y","warm-intro",IF(H11="verified","email",IF(C11&lt;&gt;"","linkedin",CA11&amp;""))))</f>
        <v>linkedin</v>
      </c>
      <c r="J11" s="0" t="n">
        <f aca="false">IF($A11="","",IF(CK11="pass",ROUND(N(DO11)+N(DP11)+N(DQ11)+N(DR11)+N(DS11)+N(DT11)+N(DU11)+N(DV11),0),0))</f>
        <v>65</v>
      </c>
      <c r="K11" s="0" t="str">
        <f aca="false">IF($A11="","",IF(CK11&lt;&gt;"pass",BY11&amp;"",BY11&amp;", "&amp;IF(AT11="Y",BX11&amp;"",BK11&amp;"")&amp;BZ11&amp;IF(R11="Y","; known to the founder (+10)","")&amp;"."))</f>
        <v>New York State brand, store page shows Whole Foods Market NoMad inside the cluster, news 242 days ago, revenue unknown, contact named; founder review: shelf life not stated.</v>
      </c>
      <c r="M11" s="0" t="s">
        <v>5572</v>
      </c>
      <c r="N11" s="0" t="s">
        <v>5573</v>
      </c>
      <c r="O11" s="0" t="s">
        <v>5883</v>
      </c>
      <c r="P11" s="0" t="s">
        <v>5884</v>
      </c>
      <c r="Q11" s="0" t="s">
        <v>5885</v>
      </c>
      <c r="R11" s="5" t="s">
        <v>189</v>
      </c>
      <c r="S11" s="0" t="s">
        <v>209</v>
      </c>
      <c r="T11" s="5" t="s">
        <v>189</v>
      </c>
      <c r="U11" s="5" t="s">
        <v>3896</v>
      </c>
      <c r="V11" s="0" t="s">
        <v>5886</v>
      </c>
      <c r="W11" s="0" t="s">
        <v>263</v>
      </c>
      <c r="X11" s="0" t="s">
        <v>5578</v>
      </c>
      <c r="Y11" s="0" t="n">
        <f aca="false">IF(FA11&lt;&gt;"Y","",COUNTIFS($FA$2:$FA$1000,"Y",$J$2:$J$1000,"&gt;"&amp;J11)+COUNTIFS($FA$2:$FA$1000,"Y",$J$2:$J$1000,J11,$FG$2:$FG$1000,"&lt;"&amp;FG11)+1)</f>
        <v>8</v>
      </c>
      <c r="Z11" s="0" t="n">
        <v>10</v>
      </c>
      <c r="AA11" s="0" t="s">
        <v>164</v>
      </c>
      <c r="AB11" s="0" t="str">
        <f aca="false">IF($A11="","",IF(AT11="Y",BW11&amp;"",BJ11&amp;""))</f>
        <v>find Bryan Graham at Fruition Chocolate Works on LinkedIn and paste the profile URL into primary_linkedin_url; use the Whole Foods Market NoMad line only if retailer_checked_date is this week's Friday check</v>
      </c>
      <c r="AC11" s="0" t="str">
        <f aca="false">IF($A11="","",IF(AT11="Y",BR11&amp;"",BE11&amp;""))</f>
        <v>founder</v>
      </c>
      <c r="AD11" s="0" t="str">
        <f aca="false">IF($A11="","",IF(AT11="Y",BS11&amp;"",BF11&amp;""))</f>
        <v>verified-page</v>
      </c>
      <c r="AE11" s="0" t="str">
        <f aca="false">IF($A11="","",IF(AT11="Y",BT11&amp;"",BG11&amp;""))</f>
        <v>employer's own site</v>
      </c>
      <c r="AF11" s="0" t="str">
        <f aca="false">IF($A11="","",IF(AT11="Y",BU11&amp;"",BH11&amp;""))</f>
        <v>https://www.fruitionchocolateworks.com/pages/our-story</v>
      </c>
      <c r="AG11" s="0" t="str">
        <f aca="false">IF($A11="","",IF(AT11="Y",BV11&amp;"",BI11&amp;""))</f>
        <v>2026-10-24</v>
      </c>
      <c r="AH11" s="0" t="s">
        <v>5887</v>
      </c>
      <c r="AI11" s="0" t="s">
        <v>5664</v>
      </c>
      <c r="AJ11" s="0" t="s">
        <v>5888</v>
      </c>
      <c r="AK11" s="0" t="s">
        <v>5889</v>
      </c>
      <c r="AL11" s="0" t="s">
        <v>164</v>
      </c>
      <c r="AM11" s="0" t="s">
        <v>5666</v>
      </c>
      <c r="AN11" s="0" t="s">
        <v>5881</v>
      </c>
      <c r="AO11" s="5" t="s">
        <v>189</v>
      </c>
      <c r="AR11" s="0" t="str">
        <f aca="false">IF($A11="","",IF(AND(CK11="pass",AO11&lt;&gt;"Y",C11&lt;&gt;"",OR(AU11&lt;&gt;"Y",AV11="Y")),"Y","N"))</f>
        <v>Y</v>
      </c>
      <c r="AS11" s="0" t="str">
        <f aca="false">IF($A11="","",_xlfn.TEXTJOIN("; ",TRUE(),IF(CK11&lt;&gt;"pass","gated out",""),IF(AO11="Y","on hold: "&amp;AP11,""),IF(C11="","no contact named on an opened page",""),IF(AND(AU11="Y",AV11&lt;&gt;"Y"),"founder review pending (Founder review tab)","")))</f>
        <v/>
      </c>
      <c r="AU11" s="0" t="s">
        <v>189</v>
      </c>
      <c r="AX11" s="0" t="s">
        <v>5890</v>
      </c>
      <c r="AY11" s="0" t="s">
        <v>5891</v>
      </c>
      <c r="AZ11" s="0" t="s">
        <v>5892</v>
      </c>
      <c r="BA11" s="0" t="s">
        <v>5739</v>
      </c>
      <c r="BC11" s="0" t="str">
        <f aca="false">IF($A11="","",IFERROR(INDEX(Enrichment!$A$2:$GZ$2000,MATCH($A11,INDEX(Enrichment!$A$2:$GZ$2000,0,MATCH("row_id",Enrichment!$A$1:$GZ$1,0)),0),MATCH("work_email",Enrichment!$A$1:$GZ$1,0))&amp;"",""))</f>
        <v/>
      </c>
      <c r="BD11" s="0" t="str">
        <f aca="false">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none</v>
      </c>
      <c r="BE11" s="0" t="s">
        <v>5589</v>
      </c>
      <c r="BF11" s="0" t="s">
        <v>169</v>
      </c>
      <c r="BG11" s="0" t="s">
        <v>170</v>
      </c>
      <c r="BH11" s="0" t="s">
        <v>5886</v>
      </c>
      <c r="BI11" s="0" t="s">
        <v>172</v>
      </c>
      <c r="BJ11" s="0" t="s">
        <v>5893</v>
      </c>
      <c r="BK11" s="0" t="s">
        <v>5643</v>
      </c>
      <c r="BL11" s="0" t="s">
        <v>5894</v>
      </c>
      <c r="BM11" s="0" t="s">
        <v>209</v>
      </c>
      <c r="BN11" s="0" t="s">
        <v>5895</v>
      </c>
      <c r="BP11" s="0" t="str">
        <f aca="false">IF($A11="","",IFERROR(INDEX(Enrichment!$A$2:$GZ$2000,MATCH($A11,INDEX(Enrichment!$A$2:$GZ$2000,0,MATCH("row_id",Enrichment!$A$1:$GZ$1,0)),0),MATCH("backup_work_email",Enrichment!$A$1:$GZ$1,0))&amp;"",""))</f>
        <v/>
      </c>
      <c r="BQ11" s="0" t="str">
        <f aca="false">IF($A11="","",IF(BP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none</v>
      </c>
      <c r="BR11" s="0" t="s">
        <v>5712</v>
      </c>
      <c r="BS11" s="0" t="s">
        <v>5896</v>
      </c>
      <c r="BT11" s="0" t="s">
        <v>1252</v>
      </c>
      <c r="BU11" s="0" t="s">
        <v>5884</v>
      </c>
      <c r="BV11" s="0" t="s">
        <v>172</v>
      </c>
      <c r="BW11" s="0" t="s">
        <v>5897</v>
      </c>
      <c r="BX11" s="0" t="s">
        <v>5898</v>
      </c>
      <c r="BY11" s="0" t="s">
        <v>5899</v>
      </c>
      <c r="BZ11" s="0" t="s">
        <v>5679</v>
      </c>
      <c r="CB11" s="0" t="s">
        <v>5900</v>
      </c>
      <c r="CC11" s="0" t="s">
        <v>5885</v>
      </c>
      <c r="CD11" s="0" t="s">
        <v>5901</v>
      </c>
      <c r="CF11" s="0" t="s">
        <v>5894</v>
      </c>
      <c r="CH11" s="0" t="s">
        <v>5902</v>
      </c>
      <c r="CJ11" s="0" t="s">
        <v>5606</v>
      </c>
      <c r="CK11" s="0" t="s">
        <v>200</v>
      </c>
      <c r="CM11" s="0" t="s">
        <v>201</v>
      </c>
      <c r="CO11" s="0" t="s">
        <v>5889</v>
      </c>
      <c r="CP11" s="0" t="s">
        <v>5608</v>
      </c>
      <c r="CQ11" s="0" t="s">
        <v>5870</v>
      </c>
      <c r="CR11" s="0" t="s">
        <v>209</v>
      </c>
      <c r="CT11" s="0" t="s">
        <v>352</v>
      </c>
      <c r="CU11" s="0" t="s">
        <v>5903</v>
      </c>
      <c r="CV11" s="0" t="s">
        <v>164</v>
      </c>
      <c r="CW11" s="0" t="s">
        <v>164</v>
      </c>
      <c r="CX11" s="0" t="s">
        <v>209</v>
      </c>
      <c r="CZ11" s="0" t="s">
        <v>209</v>
      </c>
      <c r="DA11" s="0" t="s">
        <v>189</v>
      </c>
      <c r="DB11" s="0" t="s">
        <v>189</v>
      </c>
      <c r="DD11" s="0" t="n">
        <v>0</v>
      </c>
      <c r="DE11" s="0" t="s">
        <v>164</v>
      </c>
      <c r="DF11" s="0" t="n">
        <v>3</v>
      </c>
      <c r="DG11" s="0" t="s">
        <v>5904</v>
      </c>
      <c r="DH11" s="0" t="s">
        <v>5905</v>
      </c>
      <c r="DI11" s="0" t="s">
        <v>5906</v>
      </c>
      <c r="DJ11" s="0" t="s">
        <v>5907</v>
      </c>
      <c r="DK11" s="0" t="s">
        <v>5617</v>
      </c>
      <c r="DL11" s="0" t="n">
        <v>242</v>
      </c>
      <c r="DN11" s="0" t="n">
        <v>65</v>
      </c>
      <c r="DO11" s="0" t="n">
        <v>25</v>
      </c>
      <c r="DP11" s="0" t="n">
        <v>13</v>
      </c>
      <c r="DQ11" s="0" t="n">
        <v>8</v>
      </c>
      <c r="DR11" s="0" t="n">
        <v>5</v>
      </c>
      <c r="DS11" s="0" t="n">
        <v>8</v>
      </c>
      <c r="DT11" s="0" t="n">
        <v>6</v>
      </c>
      <c r="DU11" s="0" t="n">
        <f aca="false">IF($A11="","",IF(R11="Y",10,0))</f>
        <v>0</v>
      </c>
      <c r="DV11" s="0" t="n">
        <v>0</v>
      </c>
      <c r="DW11" s="0" t="s">
        <v>5908</v>
      </c>
      <c r="DX11" s="0" t="s">
        <v>5691</v>
      </c>
      <c r="DY11" s="0" t="s">
        <v>5909</v>
      </c>
      <c r="DZ11" s="0" t="s">
        <v>5910</v>
      </c>
      <c r="EA11" s="0" t="s">
        <v>5911</v>
      </c>
      <c r="EV11" s="0" t="str">
        <f aca="false">IF($A11="","",IF(ISNUMBER(MATCH(U11,{"queued","contacted","replied","call_booked","call_done","yes_in_principle","materials_sent"},0)),"Y","N"))</f>
        <v>N</v>
      </c>
      <c r="EW11" s="0" t="str">
        <f aca="false">IF($A11="","",IF(OR(T11="Y",U11="do_not_contact",AQ11&amp;""&lt;&gt;""),"Y","N"))</f>
        <v>N</v>
      </c>
      <c r="EX11" s="0" t="str">
        <f aca="false">IF($A11="","",IF(AN11&amp;""&lt;&gt;"",AN11&amp;"",$A11))</f>
        <v>AB-077</v>
      </c>
      <c r="EY11" s="0" t="str">
        <f aca="false">IF($A11="","",IF(COUNTIFS($EX$2:$EX$1000,EX11,$EV$2:$EV$1000,"Y")+COUNTIFS($EX$2:$EX$1000,EX11,$EW$2:$EW$1000,"Y")&gt;0,"Y","N"))</f>
        <v>N</v>
      </c>
      <c r="EZ11" s="0" t="str">
        <f aca="false">IF($A11="","",IF(AND(U11="new",T11="N",EW11="N",AR11="Y",EY11="N"),"Y","N"))</f>
        <v>Y</v>
      </c>
      <c r="FA11" s="0" t="str">
        <f aca="false">IF($A11="","",IF(EZ11&lt;&gt;"Y","N",IF(COUNTIFS($EX$2:$EX$1000,EX11,$EZ$2:$EZ$1000,"Y",$J$2:$J$1000,"&gt;"&amp;J11)+COUNTIFS($EX$2:$EX$1000,EX11,$EZ$2:$EZ$1000,"Y",$J$2:$J$1000,J11,$FG$2:$FG$1000,"&lt;"&amp;FG11)=0,"Y","N")))</f>
        <v>Y</v>
      </c>
      <c r="FB11" s="0" t="str">
        <f aca="false">IF($A11="","",IF(AND(EZ11="Y",FA11="Y",Y11&amp;""&lt;&gt;""),IF(Y11&lt;=10,"Y","N"),"N"))</f>
        <v>Y</v>
      </c>
      <c r="FC11" s="0" t="n">
        <f aca="false">IF(FB11="Y",Y11,"")</f>
        <v>8</v>
      </c>
      <c r="FD11" s="0" t="str">
        <f aca="false">IF($A11="","",IF(AND(CK11="pass",AU11="Y",AV11&lt;&gt;"Y",U11="new",EW11="N"),"Y","N"))</f>
        <v>N</v>
      </c>
      <c r="FE11" s="0" t="str">
        <f aca="false">IF(FD11&lt;&gt;"Y","",IF(COUNTIFS($FD$2:$FD$1000,"Y",$J$2:$J$1000,"&gt;"&amp;J11)+COUNTIFS($FD$2:$FD$1000,"Y",$J$2:$J$1000,J11,$FG$2:$FG$1000,"&lt;"&amp;FG11)+1&lt;=30,COUNTIFS($FD$2:$FD$1000,"Y",$J$2:$J$1000,"&gt;"&amp;J11)+COUNTIFS($FD$2:$FD$1000,"Y",$J$2:$J$1000,J11,$FG$2:$FG$1000,"&lt;"&amp;FG11)+1,""))</f>
        <v/>
      </c>
      <c r="FF11" s="0" t="str">
        <f aca="false">IF(AND(_xlfn.ISFORMULA(C11),_xlfn.ISFORMULA(J11)),"Y","N")</f>
        <v>Y</v>
      </c>
      <c r="FG11" s="0" t="n">
        <f aca="false">ROW()-1</f>
        <v>10</v>
      </c>
    </row>
    <row r="12" customFormat="false" ht="15" hidden="false" customHeight="false" outlineLevel="0" collapsed="false">
      <c r="A12" s="0" t="s">
        <v>5912</v>
      </c>
      <c r="B12" s="0" t="s">
        <v>5913</v>
      </c>
      <c r="C12" s="0" t="str">
        <f aca="false">IF($A12="","",IF(AT12="Y",BL12&amp;"",AY12&amp;""))</f>
        <v>Yousuf</v>
      </c>
      <c r="D12" s="0" t="str">
        <f aca="false">IF($A12="","",IF(AT12="Y",BM12&amp;"",AZ12&amp;""))</f>
        <v>Ahmed</v>
      </c>
      <c r="E12" s="0" t="str">
        <f aca="false">IF($A12="","",IF(AT12="Y",BN12&amp;"",BA12&amp;""))</f>
        <v>Founder</v>
      </c>
      <c r="F12" s="0" t="str">
        <f aca="false">IF($A12="","",IF(AT12="Y",BO12&amp;"",BB12&amp;""))</f>
        <v>https://www.linkedin.com/in/yousufmahmed/</v>
      </c>
      <c r="G12" s="0" t="str">
        <f aca="false">IF($A12="","",IF(AT12="Y",BP12&amp;"",BC12&amp;""))</f>
        <v/>
      </c>
      <c r="H12" s="0" t="str">
        <f aca="false">IF($A12="","",IF(AT12="Y",BQ12&amp;"",BD12&amp;""))</f>
        <v>none</v>
      </c>
      <c r="I12" s="0" t="str">
        <f aca="false">IF($A12="","",IF(R12="Y","warm-intro",IF(H12="verified","email",IF(C12&lt;&gt;"","linkedin",CA12&amp;""))))</f>
        <v>linkedin</v>
      </c>
      <c r="J12" s="0" t="n">
        <f aca="false">IF($A12="","",IF(CK12="pass",ROUND(N(DO12)+N(DP12)+N(DQ12)+N(DR12)+N(DS12)+N(DT12)+N(DU12)+N(DV12),0),0))</f>
        <v>65</v>
      </c>
      <c r="K12" s="0" t="str">
        <f aca="false">IF($A12="","",IF(CK12&lt;&gt;"pass",BY12&amp;"",BY12&amp;", "&amp;IF(AT12="Y",BX12&amp;"",BK12&amp;"")&amp;BZ12&amp;IF(R12="Y","; known to the founder (+10)","")&amp;"."))</f>
        <v>New York City brand, brand locator shows Westside Market NYC 1.0 blocks outside it, news 158 days ago, revenue unknown, contact named; founder review: nutrient-claim.</v>
      </c>
      <c r="M12" s="0" t="s">
        <v>5914</v>
      </c>
      <c r="N12" s="0" t="s">
        <v>5915</v>
      </c>
      <c r="O12" s="0" t="s">
        <v>5916</v>
      </c>
      <c r="P12" s="0" t="s">
        <v>5917</v>
      </c>
      <c r="Q12" s="0" t="s">
        <v>5918</v>
      </c>
      <c r="R12" s="5" t="s">
        <v>189</v>
      </c>
      <c r="S12" s="0" t="s">
        <v>164</v>
      </c>
      <c r="T12" s="5" t="s">
        <v>189</v>
      </c>
      <c r="U12" s="5" t="s">
        <v>3896</v>
      </c>
      <c r="V12" s="0" t="s">
        <v>5919</v>
      </c>
      <c r="W12" s="0" t="s">
        <v>263</v>
      </c>
      <c r="X12" s="0" t="s">
        <v>5578</v>
      </c>
      <c r="Y12" s="0" t="n">
        <f aca="false">IF(FA12&lt;&gt;"Y","",COUNTIFS($FA$2:$FA$1000,"Y",$J$2:$J$1000,"&gt;"&amp;J12)+COUNTIFS($FA$2:$FA$1000,"Y",$J$2:$J$1000,J12,$FG$2:$FG$1000,"&lt;"&amp;FG12)+1)</f>
        <v>9</v>
      </c>
      <c r="Z12" s="0" t="n">
        <v>11</v>
      </c>
      <c r="AA12" s="0" t="s">
        <v>164</v>
      </c>
      <c r="AB12" s="0" t="str">
        <f aca="false">IF($A12="","",IF(AT12="Y",BW12&amp;"",BJ12&amp;""))</f>
        <v>open the LinkedIn URL and confirm it is Yousuf Ahmed, Founder at B-SIDES (found on another page, never opened); the retailer line rests on the brand's own store locator: say 'your store locator lists ...'</v>
      </c>
      <c r="AC12" s="0" t="str">
        <f aca="false">IF($A12="","",IF(AT12="Y",BR12&amp;"",BE12&amp;""))</f>
        <v>founder</v>
      </c>
      <c r="AD12" s="0" t="str">
        <f aca="false">IF($A12="","",IF(AT12="Y",BS12&amp;"",BF12&amp;""))</f>
        <v>verified-page</v>
      </c>
      <c r="AE12" s="0" t="str">
        <f aca="false">IF($A12="","",IF(AT12="Y",BT12&amp;"",BG12&amp;""))</f>
        <v>press, event or podcast page</v>
      </c>
      <c r="AF12" s="0" t="str">
        <f aca="false">IF($A12="","",IF(AT12="Y",BU12&amp;"",BH12&amp;""))</f>
        <v>https://startupcpg.com/startup-cpg-newswire-b-sides-closes-500k-seed-round-to-scale-retail-expansion/</v>
      </c>
      <c r="AG12" s="0" t="str">
        <f aca="false">IF($A12="","",IF(AT12="Y",BV12&amp;"",BI12&amp;""))</f>
        <v>2026-10-24</v>
      </c>
      <c r="AH12" s="0" t="s">
        <v>5920</v>
      </c>
      <c r="AI12" s="0" t="s">
        <v>5921</v>
      </c>
      <c r="AJ12" s="0" t="s">
        <v>5922</v>
      </c>
      <c r="AK12" s="0" t="s">
        <v>5923</v>
      </c>
      <c r="AL12" s="0" t="s">
        <v>164</v>
      </c>
      <c r="AM12" s="0" t="s">
        <v>5924</v>
      </c>
      <c r="AN12" s="0" t="s">
        <v>5912</v>
      </c>
      <c r="AO12" s="5" t="s">
        <v>189</v>
      </c>
      <c r="AR12" s="0" t="str">
        <f aca="false">IF($A12="","",IF(AND(CK12="pass",AO12&lt;&gt;"Y",C12&lt;&gt;"",OR(AU12&lt;&gt;"Y",AV12="Y")),"Y","N"))</f>
        <v>Y</v>
      </c>
      <c r="AS12" s="0" t="str">
        <f aca="false">IF($A12="","",_xlfn.TEXTJOIN("; ",TRUE(),IF(CK12&lt;&gt;"pass","gated out",""),IF(AO12="Y","on hold: "&amp;AP12,""),IF(C12="","no contact named on an opened page",""),IF(AND(AU12="Y",AV12&lt;&gt;"Y"),"founder review pending (Founder review tab)","")))</f>
        <v/>
      </c>
      <c r="AU12" s="0" t="s">
        <v>189</v>
      </c>
      <c r="AY12" s="0" t="s">
        <v>5925</v>
      </c>
      <c r="AZ12" s="0" t="s">
        <v>5926</v>
      </c>
      <c r="BA12" s="0" t="s">
        <v>5739</v>
      </c>
      <c r="BB12" s="0" t="s">
        <v>5927</v>
      </c>
      <c r="BC12" s="0" t="str">
        <f aca="false">IF($A12="","",IFERROR(INDEX(Enrichment!$A$2:$GZ$2000,MATCH($A12,INDEX(Enrichment!$A$2:$GZ$2000,0,MATCH("row_id",Enrichment!$A$1:$GZ$1,0)),0),MATCH("work_email",Enrichment!$A$1:$GZ$1,0))&amp;"",""))</f>
        <v/>
      </c>
      <c r="BD12" s="0" t="str">
        <f aca="false">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none</v>
      </c>
      <c r="BE12" s="0" t="s">
        <v>5589</v>
      </c>
      <c r="BF12" s="0" t="s">
        <v>169</v>
      </c>
      <c r="BG12" s="0" t="s">
        <v>1252</v>
      </c>
      <c r="BH12" s="0" t="s">
        <v>5917</v>
      </c>
      <c r="BI12" s="0" t="s">
        <v>172</v>
      </c>
      <c r="BJ12" s="0" t="s">
        <v>5928</v>
      </c>
      <c r="BK12" s="0" t="s">
        <v>5643</v>
      </c>
      <c r="BP12" s="0" t="str">
        <f aca="false">IF($A12="","",IFERROR(INDEX(Enrichment!$A$2:$GZ$2000,MATCH($A12,INDEX(Enrichment!$A$2:$GZ$2000,0,MATCH("row_id",Enrichment!$A$1:$GZ$1,0)),0),MATCH("backup_work_email",Enrichment!$A$1:$GZ$1,0))&amp;"",""))</f>
        <v/>
      </c>
      <c r="BQ12" s="0" t="str">
        <f aca="false">IF($A12="","",IF(BP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none</v>
      </c>
      <c r="BS12" s="0" t="s">
        <v>380</v>
      </c>
      <c r="BW12" s="0" t="s">
        <v>5929</v>
      </c>
      <c r="BX12" s="0" t="s">
        <v>388</v>
      </c>
      <c r="BY12" s="0" t="s">
        <v>5930</v>
      </c>
      <c r="BZ12" s="0" t="s">
        <v>5601</v>
      </c>
      <c r="CB12" s="0" t="s">
        <v>5931</v>
      </c>
      <c r="CD12" s="0" t="s">
        <v>5932</v>
      </c>
      <c r="CE12" s="0" t="s">
        <v>244</v>
      </c>
      <c r="CJ12" s="0" t="s">
        <v>5606</v>
      </c>
      <c r="CK12" s="0" t="s">
        <v>200</v>
      </c>
      <c r="CM12" s="0" t="s">
        <v>201</v>
      </c>
      <c r="CN12" s="0" t="s">
        <v>5607</v>
      </c>
      <c r="CO12" s="0" t="s">
        <v>5923</v>
      </c>
      <c r="CP12" s="0" t="s">
        <v>5608</v>
      </c>
      <c r="CQ12" s="0" t="s">
        <v>5609</v>
      </c>
      <c r="CR12" s="0" t="s">
        <v>5933</v>
      </c>
      <c r="CS12" s="0" t="s">
        <v>5917</v>
      </c>
      <c r="CT12" s="0" t="s">
        <v>164</v>
      </c>
      <c r="CU12" s="0" t="s">
        <v>5934</v>
      </c>
      <c r="CV12" s="0" t="s">
        <v>164</v>
      </c>
      <c r="CW12" s="0" t="s">
        <v>164</v>
      </c>
      <c r="CX12" s="0" t="s">
        <v>209</v>
      </c>
      <c r="CZ12" s="0" t="s">
        <v>5935</v>
      </c>
      <c r="DA12" s="0" t="s">
        <v>189</v>
      </c>
      <c r="DB12" s="0" t="s">
        <v>189</v>
      </c>
      <c r="DD12" s="0" t="n">
        <v>1</v>
      </c>
      <c r="DE12" s="0" t="s">
        <v>189</v>
      </c>
      <c r="DF12" s="0" t="n">
        <v>8</v>
      </c>
      <c r="DG12" s="0" t="s">
        <v>5936</v>
      </c>
      <c r="DH12" s="0" t="s">
        <v>5937</v>
      </c>
      <c r="DI12" s="0" t="s">
        <v>5938</v>
      </c>
      <c r="DJ12" s="0" t="s">
        <v>5939</v>
      </c>
      <c r="DK12" s="0" t="s">
        <v>5617</v>
      </c>
      <c r="DL12" s="0" t="n">
        <v>158</v>
      </c>
      <c r="DM12" s="0" t="s">
        <v>5917</v>
      </c>
      <c r="DN12" s="0" t="n">
        <v>65</v>
      </c>
      <c r="DO12" s="0" t="n">
        <v>13</v>
      </c>
      <c r="DP12" s="0" t="n">
        <v>20</v>
      </c>
      <c r="DQ12" s="0" t="n">
        <v>15</v>
      </c>
      <c r="DR12" s="0" t="n">
        <v>5</v>
      </c>
      <c r="DS12" s="0" t="n">
        <v>10</v>
      </c>
      <c r="DT12" s="0" t="n">
        <v>6</v>
      </c>
      <c r="DU12" s="0" t="n">
        <f aca="false">IF($A12="","",IF(R12="Y",10,0))</f>
        <v>0</v>
      </c>
      <c r="DV12" s="0" t="n">
        <v>-4</v>
      </c>
      <c r="DX12" s="0" t="s">
        <v>5619</v>
      </c>
      <c r="DY12" s="0" t="s">
        <v>5940</v>
      </c>
      <c r="DZ12" s="0" t="s">
        <v>5941</v>
      </c>
      <c r="EA12" s="0" t="s">
        <v>5942</v>
      </c>
      <c r="EV12" s="0" t="str">
        <f aca="false">IF($A12="","",IF(ISNUMBER(MATCH(U12,{"queued","contacted","replied","call_booked","call_done","yes_in_principle","materials_sent"},0)),"Y","N"))</f>
        <v>N</v>
      </c>
      <c r="EW12" s="0" t="str">
        <f aca="false">IF($A12="","",IF(OR(T12="Y",U12="do_not_contact",AQ12&amp;""&lt;&gt;""),"Y","N"))</f>
        <v>N</v>
      </c>
      <c r="EX12" s="0" t="str">
        <f aca="false">IF($A12="","",IF(AN12&amp;""&lt;&gt;"",AN12&amp;"",$A12))</f>
        <v>AB-226</v>
      </c>
      <c r="EY12" s="0" t="str">
        <f aca="false">IF($A12="","",IF(COUNTIFS($EX$2:$EX$1000,EX12,$EV$2:$EV$1000,"Y")+COUNTIFS($EX$2:$EX$1000,EX12,$EW$2:$EW$1000,"Y")&gt;0,"Y","N"))</f>
        <v>N</v>
      </c>
      <c r="EZ12" s="0" t="str">
        <f aca="false">IF($A12="","",IF(AND(U12="new",T12="N",EW12="N",AR12="Y",EY12="N"),"Y","N"))</f>
        <v>Y</v>
      </c>
      <c r="FA12" s="0" t="str">
        <f aca="false">IF($A12="","",IF(EZ12&lt;&gt;"Y","N",IF(COUNTIFS($EX$2:$EX$1000,EX12,$EZ$2:$EZ$1000,"Y",$J$2:$J$1000,"&gt;"&amp;J12)+COUNTIFS($EX$2:$EX$1000,EX12,$EZ$2:$EZ$1000,"Y",$J$2:$J$1000,J12,$FG$2:$FG$1000,"&lt;"&amp;FG12)=0,"Y","N")))</f>
        <v>Y</v>
      </c>
      <c r="FB12" s="0" t="str">
        <f aca="false">IF($A12="","",IF(AND(EZ12="Y",FA12="Y",Y12&amp;""&lt;&gt;""),IF(Y12&lt;=10,"Y","N"),"N"))</f>
        <v>Y</v>
      </c>
      <c r="FC12" s="0" t="n">
        <f aca="false">IF(FB12="Y",Y12,"")</f>
        <v>9</v>
      </c>
      <c r="FD12" s="0" t="str">
        <f aca="false">IF($A12="","",IF(AND(CK12="pass",AU12="Y",AV12&lt;&gt;"Y",U12="new",EW12="N"),"Y","N"))</f>
        <v>N</v>
      </c>
      <c r="FE12" s="0" t="str">
        <f aca="false">IF(FD12&lt;&gt;"Y","",IF(COUNTIFS($FD$2:$FD$1000,"Y",$J$2:$J$1000,"&gt;"&amp;J12)+COUNTIFS($FD$2:$FD$1000,"Y",$J$2:$J$1000,J12,$FG$2:$FG$1000,"&lt;"&amp;FG12)+1&lt;=30,COUNTIFS($FD$2:$FD$1000,"Y",$J$2:$J$1000,"&gt;"&amp;J12)+COUNTIFS($FD$2:$FD$1000,"Y",$J$2:$J$1000,J12,$FG$2:$FG$1000,"&lt;"&amp;FG12)+1,""))</f>
        <v/>
      </c>
      <c r="FF12" s="0" t="str">
        <f aca="false">IF(AND(_xlfn.ISFORMULA(C12),_xlfn.ISFORMULA(J12)),"Y","N")</f>
        <v>Y</v>
      </c>
      <c r="FG12" s="0" t="n">
        <f aca="false">ROW()-1</f>
        <v>11</v>
      </c>
    </row>
    <row r="13" customFormat="false" ht="15" hidden="false" customHeight="false" outlineLevel="0" collapsed="false">
      <c r="A13" s="0" t="s">
        <v>5943</v>
      </c>
      <c r="B13" s="0" t="s">
        <v>5944</v>
      </c>
      <c r="C13" s="0" t="str">
        <f aca="false">IF($A13="","",IF(AT13="Y",BL13&amp;"",AY13&amp;""))</f>
        <v>Chris</v>
      </c>
      <c r="D13" s="0" t="str">
        <f aca="false">IF($A13="","",IF(AT13="Y",BM13&amp;"",AZ13&amp;""))</f>
        <v>Russell</v>
      </c>
      <c r="E13" s="0" t="str">
        <f aca="false">IF($A13="","",IF(AT13="Y",BN13&amp;"",BA13&amp;""))</f>
        <v>Co-founder and co-owner</v>
      </c>
      <c r="F13" s="0" t="str">
        <f aca="false">IF($A13="","",IF(AT13="Y",BO13&amp;"",BB13&amp;""))</f>
        <v/>
      </c>
      <c r="G13" s="0" t="str">
        <f aca="false">IF($A13="","",IF(AT13="Y",BP13&amp;"",BC13&amp;""))</f>
        <v/>
      </c>
      <c r="H13" s="0" t="str">
        <f aca="false">IF($A13="","",IF(AT13="Y",BQ13&amp;"",BD13&amp;""))</f>
        <v>none</v>
      </c>
      <c r="I13" s="0" t="str">
        <f aca="false">IF($A13="","",IF(R13="Y","warm-intro",IF(H13="verified","email",IF(C13&lt;&gt;"","linkedin",CA13&amp;""))))</f>
        <v>linkedin</v>
      </c>
      <c r="J13" s="0" t="n">
        <f aca="false">IF($A13="","",IF(CK13="pass",ROUND(N(DO13)+N(DP13)+N(DQ13)+N(DR13)+N(DS13)+N(DT13)+N(DU13)+N(DV13),0),0))</f>
        <v>64</v>
      </c>
      <c r="K13" s="0" t="str">
        <f aca="false">IF($A13="","",IF(CK13&lt;&gt;"pass",BY13&amp;"",BY13&amp;", "&amp;IF(AT13="Y",BX13&amp;"",BK13&amp;"")&amp;BZ13&amp;IF(R13="Y","; known to the founder (+10)","")&amp;"."))</f>
        <v>New York City brand, store page shows Whole Foods Market NoMad inside the cluster, no dated why-now in the last 12 months, revenue unknown, contact named; founder review: other.</v>
      </c>
      <c r="M13" s="0" t="s">
        <v>5572</v>
      </c>
      <c r="N13" s="0" t="s">
        <v>5573</v>
      </c>
      <c r="R13" s="5" t="s">
        <v>189</v>
      </c>
      <c r="S13" s="0" t="s">
        <v>209</v>
      </c>
      <c r="T13" s="5" t="s">
        <v>189</v>
      </c>
      <c r="U13" s="5" t="s">
        <v>3896</v>
      </c>
      <c r="V13" s="0" t="s">
        <v>5945</v>
      </c>
      <c r="W13" s="0" t="s">
        <v>263</v>
      </c>
      <c r="X13" s="0" t="s">
        <v>5578</v>
      </c>
      <c r="Y13" s="0" t="n">
        <f aca="false">IF(FA13&lt;&gt;"Y","",COUNTIFS($FA$2:$FA$1000,"Y",$J$2:$J$1000,"&gt;"&amp;J13)+COUNTIFS($FA$2:$FA$1000,"Y",$J$2:$J$1000,J13,$FG$2:$FG$1000,"&lt;"&amp;FG13)+1)</f>
        <v>10</v>
      </c>
      <c r="Z13" s="0" t="n">
        <v>12</v>
      </c>
      <c r="AA13" s="0" t="s">
        <v>164</v>
      </c>
      <c r="AB13" s="0" t="str">
        <f aca="false">IF($A13="","",IF(AT13="Y",BW13&amp;"",BJ13&amp;""))</f>
        <v>find Chris Russell at Treat House on LinkedIn and paste the profile URL into primary_linkedin_url; the source is dated 2015: check Chris still holds the role; use the Whole Foods Market NoMad line only if retailer_checked_date is this week's Friday check</v>
      </c>
      <c r="AC13" s="0" t="str">
        <f aca="false">IF($A13="","",IF(AT13="Y",BR13&amp;"",BE13&amp;""))</f>
        <v>founder</v>
      </c>
      <c r="AD13" s="0" t="str">
        <f aca="false">IF($A13="","",IF(AT13="Y",BS13&amp;"",BF13&amp;""))</f>
        <v>verified-page</v>
      </c>
      <c r="AE13" s="0" t="str">
        <f aca="false">IF($A13="","",IF(AT13="Y",BT13&amp;"",BG13&amp;""))</f>
        <v>press, event or podcast page</v>
      </c>
      <c r="AF13" s="0" t="str">
        <f aca="false">IF($A13="","",IF(AT13="Y",BU13&amp;"",BH13&amp;""))</f>
        <v>https://www.dnainfo.com/new-york/20150720/upper-east-side/gourmet-rice-krispies-treats-eatery-opens-on-ues-with-adults-mind/</v>
      </c>
      <c r="AG13" s="0" t="str">
        <f aca="false">IF($A13="","",IF(AT13="Y",BV13&amp;"",BI13&amp;""))</f>
        <v>2026-10-24</v>
      </c>
      <c r="AH13" s="0" t="s">
        <v>5946</v>
      </c>
      <c r="AI13" s="0" t="s">
        <v>5702</v>
      </c>
      <c r="AJ13" s="0" t="s">
        <v>5947</v>
      </c>
      <c r="AK13" s="0" t="s">
        <v>5948</v>
      </c>
      <c r="AL13" s="0" t="s">
        <v>164</v>
      </c>
      <c r="AM13" s="0" t="s">
        <v>5949</v>
      </c>
      <c r="AN13" s="0" t="s">
        <v>5943</v>
      </c>
      <c r="AO13" s="5" t="s">
        <v>189</v>
      </c>
      <c r="AR13" s="0" t="str">
        <f aca="false">IF($A13="","",IF(AND(CK13="pass",AO13&lt;&gt;"Y",C13&lt;&gt;"",OR(AU13&lt;&gt;"Y",AV13="Y")),"Y","N"))</f>
        <v>Y</v>
      </c>
      <c r="AS13" s="0" t="str">
        <f aca="false">IF($A13="","",_xlfn.TEXTJOIN("; ",TRUE(),IF(CK13&lt;&gt;"pass","gated out",""),IF(AO13="Y","on hold: "&amp;AP13,""),IF(C13="","no contact named on an opened page",""),IF(AND(AU13="Y",AV13&lt;&gt;"Y"),"founder review pending (Founder review tab)","")))</f>
        <v/>
      </c>
      <c r="AU13" s="0" t="s">
        <v>189</v>
      </c>
      <c r="AX13" s="0" t="s">
        <v>5950</v>
      </c>
      <c r="AY13" s="0" t="s">
        <v>5951</v>
      </c>
      <c r="AZ13" s="0" t="s">
        <v>5952</v>
      </c>
      <c r="BA13" s="0" t="s">
        <v>5953</v>
      </c>
      <c r="BC13" s="0" t="str">
        <f aca="false">IF($A13="","",IFERROR(INDEX(Enrichment!$A$2:$GZ$2000,MATCH($A13,INDEX(Enrichment!$A$2:$GZ$2000,0,MATCH("row_id",Enrichment!$A$1:$GZ$1,0)),0),MATCH("work_email",Enrichment!$A$1:$GZ$1,0))&amp;"",""))</f>
        <v/>
      </c>
      <c r="BD13" s="0" t="str">
        <f aca="false">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none</v>
      </c>
      <c r="BE13" s="0" t="s">
        <v>5589</v>
      </c>
      <c r="BF13" s="0" t="s">
        <v>169</v>
      </c>
      <c r="BG13" s="0" t="s">
        <v>1252</v>
      </c>
      <c r="BH13" s="0" t="s">
        <v>5954</v>
      </c>
      <c r="BI13" s="0" t="s">
        <v>172</v>
      </c>
      <c r="BJ13" s="0" t="s">
        <v>5955</v>
      </c>
      <c r="BK13" s="0" t="s">
        <v>5643</v>
      </c>
      <c r="BL13" s="0" t="s">
        <v>5956</v>
      </c>
      <c r="BM13" s="0" t="s">
        <v>5952</v>
      </c>
      <c r="BN13" s="0" t="s">
        <v>5636</v>
      </c>
      <c r="BP13" s="0" t="str">
        <f aca="false">IF($A13="","",IFERROR(INDEX(Enrichment!$A$2:$GZ$2000,MATCH($A13,INDEX(Enrichment!$A$2:$GZ$2000,0,MATCH("row_id",Enrichment!$A$1:$GZ$1,0)),0),MATCH("backup_work_email",Enrichment!$A$1:$GZ$1,0))&amp;"",""))</f>
        <v/>
      </c>
      <c r="BQ13" s="0" t="str">
        <f aca="false">IF($A13="","",IF(BP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none</v>
      </c>
      <c r="BR13" s="0" t="s">
        <v>5712</v>
      </c>
      <c r="BS13" s="0" t="s">
        <v>169</v>
      </c>
      <c r="BT13" s="0" t="s">
        <v>1252</v>
      </c>
      <c r="BU13" s="0" t="s">
        <v>5957</v>
      </c>
      <c r="BV13" s="0" t="s">
        <v>172</v>
      </c>
      <c r="BW13" s="0" t="s">
        <v>5958</v>
      </c>
      <c r="BX13" s="0" t="s">
        <v>5643</v>
      </c>
      <c r="BY13" s="0" t="s">
        <v>5959</v>
      </c>
      <c r="BZ13" s="0" t="s">
        <v>5960</v>
      </c>
      <c r="CB13" s="0" t="s">
        <v>5961</v>
      </c>
      <c r="CC13" s="0" t="s">
        <v>5962</v>
      </c>
      <c r="CD13" s="0" t="s">
        <v>5963</v>
      </c>
      <c r="CF13" s="0" t="s">
        <v>5964</v>
      </c>
      <c r="CH13" s="0" t="s">
        <v>5965</v>
      </c>
      <c r="CJ13" s="0" t="s">
        <v>5606</v>
      </c>
      <c r="CK13" s="0" t="s">
        <v>200</v>
      </c>
      <c r="CM13" s="0" t="s">
        <v>201</v>
      </c>
      <c r="CN13" s="0" t="s">
        <v>443</v>
      </c>
      <c r="CO13" s="0" t="s">
        <v>5966</v>
      </c>
      <c r="CP13" s="0" t="s">
        <v>5608</v>
      </c>
      <c r="CQ13" s="0" t="s">
        <v>5609</v>
      </c>
      <c r="CR13" s="0" t="s">
        <v>209</v>
      </c>
      <c r="CT13" s="0" t="s">
        <v>164</v>
      </c>
      <c r="CU13" s="0" t="s">
        <v>5967</v>
      </c>
      <c r="CV13" s="0" t="s">
        <v>164</v>
      </c>
      <c r="CW13" s="0" t="s">
        <v>164</v>
      </c>
      <c r="CX13" s="0" t="s">
        <v>209</v>
      </c>
      <c r="CZ13" s="0" t="s">
        <v>209</v>
      </c>
      <c r="DA13" s="0" t="s">
        <v>189</v>
      </c>
      <c r="DB13" s="0" t="s">
        <v>189</v>
      </c>
      <c r="DD13" s="0" t="n">
        <v>0</v>
      </c>
      <c r="DE13" s="0" t="s">
        <v>164</v>
      </c>
      <c r="DF13" s="0" t="n">
        <v>2</v>
      </c>
      <c r="DG13" s="0" t="s">
        <v>5968</v>
      </c>
      <c r="DH13" s="0" t="s">
        <v>5969</v>
      </c>
      <c r="DI13" s="0" t="s">
        <v>5970</v>
      </c>
      <c r="DJ13" s="0" t="s">
        <v>5971</v>
      </c>
      <c r="DK13" s="0" t="s">
        <v>380</v>
      </c>
      <c r="DN13" s="0" t="n">
        <v>64</v>
      </c>
      <c r="DO13" s="0" t="n">
        <v>25</v>
      </c>
      <c r="DP13" s="0" t="n">
        <v>20</v>
      </c>
      <c r="DQ13" s="0" t="n">
        <v>0</v>
      </c>
      <c r="DR13" s="0" t="n">
        <v>5</v>
      </c>
      <c r="DS13" s="0" t="n">
        <v>10</v>
      </c>
      <c r="DT13" s="0" t="n">
        <v>6</v>
      </c>
      <c r="DU13" s="0" t="n">
        <f aca="false">IF($A13="","",IF(R13="Y",10,0))</f>
        <v>0</v>
      </c>
      <c r="DV13" s="0" t="n">
        <v>-2</v>
      </c>
      <c r="DX13" s="0" t="s">
        <v>5619</v>
      </c>
      <c r="DY13" s="0" t="s">
        <v>5972</v>
      </c>
      <c r="DZ13" s="0" t="s">
        <v>5973</v>
      </c>
      <c r="EA13" s="0" t="s">
        <v>5974</v>
      </c>
      <c r="EV13" s="0" t="str">
        <f aca="false">IF($A13="","",IF(ISNUMBER(MATCH(U13,{"queued","contacted","replied","call_booked","call_done","yes_in_principle","materials_sent"},0)),"Y","N"))</f>
        <v>N</v>
      </c>
      <c r="EW13" s="0" t="str">
        <f aca="false">IF($A13="","",IF(OR(T13="Y",U13="do_not_contact",AQ13&amp;""&lt;&gt;""),"Y","N"))</f>
        <v>N</v>
      </c>
      <c r="EX13" s="0" t="str">
        <f aca="false">IF($A13="","",IF(AN13&amp;""&lt;&gt;"",AN13&amp;"",$A13))</f>
        <v>AB-210</v>
      </c>
      <c r="EY13" s="0" t="str">
        <f aca="false">IF($A13="","",IF(COUNTIFS($EX$2:$EX$1000,EX13,$EV$2:$EV$1000,"Y")+COUNTIFS($EX$2:$EX$1000,EX13,$EW$2:$EW$1000,"Y")&gt;0,"Y","N"))</f>
        <v>N</v>
      </c>
      <c r="EZ13" s="0" t="str">
        <f aca="false">IF($A13="","",IF(AND(U13="new",T13="N",EW13="N",AR13="Y",EY13="N"),"Y","N"))</f>
        <v>Y</v>
      </c>
      <c r="FA13" s="0" t="str">
        <f aca="false">IF($A13="","",IF(EZ13&lt;&gt;"Y","N",IF(COUNTIFS($EX$2:$EX$1000,EX13,$EZ$2:$EZ$1000,"Y",$J$2:$J$1000,"&gt;"&amp;J13)+COUNTIFS($EX$2:$EX$1000,EX13,$EZ$2:$EZ$1000,"Y",$J$2:$J$1000,J13,$FG$2:$FG$1000,"&lt;"&amp;FG13)=0,"Y","N")))</f>
        <v>Y</v>
      </c>
      <c r="FB13" s="0" t="str">
        <f aca="false">IF($A13="","",IF(AND(EZ13="Y",FA13="Y",Y13&amp;""&lt;&gt;""),IF(Y13&lt;=10,"Y","N"),"N"))</f>
        <v>Y</v>
      </c>
      <c r="FC13" s="0" t="n">
        <f aca="false">IF(FB13="Y",Y13,"")</f>
        <v>10</v>
      </c>
      <c r="FD13" s="0" t="str">
        <f aca="false">IF($A13="","",IF(AND(CK13="pass",AU13="Y",AV13&lt;&gt;"Y",U13="new",EW13="N"),"Y","N"))</f>
        <v>N</v>
      </c>
      <c r="FE13" s="0" t="str">
        <f aca="false">IF(FD13&lt;&gt;"Y","",IF(COUNTIFS($FD$2:$FD$1000,"Y",$J$2:$J$1000,"&gt;"&amp;J13)+COUNTIFS($FD$2:$FD$1000,"Y",$J$2:$J$1000,J13,$FG$2:$FG$1000,"&lt;"&amp;FG13)+1&lt;=30,COUNTIFS($FD$2:$FD$1000,"Y",$J$2:$J$1000,"&gt;"&amp;J13)+COUNTIFS($FD$2:$FD$1000,"Y",$J$2:$J$1000,J13,$FG$2:$FG$1000,"&lt;"&amp;FG13)+1,""))</f>
        <v/>
      </c>
      <c r="FF13" s="0" t="str">
        <f aca="false">IF(AND(_xlfn.ISFORMULA(C13),_xlfn.ISFORMULA(J13)),"Y","N")</f>
        <v>Y</v>
      </c>
      <c r="FG13" s="0" t="n">
        <f aca="false">ROW()-1</f>
        <v>12</v>
      </c>
    </row>
    <row r="14" customFormat="false" ht="15" hidden="false" customHeight="false" outlineLevel="0" collapsed="false">
      <c r="A14" s="0" t="s">
        <v>5975</v>
      </c>
      <c r="B14" s="0" t="s">
        <v>5976</v>
      </c>
      <c r="C14" s="0" t="str">
        <f aca="false">IF($A14="","",IF(AT14="Y",BL14&amp;"",AY14&amp;""))</f>
        <v>Stu</v>
      </c>
      <c r="D14" s="0" t="str">
        <f aca="false">IF($A14="","",IF(AT14="Y",BM14&amp;"",AZ14&amp;""))</f>
        <v>Davidoff</v>
      </c>
      <c r="E14" s="0" t="str">
        <f aca="false">IF($A14="","",IF(AT14="Y",BN14&amp;"",BA14&amp;""))</f>
        <v>Founder</v>
      </c>
      <c r="F14" s="0" t="str">
        <f aca="false">IF($A14="","",IF(AT14="Y",BO14&amp;"",BB14&amp;""))</f>
        <v/>
      </c>
      <c r="G14" s="0" t="str">
        <f aca="false">IF($A14="","",IF(AT14="Y",BP14&amp;"",BC14&amp;""))</f>
        <v/>
      </c>
      <c r="H14" s="0" t="str">
        <f aca="false">IF($A14="","",IF(AT14="Y",BQ14&amp;"",BD14&amp;""))</f>
        <v>none</v>
      </c>
      <c r="I14" s="0" t="str">
        <f aca="false">IF($A14="","",IF(R14="Y","warm-intro",IF(H14="verified","email",IF(C14&lt;&gt;"","linkedin",CA14&amp;""))))</f>
        <v>linkedin</v>
      </c>
      <c r="J14" s="0" t="n">
        <f aca="false">IF($A14="","",IF(CK14="pass",ROUND(N(DO14)+N(DP14)+N(DQ14)+N(DR14)+N(DS14)+N(DT14)+N(DU14)+N(DV14),0),0))</f>
        <v>64</v>
      </c>
      <c r="K14" s="0" t="str">
        <f aca="false">IF($A14="","",IF(CK14&lt;&gt;"pass",BY14&amp;"",BY14&amp;", "&amp;IF(AT14="Y",BX14&amp;"",BK14&amp;"")&amp;BZ14&amp;IF(R14="Y","; known to the founder (+10)","")&amp;"."))</f>
        <v>New York State brand, brand locator shows Fairway Market inside the cluster, news 118 days ago, revenue unknown, contact named; founder review: other.</v>
      </c>
      <c r="M14" s="0" t="s">
        <v>5977</v>
      </c>
      <c r="N14" s="0" t="s">
        <v>5915</v>
      </c>
      <c r="O14" s="0" t="s">
        <v>5978</v>
      </c>
      <c r="P14" s="0" t="s">
        <v>5979</v>
      </c>
      <c r="Q14" s="0" t="s">
        <v>5980</v>
      </c>
      <c r="R14" s="5" t="s">
        <v>189</v>
      </c>
      <c r="S14" s="0" t="s">
        <v>164</v>
      </c>
      <c r="T14" s="5" t="s">
        <v>189</v>
      </c>
      <c r="U14" s="5" t="s">
        <v>3896</v>
      </c>
      <c r="V14" s="0" t="s">
        <v>5981</v>
      </c>
      <c r="W14" s="0" t="s">
        <v>172</v>
      </c>
      <c r="X14" s="0" t="s">
        <v>5578</v>
      </c>
      <c r="Y14" s="0" t="n">
        <f aca="false">IF(FA14&lt;&gt;"Y","",COUNTIFS($FA$2:$FA$1000,"Y",$J$2:$J$1000,"&gt;"&amp;J14)+COUNTIFS($FA$2:$FA$1000,"Y",$J$2:$J$1000,J14,$FG$2:$FG$1000,"&lt;"&amp;FG14)+1)</f>
        <v>11</v>
      </c>
      <c r="Z14" s="0" t="n">
        <v>13</v>
      </c>
      <c r="AA14" s="0" t="s">
        <v>164</v>
      </c>
      <c r="AB14" s="0" t="str">
        <f aca="false">IF($A14="","",IF(AT14="Y",BW14&amp;"",BJ14&amp;""))</f>
        <v>find Stu Davidoff at Gigantic on LinkedIn and paste the profile URL into primary_linkedin_url; the retailer line rests on the brand's own store locator: say 'your store locator lists ...'</v>
      </c>
      <c r="AC14" s="0" t="str">
        <f aca="false">IF($A14="","",IF(AT14="Y",BR14&amp;"",BE14&amp;""))</f>
        <v>founder</v>
      </c>
      <c r="AD14" s="0" t="str">
        <f aca="false">IF($A14="","",IF(AT14="Y",BS14&amp;"",BF14&amp;""))</f>
        <v>verified-page</v>
      </c>
      <c r="AE14" s="0" t="str">
        <f aca="false">IF($A14="","",IF(AT14="Y",BT14&amp;"",BG14&amp;""))</f>
        <v>press, event or podcast page</v>
      </c>
      <c r="AF14" s="0" t="str">
        <f aca="false">IF($A14="","",IF(AT14="Y",BU14&amp;"",BH14&amp;""))</f>
        <v>https://gritdaily.com/gigantic-candy-deluxe-smaller-deliberate-candy/</v>
      </c>
      <c r="AG14" s="0" t="str">
        <f aca="false">IF($A14="","",IF(AT14="Y",BV14&amp;"",BI14&amp;""))</f>
        <v>2026-10-24</v>
      </c>
      <c r="AH14" s="0" t="s">
        <v>5982</v>
      </c>
      <c r="AI14" s="0" t="s">
        <v>5664</v>
      </c>
      <c r="AJ14" s="0" t="s">
        <v>209</v>
      </c>
      <c r="AK14" s="0" t="s">
        <v>5983</v>
      </c>
      <c r="AL14" s="0" t="s">
        <v>164</v>
      </c>
      <c r="AM14" s="0" t="s">
        <v>5984</v>
      </c>
      <c r="AN14" s="0" t="s">
        <v>5975</v>
      </c>
      <c r="AO14" s="5" t="s">
        <v>189</v>
      </c>
      <c r="AR14" s="0" t="str">
        <f aca="false">IF($A14="","",IF(AND(CK14="pass",AO14&lt;&gt;"Y",C14&lt;&gt;"",OR(AU14&lt;&gt;"Y",AV14="Y")),"Y","N"))</f>
        <v>Y</v>
      </c>
      <c r="AS14" s="0" t="str">
        <f aca="false">IF($A14="","",_xlfn.TEXTJOIN("; ",TRUE(),IF(CK14&lt;&gt;"pass","gated out",""),IF(AO14="Y","on hold: "&amp;AP14,""),IF(C14="","no contact named on an opened page",""),IF(AND(AU14="Y",AV14&lt;&gt;"Y"),"founder review pending (Founder review tab)","")))</f>
        <v/>
      </c>
      <c r="AU14" s="0" t="s">
        <v>189</v>
      </c>
      <c r="AY14" s="0" t="s">
        <v>5985</v>
      </c>
      <c r="AZ14" s="0" t="s">
        <v>5986</v>
      </c>
      <c r="BA14" s="0" t="s">
        <v>5739</v>
      </c>
      <c r="BC14" s="0" t="str">
        <f aca="false">IF($A14="","",IFERROR(INDEX(Enrichment!$A$2:$GZ$2000,MATCH($A14,INDEX(Enrichment!$A$2:$GZ$2000,0,MATCH("row_id",Enrichment!$A$1:$GZ$1,0)),0),MATCH("work_email",Enrichment!$A$1:$GZ$1,0))&amp;"",""))</f>
        <v/>
      </c>
      <c r="BD14" s="0" t="str">
        <f aca="false">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none</v>
      </c>
      <c r="BE14" s="0" t="s">
        <v>5589</v>
      </c>
      <c r="BF14" s="0" t="s">
        <v>169</v>
      </c>
      <c r="BG14" s="0" t="s">
        <v>1252</v>
      </c>
      <c r="BH14" s="0" t="s">
        <v>5987</v>
      </c>
      <c r="BI14" s="0" t="s">
        <v>172</v>
      </c>
      <c r="BJ14" s="0" t="s">
        <v>5988</v>
      </c>
      <c r="BK14" s="0" t="s">
        <v>5643</v>
      </c>
      <c r="BP14" s="0" t="str">
        <f aca="false">IF($A14="","",IFERROR(INDEX(Enrichment!$A$2:$GZ$2000,MATCH($A14,INDEX(Enrichment!$A$2:$GZ$2000,0,MATCH("row_id",Enrichment!$A$1:$GZ$1,0)),0),MATCH("backup_work_email",Enrichment!$A$1:$GZ$1,0))&amp;"",""))</f>
        <v/>
      </c>
      <c r="BQ14" s="0" t="str">
        <f aca="false">IF($A14="","",IF(BP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none</v>
      </c>
      <c r="BS14" s="0" t="s">
        <v>380</v>
      </c>
      <c r="BW14" s="0" t="s">
        <v>5929</v>
      </c>
      <c r="BX14" s="0" t="s">
        <v>388</v>
      </c>
      <c r="BY14" s="0" t="s">
        <v>5989</v>
      </c>
      <c r="BZ14" s="0" t="s">
        <v>5960</v>
      </c>
      <c r="CB14" s="0" t="s">
        <v>5990</v>
      </c>
      <c r="CD14" s="0" t="s">
        <v>5991</v>
      </c>
      <c r="CJ14" s="0" t="s">
        <v>5606</v>
      </c>
      <c r="CK14" s="0" t="s">
        <v>200</v>
      </c>
      <c r="CM14" s="0" t="s">
        <v>201</v>
      </c>
      <c r="CN14" s="0" t="s">
        <v>443</v>
      </c>
      <c r="CO14" s="0" t="s">
        <v>5983</v>
      </c>
      <c r="CP14" s="0" t="s">
        <v>5608</v>
      </c>
      <c r="CQ14" s="0" t="s">
        <v>5870</v>
      </c>
      <c r="CR14" s="0" t="s">
        <v>209</v>
      </c>
      <c r="CT14" s="0" t="s">
        <v>164</v>
      </c>
      <c r="CU14" s="0" t="s">
        <v>5992</v>
      </c>
      <c r="CV14" s="0" t="s">
        <v>164</v>
      </c>
      <c r="CW14" s="0" t="s">
        <v>164</v>
      </c>
      <c r="CX14" s="0" t="s">
        <v>209</v>
      </c>
      <c r="CZ14" s="0" t="s">
        <v>5993</v>
      </c>
      <c r="DA14" s="0" t="s">
        <v>189</v>
      </c>
      <c r="DB14" s="0" t="s">
        <v>189</v>
      </c>
      <c r="DD14" s="0" t="n">
        <v>0</v>
      </c>
      <c r="DE14" s="0" t="s">
        <v>164</v>
      </c>
      <c r="DF14" s="0" t="n">
        <v>3</v>
      </c>
      <c r="DG14" s="0" t="s">
        <v>5994</v>
      </c>
      <c r="DI14" s="0" t="s">
        <v>5995</v>
      </c>
      <c r="DJ14" s="0" t="s">
        <v>5996</v>
      </c>
      <c r="DK14" s="0" t="s">
        <v>5617</v>
      </c>
      <c r="DL14" s="0" t="n">
        <v>118</v>
      </c>
      <c r="DM14" s="0" t="s">
        <v>5979</v>
      </c>
      <c r="DN14" s="0" t="n">
        <v>64</v>
      </c>
      <c r="DO14" s="0" t="n">
        <v>17</v>
      </c>
      <c r="DP14" s="0" t="n">
        <v>13</v>
      </c>
      <c r="DQ14" s="0" t="n">
        <v>15</v>
      </c>
      <c r="DR14" s="0" t="n">
        <v>5</v>
      </c>
      <c r="DS14" s="0" t="n">
        <v>10</v>
      </c>
      <c r="DT14" s="0" t="n">
        <v>6</v>
      </c>
      <c r="DU14" s="0" t="n">
        <f aca="false">IF($A14="","",IF(R14="Y",10,0))</f>
        <v>0</v>
      </c>
      <c r="DV14" s="0" t="n">
        <v>-2</v>
      </c>
      <c r="DW14" s="0" t="s">
        <v>5997</v>
      </c>
      <c r="DX14" s="0" t="s">
        <v>5998</v>
      </c>
      <c r="DY14" s="0" t="s">
        <v>5999</v>
      </c>
      <c r="DZ14" s="0" t="s">
        <v>6000</v>
      </c>
      <c r="EV14" s="0" t="str">
        <f aca="false">IF($A14="","",IF(ISNUMBER(MATCH(U14,{"queued","contacted","replied","call_booked","call_done","yes_in_principle","materials_sent"},0)),"Y","N"))</f>
        <v>N</v>
      </c>
      <c r="EW14" s="0" t="str">
        <f aca="false">IF($A14="","",IF(OR(T14="Y",U14="do_not_contact",AQ14&amp;""&lt;&gt;""),"Y","N"))</f>
        <v>N</v>
      </c>
      <c r="EX14" s="0" t="str">
        <f aca="false">IF($A14="","",IF(AN14&amp;""&lt;&gt;"",AN14&amp;"",$A14))</f>
        <v>AB-266</v>
      </c>
      <c r="EY14" s="0" t="str">
        <f aca="false">IF($A14="","",IF(COUNTIFS($EX$2:$EX$1000,EX14,$EV$2:$EV$1000,"Y")+COUNTIFS($EX$2:$EX$1000,EX14,$EW$2:$EW$1000,"Y")&gt;0,"Y","N"))</f>
        <v>N</v>
      </c>
      <c r="EZ14" s="0" t="str">
        <f aca="false">IF($A14="","",IF(AND(U14="new",T14="N",EW14="N",AR14="Y",EY14="N"),"Y","N"))</f>
        <v>Y</v>
      </c>
      <c r="FA14" s="0" t="str">
        <f aca="false">IF($A14="","",IF(EZ14&lt;&gt;"Y","N",IF(COUNTIFS($EX$2:$EX$1000,EX14,$EZ$2:$EZ$1000,"Y",$J$2:$J$1000,"&gt;"&amp;J14)+COUNTIFS($EX$2:$EX$1000,EX14,$EZ$2:$EZ$1000,"Y",$J$2:$J$1000,J14,$FG$2:$FG$1000,"&lt;"&amp;FG14)=0,"Y","N")))</f>
        <v>Y</v>
      </c>
      <c r="FB14" s="0" t="str">
        <f aca="false">IF($A14="","",IF(AND(EZ14="Y",FA14="Y",Y14&amp;""&lt;&gt;""),IF(Y14&lt;=10,"Y","N"),"N"))</f>
        <v>N</v>
      </c>
      <c r="FC14" s="0" t="str">
        <f aca="false">IF(FB14="Y",Y14,"")</f>
        <v/>
      </c>
      <c r="FD14" s="0" t="str">
        <f aca="false">IF($A14="","",IF(AND(CK14="pass",AU14="Y",AV14&lt;&gt;"Y",U14="new",EW14="N"),"Y","N"))</f>
        <v>N</v>
      </c>
      <c r="FE14" s="0" t="str">
        <f aca="false">IF(FD14&lt;&gt;"Y","",IF(COUNTIFS($FD$2:$FD$1000,"Y",$J$2:$J$1000,"&gt;"&amp;J14)+COUNTIFS($FD$2:$FD$1000,"Y",$J$2:$J$1000,J14,$FG$2:$FG$1000,"&lt;"&amp;FG14)+1&lt;=30,COUNTIFS($FD$2:$FD$1000,"Y",$J$2:$J$1000,"&gt;"&amp;J14)+COUNTIFS($FD$2:$FD$1000,"Y",$J$2:$J$1000,J14,$FG$2:$FG$1000,"&lt;"&amp;FG14)+1,""))</f>
        <v/>
      </c>
      <c r="FF14" s="0" t="str">
        <f aca="false">IF(AND(_xlfn.ISFORMULA(C14),_xlfn.ISFORMULA(J14)),"Y","N")</f>
        <v>Y</v>
      </c>
      <c r="FG14" s="0" t="n">
        <f aca="false">ROW()-1</f>
        <v>13</v>
      </c>
    </row>
    <row r="15" customFormat="false" ht="15" hidden="false" customHeight="false" outlineLevel="0" collapsed="false">
      <c r="A15" s="0" t="s">
        <v>6001</v>
      </c>
      <c r="B15" s="0" t="s">
        <v>6002</v>
      </c>
      <c r="C15" s="0" t="str">
        <f aca="false">IF($A15="","",IF(AT15="Y",BL15&amp;"",AY15&amp;""))</f>
        <v>Griffin</v>
      </c>
      <c r="D15" s="0" t="str">
        <f aca="false">IF($A15="","",IF(AT15="Y",BM15&amp;"",AZ15&amp;""))</f>
        <v>Spolansky</v>
      </c>
      <c r="E15" s="0" t="str">
        <f aca="false">IF($A15="","",IF(AT15="Y",BN15&amp;"",BA15&amp;""))</f>
        <v>Co-founder and CEO</v>
      </c>
      <c r="F15" s="0" t="str">
        <f aca="false">IF($A15="","",IF(AT15="Y",BO15&amp;"",BB15&amp;""))</f>
        <v/>
      </c>
      <c r="G15" s="0" t="str">
        <f aca="false">IF($A15="","",IF(AT15="Y",BP15&amp;"",BC15&amp;""))</f>
        <v/>
      </c>
      <c r="H15" s="0" t="str">
        <f aca="false">IF($A15="","",IF(AT15="Y",BQ15&amp;"",BD15&amp;""))</f>
        <v>none</v>
      </c>
      <c r="I15" s="0" t="str">
        <f aca="false">IF($A15="","",IF(R15="Y","warm-intro",IF(H15="verified","email",IF(C15&lt;&gt;"","linkedin",CA15&amp;""))))</f>
        <v>linkedin</v>
      </c>
      <c r="J15" s="0" t="n">
        <f aca="false">IF($A15="","",IF(CK15="pass",ROUND(N(DO15)+N(DP15)+N(DQ15)+N(DR15)+N(DS15)+N(DT15)+N(DU15)+N(DV15),0),0))</f>
        <v>64</v>
      </c>
      <c r="K15" s="0" t="str">
        <f aca="false">IF($A15="","",IF(CK15&lt;&gt;"pass",BY15&amp;"",BY15&amp;", "&amp;IF(AT15="Y",BX15&amp;"",BK15&amp;"")&amp;BZ15&amp;IF(R15="Y","; known to the founder (+10)","")&amp;"."))</f>
        <v>New York City brand, store page shows Whole Foods Market NoMad inside the cluster, news 233 days ago, revenue unknown, contact named (crowd-listed on The Org) plus a marketing lead; founder review: nutrient-claim, scale.</v>
      </c>
      <c r="M15" s="0" t="s">
        <v>5572</v>
      </c>
      <c r="N15" s="0" t="s">
        <v>5573</v>
      </c>
      <c r="O15" s="0" t="s">
        <v>6003</v>
      </c>
      <c r="P15" s="0" t="s">
        <v>6004</v>
      </c>
      <c r="Q15" s="0" t="s">
        <v>3946</v>
      </c>
      <c r="R15" s="5" t="s">
        <v>189</v>
      </c>
      <c r="S15" s="0" t="s">
        <v>209</v>
      </c>
      <c r="T15" s="5" t="s">
        <v>189</v>
      </c>
      <c r="U15" s="5" t="s">
        <v>3896</v>
      </c>
      <c r="V15" s="0" t="s">
        <v>6005</v>
      </c>
      <c r="W15" s="0" t="s">
        <v>263</v>
      </c>
      <c r="X15" s="0" t="s">
        <v>5578</v>
      </c>
      <c r="Y15" s="0" t="str">
        <f aca="false">IF(FA15&lt;&gt;"Y","",COUNTIFS($FA$2:$FA$1000,"Y",$J$2:$J$1000,"&gt;"&amp;J15)+COUNTIFS($FA$2:$FA$1000,"Y",$J$2:$J$1000,J15,$FG$2:$FG$1000,"&lt;"&amp;FG15)+1)</f>
        <v/>
      </c>
      <c r="Z15" s="0" t="n">
        <v>14</v>
      </c>
      <c r="AA15" s="0" t="s">
        <v>164</v>
      </c>
      <c r="AB15" s="0" t="str">
        <f aca="false">IF($A15="","",IF(AT15="Y",BW15&amp;"",BJ15&amp;""))</f>
        <v>find Griffin Spolansky at Mezcla on LinkedIn and paste the profile URL into primary_linkedin_url (this also confirms the name: The Org is crowd-edited and marks it Unverified); use the Whole Foods Market NoMad line only if retailer_checked_date is this week's Friday check</v>
      </c>
      <c r="AC15" s="0" t="str">
        <f aca="false">IF($A15="","",IF(AT15="Y",BR15&amp;"",BE15&amp;""))</f>
        <v>founder</v>
      </c>
      <c r="AD15" s="0" t="str">
        <f aca="false">IF($A15="","",IF(AT15="Y",BS15&amp;"",BF15&amp;""))</f>
        <v>crowd-listed</v>
      </c>
      <c r="AE15" s="0" t="str">
        <f aca="false">IF($A15="","",IF(AT15="Y",BT15&amp;"",BG15&amp;""))</f>
        <v>The Org (crowd-edited org chart)</v>
      </c>
      <c r="AF15" s="0" t="str">
        <f aca="false">IF($A15="","",IF(AT15="Y",BU15&amp;"",BH15&amp;""))</f>
        <v>https://theorg.com/org/mezcla/person/griffin-spolansky</v>
      </c>
      <c r="AG15" s="0" t="str">
        <f aca="false">IF($A15="","",IF(AT15="Y",BV15&amp;"",BI15&amp;""))</f>
        <v>2026-10-24</v>
      </c>
      <c r="AH15" s="0" t="s">
        <v>6006</v>
      </c>
      <c r="AI15" s="0" t="s">
        <v>6007</v>
      </c>
      <c r="AJ15" s="0" t="s">
        <v>259</v>
      </c>
      <c r="AK15" s="0" t="s">
        <v>6008</v>
      </c>
      <c r="AL15" s="0" t="s">
        <v>164</v>
      </c>
      <c r="AM15" s="0" t="s">
        <v>6009</v>
      </c>
      <c r="AN15" s="0" t="s">
        <v>6001</v>
      </c>
      <c r="AO15" s="5" t="s">
        <v>189</v>
      </c>
      <c r="AR15" s="0" t="str">
        <f aca="false">IF($A15="","",IF(AND(CK15="pass",AO15&lt;&gt;"Y",C15&lt;&gt;"",OR(AU15&lt;&gt;"Y",AV15="Y")),"Y","N"))</f>
        <v>N</v>
      </c>
      <c r="AS15" s="0" t="str">
        <f aca="false">IF($A15="","",_xlfn.TEXTJOIN("; ",TRUE(),IF(CK15&lt;&gt;"pass","gated out",""),IF(AO15="Y","on hold: "&amp;AP15,""),IF(C15="","no contact named on an opened page",""),IF(AND(AU15="Y",AV15&lt;&gt;"Y"),"founder review pending (Founder review tab)","")))</f>
        <v>founder review pending (Founder review tab)</v>
      </c>
      <c r="AU15" s="0" t="s">
        <v>164</v>
      </c>
      <c r="AX15" s="0" t="s">
        <v>6010</v>
      </c>
      <c r="AY15" s="0" t="s">
        <v>6011</v>
      </c>
      <c r="AZ15" s="0" t="s">
        <v>6012</v>
      </c>
      <c r="BA15" s="0" t="s">
        <v>5830</v>
      </c>
      <c r="BC15" s="0" t="str">
        <f aca="false">IF($A15="","",IFERROR(INDEX(Enrichment!$A$2:$GZ$2000,MATCH($A15,INDEX(Enrichment!$A$2:$GZ$2000,0,MATCH("row_id",Enrichment!$A$1:$GZ$1,0)),0),MATCH("work_email",Enrichment!$A$1:$GZ$1,0))&amp;"",""))</f>
        <v/>
      </c>
      <c r="BD15" s="0" t="str">
        <f aca="false">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none</v>
      </c>
      <c r="BE15" s="0" t="s">
        <v>5589</v>
      </c>
      <c r="BF15" s="0" t="s">
        <v>283</v>
      </c>
      <c r="BG15" s="0" t="s">
        <v>284</v>
      </c>
      <c r="BH15" s="0" t="s">
        <v>6013</v>
      </c>
      <c r="BI15" s="0" t="s">
        <v>172</v>
      </c>
      <c r="BJ15" s="0" t="s">
        <v>6014</v>
      </c>
      <c r="BK15" s="0" t="s">
        <v>5592</v>
      </c>
      <c r="BL15" s="0" t="s">
        <v>1559</v>
      </c>
      <c r="BM15" s="0" t="s">
        <v>6015</v>
      </c>
      <c r="BN15" s="0" t="s">
        <v>6016</v>
      </c>
      <c r="BP15" s="0" t="str">
        <f aca="false">IF($A15="","",IFERROR(INDEX(Enrichment!$A$2:$GZ$2000,MATCH($A15,INDEX(Enrichment!$A$2:$GZ$2000,0,MATCH("row_id",Enrichment!$A$1:$GZ$1,0)),0),MATCH("backup_work_email",Enrichment!$A$1:$GZ$1,0))&amp;"",""))</f>
        <v/>
      </c>
      <c r="BQ15" s="0" t="str">
        <f aca="false">IF($A15="","",IF(BP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none</v>
      </c>
      <c r="BR15" s="0" t="s">
        <v>5596</v>
      </c>
      <c r="BS15" s="0" t="s">
        <v>283</v>
      </c>
      <c r="BT15" s="0" t="s">
        <v>284</v>
      </c>
      <c r="BU15" s="0" t="s">
        <v>6017</v>
      </c>
      <c r="BV15" s="0" t="s">
        <v>172</v>
      </c>
      <c r="BW15" s="0" t="s">
        <v>6018</v>
      </c>
      <c r="BX15" s="0" t="s">
        <v>5599</v>
      </c>
      <c r="BY15" s="0" t="s">
        <v>6019</v>
      </c>
      <c r="BZ15" s="0" t="s">
        <v>6020</v>
      </c>
      <c r="CB15" s="0" t="s">
        <v>6021</v>
      </c>
      <c r="CD15" s="0" t="s">
        <v>6022</v>
      </c>
      <c r="CF15" s="0" t="s">
        <v>6023</v>
      </c>
      <c r="CG15" s="0" t="s">
        <v>6024</v>
      </c>
      <c r="CH15" s="0" t="s">
        <v>6025</v>
      </c>
      <c r="CJ15" s="0" t="s">
        <v>5606</v>
      </c>
      <c r="CK15" s="0" t="s">
        <v>200</v>
      </c>
      <c r="CM15" s="0" t="s">
        <v>201</v>
      </c>
      <c r="CN15" s="0" t="s">
        <v>6026</v>
      </c>
      <c r="CO15" s="0" t="s">
        <v>6008</v>
      </c>
      <c r="CP15" s="0" t="s">
        <v>5608</v>
      </c>
      <c r="CQ15" s="0" t="s">
        <v>5609</v>
      </c>
      <c r="CR15" s="0" t="s">
        <v>6027</v>
      </c>
      <c r="CT15" s="0" t="s">
        <v>352</v>
      </c>
      <c r="CU15" s="0" t="s">
        <v>6028</v>
      </c>
      <c r="CV15" s="0" t="s">
        <v>164</v>
      </c>
      <c r="CW15" s="0" t="s">
        <v>164</v>
      </c>
      <c r="CX15" s="0" t="s">
        <v>209</v>
      </c>
      <c r="CZ15" s="0" t="s">
        <v>209</v>
      </c>
      <c r="DA15" s="0" t="s">
        <v>189</v>
      </c>
      <c r="DB15" s="0" t="s">
        <v>189</v>
      </c>
      <c r="DD15" s="0" t="n">
        <v>0</v>
      </c>
      <c r="DE15" s="0" t="s">
        <v>164</v>
      </c>
      <c r="DF15" s="0" t="n">
        <v>3</v>
      </c>
      <c r="DG15" s="0" t="s">
        <v>5686</v>
      </c>
      <c r="DI15" s="0" t="s">
        <v>6029</v>
      </c>
      <c r="DJ15" s="0" t="s">
        <v>6030</v>
      </c>
      <c r="DK15" s="0" t="s">
        <v>5617</v>
      </c>
      <c r="DL15" s="0" t="n">
        <v>233</v>
      </c>
      <c r="DN15" s="0" t="n">
        <v>64</v>
      </c>
      <c r="DO15" s="0" t="n">
        <v>25</v>
      </c>
      <c r="DP15" s="0" t="n">
        <v>20</v>
      </c>
      <c r="DQ15" s="0" t="n">
        <v>8</v>
      </c>
      <c r="DR15" s="0" t="n">
        <v>5</v>
      </c>
      <c r="DS15" s="0" t="n">
        <v>8</v>
      </c>
      <c r="DT15" s="0" t="n">
        <v>10</v>
      </c>
      <c r="DU15" s="0" t="n">
        <f aca="false">IF($A15="","",IF(R15="Y",10,0))</f>
        <v>0</v>
      </c>
      <c r="DV15" s="0" t="n">
        <v>-12</v>
      </c>
      <c r="DW15" s="0" t="s">
        <v>6031</v>
      </c>
      <c r="DX15" s="0" t="s">
        <v>5691</v>
      </c>
      <c r="DY15" s="0" t="s">
        <v>6032</v>
      </c>
      <c r="DZ15" s="0" t="s">
        <v>6033</v>
      </c>
      <c r="EA15" s="0" t="s">
        <v>6034</v>
      </c>
      <c r="EV15" s="0" t="str">
        <f aca="false">IF($A15="","",IF(ISNUMBER(MATCH(U15,{"queued","contacted","replied","call_booked","call_done","yes_in_principle","materials_sent"},0)),"Y","N"))</f>
        <v>N</v>
      </c>
      <c r="EW15" s="0" t="str">
        <f aca="false">IF($A15="","",IF(OR(T15="Y",U15="do_not_contact",AQ15&amp;""&lt;&gt;""),"Y","N"))</f>
        <v>N</v>
      </c>
      <c r="EX15" s="0" t="str">
        <f aca="false">IF($A15="","",IF(AN15&amp;""&lt;&gt;"",AN15&amp;"",$A15))</f>
        <v>AB-081</v>
      </c>
      <c r="EY15" s="0" t="str">
        <f aca="false">IF($A15="","",IF(COUNTIFS($EX$2:$EX$1000,EX15,$EV$2:$EV$1000,"Y")+COUNTIFS($EX$2:$EX$1000,EX15,$EW$2:$EW$1000,"Y")&gt;0,"Y","N"))</f>
        <v>N</v>
      </c>
      <c r="EZ15" s="0" t="str">
        <f aca="false">IF($A15="","",IF(AND(U15="new",T15="N",EW15="N",AR15="Y",EY15="N"),"Y","N"))</f>
        <v>N</v>
      </c>
      <c r="FA15" s="0" t="str">
        <f aca="false">IF($A15="","",IF(EZ15&lt;&gt;"Y","N",IF(COUNTIFS($EX$2:$EX$1000,EX15,$EZ$2:$EZ$1000,"Y",$J$2:$J$1000,"&gt;"&amp;J15)+COUNTIFS($EX$2:$EX$1000,EX15,$EZ$2:$EZ$1000,"Y",$J$2:$J$1000,J15,$FG$2:$FG$1000,"&lt;"&amp;FG15)=0,"Y","N")))</f>
        <v>N</v>
      </c>
      <c r="FB15" s="0" t="str">
        <f aca="false">IF($A15="","",IF(AND(EZ15="Y",FA15="Y",Y15&amp;""&lt;&gt;""),IF(Y15&lt;=10,"Y","N"),"N"))</f>
        <v>N</v>
      </c>
      <c r="FC15" s="0" t="str">
        <f aca="false">IF(FB15="Y",Y15,"")</f>
        <v/>
      </c>
      <c r="FD15" s="0" t="str">
        <f aca="false">IF($A15="","",IF(AND(CK15="pass",AU15="Y",AV15&lt;&gt;"Y",U15="new",EW15="N"),"Y","N"))</f>
        <v>Y</v>
      </c>
      <c r="FE15" s="0" t="n">
        <f aca="false">IF(FD15&lt;&gt;"Y","",IF(COUNTIFS($FD$2:$FD$1000,"Y",$J$2:$J$1000,"&gt;"&amp;J15)+COUNTIFS($FD$2:$FD$1000,"Y",$J$2:$J$1000,J15,$FG$2:$FG$1000,"&lt;"&amp;FG15)+1&lt;=30,COUNTIFS($FD$2:$FD$1000,"Y",$J$2:$J$1000,"&gt;"&amp;J15)+COUNTIFS($FD$2:$FD$1000,"Y",$J$2:$J$1000,J15,$FG$2:$FG$1000,"&lt;"&amp;FG15)+1,""))</f>
        <v>1</v>
      </c>
      <c r="FF15" s="0" t="str">
        <f aca="false">IF(AND(_xlfn.ISFORMULA(C15),_xlfn.ISFORMULA(J15)),"Y","N")</f>
        <v>Y</v>
      </c>
      <c r="FG15" s="0" t="n">
        <f aca="false">ROW()-1</f>
        <v>14</v>
      </c>
    </row>
    <row r="16" customFormat="false" ht="15" hidden="false" customHeight="false" outlineLevel="0" collapsed="false">
      <c r="A16" s="0" t="s">
        <v>6035</v>
      </c>
      <c r="B16" s="0" t="s">
        <v>6036</v>
      </c>
      <c r="C16" s="0" t="str">
        <f aca="false">IF($A16="","",IF(AT16="Y",BL16&amp;"",AY16&amp;""))</f>
        <v/>
      </c>
      <c r="D16" s="0" t="str">
        <f aca="false">IF($A16="","",IF(AT16="Y",BM16&amp;"",AZ16&amp;""))</f>
        <v/>
      </c>
      <c r="E16" s="0" t="str">
        <f aca="false">IF($A16="","",IF(AT16="Y",BN16&amp;"",BA16&amp;""))</f>
        <v/>
      </c>
      <c r="F16" s="0" t="str">
        <f aca="false">IF($A16="","",IF(AT16="Y",BO16&amp;"",BB16&amp;""))</f>
        <v/>
      </c>
      <c r="G16" s="0" t="str">
        <f aca="false">IF($A16="","",IF(AT16="Y",BP16&amp;"",BC16&amp;""))</f>
        <v/>
      </c>
      <c r="H16" s="0" t="str">
        <f aca="false">IF($A16="","",IF(AT16="Y",BQ16&amp;"",BD16&amp;""))</f>
        <v>none</v>
      </c>
      <c r="I16" s="0" t="str">
        <f aca="false">IF($A16="","",IF(R16="Y","warm-intro",IF(H16="verified","email",IF(C16&lt;&gt;"","linkedin",CA16&amp;""))))</f>
        <v/>
      </c>
      <c r="J16" s="0" t="n">
        <f aca="false">IF($A16="","",IF(CK16="pass",ROUND(N(DO16)+N(DP16)+N(DQ16)+N(DR16)+N(DS16)+N(DT16)+N(DU16)+N(DV16),0),0))</f>
        <v>64</v>
      </c>
      <c r="K16" s="0" t="str">
        <f aca="false">IF($A16="","",IF(CK16&lt;&gt;"pass",BY16&amp;"",BY16&amp;", "&amp;IF(AT16="Y",BX16&amp;"",BK16&amp;"")&amp;BZ16&amp;IF(R16="Y","; known to the founder (+10)","")&amp;"."))</f>
        <v>New York City brand, store page shows Whole Foods Market NoMad inside the cluster, a new store listing 18 days ago, revenue unknown, no contact named; founder review: claim-functional, nutrient-claim.</v>
      </c>
      <c r="M16" s="0" t="s">
        <v>5572</v>
      </c>
      <c r="N16" s="0" t="s">
        <v>5573</v>
      </c>
      <c r="O16" s="0" t="s">
        <v>6037</v>
      </c>
      <c r="P16" s="0" t="s">
        <v>6038</v>
      </c>
      <c r="Q16" s="0" t="s">
        <v>6039</v>
      </c>
      <c r="R16" s="5" t="s">
        <v>189</v>
      </c>
      <c r="S16" s="0" t="s">
        <v>209</v>
      </c>
      <c r="T16" s="5" t="s">
        <v>189</v>
      </c>
      <c r="U16" s="5" t="s">
        <v>3896</v>
      </c>
      <c r="V16" s="0" t="s">
        <v>6040</v>
      </c>
      <c r="W16" s="0" t="s">
        <v>263</v>
      </c>
      <c r="X16" s="0" t="s">
        <v>5578</v>
      </c>
      <c r="Y16" s="0" t="str">
        <f aca="false">IF(FA16&lt;&gt;"Y","",COUNTIFS($FA$2:$FA$1000,"Y",$J$2:$J$1000,"&gt;"&amp;J16)+COUNTIFS($FA$2:$FA$1000,"Y",$J$2:$J$1000,J16,$FG$2:$FG$1000,"&lt;"&amp;FG16)+1)</f>
        <v/>
      </c>
      <c r="Z16" s="0" t="n">
        <v>15</v>
      </c>
      <c r="AA16" s="0" t="s">
        <v>164</v>
      </c>
      <c r="AB16" s="0" t="str">
        <f aca="false">IF($A16="","",IF(AT16="Y",BW16&amp;"",BJ16&amp;""))</f>
        <v>no person named on an opened page: not ready; use the Whole Foods Market NoMad line only if retailer_checked_date is this week's Friday check</v>
      </c>
      <c r="AC16" s="0" t="str">
        <f aca="false">IF($A16="","",IF(AT16="Y",BR16&amp;"",BE16&amp;""))</f>
        <v/>
      </c>
      <c r="AD16" s="0" t="str">
        <f aca="false">IF($A16="","",IF(AT16="Y",BS16&amp;"",BF16&amp;""))</f>
        <v>none</v>
      </c>
      <c r="AE16" s="0" t="str">
        <f aca="false">IF($A16="","",IF(AT16="Y",BT16&amp;"",BG16&amp;""))</f>
        <v/>
      </c>
      <c r="AF16" s="0" t="str">
        <f aca="false">IF($A16="","",IF(AT16="Y",BU16&amp;"",BH16&amp;""))</f>
        <v/>
      </c>
      <c r="AG16" s="0" t="str">
        <f aca="false">IF($A16="","",IF(AT16="Y",BV16&amp;"",BI16&amp;""))</f>
        <v/>
      </c>
      <c r="AH16" s="0" t="s">
        <v>6041</v>
      </c>
      <c r="AI16" s="0" t="s">
        <v>6042</v>
      </c>
      <c r="AJ16" s="0" t="s">
        <v>6043</v>
      </c>
      <c r="AK16" s="0" t="s">
        <v>6044</v>
      </c>
      <c r="AL16" s="0" t="s">
        <v>164</v>
      </c>
      <c r="AM16" s="0" t="s">
        <v>6045</v>
      </c>
      <c r="AN16" s="0" t="s">
        <v>6035</v>
      </c>
      <c r="AO16" s="5" t="s">
        <v>189</v>
      </c>
      <c r="AR16" s="0" t="str">
        <f aca="false">IF($A16="","",IF(AND(CK16="pass",AO16&lt;&gt;"Y",C16&lt;&gt;"",OR(AU16&lt;&gt;"Y",AV16="Y")),"Y","N"))</f>
        <v>N</v>
      </c>
      <c r="AS16" s="0" t="str">
        <f aca="false">IF($A16="","",_xlfn.TEXTJOIN("; ",TRUE(),IF(CK16&lt;&gt;"pass","gated out",""),IF(AO16="Y","on hold: "&amp;AP16,""),IF(C16="","no contact named on an opened page",""),IF(AND(AU16="Y",AV16&lt;&gt;"Y"),"founder review pending (Founder review tab)","")))</f>
        <v>no contact named on an opened page; founder review pending (Founder review tab)</v>
      </c>
      <c r="AU16" s="0" t="s">
        <v>164</v>
      </c>
      <c r="AX16" s="0" t="s">
        <v>6046</v>
      </c>
      <c r="BC16" s="0" t="str">
        <f aca="false">IF($A16="","",IFERROR(INDEX(Enrichment!$A$2:$GZ$2000,MATCH($A16,INDEX(Enrichment!$A$2:$GZ$2000,0,MATCH("row_id",Enrichment!$A$1:$GZ$1,0)),0),MATCH("work_email",Enrichment!$A$1:$GZ$1,0))&amp;"",""))</f>
        <v/>
      </c>
      <c r="BD16" s="0" t="str">
        <f aca="false">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none</v>
      </c>
      <c r="BF16" s="0" t="s">
        <v>380</v>
      </c>
      <c r="BJ16" s="0" t="s">
        <v>6047</v>
      </c>
      <c r="BK16" s="0" t="s">
        <v>6048</v>
      </c>
      <c r="BP16" s="0" t="str">
        <f aca="false">IF($A16="","",IFERROR(INDEX(Enrichment!$A$2:$GZ$2000,MATCH($A16,INDEX(Enrichment!$A$2:$GZ$2000,0,MATCH("row_id",Enrichment!$A$1:$GZ$1,0)),0),MATCH("backup_work_email",Enrichment!$A$1:$GZ$1,0))&amp;"",""))</f>
        <v/>
      </c>
      <c r="BQ16" s="0" t="str">
        <f aca="false">IF($A16="","",IF(BP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none</v>
      </c>
      <c r="BS16" s="0" t="s">
        <v>380</v>
      </c>
      <c r="BW16" s="0" t="s">
        <v>5741</v>
      </c>
      <c r="BX16" s="0" t="s">
        <v>388</v>
      </c>
      <c r="BY16" s="0" t="s">
        <v>6049</v>
      </c>
      <c r="BZ16" s="0" t="s">
        <v>6050</v>
      </c>
      <c r="CJ16" s="0" t="s">
        <v>5606</v>
      </c>
      <c r="CK16" s="0" t="s">
        <v>200</v>
      </c>
      <c r="CM16" s="0" t="s">
        <v>201</v>
      </c>
      <c r="CN16" s="0" t="s">
        <v>6051</v>
      </c>
      <c r="CO16" s="0" t="s">
        <v>6044</v>
      </c>
      <c r="CP16" s="0" t="s">
        <v>5608</v>
      </c>
      <c r="CQ16" s="0" t="s">
        <v>5609</v>
      </c>
      <c r="CR16" s="0" t="s">
        <v>209</v>
      </c>
      <c r="CT16" s="0" t="s">
        <v>164</v>
      </c>
      <c r="CU16" s="0" t="s">
        <v>6052</v>
      </c>
      <c r="CV16" s="0" t="s">
        <v>164</v>
      </c>
      <c r="CW16" s="0" t="s">
        <v>164</v>
      </c>
      <c r="CX16" s="0" t="s">
        <v>209</v>
      </c>
      <c r="CZ16" s="0" t="s">
        <v>209</v>
      </c>
      <c r="DA16" s="0" t="s">
        <v>189</v>
      </c>
      <c r="DB16" s="0" t="s">
        <v>189</v>
      </c>
      <c r="DD16" s="0" t="n">
        <v>0</v>
      </c>
      <c r="DE16" s="0" t="s">
        <v>164</v>
      </c>
      <c r="DF16" s="0" t="n">
        <v>1</v>
      </c>
      <c r="DG16" s="0" t="s">
        <v>6053</v>
      </c>
      <c r="DH16" s="0" t="s">
        <v>5969</v>
      </c>
      <c r="DI16" s="0" t="s">
        <v>6054</v>
      </c>
      <c r="DJ16" s="0" t="s">
        <v>6055</v>
      </c>
      <c r="DK16" s="0" t="s">
        <v>5689</v>
      </c>
      <c r="DL16" s="0" t="n">
        <v>18</v>
      </c>
      <c r="DN16" s="0" t="n">
        <v>64</v>
      </c>
      <c r="DO16" s="0" t="n">
        <v>25</v>
      </c>
      <c r="DP16" s="0" t="n">
        <v>20</v>
      </c>
      <c r="DQ16" s="0" t="n">
        <v>8</v>
      </c>
      <c r="DR16" s="0" t="n">
        <v>5</v>
      </c>
      <c r="DS16" s="0" t="n">
        <v>10</v>
      </c>
      <c r="DT16" s="0" t="n">
        <v>0</v>
      </c>
      <c r="DU16" s="0" t="n">
        <f aca="false">IF($A16="","",IF(R16="Y",10,0))</f>
        <v>0</v>
      </c>
      <c r="DV16" s="0" t="n">
        <v>-4</v>
      </c>
      <c r="DX16" s="0" t="s">
        <v>5619</v>
      </c>
      <c r="DY16" s="0" t="s">
        <v>6056</v>
      </c>
      <c r="DZ16" s="0" t="s">
        <v>6057</v>
      </c>
      <c r="EA16" s="0" t="s">
        <v>6058</v>
      </c>
      <c r="EV16" s="0" t="str">
        <f aca="false">IF($A16="","",IF(ISNUMBER(MATCH(U16,{"queued","contacted","replied","call_booked","call_done","yes_in_principle","materials_sent"},0)),"Y","N"))</f>
        <v>N</v>
      </c>
      <c r="EW16" s="0" t="str">
        <f aca="false">IF($A16="","",IF(OR(T16="Y",U16="do_not_contact",AQ16&amp;""&lt;&gt;""),"Y","N"))</f>
        <v>N</v>
      </c>
      <c r="EX16" s="0" t="str">
        <f aca="false">IF($A16="","",IF(AN16&amp;""&lt;&gt;"",AN16&amp;"",$A16))</f>
        <v>AB-236</v>
      </c>
      <c r="EY16" s="0" t="str">
        <f aca="false">IF($A16="","",IF(COUNTIFS($EX$2:$EX$1000,EX16,$EV$2:$EV$1000,"Y")+COUNTIFS($EX$2:$EX$1000,EX16,$EW$2:$EW$1000,"Y")&gt;0,"Y","N"))</f>
        <v>N</v>
      </c>
      <c r="EZ16" s="0" t="str">
        <f aca="false">IF($A16="","",IF(AND(U16="new",T16="N",EW16="N",AR16="Y",EY16="N"),"Y","N"))</f>
        <v>N</v>
      </c>
      <c r="FA16" s="0" t="str">
        <f aca="false">IF($A16="","",IF(EZ16&lt;&gt;"Y","N",IF(COUNTIFS($EX$2:$EX$1000,EX16,$EZ$2:$EZ$1000,"Y",$J$2:$J$1000,"&gt;"&amp;J16)+COUNTIFS($EX$2:$EX$1000,EX16,$EZ$2:$EZ$1000,"Y",$J$2:$J$1000,J16,$FG$2:$FG$1000,"&lt;"&amp;FG16)=0,"Y","N")))</f>
        <v>N</v>
      </c>
      <c r="FB16" s="0" t="str">
        <f aca="false">IF($A16="","",IF(AND(EZ16="Y",FA16="Y",Y16&amp;""&lt;&gt;""),IF(Y16&lt;=10,"Y","N"),"N"))</f>
        <v>N</v>
      </c>
      <c r="FC16" s="0" t="str">
        <f aca="false">IF(FB16="Y",Y16,"")</f>
        <v/>
      </c>
      <c r="FD16" s="0" t="str">
        <f aca="false">IF($A16="","",IF(AND(CK16="pass",AU16="Y",AV16&lt;&gt;"Y",U16="new",EW16="N"),"Y","N"))</f>
        <v>Y</v>
      </c>
      <c r="FE16" s="0" t="n">
        <f aca="false">IF(FD16&lt;&gt;"Y","",IF(COUNTIFS($FD$2:$FD$1000,"Y",$J$2:$J$1000,"&gt;"&amp;J16)+COUNTIFS($FD$2:$FD$1000,"Y",$J$2:$J$1000,J16,$FG$2:$FG$1000,"&lt;"&amp;FG16)+1&lt;=30,COUNTIFS($FD$2:$FD$1000,"Y",$J$2:$J$1000,"&gt;"&amp;J16)+COUNTIFS($FD$2:$FD$1000,"Y",$J$2:$J$1000,J16,$FG$2:$FG$1000,"&lt;"&amp;FG16)+1,""))</f>
        <v>2</v>
      </c>
      <c r="FF16" s="0" t="str">
        <f aca="false">IF(AND(_xlfn.ISFORMULA(C16),_xlfn.ISFORMULA(J16)),"Y","N")</f>
        <v>Y</v>
      </c>
      <c r="FG16" s="0" t="n">
        <f aca="false">ROW()-1</f>
        <v>15</v>
      </c>
    </row>
    <row r="17" customFormat="false" ht="15" hidden="false" customHeight="false" outlineLevel="0" collapsed="false">
      <c r="A17" s="0" t="s">
        <v>6059</v>
      </c>
      <c r="B17" s="0" t="s">
        <v>6060</v>
      </c>
      <c r="C17" s="0" t="str">
        <f aca="false">IF($A17="","",IF(AT17="Y",BL17&amp;"",AY17&amp;""))</f>
        <v>Poorvi</v>
      </c>
      <c r="D17" s="0" t="str">
        <f aca="false">IF($A17="","",IF(AT17="Y",BM17&amp;"",AZ17&amp;""))</f>
        <v>Patodia</v>
      </c>
      <c r="E17" s="0" t="str">
        <f aca="false">IF($A17="","",IF(AT17="Y",BN17&amp;"",BA17&amp;""))</f>
        <v>Founder and CEO</v>
      </c>
      <c r="F17" s="0" t="str">
        <f aca="false">IF($A17="","",IF(AT17="Y",BO17&amp;"",BB17&amp;""))</f>
        <v/>
      </c>
      <c r="G17" s="0" t="str">
        <f aca="false">IF($A17="","",IF(AT17="Y",BP17&amp;"",BC17&amp;""))</f>
        <v/>
      </c>
      <c r="H17" s="0" t="str">
        <f aca="false">IF($A17="","",IF(AT17="Y",BQ17&amp;"",BD17&amp;""))</f>
        <v>none</v>
      </c>
      <c r="I17" s="0" t="str">
        <f aca="false">IF($A17="","",IF(R17="Y","warm-intro",IF(H17="verified","email",IF(C17&lt;&gt;"","linkedin",CA17&amp;""))))</f>
        <v>linkedin</v>
      </c>
      <c r="J17" s="0" t="n">
        <f aca="false">IF($A17="","",IF(CK17="pass",ROUND(N(DO17)+N(DP17)+N(DQ17)+N(DR17)+N(DS17)+N(DT17)+N(DU17)+N(DV17),0),0))</f>
        <v>62</v>
      </c>
      <c r="K17" s="0" t="str">
        <f aca="false">IF($A17="","",IF(CK17&lt;&gt;"pass",BY17&amp;"",BY17&amp;", "&amp;IF(AT17="Y",BX17&amp;"",BK17&amp;"")&amp;BZ17&amp;IF(R17="Y","; known to the founder (+10)","")&amp;"."))</f>
        <v>Northeast brand, store page shows Whole Foods Market NoMad inside the cluster, a new store listing 5 days ago, revenue unknown, contact named plus a marketing lead; founder review: nutrient-claim.</v>
      </c>
      <c r="M17" s="0" t="s">
        <v>5572</v>
      </c>
      <c r="N17" s="0" t="s">
        <v>5573</v>
      </c>
      <c r="O17" s="0" t="s">
        <v>6061</v>
      </c>
      <c r="P17" s="0" t="s">
        <v>6062</v>
      </c>
      <c r="Q17" s="0" t="s">
        <v>2985</v>
      </c>
      <c r="R17" s="5" t="s">
        <v>189</v>
      </c>
      <c r="S17" s="0" t="s">
        <v>209</v>
      </c>
      <c r="T17" s="5" t="s">
        <v>189</v>
      </c>
      <c r="U17" s="5" t="s">
        <v>3896</v>
      </c>
      <c r="V17" s="0" t="s">
        <v>6063</v>
      </c>
      <c r="W17" s="0" t="s">
        <v>263</v>
      </c>
      <c r="X17" s="0" t="s">
        <v>5578</v>
      </c>
      <c r="Y17" s="0" t="n">
        <f aca="false">IF(FA17&lt;&gt;"Y","",COUNTIFS($FA$2:$FA$1000,"Y",$J$2:$J$1000,"&gt;"&amp;J17)+COUNTIFS($FA$2:$FA$1000,"Y",$J$2:$J$1000,J17,$FG$2:$FG$1000,"&lt;"&amp;FG17)+1)</f>
        <v>12</v>
      </c>
      <c r="Z17" s="0" t="n">
        <v>16</v>
      </c>
      <c r="AA17" s="0" t="s">
        <v>164</v>
      </c>
      <c r="AB17" s="0" t="str">
        <f aca="false">IF($A17="","",IF(AT17="Y",BW17&amp;"",BJ17&amp;""))</f>
        <v>find Poorvi Patodia at Biena on LinkedIn and paste the profile URL into primary_linkedin_url; use the Whole Foods Market NoMad line only if retailer_checked_date is this week's Friday check</v>
      </c>
      <c r="AC17" s="0" t="str">
        <f aca="false">IF($A17="","",IF(AT17="Y",BR17&amp;"",BE17&amp;""))</f>
        <v>founder</v>
      </c>
      <c r="AD17" s="0" t="str">
        <f aca="false">IF($A17="","",IF(AT17="Y",BS17&amp;"",BF17&amp;""))</f>
        <v>verified-page</v>
      </c>
      <c r="AE17" s="0" t="str">
        <f aca="false">IF($A17="","",IF(AT17="Y",BT17&amp;"",BG17&amp;""))</f>
        <v>employer's own site</v>
      </c>
      <c r="AF17" s="0" t="str">
        <f aca="false">IF($A17="","",IF(AT17="Y",BU17&amp;"",BH17&amp;""))</f>
        <v>https://bienasnacks.com/pages/our-story</v>
      </c>
      <c r="AG17" s="0" t="str">
        <f aca="false">IF($A17="","",IF(AT17="Y",BV17&amp;"",BI17&amp;""))</f>
        <v>2026-10-24</v>
      </c>
      <c r="AH17" s="0" t="s">
        <v>6064</v>
      </c>
      <c r="AI17" s="0" t="s">
        <v>6042</v>
      </c>
      <c r="AJ17" s="0" t="s">
        <v>6065</v>
      </c>
      <c r="AK17" s="0" t="s">
        <v>6066</v>
      </c>
      <c r="AL17" s="0" t="s">
        <v>164</v>
      </c>
      <c r="AM17" s="0" t="s">
        <v>6067</v>
      </c>
      <c r="AN17" s="0" t="s">
        <v>6059</v>
      </c>
      <c r="AO17" s="5" t="s">
        <v>189</v>
      </c>
      <c r="AR17" s="0" t="str">
        <f aca="false">IF($A17="","",IF(AND(CK17="pass",AO17&lt;&gt;"Y",C17&lt;&gt;"",OR(AU17&lt;&gt;"Y",AV17="Y")),"Y","N"))</f>
        <v>Y</v>
      </c>
      <c r="AS17" s="0" t="str">
        <f aca="false">IF($A17="","",_xlfn.TEXTJOIN("; ",TRUE(),IF(CK17&lt;&gt;"pass","gated out",""),IF(AO17="Y","on hold: "&amp;AP17,""),IF(C17="","no contact named on an opened page",""),IF(AND(AU17="Y",AV17&lt;&gt;"Y"),"founder review pending (Founder review tab)","")))</f>
        <v/>
      </c>
      <c r="AU17" s="0" t="s">
        <v>189</v>
      </c>
      <c r="AX17" s="0" t="s">
        <v>6068</v>
      </c>
      <c r="AY17" s="0" t="s">
        <v>6069</v>
      </c>
      <c r="AZ17" s="0" t="s">
        <v>6070</v>
      </c>
      <c r="BA17" s="0" t="s">
        <v>5670</v>
      </c>
      <c r="BC17" s="0" t="str">
        <f aca="false">IF($A17="","",IFERROR(INDEX(Enrichment!$A$2:$GZ$2000,MATCH($A17,INDEX(Enrichment!$A$2:$GZ$2000,0,MATCH("row_id",Enrichment!$A$1:$GZ$1,0)),0),MATCH("work_email",Enrichment!$A$1:$GZ$1,0))&amp;"",""))</f>
        <v/>
      </c>
      <c r="BD17" s="0" t="str">
        <f aca="false">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none</v>
      </c>
      <c r="BE17" s="0" t="s">
        <v>5589</v>
      </c>
      <c r="BF17" s="0" t="s">
        <v>169</v>
      </c>
      <c r="BG17" s="0" t="s">
        <v>170</v>
      </c>
      <c r="BH17" s="0" t="s">
        <v>6063</v>
      </c>
      <c r="BI17" s="0" t="s">
        <v>172</v>
      </c>
      <c r="BJ17" s="0" t="s">
        <v>6071</v>
      </c>
      <c r="BK17" s="0" t="s">
        <v>5638</v>
      </c>
      <c r="BL17" s="0" t="s">
        <v>6072</v>
      </c>
      <c r="BM17" s="0" t="s">
        <v>6073</v>
      </c>
      <c r="BN17" s="0" t="s">
        <v>6074</v>
      </c>
      <c r="BP17" s="0" t="str">
        <f aca="false">IF($A17="","",IFERROR(INDEX(Enrichment!$A$2:$GZ$2000,MATCH($A17,INDEX(Enrichment!$A$2:$GZ$2000,0,MATCH("row_id",Enrichment!$A$1:$GZ$1,0)),0),MATCH("backup_work_email",Enrichment!$A$1:$GZ$1,0))&amp;"",""))</f>
        <v/>
      </c>
      <c r="BQ17" s="0" t="str">
        <f aca="false">IF($A17="","",IF(BP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none</v>
      </c>
      <c r="BR17" s="0" t="s">
        <v>5596</v>
      </c>
      <c r="BS17" s="0" t="s">
        <v>283</v>
      </c>
      <c r="BT17" s="0" t="s">
        <v>284</v>
      </c>
      <c r="BU17" s="0" t="s">
        <v>6075</v>
      </c>
      <c r="BV17" s="0" t="s">
        <v>172</v>
      </c>
      <c r="BW17" s="0" t="s">
        <v>6076</v>
      </c>
      <c r="BX17" s="0" t="s">
        <v>5599</v>
      </c>
      <c r="BY17" s="0" t="s">
        <v>6077</v>
      </c>
      <c r="BZ17" s="0" t="s">
        <v>5601</v>
      </c>
      <c r="CB17" s="0" t="s">
        <v>6078</v>
      </c>
      <c r="CD17" s="0" t="s">
        <v>6079</v>
      </c>
      <c r="CF17" s="0" t="s">
        <v>6080</v>
      </c>
      <c r="CG17" s="0" t="s">
        <v>6081</v>
      </c>
      <c r="CH17" s="0" t="s">
        <v>6082</v>
      </c>
      <c r="CJ17" s="0" t="s">
        <v>5606</v>
      </c>
      <c r="CK17" s="0" t="s">
        <v>200</v>
      </c>
      <c r="CM17" s="0" t="s">
        <v>201</v>
      </c>
      <c r="CN17" s="0" t="s">
        <v>5607</v>
      </c>
      <c r="CO17" s="0" t="s">
        <v>6066</v>
      </c>
      <c r="CP17" s="0" t="s">
        <v>6083</v>
      </c>
      <c r="CQ17" s="0" t="s">
        <v>6084</v>
      </c>
      <c r="CR17" s="0" t="s">
        <v>209</v>
      </c>
      <c r="CT17" s="0" t="s">
        <v>164</v>
      </c>
      <c r="CU17" s="0" t="s">
        <v>6085</v>
      </c>
      <c r="CV17" s="0" t="s">
        <v>164</v>
      </c>
      <c r="CW17" s="0" t="s">
        <v>164</v>
      </c>
      <c r="CX17" s="0" t="s">
        <v>209</v>
      </c>
      <c r="CZ17" s="0" t="s">
        <v>209</v>
      </c>
      <c r="DA17" s="0" t="s">
        <v>189</v>
      </c>
      <c r="DB17" s="0" t="s">
        <v>189</v>
      </c>
      <c r="DD17" s="0" t="n">
        <v>0</v>
      </c>
      <c r="DE17" s="0" t="s">
        <v>164</v>
      </c>
      <c r="DF17" s="0" t="n">
        <v>2</v>
      </c>
      <c r="DG17" s="0" t="s">
        <v>5746</v>
      </c>
      <c r="DI17" s="0" t="s">
        <v>6054</v>
      </c>
      <c r="DJ17" s="0" t="s">
        <v>6086</v>
      </c>
      <c r="DK17" s="0" t="s">
        <v>5689</v>
      </c>
      <c r="DL17" s="0" t="n">
        <v>5</v>
      </c>
      <c r="DN17" s="0" t="n">
        <v>62</v>
      </c>
      <c r="DO17" s="0" t="n">
        <v>25</v>
      </c>
      <c r="DP17" s="0" t="n">
        <v>8</v>
      </c>
      <c r="DQ17" s="0" t="n">
        <v>8</v>
      </c>
      <c r="DR17" s="0" t="n">
        <v>5</v>
      </c>
      <c r="DS17" s="0" t="n">
        <v>10</v>
      </c>
      <c r="DT17" s="0" t="n">
        <v>10</v>
      </c>
      <c r="DU17" s="0" t="n">
        <f aca="false">IF($A17="","",IF(R17="Y",10,0))</f>
        <v>0</v>
      </c>
      <c r="DV17" s="0" t="n">
        <v>-4</v>
      </c>
      <c r="DW17" s="0" t="s">
        <v>209</v>
      </c>
      <c r="DX17" s="0" t="s">
        <v>5814</v>
      </c>
      <c r="DY17" s="0" t="s">
        <v>6087</v>
      </c>
      <c r="DZ17" s="0" t="s">
        <v>6088</v>
      </c>
      <c r="EA17" s="0" t="s">
        <v>6089</v>
      </c>
      <c r="EV17" s="0" t="str">
        <f aca="false">IF($A17="","",IF(ISNUMBER(MATCH(U17,{"queued","contacted","replied","call_booked","call_done","yes_in_principle","materials_sent"},0)),"Y","N"))</f>
        <v>N</v>
      </c>
      <c r="EW17" s="0" t="str">
        <f aca="false">IF($A17="","",IF(OR(T17="Y",U17="do_not_contact",AQ17&amp;""&lt;&gt;""),"Y","N"))</f>
        <v>N</v>
      </c>
      <c r="EX17" s="0" t="str">
        <f aca="false">IF($A17="","",IF(AN17&amp;""&lt;&gt;"",AN17&amp;"",$A17))</f>
        <v>AB-027</v>
      </c>
      <c r="EY17" s="0" t="str">
        <f aca="false">IF($A17="","",IF(COUNTIFS($EX$2:$EX$1000,EX17,$EV$2:$EV$1000,"Y")+COUNTIFS($EX$2:$EX$1000,EX17,$EW$2:$EW$1000,"Y")&gt;0,"Y","N"))</f>
        <v>N</v>
      </c>
      <c r="EZ17" s="0" t="str">
        <f aca="false">IF($A17="","",IF(AND(U17="new",T17="N",EW17="N",AR17="Y",EY17="N"),"Y","N"))</f>
        <v>Y</v>
      </c>
      <c r="FA17" s="0" t="str">
        <f aca="false">IF($A17="","",IF(EZ17&lt;&gt;"Y","N",IF(COUNTIFS($EX$2:$EX$1000,EX17,$EZ$2:$EZ$1000,"Y",$J$2:$J$1000,"&gt;"&amp;J17)+COUNTIFS($EX$2:$EX$1000,EX17,$EZ$2:$EZ$1000,"Y",$J$2:$J$1000,J17,$FG$2:$FG$1000,"&lt;"&amp;FG17)=0,"Y","N")))</f>
        <v>Y</v>
      </c>
      <c r="FB17" s="0" t="str">
        <f aca="false">IF($A17="","",IF(AND(EZ17="Y",FA17="Y",Y17&amp;""&lt;&gt;""),IF(Y17&lt;=10,"Y","N"),"N"))</f>
        <v>N</v>
      </c>
      <c r="FC17" s="0" t="str">
        <f aca="false">IF(FB17="Y",Y17,"")</f>
        <v/>
      </c>
      <c r="FD17" s="0" t="str">
        <f aca="false">IF($A17="","",IF(AND(CK17="pass",AU17="Y",AV17&lt;&gt;"Y",U17="new",EW17="N"),"Y","N"))</f>
        <v>N</v>
      </c>
      <c r="FE17" s="0" t="str">
        <f aca="false">IF(FD17&lt;&gt;"Y","",IF(COUNTIFS($FD$2:$FD$1000,"Y",$J$2:$J$1000,"&gt;"&amp;J17)+COUNTIFS($FD$2:$FD$1000,"Y",$J$2:$J$1000,J17,$FG$2:$FG$1000,"&lt;"&amp;FG17)+1&lt;=30,COUNTIFS($FD$2:$FD$1000,"Y",$J$2:$J$1000,"&gt;"&amp;J17)+COUNTIFS($FD$2:$FD$1000,"Y",$J$2:$J$1000,J17,$FG$2:$FG$1000,"&lt;"&amp;FG17)+1,""))</f>
        <v/>
      </c>
      <c r="FF17" s="0" t="str">
        <f aca="false">IF(AND(_xlfn.ISFORMULA(C17),_xlfn.ISFORMULA(J17)),"Y","N")</f>
        <v>Y</v>
      </c>
      <c r="FG17" s="0" t="n">
        <f aca="false">ROW()-1</f>
        <v>16</v>
      </c>
    </row>
    <row r="18" customFormat="false" ht="15" hidden="false" customHeight="false" outlineLevel="0" collapsed="false">
      <c r="A18" s="0" t="s">
        <v>6090</v>
      </c>
      <c r="B18" s="0" t="s">
        <v>6091</v>
      </c>
      <c r="C18" s="0" t="str">
        <f aca="false">IF($A18="","",IF(AT18="Y",BL18&amp;"",AY18&amp;""))</f>
        <v>Alex</v>
      </c>
      <c r="D18" s="0" t="str">
        <f aca="false">IF($A18="","",IF(AT18="Y",BM18&amp;"",AZ18&amp;""))</f>
        <v>Doman</v>
      </c>
      <c r="E18" s="0" t="str">
        <f aca="false">IF($A18="","",IF(AT18="Y",BN18&amp;"",BA18&amp;""))</f>
        <v>Co-founder</v>
      </c>
      <c r="F18" s="0" t="str">
        <f aca="false">IF($A18="","",IF(AT18="Y",BO18&amp;"",BB18&amp;""))</f>
        <v/>
      </c>
      <c r="G18" s="0" t="str">
        <f aca="false">IF($A18="","",IF(AT18="Y",BP18&amp;"",BC18&amp;""))</f>
        <v/>
      </c>
      <c r="H18" s="0" t="str">
        <f aca="false">IF($A18="","",IF(AT18="Y",BQ18&amp;"",BD18&amp;""))</f>
        <v>none</v>
      </c>
      <c r="I18" s="0" t="str">
        <f aca="false">IF($A18="","",IF(R18="Y","warm-intro",IF(H18="verified","email",IF(C18&lt;&gt;"","linkedin",CA18&amp;""))))</f>
        <v>linkedin</v>
      </c>
      <c r="J18" s="0" t="n">
        <f aca="false">IF($A18="","",IF(CK18="pass",ROUND(N(DO18)+N(DP18)+N(DQ18)+N(DR18)+N(DS18)+N(DT18)+N(DU18)+N(DV18),0),0))</f>
        <v>62</v>
      </c>
      <c r="K18" s="0" t="str">
        <f aca="false">IF($A18="","",IF(CK18&lt;&gt;"pass",BY18&amp;"",BY18&amp;", "&amp;IF(AT18="Y",BX18&amp;"",BK18&amp;"")&amp;BZ18&amp;IF(R18="Y","; known to the founder (+10)","")&amp;"."))</f>
        <v>New York City brand, store page shows Whole Foods Market NoMad inside the cluster, news 208 days ago, revenue unknown, contact named; founder review: scale, nutrient-claim.</v>
      </c>
      <c r="M18" s="0" t="s">
        <v>5572</v>
      </c>
      <c r="N18" s="0" t="s">
        <v>5573</v>
      </c>
      <c r="O18" s="0" t="s">
        <v>6092</v>
      </c>
      <c r="P18" s="0" t="s">
        <v>6093</v>
      </c>
      <c r="Q18" s="0" t="s">
        <v>6094</v>
      </c>
      <c r="R18" s="5" t="s">
        <v>189</v>
      </c>
      <c r="S18" s="0" t="s">
        <v>209</v>
      </c>
      <c r="T18" s="5" t="s">
        <v>189</v>
      </c>
      <c r="U18" s="5" t="s">
        <v>3896</v>
      </c>
      <c r="V18" s="0" t="s">
        <v>6095</v>
      </c>
      <c r="W18" s="0" t="s">
        <v>263</v>
      </c>
      <c r="X18" s="0" t="s">
        <v>5578</v>
      </c>
      <c r="Y18" s="0" t="str">
        <f aca="false">IF(FA18&lt;&gt;"Y","",COUNTIFS($FA$2:$FA$1000,"Y",$J$2:$J$1000,"&gt;"&amp;J18)+COUNTIFS($FA$2:$FA$1000,"Y",$J$2:$J$1000,J18,$FG$2:$FG$1000,"&lt;"&amp;FG18)+1)</f>
        <v/>
      </c>
      <c r="Z18" s="0" t="n">
        <v>17</v>
      </c>
      <c r="AA18" s="0" t="s">
        <v>164</v>
      </c>
      <c r="AB18" s="0" t="str">
        <f aca="false">IF($A18="","",IF(AT18="Y",BW18&amp;"",BJ18&amp;""))</f>
        <v>find Alex Doman at Stiller's Soda on LinkedIn and paste the profile URL into primary_linkedin_url; use the Whole Foods Market NoMad line only if retailer_checked_date is this week's Friday check</v>
      </c>
      <c r="AC18" s="0" t="str">
        <f aca="false">IF($A18="","",IF(AT18="Y",BR18&amp;"",BE18&amp;""))</f>
        <v>founder</v>
      </c>
      <c r="AD18" s="0" t="str">
        <f aca="false">IF($A18="","",IF(AT18="Y",BS18&amp;"",BF18&amp;""))</f>
        <v>verified-page</v>
      </c>
      <c r="AE18" s="0" t="str">
        <f aca="false">IF($A18="","",IF(AT18="Y",BT18&amp;"",BG18&amp;""))</f>
        <v>press, event or podcast page</v>
      </c>
      <c r="AF18" s="0" t="str">
        <f aca="false">IF($A18="","",IF(AT18="Y",BU18&amp;"",BH18&amp;""))</f>
        <v>https://www.foodbusinessnews.net/articles/29686-the-goldilocks-of-soda</v>
      </c>
      <c r="AG18" s="0" t="str">
        <f aca="false">IF($A18="","",IF(AT18="Y",BV18&amp;"",BI18&amp;""))</f>
        <v>2026-10-24</v>
      </c>
      <c r="AH18" s="0" t="s">
        <v>6096</v>
      </c>
      <c r="AI18" s="0" t="s">
        <v>5580</v>
      </c>
      <c r="AJ18" s="0" t="s">
        <v>6097</v>
      </c>
      <c r="AK18" s="0" t="s">
        <v>6098</v>
      </c>
      <c r="AL18" s="0" t="s">
        <v>164</v>
      </c>
      <c r="AM18" s="0" t="s">
        <v>6099</v>
      </c>
      <c r="AN18" s="0" t="s">
        <v>6090</v>
      </c>
      <c r="AO18" s="5" t="s">
        <v>189</v>
      </c>
      <c r="AR18" s="0" t="str">
        <f aca="false">IF($A18="","",IF(AND(CK18="pass",AO18&lt;&gt;"Y",C18&lt;&gt;"",OR(AU18&lt;&gt;"Y",AV18="Y")),"Y","N"))</f>
        <v>N</v>
      </c>
      <c r="AS18" s="0" t="str">
        <f aca="false">IF($A18="","",_xlfn.TEXTJOIN("; ",TRUE(),IF(CK18&lt;&gt;"pass","gated out",""),IF(AO18="Y","on hold: "&amp;AP18,""),IF(C18="","no contact named on an opened page",""),IF(AND(AU18="Y",AV18&lt;&gt;"Y"),"founder review pending (Founder review tab)","")))</f>
        <v>founder review pending (Founder review tab)</v>
      </c>
      <c r="AU18" s="0" t="s">
        <v>164</v>
      </c>
      <c r="AX18" s="0" t="s">
        <v>6100</v>
      </c>
      <c r="AY18" s="0" t="s">
        <v>2598</v>
      </c>
      <c r="AZ18" s="0" t="s">
        <v>6101</v>
      </c>
      <c r="BA18" s="0" t="s">
        <v>5636</v>
      </c>
      <c r="BC18" s="0" t="str">
        <f aca="false">IF($A18="","",IFERROR(INDEX(Enrichment!$A$2:$GZ$2000,MATCH($A18,INDEX(Enrichment!$A$2:$GZ$2000,0,MATCH("row_id",Enrichment!$A$1:$GZ$1,0)),0),MATCH("work_email",Enrichment!$A$1:$GZ$1,0))&amp;"",""))</f>
        <v/>
      </c>
      <c r="BD18" s="0" t="str">
        <f aca="false">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none</v>
      </c>
      <c r="BE18" s="0" t="s">
        <v>5589</v>
      </c>
      <c r="BF18" s="0" t="s">
        <v>169</v>
      </c>
      <c r="BG18" s="0" t="s">
        <v>1252</v>
      </c>
      <c r="BH18" s="0" t="s">
        <v>6102</v>
      </c>
      <c r="BI18" s="0" t="s">
        <v>172</v>
      </c>
      <c r="BJ18" s="0" t="s">
        <v>6103</v>
      </c>
      <c r="BK18" s="0" t="s">
        <v>5643</v>
      </c>
      <c r="BP18" s="0" t="str">
        <f aca="false">IF($A18="","",IFERROR(INDEX(Enrichment!$A$2:$GZ$2000,MATCH($A18,INDEX(Enrichment!$A$2:$GZ$2000,0,MATCH("row_id",Enrichment!$A$1:$GZ$1,0)),0),MATCH("backup_work_email",Enrichment!$A$1:$GZ$1,0))&amp;"",""))</f>
        <v/>
      </c>
      <c r="BQ18" s="0" t="str">
        <f aca="false">IF($A18="","",IF(BP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none</v>
      </c>
      <c r="BS18" s="0" t="s">
        <v>380</v>
      </c>
      <c r="BW18" s="0" t="s">
        <v>5741</v>
      </c>
      <c r="BX18" s="0" t="s">
        <v>388</v>
      </c>
      <c r="BY18" s="0" t="s">
        <v>6104</v>
      </c>
      <c r="BZ18" s="0" t="s">
        <v>6105</v>
      </c>
      <c r="CB18" s="0" t="s">
        <v>6106</v>
      </c>
      <c r="CC18" s="0" t="s">
        <v>1999</v>
      </c>
      <c r="CD18" s="0" t="s">
        <v>6107</v>
      </c>
      <c r="CJ18" s="0" t="s">
        <v>5606</v>
      </c>
      <c r="CK18" s="0" t="s">
        <v>200</v>
      </c>
      <c r="CM18" s="0" t="s">
        <v>201</v>
      </c>
      <c r="CN18" s="0" t="s">
        <v>6108</v>
      </c>
      <c r="CO18" s="0" t="s">
        <v>6098</v>
      </c>
      <c r="CP18" s="0" t="s">
        <v>5608</v>
      </c>
      <c r="CQ18" s="0" t="s">
        <v>5609</v>
      </c>
      <c r="CR18" s="0" t="s">
        <v>209</v>
      </c>
      <c r="CT18" s="0" t="s">
        <v>164</v>
      </c>
      <c r="CU18" s="0" t="s">
        <v>6109</v>
      </c>
      <c r="CV18" s="0" t="s">
        <v>164</v>
      </c>
      <c r="CW18" s="0" t="s">
        <v>164</v>
      </c>
      <c r="CX18" s="0" t="s">
        <v>209</v>
      </c>
      <c r="CZ18" s="0" t="s">
        <v>209</v>
      </c>
      <c r="DA18" s="0" t="s">
        <v>189</v>
      </c>
      <c r="DB18" s="0" t="s">
        <v>189</v>
      </c>
      <c r="DD18" s="0" t="n">
        <v>0</v>
      </c>
      <c r="DE18" s="0" t="s">
        <v>164</v>
      </c>
      <c r="DF18" s="0" t="n">
        <v>10</v>
      </c>
      <c r="DG18" s="0" t="s">
        <v>6110</v>
      </c>
      <c r="DH18" s="0" t="s">
        <v>5969</v>
      </c>
      <c r="DI18" s="0" t="s">
        <v>6111</v>
      </c>
      <c r="DJ18" s="0" t="s">
        <v>6112</v>
      </c>
      <c r="DK18" s="0" t="s">
        <v>5617</v>
      </c>
      <c r="DL18" s="0" t="n">
        <v>208</v>
      </c>
      <c r="DN18" s="0" t="n">
        <v>62</v>
      </c>
      <c r="DO18" s="0" t="n">
        <v>25</v>
      </c>
      <c r="DP18" s="0" t="n">
        <v>20</v>
      </c>
      <c r="DQ18" s="0" t="n">
        <v>8</v>
      </c>
      <c r="DR18" s="0" t="n">
        <v>5</v>
      </c>
      <c r="DS18" s="0" t="n">
        <v>10</v>
      </c>
      <c r="DT18" s="0" t="n">
        <v>6</v>
      </c>
      <c r="DU18" s="0" t="n">
        <f aca="false">IF($A18="","",IF(R18="Y",10,0))</f>
        <v>0</v>
      </c>
      <c r="DV18" s="0" t="n">
        <v>-12</v>
      </c>
      <c r="DW18" s="0" t="s">
        <v>6113</v>
      </c>
      <c r="DX18" s="0" t="s">
        <v>5619</v>
      </c>
      <c r="DY18" s="0" t="s">
        <v>6114</v>
      </c>
      <c r="DZ18" s="0" t="s">
        <v>6115</v>
      </c>
      <c r="EA18" s="0" t="s">
        <v>6116</v>
      </c>
      <c r="EB18" s="0" t="s">
        <v>6117</v>
      </c>
      <c r="EV18" s="0" t="str">
        <f aca="false">IF($A18="","",IF(ISNUMBER(MATCH(U18,{"queued","contacted","replied","call_booked","call_done","yes_in_principle","materials_sent"},0)),"Y","N"))</f>
        <v>N</v>
      </c>
      <c r="EW18" s="0" t="str">
        <f aca="false">IF($A18="","",IF(OR(T18="Y",U18="do_not_contact",AQ18&amp;""&lt;&gt;""),"Y","N"))</f>
        <v>N</v>
      </c>
      <c r="EX18" s="0" t="str">
        <f aca="false">IF($A18="","",IF(AN18&amp;""&lt;&gt;"",AN18&amp;"",$A18))</f>
        <v>AB-207</v>
      </c>
      <c r="EY18" s="0" t="str">
        <f aca="false">IF($A18="","",IF(COUNTIFS($EX$2:$EX$1000,EX18,$EV$2:$EV$1000,"Y")+COUNTIFS($EX$2:$EX$1000,EX18,$EW$2:$EW$1000,"Y")&gt;0,"Y","N"))</f>
        <v>N</v>
      </c>
      <c r="EZ18" s="0" t="str">
        <f aca="false">IF($A18="","",IF(AND(U18="new",T18="N",EW18="N",AR18="Y",EY18="N"),"Y","N"))</f>
        <v>N</v>
      </c>
      <c r="FA18" s="0" t="str">
        <f aca="false">IF($A18="","",IF(EZ18&lt;&gt;"Y","N",IF(COUNTIFS($EX$2:$EX$1000,EX18,$EZ$2:$EZ$1000,"Y",$J$2:$J$1000,"&gt;"&amp;J18)+COUNTIFS($EX$2:$EX$1000,EX18,$EZ$2:$EZ$1000,"Y",$J$2:$J$1000,J18,$FG$2:$FG$1000,"&lt;"&amp;FG18)=0,"Y","N")))</f>
        <v>N</v>
      </c>
      <c r="FB18" s="0" t="str">
        <f aca="false">IF($A18="","",IF(AND(EZ18="Y",FA18="Y",Y18&amp;""&lt;&gt;""),IF(Y18&lt;=10,"Y","N"),"N"))</f>
        <v>N</v>
      </c>
      <c r="FC18" s="0" t="str">
        <f aca="false">IF(FB18="Y",Y18,"")</f>
        <v/>
      </c>
      <c r="FD18" s="0" t="str">
        <f aca="false">IF($A18="","",IF(AND(CK18="pass",AU18="Y",AV18&lt;&gt;"Y",U18="new",EW18="N"),"Y","N"))</f>
        <v>Y</v>
      </c>
      <c r="FE18" s="0" t="n">
        <f aca="false">IF(FD18&lt;&gt;"Y","",IF(COUNTIFS($FD$2:$FD$1000,"Y",$J$2:$J$1000,"&gt;"&amp;J18)+COUNTIFS($FD$2:$FD$1000,"Y",$J$2:$J$1000,J18,$FG$2:$FG$1000,"&lt;"&amp;FG18)+1&lt;=30,COUNTIFS($FD$2:$FD$1000,"Y",$J$2:$J$1000,"&gt;"&amp;J18)+COUNTIFS($FD$2:$FD$1000,"Y",$J$2:$J$1000,J18,$FG$2:$FG$1000,"&lt;"&amp;FG18)+1,""))</f>
        <v>3</v>
      </c>
      <c r="FF18" s="0" t="str">
        <f aca="false">IF(AND(_xlfn.ISFORMULA(C18),_xlfn.ISFORMULA(J18)),"Y","N")</f>
        <v>Y</v>
      </c>
      <c r="FG18" s="0" t="n">
        <f aca="false">ROW()-1</f>
        <v>17</v>
      </c>
    </row>
    <row r="19" customFormat="false" ht="15" hidden="false" customHeight="false" outlineLevel="0" collapsed="false">
      <c r="A19" s="0" t="s">
        <v>6118</v>
      </c>
      <c r="B19" s="0" t="s">
        <v>6119</v>
      </c>
      <c r="C19" s="0" t="str">
        <f aca="false">IF($A19="","",IF(AT19="Y",BL19&amp;"",AY19&amp;""))</f>
        <v>Alex</v>
      </c>
      <c r="D19" s="0" t="str">
        <f aca="false">IF($A19="","",IF(AT19="Y",BM19&amp;"",AZ19&amp;""))</f>
        <v>Whitmore</v>
      </c>
      <c r="E19" s="0" t="str">
        <f aca="false">IF($A19="","",IF(AT19="Y",BN19&amp;"",BA19&amp;""))</f>
        <v>Founder and CEO</v>
      </c>
      <c r="F19" s="0" t="str">
        <f aca="false">IF($A19="","",IF(AT19="Y",BO19&amp;"",BB19&amp;""))</f>
        <v/>
      </c>
      <c r="G19" s="0" t="str">
        <f aca="false">IF($A19="","",IF(AT19="Y",BP19&amp;"",BC19&amp;""))</f>
        <v/>
      </c>
      <c r="H19" s="0" t="str">
        <f aca="false">IF($A19="","",IF(AT19="Y",BQ19&amp;"",BD19&amp;""))</f>
        <v>none</v>
      </c>
      <c r="I19" s="0" t="str">
        <f aca="false">IF($A19="","",IF(R19="Y","warm-intro",IF(H19="verified","email",IF(C19&lt;&gt;"","linkedin",CA19&amp;""))))</f>
        <v>linkedin</v>
      </c>
      <c r="J19" s="0" t="n">
        <f aca="false">IF($A19="","",IF(CK19="pass",ROUND(N(DO19)+N(DP19)+N(DQ19)+N(DR19)+N(DS19)+N(DT19)+N(DU19)+N(DV19),0),0))</f>
        <v>62</v>
      </c>
      <c r="K19" s="0" t="str">
        <f aca="false">IF($A19="","",IF(CK19&lt;&gt;"pass",BY19&amp;"",BY19&amp;", "&amp;IF(AT19="Y",BX19&amp;"",BK19&amp;"")&amp;BZ19&amp;IF(R19="Y","; known to the founder (+10)","")&amp;"."))</f>
        <v>Northeast brand, store page shows Whole Foods Market NoMad inside the cluster, a new store listing 50 days ago, revenue unknown, contact named; founder review: shelf life not stated.</v>
      </c>
      <c r="M19" s="0" t="s">
        <v>5572</v>
      </c>
      <c r="N19" s="0" t="s">
        <v>5573</v>
      </c>
      <c r="O19" s="0" t="s">
        <v>6120</v>
      </c>
      <c r="P19" s="0" t="s">
        <v>6121</v>
      </c>
      <c r="Q19" s="0" t="s">
        <v>2726</v>
      </c>
      <c r="R19" s="5" t="s">
        <v>189</v>
      </c>
      <c r="S19" s="0" t="s">
        <v>209</v>
      </c>
      <c r="T19" s="5" t="s">
        <v>189</v>
      </c>
      <c r="U19" s="5" t="s">
        <v>3896</v>
      </c>
      <c r="V19" s="0" t="s">
        <v>6122</v>
      </c>
      <c r="W19" s="0" t="s">
        <v>263</v>
      </c>
      <c r="X19" s="0" t="s">
        <v>5578</v>
      </c>
      <c r="Y19" s="0" t="n">
        <f aca="false">IF(FA19&lt;&gt;"Y","",COUNTIFS($FA$2:$FA$1000,"Y",$J$2:$J$1000,"&gt;"&amp;J19)+COUNTIFS($FA$2:$FA$1000,"Y",$J$2:$J$1000,J19,$FG$2:$FG$1000,"&lt;"&amp;FG19)+1)</f>
        <v>13</v>
      </c>
      <c r="Z19" s="0" t="n">
        <v>18</v>
      </c>
      <c r="AA19" s="0" t="s">
        <v>164</v>
      </c>
      <c r="AB19" s="0" t="str">
        <f aca="false">IF($A19="","",IF(AT19="Y",BW19&amp;"",BJ19&amp;""))</f>
        <v>find Alex Whitmore at Taza Chocolate on LinkedIn and paste the profile URL into primary_linkedin_url; use the Whole Foods Market NoMad line only if retailer_checked_date is this week's Friday check</v>
      </c>
      <c r="AC19" s="0" t="str">
        <f aca="false">IF($A19="","",IF(AT19="Y",BR19&amp;"",BE19&amp;""))</f>
        <v>founder</v>
      </c>
      <c r="AD19" s="0" t="str">
        <f aca="false">IF($A19="","",IF(AT19="Y",BS19&amp;"",BF19&amp;""))</f>
        <v>verified-page</v>
      </c>
      <c r="AE19" s="0" t="str">
        <f aca="false">IF($A19="","",IF(AT19="Y",BT19&amp;"",BG19&amp;""))</f>
        <v>employer's own site</v>
      </c>
      <c r="AF19" s="0" t="str">
        <f aca="false">IF($A19="","",IF(AT19="Y",BU19&amp;"",BH19&amp;""))</f>
        <v>https://www.tazachocolate.com/pages/about-taza</v>
      </c>
      <c r="AG19" s="0" t="str">
        <f aca="false">IF($A19="","",IF(AT19="Y",BV19&amp;"",BI19&amp;""))</f>
        <v>2026-10-24</v>
      </c>
      <c r="AH19" s="0" t="s">
        <v>6123</v>
      </c>
      <c r="AI19" s="0" t="s">
        <v>5664</v>
      </c>
      <c r="AJ19" s="0" t="s">
        <v>6124</v>
      </c>
      <c r="AK19" s="0" t="s">
        <v>6125</v>
      </c>
      <c r="AL19" s="0" t="s">
        <v>164</v>
      </c>
      <c r="AM19" s="0" t="s">
        <v>5666</v>
      </c>
      <c r="AN19" s="0" t="s">
        <v>6118</v>
      </c>
      <c r="AO19" s="5" t="s">
        <v>189</v>
      </c>
      <c r="AR19" s="0" t="str">
        <f aca="false">IF($A19="","",IF(AND(CK19="pass",AO19&lt;&gt;"Y",C19&lt;&gt;"",OR(AU19&lt;&gt;"Y",AV19="Y")),"Y","N"))</f>
        <v>Y</v>
      </c>
      <c r="AS19" s="0" t="str">
        <f aca="false">IF($A19="","",_xlfn.TEXTJOIN("; ",TRUE(),IF(CK19&lt;&gt;"pass","gated out",""),IF(AO19="Y","on hold: "&amp;AP19,""),IF(C19="","no contact named on an opened page",""),IF(AND(AU19="Y",AV19&lt;&gt;"Y"),"founder review pending (Founder review tab)","")))</f>
        <v/>
      </c>
      <c r="AU19" s="0" t="s">
        <v>189</v>
      </c>
      <c r="AX19" s="0" t="s">
        <v>6126</v>
      </c>
      <c r="AY19" s="0" t="s">
        <v>2598</v>
      </c>
      <c r="AZ19" s="0" t="s">
        <v>6127</v>
      </c>
      <c r="BA19" s="0" t="s">
        <v>5670</v>
      </c>
      <c r="BC19" s="0" t="str">
        <f aca="false">IF($A19="","",IFERROR(INDEX(Enrichment!$A$2:$GZ$2000,MATCH($A19,INDEX(Enrichment!$A$2:$GZ$2000,0,MATCH("row_id",Enrichment!$A$1:$GZ$1,0)),0),MATCH("work_email",Enrichment!$A$1:$GZ$1,0))&amp;"",""))</f>
        <v/>
      </c>
      <c r="BD19" s="0" t="str">
        <f aca="false">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none</v>
      </c>
      <c r="BE19" s="0" t="s">
        <v>5589</v>
      </c>
      <c r="BF19" s="0" t="s">
        <v>169</v>
      </c>
      <c r="BG19" s="0" t="s">
        <v>170</v>
      </c>
      <c r="BH19" s="0" t="s">
        <v>6122</v>
      </c>
      <c r="BI19" s="0" t="s">
        <v>172</v>
      </c>
      <c r="BJ19" s="0" t="s">
        <v>6128</v>
      </c>
      <c r="BK19" s="0" t="s">
        <v>5643</v>
      </c>
      <c r="BO19" s="0" t="s">
        <v>6129</v>
      </c>
      <c r="BP19" s="0" t="str">
        <f aca="false">IF($A19="","",IFERROR(INDEX(Enrichment!$A$2:$GZ$2000,MATCH($A19,INDEX(Enrichment!$A$2:$GZ$2000,0,MATCH("row_id",Enrichment!$A$1:$GZ$1,0)),0),MATCH("backup_work_email",Enrichment!$A$1:$GZ$1,0))&amp;"",""))</f>
        <v/>
      </c>
      <c r="BQ19" s="0" t="str">
        <f aca="false">IF($A19="","",IF(BP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none</v>
      </c>
      <c r="BR19" s="0" t="s">
        <v>5596</v>
      </c>
      <c r="BS19" s="0" t="s">
        <v>740</v>
      </c>
      <c r="BT19" s="0" t="s">
        <v>741</v>
      </c>
      <c r="BU19" s="0" t="s">
        <v>6129</v>
      </c>
      <c r="BV19" s="0" t="s">
        <v>172</v>
      </c>
      <c r="BW19" s="0" t="s">
        <v>5741</v>
      </c>
      <c r="BX19" s="0" t="s">
        <v>5834</v>
      </c>
      <c r="BY19" s="0" t="s">
        <v>6130</v>
      </c>
      <c r="BZ19" s="0" t="s">
        <v>5679</v>
      </c>
      <c r="CB19" s="0" t="s">
        <v>6131</v>
      </c>
      <c r="CD19" s="0" t="s">
        <v>6132</v>
      </c>
      <c r="CF19" s="0" t="s">
        <v>6133</v>
      </c>
      <c r="CH19" s="0" t="s">
        <v>6134</v>
      </c>
      <c r="CI19" s="0" t="s">
        <v>244</v>
      </c>
      <c r="CJ19" s="0" t="s">
        <v>5606</v>
      </c>
      <c r="CK19" s="0" t="s">
        <v>200</v>
      </c>
      <c r="CM19" s="0" t="s">
        <v>201</v>
      </c>
      <c r="CO19" s="0" t="s">
        <v>6125</v>
      </c>
      <c r="CP19" s="0" t="s">
        <v>6083</v>
      </c>
      <c r="CQ19" s="0" t="s">
        <v>6084</v>
      </c>
      <c r="CR19" s="0" t="s">
        <v>209</v>
      </c>
      <c r="CT19" s="0" t="s">
        <v>352</v>
      </c>
      <c r="CU19" s="0" t="s">
        <v>6135</v>
      </c>
      <c r="CV19" s="0" t="s">
        <v>164</v>
      </c>
      <c r="CW19" s="0" t="s">
        <v>164</v>
      </c>
      <c r="CX19" s="0" t="s">
        <v>209</v>
      </c>
      <c r="CZ19" s="0" t="s">
        <v>209</v>
      </c>
      <c r="DA19" s="0" t="s">
        <v>189</v>
      </c>
      <c r="DB19" s="0" t="s">
        <v>189</v>
      </c>
      <c r="DD19" s="0" t="n">
        <v>0</v>
      </c>
      <c r="DE19" s="0" t="s">
        <v>164</v>
      </c>
      <c r="DF19" s="0" t="n">
        <v>3</v>
      </c>
      <c r="DG19" s="0" t="s">
        <v>5686</v>
      </c>
      <c r="DI19" s="0" t="s">
        <v>6136</v>
      </c>
      <c r="DJ19" s="0" t="s">
        <v>6137</v>
      </c>
      <c r="DK19" s="0" t="s">
        <v>5689</v>
      </c>
      <c r="DL19" s="0" t="n">
        <v>50</v>
      </c>
      <c r="DN19" s="0" t="n">
        <v>62</v>
      </c>
      <c r="DO19" s="0" t="n">
        <v>25</v>
      </c>
      <c r="DP19" s="0" t="n">
        <v>8</v>
      </c>
      <c r="DQ19" s="0" t="n">
        <v>8</v>
      </c>
      <c r="DR19" s="0" t="n">
        <v>5</v>
      </c>
      <c r="DS19" s="0" t="n">
        <v>8</v>
      </c>
      <c r="DT19" s="0" t="n">
        <v>8</v>
      </c>
      <c r="DU19" s="0" t="n">
        <f aca="false">IF($A19="","",IF(R19="Y",10,0))</f>
        <v>0</v>
      </c>
      <c r="DV19" s="0" t="n">
        <v>0</v>
      </c>
      <c r="DW19" s="0" t="s">
        <v>6138</v>
      </c>
      <c r="DX19" s="0" t="s">
        <v>5691</v>
      </c>
      <c r="DY19" s="0" t="s">
        <v>6139</v>
      </c>
      <c r="DZ19" s="0" t="s">
        <v>6140</v>
      </c>
      <c r="EA19" s="0" t="s">
        <v>6141</v>
      </c>
      <c r="EV19" s="0" t="str">
        <f aca="false">IF($A19="","",IF(ISNUMBER(MATCH(U19,{"queued","contacted","replied","call_booked","call_done","yes_in_principle","materials_sent"},0)),"Y","N"))</f>
        <v>N</v>
      </c>
      <c r="EW19" s="0" t="str">
        <f aca="false">IF($A19="","",IF(OR(T19="Y",U19="do_not_contact",AQ19&amp;""&lt;&gt;""),"Y","N"))</f>
        <v>N</v>
      </c>
      <c r="EX19" s="0" t="str">
        <f aca="false">IF($A19="","",IF(AN19&amp;""&lt;&gt;"",AN19&amp;"",$A19))</f>
        <v>AB-106</v>
      </c>
      <c r="EY19" s="0" t="str">
        <f aca="false">IF($A19="","",IF(COUNTIFS($EX$2:$EX$1000,EX19,$EV$2:$EV$1000,"Y")+COUNTIFS($EX$2:$EX$1000,EX19,$EW$2:$EW$1000,"Y")&gt;0,"Y","N"))</f>
        <v>N</v>
      </c>
      <c r="EZ19" s="0" t="str">
        <f aca="false">IF($A19="","",IF(AND(U19="new",T19="N",EW19="N",AR19="Y",EY19="N"),"Y","N"))</f>
        <v>Y</v>
      </c>
      <c r="FA19" s="0" t="str">
        <f aca="false">IF($A19="","",IF(EZ19&lt;&gt;"Y","N",IF(COUNTIFS($EX$2:$EX$1000,EX19,$EZ$2:$EZ$1000,"Y",$J$2:$J$1000,"&gt;"&amp;J19)+COUNTIFS($EX$2:$EX$1000,EX19,$EZ$2:$EZ$1000,"Y",$J$2:$J$1000,J19,$FG$2:$FG$1000,"&lt;"&amp;FG19)=0,"Y","N")))</f>
        <v>Y</v>
      </c>
      <c r="FB19" s="0" t="str">
        <f aca="false">IF($A19="","",IF(AND(EZ19="Y",FA19="Y",Y19&amp;""&lt;&gt;""),IF(Y19&lt;=10,"Y","N"),"N"))</f>
        <v>N</v>
      </c>
      <c r="FC19" s="0" t="str">
        <f aca="false">IF(FB19="Y",Y19,"")</f>
        <v/>
      </c>
      <c r="FD19" s="0" t="str">
        <f aca="false">IF($A19="","",IF(AND(CK19="pass",AU19="Y",AV19&lt;&gt;"Y",U19="new",EW19="N"),"Y","N"))</f>
        <v>N</v>
      </c>
      <c r="FE19" s="0" t="str">
        <f aca="false">IF(FD19&lt;&gt;"Y","",IF(COUNTIFS($FD$2:$FD$1000,"Y",$J$2:$J$1000,"&gt;"&amp;J19)+COUNTIFS($FD$2:$FD$1000,"Y",$J$2:$J$1000,J19,$FG$2:$FG$1000,"&lt;"&amp;FG19)+1&lt;=30,COUNTIFS($FD$2:$FD$1000,"Y",$J$2:$J$1000,"&gt;"&amp;J19)+COUNTIFS($FD$2:$FD$1000,"Y",$J$2:$J$1000,J19,$FG$2:$FG$1000,"&lt;"&amp;FG19)+1,""))</f>
        <v/>
      </c>
      <c r="FF19" s="0" t="str">
        <f aca="false">IF(AND(_xlfn.ISFORMULA(C19),_xlfn.ISFORMULA(J19)),"Y","N")</f>
        <v>Y</v>
      </c>
      <c r="FG19" s="0" t="n">
        <f aca="false">ROW()-1</f>
        <v>18</v>
      </c>
    </row>
    <row r="20" customFormat="false" ht="15" hidden="false" customHeight="false" outlineLevel="0" collapsed="false">
      <c r="A20" s="0" t="s">
        <v>6142</v>
      </c>
      <c r="B20" s="0" t="s">
        <v>6143</v>
      </c>
      <c r="C20" s="0" t="str">
        <f aca="false">IF($A20="","",IF(AT20="Y",BL20&amp;"",AY20&amp;""))</f>
        <v>Ariel</v>
      </c>
      <c r="D20" s="0" t="str">
        <f aca="false">IF($A20="","",IF(AT20="Y",BM20&amp;"",AZ20&amp;""))</f>
        <v>Altman</v>
      </c>
      <c r="E20" s="0" t="str">
        <f aca="false">IF($A20="","",IF(AT20="Y",BN20&amp;"",BA20&amp;""))</f>
        <v>Co-founder</v>
      </c>
      <c r="F20" s="0" t="str">
        <f aca="false">IF($A20="","",IF(AT20="Y",BO20&amp;"",BB20&amp;""))</f>
        <v>https://www.linkedin.com/in/ariel-altman-396b922b/</v>
      </c>
      <c r="G20" s="0" t="str">
        <f aca="false">IF($A20="","",IF(AT20="Y",BP20&amp;"",BC20&amp;""))</f>
        <v/>
      </c>
      <c r="H20" s="0" t="str">
        <f aca="false">IF($A20="","",IF(AT20="Y",BQ20&amp;"",BD20&amp;""))</f>
        <v>none</v>
      </c>
      <c r="I20" s="0" t="str">
        <f aca="false">IF($A20="","",IF(R20="Y","warm-intro",IF(H20="verified","email",IF(C20&lt;&gt;"","linkedin",CA20&amp;""))))</f>
        <v>linkedin</v>
      </c>
      <c r="J20" s="0" t="n">
        <f aca="false">IF($A20="","",IF(CK20="pass",ROUND(N(DO20)+N(DP20)+N(DQ20)+N(DR20)+N(DS20)+N(DT20)+N(DU20)+N(DV20),0),0))</f>
        <v>62</v>
      </c>
      <c r="K20" s="0" t="str">
        <f aca="false">IF($A20="","",IF(CK20&lt;&gt;"pass",BY20&amp;"",BY20&amp;", "&amp;IF(AT20="Y",BX20&amp;"",BK20&amp;"")&amp;BZ20&amp;IF(R20="Y","; known to the founder (+10)","")&amp;"."))</f>
        <v>New York City brand, no graded store within ten blocks, online store only, news 144 days ago, revenue unknown, contact named.</v>
      </c>
      <c r="M20" s="0" t="s">
        <v>6144</v>
      </c>
      <c r="N20" s="0" t="s">
        <v>740</v>
      </c>
      <c r="O20" s="0" t="s">
        <v>6145</v>
      </c>
      <c r="P20" s="0" t="s">
        <v>6146</v>
      </c>
      <c r="Q20" s="0" t="s">
        <v>3096</v>
      </c>
      <c r="R20" s="5" t="s">
        <v>189</v>
      </c>
      <c r="S20" s="0" t="s">
        <v>164</v>
      </c>
      <c r="T20" s="5" t="s">
        <v>189</v>
      </c>
      <c r="U20" s="5" t="s">
        <v>3896</v>
      </c>
      <c r="V20" s="0" t="s">
        <v>6147</v>
      </c>
      <c r="W20" s="0" t="s">
        <v>172</v>
      </c>
      <c r="X20" s="0" t="s">
        <v>5578</v>
      </c>
      <c r="Y20" s="0" t="n">
        <f aca="false">IF(FA20&lt;&gt;"Y","",COUNTIFS($FA$2:$FA$1000,"Y",$J$2:$J$1000,"&gt;"&amp;J20)+COUNTIFS($FA$2:$FA$1000,"Y",$J$2:$J$1000,J20,$FG$2:$FG$1000,"&lt;"&amp;FG20)+1)</f>
        <v>14</v>
      </c>
      <c r="Z20" s="0" t="n">
        <v>19</v>
      </c>
      <c r="AA20" s="0" t="s">
        <v>164</v>
      </c>
      <c r="AB20" s="0" t="str">
        <f aca="false">IF($A20="","",IF(AT20="Y",BW20&amp;"",BJ20&amp;""))</f>
        <v>open the LinkedIn URL and confirm it is Ariel Altman, Co-founder at Figa Foods (found on another page, never opened)</v>
      </c>
      <c r="AC20" s="0" t="str">
        <f aca="false">IF($A20="","",IF(AT20="Y",BR20&amp;"",BE20&amp;""))</f>
        <v>founder</v>
      </c>
      <c r="AD20" s="0" t="str">
        <f aca="false">IF($A20="","",IF(AT20="Y",BS20&amp;"",BF20&amp;""))</f>
        <v>verified-page</v>
      </c>
      <c r="AE20" s="0" t="str">
        <f aca="false">IF($A20="","",IF(AT20="Y",BT20&amp;"",BG20&amp;""))</f>
        <v>press, event or podcast page</v>
      </c>
      <c r="AF20" s="0" t="str">
        <f aca="false">IF($A20="","",IF(AT20="Y",BU20&amp;"",BH20&amp;""))</f>
        <v>https://startupcpg.com/founder-feature-ariel-altman-and-ronny-berger-of-figa-foods/</v>
      </c>
      <c r="AG20" s="0" t="str">
        <f aca="false">IF($A20="","",IF(AT20="Y",BV20&amp;"",BI20&amp;""))</f>
        <v>2026-10-24</v>
      </c>
      <c r="AH20" s="0" t="s">
        <v>6148</v>
      </c>
      <c r="AI20" s="0" t="s">
        <v>5664</v>
      </c>
      <c r="AJ20" s="0" t="s">
        <v>6149</v>
      </c>
      <c r="AK20" s="0" t="s">
        <v>6150</v>
      </c>
      <c r="AL20" s="0" t="s">
        <v>189</v>
      </c>
      <c r="AN20" s="0" t="s">
        <v>6142</v>
      </c>
      <c r="AO20" s="5" t="s">
        <v>189</v>
      </c>
      <c r="AR20" s="0" t="str">
        <f aca="false">IF($A20="","",IF(AND(CK20="pass",AO20&lt;&gt;"Y",C20&lt;&gt;"",OR(AU20&lt;&gt;"Y",AV20="Y")),"Y","N"))</f>
        <v>Y</v>
      </c>
      <c r="AS20" s="0" t="str">
        <f aca="false">IF($A20="","",_xlfn.TEXTJOIN("; ",TRUE(),IF(CK20&lt;&gt;"pass","gated out",""),IF(AO20="Y","on hold: "&amp;AP20,""),IF(C20="","no contact named on an opened page",""),IF(AND(AU20="Y",AV20&lt;&gt;"Y"),"founder review pending (Founder review tab)","")))</f>
        <v/>
      </c>
      <c r="AU20" s="0" t="s">
        <v>189</v>
      </c>
      <c r="AY20" s="0" t="s">
        <v>997</v>
      </c>
      <c r="AZ20" s="0" t="s">
        <v>6151</v>
      </c>
      <c r="BA20" s="0" t="s">
        <v>5636</v>
      </c>
      <c r="BB20" s="0" t="s">
        <v>6152</v>
      </c>
      <c r="BC20" s="0" t="str">
        <f aca="false">IF($A20="","",IFERROR(INDEX(Enrichment!$A$2:$GZ$2000,MATCH($A20,INDEX(Enrichment!$A$2:$GZ$2000,0,MATCH("row_id",Enrichment!$A$1:$GZ$1,0)),0),MATCH("work_email",Enrichment!$A$1:$GZ$1,0))&amp;"",""))</f>
        <v/>
      </c>
      <c r="BD20" s="0" t="str">
        <f aca="false">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none</v>
      </c>
      <c r="BE20" s="0" t="s">
        <v>5589</v>
      </c>
      <c r="BF20" s="0" t="s">
        <v>169</v>
      </c>
      <c r="BG20" s="0" t="s">
        <v>1252</v>
      </c>
      <c r="BH20" s="0" t="s">
        <v>6153</v>
      </c>
      <c r="BI20" s="0" t="s">
        <v>172</v>
      </c>
      <c r="BJ20" s="0" t="s">
        <v>6154</v>
      </c>
      <c r="BK20" s="0" t="s">
        <v>5643</v>
      </c>
      <c r="BL20" s="0" t="s">
        <v>6155</v>
      </c>
      <c r="BM20" s="0" t="s">
        <v>6156</v>
      </c>
      <c r="BN20" s="0" t="s">
        <v>5636</v>
      </c>
      <c r="BO20" s="0" t="s">
        <v>6157</v>
      </c>
      <c r="BP20" s="0" t="str">
        <f aca="false">IF($A20="","",IFERROR(INDEX(Enrichment!$A$2:$GZ$2000,MATCH($A20,INDEX(Enrichment!$A$2:$GZ$2000,0,MATCH("row_id",Enrichment!$A$1:$GZ$1,0)),0),MATCH("backup_work_email",Enrichment!$A$1:$GZ$1,0))&amp;"",""))</f>
        <v/>
      </c>
      <c r="BQ20" s="0" t="str">
        <f aca="false">IF($A20="","",IF(BP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none</v>
      </c>
      <c r="BR20" s="0" t="s">
        <v>5712</v>
      </c>
      <c r="BS20" s="0" t="s">
        <v>169</v>
      </c>
      <c r="BT20" s="0" t="s">
        <v>1252</v>
      </c>
      <c r="BU20" s="0" t="s">
        <v>6153</v>
      </c>
      <c r="BV20" s="0" t="s">
        <v>172</v>
      </c>
      <c r="BW20" s="0" t="s">
        <v>6158</v>
      </c>
      <c r="BX20" s="0" t="s">
        <v>5643</v>
      </c>
      <c r="BY20" s="0" t="s">
        <v>6159</v>
      </c>
      <c r="CB20" s="0" t="s">
        <v>6160</v>
      </c>
      <c r="CD20" s="0" t="s">
        <v>6161</v>
      </c>
      <c r="CE20" s="0" t="s">
        <v>244</v>
      </c>
      <c r="CF20" s="0" t="s">
        <v>6162</v>
      </c>
      <c r="CH20" s="0" t="s">
        <v>6163</v>
      </c>
      <c r="CI20" s="0" t="s">
        <v>244</v>
      </c>
      <c r="CJ20" s="0" t="s">
        <v>5606</v>
      </c>
      <c r="CK20" s="0" t="s">
        <v>200</v>
      </c>
      <c r="CM20" s="0" t="s">
        <v>201</v>
      </c>
      <c r="CO20" s="0" t="s">
        <v>6150</v>
      </c>
      <c r="CP20" s="0" t="s">
        <v>5608</v>
      </c>
      <c r="CQ20" s="0" t="s">
        <v>5609</v>
      </c>
      <c r="CR20" s="0" t="s">
        <v>209</v>
      </c>
      <c r="CT20" s="0" t="s">
        <v>164</v>
      </c>
      <c r="CU20" s="0" t="s">
        <v>6164</v>
      </c>
      <c r="CV20" s="0" t="s">
        <v>164</v>
      </c>
      <c r="CW20" s="0" t="s">
        <v>164</v>
      </c>
      <c r="CX20" s="0" t="s">
        <v>209</v>
      </c>
      <c r="CZ20" s="0" t="s">
        <v>5993</v>
      </c>
      <c r="DA20" s="0" t="s">
        <v>189</v>
      </c>
      <c r="DB20" s="0" t="s">
        <v>189</v>
      </c>
      <c r="DE20" s="0" t="s">
        <v>189</v>
      </c>
      <c r="DF20" s="0" t="n">
        <v>0</v>
      </c>
      <c r="DH20" s="0" t="s">
        <v>6165</v>
      </c>
      <c r="DI20" s="0" t="s">
        <v>6166</v>
      </c>
      <c r="DJ20" s="0" t="s">
        <v>6167</v>
      </c>
      <c r="DK20" s="0" t="s">
        <v>5617</v>
      </c>
      <c r="DL20" s="0" t="n">
        <v>144</v>
      </c>
      <c r="DM20" s="0" t="s">
        <v>5979</v>
      </c>
      <c r="DN20" s="0" t="n">
        <v>62</v>
      </c>
      <c r="DO20" s="0" t="n">
        <v>6</v>
      </c>
      <c r="DP20" s="0" t="n">
        <v>20</v>
      </c>
      <c r="DQ20" s="0" t="n">
        <v>15</v>
      </c>
      <c r="DR20" s="0" t="n">
        <v>5</v>
      </c>
      <c r="DS20" s="0" t="n">
        <v>10</v>
      </c>
      <c r="DT20" s="0" t="n">
        <v>6</v>
      </c>
      <c r="DU20" s="0" t="n">
        <f aca="false">IF($A20="","",IF(R20="Y",10,0))</f>
        <v>0</v>
      </c>
      <c r="DV20" s="0" t="n">
        <v>0</v>
      </c>
      <c r="DW20" s="0" t="s">
        <v>6168</v>
      </c>
      <c r="DX20" s="0" t="s">
        <v>5998</v>
      </c>
      <c r="DY20" s="0" t="s">
        <v>6169</v>
      </c>
      <c r="DZ20" s="0" t="s">
        <v>6170</v>
      </c>
      <c r="EV20" s="0" t="str">
        <f aca="false">IF($A20="","",IF(ISNUMBER(MATCH(U20,{"queued","contacted","replied","call_booked","call_done","yes_in_principle","materials_sent"},0)),"Y","N"))</f>
        <v>N</v>
      </c>
      <c r="EW20" s="0" t="str">
        <f aca="false">IF($A20="","",IF(OR(T20="Y",U20="do_not_contact",AQ20&amp;""&lt;&gt;""),"Y","N"))</f>
        <v>N</v>
      </c>
      <c r="EX20" s="0" t="str">
        <f aca="false">IF($A20="","",IF(AN20&amp;""&lt;&gt;"",AN20&amp;"",$A20))</f>
        <v>AB-270</v>
      </c>
      <c r="EY20" s="0" t="str">
        <f aca="false">IF($A20="","",IF(COUNTIFS($EX$2:$EX$1000,EX20,$EV$2:$EV$1000,"Y")+COUNTIFS($EX$2:$EX$1000,EX20,$EW$2:$EW$1000,"Y")&gt;0,"Y","N"))</f>
        <v>N</v>
      </c>
      <c r="EZ20" s="0" t="str">
        <f aca="false">IF($A20="","",IF(AND(U20="new",T20="N",EW20="N",AR20="Y",EY20="N"),"Y","N"))</f>
        <v>Y</v>
      </c>
      <c r="FA20" s="0" t="str">
        <f aca="false">IF($A20="","",IF(EZ20&lt;&gt;"Y","N",IF(COUNTIFS($EX$2:$EX$1000,EX20,$EZ$2:$EZ$1000,"Y",$J$2:$J$1000,"&gt;"&amp;J20)+COUNTIFS($EX$2:$EX$1000,EX20,$EZ$2:$EZ$1000,"Y",$J$2:$J$1000,J20,$FG$2:$FG$1000,"&lt;"&amp;FG20)=0,"Y","N")))</f>
        <v>Y</v>
      </c>
      <c r="FB20" s="0" t="str">
        <f aca="false">IF($A20="","",IF(AND(EZ20="Y",FA20="Y",Y20&amp;""&lt;&gt;""),IF(Y20&lt;=10,"Y","N"),"N"))</f>
        <v>N</v>
      </c>
      <c r="FC20" s="0" t="str">
        <f aca="false">IF(FB20="Y",Y20,"")</f>
        <v/>
      </c>
      <c r="FD20" s="0" t="str">
        <f aca="false">IF($A20="","",IF(AND(CK20="pass",AU20="Y",AV20&lt;&gt;"Y",U20="new",EW20="N"),"Y","N"))</f>
        <v>N</v>
      </c>
      <c r="FE20" s="0" t="str">
        <f aca="false">IF(FD20&lt;&gt;"Y","",IF(COUNTIFS($FD$2:$FD$1000,"Y",$J$2:$J$1000,"&gt;"&amp;J20)+COUNTIFS($FD$2:$FD$1000,"Y",$J$2:$J$1000,J20,$FG$2:$FG$1000,"&lt;"&amp;FG20)+1&lt;=30,COUNTIFS($FD$2:$FD$1000,"Y",$J$2:$J$1000,"&gt;"&amp;J20)+COUNTIFS($FD$2:$FD$1000,"Y",$J$2:$J$1000,J20,$FG$2:$FG$1000,"&lt;"&amp;FG20)+1,""))</f>
        <v/>
      </c>
      <c r="FF20" s="0" t="str">
        <f aca="false">IF(AND(_xlfn.ISFORMULA(C20),_xlfn.ISFORMULA(J20)),"Y","N")</f>
        <v>Y</v>
      </c>
      <c r="FG20" s="0" t="n">
        <f aca="false">ROW()-1</f>
        <v>19</v>
      </c>
    </row>
    <row r="21" customFormat="false" ht="15" hidden="false" customHeight="false" outlineLevel="0" collapsed="false">
      <c r="A21" s="0" t="s">
        <v>6171</v>
      </c>
      <c r="B21" s="0" t="s">
        <v>6172</v>
      </c>
      <c r="C21" s="0" t="str">
        <f aca="false">IF($A21="","",IF(AT21="Y",BL21&amp;"",AY21&amp;""))</f>
        <v>Maura</v>
      </c>
      <c r="D21" s="0" t="str">
        <f aca="false">IF($A21="","",IF(AT21="Y",BM21&amp;"",AZ21&amp;""))</f>
        <v>Mottolese</v>
      </c>
      <c r="E21" s="0" t="str">
        <f aca="false">IF($A21="","",IF(AT21="Y",BN21&amp;"",BA21&amp;""))</f>
        <v>CEO</v>
      </c>
      <c r="F21" s="0" t="str">
        <f aca="false">IF($A21="","",IF(AT21="Y",BO21&amp;"",BB21&amp;""))</f>
        <v/>
      </c>
      <c r="G21" s="0" t="str">
        <f aca="false">IF($A21="","",IF(AT21="Y",BP21&amp;"",BC21&amp;""))</f>
        <v/>
      </c>
      <c r="H21" s="0" t="str">
        <f aca="false">IF($A21="","",IF(AT21="Y",BQ21&amp;"",BD21&amp;""))</f>
        <v>none</v>
      </c>
      <c r="I21" s="0" t="str">
        <f aca="false">IF($A21="","",IF(R21="Y","warm-intro",IF(H21="verified","email",IF(C21&lt;&gt;"","linkedin",CA21&amp;""))))</f>
        <v>linkedin</v>
      </c>
      <c r="J21" s="0" t="n">
        <f aca="false">IF($A21="","",IF(CK21="pass",ROUND(N(DO21)+N(DP21)+N(DQ21)+N(DR21)+N(DS21)+N(DT21)+N(DU21)+N(DV21),0),0))</f>
        <v>61</v>
      </c>
      <c r="K21" s="0" t="str">
        <f aca="false">IF($A21="","",IF(CK21&lt;&gt;"pass",BY21&amp;"",BY21&amp;", "&amp;IF(AT21="Y",BX21&amp;"",BK21&amp;"")&amp;BZ21&amp;IF(R21="Y","; known to the founder (+10)","")&amp;"."))</f>
        <v>Brand based outside the Northeast, store page shows Whole Foods Market NoMad inside the cluster, news 106 days ago, revenue unknown, contact named plus a marketing lead; founder review: format.</v>
      </c>
      <c r="M21" s="0" t="s">
        <v>5572</v>
      </c>
      <c r="N21" s="0" t="s">
        <v>5573</v>
      </c>
      <c r="O21" s="0" t="s">
        <v>6173</v>
      </c>
      <c r="P21" s="0" t="s">
        <v>6174</v>
      </c>
      <c r="Q21" s="0" t="s">
        <v>2709</v>
      </c>
      <c r="R21" s="5" t="s">
        <v>189</v>
      </c>
      <c r="S21" s="0" t="s">
        <v>209</v>
      </c>
      <c r="T21" s="5" t="s">
        <v>189</v>
      </c>
      <c r="U21" s="5" t="s">
        <v>3896</v>
      </c>
      <c r="V21" s="0" t="s">
        <v>6175</v>
      </c>
      <c r="W21" s="0" t="s">
        <v>263</v>
      </c>
      <c r="X21" s="0" t="s">
        <v>5578</v>
      </c>
      <c r="Y21" s="0" t="str">
        <f aca="false">IF(FA21&lt;&gt;"Y","",COUNTIFS($FA$2:$FA$1000,"Y",$J$2:$J$1000,"&gt;"&amp;J21)+COUNTIFS($FA$2:$FA$1000,"Y",$J$2:$J$1000,J21,$FG$2:$FG$1000,"&lt;"&amp;FG21)+1)</f>
        <v/>
      </c>
      <c r="Z21" s="0" t="n">
        <v>20</v>
      </c>
      <c r="AA21" s="0" t="s">
        <v>164</v>
      </c>
      <c r="AB21" s="0" t="str">
        <f aca="false">IF($A21="","",IF(AT21="Y",BW21&amp;"",BJ21&amp;""))</f>
        <v>find Maura Mottolese at Firehook on LinkedIn and paste the profile URL into primary_linkedin_url; use the Whole Foods Market NoMad line only if retailer_checked_date is this week's Friday check</v>
      </c>
      <c r="AC21" s="0" t="str">
        <f aca="false">IF($A21="","",IF(AT21="Y",BR21&amp;"",BE21&amp;""))</f>
        <v>CEO or owner (not shown as a founder)</v>
      </c>
      <c r="AD21" s="0" t="str">
        <f aca="false">IF($A21="","",IF(AT21="Y",BS21&amp;"",BF21&amp;""))</f>
        <v>verified-page</v>
      </c>
      <c r="AE21" s="0" t="str">
        <f aca="false">IF($A21="","",IF(AT21="Y",BT21&amp;"",BG21&amp;""))</f>
        <v>press, event or podcast page</v>
      </c>
      <c r="AF21" s="0" t="str">
        <f aca="false">IF($A21="","",IF(AT21="Y",BU21&amp;"",BH21&amp;""))</f>
        <v>https://www.snackandbakery.com/articles/116020-firehook-crackers-grillos-strive-for-pickle-perfection</v>
      </c>
      <c r="AG21" s="0" t="str">
        <f aca="false">IF($A21="","",IF(AT21="Y",BV21&amp;"",BI21&amp;""))</f>
        <v>2026-10-24</v>
      </c>
      <c r="AH21" s="0" t="s">
        <v>6176</v>
      </c>
      <c r="AI21" s="0" t="s">
        <v>5630</v>
      </c>
      <c r="AJ21" s="0" t="s">
        <v>6177</v>
      </c>
      <c r="AK21" s="0" t="s">
        <v>6178</v>
      </c>
      <c r="AL21" s="0" t="s">
        <v>164</v>
      </c>
      <c r="AM21" s="0" t="s">
        <v>6179</v>
      </c>
      <c r="AN21" s="0" t="s">
        <v>6171</v>
      </c>
      <c r="AO21" s="5" t="s">
        <v>189</v>
      </c>
      <c r="AR21" s="0" t="str">
        <f aca="false">IF($A21="","",IF(AND(CK21="pass",AO21&lt;&gt;"Y",C21&lt;&gt;"",OR(AU21&lt;&gt;"Y",AV21="Y")),"Y","N"))</f>
        <v>N</v>
      </c>
      <c r="AS21" s="0" t="str">
        <f aca="false">IF($A21="","",_xlfn.TEXTJOIN("; ",TRUE(),IF(CK21&lt;&gt;"pass","gated out",""),IF(AO21="Y","on hold: "&amp;AP21,""),IF(C21="","no contact named on an opened page",""),IF(AND(AU21="Y",AV21&lt;&gt;"Y"),"founder review pending (Founder review tab)","")))</f>
        <v>founder review pending (Founder review tab)</v>
      </c>
      <c r="AU21" s="0" t="s">
        <v>164</v>
      </c>
      <c r="AX21" s="0" t="s">
        <v>6180</v>
      </c>
      <c r="AY21" s="0" t="s">
        <v>500</v>
      </c>
      <c r="AZ21" s="0" t="s">
        <v>6181</v>
      </c>
      <c r="BA21" s="0" t="s">
        <v>6182</v>
      </c>
      <c r="BC21" s="0" t="str">
        <f aca="false">IF($A21="","",IFERROR(INDEX(Enrichment!$A$2:$GZ$2000,MATCH($A21,INDEX(Enrichment!$A$2:$GZ$2000,0,MATCH("row_id",Enrichment!$A$1:$GZ$1,0)),0),MATCH("work_email",Enrichment!$A$1:$GZ$1,0))&amp;"",""))</f>
        <v/>
      </c>
      <c r="BD21" s="0" t="str">
        <f aca="false">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none</v>
      </c>
      <c r="BE21" s="0" t="s">
        <v>6183</v>
      </c>
      <c r="BF21" s="0" t="s">
        <v>169</v>
      </c>
      <c r="BG21" s="0" t="s">
        <v>1252</v>
      </c>
      <c r="BH21" s="0" t="s">
        <v>6174</v>
      </c>
      <c r="BI21" s="0" t="s">
        <v>172</v>
      </c>
      <c r="BJ21" s="0" t="s">
        <v>6184</v>
      </c>
      <c r="BK21" s="0" t="s">
        <v>5638</v>
      </c>
      <c r="BL21" s="0" t="s">
        <v>6185</v>
      </c>
      <c r="BM21" s="0" t="s">
        <v>6186</v>
      </c>
      <c r="BN21" s="0" t="s">
        <v>6187</v>
      </c>
      <c r="BP21" s="0" t="str">
        <f aca="false">IF($A21="","",IFERROR(INDEX(Enrichment!$A$2:$GZ$2000,MATCH($A21,INDEX(Enrichment!$A$2:$GZ$2000,0,MATCH("row_id",Enrichment!$A$1:$GZ$1,0)),0),MATCH("backup_work_email",Enrichment!$A$1:$GZ$1,0))&amp;"",""))</f>
        <v/>
      </c>
      <c r="BQ21" s="0" t="str">
        <f aca="false">IF($A21="","",IF(BP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none</v>
      </c>
      <c r="BR21" s="0" t="s">
        <v>5596</v>
      </c>
      <c r="BS21" s="0" t="s">
        <v>169</v>
      </c>
      <c r="BT21" s="0" t="s">
        <v>1252</v>
      </c>
      <c r="BU21" s="0" t="s">
        <v>6188</v>
      </c>
      <c r="BV21" s="0" t="s">
        <v>172</v>
      </c>
      <c r="BW21" s="0" t="s">
        <v>6189</v>
      </c>
      <c r="BX21" s="0" t="s">
        <v>5643</v>
      </c>
      <c r="BY21" s="0" t="s">
        <v>6190</v>
      </c>
      <c r="BZ21" s="0" t="s">
        <v>5802</v>
      </c>
      <c r="CB21" s="0" t="s">
        <v>6191</v>
      </c>
      <c r="CC21" s="0" t="s">
        <v>6192</v>
      </c>
      <c r="CD21" s="0" t="s">
        <v>6193</v>
      </c>
      <c r="CF21" s="0" t="s">
        <v>6194</v>
      </c>
      <c r="CG21" s="0" t="s">
        <v>6195</v>
      </c>
      <c r="CH21" s="0" t="s">
        <v>6196</v>
      </c>
      <c r="CJ21" s="0" t="s">
        <v>5606</v>
      </c>
      <c r="CK21" s="0" t="s">
        <v>200</v>
      </c>
      <c r="CM21" s="0" t="s">
        <v>201</v>
      </c>
      <c r="CN21" s="0" t="s">
        <v>5808</v>
      </c>
      <c r="CO21" s="0" t="s">
        <v>6178</v>
      </c>
      <c r="CP21" s="0" t="s">
        <v>6197</v>
      </c>
      <c r="CQ21" s="0" t="s">
        <v>6198</v>
      </c>
      <c r="CR21" s="0" t="s">
        <v>209</v>
      </c>
      <c r="CT21" s="0" t="s">
        <v>164</v>
      </c>
      <c r="CU21" s="0" t="s">
        <v>6199</v>
      </c>
      <c r="CV21" s="0" t="s">
        <v>189</v>
      </c>
      <c r="CW21" s="0" t="s">
        <v>164</v>
      </c>
      <c r="CX21" s="0" t="s">
        <v>209</v>
      </c>
      <c r="CZ21" s="0" t="s">
        <v>209</v>
      </c>
      <c r="DA21" s="0" t="s">
        <v>189</v>
      </c>
      <c r="DB21" s="0" t="s">
        <v>189</v>
      </c>
      <c r="DD21" s="0" t="n">
        <v>0</v>
      </c>
      <c r="DE21" s="0" t="s">
        <v>164</v>
      </c>
      <c r="DF21" s="0" t="n">
        <v>3</v>
      </c>
      <c r="DG21" s="0" t="s">
        <v>5686</v>
      </c>
      <c r="DI21" s="0" t="s">
        <v>6054</v>
      </c>
      <c r="DJ21" s="0" t="s">
        <v>6200</v>
      </c>
      <c r="DK21" s="0" t="s">
        <v>5617</v>
      </c>
      <c r="DL21" s="0" t="n">
        <v>106</v>
      </c>
      <c r="DN21" s="0" t="n">
        <v>61</v>
      </c>
      <c r="DO21" s="0" t="n">
        <v>25</v>
      </c>
      <c r="DP21" s="0" t="n">
        <v>3</v>
      </c>
      <c r="DQ21" s="0" t="n">
        <v>15</v>
      </c>
      <c r="DR21" s="0" t="n">
        <v>5</v>
      </c>
      <c r="DS21" s="0" t="n">
        <v>7</v>
      </c>
      <c r="DT21" s="0" t="n">
        <v>10</v>
      </c>
      <c r="DU21" s="0" t="n">
        <f aca="false">IF($A21="","",IF(R21="Y",10,0))</f>
        <v>0</v>
      </c>
      <c r="DV21" s="0" t="n">
        <v>-4</v>
      </c>
      <c r="DW21" s="0" t="s">
        <v>209</v>
      </c>
      <c r="DX21" s="0" t="s">
        <v>5814</v>
      </c>
      <c r="DY21" s="0" t="s">
        <v>6201</v>
      </c>
      <c r="DZ21" s="0" t="s">
        <v>6202</v>
      </c>
      <c r="EA21" s="0" t="s">
        <v>6203</v>
      </c>
      <c r="EV21" s="0" t="str">
        <f aca="false">IF($A21="","",IF(ISNUMBER(MATCH(U21,{"queued","contacted","replied","call_booked","call_done","yes_in_principle","materials_sent"},0)),"Y","N"))</f>
        <v>N</v>
      </c>
      <c r="EW21" s="0" t="str">
        <f aca="false">IF($A21="","",IF(OR(T21="Y",U21="do_not_contact",AQ21&amp;""&lt;&gt;""),"Y","N"))</f>
        <v>N</v>
      </c>
      <c r="EX21" s="0" t="str">
        <f aca="false">IF($A21="","",IF(AN21&amp;""&lt;&gt;"",AN21&amp;"",$A21))</f>
        <v>AB-032</v>
      </c>
      <c r="EY21" s="0" t="str">
        <f aca="false">IF($A21="","",IF(COUNTIFS($EX$2:$EX$1000,EX21,$EV$2:$EV$1000,"Y")+COUNTIFS($EX$2:$EX$1000,EX21,$EW$2:$EW$1000,"Y")&gt;0,"Y","N"))</f>
        <v>N</v>
      </c>
      <c r="EZ21" s="0" t="str">
        <f aca="false">IF($A21="","",IF(AND(U21="new",T21="N",EW21="N",AR21="Y",EY21="N"),"Y","N"))</f>
        <v>N</v>
      </c>
      <c r="FA21" s="0" t="str">
        <f aca="false">IF($A21="","",IF(EZ21&lt;&gt;"Y","N",IF(COUNTIFS($EX$2:$EX$1000,EX21,$EZ$2:$EZ$1000,"Y",$J$2:$J$1000,"&gt;"&amp;J21)+COUNTIFS($EX$2:$EX$1000,EX21,$EZ$2:$EZ$1000,"Y",$J$2:$J$1000,J21,$FG$2:$FG$1000,"&lt;"&amp;FG21)=0,"Y","N")))</f>
        <v>N</v>
      </c>
      <c r="FB21" s="0" t="str">
        <f aca="false">IF($A21="","",IF(AND(EZ21="Y",FA21="Y",Y21&amp;""&lt;&gt;""),IF(Y21&lt;=10,"Y","N"),"N"))</f>
        <v>N</v>
      </c>
      <c r="FC21" s="0" t="str">
        <f aca="false">IF(FB21="Y",Y21,"")</f>
        <v/>
      </c>
      <c r="FD21" s="0" t="str">
        <f aca="false">IF($A21="","",IF(AND(CK21="pass",AU21="Y",AV21&lt;&gt;"Y",U21="new",EW21="N"),"Y","N"))</f>
        <v>Y</v>
      </c>
      <c r="FE21" s="0" t="n">
        <f aca="false">IF(FD21&lt;&gt;"Y","",IF(COUNTIFS($FD$2:$FD$1000,"Y",$J$2:$J$1000,"&gt;"&amp;J21)+COUNTIFS($FD$2:$FD$1000,"Y",$J$2:$J$1000,J21,$FG$2:$FG$1000,"&lt;"&amp;FG21)+1&lt;=30,COUNTIFS($FD$2:$FD$1000,"Y",$J$2:$J$1000,"&gt;"&amp;J21)+COUNTIFS($FD$2:$FD$1000,"Y",$J$2:$J$1000,J21,$FG$2:$FG$1000,"&lt;"&amp;FG21)+1,""))</f>
        <v>4</v>
      </c>
      <c r="FF21" s="0" t="str">
        <f aca="false">IF(AND(_xlfn.ISFORMULA(C21),_xlfn.ISFORMULA(J21)),"Y","N")</f>
        <v>Y</v>
      </c>
      <c r="FG21" s="0" t="n">
        <f aca="false">ROW()-1</f>
        <v>20</v>
      </c>
    </row>
    <row r="22" customFormat="false" ht="15" hidden="false" customHeight="false" outlineLevel="0" collapsed="false">
      <c r="A22" s="0" t="s">
        <v>6204</v>
      </c>
      <c r="B22" s="0" t="s">
        <v>6205</v>
      </c>
      <c r="C22" s="0" t="str">
        <f aca="false">IF($A22="","",IF(AT22="Y",BL22&amp;"",AY22&amp;""))</f>
        <v>Norman</v>
      </c>
      <c r="D22" s="0" t="str">
        <f aca="false">IF($A22="","",IF(AT22="Y",BM22&amp;"",AZ22&amp;""))</f>
        <v>Taliaferro</v>
      </c>
      <c r="E22" s="0" t="str">
        <f aca="false">IF($A22="","",IF(AT22="Y",BN22&amp;"",BA22&amp;""))</f>
        <v>CEO and Founding Partner</v>
      </c>
      <c r="F22" s="0" t="str">
        <f aca="false">IF($A22="","",IF(AT22="Y",BO22&amp;"",BB22&amp;""))</f>
        <v/>
      </c>
      <c r="G22" s="0" t="str">
        <f aca="false">IF($A22="","",IF(AT22="Y",BP22&amp;"",BC22&amp;""))</f>
        <v/>
      </c>
      <c r="H22" s="0" t="str">
        <f aca="false">IF($A22="","",IF(AT22="Y",BQ22&amp;"",BD22&amp;""))</f>
        <v>none</v>
      </c>
      <c r="I22" s="0" t="str">
        <f aca="false">IF($A22="","",IF(R22="Y","warm-intro",IF(H22="verified","email",IF(C22&lt;&gt;"","linkedin",CA22&amp;""))))</f>
        <v>linkedin</v>
      </c>
      <c r="J22" s="0" t="n">
        <f aca="false">IF($A22="","",IF(CK22="pass",ROUND(N(DO22)+N(DP22)+N(DQ22)+N(DR22)+N(DS22)+N(DT22)+N(DU22)+N(DV22),0),0))</f>
        <v>61</v>
      </c>
      <c r="K22" s="0" t="str">
        <f aca="false">IF($A22="","",IF(CK22&lt;&gt;"pass",BY22&amp;"",BY22&amp;", "&amp;IF(AT22="Y",BX22&amp;"",BK22&amp;"")&amp;BZ22&amp;IF(R22="Y","; known to the founder (+10)","")&amp;"."))</f>
        <v>Brand based outside the Northeast, store page shows Whole Foods Market Union Square inside the cluster, a new store listing 176 days ago, revenue unknown, contact named plus a marketing lead.</v>
      </c>
      <c r="M22" s="0" t="s">
        <v>5625</v>
      </c>
      <c r="N22" s="0" t="s">
        <v>5573</v>
      </c>
      <c r="O22" s="0" t="s">
        <v>6206</v>
      </c>
      <c r="P22" s="0" t="s">
        <v>6207</v>
      </c>
      <c r="Q22" s="0" t="s">
        <v>3074</v>
      </c>
      <c r="R22" s="5" t="s">
        <v>189</v>
      </c>
      <c r="S22" s="0" t="s">
        <v>209</v>
      </c>
      <c r="T22" s="5" t="s">
        <v>189</v>
      </c>
      <c r="U22" s="5" t="s">
        <v>3896</v>
      </c>
      <c r="V22" s="0" t="s">
        <v>6208</v>
      </c>
      <c r="W22" s="0" t="s">
        <v>263</v>
      </c>
      <c r="X22" s="0" t="s">
        <v>5578</v>
      </c>
      <c r="Y22" s="0" t="n">
        <f aca="false">IF(FA22&lt;&gt;"Y","",COUNTIFS($FA$2:$FA$1000,"Y",$J$2:$J$1000,"&gt;"&amp;J22)+COUNTIFS($FA$2:$FA$1000,"Y",$J$2:$J$1000,J22,$FG$2:$FG$1000,"&lt;"&amp;FG22)+1)</f>
        <v>15</v>
      </c>
      <c r="Z22" s="0" t="n">
        <v>21</v>
      </c>
      <c r="AA22" s="0" t="s">
        <v>164</v>
      </c>
      <c r="AB22" s="0" t="str">
        <f aca="false">IF($A22="","",IF(AT22="Y",BW22&amp;"",BJ22&amp;""))</f>
        <v>find Norman Taliaferro at FitJoy Foods on LinkedIn and paste the profile URL into primary_linkedin_url; use the Whole Foods Market Union Square line only if retailer_checked_date is this week's Friday check</v>
      </c>
      <c r="AC22" s="0" t="str">
        <f aca="false">IF($A22="","",IF(AT22="Y",BR22&amp;"",BE22&amp;""))</f>
        <v>founder</v>
      </c>
      <c r="AD22" s="0" t="str">
        <f aca="false">IF($A22="","",IF(AT22="Y",BS22&amp;"",BF22&amp;""))</f>
        <v>verified-page</v>
      </c>
      <c r="AE22" s="0" t="str">
        <f aca="false">IF($A22="","",IF(AT22="Y",BT22&amp;"",BG22&amp;""))</f>
        <v>employer's own site</v>
      </c>
      <c r="AF22" s="0" t="str">
        <f aca="false">IF($A22="","",IF(AT22="Y",BU22&amp;"",BH22&amp;""))</f>
        <v>https://fitjoyfoods.com/pages/our-people</v>
      </c>
      <c r="AG22" s="0" t="str">
        <f aca="false">IF($A22="","",IF(AT22="Y",BV22&amp;"",BI22&amp;""))</f>
        <v>2026-10-24</v>
      </c>
      <c r="AH22" s="0" t="s">
        <v>6209</v>
      </c>
      <c r="AI22" s="0" t="s">
        <v>5630</v>
      </c>
      <c r="AJ22" s="0" t="s">
        <v>6210</v>
      </c>
      <c r="AK22" s="0" t="s">
        <v>6211</v>
      </c>
      <c r="AL22" s="0" t="s">
        <v>189</v>
      </c>
      <c r="AN22" s="0" t="s">
        <v>6204</v>
      </c>
      <c r="AO22" s="5" t="s">
        <v>189</v>
      </c>
      <c r="AR22" s="0" t="str">
        <f aca="false">IF($A22="","",IF(AND(CK22="pass",AO22&lt;&gt;"Y",C22&lt;&gt;"",OR(AU22&lt;&gt;"Y",AV22="Y")),"Y","N"))</f>
        <v>Y</v>
      </c>
      <c r="AS22" s="0" t="str">
        <f aca="false">IF($A22="","",_xlfn.TEXTJOIN("; ",TRUE(),IF(CK22&lt;&gt;"pass","gated out",""),IF(AO22="Y","on hold: "&amp;AP22,""),IF(C22="","no contact named on an opened page",""),IF(AND(AU22="Y",AV22&lt;&gt;"Y"),"founder review pending (Founder review tab)","")))</f>
        <v/>
      </c>
      <c r="AU22" s="0" t="s">
        <v>189</v>
      </c>
      <c r="AX22" s="0" t="s">
        <v>6212</v>
      </c>
      <c r="AY22" s="0" t="s">
        <v>6213</v>
      </c>
      <c r="AZ22" s="0" t="s">
        <v>6214</v>
      </c>
      <c r="BA22" s="0" t="s">
        <v>6215</v>
      </c>
      <c r="BC22" s="0" t="str">
        <f aca="false">IF($A22="","",IFERROR(INDEX(Enrichment!$A$2:$GZ$2000,MATCH($A22,INDEX(Enrichment!$A$2:$GZ$2000,0,MATCH("row_id",Enrichment!$A$1:$GZ$1,0)),0),MATCH("work_email",Enrichment!$A$1:$GZ$1,0))&amp;"",""))</f>
        <v/>
      </c>
      <c r="BD22" s="0" t="str">
        <f aca="false">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none</v>
      </c>
      <c r="BE22" s="0" t="s">
        <v>5589</v>
      </c>
      <c r="BF22" s="0" t="s">
        <v>169</v>
      </c>
      <c r="BG22" s="0" t="s">
        <v>170</v>
      </c>
      <c r="BH22" s="0" t="s">
        <v>6208</v>
      </c>
      <c r="BI22" s="0" t="s">
        <v>172</v>
      </c>
      <c r="BJ22" s="0" t="s">
        <v>6216</v>
      </c>
      <c r="BK22" s="0" t="s">
        <v>5638</v>
      </c>
      <c r="BL22" s="0" t="s">
        <v>6217</v>
      </c>
      <c r="BM22" s="0" t="s">
        <v>6218</v>
      </c>
      <c r="BN22" s="0" t="s">
        <v>6219</v>
      </c>
      <c r="BP22" s="0" t="str">
        <f aca="false">IF($A22="","",IFERROR(INDEX(Enrichment!$A$2:$GZ$2000,MATCH($A22,INDEX(Enrichment!$A$2:$GZ$2000,0,MATCH("row_id",Enrichment!$A$1:$GZ$1,0)),0),MATCH("backup_work_email",Enrichment!$A$1:$GZ$1,0))&amp;"",""))</f>
        <v/>
      </c>
      <c r="BQ22" s="0" t="str">
        <f aca="false">IF($A22="","",IF(BP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none</v>
      </c>
      <c r="BR22" s="0" t="s">
        <v>5596</v>
      </c>
      <c r="BS22" s="0" t="s">
        <v>169</v>
      </c>
      <c r="BT22" s="0" t="s">
        <v>170</v>
      </c>
      <c r="BU22" s="0" t="s">
        <v>6208</v>
      </c>
      <c r="BV22" s="0" t="s">
        <v>172</v>
      </c>
      <c r="BW22" s="0" t="s">
        <v>6220</v>
      </c>
      <c r="BX22" s="0" t="s">
        <v>5643</v>
      </c>
      <c r="BY22" s="0" t="s">
        <v>6221</v>
      </c>
      <c r="CB22" s="0" t="s">
        <v>6222</v>
      </c>
      <c r="CD22" s="0" t="s">
        <v>6223</v>
      </c>
      <c r="CF22" s="0" t="s">
        <v>6224</v>
      </c>
      <c r="CG22" s="0" t="s">
        <v>2042</v>
      </c>
      <c r="CH22" s="0" t="s">
        <v>6225</v>
      </c>
      <c r="CJ22" s="0" t="s">
        <v>5606</v>
      </c>
      <c r="CK22" s="0" t="s">
        <v>200</v>
      </c>
      <c r="CM22" s="0" t="s">
        <v>201</v>
      </c>
      <c r="CO22" s="0" t="s">
        <v>6211</v>
      </c>
      <c r="CP22" s="0" t="s">
        <v>6226</v>
      </c>
      <c r="CQ22" s="0" t="s">
        <v>6198</v>
      </c>
      <c r="CR22" s="0" t="s">
        <v>209</v>
      </c>
      <c r="CT22" s="0" t="s">
        <v>164</v>
      </c>
      <c r="CU22" s="0" t="s">
        <v>6227</v>
      </c>
      <c r="CV22" s="0" t="s">
        <v>164</v>
      </c>
      <c r="CW22" s="0" t="s">
        <v>164</v>
      </c>
      <c r="CX22" s="0" t="s">
        <v>209</v>
      </c>
      <c r="CZ22" s="0" t="s">
        <v>209</v>
      </c>
      <c r="DA22" s="0" t="s">
        <v>189</v>
      </c>
      <c r="DB22" s="0" t="s">
        <v>189</v>
      </c>
      <c r="DD22" s="0" t="n">
        <v>0</v>
      </c>
      <c r="DE22" s="0" t="s">
        <v>164</v>
      </c>
      <c r="DF22" s="0" t="n">
        <v>1</v>
      </c>
      <c r="DG22" s="0" t="s">
        <v>5650</v>
      </c>
      <c r="DI22" s="0" t="s">
        <v>6228</v>
      </c>
      <c r="DJ22" s="0" t="s">
        <v>6229</v>
      </c>
      <c r="DK22" s="0" t="s">
        <v>5689</v>
      </c>
      <c r="DL22" s="0" t="n">
        <v>176</v>
      </c>
      <c r="DN22" s="0" t="n">
        <v>61</v>
      </c>
      <c r="DO22" s="0" t="n">
        <v>25</v>
      </c>
      <c r="DP22" s="0" t="n">
        <v>3</v>
      </c>
      <c r="DQ22" s="0" t="n">
        <v>8</v>
      </c>
      <c r="DR22" s="0" t="n">
        <v>5</v>
      </c>
      <c r="DS22" s="0" t="n">
        <v>10</v>
      </c>
      <c r="DT22" s="0" t="n">
        <v>10</v>
      </c>
      <c r="DU22" s="0" t="n">
        <f aca="false">IF($A22="","",IF(R22="Y",10,0))</f>
        <v>0</v>
      </c>
      <c r="DV22" s="0" t="n">
        <v>0</v>
      </c>
      <c r="DW22" s="0" t="s">
        <v>209</v>
      </c>
      <c r="DX22" s="0" t="s">
        <v>5814</v>
      </c>
      <c r="DY22" s="0" t="s">
        <v>6230</v>
      </c>
      <c r="DZ22" s="0" t="s">
        <v>6231</v>
      </c>
      <c r="EA22" s="0" t="s">
        <v>6232</v>
      </c>
      <c r="EV22" s="0" t="str">
        <f aca="false">IF($A22="","",IF(ISNUMBER(MATCH(U22,{"queued","contacted","replied","call_booked","call_done","yes_in_principle","materials_sent"},0)),"Y","N"))</f>
        <v>N</v>
      </c>
      <c r="EW22" s="0" t="str">
        <f aca="false">IF($A22="","",IF(OR(T22="Y",U22="do_not_contact",AQ22&amp;""&lt;&gt;""),"Y","N"))</f>
        <v>N</v>
      </c>
      <c r="EX22" s="0" t="str">
        <f aca="false">IF($A22="","",IF(AN22&amp;""&lt;&gt;"",AN22&amp;"",$A22))</f>
        <v>AB-048</v>
      </c>
      <c r="EY22" s="0" t="str">
        <f aca="false">IF($A22="","",IF(COUNTIFS($EX$2:$EX$1000,EX22,$EV$2:$EV$1000,"Y")+COUNTIFS($EX$2:$EX$1000,EX22,$EW$2:$EW$1000,"Y")&gt;0,"Y","N"))</f>
        <v>N</v>
      </c>
      <c r="EZ22" s="0" t="str">
        <f aca="false">IF($A22="","",IF(AND(U22="new",T22="N",EW22="N",AR22="Y",EY22="N"),"Y","N"))</f>
        <v>Y</v>
      </c>
      <c r="FA22" s="0" t="str">
        <f aca="false">IF($A22="","",IF(EZ22&lt;&gt;"Y","N",IF(COUNTIFS($EX$2:$EX$1000,EX22,$EZ$2:$EZ$1000,"Y",$J$2:$J$1000,"&gt;"&amp;J22)+COUNTIFS($EX$2:$EX$1000,EX22,$EZ$2:$EZ$1000,"Y",$J$2:$J$1000,J22,$FG$2:$FG$1000,"&lt;"&amp;FG22)=0,"Y","N")))</f>
        <v>Y</v>
      </c>
      <c r="FB22" s="0" t="str">
        <f aca="false">IF($A22="","",IF(AND(EZ22="Y",FA22="Y",Y22&amp;""&lt;&gt;""),IF(Y22&lt;=10,"Y","N"),"N"))</f>
        <v>N</v>
      </c>
      <c r="FC22" s="0" t="str">
        <f aca="false">IF(FB22="Y",Y22,"")</f>
        <v/>
      </c>
      <c r="FD22" s="0" t="str">
        <f aca="false">IF($A22="","",IF(AND(CK22="pass",AU22="Y",AV22&lt;&gt;"Y",U22="new",EW22="N"),"Y","N"))</f>
        <v>N</v>
      </c>
      <c r="FE22" s="0" t="str">
        <f aca="false">IF(FD22&lt;&gt;"Y","",IF(COUNTIFS($FD$2:$FD$1000,"Y",$J$2:$J$1000,"&gt;"&amp;J22)+COUNTIFS($FD$2:$FD$1000,"Y",$J$2:$J$1000,J22,$FG$2:$FG$1000,"&lt;"&amp;FG22)+1&lt;=30,COUNTIFS($FD$2:$FD$1000,"Y",$J$2:$J$1000,"&gt;"&amp;J22)+COUNTIFS($FD$2:$FD$1000,"Y",$J$2:$J$1000,J22,$FG$2:$FG$1000,"&lt;"&amp;FG22)+1,""))</f>
        <v/>
      </c>
      <c r="FF22" s="0" t="str">
        <f aca="false">IF(AND(_xlfn.ISFORMULA(C22),_xlfn.ISFORMULA(J22)),"Y","N")</f>
        <v>Y</v>
      </c>
      <c r="FG22" s="0" t="n">
        <f aca="false">ROW()-1</f>
        <v>21</v>
      </c>
    </row>
    <row r="23" customFormat="false" ht="15" hidden="false" customHeight="false" outlineLevel="0" collapsed="false">
      <c r="A23" s="0" t="s">
        <v>6233</v>
      </c>
      <c r="B23" s="0" t="s">
        <v>6234</v>
      </c>
      <c r="C23" s="0" t="str">
        <f aca="false">IF($A23="","",IF(AT23="Y",BL23&amp;"",AY23&amp;""))</f>
        <v>Robert</v>
      </c>
      <c r="D23" s="0" t="str">
        <f aca="false">IF($A23="","",IF(AT23="Y",BM23&amp;"",AZ23&amp;""))</f>
        <v>Freeland</v>
      </c>
      <c r="E23" s="0" t="str">
        <f aca="false">IF($A23="","",IF(AT23="Y",BN23&amp;"",BA23&amp;""))</f>
        <v>Owner, Founder and CEO</v>
      </c>
      <c r="F23" s="0" t="str">
        <f aca="false">IF($A23="","",IF(AT23="Y",BO23&amp;"",BB23&amp;""))</f>
        <v/>
      </c>
      <c r="G23" s="0" t="str">
        <f aca="false">IF($A23="","",IF(AT23="Y",BP23&amp;"",BC23&amp;""))</f>
        <v/>
      </c>
      <c r="H23" s="0" t="str">
        <f aca="false">IF($A23="","",IF(AT23="Y",BQ23&amp;"",BD23&amp;""))</f>
        <v>none</v>
      </c>
      <c r="I23" s="0" t="str">
        <f aca="false">IF($A23="","",IF(R23="Y","warm-intro",IF(H23="verified","email",IF(C23&lt;&gt;"","linkedin",CA23&amp;""))))</f>
        <v>linkedin</v>
      </c>
      <c r="J23" s="0" t="n">
        <f aca="false">IF($A23="","",IF(CK23="pass",ROUND(N(DO23)+N(DP23)+N(DQ23)+N(DR23)+N(DS23)+N(DT23)+N(DU23)+N(DV23),0),0))</f>
        <v>61</v>
      </c>
      <c r="K23" s="0" t="str">
        <f aca="false">IF($A23="","",IF(CK23&lt;&gt;"pass",BY23&amp;"",BY23&amp;", "&amp;IF(AT23="Y",BX23&amp;"",BK23&amp;"")&amp;BZ23&amp;IF(R23="Y","; known to the founder (+10)","")&amp;"."))</f>
        <v>Brand based outside the Northeast, store page shows Whole Foods Market NoMad inside the cluster, news 171 days ago, revenue unknown, contact named (crowd-listed on The Org) plus a marketing lead; founder review: nutrient-claim, format.</v>
      </c>
      <c r="M23" s="0" t="s">
        <v>5572</v>
      </c>
      <c r="N23" s="0" t="s">
        <v>5573</v>
      </c>
      <c r="O23" s="0" t="s">
        <v>6235</v>
      </c>
      <c r="P23" s="0" t="s">
        <v>6236</v>
      </c>
      <c r="Q23" s="0" t="s">
        <v>6237</v>
      </c>
      <c r="R23" s="5" t="s">
        <v>189</v>
      </c>
      <c r="S23" s="0" t="s">
        <v>209</v>
      </c>
      <c r="T23" s="5" t="s">
        <v>189</v>
      </c>
      <c r="U23" s="5" t="s">
        <v>3896</v>
      </c>
      <c r="V23" s="0" t="s">
        <v>6238</v>
      </c>
      <c r="W23" s="0" t="s">
        <v>263</v>
      </c>
      <c r="X23" s="0" t="s">
        <v>5578</v>
      </c>
      <c r="Y23" s="0" t="str">
        <f aca="false">IF(FA23&lt;&gt;"Y","",COUNTIFS($FA$2:$FA$1000,"Y",$J$2:$J$1000,"&gt;"&amp;J23)+COUNTIFS($FA$2:$FA$1000,"Y",$J$2:$J$1000,J23,$FG$2:$FG$1000,"&lt;"&amp;FG23)+1)</f>
        <v/>
      </c>
      <c r="Z23" s="0" t="n">
        <v>22</v>
      </c>
      <c r="AA23" s="0" t="s">
        <v>164</v>
      </c>
      <c r="AB23" s="0" t="str">
        <f aca="false">IF($A23="","",IF(AT23="Y",BW23&amp;"",BJ23&amp;""))</f>
        <v>find Robert Freeland at Go Raw on LinkedIn and paste the profile URL into primary_linkedin_url (this also confirms the name: The Org is crowd-edited and marks it Unverified); the source is dated 2023-07-24: check Robert still holds the role; use the Whole Foods Market NoMad line only if retailer_checked_date is this week's Friday check</v>
      </c>
      <c r="AC23" s="0" t="str">
        <f aca="false">IF($A23="","",IF(AT23="Y",BR23&amp;"",BE23&amp;""))</f>
        <v>founder</v>
      </c>
      <c r="AD23" s="0" t="str">
        <f aca="false">IF($A23="","",IF(AT23="Y",BS23&amp;"",BF23&amp;""))</f>
        <v>crowd-listed</v>
      </c>
      <c r="AE23" s="0" t="str">
        <f aca="false">IF($A23="","",IF(AT23="Y",BT23&amp;"",BG23&amp;""))</f>
        <v>The Org (crowd-edited org chart)</v>
      </c>
      <c r="AF23" s="0" t="str">
        <f aca="false">IF($A23="","",IF(AT23="Y",BU23&amp;"",BH23&amp;""))</f>
        <v>https://theorg.com/org/go-raw/person/robert-freeland</v>
      </c>
      <c r="AG23" s="0" t="str">
        <f aca="false">IF($A23="","",IF(AT23="Y",BV23&amp;"",BI23&amp;""))</f>
        <v>2026-10-24</v>
      </c>
      <c r="AH23" s="0" t="s">
        <v>6239</v>
      </c>
      <c r="AI23" s="0" t="s">
        <v>6240</v>
      </c>
      <c r="AJ23" s="0" t="s">
        <v>6241</v>
      </c>
      <c r="AK23" s="0" t="s">
        <v>6242</v>
      </c>
      <c r="AL23" s="0" t="s">
        <v>164</v>
      </c>
      <c r="AM23" s="0" t="s">
        <v>6243</v>
      </c>
      <c r="AN23" s="0" t="s">
        <v>6233</v>
      </c>
      <c r="AO23" s="5" t="s">
        <v>189</v>
      </c>
      <c r="AR23" s="0" t="str">
        <f aca="false">IF($A23="","",IF(AND(CK23="pass",AO23&lt;&gt;"Y",C23&lt;&gt;"",OR(AU23&lt;&gt;"Y",AV23="Y")),"Y","N"))</f>
        <v>N</v>
      </c>
      <c r="AS23" s="0" t="str">
        <f aca="false">IF($A23="","",_xlfn.TEXTJOIN("; ",TRUE(),IF(CK23&lt;&gt;"pass","gated out",""),IF(AO23="Y","on hold: "&amp;AP23,""),IF(C23="","no contact named on an opened page",""),IF(AND(AU23="Y",AV23&lt;&gt;"Y"),"founder review pending (Founder review tab)","")))</f>
        <v>founder review pending (Founder review tab)</v>
      </c>
      <c r="AU23" s="0" t="s">
        <v>164</v>
      </c>
      <c r="AX23" s="0" t="s">
        <v>6244</v>
      </c>
      <c r="AY23" s="0" t="s">
        <v>6245</v>
      </c>
      <c r="AZ23" s="0" t="s">
        <v>6246</v>
      </c>
      <c r="BA23" s="0" t="s">
        <v>6247</v>
      </c>
      <c r="BC23" s="0" t="str">
        <f aca="false">IF($A23="","",IFERROR(INDEX(Enrichment!$A$2:$GZ$2000,MATCH($A23,INDEX(Enrichment!$A$2:$GZ$2000,0,MATCH("row_id",Enrichment!$A$1:$GZ$1,0)),0),MATCH("work_email",Enrichment!$A$1:$GZ$1,0))&amp;"",""))</f>
        <v/>
      </c>
      <c r="BD23" s="0" t="str">
        <f aca="false">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none</v>
      </c>
      <c r="BE23" s="0" t="s">
        <v>5589</v>
      </c>
      <c r="BF23" s="0" t="s">
        <v>283</v>
      </c>
      <c r="BG23" s="0" t="s">
        <v>284</v>
      </c>
      <c r="BH23" s="0" t="s">
        <v>6248</v>
      </c>
      <c r="BI23" s="0" t="s">
        <v>172</v>
      </c>
      <c r="BJ23" s="0" t="s">
        <v>6249</v>
      </c>
      <c r="BK23" s="0" t="s">
        <v>5592</v>
      </c>
      <c r="BL23" s="0" t="s">
        <v>6250</v>
      </c>
      <c r="BM23" s="0" t="s">
        <v>6251</v>
      </c>
      <c r="BN23" s="0" t="s">
        <v>6016</v>
      </c>
      <c r="BP23" s="0" t="str">
        <f aca="false">IF($A23="","",IFERROR(INDEX(Enrichment!$A$2:$GZ$2000,MATCH($A23,INDEX(Enrichment!$A$2:$GZ$2000,0,MATCH("row_id",Enrichment!$A$1:$GZ$1,0)),0),MATCH("backup_work_email",Enrichment!$A$1:$GZ$1,0))&amp;"",""))</f>
        <v/>
      </c>
      <c r="BQ23" s="0" t="str">
        <f aca="false">IF($A23="","",IF(BP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none</v>
      </c>
      <c r="BR23" s="0" t="s">
        <v>5596</v>
      </c>
      <c r="BS23" s="0" t="s">
        <v>283</v>
      </c>
      <c r="BT23" s="0" t="s">
        <v>284</v>
      </c>
      <c r="BU23" s="0" t="s">
        <v>6252</v>
      </c>
      <c r="BV23" s="0" t="s">
        <v>172</v>
      </c>
      <c r="BW23" s="0" t="s">
        <v>6253</v>
      </c>
      <c r="BX23" s="0" t="s">
        <v>5599</v>
      </c>
      <c r="BY23" s="0" t="s">
        <v>6254</v>
      </c>
      <c r="BZ23" s="0" t="s">
        <v>6255</v>
      </c>
      <c r="CB23" s="0" t="s">
        <v>6256</v>
      </c>
      <c r="CC23" s="0" t="s">
        <v>6257</v>
      </c>
      <c r="CD23" s="0" t="s">
        <v>6258</v>
      </c>
      <c r="CF23" s="0" t="s">
        <v>6259</v>
      </c>
      <c r="CG23" s="0" t="s">
        <v>6260</v>
      </c>
      <c r="CH23" s="0" t="s">
        <v>6261</v>
      </c>
      <c r="CJ23" s="0" t="s">
        <v>5606</v>
      </c>
      <c r="CK23" s="0" t="s">
        <v>200</v>
      </c>
      <c r="CM23" s="0" t="s">
        <v>201</v>
      </c>
      <c r="CN23" s="0" t="s">
        <v>6262</v>
      </c>
      <c r="CO23" s="0" t="s">
        <v>6242</v>
      </c>
      <c r="CP23" s="0" t="s">
        <v>6263</v>
      </c>
      <c r="CQ23" s="0" t="s">
        <v>6198</v>
      </c>
      <c r="CR23" s="0" t="s">
        <v>209</v>
      </c>
      <c r="CT23" s="0" t="s">
        <v>164</v>
      </c>
      <c r="CU23" s="0" t="s">
        <v>6264</v>
      </c>
      <c r="CV23" s="0" t="s">
        <v>189</v>
      </c>
      <c r="CW23" s="0" t="s">
        <v>164</v>
      </c>
      <c r="CX23" s="0" t="s">
        <v>209</v>
      </c>
      <c r="CZ23" s="0" t="s">
        <v>209</v>
      </c>
      <c r="DA23" s="0" t="s">
        <v>189</v>
      </c>
      <c r="DB23" s="0" t="s">
        <v>189</v>
      </c>
      <c r="DD23" s="0" t="n">
        <v>0</v>
      </c>
      <c r="DE23" s="0" t="s">
        <v>164</v>
      </c>
      <c r="DF23" s="0" t="n">
        <v>3</v>
      </c>
      <c r="DG23" s="0" t="s">
        <v>5686</v>
      </c>
      <c r="DI23" s="0" t="s">
        <v>6054</v>
      </c>
      <c r="DJ23" s="0" t="s">
        <v>6265</v>
      </c>
      <c r="DK23" s="0" t="s">
        <v>5617</v>
      </c>
      <c r="DL23" s="0" t="n">
        <v>171</v>
      </c>
      <c r="DN23" s="0" t="n">
        <v>61</v>
      </c>
      <c r="DO23" s="0" t="n">
        <v>25</v>
      </c>
      <c r="DP23" s="0" t="n">
        <v>3</v>
      </c>
      <c r="DQ23" s="0" t="n">
        <v>15</v>
      </c>
      <c r="DR23" s="0" t="n">
        <v>5</v>
      </c>
      <c r="DS23" s="0" t="n">
        <v>7</v>
      </c>
      <c r="DT23" s="0" t="n">
        <v>10</v>
      </c>
      <c r="DU23" s="0" t="n">
        <f aca="false">IF($A23="","",IF(R23="Y",10,0))</f>
        <v>0</v>
      </c>
      <c r="DV23" s="0" t="n">
        <v>-4</v>
      </c>
      <c r="DW23" s="0" t="s">
        <v>209</v>
      </c>
      <c r="DX23" s="0" t="s">
        <v>5814</v>
      </c>
      <c r="DY23" s="0" t="s">
        <v>6266</v>
      </c>
      <c r="DZ23" s="0" t="s">
        <v>6267</v>
      </c>
      <c r="EA23" s="0" t="s">
        <v>6268</v>
      </c>
      <c r="EV23" s="0" t="str">
        <f aca="false">IF($A23="","",IF(ISNUMBER(MATCH(U23,{"queued","contacted","replied","call_booked","call_done","yes_in_principle","materials_sent"},0)),"Y","N"))</f>
        <v>N</v>
      </c>
      <c r="EW23" s="0" t="str">
        <f aca="false">IF($A23="","",IF(OR(T23="Y",U23="do_not_contact",AQ23&amp;""&lt;&gt;""),"Y","N"))</f>
        <v>N</v>
      </c>
      <c r="EX23" s="0" t="str">
        <f aca="false">IF($A23="","",IF(AN23&amp;""&lt;&gt;"",AN23&amp;"",$A23))</f>
        <v>AB-047</v>
      </c>
      <c r="EY23" s="0" t="str">
        <f aca="false">IF($A23="","",IF(COUNTIFS($EX$2:$EX$1000,EX23,$EV$2:$EV$1000,"Y")+COUNTIFS($EX$2:$EX$1000,EX23,$EW$2:$EW$1000,"Y")&gt;0,"Y","N"))</f>
        <v>N</v>
      </c>
      <c r="EZ23" s="0" t="str">
        <f aca="false">IF($A23="","",IF(AND(U23="new",T23="N",EW23="N",AR23="Y",EY23="N"),"Y","N"))</f>
        <v>N</v>
      </c>
      <c r="FA23" s="0" t="str">
        <f aca="false">IF($A23="","",IF(EZ23&lt;&gt;"Y","N",IF(COUNTIFS($EX$2:$EX$1000,EX23,$EZ$2:$EZ$1000,"Y",$J$2:$J$1000,"&gt;"&amp;J23)+COUNTIFS($EX$2:$EX$1000,EX23,$EZ$2:$EZ$1000,"Y",$J$2:$J$1000,J23,$FG$2:$FG$1000,"&lt;"&amp;FG23)=0,"Y","N")))</f>
        <v>N</v>
      </c>
      <c r="FB23" s="0" t="str">
        <f aca="false">IF($A23="","",IF(AND(EZ23="Y",FA23="Y",Y23&amp;""&lt;&gt;""),IF(Y23&lt;=10,"Y","N"),"N"))</f>
        <v>N</v>
      </c>
      <c r="FC23" s="0" t="str">
        <f aca="false">IF(FB23="Y",Y23,"")</f>
        <v/>
      </c>
      <c r="FD23" s="0" t="str">
        <f aca="false">IF($A23="","",IF(AND(CK23="pass",AU23="Y",AV23&lt;&gt;"Y",U23="new",EW23="N"),"Y","N"))</f>
        <v>Y</v>
      </c>
      <c r="FE23" s="0" t="n">
        <f aca="false">IF(FD23&lt;&gt;"Y","",IF(COUNTIFS($FD$2:$FD$1000,"Y",$J$2:$J$1000,"&gt;"&amp;J23)+COUNTIFS($FD$2:$FD$1000,"Y",$J$2:$J$1000,J23,$FG$2:$FG$1000,"&lt;"&amp;FG23)+1&lt;=30,COUNTIFS($FD$2:$FD$1000,"Y",$J$2:$J$1000,"&gt;"&amp;J23)+COUNTIFS($FD$2:$FD$1000,"Y",$J$2:$J$1000,J23,$FG$2:$FG$1000,"&lt;"&amp;FG23)+1,""))</f>
        <v>5</v>
      </c>
      <c r="FF23" s="0" t="str">
        <f aca="false">IF(AND(_xlfn.ISFORMULA(C23),_xlfn.ISFORMULA(J23)),"Y","N")</f>
        <v>Y</v>
      </c>
      <c r="FG23" s="0" t="n">
        <f aca="false">ROW()-1</f>
        <v>22</v>
      </c>
    </row>
    <row r="24" customFormat="false" ht="15" hidden="false" customHeight="false" outlineLevel="0" collapsed="false">
      <c r="A24" s="0" t="s">
        <v>6269</v>
      </c>
      <c r="B24" s="0" t="s">
        <v>6270</v>
      </c>
      <c r="C24" s="0" t="str">
        <f aca="false">IF($A24="","",IF(AT24="Y",BL24&amp;"",AY24&amp;""))</f>
        <v>Oded</v>
      </c>
      <c r="D24" s="0" t="str">
        <f aca="false">IF($A24="","",IF(AT24="Y",BM24&amp;"",AZ24&amp;""))</f>
        <v>Brenner</v>
      </c>
      <c r="E24" s="0" t="str">
        <f aca="false">IF($A24="","",IF(AT24="Y",BN24&amp;"",BA24&amp;""))</f>
        <v>Founder and CEO</v>
      </c>
      <c r="F24" s="0" t="str">
        <f aca="false">IF($A24="","",IF(AT24="Y",BO24&amp;"",BB24&amp;""))</f>
        <v/>
      </c>
      <c r="G24" s="0" t="str">
        <f aca="false">IF($A24="","",IF(AT24="Y",BP24&amp;"",BC24&amp;""))</f>
        <v/>
      </c>
      <c r="H24" s="0" t="str">
        <f aca="false">IF($A24="","",IF(AT24="Y",BQ24&amp;"",BD24&amp;""))</f>
        <v>none</v>
      </c>
      <c r="I24" s="0" t="str">
        <f aca="false">IF($A24="","",IF(R24="Y","warm-intro",IF(H24="verified","email",IF(C24&lt;&gt;"","linkedin",CA24&amp;""))))</f>
        <v>linkedin</v>
      </c>
      <c r="J24" s="0" t="n">
        <f aca="false">IF($A24="","",IF(CK24="pass",ROUND(N(DO24)+N(DP24)+N(DQ24)+N(DR24)+N(DS24)+N(DT24)+N(DU24)+N(DV24),0),0))</f>
        <v>60</v>
      </c>
      <c r="K24" s="0" t="str">
        <f aca="false">IF($A24="","",IF(CK24&lt;&gt;"pass",BY24&amp;"",BY24&amp;", "&amp;IF(AT24="Y",BX24&amp;"",BK24&amp;"")&amp;BZ24&amp;IF(R24="Y","; known to the founder (+10)","")&amp;"."))</f>
        <v>New York City brand, store page shows Whole Foods Market NoMad inside the cluster, news 288 days ago, revenue unknown, contact named; founder review: scale, claim-functional, nutrient-claim.</v>
      </c>
      <c r="M24" s="0" t="s">
        <v>5572</v>
      </c>
      <c r="N24" s="0" t="s">
        <v>5573</v>
      </c>
      <c r="O24" s="0" t="s">
        <v>6271</v>
      </c>
      <c r="P24" s="0" t="s">
        <v>6272</v>
      </c>
      <c r="Q24" s="0" t="s">
        <v>2120</v>
      </c>
      <c r="R24" s="5" t="s">
        <v>189</v>
      </c>
      <c r="S24" s="0" t="s">
        <v>209</v>
      </c>
      <c r="T24" s="5" t="s">
        <v>189</v>
      </c>
      <c r="U24" s="5" t="s">
        <v>3896</v>
      </c>
      <c r="V24" s="0" t="s">
        <v>6273</v>
      </c>
      <c r="W24" s="0" t="s">
        <v>263</v>
      </c>
      <c r="X24" s="0" t="s">
        <v>5578</v>
      </c>
      <c r="Y24" s="0" t="str">
        <f aca="false">IF(FA24&lt;&gt;"Y","",COUNTIFS($FA$2:$FA$1000,"Y",$J$2:$J$1000,"&gt;"&amp;J24)+COUNTIFS($FA$2:$FA$1000,"Y",$J$2:$J$1000,J24,$FG$2:$FG$1000,"&lt;"&amp;FG24)+1)</f>
        <v/>
      </c>
      <c r="Z24" s="0" t="n">
        <v>23</v>
      </c>
      <c r="AA24" s="0" t="s">
        <v>164</v>
      </c>
      <c r="AB24" s="0" t="str">
        <f aca="false">IF($A24="","",IF(AT24="Y",BW24&amp;"",BJ24&amp;""))</f>
        <v>find Oded Brenner at Blue Stripes on LinkedIn and paste the profile URL into primary_linkedin_url; use the Whole Foods Market NoMad line only if retailer_checked_date is this week's Friday check</v>
      </c>
      <c r="AC24" s="0" t="str">
        <f aca="false">IF($A24="","",IF(AT24="Y",BR24&amp;"",BE24&amp;""))</f>
        <v>founder</v>
      </c>
      <c r="AD24" s="0" t="str">
        <f aca="false">IF($A24="","",IF(AT24="Y",BS24&amp;"",BF24&amp;""))</f>
        <v>verified-page</v>
      </c>
      <c r="AE24" s="0" t="str">
        <f aca="false">IF($A24="","",IF(AT24="Y",BT24&amp;"",BG24&amp;""))</f>
        <v>employer's own site</v>
      </c>
      <c r="AF24" s="0" t="str">
        <f aca="false">IF($A24="","",IF(AT24="Y",BU24&amp;"",BH24&amp;""))</f>
        <v>https://www.bluestripes.com/pages/about-us</v>
      </c>
      <c r="AG24" s="0" t="str">
        <f aca="false">IF($A24="","",IF(AT24="Y",BV24&amp;"",BI24&amp;""))</f>
        <v>2026-10-24</v>
      </c>
      <c r="AH24" s="0" t="s">
        <v>6274</v>
      </c>
      <c r="AI24" s="0" t="s">
        <v>5664</v>
      </c>
      <c r="AJ24" s="0" t="s">
        <v>259</v>
      </c>
      <c r="AK24" s="0" t="s">
        <v>6275</v>
      </c>
      <c r="AL24" s="0" t="s">
        <v>164</v>
      </c>
      <c r="AM24" s="0" t="s">
        <v>6276</v>
      </c>
      <c r="AN24" s="0" t="s">
        <v>6269</v>
      </c>
      <c r="AO24" s="5" t="s">
        <v>189</v>
      </c>
      <c r="AR24" s="0" t="str">
        <f aca="false">IF($A24="","",IF(AND(CK24="pass",AO24&lt;&gt;"Y",C24&lt;&gt;"",OR(AU24&lt;&gt;"Y",AV24="Y")),"Y","N"))</f>
        <v>N</v>
      </c>
      <c r="AS24" s="0" t="str">
        <f aca="false">IF($A24="","",_xlfn.TEXTJOIN("; ",TRUE(),IF(CK24&lt;&gt;"pass","gated out",""),IF(AO24="Y","on hold: "&amp;AP24,""),IF(C24="","no contact named on an opened page",""),IF(AND(AU24="Y",AV24&lt;&gt;"Y"),"founder review pending (Founder review tab)","")))</f>
        <v>founder review pending (Founder review tab)</v>
      </c>
      <c r="AU24" s="0" t="s">
        <v>164</v>
      </c>
      <c r="AX24" s="0" t="s">
        <v>6277</v>
      </c>
      <c r="AY24" s="0" t="s">
        <v>6278</v>
      </c>
      <c r="AZ24" s="0" t="s">
        <v>6279</v>
      </c>
      <c r="BA24" s="0" t="s">
        <v>5670</v>
      </c>
      <c r="BC24" s="0" t="str">
        <f aca="false">IF($A24="","",IFERROR(INDEX(Enrichment!$A$2:$GZ$2000,MATCH($A24,INDEX(Enrichment!$A$2:$GZ$2000,0,MATCH("row_id",Enrichment!$A$1:$GZ$1,0)),0),MATCH("work_email",Enrichment!$A$1:$GZ$1,0))&amp;"",""))</f>
        <v/>
      </c>
      <c r="BD24" s="0" t="str">
        <f aca="false">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none</v>
      </c>
      <c r="BE24" s="0" t="s">
        <v>5589</v>
      </c>
      <c r="BF24" s="0" t="s">
        <v>169</v>
      </c>
      <c r="BG24" s="0" t="s">
        <v>170</v>
      </c>
      <c r="BH24" s="0" t="s">
        <v>6273</v>
      </c>
      <c r="BI24" s="0" t="s">
        <v>172</v>
      </c>
      <c r="BJ24" s="0" t="s">
        <v>6280</v>
      </c>
      <c r="BK24" s="0" t="s">
        <v>5643</v>
      </c>
      <c r="BL24" s="0" t="s">
        <v>6281</v>
      </c>
      <c r="BM24" s="0" t="s">
        <v>6282</v>
      </c>
      <c r="BN24" s="0" t="s">
        <v>6283</v>
      </c>
      <c r="BP24" s="0" t="str">
        <f aca="false">IF($A24="","",IFERROR(INDEX(Enrichment!$A$2:$GZ$2000,MATCH($A24,INDEX(Enrichment!$A$2:$GZ$2000,0,MATCH("row_id",Enrichment!$A$1:$GZ$1,0)),0),MATCH("backup_work_email",Enrichment!$A$1:$GZ$1,0))&amp;"",""))</f>
        <v/>
      </c>
      <c r="BQ24" s="0" t="str">
        <f aca="false">IF($A24="","",IF(BP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none</v>
      </c>
      <c r="BR24" s="0" t="s">
        <v>5712</v>
      </c>
      <c r="BS24" s="0" t="s">
        <v>283</v>
      </c>
      <c r="BT24" s="0" t="s">
        <v>284</v>
      </c>
      <c r="BU24" s="0" t="s">
        <v>6284</v>
      </c>
      <c r="BV24" s="0" t="s">
        <v>172</v>
      </c>
      <c r="BW24" s="0" t="s">
        <v>6285</v>
      </c>
      <c r="BX24" s="0" t="s">
        <v>5599</v>
      </c>
      <c r="BY24" s="0" t="s">
        <v>6286</v>
      </c>
      <c r="BZ24" s="0" t="s">
        <v>6287</v>
      </c>
      <c r="CB24" s="0" t="s">
        <v>6288</v>
      </c>
      <c r="CD24" s="0" t="s">
        <v>6289</v>
      </c>
      <c r="CF24" s="0" t="s">
        <v>6290</v>
      </c>
      <c r="CG24" s="0" t="s">
        <v>973</v>
      </c>
      <c r="CH24" s="0" t="s">
        <v>6291</v>
      </c>
      <c r="CJ24" s="0" t="s">
        <v>5606</v>
      </c>
      <c r="CK24" s="0" t="s">
        <v>200</v>
      </c>
      <c r="CM24" s="0" t="s">
        <v>201</v>
      </c>
      <c r="CN24" s="0" t="s">
        <v>6292</v>
      </c>
      <c r="CO24" s="0" t="s">
        <v>6275</v>
      </c>
      <c r="CP24" s="0" t="s">
        <v>5608</v>
      </c>
      <c r="CQ24" s="0" t="s">
        <v>5609</v>
      </c>
      <c r="CR24" s="0" t="s">
        <v>6293</v>
      </c>
      <c r="CS24" s="0" t="s">
        <v>6294</v>
      </c>
      <c r="CT24" s="0" t="s">
        <v>352</v>
      </c>
      <c r="CU24" s="0" t="s">
        <v>6295</v>
      </c>
      <c r="CV24" s="0" t="s">
        <v>164</v>
      </c>
      <c r="CW24" s="0" t="s">
        <v>164</v>
      </c>
      <c r="CX24" s="0" t="s">
        <v>209</v>
      </c>
      <c r="CZ24" s="0" t="s">
        <v>209</v>
      </c>
      <c r="DA24" s="0" t="s">
        <v>189</v>
      </c>
      <c r="DB24" s="0" t="s">
        <v>189</v>
      </c>
      <c r="DD24" s="0" t="n">
        <v>0</v>
      </c>
      <c r="DE24" s="0" t="s">
        <v>164</v>
      </c>
      <c r="DF24" s="0" t="n">
        <v>3</v>
      </c>
      <c r="DG24" s="0" t="s">
        <v>5686</v>
      </c>
      <c r="DI24" s="0" t="s">
        <v>6296</v>
      </c>
      <c r="DJ24" s="0" t="s">
        <v>6297</v>
      </c>
      <c r="DK24" s="0" t="s">
        <v>5617</v>
      </c>
      <c r="DL24" s="0" t="n">
        <v>288</v>
      </c>
      <c r="DN24" s="0" t="n">
        <v>60</v>
      </c>
      <c r="DO24" s="0" t="n">
        <v>25</v>
      </c>
      <c r="DP24" s="0" t="n">
        <v>20</v>
      </c>
      <c r="DQ24" s="0" t="n">
        <v>8</v>
      </c>
      <c r="DR24" s="0" t="n">
        <v>5</v>
      </c>
      <c r="DS24" s="0" t="n">
        <v>8</v>
      </c>
      <c r="DT24" s="0" t="n">
        <v>6</v>
      </c>
      <c r="DU24" s="0" t="n">
        <f aca="false">IF($A24="","",IF(R24="Y",10,0))</f>
        <v>0</v>
      </c>
      <c r="DV24" s="0" t="n">
        <v>-12</v>
      </c>
      <c r="DW24" s="0" t="s">
        <v>6298</v>
      </c>
      <c r="DX24" s="0" t="s">
        <v>5691</v>
      </c>
      <c r="DY24" s="0" t="s">
        <v>6299</v>
      </c>
      <c r="DZ24" s="0" t="s">
        <v>6300</v>
      </c>
      <c r="EA24" s="0" t="s">
        <v>6301</v>
      </c>
      <c r="EV24" s="0" t="str">
        <f aca="false">IF($A24="","",IF(ISNUMBER(MATCH(U24,{"queued","contacted","replied","call_booked","call_done","yes_in_principle","materials_sent"},0)),"Y","N"))</f>
        <v>N</v>
      </c>
      <c r="EW24" s="0" t="str">
        <f aca="false">IF($A24="","",IF(OR(T24="Y",U24="do_not_contact",AQ24&amp;""&lt;&gt;""),"Y","N"))</f>
        <v>N</v>
      </c>
      <c r="EX24" s="0" t="str">
        <f aca="false">IF($A24="","",IF(AN24&amp;""&lt;&gt;"",AN24&amp;"",$A24))</f>
        <v>AB-072</v>
      </c>
      <c r="EY24" s="0" t="str">
        <f aca="false">IF($A24="","",IF(COUNTIFS($EX$2:$EX$1000,EX24,$EV$2:$EV$1000,"Y")+COUNTIFS($EX$2:$EX$1000,EX24,$EW$2:$EW$1000,"Y")&gt;0,"Y","N"))</f>
        <v>N</v>
      </c>
      <c r="EZ24" s="0" t="str">
        <f aca="false">IF($A24="","",IF(AND(U24="new",T24="N",EW24="N",AR24="Y",EY24="N"),"Y","N"))</f>
        <v>N</v>
      </c>
      <c r="FA24" s="0" t="str">
        <f aca="false">IF($A24="","",IF(EZ24&lt;&gt;"Y","N",IF(COUNTIFS($EX$2:$EX$1000,EX24,$EZ$2:$EZ$1000,"Y",$J$2:$J$1000,"&gt;"&amp;J24)+COUNTIFS($EX$2:$EX$1000,EX24,$EZ$2:$EZ$1000,"Y",$J$2:$J$1000,J24,$FG$2:$FG$1000,"&lt;"&amp;FG24)=0,"Y","N")))</f>
        <v>N</v>
      </c>
      <c r="FB24" s="0" t="str">
        <f aca="false">IF($A24="","",IF(AND(EZ24="Y",FA24="Y",Y24&amp;""&lt;&gt;""),IF(Y24&lt;=10,"Y","N"),"N"))</f>
        <v>N</v>
      </c>
      <c r="FC24" s="0" t="str">
        <f aca="false">IF(FB24="Y",Y24,"")</f>
        <v/>
      </c>
      <c r="FD24" s="0" t="str">
        <f aca="false">IF($A24="","",IF(AND(CK24="pass",AU24="Y",AV24&lt;&gt;"Y",U24="new",EW24="N"),"Y","N"))</f>
        <v>Y</v>
      </c>
      <c r="FE24" s="0" t="n">
        <f aca="false">IF(FD24&lt;&gt;"Y","",IF(COUNTIFS($FD$2:$FD$1000,"Y",$J$2:$J$1000,"&gt;"&amp;J24)+COUNTIFS($FD$2:$FD$1000,"Y",$J$2:$J$1000,J24,$FG$2:$FG$1000,"&lt;"&amp;FG24)+1&lt;=30,COUNTIFS($FD$2:$FD$1000,"Y",$J$2:$J$1000,"&gt;"&amp;J24)+COUNTIFS($FD$2:$FD$1000,"Y",$J$2:$J$1000,J24,$FG$2:$FG$1000,"&lt;"&amp;FG24)+1,""))</f>
        <v>6</v>
      </c>
      <c r="FF24" s="0" t="str">
        <f aca="false">IF(AND(_xlfn.ISFORMULA(C24),_xlfn.ISFORMULA(J24)),"Y","N")</f>
        <v>Y</v>
      </c>
      <c r="FG24" s="0" t="n">
        <f aca="false">ROW()-1</f>
        <v>23</v>
      </c>
    </row>
    <row r="25" customFormat="false" ht="15" hidden="false" customHeight="false" outlineLevel="0" collapsed="false">
      <c r="A25" s="0" t="s">
        <v>6302</v>
      </c>
      <c r="B25" s="0" t="s">
        <v>6303</v>
      </c>
      <c r="C25" s="0" t="str">
        <f aca="false">IF($A25="","",IF(AT25="Y",BL25&amp;"",AY25&amp;""))</f>
        <v>Jessica</v>
      </c>
      <c r="D25" s="0" t="str">
        <f aca="false">IF($A25="","",IF(AT25="Y",BM25&amp;"",AZ25&amp;""))</f>
        <v>Kwong</v>
      </c>
      <c r="E25" s="0" t="str">
        <f aca="false">IF($A25="","",IF(AT25="Y",BN25&amp;"",BA25&amp;""))</f>
        <v>Founder and CEO</v>
      </c>
      <c r="F25" s="0" t="str">
        <f aca="false">IF($A25="","",IF(AT25="Y",BO25&amp;"",BB25&amp;""))</f>
        <v/>
      </c>
      <c r="G25" s="0" t="str">
        <f aca="false">IF($A25="","",IF(AT25="Y",BP25&amp;"",BC25&amp;""))</f>
        <v/>
      </c>
      <c r="H25" s="0" t="str">
        <f aca="false">IF($A25="","",IF(AT25="Y",BQ25&amp;"",BD25&amp;""))</f>
        <v>none</v>
      </c>
      <c r="I25" s="0" t="str">
        <f aca="false">IF($A25="","",IF(R25="Y","warm-intro",IF(H25="verified","email",IF(C25&lt;&gt;"","linkedin",CA25&amp;""))))</f>
        <v>linkedin</v>
      </c>
      <c r="J25" s="0" t="n">
        <f aca="false">IF($A25="","",IF(CK25="pass",ROUND(N(DO25)+N(DP25)+N(DQ25)+N(DR25)+N(DS25)+N(DT25)+N(DU25)+N(DV25),0),0))</f>
        <v>60</v>
      </c>
      <c r="K25" s="0" t="str">
        <f aca="false">IF($A25="","",IF(CK25&lt;&gt;"pass",BY25&amp;"",BY25&amp;", "&amp;IF(AT25="Y",BX25&amp;"",BK25&amp;"")&amp;BZ25&amp;IF(R25="Y","; known to the founder (+10)","")&amp;"."))</f>
        <v>New York City brand, store page shows Whole Foods Market NoMad inside the cluster, no dated why-now in the last 12 months, revenue unknown, contact named; founder review: nutrient-claim.</v>
      </c>
      <c r="M25" s="0" t="s">
        <v>5572</v>
      </c>
      <c r="N25" s="0" t="s">
        <v>5573</v>
      </c>
      <c r="R25" s="5" t="s">
        <v>189</v>
      </c>
      <c r="S25" s="0" t="s">
        <v>209</v>
      </c>
      <c r="T25" s="5" t="s">
        <v>189</v>
      </c>
      <c r="U25" s="5" t="s">
        <v>3896</v>
      </c>
      <c r="V25" s="0" t="s">
        <v>6304</v>
      </c>
      <c r="W25" s="0" t="s">
        <v>263</v>
      </c>
      <c r="X25" s="0" t="s">
        <v>5578</v>
      </c>
      <c r="Y25" s="0" t="n">
        <f aca="false">IF(FA25&lt;&gt;"Y","",COUNTIFS($FA$2:$FA$1000,"Y",$J$2:$J$1000,"&gt;"&amp;J25)+COUNTIFS($FA$2:$FA$1000,"Y",$J$2:$J$1000,J25,$FG$2:$FG$1000,"&lt;"&amp;FG25)+1)</f>
        <v>16</v>
      </c>
      <c r="Z25" s="0" t="n">
        <v>24</v>
      </c>
      <c r="AA25" s="0" t="s">
        <v>164</v>
      </c>
      <c r="AB25" s="0" t="str">
        <f aca="false">IF($A25="","",IF(AT25="Y",BW25&amp;"",BJ25&amp;""))</f>
        <v>find Jessica Kwong at Jack &amp; Friends on LinkedIn and paste the profile URL into primary_linkedin_url; use the Whole Foods Market NoMad line only if retailer_checked_date is this week's Friday check</v>
      </c>
      <c r="AC25" s="0" t="str">
        <f aca="false">IF($A25="","",IF(AT25="Y",BR25&amp;"",BE25&amp;""))</f>
        <v>founder</v>
      </c>
      <c r="AD25" s="0" t="str">
        <f aca="false">IF($A25="","",IF(AT25="Y",BS25&amp;"",BF25&amp;""))</f>
        <v>verified-page</v>
      </c>
      <c r="AE25" s="0" t="str">
        <f aca="false">IF($A25="","",IF(AT25="Y",BT25&amp;"",BG25&amp;""))</f>
        <v>employer's own site</v>
      </c>
      <c r="AF25" s="0" t="str">
        <f aca="false">IF($A25="","",IF(AT25="Y",BU25&amp;"",BH25&amp;""))</f>
        <v>https://jackandfriendsjerky.com/pages/about</v>
      </c>
      <c r="AG25" s="0" t="str">
        <f aca="false">IF($A25="","",IF(AT25="Y",BV25&amp;"",BI25&amp;""))</f>
        <v>2026-10-24</v>
      </c>
      <c r="AH25" s="0" t="s">
        <v>6305</v>
      </c>
      <c r="AI25" s="0" t="s">
        <v>6306</v>
      </c>
      <c r="AJ25" s="0" t="s">
        <v>259</v>
      </c>
      <c r="AL25" s="0" t="s">
        <v>164</v>
      </c>
      <c r="AM25" s="0" t="s">
        <v>6307</v>
      </c>
      <c r="AN25" s="0" t="s">
        <v>6302</v>
      </c>
      <c r="AO25" s="5" t="s">
        <v>189</v>
      </c>
      <c r="AR25" s="0" t="str">
        <f aca="false">IF($A25="","",IF(AND(CK25="pass",AO25&lt;&gt;"Y",C25&lt;&gt;"",OR(AU25&lt;&gt;"Y",AV25="Y")),"Y","N"))</f>
        <v>Y</v>
      </c>
      <c r="AS25" s="0" t="str">
        <f aca="false">IF($A25="","",_xlfn.TEXTJOIN("; ",TRUE(),IF(CK25&lt;&gt;"pass","gated out",""),IF(AO25="Y","on hold: "&amp;AP25,""),IF(C25="","no contact named on an opened page",""),IF(AND(AU25="Y",AV25&lt;&gt;"Y"),"founder review pending (Founder review tab)","")))</f>
        <v/>
      </c>
      <c r="AU25" s="0" t="s">
        <v>189</v>
      </c>
      <c r="AX25" s="0" t="s">
        <v>6308</v>
      </c>
      <c r="AY25" s="0" t="s">
        <v>860</v>
      </c>
      <c r="AZ25" s="0" t="s">
        <v>6309</v>
      </c>
      <c r="BA25" s="0" t="s">
        <v>5670</v>
      </c>
      <c r="BC25" s="0" t="str">
        <f aca="false">IF($A25="","",IFERROR(INDEX(Enrichment!$A$2:$GZ$2000,MATCH($A25,INDEX(Enrichment!$A$2:$GZ$2000,0,MATCH("row_id",Enrichment!$A$1:$GZ$1,0)),0),MATCH("work_email",Enrichment!$A$1:$GZ$1,0))&amp;"",""))</f>
        <v/>
      </c>
      <c r="BD25" s="0" t="str">
        <f aca="false">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none</v>
      </c>
      <c r="BE25" s="0" t="s">
        <v>5589</v>
      </c>
      <c r="BF25" s="0" t="s">
        <v>169</v>
      </c>
      <c r="BG25" s="0" t="s">
        <v>170</v>
      </c>
      <c r="BH25" s="0" t="s">
        <v>6310</v>
      </c>
      <c r="BI25" s="0" t="s">
        <v>172</v>
      </c>
      <c r="BJ25" s="0" t="s">
        <v>6311</v>
      </c>
      <c r="BK25" s="0" t="s">
        <v>5643</v>
      </c>
      <c r="BP25" s="0" t="str">
        <f aca="false">IF($A25="","",IFERROR(INDEX(Enrichment!$A$2:$GZ$2000,MATCH($A25,INDEX(Enrichment!$A$2:$GZ$2000,0,MATCH("row_id",Enrichment!$A$1:$GZ$1,0)),0),MATCH("backup_work_email",Enrichment!$A$1:$GZ$1,0))&amp;"",""))</f>
        <v/>
      </c>
      <c r="BQ25" s="0" t="str">
        <f aca="false">IF($A25="","",IF(BP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none</v>
      </c>
      <c r="BS25" s="0" t="s">
        <v>380</v>
      </c>
      <c r="BW25" s="0" t="s">
        <v>5741</v>
      </c>
      <c r="BX25" s="0" t="s">
        <v>388</v>
      </c>
      <c r="BY25" s="0" t="s">
        <v>5959</v>
      </c>
      <c r="BZ25" s="0" t="s">
        <v>5601</v>
      </c>
      <c r="CB25" s="0" t="s">
        <v>6312</v>
      </c>
      <c r="CC25" s="0" t="s">
        <v>6313</v>
      </c>
      <c r="CD25" s="0" t="s">
        <v>6314</v>
      </c>
      <c r="CJ25" s="0" t="s">
        <v>5606</v>
      </c>
      <c r="CK25" s="0" t="s">
        <v>200</v>
      </c>
      <c r="CM25" s="0" t="s">
        <v>201</v>
      </c>
      <c r="CN25" s="0" t="s">
        <v>5607</v>
      </c>
      <c r="CO25" s="0" t="s">
        <v>6315</v>
      </c>
      <c r="CP25" s="0" t="s">
        <v>5608</v>
      </c>
      <c r="CQ25" s="0" t="s">
        <v>5609</v>
      </c>
      <c r="CR25" s="0" t="s">
        <v>209</v>
      </c>
      <c r="CT25" s="0" t="s">
        <v>164</v>
      </c>
      <c r="CU25" s="0" t="s">
        <v>6316</v>
      </c>
      <c r="CV25" s="0" t="s">
        <v>164</v>
      </c>
      <c r="CW25" s="0" t="s">
        <v>209</v>
      </c>
      <c r="CX25" s="0" t="s">
        <v>209</v>
      </c>
      <c r="CZ25" s="0" t="s">
        <v>209</v>
      </c>
      <c r="DA25" s="0" t="s">
        <v>189</v>
      </c>
      <c r="DB25" s="0" t="s">
        <v>189</v>
      </c>
      <c r="DD25" s="0" t="n">
        <v>0</v>
      </c>
      <c r="DE25" s="0" t="s">
        <v>164</v>
      </c>
      <c r="DF25" s="0" t="n">
        <v>2</v>
      </c>
      <c r="DG25" s="0" t="s">
        <v>5746</v>
      </c>
      <c r="DI25" s="0" t="s">
        <v>6054</v>
      </c>
      <c r="DJ25" s="0" t="s">
        <v>6317</v>
      </c>
      <c r="DK25" s="0" t="s">
        <v>380</v>
      </c>
      <c r="DN25" s="0" t="n">
        <v>60</v>
      </c>
      <c r="DO25" s="0" t="n">
        <v>25</v>
      </c>
      <c r="DP25" s="0" t="n">
        <v>20</v>
      </c>
      <c r="DQ25" s="0" t="n">
        <v>0</v>
      </c>
      <c r="DR25" s="0" t="n">
        <v>5</v>
      </c>
      <c r="DS25" s="0" t="n">
        <v>8</v>
      </c>
      <c r="DT25" s="0" t="n">
        <v>6</v>
      </c>
      <c r="DU25" s="0" t="n">
        <f aca="false">IF($A25="","",IF(R25="Y",10,0))</f>
        <v>0</v>
      </c>
      <c r="DV25" s="0" t="n">
        <v>-4</v>
      </c>
      <c r="DW25" s="0" t="s">
        <v>209</v>
      </c>
      <c r="DX25" s="0" t="s">
        <v>5814</v>
      </c>
      <c r="DY25" s="0" t="s">
        <v>6318</v>
      </c>
      <c r="DZ25" s="0" t="s">
        <v>6319</v>
      </c>
      <c r="EA25" s="0" t="s">
        <v>6320</v>
      </c>
      <c r="EV25" s="0" t="str">
        <f aca="false">IF($A25="","",IF(ISNUMBER(MATCH(U25,{"queued","contacted","replied","call_booked","call_done","yes_in_principle","materials_sent"},0)),"Y","N"))</f>
        <v>N</v>
      </c>
      <c r="EW25" s="0" t="str">
        <f aca="false">IF($A25="","",IF(OR(T25="Y",U25="do_not_contact",AQ25&amp;""&lt;&gt;""),"Y","N"))</f>
        <v>N</v>
      </c>
      <c r="EX25" s="0" t="str">
        <f aca="false">IF($A25="","",IF(AN25&amp;""&lt;&gt;"",AN25&amp;"",$A25))</f>
        <v>AB-058</v>
      </c>
      <c r="EY25" s="0" t="str">
        <f aca="false">IF($A25="","",IF(COUNTIFS($EX$2:$EX$1000,EX25,$EV$2:$EV$1000,"Y")+COUNTIFS($EX$2:$EX$1000,EX25,$EW$2:$EW$1000,"Y")&gt;0,"Y","N"))</f>
        <v>N</v>
      </c>
      <c r="EZ25" s="0" t="str">
        <f aca="false">IF($A25="","",IF(AND(U25="new",T25="N",EW25="N",AR25="Y",EY25="N"),"Y","N"))</f>
        <v>Y</v>
      </c>
      <c r="FA25" s="0" t="str">
        <f aca="false">IF($A25="","",IF(EZ25&lt;&gt;"Y","N",IF(COUNTIFS($EX$2:$EX$1000,EX25,$EZ$2:$EZ$1000,"Y",$J$2:$J$1000,"&gt;"&amp;J25)+COUNTIFS($EX$2:$EX$1000,EX25,$EZ$2:$EZ$1000,"Y",$J$2:$J$1000,J25,$FG$2:$FG$1000,"&lt;"&amp;FG25)=0,"Y","N")))</f>
        <v>Y</v>
      </c>
      <c r="FB25" s="0" t="str">
        <f aca="false">IF($A25="","",IF(AND(EZ25="Y",FA25="Y",Y25&amp;""&lt;&gt;""),IF(Y25&lt;=10,"Y","N"),"N"))</f>
        <v>N</v>
      </c>
      <c r="FC25" s="0" t="str">
        <f aca="false">IF(FB25="Y",Y25,"")</f>
        <v/>
      </c>
      <c r="FD25" s="0" t="str">
        <f aca="false">IF($A25="","",IF(AND(CK25="pass",AU25="Y",AV25&lt;&gt;"Y",U25="new",EW25="N"),"Y","N"))</f>
        <v>N</v>
      </c>
      <c r="FE25" s="0" t="str">
        <f aca="false">IF(FD25&lt;&gt;"Y","",IF(COUNTIFS($FD$2:$FD$1000,"Y",$J$2:$J$1000,"&gt;"&amp;J25)+COUNTIFS($FD$2:$FD$1000,"Y",$J$2:$J$1000,J25,$FG$2:$FG$1000,"&lt;"&amp;FG25)+1&lt;=30,COUNTIFS($FD$2:$FD$1000,"Y",$J$2:$J$1000,"&gt;"&amp;J25)+COUNTIFS($FD$2:$FD$1000,"Y",$J$2:$J$1000,J25,$FG$2:$FG$1000,"&lt;"&amp;FG25)+1,""))</f>
        <v/>
      </c>
      <c r="FF25" s="0" t="str">
        <f aca="false">IF(AND(_xlfn.ISFORMULA(C25),_xlfn.ISFORMULA(J25)),"Y","N")</f>
        <v>Y</v>
      </c>
      <c r="FG25" s="0" t="n">
        <f aca="false">ROW()-1</f>
        <v>24</v>
      </c>
    </row>
    <row r="26" customFormat="false" ht="15" hidden="false" customHeight="false" outlineLevel="0" collapsed="false">
      <c r="A26" s="0" t="s">
        <v>6321</v>
      </c>
      <c r="B26" s="0" t="s">
        <v>6322</v>
      </c>
      <c r="C26" s="0" t="str">
        <f aca="false">IF($A26="","",IF(AT26="Y",BL26&amp;"",AY26&amp;""))</f>
        <v>Laurel</v>
      </c>
      <c r="D26" s="0" t="str">
        <f aca="false">IF($A26="","",IF(AT26="Y",BM26&amp;"",AZ26&amp;""))</f>
        <v>Orley</v>
      </c>
      <c r="E26" s="0" t="str">
        <f aca="false">IF($A26="","",IF(AT26="Y",BN26&amp;"",BA26&amp;""))</f>
        <v>Co-founder and CEO</v>
      </c>
      <c r="F26" s="0" t="str">
        <f aca="false">IF($A26="","",IF(AT26="Y",BO26&amp;"",BB26&amp;""))</f>
        <v>https://www.linkedin.com/in/laurel-orley/</v>
      </c>
      <c r="G26" s="0" t="str">
        <f aca="false">IF($A26="","",IF(AT26="Y",BP26&amp;"",BC26&amp;""))</f>
        <v/>
      </c>
      <c r="H26" s="0" t="str">
        <f aca="false">IF($A26="","",IF(AT26="Y",BQ26&amp;"",BD26&amp;""))</f>
        <v>none</v>
      </c>
      <c r="I26" s="0" t="str">
        <f aca="false">IF($A26="","",IF(R26="Y","warm-intro",IF(H26="verified","email",IF(C26&lt;&gt;"","linkedin",CA26&amp;""))))</f>
        <v>linkedin</v>
      </c>
      <c r="J26" s="0" t="n">
        <f aca="false">IF($A26="","",IF(CK26="pass",ROUND(N(DO26)+N(DP26)+N(DQ26)+N(DR26)+N(DS26)+N(DT26)+N(DU26)+N(DV26),0),0))</f>
        <v>60</v>
      </c>
      <c r="K26" s="0" t="str">
        <f aca="false">IF($A26="","",IF(CK26&lt;&gt;"pass",BY26&amp;"",BY26&amp;", "&amp;IF(AT26="Y",BX26&amp;"",BK26&amp;"")&amp;BZ26&amp;IF(R26="Y","; known to the founder (+10)","")&amp;"."))</f>
        <v>Brand based outside the Northeast, store page shows Whole Foods Market NoMad inside the cluster, news 5 days ago, revenue unknown, contact named (crowd-listed on The Org); founder review: claim-functional, nutrient-claim.</v>
      </c>
      <c r="M26" s="0" t="s">
        <v>5572</v>
      </c>
      <c r="N26" s="0" t="s">
        <v>5573</v>
      </c>
      <c r="O26" s="0" t="s">
        <v>6323</v>
      </c>
      <c r="P26" s="0" t="s">
        <v>6324</v>
      </c>
      <c r="Q26" s="0" t="s">
        <v>2985</v>
      </c>
      <c r="R26" s="5" t="s">
        <v>189</v>
      </c>
      <c r="S26" s="0" t="s">
        <v>164</v>
      </c>
      <c r="T26" s="5" t="s">
        <v>189</v>
      </c>
      <c r="U26" s="5" t="s">
        <v>3896</v>
      </c>
      <c r="V26" s="0" t="s">
        <v>6325</v>
      </c>
      <c r="W26" s="0" t="s">
        <v>263</v>
      </c>
      <c r="X26" s="0" t="s">
        <v>5578</v>
      </c>
      <c r="Y26" s="0" t="str">
        <f aca="false">IF(FA26&lt;&gt;"Y","",COUNTIFS($FA$2:$FA$1000,"Y",$J$2:$J$1000,"&gt;"&amp;J26)+COUNTIFS($FA$2:$FA$1000,"Y",$J$2:$J$1000,J26,$FG$2:$FG$1000,"&lt;"&amp;FG26)+1)</f>
        <v/>
      </c>
      <c r="Z26" s="0" t="n">
        <v>25</v>
      </c>
      <c r="AA26" s="0" t="s">
        <v>164</v>
      </c>
      <c r="AB26" s="0" t="str">
        <f aca="false">IF($A26="","",IF(AT26="Y",BW26&amp;"",BJ26&amp;""))</f>
        <v>open the LinkedIn URL and confirm it is Laurel Orley, Co-founder and CEO at Daily Crunch (found on another page, never opened); use the Whole Foods Market NoMad line only if retailer_checked_date is this week's Friday check</v>
      </c>
      <c r="AC26" s="0" t="str">
        <f aca="false">IF($A26="","",IF(AT26="Y",BR26&amp;"",BE26&amp;""))</f>
        <v>founder</v>
      </c>
      <c r="AD26" s="0" t="str">
        <f aca="false">IF($A26="","",IF(AT26="Y",BS26&amp;"",BF26&amp;""))</f>
        <v>crowd-listed</v>
      </c>
      <c r="AE26" s="0" t="str">
        <f aca="false">IF($A26="","",IF(AT26="Y",BT26&amp;"",BG26&amp;""))</f>
        <v>The Org (crowd-edited org chart)</v>
      </c>
      <c r="AF26" s="0" t="str">
        <f aca="false">IF($A26="","",IF(AT26="Y",BU26&amp;"",BH26&amp;""))</f>
        <v>https://theorg.com/org/daily-crunch/person/laurel-orley</v>
      </c>
      <c r="AG26" s="0" t="str">
        <f aca="false">IF($A26="","",IF(AT26="Y",BV26&amp;"",BI26&amp;""))</f>
        <v>2026-10-24</v>
      </c>
      <c r="AH26" s="0" t="s">
        <v>6326</v>
      </c>
      <c r="AI26" s="0" t="s">
        <v>6240</v>
      </c>
      <c r="AJ26" s="0" t="s">
        <v>6327</v>
      </c>
      <c r="AK26" s="0" t="s">
        <v>6325</v>
      </c>
      <c r="AL26" s="0" t="s">
        <v>164</v>
      </c>
      <c r="AM26" s="0" t="s">
        <v>6328</v>
      </c>
      <c r="AN26" s="0" t="s">
        <v>6321</v>
      </c>
      <c r="AO26" s="5" t="s">
        <v>189</v>
      </c>
      <c r="AR26" s="0" t="str">
        <f aca="false">IF($A26="","",IF(AND(CK26="pass",AO26&lt;&gt;"Y",C26&lt;&gt;"",OR(AU26&lt;&gt;"Y",AV26="Y")),"Y","N"))</f>
        <v>N</v>
      </c>
      <c r="AS26" s="0" t="str">
        <f aca="false">IF($A26="","",_xlfn.TEXTJOIN("; ",TRUE(),IF(CK26&lt;&gt;"pass","gated out",""),IF(AO26="Y","on hold: "&amp;AP26,""),IF(C26="","no contact named on an opened page",""),IF(AND(AU26="Y",AV26&lt;&gt;"Y"),"founder review pending (Founder review tab)","")))</f>
        <v>founder review pending (Founder review tab)</v>
      </c>
      <c r="AU26" s="0" t="s">
        <v>164</v>
      </c>
      <c r="AX26" s="0" t="s">
        <v>6329</v>
      </c>
      <c r="AY26" s="0" t="s">
        <v>6330</v>
      </c>
      <c r="AZ26" s="0" t="s">
        <v>6331</v>
      </c>
      <c r="BA26" s="0" t="s">
        <v>5830</v>
      </c>
      <c r="BB26" s="0" t="s">
        <v>6332</v>
      </c>
      <c r="BC26" s="0" t="str">
        <f aca="false">IF($A26="","",IFERROR(INDEX(Enrichment!$A$2:$GZ$2000,MATCH($A26,INDEX(Enrichment!$A$2:$GZ$2000,0,MATCH("row_id",Enrichment!$A$1:$GZ$1,0)),0),MATCH("work_email",Enrichment!$A$1:$GZ$1,0))&amp;"",""))</f>
        <v/>
      </c>
      <c r="BD26" s="0" t="str">
        <f aca="false">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none</v>
      </c>
      <c r="BE26" s="0" t="s">
        <v>5589</v>
      </c>
      <c r="BF26" s="0" t="s">
        <v>283</v>
      </c>
      <c r="BG26" s="0" t="s">
        <v>284</v>
      </c>
      <c r="BH26" s="0" t="s">
        <v>6333</v>
      </c>
      <c r="BI26" s="0" t="s">
        <v>172</v>
      </c>
      <c r="BJ26" s="0" t="s">
        <v>6334</v>
      </c>
      <c r="BK26" s="0" t="s">
        <v>5599</v>
      </c>
      <c r="BL26" s="0" t="s">
        <v>6335</v>
      </c>
      <c r="BM26" s="0" t="s">
        <v>209</v>
      </c>
      <c r="BN26" s="0" t="s">
        <v>5636</v>
      </c>
      <c r="BP26" s="0" t="str">
        <f aca="false">IF($A26="","",IFERROR(INDEX(Enrichment!$A$2:$GZ$2000,MATCH($A26,INDEX(Enrichment!$A$2:$GZ$2000,0,MATCH("row_id",Enrichment!$A$1:$GZ$1,0)),0),MATCH("backup_work_email",Enrichment!$A$1:$GZ$1,0))&amp;"",""))</f>
        <v/>
      </c>
      <c r="BQ26" s="0" t="str">
        <f aca="false">IF($A26="","",IF(BP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none</v>
      </c>
      <c r="BR26" s="0" t="s">
        <v>5712</v>
      </c>
      <c r="BS26" s="0" t="s">
        <v>5896</v>
      </c>
      <c r="BT26" s="0" t="s">
        <v>170</v>
      </c>
      <c r="BU26" s="0" t="s">
        <v>6336</v>
      </c>
      <c r="BV26" s="0" t="s">
        <v>172</v>
      </c>
      <c r="BW26" s="0" t="s">
        <v>6337</v>
      </c>
      <c r="BX26" s="0" t="s">
        <v>5898</v>
      </c>
      <c r="BY26" s="0" t="s">
        <v>6338</v>
      </c>
      <c r="BZ26" s="0" t="s">
        <v>6050</v>
      </c>
      <c r="CB26" s="0" t="s">
        <v>6339</v>
      </c>
      <c r="CC26" s="0" t="s">
        <v>6340</v>
      </c>
      <c r="CD26" s="0" t="s">
        <v>6341</v>
      </c>
      <c r="CE26" s="0" t="s">
        <v>244</v>
      </c>
      <c r="CF26" s="0" t="s">
        <v>6335</v>
      </c>
      <c r="CH26" s="0" t="s">
        <v>6342</v>
      </c>
      <c r="CJ26" s="0" t="s">
        <v>5606</v>
      </c>
      <c r="CK26" s="0" t="s">
        <v>200</v>
      </c>
      <c r="CM26" s="0" t="s">
        <v>201</v>
      </c>
      <c r="CN26" s="0" t="s">
        <v>6051</v>
      </c>
      <c r="CO26" s="0" t="s">
        <v>6325</v>
      </c>
      <c r="CP26" s="0" t="s">
        <v>6343</v>
      </c>
      <c r="CQ26" s="0" t="s">
        <v>6198</v>
      </c>
      <c r="CR26" s="0" t="s">
        <v>209</v>
      </c>
      <c r="CT26" s="0" t="s">
        <v>164</v>
      </c>
      <c r="CU26" s="0" t="s">
        <v>6344</v>
      </c>
      <c r="CV26" s="0" t="s">
        <v>164</v>
      </c>
      <c r="CW26" s="0" t="s">
        <v>164</v>
      </c>
      <c r="CX26" s="0" t="s">
        <v>209</v>
      </c>
      <c r="CZ26" s="0" t="s">
        <v>209</v>
      </c>
      <c r="DA26" s="0" t="s">
        <v>189</v>
      </c>
      <c r="DB26" s="0" t="s">
        <v>189</v>
      </c>
      <c r="DD26" s="0" t="n">
        <v>0</v>
      </c>
      <c r="DE26" s="0" t="s">
        <v>164</v>
      </c>
      <c r="DF26" s="0" t="n">
        <v>2</v>
      </c>
      <c r="DG26" s="0" t="s">
        <v>5746</v>
      </c>
      <c r="DI26" s="0" t="s">
        <v>6054</v>
      </c>
      <c r="DJ26" s="0" t="s">
        <v>6345</v>
      </c>
      <c r="DK26" s="0" t="s">
        <v>5617</v>
      </c>
      <c r="DL26" s="0" t="n">
        <v>5</v>
      </c>
      <c r="DM26" s="0" t="s">
        <v>6346</v>
      </c>
      <c r="DN26" s="0" t="n">
        <v>60</v>
      </c>
      <c r="DO26" s="0" t="n">
        <v>25</v>
      </c>
      <c r="DP26" s="0" t="n">
        <v>3</v>
      </c>
      <c r="DQ26" s="0" t="n">
        <v>15</v>
      </c>
      <c r="DR26" s="0" t="n">
        <v>5</v>
      </c>
      <c r="DS26" s="0" t="n">
        <v>10</v>
      </c>
      <c r="DT26" s="0" t="n">
        <v>6</v>
      </c>
      <c r="DU26" s="0" t="n">
        <f aca="false">IF($A26="","",IF(R26="Y",10,0))</f>
        <v>0</v>
      </c>
      <c r="DV26" s="0" t="n">
        <v>-4</v>
      </c>
      <c r="DW26" s="0" t="s">
        <v>209</v>
      </c>
      <c r="DX26" s="0" t="s">
        <v>5814</v>
      </c>
      <c r="DY26" s="0" t="s">
        <v>6347</v>
      </c>
      <c r="DZ26" s="0" t="s">
        <v>6348</v>
      </c>
      <c r="EA26" s="0" t="s">
        <v>6349</v>
      </c>
      <c r="EV26" s="0" t="str">
        <f aca="false">IF($A26="","",IF(ISNUMBER(MATCH(U26,{"queued","contacted","replied","call_booked","call_done","yes_in_principle","materials_sent"},0)),"Y","N"))</f>
        <v>N</v>
      </c>
      <c r="EW26" s="0" t="str">
        <f aca="false">IF($A26="","",IF(OR(T26="Y",U26="do_not_contact",AQ26&amp;""&lt;&gt;""),"Y","N"))</f>
        <v>N</v>
      </c>
      <c r="EX26" s="0" t="str">
        <f aca="false">IF($A26="","",IF(AN26&amp;""&lt;&gt;"",AN26&amp;"",$A26))</f>
        <v>AB-004</v>
      </c>
      <c r="EY26" s="0" t="str">
        <f aca="false">IF($A26="","",IF(COUNTIFS($EX$2:$EX$1000,EX26,$EV$2:$EV$1000,"Y")+COUNTIFS($EX$2:$EX$1000,EX26,$EW$2:$EW$1000,"Y")&gt;0,"Y","N"))</f>
        <v>N</v>
      </c>
      <c r="EZ26" s="0" t="str">
        <f aca="false">IF($A26="","",IF(AND(U26="new",T26="N",EW26="N",AR26="Y",EY26="N"),"Y","N"))</f>
        <v>N</v>
      </c>
      <c r="FA26" s="0" t="str">
        <f aca="false">IF($A26="","",IF(EZ26&lt;&gt;"Y","N",IF(COUNTIFS($EX$2:$EX$1000,EX26,$EZ$2:$EZ$1000,"Y",$J$2:$J$1000,"&gt;"&amp;J26)+COUNTIFS($EX$2:$EX$1000,EX26,$EZ$2:$EZ$1000,"Y",$J$2:$J$1000,J26,$FG$2:$FG$1000,"&lt;"&amp;FG26)=0,"Y","N")))</f>
        <v>N</v>
      </c>
      <c r="FB26" s="0" t="str">
        <f aca="false">IF($A26="","",IF(AND(EZ26="Y",FA26="Y",Y26&amp;""&lt;&gt;""),IF(Y26&lt;=10,"Y","N"),"N"))</f>
        <v>N</v>
      </c>
      <c r="FC26" s="0" t="str">
        <f aca="false">IF(FB26="Y",Y26,"")</f>
        <v/>
      </c>
      <c r="FD26" s="0" t="str">
        <f aca="false">IF($A26="","",IF(AND(CK26="pass",AU26="Y",AV26&lt;&gt;"Y",U26="new",EW26="N"),"Y","N"))</f>
        <v>Y</v>
      </c>
      <c r="FE26" s="0" t="n">
        <f aca="false">IF(FD26&lt;&gt;"Y","",IF(COUNTIFS($FD$2:$FD$1000,"Y",$J$2:$J$1000,"&gt;"&amp;J26)+COUNTIFS($FD$2:$FD$1000,"Y",$J$2:$J$1000,J26,$FG$2:$FG$1000,"&lt;"&amp;FG26)+1&lt;=30,COUNTIFS($FD$2:$FD$1000,"Y",$J$2:$J$1000,"&gt;"&amp;J26)+COUNTIFS($FD$2:$FD$1000,"Y",$J$2:$J$1000,J26,$FG$2:$FG$1000,"&lt;"&amp;FG26)+1,""))</f>
        <v>7</v>
      </c>
      <c r="FF26" s="0" t="str">
        <f aca="false">IF(AND(_xlfn.ISFORMULA(C26),_xlfn.ISFORMULA(J26)),"Y","N")</f>
        <v>Y</v>
      </c>
      <c r="FG26" s="0" t="n">
        <f aca="false">ROW()-1</f>
        <v>25</v>
      </c>
    </row>
    <row r="27" customFormat="false" ht="15" hidden="false" customHeight="false" outlineLevel="0" collapsed="false">
      <c r="A27" s="0" t="s">
        <v>6350</v>
      </c>
      <c r="B27" s="0" t="s">
        <v>6351</v>
      </c>
      <c r="C27" s="0" t="str">
        <f aca="false">IF($A27="","",IF(AT27="Y",BL27&amp;"",AY27&amp;""))</f>
        <v>Gabi</v>
      </c>
      <c r="D27" s="0" t="str">
        <f aca="false">IF($A27="","",IF(AT27="Y",BM27&amp;"",AZ27&amp;""))</f>
        <v>Lewis</v>
      </c>
      <c r="E27" s="0" t="str">
        <f aca="false">IF($A27="","",IF(AT27="Y",BN27&amp;"",BA27&amp;""))</f>
        <v>Co-founder</v>
      </c>
      <c r="F27" s="0" t="str">
        <f aca="false">IF($A27="","",IF(AT27="Y",BO27&amp;"",BB27&amp;""))</f>
        <v>https://www.linkedin.com/in/gabi-lewis-88483447/</v>
      </c>
      <c r="G27" s="0" t="str">
        <f aca="false">IF($A27="","",IF(AT27="Y",BP27&amp;"",BC27&amp;""))</f>
        <v/>
      </c>
      <c r="H27" s="0" t="str">
        <f aca="false">IF($A27="","",IF(AT27="Y",BQ27&amp;"",BD27&amp;""))</f>
        <v>none</v>
      </c>
      <c r="I27" s="0" t="str">
        <f aca="false">IF($A27="","",IF(R27="Y","warm-intro",IF(H27="verified","email",IF(C27&lt;&gt;"","linkedin",CA27&amp;""))))</f>
        <v>linkedin</v>
      </c>
      <c r="J27" s="0" t="n">
        <f aca="false">IF($A27="","",IF(CK27="pass",ROUND(N(DO27)+N(DP27)+N(DQ27)+N(DR27)+N(DS27)+N(DT27)+N(DU27)+N(DV27),0),0))</f>
        <v>60</v>
      </c>
      <c r="K27" s="0" t="str">
        <f aca="false">IF($A27="","",IF(CK27&lt;&gt;"pass",BY27&amp;"",BY27&amp;", "&amp;IF(AT27="Y",BX27&amp;"",BK27&amp;"")&amp;BZ27&amp;IF(R27="Y","; known to the founder (+10)","")&amp;"."))</f>
        <v>New York City brand, store page shows Whole Foods Market NoMad inside the cluster, a new store listing 59 days ago, revenue unknown, contact named (crowd-listed on The Org); founder review: scale, claim-functional, nutrient-claim, format-unconfirmed.</v>
      </c>
      <c r="M27" s="0" t="s">
        <v>5572</v>
      </c>
      <c r="N27" s="0" t="s">
        <v>5573</v>
      </c>
      <c r="O27" s="0" t="s">
        <v>6352</v>
      </c>
      <c r="P27" s="0" t="s">
        <v>6353</v>
      </c>
      <c r="Q27" s="0" t="s">
        <v>1153</v>
      </c>
      <c r="R27" s="5" t="s">
        <v>189</v>
      </c>
      <c r="S27" s="0" t="s">
        <v>209</v>
      </c>
      <c r="T27" s="5" t="s">
        <v>189</v>
      </c>
      <c r="U27" s="5" t="s">
        <v>3896</v>
      </c>
      <c r="V27" s="0" t="s">
        <v>6354</v>
      </c>
      <c r="W27" s="0" t="s">
        <v>263</v>
      </c>
      <c r="X27" s="0" t="s">
        <v>5578</v>
      </c>
      <c r="Y27" s="0" t="str">
        <f aca="false">IF(FA27&lt;&gt;"Y","",COUNTIFS($FA$2:$FA$1000,"Y",$J$2:$J$1000,"&gt;"&amp;J27)+COUNTIFS($FA$2:$FA$1000,"Y",$J$2:$J$1000,J27,$FG$2:$FG$1000,"&lt;"&amp;FG27)+1)</f>
        <v/>
      </c>
      <c r="Z27" s="0" t="n">
        <v>26</v>
      </c>
      <c r="AA27" s="0" t="s">
        <v>164</v>
      </c>
      <c r="AB27" s="0" t="str">
        <f aca="false">IF($A27="","",IF(AT27="Y",BW27&amp;"",BJ27&amp;""))</f>
        <v>open the LinkedIn URL and confirm it is Gabi Lewis, Co-founder at Magic Spoon (found on another page, never opened); use the Whole Foods Market NoMad line only if retailer_checked_date is this week's Friday check</v>
      </c>
      <c r="AC27" s="0" t="str">
        <f aca="false">IF($A27="","",IF(AT27="Y",BR27&amp;"",BE27&amp;""))</f>
        <v>founder</v>
      </c>
      <c r="AD27" s="0" t="str">
        <f aca="false">IF($A27="","",IF(AT27="Y",BS27&amp;"",BF27&amp;""))</f>
        <v>crowd-listed</v>
      </c>
      <c r="AE27" s="0" t="str">
        <f aca="false">IF($A27="","",IF(AT27="Y",BT27&amp;"",BG27&amp;""))</f>
        <v>The Org (crowd-edited org chart)</v>
      </c>
      <c r="AF27" s="0" t="str">
        <f aca="false">IF($A27="","",IF(AT27="Y",BU27&amp;"",BH27&amp;""))</f>
        <v>https://theorg.com/org/magic-spoon/person/gabi-lewis</v>
      </c>
      <c r="AG27" s="0" t="str">
        <f aca="false">IF($A27="","",IF(AT27="Y",BV27&amp;"",BI27&amp;""))</f>
        <v>2026-10-24</v>
      </c>
      <c r="AH27" s="0" t="s">
        <v>6355</v>
      </c>
      <c r="AI27" s="0" t="s">
        <v>6007</v>
      </c>
      <c r="AJ27" s="0" t="s">
        <v>259</v>
      </c>
      <c r="AK27" s="0" t="s">
        <v>6356</v>
      </c>
      <c r="AL27" s="0" t="s">
        <v>164</v>
      </c>
      <c r="AM27" s="0" t="s">
        <v>6357</v>
      </c>
      <c r="AN27" s="0" t="s">
        <v>6350</v>
      </c>
      <c r="AO27" s="5" t="s">
        <v>189</v>
      </c>
      <c r="AR27" s="0" t="str">
        <f aca="false">IF($A27="","",IF(AND(CK27="pass",AO27&lt;&gt;"Y",C27&lt;&gt;"",OR(AU27&lt;&gt;"Y",AV27="Y")),"Y","N"))</f>
        <v>N</v>
      </c>
      <c r="AS27" s="0" t="str">
        <f aca="false">IF($A27="","",_xlfn.TEXTJOIN("; ",TRUE(),IF(CK27&lt;&gt;"pass","gated out",""),IF(AO27="Y","on hold: "&amp;AP27,""),IF(C27="","no contact named on an opened page",""),IF(AND(AU27="Y",AV27&lt;&gt;"Y"),"founder review pending (Founder review tab)","")))</f>
        <v>founder review pending (Founder review tab)</v>
      </c>
      <c r="AU27" s="0" t="s">
        <v>164</v>
      </c>
      <c r="AX27" s="0" t="s">
        <v>6358</v>
      </c>
      <c r="AY27" s="0" t="s">
        <v>6359</v>
      </c>
      <c r="AZ27" s="0" t="s">
        <v>6360</v>
      </c>
      <c r="BA27" s="0" t="s">
        <v>5636</v>
      </c>
      <c r="BB27" s="0" t="s">
        <v>6361</v>
      </c>
      <c r="BC27" s="0" t="str">
        <f aca="false">IF($A27="","",IFERROR(INDEX(Enrichment!$A$2:$GZ$2000,MATCH($A27,INDEX(Enrichment!$A$2:$GZ$2000,0,MATCH("row_id",Enrichment!$A$1:$GZ$1,0)),0),MATCH("work_email",Enrichment!$A$1:$GZ$1,0))&amp;"",""))</f>
        <v/>
      </c>
      <c r="BD27" s="0" t="str">
        <f aca="false">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none</v>
      </c>
      <c r="BE27" s="0" t="s">
        <v>5589</v>
      </c>
      <c r="BF27" s="0" t="s">
        <v>283</v>
      </c>
      <c r="BG27" s="0" t="s">
        <v>284</v>
      </c>
      <c r="BH27" s="0" t="s">
        <v>6362</v>
      </c>
      <c r="BI27" s="0" t="s">
        <v>172</v>
      </c>
      <c r="BJ27" s="0" t="s">
        <v>6363</v>
      </c>
      <c r="BK27" s="0" t="s">
        <v>5599</v>
      </c>
      <c r="BO27" s="0" t="s">
        <v>6364</v>
      </c>
      <c r="BP27" s="0" t="str">
        <f aca="false">IF($A27="","",IFERROR(INDEX(Enrichment!$A$2:$GZ$2000,MATCH($A27,INDEX(Enrichment!$A$2:$GZ$2000,0,MATCH("row_id",Enrichment!$A$1:$GZ$1,0)),0),MATCH("backup_work_email",Enrichment!$A$1:$GZ$1,0))&amp;"",""))</f>
        <v/>
      </c>
      <c r="BQ27" s="0" t="str">
        <f aca="false">IF($A27="","",IF(BP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none</v>
      </c>
      <c r="BR27" s="0" t="s">
        <v>5596</v>
      </c>
      <c r="BS27" s="0" t="s">
        <v>740</v>
      </c>
      <c r="BT27" s="0" t="s">
        <v>741</v>
      </c>
      <c r="BU27" s="0" t="s">
        <v>6364</v>
      </c>
      <c r="BV27" s="0" t="s">
        <v>172</v>
      </c>
      <c r="BW27" s="0" t="s">
        <v>5741</v>
      </c>
      <c r="BX27" s="0" t="s">
        <v>5834</v>
      </c>
      <c r="BY27" s="0" t="s">
        <v>6365</v>
      </c>
      <c r="BZ27" s="0" t="s">
        <v>6366</v>
      </c>
      <c r="CB27" s="0" t="s">
        <v>6367</v>
      </c>
      <c r="CC27" s="0" t="s">
        <v>603</v>
      </c>
      <c r="CD27" s="0" t="s">
        <v>6368</v>
      </c>
      <c r="CE27" s="0" t="s">
        <v>244</v>
      </c>
      <c r="CF27" s="0" t="s">
        <v>6369</v>
      </c>
      <c r="CH27" s="0" t="s">
        <v>6370</v>
      </c>
      <c r="CI27" s="0" t="s">
        <v>244</v>
      </c>
      <c r="CJ27" s="0" t="s">
        <v>5606</v>
      </c>
      <c r="CK27" s="0" t="s">
        <v>200</v>
      </c>
      <c r="CM27" s="0" t="s">
        <v>201</v>
      </c>
      <c r="CN27" s="0" t="s">
        <v>6371</v>
      </c>
      <c r="CO27" s="0" t="s">
        <v>6356</v>
      </c>
      <c r="CP27" s="0" t="s">
        <v>5608</v>
      </c>
      <c r="CQ27" s="0" t="s">
        <v>5609</v>
      </c>
      <c r="CR27" s="0" t="s">
        <v>209</v>
      </c>
      <c r="CT27" s="0" t="s">
        <v>352</v>
      </c>
      <c r="CU27" s="0" t="s">
        <v>6372</v>
      </c>
      <c r="CV27" s="0" t="s">
        <v>209</v>
      </c>
      <c r="CW27" s="0" t="s">
        <v>164</v>
      </c>
      <c r="CX27" s="0" t="s">
        <v>209</v>
      </c>
      <c r="CZ27" s="0" t="s">
        <v>209</v>
      </c>
      <c r="DA27" s="0" t="s">
        <v>189</v>
      </c>
      <c r="DB27" s="0" t="s">
        <v>189</v>
      </c>
      <c r="DD27" s="0" t="n">
        <v>0</v>
      </c>
      <c r="DE27" s="0" t="s">
        <v>164</v>
      </c>
      <c r="DF27" s="0" t="n">
        <v>3</v>
      </c>
      <c r="DG27" s="0" t="s">
        <v>5686</v>
      </c>
      <c r="DI27" s="0" t="s">
        <v>6373</v>
      </c>
      <c r="DJ27" s="0" t="s">
        <v>6374</v>
      </c>
      <c r="DK27" s="0" t="s">
        <v>5689</v>
      </c>
      <c r="DL27" s="0" t="n">
        <v>59</v>
      </c>
      <c r="DN27" s="0" t="n">
        <v>60</v>
      </c>
      <c r="DO27" s="0" t="n">
        <v>25</v>
      </c>
      <c r="DP27" s="0" t="n">
        <v>20</v>
      </c>
      <c r="DQ27" s="0" t="n">
        <v>8</v>
      </c>
      <c r="DR27" s="0" t="n">
        <v>5</v>
      </c>
      <c r="DS27" s="0" t="n">
        <v>6</v>
      </c>
      <c r="DT27" s="0" t="n">
        <v>8</v>
      </c>
      <c r="DU27" s="0" t="n">
        <f aca="false">IF($A27="","",IF(R27="Y",10,0))</f>
        <v>0</v>
      </c>
      <c r="DV27" s="0" t="n">
        <v>-12</v>
      </c>
      <c r="DW27" s="0" t="s">
        <v>6375</v>
      </c>
      <c r="DX27" s="0" t="s">
        <v>5691</v>
      </c>
      <c r="DY27" s="0" t="s">
        <v>6376</v>
      </c>
      <c r="DZ27" s="0" t="s">
        <v>6377</v>
      </c>
      <c r="EA27" s="0" t="s">
        <v>6378</v>
      </c>
      <c r="EV27" s="0" t="str">
        <f aca="false">IF($A27="","",IF(ISNUMBER(MATCH(U27,{"queued","contacted","replied","call_booked","call_done","yes_in_principle","materials_sent"},0)),"Y","N"))</f>
        <v>N</v>
      </c>
      <c r="EW27" s="0" t="str">
        <f aca="false">IF($A27="","",IF(OR(T27="Y",U27="do_not_contact",AQ27&amp;""&lt;&gt;""),"Y","N"))</f>
        <v>N</v>
      </c>
      <c r="EX27" s="0" t="str">
        <f aca="false">IF($A27="","",IF(AN27&amp;""&lt;&gt;"",AN27&amp;"",$A27))</f>
        <v>AB-096</v>
      </c>
      <c r="EY27" s="0" t="str">
        <f aca="false">IF($A27="","",IF(COUNTIFS($EX$2:$EX$1000,EX27,$EV$2:$EV$1000,"Y")+COUNTIFS($EX$2:$EX$1000,EX27,$EW$2:$EW$1000,"Y")&gt;0,"Y","N"))</f>
        <v>N</v>
      </c>
      <c r="EZ27" s="0" t="str">
        <f aca="false">IF($A27="","",IF(AND(U27="new",T27="N",EW27="N",AR27="Y",EY27="N"),"Y","N"))</f>
        <v>N</v>
      </c>
      <c r="FA27" s="0" t="str">
        <f aca="false">IF($A27="","",IF(EZ27&lt;&gt;"Y","N",IF(COUNTIFS($EX$2:$EX$1000,EX27,$EZ$2:$EZ$1000,"Y",$J$2:$J$1000,"&gt;"&amp;J27)+COUNTIFS($EX$2:$EX$1000,EX27,$EZ$2:$EZ$1000,"Y",$J$2:$J$1000,J27,$FG$2:$FG$1000,"&lt;"&amp;FG27)=0,"Y","N")))</f>
        <v>N</v>
      </c>
      <c r="FB27" s="0" t="str">
        <f aca="false">IF($A27="","",IF(AND(EZ27="Y",FA27="Y",Y27&amp;""&lt;&gt;""),IF(Y27&lt;=10,"Y","N"),"N"))</f>
        <v>N</v>
      </c>
      <c r="FC27" s="0" t="str">
        <f aca="false">IF(FB27="Y",Y27,"")</f>
        <v/>
      </c>
      <c r="FD27" s="0" t="str">
        <f aca="false">IF($A27="","",IF(AND(CK27="pass",AU27="Y",AV27&lt;&gt;"Y",U27="new",EW27="N"),"Y","N"))</f>
        <v>Y</v>
      </c>
      <c r="FE27" s="0" t="n">
        <f aca="false">IF(FD27&lt;&gt;"Y","",IF(COUNTIFS($FD$2:$FD$1000,"Y",$J$2:$J$1000,"&gt;"&amp;J27)+COUNTIFS($FD$2:$FD$1000,"Y",$J$2:$J$1000,J27,$FG$2:$FG$1000,"&lt;"&amp;FG27)+1&lt;=30,COUNTIFS($FD$2:$FD$1000,"Y",$J$2:$J$1000,"&gt;"&amp;J27)+COUNTIFS($FD$2:$FD$1000,"Y",$J$2:$J$1000,J27,$FG$2:$FG$1000,"&lt;"&amp;FG27)+1,""))</f>
        <v>8</v>
      </c>
      <c r="FF27" s="0" t="str">
        <f aca="false">IF(AND(_xlfn.ISFORMULA(C27),_xlfn.ISFORMULA(J27)),"Y","N")</f>
        <v>Y</v>
      </c>
      <c r="FG27" s="0" t="n">
        <f aca="false">ROW()-1</f>
        <v>26</v>
      </c>
    </row>
    <row r="28" customFormat="false" ht="15" hidden="false" customHeight="false" outlineLevel="0" collapsed="false">
      <c r="A28" s="0" t="s">
        <v>6379</v>
      </c>
      <c r="B28" s="0" t="s">
        <v>6380</v>
      </c>
      <c r="C28" s="0" t="str">
        <f aca="false">IF($A28="","",IF(AT28="Y",BL28&amp;"",AY28&amp;""))</f>
        <v>Bjorn</v>
      </c>
      <c r="D28" s="0" t="str">
        <f aca="false">IF($A28="","",IF(AT28="Y",BM28&amp;"",AZ28&amp;""))</f>
        <v>Quenemoen</v>
      </c>
      <c r="E28" s="0" t="str">
        <f aca="false">IF($A28="","",IF(AT28="Y",BN28&amp;"",BA28&amp;""))</f>
        <v>Co-founder</v>
      </c>
      <c r="F28" s="0" t="str">
        <f aca="false">IF($A28="","",IF(AT28="Y",BO28&amp;"",BB28&amp;""))</f>
        <v/>
      </c>
      <c r="G28" s="0" t="str">
        <f aca="false">IF($A28="","",IF(AT28="Y",BP28&amp;"",BC28&amp;""))</f>
        <v/>
      </c>
      <c r="H28" s="0" t="str">
        <f aca="false">IF($A28="","",IF(AT28="Y",BQ28&amp;"",BD28&amp;""))</f>
        <v>none</v>
      </c>
      <c r="I28" s="0" t="str">
        <f aca="false">IF($A28="","",IF(R28="Y","warm-intro",IF(H28="verified","email",IF(C28&lt;&gt;"","linkedin",CA28&amp;""))))</f>
        <v>linkedin</v>
      </c>
      <c r="J28" s="0" t="n">
        <f aca="false">IF($A28="","",IF(CK28="pass",ROUND(N(DO28)+N(DP28)+N(DQ28)+N(DR28)+N(DS28)+N(DT28)+N(DU28)+N(DV28),0),0))</f>
        <v>59</v>
      </c>
      <c r="K28" s="0" t="str">
        <f aca="false">IF($A28="","",IF(CK28&lt;&gt;"pass",BY28&amp;"",BY28&amp;", "&amp;IF(AT28="Y",BX28&amp;"",BK28&amp;"")&amp;BZ28&amp;IF(R28="Y","; known to the founder (+10)","")&amp;"."))</f>
        <v>New York State brand, store page shows Whole Foods Market NoMad inside the cluster, a new store listing 316 days ago, revenue unknown, contact named; founder review: claim-functional, nutrient-claim.</v>
      </c>
      <c r="M28" s="0" t="s">
        <v>5572</v>
      </c>
      <c r="N28" s="0" t="s">
        <v>5573</v>
      </c>
      <c r="O28" s="0" t="s">
        <v>6381</v>
      </c>
      <c r="P28" s="0" t="s">
        <v>6382</v>
      </c>
      <c r="Q28" s="0" t="s">
        <v>6383</v>
      </c>
      <c r="R28" s="5" t="s">
        <v>189</v>
      </c>
      <c r="S28" s="0" t="s">
        <v>209</v>
      </c>
      <c r="T28" s="5" t="s">
        <v>189</v>
      </c>
      <c r="U28" s="5" t="s">
        <v>3896</v>
      </c>
      <c r="V28" s="0" t="s">
        <v>6384</v>
      </c>
      <c r="W28" s="0" t="s">
        <v>263</v>
      </c>
      <c r="X28" s="0" t="s">
        <v>5578</v>
      </c>
      <c r="Y28" s="0" t="str">
        <f aca="false">IF(FA28&lt;&gt;"Y","",COUNTIFS($FA$2:$FA$1000,"Y",$J$2:$J$1000,"&gt;"&amp;J28)+COUNTIFS($FA$2:$FA$1000,"Y",$J$2:$J$1000,J28,$FG$2:$FG$1000,"&lt;"&amp;FG28)+1)</f>
        <v/>
      </c>
      <c r="Z28" s="0" t="n">
        <v>27</v>
      </c>
      <c r="AA28" s="0" t="s">
        <v>164</v>
      </c>
      <c r="AB28" s="0" t="str">
        <f aca="false">IF($A28="","",IF(AT28="Y",BW28&amp;"",BJ28&amp;""))</f>
        <v>find Bjorn Quenemoen at BjornQorn on LinkedIn and paste the profile URL into primary_linkedin_url; use the Whole Foods Market NoMad line only if retailer_checked_date is this week's Friday check</v>
      </c>
      <c r="AC28" s="0" t="str">
        <f aca="false">IF($A28="","",IF(AT28="Y",BR28&amp;"",BE28&amp;""))</f>
        <v>founder</v>
      </c>
      <c r="AD28" s="0" t="str">
        <f aca="false">IF($A28="","",IF(AT28="Y",BS28&amp;"",BF28&amp;""))</f>
        <v>verified-page</v>
      </c>
      <c r="AE28" s="0" t="str">
        <f aca="false">IF($A28="","",IF(AT28="Y",BT28&amp;"",BG28&amp;""))</f>
        <v>employer's own site</v>
      </c>
      <c r="AF28" s="0" t="str">
        <f aca="false">IF($A28="","",IF(AT28="Y",BU28&amp;"",BH28&amp;""))</f>
        <v>https://bjornqorn.com/pages/about</v>
      </c>
      <c r="AG28" s="0" t="str">
        <f aca="false">IF($A28="","",IF(AT28="Y",BV28&amp;"",BI28&amp;""))</f>
        <v>2026-10-24</v>
      </c>
      <c r="AH28" s="0" t="s">
        <v>6385</v>
      </c>
      <c r="AI28" s="0" t="s">
        <v>5921</v>
      </c>
      <c r="AJ28" s="0" t="s">
        <v>6386</v>
      </c>
      <c r="AK28" s="0" t="s">
        <v>6387</v>
      </c>
      <c r="AL28" s="0" t="s">
        <v>164</v>
      </c>
      <c r="AM28" s="0" t="s">
        <v>6388</v>
      </c>
      <c r="AN28" s="0" t="s">
        <v>6379</v>
      </c>
      <c r="AO28" s="5" t="s">
        <v>189</v>
      </c>
      <c r="AR28" s="0" t="str">
        <f aca="false">IF($A28="","",IF(AND(CK28="pass",AO28&lt;&gt;"Y",C28&lt;&gt;"",OR(AU28&lt;&gt;"Y",AV28="Y")),"Y","N"))</f>
        <v>N</v>
      </c>
      <c r="AS28" s="0" t="str">
        <f aca="false">IF($A28="","",_xlfn.TEXTJOIN("; ",TRUE(),IF(CK28&lt;&gt;"pass","gated out",""),IF(AO28="Y","on hold: "&amp;AP28,""),IF(C28="","no contact named on an opened page",""),IF(AND(AU28="Y",AV28&lt;&gt;"Y"),"founder review pending (Founder review tab)","")))</f>
        <v>founder review pending (Founder review tab)</v>
      </c>
      <c r="AU28" s="0" t="s">
        <v>164</v>
      </c>
      <c r="AX28" s="0" t="s">
        <v>6389</v>
      </c>
      <c r="AY28" s="0" t="s">
        <v>6390</v>
      </c>
      <c r="AZ28" s="0" t="s">
        <v>6391</v>
      </c>
      <c r="BA28" s="0" t="s">
        <v>5636</v>
      </c>
      <c r="BC28" s="0" t="str">
        <f aca="false">IF($A28="","",IFERROR(INDEX(Enrichment!$A$2:$GZ$2000,MATCH($A28,INDEX(Enrichment!$A$2:$GZ$2000,0,MATCH("row_id",Enrichment!$A$1:$GZ$1,0)),0),MATCH("work_email",Enrichment!$A$1:$GZ$1,0))&amp;"",""))</f>
        <v/>
      </c>
      <c r="BD28" s="0" t="str">
        <f aca="false">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none</v>
      </c>
      <c r="BE28" s="0" t="s">
        <v>5589</v>
      </c>
      <c r="BF28" s="0" t="s">
        <v>169</v>
      </c>
      <c r="BG28" s="0" t="s">
        <v>170</v>
      </c>
      <c r="BH28" s="0" t="s">
        <v>6384</v>
      </c>
      <c r="BI28" s="0" t="s">
        <v>172</v>
      </c>
      <c r="BJ28" s="0" t="s">
        <v>6392</v>
      </c>
      <c r="BK28" s="0" t="s">
        <v>5643</v>
      </c>
      <c r="BL28" s="0" t="s">
        <v>6393</v>
      </c>
      <c r="BM28" s="0" t="s">
        <v>6394</v>
      </c>
      <c r="BN28" s="0" t="s">
        <v>5636</v>
      </c>
      <c r="BP28" s="0" t="str">
        <f aca="false">IF($A28="","",IFERROR(INDEX(Enrichment!$A$2:$GZ$2000,MATCH($A28,INDEX(Enrichment!$A$2:$GZ$2000,0,MATCH("row_id",Enrichment!$A$1:$GZ$1,0)),0),MATCH("backup_work_email",Enrichment!$A$1:$GZ$1,0))&amp;"",""))</f>
        <v/>
      </c>
      <c r="BQ28" s="0" t="str">
        <f aca="false">IF($A28="","",IF(BP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none</v>
      </c>
      <c r="BR28" s="0" t="s">
        <v>5712</v>
      </c>
      <c r="BS28" s="0" t="s">
        <v>169</v>
      </c>
      <c r="BT28" s="0" t="s">
        <v>170</v>
      </c>
      <c r="BU28" s="0" t="s">
        <v>6384</v>
      </c>
      <c r="BV28" s="0" t="s">
        <v>172</v>
      </c>
      <c r="BW28" s="0" t="s">
        <v>6395</v>
      </c>
      <c r="BX28" s="0" t="s">
        <v>5643</v>
      </c>
      <c r="BY28" s="0" t="s">
        <v>6396</v>
      </c>
      <c r="BZ28" s="0" t="s">
        <v>6050</v>
      </c>
      <c r="CB28" s="0" t="s">
        <v>6397</v>
      </c>
      <c r="CD28" s="0" t="s">
        <v>6398</v>
      </c>
      <c r="CF28" s="0" t="s">
        <v>6399</v>
      </c>
      <c r="CH28" s="0" t="s">
        <v>6400</v>
      </c>
      <c r="CJ28" s="0" t="s">
        <v>5606</v>
      </c>
      <c r="CK28" s="0" t="s">
        <v>200</v>
      </c>
      <c r="CM28" s="0" t="s">
        <v>201</v>
      </c>
      <c r="CN28" s="0" t="s">
        <v>6051</v>
      </c>
      <c r="CO28" s="0" t="s">
        <v>6387</v>
      </c>
      <c r="CP28" s="0" t="s">
        <v>5608</v>
      </c>
      <c r="CQ28" s="0" t="s">
        <v>5870</v>
      </c>
      <c r="CR28" s="0" t="s">
        <v>209</v>
      </c>
      <c r="CT28" s="0" t="s">
        <v>164</v>
      </c>
      <c r="CU28" s="0" t="s">
        <v>6401</v>
      </c>
      <c r="CV28" s="0" t="s">
        <v>164</v>
      </c>
      <c r="CW28" s="0" t="s">
        <v>164</v>
      </c>
      <c r="CX28" s="0" t="s">
        <v>209</v>
      </c>
      <c r="CZ28" s="0" t="s">
        <v>209</v>
      </c>
      <c r="DA28" s="0" t="s">
        <v>189</v>
      </c>
      <c r="DB28" s="0" t="s">
        <v>189</v>
      </c>
      <c r="DD28" s="0" t="n">
        <v>0</v>
      </c>
      <c r="DE28" s="0" t="s">
        <v>164</v>
      </c>
      <c r="DF28" s="0" t="n">
        <v>3</v>
      </c>
      <c r="DG28" s="0" t="s">
        <v>5686</v>
      </c>
      <c r="DI28" s="0" t="s">
        <v>6402</v>
      </c>
      <c r="DJ28" s="0" t="s">
        <v>6403</v>
      </c>
      <c r="DK28" s="0" t="s">
        <v>5689</v>
      </c>
      <c r="DL28" s="0" t="n">
        <v>316</v>
      </c>
      <c r="DN28" s="0" t="n">
        <v>59</v>
      </c>
      <c r="DO28" s="0" t="n">
        <v>25</v>
      </c>
      <c r="DP28" s="0" t="n">
        <v>13</v>
      </c>
      <c r="DQ28" s="0" t="n">
        <v>4</v>
      </c>
      <c r="DR28" s="0" t="n">
        <v>5</v>
      </c>
      <c r="DS28" s="0" t="n">
        <v>10</v>
      </c>
      <c r="DT28" s="0" t="n">
        <v>6</v>
      </c>
      <c r="DU28" s="0" t="n">
        <f aca="false">IF($A28="","",IF(R28="Y",10,0))</f>
        <v>0</v>
      </c>
      <c r="DV28" s="0" t="n">
        <v>-4</v>
      </c>
      <c r="DW28" s="0" t="s">
        <v>209</v>
      </c>
      <c r="DX28" s="0" t="s">
        <v>5814</v>
      </c>
      <c r="DY28" s="0" t="s">
        <v>6404</v>
      </c>
      <c r="DZ28" s="0" t="s">
        <v>6405</v>
      </c>
      <c r="EA28" s="0" t="s">
        <v>6406</v>
      </c>
      <c r="EV28" s="0" t="str">
        <f aca="false">IF($A28="","",IF(ISNUMBER(MATCH(U28,{"queued","contacted","replied","call_booked","call_done","yes_in_principle","materials_sent"},0)),"Y","N"))</f>
        <v>N</v>
      </c>
      <c r="EW28" s="0" t="str">
        <f aca="false">IF($A28="","",IF(OR(T28="Y",U28="do_not_contact",AQ28&amp;""&lt;&gt;""),"Y","N"))</f>
        <v>N</v>
      </c>
      <c r="EX28" s="0" t="str">
        <f aca="false">IF($A28="","",IF(AN28&amp;""&lt;&gt;"",AN28&amp;"",$A28))</f>
        <v>AB-001</v>
      </c>
      <c r="EY28" s="0" t="str">
        <f aca="false">IF($A28="","",IF(COUNTIFS($EX$2:$EX$1000,EX28,$EV$2:$EV$1000,"Y")+COUNTIFS($EX$2:$EX$1000,EX28,$EW$2:$EW$1000,"Y")&gt;0,"Y","N"))</f>
        <v>N</v>
      </c>
      <c r="EZ28" s="0" t="str">
        <f aca="false">IF($A28="","",IF(AND(U28="new",T28="N",EW28="N",AR28="Y",EY28="N"),"Y","N"))</f>
        <v>N</v>
      </c>
      <c r="FA28" s="0" t="str">
        <f aca="false">IF($A28="","",IF(EZ28&lt;&gt;"Y","N",IF(COUNTIFS($EX$2:$EX$1000,EX28,$EZ$2:$EZ$1000,"Y",$J$2:$J$1000,"&gt;"&amp;J28)+COUNTIFS($EX$2:$EX$1000,EX28,$EZ$2:$EZ$1000,"Y",$J$2:$J$1000,J28,$FG$2:$FG$1000,"&lt;"&amp;FG28)=0,"Y","N")))</f>
        <v>N</v>
      </c>
      <c r="FB28" s="0" t="str">
        <f aca="false">IF($A28="","",IF(AND(EZ28="Y",FA28="Y",Y28&amp;""&lt;&gt;""),IF(Y28&lt;=10,"Y","N"),"N"))</f>
        <v>N</v>
      </c>
      <c r="FC28" s="0" t="str">
        <f aca="false">IF(FB28="Y",Y28,"")</f>
        <v/>
      </c>
      <c r="FD28" s="0" t="str">
        <f aca="false">IF($A28="","",IF(AND(CK28="pass",AU28="Y",AV28&lt;&gt;"Y",U28="new",EW28="N"),"Y","N"))</f>
        <v>Y</v>
      </c>
      <c r="FE28" s="0" t="n">
        <f aca="false">IF(FD28&lt;&gt;"Y","",IF(COUNTIFS($FD$2:$FD$1000,"Y",$J$2:$J$1000,"&gt;"&amp;J28)+COUNTIFS($FD$2:$FD$1000,"Y",$J$2:$J$1000,J28,$FG$2:$FG$1000,"&lt;"&amp;FG28)+1&lt;=30,COUNTIFS($FD$2:$FD$1000,"Y",$J$2:$J$1000,"&gt;"&amp;J28)+COUNTIFS($FD$2:$FD$1000,"Y",$J$2:$J$1000,J28,$FG$2:$FG$1000,"&lt;"&amp;FG28)+1,""))</f>
        <v>9</v>
      </c>
      <c r="FF28" s="0" t="str">
        <f aca="false">IF(AND(_xlfn.ISFORMULA(C28),_xlfn.ISFORMULA(J28)),"Y","N")</f>
        <v>Y</v>
      </c>
      <c r="FG28" s="0" t="n">
        <f aca="false">ROW()-1</f>
        <v>27</v>
      </c>
    </row>
    <row r="29" customFormat="false" ht="15" hidden="false" customHeight="false" outlineLevel="0" collapsed="false">
      <c r="A29" s="0" t="s">
        <v>6407</v>
      </c>
      <c r="B29" s="0" t="s">
        <v>6408</v>
      </c>
      <c r="C29" s="0" t="str">
        <f aca="false">IF($A29="","",IF(AT29="Y",BL29&amp;"",AY29&amp;""))</f>
        <v>Keith</v>
      </c>
      <c r="D29" s="0" t="str">
        <f aca="false">IF($A29="","",IF(AT29="Y",BM29&amp;"",AZ29&amp;""))</f>
        <v>Pollack</v>
      </c>
      <c r="E29" s="0" t="str">
        <f aca="false">IF($A29="","",IF(AT29="Y",BN29&amp;"",BA29&amp;""))</f>
        <v>Co-founder and President</v>
      </c>
      <c r="F29" s="0" t="str">
        <f aca="false">IF($A29="","",IF(AT29="Y",BO29&amp;"",BB29&amp;""))</f>
        <v/>
      </c>
      <c r="G29" s="0" t="str">
        <f aca="false">IF($A29="","",IF(AT29="Y",BP29&amp;"",BC29&amp;""))</f>
        <v/>
      </c>
      <c r="H29" s="0" t="str">
        <f aca="false">IF($A29="","",IF(AT29="Y",BQ29&amp;"",BD29&amp;""))</f>
        <v>none</v>
      </c>
      <c r="I29" s="0" t="str">
        <f aca="false">IF($A29="","",IF(R29="Y","warm-intro",IF(H29="verified","email",IF(C29&lt;&gt;"","linkedin",CA29&amp;""))))</f>
        <v>linkedin</v>
      </c>
      <c r="J29" s="0" t="n">
        <f aca="false">IF($A29="","",IF(CK29="pass",ROUND(N(DO29)+N(DP29)+N(DQ29)+N(DR29)+N(DS29)+N(DT29)+N(DU29)+N(DV29),0),0))</f>
        <v>59</v>
      </c>
      <c r="K29" s="0" t="str">
        <f aca="false">IF($A29="","",IF(CK29&lt;&gt;"pass",BY29&amp;"",BY29&amp;", "&amp;IF(AT29="Y",BX29&amp;"",BK29&amp;"")&amp;BZ29&amp;IF(R29="Y","; known to the founder (+10)","")&amp;"."))</f>
        <v>New York City brand, store page shows Whole Foods Market NoMad inside the cluster, no dated why-now in the last 12 months, revenue unknown, contact named; founder review: format.</v>
      </c>
      <c r="M29" s="0" t="s">
        <v>5572</v>
      </c>
      <c r="N29" s="0" t="s">
        <v>5573</v>
      </c>
      <c r="R29" s="5" t="s">
        <v>189</v>
      </c>
      <c r="S29" s="0" t="s">
        <v>209</v>
      </c>
      <c r="T29" s="5" t="s">
        <v>189</v>
      </c>
      <c r="U29" s="5" t="s">
        <v>3896</v>
      </c>
      <c r="V29" s="0" t="s">
        <v>6409</v>
      </c>
      <c r="W29" s="0" t="s">
        <v>263</v>
      </c>
      <c r="X29" s="0" t="s">
        <v>5578</v>
      </c>
      <c r="Y29" s="0" t="str">
        <f aca="false">IF(FA29&lt;&gt;"Y","",COUNTIFS($FA$2:$FA$1000,"Y",$J$2:$J$1000,"&gt;"&amp;J29)+COUNTIFS($FA$2:$FA$1000,"Y",$J$2:$J$1000,J29,$FG$2:$FG$1000,"&lt;"&amp;FG29)+1)</f>
        <v/>
      </c>
      <c r="Z29" s="0" t="n">
        <v>28</v>
      </c>
      <c r="AA29" s="0" t="s">
        <v>164</v>
      </c>
      <c r="AB29" s="0" t="str">
        <f aca="false">IF($A29="","",IF(AT29="Y",BW29&amp;"",BJ29&amp;""))</f>
        <v>find Keith Pollack at Z Crackers on LinkedIn and paste the profile URL into primary_linkedin_url; use the Whole Foods Market NoMad line only if retailer_checked_date is this week's Friday check</v>
      </c>
      <c r="AC29" s="0" t="str">
        <f aca="false">IF($A29="","",IF(AT29="Y",BR29&amp;"",BE29&amp;""))</f>
        <v>founder</v>
      </c>
      <c r="AD29" s="0" t="str">
        <f aca="false">IF($A29="","",IF(AT29="Y",BS29&amp;"",BF29&amp;""))</f>
        <v>verified-page</v>
      </c>
      <c r="AE29" s="0" t="str">
        <f aca="false">IF($A29="","",IF(AT29="Y",BT29&amp;"",BG29&amp;""))</f>
        <v>employer's own site</v>
      </c>
      <c r="AF29" s="0" t="str">
        <f aca="false">IF($A29="","",IF(AT29="Y",BU29&amp;"",BH29&amp;""))</f>
        <v>https://www.zcrackers.com/</v>
      </c>
      <c r="AG29" s="0" t="str">
        <f aca="false">IF($A29="","",IF(AT29="Y",BV29&amp;"",BI29&amp;""))</f>
        <v>2026-10-24</v>
      </c>
      <c r="AH29" s="0" t="s">
        <v>6410</v>
      </c>
      <c r="AI29" s="0" t="s">
        <v>5630</v>
      </c>
      <c r="AJ29" s="0" t="s">
        <v>6411</v>
      </c>
      <c r="AK29" s="0" t="s">
        <v>6412</v>
      </c>
      <c r="AL29" s="0" t="s">
        <v>164</v>
      </c>
      <c r="AM29" s="0" t="s">
        <v>6413</v>
      </c>
      <c r="AN29" s="0" t="s">
        <v>6407</v>
      </c>
      <c r="AO29" s="5" t="s">
        <v>189</v>
      </c>
      <c r="AR29" s="0" t="str">
        <f aca="false">IF($A29="","",IF(AND(CK29="pass",AO29&lt;&gt;"Y",C29&lt;&gt;"",OR(AU29&lt;&gt;"Y",AV29="Y")),"Y","N"))</f>
        <v>N</v>
      </c>
      <c r="AS29" s="0" t="str">
        <f aca="false">IF($A29="","",_xlfn.TEXTJOIN("; ",TRUE(),IF(CK29&lt;&gt;"pass","gated out",""),IF(AO29="Y","on hold: "&amp;AP29,""),IF(C29="","no contact named on an opened page",""),IF(AND(AU29="Y",AV29&lt;&gt;"Y"),"founder review pending (Founder review tab)","")))</f>
        <v>founder review pending (Founder review tab)</v>
      </c>
      <c r="AU29" s="0" t="s">
        <v>164</v>
      </c>
      <c r="AX29" s="0" t="s">
        <v>6414</v>
      </c>
      <c r="AY29" s="0" t="s">
        <v>6415</v>
      </c>
      <c r="AZ29" s="0" t="s">
        <v>6416</v>
      </c>
      <c r="BA29" s="0" t="s">
        <v>6417</v>
      </c>
      <c r="BC29" s="0" t="str">
        <f aca="false">IF($A29="","",IFERROR(INDEX(Enrichment!$A$2:$GZ$2000,MATCH($A29,INDEX(Enrichment!$A$2:$GZ$2000,0,MATCH("row_id",Enrichment!$A$1:$GZ$1,0)),0),MATCH("work_email",Enrichment!$A$1:$GZ$1,0))&amp;"",""))</f>
        <v/>
      </c>
      <c r="BD29" s="0" t="str">
        <f aca="false">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none</v>
      </c>
      <c r="BE29" s="0" t="s">
        <v>5589</v>
      </c>
      <c r="BF29" s="0" t="s">
        <v>169</v>
      </c>
      <c r="BG29" s="0" t="s">
        <v>170</v>
      </c>
      <c r="BH29" s="0" t="s">
        <v>6409</v>
      </c>
      <c r="BI29" s="0" t="s">
        <v>172</v>
      </c>
      <c r="BJ29" s="0" t="s">
        <v>6418</v>
      </c>
      <c r="BK29" s="0" t="s">
        <v>5643</v>
      </c>
      <c r="BL29" s="0" t="s">
        <v>1066</v>
      </c>
      <c r="BM29" s="0" t="s">
        <v>6416</v>
      </c>
      <c r="BN29" s="0" t="s">
        <v>5636</v>
      </c>
      <c r="BP29" s="0" t="str">
        <f aca="false">IF($A29="","",IFERROR(INDEX(Enrichment!$A$2:$GZ$2000,MATCH($A29,INDEX(Enrichment!$A$2:$GZ$2000,0,MATCH("row_id",Enrichment!$A$1:$GZ$1,0)),0),MATCH("backup_work_email",Enrichment!$A$1:$GZ$1,0))&amp;"",""))</f>
        <v/>
      </c>
      <c r="BQ29" s="0" t="str">
        <f aca="false">IF($A29="","",IF(BP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none</v>
      </c>
      <c r="BR29" s="0" t="s">
        <v>5712</v>
      </c>
      <c r="BS29" s="0" t="s">
        <v>169</v>
      </c>
      <c r="BT29" s="0" t="s">
        <v>170</v>
      </c>
      <c r="BU29" s="0" t="s">
        <v>6409</v>
      </c>
      <c r="BV29" s="0" t="s">
        <v>172</v>
      </c>
      <c r="BW29" s="0" t="s">
        <v>6419</v>
      </c>
      <c r="BX29" s="0" t="s">
        <v>5643</v>
      </c>
      <c r="BY29" s="0" t="s">
        <v>5959</v>
      </c>
      <c r="BZ29" s="0" t="s">
        <v>5802</v>
      </c>
      <c r="CB29" s="0" t="s">
        <v>6420</v>
      </c>
      <c r="CD29" s="0" t="s">
        <v>6421</v>
      </c>
      <c r="CF29" s="0" t="s">
        <v>6422</v>
      </c>
      <c r="CH29" s="0" t="s">
        <v>6423</v>
      </c>
      <c r="CJ29" s="0" t="s">
        <v>5606</v>
      </c>
      <c r="CK29" s="0" t="s">
        <v>200</v>
      </c>
      <c r="CM29" s="0" t="s">
        <v>201</v>
      </c>
      <c r="CN29" s="0" t="s">
        <v>5808</v>
      </c>
      <c r="CO29" s="0" t="s">
        <v>6424</v>
      </c>
      <c r="CP29" s="0" t="s">
        <v>5608</v>
      </c>
      <c r="CQ29" s="0" t="s">
        <v>5609</v>
      </c>
      <c r="CR29" s="0" t="s">
        <v>209</v>
      </c>
      <c r="CT29" s="0" t="s">
        <v>164</v>
      </c>
      <c r="CU29" s="0" t="s">
        <v>6425</v>
      </c>
      <c r="CV29" s="0" t="s">
        <v>189</v>
      </c>
      <c r="CW29" s="0" t="s">
        <v>164</v>
      </c>
      <c r="CX29" s="0" t="s">
        <v>209</v>
      </c>
      <c r="CZ29" s="0" t="s">
        <v>209</v>
      </c>
      <c r="DA29" s="0" t="s">
        <v>189</v>
      </c>
      <c r="DB29" s="0" t="s">
        <v>189</v>
      </c>
      <c r="DD29" s="0" t="n">
        <v>0</v>
      </c>
      <c r="DE29" s="0" t="s">
        <v>164</v>
      </c>
      <c r="DF29" s="0" t="n">
        <v>2</v>
      </c>
      <c r="DG29" s="0" t="s">
        <v>5746</v>
      </c>
      <c r="DH29" s="0" t="s">
        <v>5969</v>
      </c>
      <c r="DI29" s="0" t="s">
        <v>6426</v>
      </c>
      <c r="DJ29" s="0" t="s">
        <v>6427</v>
      </c>
      <c r="DK29" s="0" t="s">
        <v>380</v>
      </c>
      <c r="DN29" s="0" t="n">
        <v>59</v>
      </c>
      <c r="DO29" s="0" t="n">
        <v>25</v>
      </c>
      <c r="DP29" s="0" t="n">
        <v>20</v>
      </c>
      <c r="DQ29" s="0" t="n">
        <v>0</v>
      </c>
      <c r="DR29" s="0" t="n">
        <v>5</v>
      </c>
      <c r="DS29" s="0" t="n">
        <v>7</v>
      </c>
      <c r="DT29" s="0" t="n">
        <v>6</v>
      </c>
      <c r="DU29" s="0" t="n">
        <f aca="false">IF($A29="","",IF(R29="Y",10,0))</f>
        <v>0</v>
      </c>
      <c r="DV29" s="0" t="n">
        <v>-4</v>
      </c>
      <c r="DX29" s="0" t="s">
        <v>5619</v>
      </c>
      <c r="DY29" s="0" t="s">
        <v>6428</v>
      </c>
      <c r="DZ29" s="0" t="s">
        <v>6429</v>
      </c>
      <c r="EA29" s="0" t="s">
        <v>6430</v>
      </c>
      <c r="EV29" s="0" t="str">
        <f aca="false">IF($A29="","",IF(ISNUMBER(MATCH(U29,{"queued","contacted","replied","call_booked","call_done","yes_in_principle","materials_sent"},0)),"Y","N"))</f>
        <v>N</v>
      </c>
      <c r="EW29" s="0" t="str">
        <f aca="false">IF($A29="","",IF(OR(T29="Y",U29="do_not_contact",AQ29&amp;""&lt;&gt;""),"Y","N"))</f>
        <v>N</v>
      </c>
      <c r="EX29" s="0" t="str">
        <f aca="false">IF($A29="","",IF(AN29&amp;""&lt;&gt;"",AN29&amp;"",$A29))</f>
        <v>AB-237</v>
      </c>
      <c r="EY29" s="0" t="str">
        <f aca="false">IF($A29="","",IF(COUNTIFS($EX$2:$EX$1000,EX29,$EV$2:$EV$1000,"Y")+COUNTIFS($EX$2:$EX$1000,EX29,$EW$2:$EW$1000,"Y")&gt;0,"Y","N"))</f>
        <v>N</v>
      </c>
      <c r="EZ29" s="0" t="str">
        <f aca="false">IF($A29="","",IF(AND(U29="new",T29="N",EW29="N",AR29="Y",EY29="N"),"Y","N"))</f>
        <v>N</v>
      </c>
      <c r="FA29" s="0" t="str">
        <f aca="false">IF($A29="","",IF(EZ29&lt;&gt;"Y","N",IF(COUNTIFS($EX$2:$EX$1000,EX29,$EZ$2:$EZ$1000,"Y",$J$2:$J$1000,"&gt;"&amp;J29)+COUNTIFS($EX$2:$EX$1000,EX29,$EZ$2:$EZ$1000,"Y",$J$2:$J$1000,J29,$FG$2:$FG$1000,"&lt;"&amp;FG29)=0,"Y","N")))</f>
        <v>N</v>
      </c>
      <c r="FB29" s="0" t="str">
        <f aca="false">IF($A29="","",IF(AND(EZ29="Y",FA29="Y",Y29&amp;""&lt;&gt;""),IF(Y29&lt;=10,"Y","N"),"N"))</f>
        <v>N</v>
      </c>
      <c r="FC29" s="0" t="str">
        <f aca="false">IF(FB29="Y",Y29,"")</f>
        <v/>
      </c>
      <c r="FD29" s="0" t="str">
        <f aca="false">IF($A29="","",IF(AND(CK29="pass",AU29="Y",AV29&lt;&gt;"Y",U29="new",EW29="N"),"Y","N"))</f>
        <v>Y</v>
      </c>
      <c r="FE29" s="0" t="n">
        <f aca="false">IF(FD29&lt;&gt;"Y","",IF(COUNTIFS($FD$2:$FD$1000,"Y",$J$2:$J$1000,"&gt;"&amp;J29)+COUNTIFS($FD$2:$FD$1000,"Y",$J$2:$J$1000,J29,$FG$2:$FG$1000,"&lt;"&amp;FG29)+1&lt;=30,COUNTIFS($FD$2:$FD$1000,"Y",$J$2:$J$1000,"&gt;"&amp;J29)+COUNTIFS($FD$2:$FD$1000,"Y",$J$2:$J$1000,J29,$FG$2:$FG$1000,"&lt;"&amp;FG29)+1,""))</f>
        <v>10</v>
      </c>
      <c r="FF29" s="0" t="str">
        <f aca="false">IF(AND(_xlfn.ISFORMULA(C29),_xlfn.ISFORMULA(J29)),"Y","N")</f>
        <v>Y</v>
      </c>
      <c r="FG29" s="0" t="n">
        <f aca="false">ROW()-1</f>
        <v>28</v>
      </c>
    </row>
    <row r="30" customFormat="false" ht="15" hidden="false" customHeight="false" outlineLevel="0" collapsed="false">
      <c r="A30" s="0" t="s">
        <v>6431</v>
      </c>
      <c r="B30" s="0" t="s">
        <v>6432</v>
      </c>
      <c r="C30" s="0" t="str">
        <f aca="false">IF($A30="","",IF(AT30="Y",BL30&amp;"",AY30&amp;""))</f>
        <v>Alton</v>
      </c>
      <c r="D30" s="0" t="str">
        <f aca="false">IF($A30="","",IF(AT30="Y",BM30&amp;"",AZ30&amp;""))</f>
        <v>But</v>
      </c>
      <c r="E30" s="0" t="str">
        <f aca="false">IF($A30="","",IF(AT30="Y",BN30&amp;"",BA30&amp;""))</f>
        <v>Founder</v>
      </c>
      <c r="F30" s="0" t="str">
        <f aca="false">IF($A30="","",IF(AT30="Y",BO30&amp;"",BB30&amp;""))</f>
        <v/>
      </c>
      <c r="G30" s="0" t="str">
        <f aca="false">IF($A30="","",IF(AT30="Y",BP30&amp;"",BC30&amp;""))</f>
        <v/>
      </c>
      <c r="H30" s="0" t="str">
        <f aca="false">IF($A30="","",IF(AT30="Y",BQ30&amp;"",BD30&amp;""))</f>
        <v>none</v>
      </c>
      <c r="I30" s="0" t="str">
        <f aca="false">IF($A30="","",IF(R30="Y","warm-intro",IF(H30="verified","email",IF(C30&lt;&gt;"","linkedin",CA30&amp;""))))</f>
        <v>linkedin</v>
      </c>
      <c r="J30" s="0" t="n">
        <f aca="false">IF($A30="","",IF(CK30="pass",ROUND(N(DO30)+N(DP30)+N(DQ30)+N(DR30)+N(DS30)+N(DT30)+N(DU30)+N(DV30),0),0))</f>
        <v>59</v>
      </c>
      <c r="K30" s="0" t="str">
        <f aca="false">IF($A30="","",IF(CK30&lt;&gt;"pass",BY30&amp;"",BY30&amp;", "&amp;IF(AT30="Y",BX30&amp;"",BK30&amp;"")&amp;BZ30&amp;IF(R30="Y","; known to the founder (+10)","")&amp;"."))</f>
        <v>New York City brand, brand locator shows Dainobu 0.9 blocks outside it, a new store listing 43 days ago, revenue unknown, contact named plus a marketing lead; founder review: nutrient-claim.</v>
      </c>
      <c r="M30" s="0" t="s">
        <v>6433</v>
      </c>
      <c r="N30" s="0" t="s">
        <v>5915</v>
      </c>
      <c r="O30" s="0" t="s">
        <v>6434</v>
      </c>
      <c r="P30" s="0" t="s">
        <v>6435</v>
      </c>
      <c r="Q30" s="0" t="s">
        <v>6436</v>
      </c>
      <c r="R30" s="5" t="s">
        <v>189</v>
      </c>
      <c r="S30" s="0" t="s">
        <v>209</v>
      </c>
      <c r="T30" s="5" t="s">
        <v>189</v>
      </c>
      <c r="U30" s="5" t="s">
        <v>3896</v>
      </c>
      <c r="V30" s="0" t="s">
        <v>6437</v>
      </c>
      <c r="W30" s="0" t="s">
        <v>263</v>
      </c>
      <c r="X30" s="0" t="s">
        <v>5578</v>
      </c>
      <c r="Y30" s="0" t="str">
        <f aca="false">IF(FA30&lt;&gt;"Y","",COUNTIFS($FA$2:$FA$1000,"Y",$J$2:$J$1000,"&gt;"&amp;J30)+COUNTIFS($FA$2:$FA$1000,"Y",$J$2:$J$1000,J30,$FG$2:$FG$1000,"&lt;"&amp;FG30)+1)</f>
        <v/>
      </c>
      <c r="Z30" s="0" t="n">
        <v>29</v>
      </c>
      <c r="AA30" s="0" t="s">
        <v>164</v>
      </c>
      <c r="AB30" s="0" t="str">
        <f aca="false">IF($A30="","",IF(AT30="Y",BW30&amp;"",BJ30&amp;""))</f>
        <v>find Alton But at Moshi on LinkedIn and paste the profile URL into primary_linkedin_url; the retailer line rests on the brand's own store locator: say 'your store locator lists ...'</v>
      </c>
      <c r="AC30" s="0" t="str">
        <f aca="false">IF($A30="","",IF(AT30="Y",BR30&amp;"",BE30&amp;""))</f>
        <v>founder</v>
      </c>
      <c r="AD30" s="0" t="str">
        <f aca="false">IF($A30="","",IF(AT30="Y",BS30&amp;"",BF30&amp;""))</f>
        <v>verified-page</v>
      </c>
      <c r="AE30" s="0" t="str">
        <f aca="false">IF($A30="","",IF(AT30="Y",BT30&amp;"",BG30&amp;""))</f>
        <v>press, event or podcast page</v>
      </c>
      <c r="AF30" s="0" t="str">
        <f aca="false">IF($A30="","",IF(AT30="Y",BU30&amp;"",BH30&amp;""))</f>
        <v>https://attend.expowest.com/event/natural-products-expo-west-2026/exhibitor/RXhoaWJpdG9yXzIzNTgyMzE=</v>
      </c>
      <c r="AG30" s="0" t="str">
        <f aca="false">IF($A30="","",IF(AT30="Y",BV30&amp;"",BI30&amp;""))</f>
        <v>2026-10-24</v>
      </c>
      <c r="AH30" s="0" t="s">
        <v>6438</v>
      </c>
      <c r="AI30" s="0" t="s">
        <v>5580</v>
      </c>
      <c r="AJ30" s="0" t="s">
        <v>259</v>
      </c>
      <c r="AK30" s="0" t="s">
        <v>6439</v>
      </c>
      <c r="AL30" s="0" t="s">
        <v>164</v>
      </c>
      <c r="AM30" s="0" t="s">
        <v>6440</v>
      </c>
      <c r="AN30" s="0" t="s">
        <v>6441</v>
      </c>
      <c r="AO30" s="5" t="s">
        <v>189</v>
      </c>
      <c r="AR30" s="0" t="str">
        <f aca="false">IF($A30="","",IF(AND(CK30="pass",AO30&lt;&gt;"Y",C30&lt;&gt;"",OR(AU30&lt;&gt;"Y",AV30="Y")),"Y","N"))</f>
        <v>Y</v>
      </c>
      <c r="AS30" s="0" t="str">
        <f aca="false">IF($A30="","",_xlfn.TEXTJOIN("; ",TRUE(),IF(CK30&lt;&gt;"pass","gated out",""),IF(AO30="Y","on hold: "&amp;AP30,""),IF(C30="","no contact named on an opened page",""),IF(AND(AU30="Y",AV30&lt;&gt;"Y"),"founder review pending (Founder review tab)","")))</f>
        <v/>
      </c>
      <c r="AU30" s="0" t="s">
        <v>189</v>
      </c>
      <c r="AY30" s="0" t="s">
        <v>6442</v>
      </c>
      <c r="AZ30" s="0" t="s">
        <v>6443</v>
      </c>
      <c r="BA30" s="0" t="s">
        <v>5739</v>
      </c>
      <c r="BC30" s="0" t="str">
        <f aca="false">IF($A30="","",IFERROR(INDEX(Enrichment!$A$2:$GZ$2000,MATCH($A30,INDEX(Enrichment!$A$2:$GZ$2000,0,MATCH("row_id",Enrichment!$A$1:$GZ$1,0)),0),MATCH("work_email",Enrichment!$A$1:$GZ$1,0))&amp;"",""))</f>
        <v/>
      </c>
      <c r="BD30" s="0" t="str">
        <f aca="false">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none</v>
      </c>
      <c r="BE30" s="0" t="s">
        <v>5589</v>
      </c>
      <c r="BF30" s="0" t="s">
        <v>169</v>
      </c>
      <c r="BG30" s="0" t="s">
        <v>1252</v>
      </c>
      <c r="BH30" s="0" t="s">
        <v>6444</v>
      </c>
      <c r="BI30" s="0" t="s">
        <v>172</v>
      </c>
      <c r="BJ30" s="0" t="s">
        <v>6445</v>
      </c>
      <c r="BK30" s="0" t="s">
        <v>5638</v>
      </c>
      <c r="BL30" s="0" t="s">
        <v>6446</v>
      </c>
      <c r="BM30" s="0" t="s">
        <v>6447</v>
      </c>
      <c r="BN30" s="0" t="s">
        <v>6448</v>
      </c>
      <c r="BP30" s="0" t="str">
        <f aca="false">IF($A30="","",IFERROR(INDEX(Enrichment!$A$2:$GZ$2000,MATCH($A30,INDEX(Enrichment!$A$2:$GZ$2000,0,MATCH("row_id",Enrichment!$A$1:$GZ$1,0)),0),MATCH("backup_work_email",Enrichment!$A$1:$GZ$1,0))&amp;"",""))</f>
        <v/>
      </c>
      <c r="BQ30" s="0" t="str">
        <f aca="false">IF($A30="","",IF(BP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none</v>
      </c>
      <c r="BR30" s="0" t="s">
        <v>5596</v>
      </c>
      <c r="BS30" s="0" t="s">
        <v>169</v>
      </c>
      <c r="BT30" s="0" t="s">
        <v>1252</v>
      </c>
      <c r="BU30" s="0" t="s">
        <v>6444</v>
      </c>
      <c r="BV30" s="0" t="s">
        <v>172</v>
      </c>
      <c r="BW30" s="0" t="s">
        <v>6449</v>
      </c>
      <c r="BX30" s="0" t="s">
        <v>5643</v>
      </c>
      <c r="BY30" s="0" t="s">
        <v>6450</v>
      </c>
      <c r="BZ30" s="0" t="s">
        <v>5601</v>
      </c>
      <c r="CB30" s="0" t="s">
        <v>6451</v>
      </c>
      <c r="CD30" s="0" t="s">
        <v>6452</v>
      </c>
      <c r="CF30" s="0" t="s">
        <v>6453</v>
      </c>
      <c r="CH30" s="0" t="s">
        <v>6454</v>
      </c>
      <c r="CJ30" s="0" t="s">
        <v>5606</v>
      </c>
      <c r="CK30" s="0" t="s">
        <v>200</v>
      </c>
      <c r="CM30" s="0" t="s">
        <v>201</v>
      </c>
      <c r="CN30" s="0" t="s">
        <v>5607</v>
      </c>
      <c r="CO30" s="0" t="s">
        <v>6439</v>
      </c>
      <c r="CP30" s="0" t="s">
        <v>5608</v>
      </c>
      <c r="CQ30" s="0" t="s">
        <v>5609</v>
      </c>
      <c r="CR30" s="0" t="s">
        <v>209</v>
      </c>
      <c r="CT30" s="0" t="s">
        <v>209</v>
      </c>
      <c r="CU30" s="0" t="s">
        <v>6455</v>
      </c>
      <c r="CV30" s="0" t="s">
        <v>164</v>
      </c>
      <c r="CW30" s="0" t="s">
        <v>164</v>
      </c>
      <c r="CX30" s="0" t="s">
        <v>209</v>
      </c>
      <c r="CZ30" s="0" t="s">
        <v>6456</v>
      </c>
      <c r="DA30" s="0" t="s">
        <v>189</v>
      </c>
      <c r="DB30" s="0" t="s">
        <v>189</v>
      </c>
      <c r="DD30" s="0" t="n">
        <v>0.9</v>
      </c>
      <c r="DE30" s="0" t="s">
        <v>189</v>
      </c>
      <c r="DF30" s="0" t="n">
        <v>6</v>
      </c>
      <c r="DG30" s="0" t="s">
        <v>6457</v>
      </c>
      <c r="DH30" s="0" t="s">
        <v>6458</v>
      </c>
      <c r="DI30" s="0" t="s">
        <v>6459</v>
      </c>
      <c r="DJ30" s="0" t="s">
        <v>6460</v>
      </c>
      <c r="DK30" s="0" t="s">
        <v>5689</v>
      </c>
      <c r="DL30" s="0" t="n">
        <v>43</v>
      </c>
      <c r="DN30" s="0" t="n">
        <v>59</v>
      </c>
      <c r="DO30" s="0" t="n">
        <v>13</v>
      </c>
      <c r="DP30" s="0" t="n">
        <v>20</v>
      </c>
      <c r="DQ30" s="0" t="n">
        <v>8</v>
      </c>
      <c r="DR30" s="0" t="n">
        <v>5</v>
      </c>
      <c r="DS30" s="0" t="n">
        <v>7</v>
      </c>
      <c r="DT30" s="0" t="n">
        <v>10</v>
      </c>
      <c r="DU30" s="0" t="n">
        <f aca="false">IF($A30="","",IF(R30="Y",10,0))</f>
        <v>0</v>
      </c>
      <c r="DV30" s="0" t="n">
        <v>-4</v>
      </c>
      <c r="DW30" s="0" t="s">
        <v>6461</v>
      </c>
      <c r="DX30" s="0" t="s">
        <v>6462</v>
      </c>
      <c r="DY30" s="0" t="s">
        <v>6463</v>
      </c>
      <c r="DZ30" s="0" t="s">
        <v>6464</v>
      </c>
      <c r="EA30" s="0" t="s">
        <v>6465</v>
      </c>
      <c r="EC30" s="0" t="s">
        <v>6466</v>
      </c>
      <c r="EV30" s="0" t="str">
        <f aca="false">IF($A30="","",IF(ISNUMBER(MATCH(U30,{"queued","contacted","replied","call_booked","call_done","yes_in_principle","materials_sent"},0)),"Y","N"))</f>
        <v>N</v>
      </c>
      <c r="EW30" s="0" t="str">
        <f aca="false">IF($A30="","",IF(OR(T30="Y",U30="do_not_contact",AQ30&amp;""&lt;&gt;""),"Y","N"))</f>
        <v>N</v>
      </c>
      <c r="EX30" s="0" t="str">
        <f aca="false">IF($A30="","",IF(AN30&amp;""&lt;&gt;"",AN30&amp;"",$A30))</f>
        <v>grp-130-131-132</v>
      </c>
      <c r="EY30" s="0" t="str">
        <f aca="false">IF($A30="","",IF(COUNTIFS($EX$2:$EX$1000,EX30,$EV$2:$EV$1000,"Y")+COUNTIFS($EX$2:$EX$1000,EX30,$EW$2:$EW$1000,"Y")&gt;0,"Y","N"))</f>
        <v>Y</v>
      </c>
      <c r="EZ30" s="0" t="str">
        <f aca="false">IF($A30="","",IF(AND(U30="new",T30="N",EW30="N",AR30="Y",EY30="N"),"Y","N"))</f>
        <v>N</v>
      </c>
      <c r="FA30" s="0" t="str">
        <f aca="false">IF($A30="","",IF(EZ30&lt;&gt;"Y","N",IF(COUNTIFS($EX$2:$EX$1000,EX30,$EZ$2:$EZ$1000,"Y",$J$2:$J$1000,"&gt;"&amp;J30)+COUNTIFS($EX$2:$EX$1000,EX30,$EZ$2:$EZ$1000,"Y",$J$2:$J$1000,J30,$FG$2:$FG$1000,"&lt;"&amp;FG30)=0,"Y","N")))</f>
        <v>N</v>
      </c>
      <c r="FB30" s="0" t="str">
        <f aca="false">IF($A30="","",IF(AND(EZ30="Y",FA30="Y",Y30&amp;""&lt;&gt;""),IF(Y30&lt;=10,"Y","N"),"N"))</f>
        <v>N</v>
      </c>
      <c r="FC30" s="0" t="str">
        <f aca="false">IF(FB30="Y",Y30,"")</f>
        <v/>
      </c>
      <c r="FD30" s="0" t="str">
        <f aca="false">IF($A30="","",IF(AND(CK30="pass",AU30="Y",AV30&lt;&gt;"Y",U30="new",EW30="N"),"Y","N"))</f>
        <v>N</v>
      </c>
      <c r="FE30" s="0" t="str">
        <f aca="false">IF(FD30&lt;&gt;"Y","",IF(COUNTIFS($FD$2:$FD$1000,"Y",$J$2:$J$1000,"&gt;"&amp;J30)+COUNTIFS($FD$2:$FD$1000,"Y",$J$2:$J$1000,J30,$FG$2:$FG$1000,"&lt;"&amp;FG30)+1&lt;=30,COUNTIFS($FD$2:$FD$1000,"Y",$J$2:$J$1000,"&gt;"&amp;J30)+COUNTIFS($FD$2:$FD$1000,"Y",$J$2:$J$1000,J30,$FG$2:$FG$1000,"&lt;"&amp;FG30)+1,""))</f>
        <v/>
      </c>
      <c r="FF30" s="0" t="str">
        <f aca="false">IF(AND(_xlfn.ISFORMULA(C30),_xlfn.ISFORMULA(J30)),"Y","N")</f>
        <v>Y</v>
      </c>
      <c r="FG30" s="0" t="n">
        <f aca="false">ROW()-1</f>
        <v>29</v>
      </c>
    </row>
    <row r="31" customFormat="false" ht="15" hidden="false" customHeight="false" outlineLevel="0" collapsed="false">
      <c r="A31" s="0" t="s">
        <v>6467</v>
      </c>
      <c r="B31" s="0" t="s">
        <v>6468</v>
      </c>
      <c r="C31" s="0" t="str">
        <f aca="false">IF($A31="","",IF(AT31="Y",BL31&amp;"",AY31&amp;""))</f>
        <v>Cason</v>
      </c>
      <c r="D31" s="0" t="str">
        <f aca="false">IF($A31="","",IF(AT31="Y",BM31&amp;"",AZ31&amp;""))</f>
        <v>Crane</v>
      </c>
      <c r="E31" s="0" t="str">
        <f aca="false">IF($A31="","",IF(AT31="Y",BN31&amp;"",BA31&amp;""))</f>
        <v>Founder and CEO</v>
      </c>
      <c r="F31" s="0" t="str">
        <f aca="false">IF($A31="","",IF(AT31="Y",BO31&amp;"",BB31&amp;""))</f>
        <v>https://www.linkedin.com/in/casoncrane/</v>
      </c>
      <c r="G31" s="0" t="str">
        <f aca="false">IF($A31="","",IF(AT31="Y",BP31&amp;"",BC31&amp;""))</f>
        <v/>
      </c>
      <c r="H31" s="0" t="str">
        <f aca="false">IF($A31="","",IF(AT31="Y",BQ31&amp;"",BD31&amp;""))</f>
        <v>none</v>
      </c>
      <c r="I31" s="0" t="str">
        <f aca="false">IF($A31="","",IF(R31="Y","warm-intro",IF(H31="verified","email",IF(C31&lt;&gt;"","linkedin",CA31&amp;""))))</f>
        <v>linkedin</v>
      </c>
      <c r="J31" s="0" t="n">
        <f aca="false">IF($A31="","",IF(CK31="pass",ROUND(N(DO31)+N(DP31)+N(DQ31)+N(DR31)+N(DS31)+N(DT31)+N(DU31)+N(DV31),0),0))</f>
        <v>59</v>
      </c>
      <c r="K31" s="0" t="str">
        <f aca="false">IF($A31="","",IF(CK31&lt;&gt;"pass",BY31&amp;"",BY31&amp;", "&amp;IF(AT31="Y",BX31&amp;"",BK31&amp;"")&amp;BZ31&amp;IF(R31="Y","; known to the founder (+10)","")&amp;"."))</f>
        <v>New York City brand, no graded store within ten blocks, online store only, news 79 days ago, revenue unknown, contact named plus a marketing lead; founder review: format.</v>
      </c>
      <c r="M31" s="0" t="s">
        <v>6144</v>
      </c>
      <c r="N31" s="0" t="s">
        <v>740</v>
      </c>
      <c r="O31" s="0" t="s">
        <v>6469</v>
      </c>
      <c r="P31" s="0" t="s">
        <v>6470</v>
      </c>
      <c r="Q31" s="0" t="s">
        <v>4090</v>
      </c>
      <c r="R31" s="5" t="s">
        <v>189</v>
      </c>
      <c r="S31" s="0" t="s">
        <v>164</v>
      </c>
      <c r="T31" s="5" t="s">
        <v>189</v>
      </c>
      <c r="U31" s="5" t="s">
        <v>3896</v>
      </c>
      <c r="V31" s="0" t="s">
        <v>6471</v>
      </c>
      <c r="W31" s="0" t="s">
        <v>263</v>
      </c>
      <c r="X31" s="0" t="s">
        <v>5578</v>
      </c>
      <c r="Y31" s="0" t="str">
        <f aca="false">IF(FA31&lt;&gt;"Y","",COUNTIFS($FA$2:$FA$1000,"Y",$J$2:$J$1000,"&gt;"&amp;J31)+COUNTIFS($FA$2:$FA$1000,"Y",$J$2:$J$1000,J31,$FG$2:$FG$1000,"&lt;"&amp;FG31)+1)</f>
        <v/>
      </c>
      <c r="Z31" s="0" t="n">
        <v>30</v>
      </c>
      <c r="AA31" s="0" t="s">
        <v>164</v>
      </c>
      <c r="AB31" s="0" t="str">
        <f aca="false">IF($A31="","",IF(AT31="Y",BW31&amp;"",BJ31&amp;""))</f>
        <v>open the LinkedIn URL and confirm it is Cason Crane, Founder and CEO at Explorer Cold Brew (found on another page, never opened)</v>
      </c>
      <c r="AC31" s="0" t="str">
        <f aca="false">IF($A31="","",IF(AT31="Y",BR31&amp;"",BE31&amp;""))</f>
        <v>founder</v>
      </c>
      <c r="AD31" s="0" t="str">
        <f aca="false">IF($A31="","",IF(AT31="Y",BS31&amp;"",BF31&amp;""))</f>
        <v>verified-page</v>
      </c>
      <c r="AE31" s="0" t="str">
        <f aca="false">IF($A31="","",IF(AT31="Y",BT31&amp;"",BG31&amp;""))</f>
        <v>employer's own site</v>
      </c>
      <c r="AF31" s="0" t="str">
        <f aca="false">IF($A31="","",IF(AT31="Y",BU31&amp;"",BH31&amp;""))</f>
        <v>https://explorercoldbrew.com/pages/meet-the-team</v>
      </c>
      <c r="AG31" s="0" t="str">
        <f aca="false">IF($A31="","",IF(AT31="Y",BV31&amp;"",BI31&amp;""))</f>
        <v>2026-10-24</v>
      </c>
      <c r="AH31" s="0" t="s">
        <v>6472</v>
      </c>
      <c r="AI31" s="0" t="s">
        <v>6473</v>
      </c>
      <c r="AJ31" s="0" t="s">
        <v>5631</v>
      </c>
      <c r="AK31" s="0" t="s">
        <v>6474</v>
      </c>
      <c r="AL31" s="0" t="s">
        <v>164</v>
      </c>
      <c r="AM31" s="0" t="s">
        <v>6475</v>
      </c>
      <c r="AN31" s="0" t="s">
        <v>6467</v>
      </c>
      <c r="AO31" s="5" t="s">
        <v>189</v>
      </c>
      <c r="AR31" s="0" t="str">
        <f aca="false">IF($A31="","",IF(AND(CK31="pass",AO31&lt;&gt;"Y",C31&lt;&gt;"",OR(AU31&lt;&gt;"Y",AV31="Y")),"Y","N"))</f>
        <v>N</v>
      </c>
      <c r="AS31" s="0" t="str">
        <f aca="false">IF($A31="","",_xlfn.TEXTJOIN("; ",TRUE(),IF(CK31&lt;&gt;"pass","gated out",""),IF(AO31="Y","on hold: "&amp;AP31,""),IF(C31="","no contact named on an opened page",""),IF(AND(AU31="Y",AV31&lt;&gt;"Y"),"founder review pending (Founder review tab)","")))</f>
        <v>founder review pending (Founder review tab)</v>
      </c>
      <c r="AU31" s="0" t="s">
        <v>164</v>
      </c>
      <c r="AY31" s="0" t="s">
        <v>6476</v>
      </c>
      <c r="AZ31" s="0" t="s">
        <v>6477</v>
      </c>
      <c r="BA31" s="0" t="s">
        <v>5670</v>
      </c>
      <c r="BB31" s="0" t="s">
        <v>6478</v>
      </c>
      <c r="BC31" s="0" t="str">
        <f aca="false">IF($A31="","",IFERROR(INDEX(Enrichment!$A$2:$GZ$2000,MATCH($A31,INDEX(Enrichment!$A$2:$GZ$2000,0,MATCH("row_id",Enrichment!$A$1:$GZ$1,0)),0),MATCH("work_email",Enrichment!$A$1:$GZ$1,0))&amp;"",""))</f>
        <v/>
      </c>
      <c r="BD31" s="0" t="str">
        <f aca="false">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none</v>
      </c>
      <c r="BE31" s="0" t="s">
        <v>5589</v>
      </c>
      <c r="BF31" s="0" t="s">
        <v>169</v>
      </c>
      <c r="BG31" s="0" t="s">
        <v>170</v>
      </c>
      <c r="BH31" s="0" t="s">
        <v>6471</v>
      </c>
      <c r="BI31" s="0" t="s">
        <v>172</v>
      </c>
      <c r="BJ31" s="0" t="s">
        <v>6479</v>
      </c>
      <c r="BK31" s="0" t="s">
        <v>5638</v>
      </c>
      <c r="BL31" s="0" t="s">
        <v>6480</v>
      </c>
      <c r="BM31" s="0" t="s">
        <v>6481</v>
      </c>
      <c r="BN31" s="0" t="s">
        <v>6482</v>
      </c>
      <c r="BP31" s="0" t="str">
        <f aca="false">IF($A31="","",IFERROR(INDEX(Enrichment!$A$2:$GZ$2000,MATCH($A31,INDEX(Enrichment!$A$2:$GZ$2000,0,MATCH("row_id",Enrichment!$A$1:$GZ$1,0)),0),MATCH("backup_work_email",Enrichment!$A$1:$GZ$1,0))&amp;"",""))</f>
        <v/>
      </c>
      <c r="BQ31" s="0" t="str">
        <f aca="false">IF($A31="","",IF(BP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none</v>
      </c>
      <c r="BR31" s="0" t="s">
        <v>5596</v>
      </c>
      <c r="BS31" s="0" t="s">
        <v>283</v>
      </c>
      <c r="BT31" s="0" t="s">
        <v>284</v>
      </c>
      <c r="BU31" s="0" t="s">
        <v>6483</v>
      </c>
      <c r="BV31" s="0" t="s">
        <v>172</v>
      </c>
      <c r="BW31" s="0" t="s">
        <v>6484</v>
      </c>
      <c r="BX31" s="0" t="s">
        <v>5599</v>
      </c>
      <c r="BY31" s="0" t="s">
        <v>6485</v>
      </c>
      <c r="BZ31" s="0" t="s">
        <v>5802</v>
      </c>
      <c r="CB31" s="0" t="s">
        <v>6486</v>
      </c>
      <c r="CD31" s="0" t="s">
        <v>6487</v>
      </c>
      <c r="CE31" s="0" t="s">
        <v>244</v>
      </c>
      <c r="CF31" s="0" t="s">
        <v>6488</v>
      </c>
      <c r="CG31" s="0" t="s">
        <v>6489</v>
      </c>
      <c r="CH31" s="0" t="s">
        <v>6490</v>
      </c>
      <c r="CJ31" s="0" t="s">
        <v>5720</v>
      </c>
      <c r="CK31" s="0" t="s">
        <v>200</v>
      </c>
      <c r="CM31" s="0" t="s">
        <v>201</v>
      </c>
      <c r="CN31" s="0" t="s">
        <v>5808</v>
      </c>
      <c r="CO31" s="0" t="s">
        <v>6474</v>
      </c>
      <c r="CP31" s="0" t="s">
        <v>5608</v>
      </c>
      <c r="CQ31" s="0" t="s">
        <v>5609</v>
      </c>
      <c r="CR31" s="0" t="s">
        <v>209</v>
      </c>
      <c r="CT31" s="0" t="s">
        <v>209</v>
      </c>
      <c r="CU31" s="0" t="s">
        <v>6491</v>
      </c>
      <c r="CV31" s="0" t="s">
        <v>164</v>
      </c>
      <c r="CW31" s="0" t="s">
        <v>164</v>
      </c>
      <c r="CX31" s="0" t="s">
        <v>209</v>
      </c>
      <c r="CZ31" s="0" t="s">
        <v>6456</v>
      </c>
      <c r="DA31" s="0" t="s">
        <v>189</v>
      </c>
      <c r="DB31" s="0" t="s">
        <v>189</v>
      </c>
      <c r="DE31" s="0" t="s">
        <v>189</v>
      </c>
      <c r="DF31" s="0" t="n">
        <v>0</v>
      </c>
      <c r="DI31" s="0" t="s">
        <v>6492</v>
      </c>
      <c r="DK31" s="0" t="s">
        <v>5617</v>
      </c>
      <c r="DL31" s="0" t="n">
        <v>79</v>
      </c>
      <c r="DM31" s="0" t="s">
        <v>6470</v>
      </c>
      <c r="DN31" s="0" t="n">
        <v>59</v>
      </c>
      <c r="DO31" s="0" t="n">
        <v>6</v>
      </c>
      <c r="DP31" s="0" t="n">
        <v>20</v>
      </c>
      <c r="DQ31" s="0" t="n">
        <v>15</v>
      </c>
      <c r="DR31" s="0" t="n">
        <v>5</v>
      </c>
      <c r="DS31" s="0" t="n">
        <v>7</v>
      </c>
      <c r="DT31" s="0" t="n">
        <v>10</v>
      </c>
      <c r="DU31" s="0" t="n">
        <f aca="false">IF($A31="","",IF(R31="Y",10,0))</f>
        <v>0</v>
      </c>
      <c r="DV31" s="0" t="n">
        <v>-4</v>
      </c>
      <c r="DW31" s="0" t="s">
        <v>209</v>
      </c>
      <c r="DX31" s="0" t="s">
        <v>6462</v>
      </c>
      <c r="DY31" s="0" t="s">
        <v>6493</v>
      </c>
      <c r="DZ31" s="0" t="s">
        <v>6494</v>
      </c>
      <c r="EA31" s="0" t="s">
        <v>6495</v>
      </c>
      <c r="EV31" s="0" t="str">
        <f aca="false">IF($A31="","",IF(ISNUMBER(MATCH(U31,{"queued","contacted","replied","call_booked","call_done","yes_in_principle","materials_sent"},0)),"Y","N"))</f>
        <v>N</v>
      </c>
      <c r="EW31" s="0" t="str">
        <f aca="false">IF($A31="","",IF(OR(T31="Y",U31="do_not_contact",AQ31&amp;""&lt;&gt;""),"Y","N"))</f>
        <v>N</v>
      </c>
      <c r="EX31" s="0" t="str">
        <f aca="false">IF($A31="","",IF(AN31&amp;""&lt;&gt;"",AN31&amp;"",$A31))</f>
        <v>AB-172</v>
      </c>
      <c r="EY31" s="0" t="str">
        <f aca="false">IF($A31="","",IF(COUNTIFS($EX$2:$EX$1000,EX31,$EV$2:$EV$1000,"Y")+COUNTIFS($EX$2:$EX$1000,EX31,$EW$2:$EW$1000,"Y")&gt;0,"Y","N"))</f>
        <v>N</v>
      </c>
      <c r="EZ31" s="0" t="str">
        <f aca="false">IF($A31="","",IF(AND(U31="new",T31="N",EW31="N",AR31="Y",EY31="N"),"Y","N"))</f>
        <v>N</v>
      </c>
      <c r="FA31" s="0" t="str">
        <f aca="false">IF($A31="","",IF(EZ31&lt;&gt;"Y","N",IF(COUNTIFS($EX$2:$EX$1000,EX31,$EZ$2:$EZ$1000,"Y",$J$2:$J$1000,"&gt;"&amp;J31)+COUNTIFS($EX$2:$EX$1000,EX31,$EZ$2:$EZ$1000,"Y",$J$2:$J$1000,J31,$FG$2:$FG$1000,"&lt;"&amp;FG31)=0,"Y","N")))</f>
        <v>N</v>
      </c>
      <c r="FB31" s="0" t="str">
        <f aca="false">IF($A31="","",IF(AND(EZ31="Y",FA31="Y",Y31&amp;""&lt;&gt;""),IF(Y31&lt;=10,"Y","N"),"N"))</f>
        <v>N</v>
      </c>
      <c r="FC31" s="0" t="str">
        <f aca="false">IF(FB31="Y",Y31,"")</f>
        <v/>
      </c>
      <c r="FD31" s="0" t="str">
        <f aca="false">IF($A31="","",IF(AND(CK31="pass",AU31="Y",AV31&lt;&gt;"Y",U31="new",EW31="N"),"Y","N"))</f>
        <v>Y</v>
      </c>
      <c r="FE31" s="0" t="n">
        <f aca="false">IF(FD31&lt;&gt;"Y","",IF(COUNTIFS($FD$2:$FD$1000,"Y",$J$2:$J$1000,"&gt;"&amp;J31)+COUNTIFS($FD$2:$FD$1000,"Y",$J$2:$J$1000,J31,$FG$2:$FG$1000,"&lt;"&amp;FG31)+1&lt;=30,COUNTIFS($FD$2:$FD$1000,"Y",$J$2:$J$1000,"&gt;"&amp;J31)+COUNTIFS($FD$2:$FD$1000,"Y",$J$2:$J$1000,J31,$FG$2:$FG$1000,"&lt;"&amp;FG31)+1,""))</f>
        <v>11</v>
      </c>
      <c r="FF31" s="0" t="str">
        <f aca="false">IF(AND(_xlfn.ISFORMULA(C31),_xlfn.ISFORMULA(J31)),"Y","N")</f>
        <v>Y</v>
      </c>
      <c r="FG31" s="0" t="n">
        <f aca="false">ROW()-1</f>
        <v>30</v>
      </c>
    </row>
    <row r="32" customFormat="false" ht="15" hidden="false" customHeight="false" outlineLevel="0" collapsed="false">
      <c r="A32" s="0" t="s">
        <v>6496</v>
      </c>
      <c r="B32" s="0" t="s">
        <v>6497</v>
      </c>
      <c r="C32" s="0" t="str">
        <f aca="false">IF($A32="","",IF(AT32="Y",BL32&amp;"",AY32&amp;""))</f>
        <v>Joan</v>
      </c>
      <c r="D32" s="0" t="str">
        <f aca="false">IF($A32="","",IF(AT32="Y",BM32&amp;"",AZ32&amp;""))</f>
        <v>MacIsaac</v>
      </c>
      <c r="E32" s="0" t="str">
        <f aca="false">IF($A32="","",IF(AT32="Y",BN32&amp;"",BA32&amp;""))</f>
        <v>Co-founder</v>
      </c>
      <c r="F32" s="0" t="str">
        <f aca="false">IF($A32="","",IF(AT32="Y",BO32&amp;"",BB32&amp;""))</f>
        <v/>
      </c>
      <c r="G32" s="0" t="str">
        <f aca="false">IF($A32="","",IF(AT32="Y",BP32&amp;"",BC32&amp;""))</f>
        <v/>
      </c>
      <c r="H32" s="0" t="str">
        <f aca="false">IF($A32="","",IF(AT32="Y",BQ32&amp;"",BD32&amp;""))</f>
        <v>none</v>
      </c>
      <c r="I32" s="0" t="str">
        <f aca="false">IF($A32="","",IF(R32="Y","warm-intro",IF(H32="verified","email",IF(C32&lt;&gt;"","linkedin",CA32&amp;""))))</f>
        <v>linkedin</v>
      </c>
      <c r="J32" s="0" t="n">
        <f aca="false">IF($A32="","",IF(CK32="pass",ROUND(N(DO32)+N(DP32)+N(DQ32)+N(DR32)+N(DS32)+N(DT32)+N(DU32)+N(DV32),0),0))</f>
        <v>57</v>
      </c>
      <c r="K32" s="0" t="str">
        <f aca="false">IF($A32="","",IF(CK32&lt;&gt;"pass",BY32&amp;"",BY32&amp;", "&amp;IF(AT32="Y",BX32&amp;"",BK32&amp;"")&amp;BZ32&amp;IF(R32="Y","; known to the founder (+10)","")&amp;"."))</f>
        <v>Northeast brand, store page shows Whole Foods Market NoMad inside the cluster, news 5 days ago, revenue unknown, contact named; founder review: scale.</v>
      </c>
      <c r="M32" s="0" t="s">
        <v>5572</v>
      </c>
      <c r="N32" s="0" t="s">
        <v>5573</v>
      </c>
      <c r="O32" s="0" t="s">
        <v>6498</v>
      </c>
      <c r="P32" s="0" t="s">
        <v>6499</v>
      </c>
      <c r="Q32" s="0" t="s">
        <v>2985</v>
      </c>
      <c r="R32" s="5" t="s">
        <v>189</v>
      </c>
      <c r="S32" s="0" t="s">
        <v>209</v>
      </c>
      <c r="T32" s="5" t="s">
        <v>189</v>
      </c>
      <c r="U32" s="5" t="s">
        <v>3896</v>
      </c>
      <c r="V32" s="0" t="s">
        <v>6499</v>
      </c>
      <c r="W32" s="0" t="s">
        <v>172</v>
      </c>
      <c r="X32" s="0" t="s">
        <v>5578</v>
      </c>
      <c r="Y32" s="0" t="str">
        <f aca="false">IF(FA32&lt;&gt;"Y","",COUNTIFS($FA$2:$FA$1000,"Y",$J$2:$J$1000,"&gt;"&amp;J32)+COUNTIFS($FA$2:$FA$1000,"Y",$J$2:$J$1000,J32,$FG$2:$FG$1000,"&lt;"&amp;FG32)+1)</f>
        <v/>
      </c>
      <c r="Z32" s="0" t="n">
        <v>31</v>
      </c>
      <c r="AA32" s="0" t="s">
        <v>164</v>
      </c>
      <c r="AB32" s="0" t="str">
        <f aca="false">IF($A32="","",IF(AT32="Y",BW32&amp;"",BJ32&amp;""))</f>
        <v>find Joan MacIsaac at Effie's Homemade on LinkedIn and paste the profile URL into primary_linkedin_url; use the Whole Foods Market NoMad line only if retailer_checked_date is this week's Friday check</v>
      </c>
      <c r="AC32" s="0" t="str">
        <f aca="false">IF($A32="","",IF(AT32="Y",BR32&amp;"",BE32&amp;""))</f>
        <v>founder</v>
      </c>
      <c r="AD32" s="0" t="str">
        <f aca="false">IF($A32="","",IF(AT32="Y",BS32&amp;"",BF32&amp;""))</f>
        <v>verified-page</v>
      </c>
      <c r="AE32" s="0" t="str">
        <f aca="false">IF($A32="","",IF(AT32="Y",BT32&amp;"",BG32&amp;""))</f>
        <v>press, event or podcast page</v>
      </c>
      <c r="AF32" s="0" t="str">
        <f aca="false">IF($A32="","",IF(AT32="Y",BU32&amp;"",BH32&amp;""))</f>
        <v>https://blog.harryanddavid.com/articles/profiles/effies-homemade-oatcake</v>
      </c>
      <c r="AG32" s="0" t="str">
        <f aca="false">IF($A32="","",IF(AT32="Y",BV32&amp;"",BI32&amp;""))</f>
        <v>2026-10-24</v>
      </c>
      <c r="AH32" s="0" t="s">
        <v>6500</v>
      </c>
      <c r="AI32" s="0" t="s">
        <v>5630</v>
      </c>
      <c r="AJ32" s="0" t="s">
        <v>6501</v>
      </c>
      <c r="AK32" s="0" t="s">
        <v>6502</v>
      </c>
      <c r="AL32" s="0" t="s">
        <v>164</v>
      </c>
      <c r="AM32" s="0" t="s">
        <v>6503</v>
      </c>
      <c r="AN32" s="0" t="s">
        <v>6496</v>
      </c>
      <c r="AO32" s="5" t="s">
        <v>189</v>
      </c>
      <c r="AR32" s="0" t="str">
        <f aca="false">IF($A32="","",IF(AND(CK32="pass",AO32&lt;&gt;"Y",C32&lt;&gt;"",OR(AU32&lt;&gt;"Y",AV32="Y")),"Y","N"))</f>
        <v>N</v>
      </c>
      <c r="AS32" s="0" t="str">
        <f aca="false">IF($A32="","",_xlfn.TEXTJOIN("; ",TRUE(),IF(CK32&lt;&gt;"pass","gated out",""),IF(AO32="Y","on hold: "&amp;AP32,""),IF(C32="","no contact named on an opened page",""),IF(AND(AU32="Y",AV32&lt;&gt;"Y"),"founder review pending (Founder review tab)","")))</f>
        <v>founder review pending (Founder review tab)</v>
      </c>
      <c r="AU32" s="0" t="s">
        <v>164</v>
      </c>
      <c r="AX32" s="0" t="s">
        <v>6504</v>
      </c>
      <c r="AY32" s="0" t="s">
        <v>232</v>
      </c>
      <c r="AZ32" s="0" t="s">
        <v>6505</v>
      </c>
      <c r="BA32" s="0" t="s">
        <v>5636</v>
      </c>
      <c r="BC32" s="0" t="str">
        <f aca="false">IF($A32="","",IFERROR(INDEX(Enrichment!$A$2:$GZ$2000,MATCH($A32,INDEX(Enrichment!$A$2:$GZ$2000,0,MATCH("row_id",Enrichment!$A$1:$GZ$1,0)),0),MATCH("work_email",Enrichment!$A$1:$GZ$1,0))&amp;"",""))</f>
        <v/>
      </c>
      <c r="BD32" s="0" t="str">
        <f aca="false">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none</v>
      </c>
      <c r="BE32" s="0" t="s">
        <v>5589</v>
      </c>
      <c r="BF32" s="0" t="s">
        <v>169</v>
      </c>
      <c r="BG32" s="0" t="s">
        <v>1252</v>
      </c>
      <c r="BH32" s="0" t="s">
        <v>6506</v>
      </c>
      <c r="BI32" s="0" t="s">
        <v>172</v>
      </c>
      <c r="BJ32" s="0" t="s">
        <v>6507</v>
      </c>
      <c r="BK32" s="0" t="s">
        <v>5643</v>
      </c>
      <c r="BL32" s="0" t="s">
        <v>6508</v>
      </c>
      <c r="BM32" s="0" t="s">
        <v>6509</v>
      </c>
      <c r="BN32" s="0" t="s">
        <v>5636</v>
      </c>
      <c r="BP32" s="0" t="str">
        <f aca="false">IF($A32="","",IFERROR(INDEX(Enrichment!$A$2:$GZ$2000,MATCH($A32,INDEX(Enrichment!$A$2:$GZ$2000,0,MATCH("row_id",Enrichment!$A$1:$GZ$1,0)),0),MATCH("backup_work_email",Enrichment!$A$1:$GZ$1,0))&amp;"",""))</f>
        <v/>
      </c>
      <c r="BQ32" s="0" t="str">
        <f aca="false">IF($A32="","",IF(BP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none</v>
      </c>
      <c r="BR32" s="0" t="s">
        <v>5712</v>
      </c>
      <c r="BS32" s="0" t="s">
        <v>169</v>
      </c>
      <c r="BT32" s="0" t="s">
        <v>1252</v>
      </c>
      <c r="BU32" s="0" t="s">
        <v>6506</v>
      </c>
      <c r="BV32" s="0" t="s">
        <v>172</v>
      </c>
      <c r="BW32" s="0" t="s">
        <v>6510</v>
      </c>
      <c r="BX32" s="0" t="s">
        <v>5643</v>
      </c>
      <c r="BY32" s="0" t="s">
        <v>6511</v>
      </c>
      <c r="BZ32" s="0" t="s">
        <v>6512</v>
      </c>
      <c r="CB32" s="0" t="s">
        <v>6513</v>
      </c>
      <c r="CD32" s="0" t="s">
        <v>6514</v>
      </c>
      <c r="CF32" s="0" t="s">
        <v>6515</v>
      </c>
      <c r="CH32" s="0" t="s">
        <v>6423</v>
      </c>
      <c r="CJ32" s="0" t="s">
        <v>5606</v>
      </c>
      <c r="CK32" s="0" t="s">
        <v>200</v>
      </c>
      <c r="CM32" s="0" t="s">
        <v>201</v>
      </c>
      <c r="CN32" s="0" t="s">
        <v>6516</v>
      </c>
      <c r="CO32" s="0" t="s">
        <v>6517</v>
      </c>
      <c r="CP32" s="0" t="s">
        <v>6083</v>
      </c>
      <c r="CQ32" s="0" t="s">
        <v>6084</v>
      </c>
      <c r="CR32" s="0" t="s">
        <v>209</v>
      </c>
      <c r="CT32" s="0" t="s">
        <v>164</v>
      </c>
      <c r="CU32" s="0" t="s">
        <v>6518</v>
      </c>
      <c r="CV32" s="0" t="s">
        <v>164</v>
      </c>
      <c r="CW32" s="0" t="s">
        <v>164</v>
      </c>
      <c r="CX32" s="0" t="s">
        <v>209</v>
      </c>
      <c r="CZ32" s="0" t="s">
        <v>6519</v>
      </c>
      <c r="DA32" s="0" t="s">
        <v>189</v>
      </c>
      <c r="DB32" s="0" t="s">
        <v>189</v>
      </c>
      <c r="DD32" s="0" t="n">
        <v>0</v>
      </c>
      <c r="DE32" s="0" t="s">
        <v>164</v>
      </c>
      <c r="DF32" s="0" t="n">
        <v>3</v>
      </c>
      <c r="DG32" s="0" t="s">
        <v>5686</v>
      </c>
      <c r="DI32" s="0" t="s">
        <v>6520</v>
      </c>
      <c r="DJ32" s="0" t="s">
        <v>6521</v>
      </c>
      <c r="DK32" s="0" t="s">
        <v>5617</v>
      </c>
      <c r="DL32" s="0" t="n">
        <v>5</v>
      </c>
      <c r="DN32" s="0" t="n">
        <v>57</v>
      </c>
      <c r="DO32" s="0" t="n">
        <v>25</v>
      </c>
      <c r="DP32" s="0" t="n">
        <v>8</v>
      </c>
      <c r="DQ32" s="0" t="n">
        <v>15</v>
      </c>
      <c r="DR32" s="0" t="n">
        <v>5</v>
      </c>
      <c r="DS32" s="0" t="n">
        <v>10</v>
      </c>
      <c r="DT32" s="0" t="n">
        <v>6</v>
      </c>
      <c r="DU32" s="0" t="n">
        <f aca="false">IF($A32="","",IF(R32="Y",10,0))</f>
        <v>0</v>
      </c>
      <c r="DV32" s="0" t="n">
        <v>-12</v>
      </c>
      <c r="DW32" s="0" t="s">
        <v>6522</v>
      </c>
      <c r="DX32" s="0" t="s">
        <v>5998</v>
      </c>
      <c r="DY32" s="0" t="s">
        <v>6523</v>
      </c>
      <c r="DZ32" s="0" t="s">
        <v>6524</v>
      </c>
      <c r="EV32" s="0" t="str">
        <f aca="false">IF($A32="","",IF(ISNUMBER(MATCH(U32,{"queued","contacted","replied","call_booked","call_done","yes_in_principle","materials_sent"},0)),"Y","N"))</f>
        <v>N</v>
      </c>
      <c r="EW32" s="0" t="str">
        <f aca="false">IF($A32="","",IF(OR(T32="Y",U32="do_not_contact",AQ32&amp;""&lt;&gt;""),"Y","N"))</f>
        <v>N</v>
      </c>
      <c r="EX32" s="0" t="str">
        <f aca="false">IF($A32="","",IF(AN32&amp;""&lt;&gt;"",AN32&amp;"",$A32))</f>
        <v>AB-285</v>
      </c>
      <c r="EY32" s="0" t="str">
        <f aca="false">IF($A32="","",IF(COUNTIFS($EX$2:$EX$1000,EX32,$EV$2:$EV$1000,"Y")+COUNTIFS($EX$2:$EX$1000,EX32,$EW$2:$EW$1000,"Y")&gt;0,"Y","N"))</f>
        <v>N</v>
      </c>
      <c r="EZ32" s="0" t="str">
        <f aca="false">IF($A32="","",IF(AND(U32="new",T32="N",EW32="N",AR32="Y",EY32="N"),"Y","N"))</f>
        <v>N</v>
      </c>
      <c r="FA32" s="0" t="str">
        <f aca="false">IF($A32="","",IF(EZ32&lt;&gt;"Y","N",IF(COUNTIFS($EX$2:$EX$1000,EX32,$EZ$2:$EZ$1000,"Y",$J$2:$J$1000,"&gt;"&amp;J32)+COUNTIFS($EX$2:$EX$1000,EX32,$EZ$2:$EZ$1000,"Y",$J$2:$J$1000,J32,$FG$2:$FG$1000,"&lt;"&amp;FG32)=0,"Y","N")))</f>
        <v>N</v>
      </c>
      <c r="FB32" s="0" t="str">
        <f aca="false">IF($A32="","",IF(AND(EZ32="Y",FA32="Y",Y32&amp;""&lt;&gt;""),IF(Y32&lt;=10,"Y","N"),"N"))</f>
        <v>N</v>
      </c>
      <c r="FC32" s="0" t="str">
        <f aca="false">IF(FB32="Y",Y32,"")</f>
        <v/>
      </c>
      <c r="FD32" s="0" t="str">
        <f aca="false">IF($A32="","",IF(AND(CK32="pass",AU32="Y",AV32&lt;&gt;"Y",U32="new",EW32="N"),"Y","N"))</f>
        <v>Y</v>
      </c>
      <c r="FE32" s="0" t="n">
        <f aca="false">IF(FD32&lt;&gt;"Y","",IF(COUNTIFS($FD$2:$FD$1000,"Y",$J$2:$J$1000,"&gt;"&amp;J32)+COUNTIFS($FD$2:$FD$1000,"Y",$J$2:$J$1000,J32,$FG$2:$FG$1000,"&lt;"&amp;FG32)+1&lt;=30,COUNTIFS($FD$2:$FD$1000,"Y",$J$2:$J$1000,"&gt;"&amp;J32)+COUNTIFS($FD$2:$FD$1000,"Y",$J$2:$J$1000,J32,$FG$2:$FG$1000,"&lt;"&amp;FG32)+1,""))</f>
        <v>12</v>
      </c>
      <c r="FF32" s="0" t="str">
        <f aca="false">IF(AND(_xlfn.ISFORMULA(C32),_xlfn.ISFORMULA(J32)),"Y","N")</f>
        <v>Y</v>
      </c>
      <c r="FG32" s="0" t="n">
        <f aca="false">ROW()-1</f>
        <v>31</v>
      </c>
    </row>
    <row r="33" customFormat="false" ht="15" hidden="false" customHeight="false" outlineLevel="0" collapsed="false">
      <c r="A33" s="0" t="s">
        <v>6525</v>
      </c>
      <c r="B33" s="0" t="s">
        <v>6526</v>
      </c>
      <c r="C33" s="0" t="str">
        <f aca="false">IF($A33="","",IF(AT33="Y",BL33&amp;"",AY33&amp;""))</f>
        <v>Simon</v>
      </c>
      <c r="D33" s="0" t="str">
        <f aca="false">IF($A33="","",IF(AT33="Y",BM33&amp;"",AZ33&amp;""))</f>
        <v>Sacal</v>
      </c>
      <c r="E33" s="0" t="str">
        <f aca="false">IF($A33="","",IF(AT33="Y",BN33&amp;"",BA33&amp;""))</f>
        <v>Founder and CEO</v>
      </c>
      <c r="F33" s="0" t="str">
        <f aca="false">IF($A33="","",IF(AT33="Y",BO33&amp;"",BB33&amp;""))</f>
        <v/>
      </c>
      <c r="G33" s="0" t="str">
        <f aca="false">IF($A33="","",IF(AT33="Y",BP33&amp;"",BC33&amp;""))</f>
        <v/>
      </c>
      <c r="H33" s="0" t="str">
        <f aca="false">IF($A33="","",IF(AT33="Y",BQ33&amp;"",BD33&amp;""))</f>
        <v>none</v>
      </c>
      <c r="I33" s="0" t="str">
        <f aca="false">IF($A33="","",IF(R33="Y","warm-intro",IF(H33="verified","email",IF(C33&lt;&gt;"","linkedin",CA33&amp;""))))</f>
        <v>linkedin</v>
      </c>
      <c r="J33" s="0" t="n">
        <f aca="false">IF($A33="","",IF(CK33="pass",ROUND(N(DO33)+N(DP33)+N(DQ33)+N(DR33)+N(DS33)+N(DT33)+N(DU33)+N(DV33),0),0))</f>
        <v>56</v>
      </c>
      <c r="K33" s="0" t="str">
        <f aca="false">IF($A33="","",IF(CK33&lt;&gt;"pass",BY33&amp;"",BY33&amp;", "&amp;IF(AT33="Y",BX33&amp;"",BK33&amp;"")&amp;BZ33&amp;IF(R33="Y","; known to the founder (+10)","")&amp;"."))</f>
        <v>Brand based outside the Northeast, store page shows Whole Foods Market NoMad inside the cluster, news 66 days ago, revenue unknown, contact named plus a marketing lead; founder review: scale.</v>
      </c>
      <c r="M33" s="0" t="s">
        <v>5572</v>
      </c>
      <c r="N33" s="0" t="s">
        <v>5573</v>
      </c>
      <c r="O33" s="0" t="s">
        <v>6527</v>
      </c>
      <c r="P33" s="0" t="s">
        <v>6528</v>
      </c>
      <c r="Q33" s="0" t="s">
        <v>6529</v>
      </c>
      <c r="R33" s="5" t="s">
        <v>189</v>
      </c>
      <c r="S33" s="0" t="s">
        <v>209</v>
      </c>
      <c r="T33" s="5" t="s">
        <v>189</v>
      </c>
      <c r="U33" s="5" t="s">
        <v>3896</v>
      </c>
      <c r="V33" s="0" t="s">
        <v>6530</v>
      </c>
      <c r="W33" s="0" t="s">
        <v>263</v>
      </c>
      <c r="X33" s="0" t="s">
        <v>5578</v>
      </c>
      <c r="Y33" s="0" t="str">
        <f aca="false">IF(FA33&lt;&gt;"Y","",COUNTIFS($FA$2:$FA$1000,"Y",$J$2:$J$1000,"&gt;"&amp;J33)+COUNTIFS($FA$2:$FA$1000,"Y",$J$2:$J$1000,J33,$FG$2:$FG$1000,"&lt;"&amp;FG33)+1)</f>
        <v/>
      </c>
      <c r="Z33" s="0" t="n">
        <v>32</v>
      </c>
      <c r="AA33" s="0" t="s">
        <v>164</v>
      </c>
      <c r="AB33" s="0" t="str">
        <f aca="false">IF($A33="","",IF(AT33="Y",BW33&amp;"",BJ33&amp;""))</f>
        <v>find Simon Sacal at Solely on LinkedIn and paste the profile URL into primary_linkedin_url; use the Whole Foods Market NoMad line only if retailer_checked_date is this week's Friday check</v>
      </c>
      <c r="AC33" s="0" t="str">
        <f aca="false">IF($A33="","",IF(AT33="Y",BR33&amp;"",BE33&amp;""))</f>
        <v>founder</v>
      </c>
      <c r="AD33" s="0" t="str">
        <f aca="false">IF($A33="","",IF(AT33="Y",BS33&amp;"",BF33&amp;""))</f>
        <v>verified-page</v>
      </c>
      <c r="AE33" s="0" t="str">
        <f aca="false">IF($A33="","",IF(AT33="Y",BT33&amp;"",BG33&amp;""))</f>
        <v>press, event or podcast page</v>
      </c>
      <c r="AF33" s="0" t="str">
        <f aca="false">IF($A33="","",IF(AT33="Y",BU33&amp;"",BH33&amp;""))</f>
        <v>https://karagoldin.com/podcasts/simon-sacal/</v>
      </c>
      <c r="AG33" s="0" t="str">
        <f aca="false">IF($A33="","",IF(AT33="Y",BV33&amp;"",BI33&amp;""))</f>
        <v>2026-10-24</v>
      </c>
      <c r="AH33" s="0" t="s">
        <v>6531</v>
      </c>
      <c r="AI33" s="0" t="s">
        <v>6532</v>
      </c>
      <c r="AJ33" s="0" t="s">
        <v>6533</v>
      </c>
      <c r="AK33" s="0" t="s">
        <v>6534</v>
      </c>
      <c r="AL33" s="0" t="s">
        <v>164</v>
      </c>
      <c r="AM33" s="0" t="s">
        <v>6535</v>
      </c>
      <c r="AN33" s="0" t="s">
        <v>6525</v>
      </c>
      <c r="AO33" s="5" t="s">
        <v>189</v>
      </c>
      <c r="AR33" s="0" t="str">
        <f aca="false">IF($A33="","",IF(AND(CK33="pass",AO33&lt;&gt;"Y",C33&lt;&gt;"",OR(AU33&lt;&gt;"Y",AV33="Y")),"Y","N"))</f>
        <v>N</v>
      </c>
      <c r="AS33" s="0" t="str">
        <f aca="false">IF($A33="","",_xlfn.TEXTJOIN("; ",TRUE(),IF(CK33&lt;&gt;"pass","gated out",""),IF(AO33="Y","on hold: "&amp;AP33,""),IF(C33="","no contact named on an opened page",""),IF(AND(AU33="Y",AV33&lt;&gt;"Y"),"founder review pending (Founder review tab)","")))</f>
        <v>founder review pending (Founder review tab)</v>
      </c>
      <c r="AU33" s="0" t="s">
        <v>164</v>
      </c>
      <c r="AX33" s="0" t="s">
        <v>6536</v>
      </c>
      <c r="AY33" s="0" t="s">
        <v>6537</v>
      </c>
      <c r="AZ33" s="0" t="s">
        <v>6538</v>
      </c>
      <c r="BA33" s="0" t="s">
        <v>5670</v>
      </c>
      <c r="BC33" s="0" t="str">
        <f aca="false">IF($A33="","",IFERROR(INDEX(Enrichment!$A$2:$GZ$2000,MATCH($A33,INDEX(Enrichment!$A$2:$GZ$2000,0,MATCH("row_id",Enrichment!$A$1:$GZ$1,0)),0),MATCH("work_email",Enrichment!$A$1:$GZ$1,0))&amp;"",""))</f>
        <v/>
      </c>
      <c r="BD33" s="0" t="str">
        <f aca="false">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none</v>
      </c>
      <c r="BE33" s="0" t="s">
        <v>5589</v>
      </c>
      <c r="BF33" s="0" t="s">
        <v>169</v>
      </c>
      <c r="BG33" s="0" t="s">
        <v>1252</v>
      </c>
      <c r="BH33" s="0" t="s">
        <v>6539</v>
      </c>
      <c r="BI33" s="0" t="s">
        <v>172</v>
      </c>
      <c r="BJ33" s="0" t="s">
        <v>6540</v>
      </c>
      <c r="BK33" s="0" t="s">
        <v>5638</v>
      </c>
      <c r="BL33" s="0" t="s">
        <v>6541</v>
      </c>
      <c r="BM33" s="0" t="s">
        <v>6542</v>
      </c>
      <c r="BN33" s="0" t="s">
        <v>5675</v>
      </c>
      <c r="BP33" s="0" t="str">
        <f aca="false">IF($A33="","",IFERROR(INDEX(Enrichment!$A$2:$GZ$2000,MATCH($A33,INDEX(Enrichment!$A$2:$GZ$2000,0,MATCH("row_id",Enrichment!$A$1:$GZ$1,0)),0),MATCH("backup_work_email",Enrichment!$A$1:$GZ$1,0))&amp;"",""))</f>
        <v/>
      </c>
      <c r="BQ33" s="0" t="str">
        <f aca="false">IF($A33="","",IF(BP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none</v>
      </c>
      <c r="BR33" s="0" t="s">
        <v>5596</v>
      </c>
      <c r="BS33" s="0" t="s">
        <v>283</v>
      </c>
      <c r="BT33" s="0" t="s">
        <v>284</v>
      </c>
      <c r="BU33" s="0" t="s">
        <v>6543</v>
      </c>
      <c r="BV33" s="0" t="s">
        <v>172</v>
      </c>
      <c r="BW33" s="0" t="s">
        <v>6544</v>
      </c>
      <c r="BX33" s="0" t="s">
        <v>5599</v>
      </c>
      <c r="BY33" s="0" t="s">
        <v>6545</v>
      </c>
      <c r="BZ33" s="0" t="s">
        <v>6512</v>
      </c>
      <c r="CB33" s="0" t="s">
        <v>6546</v>
      </c>
      <c r="CC33" s="0" t="s">
        <v>6192</v>
      </c>
      <c r="CD33" s="0" t="s">
        <v>6547</v>
      </c>
      <c r="CF33" s="0" t="s">
        <v>6548</v>
      </c>
      <c r="CG33" s="0" t="s">
        <v>973</v>
      </c>
      <c r="CH33" s="0" t="s">
        <v>6549</v>
      </c>
      <c r="CJ33" s="0" t="s">
        <v>5606</v>
      </c>
      <c r="CK33" s="0" t="s">
        <v>200</v>
      </c>
      <c r="CM33" s="0" t="s">
        <v>201</v>
      </c>
      <c r="CN33" s="0" t="s">
        <v>6516</v>
      </c>
      <c r="CO33" s="0" t="s">
        <v>6534</v>
      </c>
      <c r="CP33" s="0" t="s">
        <v>6550</v>
      </c>
      <c r="CQ33" s="0" t="s">
        <v>6198</v>
      </c>
      <c r="CR33" s="0" t="s">
        <v>209</v>
      </c>
      <c r="CT33" s="0" t="s">
        <v>164</v>
      </c>
      <c r="CU33" s="0" t="s">
        <v>6551</v>
      </c>
      <c r="CV33" s="0" t="s">
        <v>164</v>
      </c>
      <c r="CW33" s="0" t="s">
        <v>164</v>
      </c>
      <c r="CX33" s="0" t="s">
        <v>209</v>
      </c>
      <c r="CZ33" s="0" t="s">
        <v>209</v>
      </c>
      <c r="DA33" s="0" t="s">
        <v>189</v>
      </c>
      <c r="DB33" s="0" t="s">
        <v>189</v>
      </c>
      <c r="DD33" s="0" t="n">
        <v>0</v>
      </c>
      <c r="DE33" s="0" t="s">
        <v>164</v>
      </c>
      <c r="DF33" s="0" t="n">
        <v>3</v>
      </c>
      <c r="DG33" s="0" t="s">
        <v>5686</v>
      </c>
      <c r="DI33" s="0" t="s">
        <v>6552</v>
      </c>
      <c r="DJ33" s="0" t="s">
        <v>6553</v>
      </c>
      <c r="DK33" s="0" t="s">
        <v>5617</v>
      </c>
      <c r="DL33" s="0" t="n">
        <v>66</v>
      </c>
      <c r="DN33" s="0" t="n">
        <v>56</v>
      </c>
      <c r="DO33" s="0" t="n">
        <v>25</v>
      </c>
      <c r="DP33" s="0" t="n">
        <v>3</v>
      </c>
      <c r="DQ33" s="0" t="n">
        <v>15</v>
      </c>
      <c r="DR33" s="0" t="n">
        <v>5</v>
      </c>
      <c r="DS33" s="0" t="n">
        <v>10</v>
      </c>
      <c r="DT33" s="0" t="n">
        <v>10</v>
      </c>
      <c r="DU33" s="0" t="n">
        <f aca="false">IF($A33="","",IF(R33="Y",10,0))</f>
        <v>0</v>
      </c>
      <c r="DV33" s="0" t="n">
        <v>-12</v>
      </c>
      <c r="DW33" s="0" t="s">
        <v>6554</v>
      </c>
      <c r="DX33" s="0" t="s">
        <v>5691</v>
      </c>
      <c r="DY33" s="0" t="s">
        <v>6555</v>
      </c>
      <c r="DZ33" s="0" t="s">
        <v>6556</v>
      </c>
      <c r="EA33" s="0" t="s">
        <v>6557</v>
      </c>
      <c r="EV33" s="0" t="str">
        <f aca="false">IF($A33="","",IF(ISNUMBER(MATCH(U33,{"queued","contacted","replied","call_booked","call_done","yes_in_principle","materials_sent"},0)),"Y","N"))</f>
        <v>N</v>
      </c>
      <c r="EW33" s="0" t="str">
        <f aca="false">IF($A33="","",IF(OR(T33="Y",U33="do_not_contact",AQ33&amp;""&lt;&gt;""),"Y","N"))</f>
        <v>N</v>
      </c>
      <c r="EX33" s="0" t="str">
        <f aca="false">IF($A33="","",IF(AN33&amp;""&lt;&gt;"",AN33&amp;"",$A33))</f>
        <v>AB-107</v>
      </c>
      <c r="EY33" s="0" t="str">
        <f aca="false">IF($A33="","",IF(COUNTIFS($EX$2:$EX$1000,EX33,$EV$2:$EV$1000,"Y")+COUNTIFS($EX$2:$EX$1000,EX33,$EW$2:$EW$1000,"Y")&gt;0,"Y","N"))</f>
        <v>N</v>
      </c>
      <c r="EZ33" s="0" t="str">
        <f aca="false">IF($A33="","",IF(AND(U33="new",T33="N",EW33="N",AR33="Y",EY33="N"),"Y","N"))</f>
        <v>N</v>
      </c>
      <c r="FA33" s="0" t="str">
        <f aca="false">IF($A33="","",IF(EZ33&lt;&gt;"Y","N",IF(COUNTIFS($EX$2:$EX$1000,EX33,$EZ$2:$EZ$1000,"Y",$J$2:$J$1000,"&gt;"&amp;J33)+COUNTIFS($EX$2:$EX$1000,EX33,$EZ$2:$EZ$1000,"Y",$J$2:$J$1000,J33,$FG$2:$FG$1000,"&lt;"&amp;FG33)=0,"Y","N")))</f>
        <v>N</v>
      </c>
      <c r="FB33" s="0" t="str">
        <f aca="false">IF($A33="","",IF(AND(EZ33="Y",FA33="Y",Y33&amp;""&lt;&gt;""),IF(Y33&lt;=10,"Y","N"),"N"))</f>
        <v>N</v>
      </c>
      <c r="FC33" s="0" t="str">
        <f aca="false">IF(FB33="Y",Y33,"")</f>
        <v/>
      </c>
      <c r="FD33" s="0" t="str">
        <f aca="false">IF($A33="","",IF(AND(CK33="pass",AU33="Y",AV33&lt;&gt;"Y",U33="new",EW33="N"),"Y","N"))</f>
        <v>Y</v>
      </c>
      <c r="FE33" s="0" t="n">
        <f aca="false">IF(FD33&lt;&gt;"Y","",IF(COUNTIFS($FD$2:$FD$1000,"Y",$J$2:$J$1000,"&gt;"&amp;J33)+COUNTIFS($FD$2:$FD$1000,"Y",$J$2:$J$1000,J33,$FG$2:$FG$1000,"&lt;"&amp;FG33)+1&lt;=30,COUNTIFS($FD$2:$FD$1000,"Y",$J$2:$J$1000,"&gt;"&amp;J33)+COUNTIFS($FD$2:$FD$1000,"Y",$J$2:$J$1000,J33,$FG$2:$FG$1000,"&lt;"&amp;FG33)+1,""))</f>
        <v>13</v>
      </c>
      <c r="FF33" s="0" t="str">
        <f aca="false">IF(AND(_xlfn.ISFORMULA(C33),_xlfn.ISFORMULA(J33)),"Y","N")</f>
        <v>Y</v>
      </c>
      <c r="FG33" s="0" t="n">
        <f aca="false">ROW()-1</f>
        <v>32</v>
      </c>
    </row>
    <row r="34" customFormat="false" ht="15" hidden="false" customHeight="false" outlineLevel="0" collapsed="false">
      <c r="A34" s="0" t="s">
        <v>6558</v>
      </c>
      <c r="B34" s="0" t="s">
        <v>6559</v>
      </c>
      <c r="C34" s="0" t="str">
        <f aca="false">IF($A34="","",IF(AT34="Y",BL34&amp;"",AY34&amp;""))</f>
        <v>Livio</v>
      </c>
      <c r="D34" s="0" t="str">
        <f aca="false">IF($A34="","",IF(AT34="Y",BM34&amp;"",AZ34&amp;""))</f>
        <v>Bisterzo</v>
      </c>
      <c r="E34" s="0" t="str">
        <f aca="false">IF($A34="","",IF(AT34="Y",BN34&amp;"",BA34&amp;""))</f>
        <v>Founder</v>
      </c>
      <c r="F34" s="0" t="str">
        <f aca="false">IF($A34="","",IF(AT34="Y",BO34&amp;"",BB34&amp;""))</f>
        <v/>
      </c>
      <c r="G34" s="0" t="str">
        <f aca="false">IF($A34="","",IF(AT34="Y",BP34&amp;"",BC34&amp;""))</f>
        <v/>
      </c>
      <c r="H34" s="0" t="str">
        <f aca="false">IF($A34="","",IF(AT34="Y",BQ34&amp;"",BD34&amp;""))</f>
        <v>none</v>
      </c>
      <c r="I34" s="0" t="str">
        <f aca="false">IF($A34="","",IF(R34="Y","warm-intro",IF(H34="verified","email",IF(C34&lt;&gt;"","linkedin",CA34&amp;""))))</f>
        <v>linkedin</v>
      </c>
      <c r="J34" s="0" t="n">
        <f aca="false">IF($A34="","",IF(CK34="pass",ROUND(N(DO34)+N(DP34)+N(DQ34)+N(DR34)+N(DS34)+N(DT34)+N(DU34)+N(DV34),0),0))</f>
        <v>55</v>
      </c>
      <c r="K34" s="0" t="str">
        <f aca="false">IF($A34="","",IF(CK34&lt;&gt;"pass",BY34&amp;"",BY34&amp;", "&amp;IF(AT34="Y",BX34&amp;"",BK34&amp;"")&amp;BZ34&amp;IF(R34="Y","; known to the founder (+10)","")&amp;"."))</f>
        <v>Brand based outside the Northeast, store page shows Whole Foods Market NoMad inside the cluster, news 211 days ago, revenue unknown, contact named; founder review: other.</v>
      </c>
      <c r="M34" s="0" t="s">
        <v>5572</v>
      </c>
      <c r="N34" s="0" t="s">
        <v>5573</v>
      </c>
      <c r="O34" s="0" t="s">
        <v>6560</v>
      </c>
      <c r="P34" s="0" t="s">
        <v>6561</v>
      </c>
      <c r="Q34" s="0" t="s">
        <v>6562</v>
      </c>
      <c r="R34" s="5" t="s">
        <v>189</v>
      </c>
      <c r="S34" s="0" t="s">
        <v>164</v>
      </c>
      <c r="T34" s="5" t="s">
        <v>189</v>
      </c>
      <c r="U34" s="5" t="s">
        <v>3896</v>
      </c>
      <c r="V34" s="0" t="s">
        <v>6563</v>
      </c>
      <c r="W34" s="0" t="s">
        <v>263</v>
      </c>
      <c r="X34" s="0" t="s">
        <v>5578</v>
      </c>
      <c r="Y34" s="0" t="n">
        <f aca="false">IF(FA34&lt;&gt;"Y","",COUNTIFS($FA$2:$FA$1000,"Y",$J$2:$J$1000,"&gt;"&amp;J34)+COUNTIFS($FA$2:$FA$1000,"Y",$J$2:$J$1000,J34,$FG$2:$FG$1000,"&lt;"&amp;FG34)+1)</f>
        <v>17</v>
      </c>
      <c r="Z34" s="0" t="n">
        <v>33</v>
      </c>
      <c r="AA34" s="0" t="s">
        <v>164</v>
      </c>
      <c r="AB34" s="0" t="str">
        <f aca="false">IF($A34="","",IF(AT34="Y",BW34&amp;"",BJ34&amp;""))</f>
        <v>find Livio Bisterzo at Mavericks Snacks on LinkedIn and paste the profile URL into primary_linkedin_url; the source is dated 2024-10-11: check Livio still holds the role; use the Whole Foods Market NoMad line only if retailer_checked_date is this week's Friday check</v>
      </c>
      <c r="AC34" s="0" t="str">
        <f aca="false">IF($A34="","",IF(AT34="Y",BR34&amp;"",BE34&amp;""))</f>
        <v>founder</v>
      </c>
      <c r="AD34" s="0" t="str">
        <f aca="false">IF($A34="","",IF(AT34="Y",BS34&amp;"",BF34&amp;""))</f>
        <v>verified-page</v>
      </c>
      <c r="AE34" s="0" t="str">
        <f aca="false">IF($A34="","",IF(AT34="Y",BT34&amp;"",BG34&amp;""))</f>
        <v>press, event or podcast page</v>
      </c>
      <c r="AF34" s="0" t="str">
        <f aca="false">IF($A34="","",IF(AT34="Y",BU34&amp;"",BH34&amp;""))</f>
        <v>https://startupcpg.com/startup-cpg-newswire-mavericks-snacks-partners-with-paramount-pictures-for-transformers-one-film-release/</v>
      </c>
      <c r="AG34" s="0" t="str">
        <f aca="false">IF($A34="","",IF(AT34="Y",BV34&amp;"",BI34&amp;""))</f>
        <v>2026-10-24</v>
      </c>
      <c r="AH34" s="0" t="s">
        <v>6564</v>
      </c>
      <c r="AI34" s="0" t="s">
        <v>5702</v>
      </c>
      <c r="AJ34" s="0" t="s">
        <v>3503</v>
      </c>
      <c r="AK34" s="0" t="s">
        <v>6565</v>
      </c>
      <c r="AL34" s="0" t="s">
        <v>164</v>
      </c>
      <c r="AM34" s="0" t="s">
        <v>6566</v>
      </c>
      <c r="AN34" s="0" t="s">
        <v>6558</v>
      </c>
      <c r="AO34" s="5" t="s">
        <v>189</v>
      </c>
      <c r="AR34" s="0" t="str">
        <f aca="false">IF($A34="","",IF(AND(CK34="pass",AO34&lt;&gt;"Y",C34&lt;&gt;"",OR(AU34&lt;&gt;"Y",AV34="Y")),"Y","N"))</f>
        <v>Y</v>
      </c>
      <c r="AS34" s="0" t="str">
        <f aca="false">IF($A34="","",_xlfn.TEXTJOIN("; ",TRUE(),IF(CK34&lt;&gt;"pass","gated out",""),IF(AO34="Y","on hold: "&amp;AP34,""),IF(C34="","no contact named on an opened page",""),IF(AND(AU34="Y",AV34&lt;&gt;"Y"),"founder review pending (Founder review tab)","")))</f>
        <v/>
      </c>
      <c r="AU34" s="0" t="s">
        <v>189</v>
      </c>
      <c r="AX34" s="0" t="s">
        <v>6567</v>
      </c>
      <c r="AY34" s="0" t="s">
        <v>6568</v>
      </c>
      <c r="AZ34" s="0" t="s">
        <v>6569</v>
      </c>
      <c r="BA34" s="0" t="s">
        <v>5739</v>
      </c>
      <c r="BC34" s="0" t="str">
        <f aca="false">IF($A34="","",IFERROR(INDEX(Enrichment!$A$2:$GZ$2000,MATCH($A34,INDEX(Enrichment!$A$2:$GZ$2000,0,MATCH("row_id",Enrichment!$A$1:$GZ$1,0)),0),MATCH("work_email",Enrichment!$A$1:$GZ$1,0))&amp;"",""))</f>
        <v/>
      </c>
      <c r="BD34" s="0" t="str">
        <f aca="false">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none</v>
      </c>
      <c r="BE34" s="0" t="s">
        <v>5589</v>
      </c>
      <c r="BF34" s="0" t="s">
        <v>169</v>
      </c>
      <c r="BG34" s="0" t="s">
        <v>1252</v>
      </c>
      <c r="BH34" s="0" t="s">
        <v>6570</v>
      </c>
      <c r="BI34" s="0" t="s">
        <v>172</v>
      </c>
      <c r="BJ34" s="0" t="s">
        <v>6571</v>
      </c>
      <c r="BK34" s="0" t="s">
        <v>5643</v>
      </c>
      <c r="BP34" s="0" t="str">
        <f aca="false">IF($A34="","",IFERROR(INDEX(Enrichment!$A$2:$GZ$2000,MATCH($A34,INDEX(Enrichment!$A$2:$GZ$2000,0,MATCH("row_id",Enrichment!$A$1:$GZ$1,0)),0),MATCH("backup_work_email",Enrichment!$A$1:$GZ$1,0))&amp;"",""))</f>
        <v/>
      </c>
      <c r="BQ34" s="0" t="str">
        <f aca="false">IF($A34="","",IF(BP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none</v>
      </c>
      <c r="BR34" s="0" t="s">
        <v>5596</v>
      </c>
      <c r="BS34" s="0" t="s">
        <v>740</v>
      </c>
      <c r="BT34" s="0" t="s">
        <v>741</v>
      </c>
      <c r="BU34" s="0" t="s">
        <v>6572</v>
      </c>
      <c r="BV34" s="0" t="s">
        <v>172</v>
      </c>
      <c r="BW34" s="0" t="s">
        <v>5741</v>
      </c>
      <c r="BX34" s="0" t="s">
        <v>5834</v>
      </c>
      <c r="BY34" s="0" t="s">
        <v>6573</v>
      </c>
      <c r="BZ34" s="0" t="s">
        <v>5960</v>
      </c>
      <c r="CB34" s="0" t="s">
        <v>6574</v>
      </c>
      <c r="CC34" s="0" t="s">
        <v>6575</v>
      </c>
      <c r="CD34" s="0" t="s">
        <v>6576</v>
      </c>
      <c r="CF34" s="0" t="s">
        <v>6577</v>
      </c>
      <c r="CH34" s="0" t="s">
        <v>6578</v>
      </c>
      <c r="CJ34" s="0" t="s">
        <v>5606</v>
      </c>
      <c r="CK34" s="0" t="s">
        <v>200</v>
      </c>
      <c r="CM34" s="0" t="s">
        <v>201</v>
      </c>
      <c r="CN34" s="0" t="s">
        <v>443</v>
      </c>
      <c r="CO34" s="0" t="s">
        <v>6565</v>
      </c>
      <c r="CP34" s="0" t="s">
        <v>6550</v>
      </c>
      <c r="CQ34" s="0" t="s">
        <v>6198</v>
      </c>
      <c r="CR34" s="0" t="s">
        <v>209</v>
      </c>
      <c r="CT34" s="0" t="s">
        <v>352</v>
      </c>
      <c r="CU34" s="0" t="s">
        <v>6579</v>
      </c>
      <c r="CV34" s="0" t="s">
        <v>164</v>
      </c>
      <c r="CW34" s="0" t="s">
        <v>164</v>
      </c>
      <c r="CX34" s="0" t="s">
        <v>209</v>
      </c>
      <c r="CZ34" s="0" t="s">
        <v>209</v>
      </c>
      <c r="DA34" s="0" t="s">
        <v>189</v>
      </c>
      <c r="DB34" s="0" t="s">
        <v>189</v>
      </c>
      <c r="DD34" s="0" t="n">
        <v>0</v>
      </c>
      <c r="DE34" s="0" t="s">
        <v>164</v>
      </c>
      <c r="DF34" s="0" t="n">
        <v>3</v>
      </c>
      <c r="DG34" s="0" t="s">
        <v>5686</v>
      </c>
      <c r="DI34" s="0" t="s">
        <v>6580</v>
      </c>
      <c r="DJ34" s="0" t="s">
        <v>6581</v>
      </c>
      <c r="DK34" s="0" t="s">
        <v>5617</v>
      </c>
      <c r="DL34" s="0" t="n">
        <v>211</v>
      </c>
      <c r="DM34" s="0" t="s">
        <v>6570</v>
      </c>
      <c r="DN34" s="0" t="n">
        <v>55</v>
      </c>
      <c r="DO34" s="0" t="n">
        <v>25</v>
      </c>
      <c r="DP34" s="0" t="n">
        <v>3</v>
      </c>
      <c r="DQ34" s="0" t="n">
        <v>8</v>
      </c>
      <c r="DR34" s="0" t="n">
        <v>5</v>
      </c>
      <c r="DS34" s="0" t="n">
        <v>8</v>
      </c>
      <c r="DT34" s="0" t="n">
        <v>8</v>
      </c>
      <c r="DU34" s="0" t="n">
        <f aca="false">IF($A34="","",IF(R34="Y",10,0))</f>
        <v>0</v>
      </c>
      <c r="DV34" s="0" t="n">
        <v>-2</v>
      </c>
      <c r="DW34" s="0" t="s">
        <v>6582</v>
      </c>
      <c r="DX34" s="0" t="s">
        <v>5691</v>
      </c>
      <c r="DY34" s="0" t="s">
        <v>6583</v>
      </c>
      <c r="DZ34" s="0" t="s">
        <v>6584</v>
      </c>
      <c r="EA34" s="0" t="s">
        <v>6585</v>
      </c>
      <c r="EV34" s="0" t="str">
        <f aca="false">IF($A34="","",IF(ISNUMBER(MATCH(U34,{"queued","contacted","replied","call_booked","call_done","yes_in_principle","materials_sent"},0)),"Y","N"))</f>
        <v>N</v>
      </c>
      <c r="EW34" s="0" t="str">
        <f aca="false">IF($A34="","",IF(OR(T34="Y",U34="do_not_contact",AQ34&amp;""&lt;&gt;""),"Y","N"))</f>
        <v>N</v>
      </c>
      <c r="EX34" s="0" t="str">
        <f aca="false">IF($A34="","",IF(AN34&amp;""&lt;&gt;"",AN34&amp;"",$A34))</f>
        <v>AB-091</v>
      </c>
      <c r="EY34" s="0" t="str">
        <f aca="false">IF($A34="","",IF(COUNTIFS($EX$2:$EX$1000,EX34,$EV$2:$EV$1000,"Y")+COUNTIFS($EX$2:$EX$1000,EX34,$EW$2:$EW$1000,"Y")&gt;0,"Y","N"))</f>
        <v>N</v>
      </c>
      <c r="EZ34" s="0" t="str">
        <f aca="false">IF($A34="","",IF(AND(U34="new",T34="N",EW34="N",AR34="Y",EY34="N"),"Y","N"))</f>
        <v>Y</v>
      </c>
      <c r="FA34" s="0" t="str">
        <f aca="false">IF($A34="","",IF(EZ34&lt;&gt;"Y","N",IF(COUNTIFS($EX$2:$EX$1000,EX34,$EZ$2:$EZ$1000,"Y",$J$2:$J$1000,"&gt;"&amp;J34)+COUNTIFS($EX$2:$EX$1000,EX34,$EZ$2:$EZ$1000,"Y",$J$2:$J$1000,J34,$FG$2:$FG$1000,"&lt;"&amp;FG34)=0,"Y","N")))</f>
        <v>Y</v>
      </c>
      <c r="FB34" s="0" t="str">
        <f aca="false">IF($A34="","",IF(AND(EZ34="Y",FA34="Y",Y34&amp;""&lt;&gt;""),IF(Y34&lt;=10,"Y","N"),"N"))</f>
        <v>N</v>
      </c>
      <c r="FC34" s="0" t="str">
        <f aca="false">IF(FB34="Y",Y34,"")</f>
        <v/>
      </c>
      <c r="FD34" s="0" t="str">
        <f aca="false">IF($A34="","",IF(AND(CK34="pass",AU34="Y",AV34&lt;&gt;"Y",U34="new",EW34="N"),"Y","N"))</f>
        <v>N</v>
      </c>
      <c r="FE34" s="0" t="str">
        <f aca="false">IF(FD34&lt;&gt;"Y","",IF(COUNTIFS($FD$2:$FD$1000,"Y",$J$2:$J$1000,"&gt;"&amp;J34)+COUNTIFS($FD$2:$FD$1000,"Y",$J$2:$J$1000,J34,$FG$2:$FG$1000,"&lt;"&amp;FG34)+1&lt;=30,COUNTIFS($FD$2:$FD$1000,"Y",$J$2:$J$1000,"&gt;"&amp;J34)+COUNTIFS($FD$2:$FD$1000,"Y",$J$2:$J$1000,J34,$FG$2:$FG$1000,"&lt;"&amp;FG34)+1,""))</f>
        <v/>
      </c>
      <c r="FF34" s="0" t="str">
        <f aca="false">IF(AND(_xlfn.ISFORMULA(C34),_xlfn.ISFORMULA(J34)),"Y","N")</f>
        <v>Y</v>
      </c>
      <c r="FG34" s="0" t="n">
        <f aca="false">ROW()-1</f>
        <v>33</v>
      </c>
    </row>
    <row r="35" customFormat="false" ht="15" hidden="false" customHeight="false" outlineLevel="0" collapsed="false">
      <c r="A35" s="0" t="s">
        <v>6586</v>
      </c>
      <c r="B35" s="0" t="s">
        <v>6587</v>
      </c>
      <c r="C35" s="0" t="str">
        <f aca="false">IF($A35="","",IF(AT35="Y",BL35&amp;"",AY35&amp;""))</f>
        <v>Daniel</v>
      </c>
      <c r="D35" s="0" t="str">
        <f aca="false">IF($A35="","",IF(AT35="Y",BM35&amp;"",AZ35&amp;""))</f>
        <v>Herskovic</v>
      </c>
      <c r="E35" s="0" t="str">
        <f aca="false">IF($A35="","",IF(AT35="Y",BN35&amp;"",BA35&amp;""))</f>
        <v>Owner</v>
      </c>
      <c r="F35" s="0" t="str">
        <f aca="false">IF($A35="","",IF(AT35="Y",BO35&amp;"",BB35&amp;""))</f>
        <v/>
      </c>
      <c r="G35" s="0" t="str">
        <f aca="false">IF($A35="","",IF(AT35="Y",BP35&amp;"",BC35&amp;""))</f>
        <v/>
      </c>
      <c r="H35" s="0" t="str">
        <f aca="false">IF($A35="","",IF(AT35="Y",BQ35&amp;"",BD35&amp;""))</f>
        <v>none</v>
      </c>
      <c r="I35" s="0" t="str">
        <f aca="false">IF($A35="","",IF(R35="Y","warm-intro",IF(H35="verified","email",IF(C35&lt;&gt;"","linkedin",CA35&amp;""))))</f>
        <v>linkedin</v>
      </c>
      <c r="J35" s="0" t="n">
        <f aca="false">IF($A35="","",IF(CK35="pass",ROUND(N(DO35)+N(DP35)+N(DQ35)+N(DR35)+N(DS35)+N(DT35)+N(DU35)+N(DV35),0),0))</f>
        <v>55</v>
      </c>
      <c r="K35" s="0" t="str">
        <f aca="false">IF($A35="","",IF(CK35&lt;&gt;"pass",BY35&amp;"",BY35&amp;", "&amp;IF(AT35="Y",BX35&amp;"",BK35&amp;"")&amp;BZ35&amp;IF(R35="Y","; known to the founder (+10)","")&amp;"."))</f>
        <v>Brand based outside the Northeast, store page shows Whole Foods Market NoMad inside the cluster, a new store listing 172 days ago, revenue unknown, contact named; founder review: shelf life not stated.</v>
      </c>
      <c r="M35" s="0" t="s">
        <v>5572</v>
      </c>
      <c r="N35" s="0" t="s">
        <v>5573</v>
      </c>
      <c r="O35" s="0" t="s">
        <v>6588</v>
      </c>
      <c r="P35" s="0" t="s">
        <v>6589</v>
      </c>
      <c r="Q35" s="0" t="s">
        <v>6590</v>
      </c>
      <c r="R35" s="5" t="s">
        <v>189</v>
      </c>
      <c r="S35" s="0" t="s">
        <v>209</v>
      </c>
      <c r="T35" s="5" t="s">
        <v>189</v>
      </c>
      <c r="U35" s="5" t="s">
        <v>3896</v>
      </c>
      <c r="V35" s="0" t="s">
        <v>6591</v>
      </c>
      <c r="W35" s="0" t="s">
        <v>263</v>
      </c>
      <c r="X35" s="0" t="s">
        <v>5578</v>
      </c>
      <c r="Y35" s="0" t="n">
        <f aca="false">IF(FA35&lt;&gt;"Y","",COUNTIFS($FA$2:$FA$1000,"Y",$J$2:$J$1000,"&gt;"&amp;J35)+COUNTIFS($FA$2:$FA$1000,"Y",$J$2:$J$1000,J35,$FG$2:$FG$1000,"&lt;"&amp;FG35)+1)</f>
        <v>18</v>
      </c>
      <c r="Z35" s="0" t="n">
        <v>34</v>
      </c>
      <c r="AA35" s="0" t="s">
        <v>164</v>
      </c>
      <c r="AB35" s="0" t="str">
        <f aca="false">IF($A35="","",IF(AT35="Y",BW35&amp;"",BJ35&amp;""))</f>
        <v>find Daniel Herskovic at Mayana Chocolate on LinkedIn and paste the profile URL into primary_linkedin_url; use the Whole Foods Market NoMad line only if retailer_checked_date is this week's Friday check</v>
      </c>
      <c r="AC35" s="0" t="str">
        <f aca="false">IF($A35="","",IF(AT35="Y",BR35&amp;"",BE35&amp;""))</f>
        <v>founder</v>
      </c>
      <c r="AD35" s="0" t="str">
        <f aca="false">IF($A35="","",IF(AT35="Y",BS35&amp;"",BF35&amp;""))</f>
        <v>verified-page</v>
      </c>
      <c r="AE35" s="0" t="str">
        <f aca="false">IF($A35="","",IF(AT35="Y",BT35&amp;"",BG35&amp;""))</f>
        <v>employer's own site</v>
      </c>
      <c r="AF35" s="0" t="str">
        <f aca="false">IF($A35="","",IF(AT35="Y",BU35&amp;"",BH35&amp;""))</f>
        <v>https://www.mayanachocolate.com/pages/about-mayana-chocolate</v>
      </c>
      <c r="AG35" s="0" t="str">
        <f aca="false">IF($A35="","",IF(AT35="Y",BV35&amp;"",BI35&amp;""))</f>
        <v>2026-10-24</v>
      </c>
      <c r="AH35" s="0" t="s">
        <v>6592</v>
      </c>
      <c r="AI35" s="0" t="s">
        <v>5664</v>
      </c>
      <c r="AJ35" s="0" t="s">
        <v>6593</v>
      </c>
      <c r="AK35" s="0" t="s">
        <v>6594</v>
      </c>
      <c r="AL35" s="0" t="s">
        <v>164</v>
      </c>
      <c r="AM35" s="0" t="s">
        <v>5666</v>
      </c>
      <c r="AN35" s="0" t="s">
        <v>6586</v>
      </c>
      <c r="AO35" s="5" t="s">
        <v>189</v>
      </c>
      <c r="AR35" s="0" t="str">
        <f aca="false">IF($A35="","",IF(AND(CK35="pass",AO35&lt;&gt;"Y",C35&lt;&gt;"",OR(AU35&lt;&gt;"Y",AV35="Y")),"Y","N"))</f>
        <v>Y</v>
      </c>
      <c r="AS35" s="0" t="str">
        <f aca="false">IF($A35="","",_xlfn.TEXTJOIN("; ",TRUE(),IF(CK35&lt;&gt;"pass","gated out",""),IF(AO35="Y","on hold: "&amp;AP35,""),IF(C35="","no contact named on an opened page",""),IF(AND(AU35="Y",AV35&lt;&gt;"Y"),"founder review pending (Founder review tab)","")))</f>
        <v/>
      </c>
      <c r="AU35" s="0" t="s">
        <v>189</v>
      </c>
      <c r="AX35" s="0" t="s">
        <v>6595</v>
      </c>
      <c r="AY35" s="0" t="s">
        <v>2400</v>
      </c>
      <c r="AZ35" s="0" t="s">
        <v>6596</v>
      </c>
      <c r="BA35" s="0" t="s">
        <v>6597</v>
      </c>
      <c r="BC35" s="0" t="str">
        <f aca="false">IF($A35="","",IFERROR(INDEX(Enrichment!$A$2:$GZ$2000,MATCH($A35,INDEX(Enrichment!$A$2:$GZ$2000,0,MATCH("row_id",Enrichment!$A$1:$GZ$1,0)),0),MATCH("work_email",Enrichment!$A$1:$GZ$1,0))&amp;"",""))</f>
        <v/>
      </c>
      <c r="BD35" s="0" t="str">
        <f aca="false">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none</v>
      </c>
      <c r="BE35" s="0" t="s">
        <v>5589</v>
      </c>
      <c r="BF35" s="0" t="s">
        <v>169</v>
      </c>
      <c r="BG35" s="0" t="s">
        <v>170</v>
      </c>
      <c r="BH35" s="0" t="s">
        <v>6591</v>
      </c>
      <c r="BI35" s="0" t="s">
        <v>172</v>
      </c>
      <c r="BJ35" s="0" t="s">
        <v>6598</v>
      </c>
      <c r="BK35" s="0" t="s">
        <v>5643</v>
      </c>
      <c r="BL35" s="0" t="s">
        <v>6599</v>
      </c>
      <c r="BM35" s="0" t="s">
        <v>6596</v>
      </c>
      <c r="BN35" s="0" t="s">
        <v>6597</v>
      </c>
      <c r="BP35" s="0" t="str">
        <f aca="false">IF($A35="","",IFERROR(INDEX(Enrichment!$A$2:$GZ$2000,MATCH($A35,INDEX(Enrichment!$A$2:$GZ$2000,0,MATCH("row_id",Enrichment!$A$1:$GZ$1,0)),0),MATCH("backup_work_email",Enrichment!$A$1:$GZ$1,0))&amp;"",""))</f>
        <v/>
      </c>
      <c r="BQ35" s="0" t="str">
        <f aca="false">IF($A35="","",IF(BP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none</v>
      </c>
      <c r="BR35" s="0" t="s">
        <v>5712</v>
      </c>
      <c r="BS35" s="0" t="s">
        <v>169</v>
      </c>
      <c r="BT35" s="0" t="s">
        <v>170</v>
      </c>
      <c r="BU35" s="0" t="s">
        <v>6591</v>
      </c>
      <c r="BV35" s="0" t="s">
        <v>172</v>
      </c>
      <c r="BW35" s="0" t="s">
        <v>6600</v>
      </c>
      <c r="BX35" s="0" t="s">
        <v>5643</v>
      </c>
      <c r="BY35" s="0" t="s">
        <v>6601</v>
      </c>
      <c r="BZ35" s="0" t="s">
        <v>5679</v>
      </c>
      <c r="CB35" s="0" t="s">
        <v>6602</v>
      </c>
      <c r="CC35" s="0" t="s">
        <v>6603</v>
      </c>
      <c r="CD35" s="0" t="s">
        <v>6604</v>
      </c>
      <c r="CF35" s="0" t="s">
        <v>6605</v>
      </c>
      <c r="CH35" s="0" t="s">
        <v>6423</v>
      </c>
      <c r="CJ35" s="0" t="s">
        <v>5606</v>
      </c>
      <c r="CK35" s="0" t="s">
        <v>200</v>
      </c>
      <c r="CM35" s="0" t="s">
        <v>201</v>
      </c>
      <c r="CO35" s="0" t="s">
        <v>6594</v>
      </c>
      <c r="CP35" s="0" t="s">
        <v>6606</v>
      </c>
      <c r="CQ35" s="0" t="s">
        <v>6198</v>
      </c>
      <c r="CR35" s="0" t="s">
        <v>209</v>
      </c>
      <c r="CT35" s="0" t="s">
        <v>352</v>
      </c>
      <c r="CU35" s="0" t="s">
        <v>6607</v>
      </c>
      <c r="CV35" s="0" t="s">
        <v>164</v>
      </c>
      <c r="CW35" s="0" t="s">
        <v>164</v>
      </c>
      <c r="CX35" s="0" t="s">
        <v>209</v>
      </c>
      <c r="CZ35" s="0" t="s">
        <v>209</v>
      </c>
      <c r="DA35" s="0" t="s">
        <v>189</v>
      </c>
      <c r="DB35" s="0" t="s">
        <v>189</v>
      </c>
      <c r="DD35" s="0" t="n">
        <v>0</v>
      </c>
      <c r="DE35" s="0" t="s">
        <v>164</v>
      </c>
      <c r="DF35" s="0" t="n">
        <v>3</v>
      </c>
      <c r="DG35" s="0" t="s">
        <v>5686</v>
      </c>
      <c r="DH35" s="0" t="s">
        <v>6608</v>
      </c>
      <c r="DI35" s="0" t="s">
        <v>6609</v>
      </c>
      <c r="DJ35" s="0" t="s">
        <v>6610</v>
      </c>
      <c r="DK35" s="0" t="s">
        <v>5689</v>
      </c>
      <c r="DL35" s="0" t="n">
        <v>172</v>
      </c>
      <c r="DN35" s="0" t="n">
        <v>55</v>
      </c>
      <c r="DO35" s="0" t="n">
        <v>25</v>
      </c>
      <c r="DP35" s="0" t="n">
        <v>3</v>
      </c>
      <c r="DQ35" s="0" t="n">
        <v>8</v>
      </c>
      <c r="DR35" s="0" t="n">
        <v>5</v>
      </c>
      <c r="DS35" s="0" t="n">
        <v>8</v>
      </c>
      <c r="DT35" s="0" t="n">
        <v>6</v>
      </c>
      <c r="DU35" s="0" t="n">
        <f aca="false">IF($A35="","",IF(R35="Y",10,0))</f>
        <v>0</v>
      </c>
      <c r="DV35" s="0" t="n">
        <v>0</v>
      </c>
      <c r="DW35" s="0" t="s">
        <v>6611</v>
      </c>
      <c r="DX35" s="0" t="s">
        <v>5691</v>
      </c>
      <c r="DY35" s="0" t="s">
        <v>6612</v>
      </c>
      <c r="DZ35" s="0" t="s">
        <v>6613</v>
      </c>
      <c r="EA35" s="0" t="s">
        <v>6614</v>
      </c>
      <c r="EV35" s="0" t="str">
        <f aca="false">IF($A35="","",IF(ISNUMBER(MATCH(U35,{"queued","contacted","replied","call_booked","call_done","yes_in_principle","materials_sent"},0)),"Y","N"))</f>
        <v>N</v>
      </c>
      <c r="EW35" s="0" t="str">
        <f aca="false">IF($A35="","",IF(OR(T35="Y",U35="do_not_contact",AQ35&amp;""&lt;&gt;""),"Y","N"))</f>
        <v>N</v>
      </c>
      <c r="EX35" s="0" t="str">
        <f aca="false">IF($A35="","",IF(AN35&amp;""&lt;&gt;"",AN35&amp;"",$A35))</f>
        <v>AB-087</v>
      </c>
      <c r="EY35" s="0" t="str">
        <f aca="false">IF($A35="","",IF(COUNTIFS($EX$2:$EX$1000,EX35,$EV$2:$EV$1000,"Y")+COUNTIFS($EX$2:$EX$1000,EX35,$EW$2:$EW$1000,"Y")&gt;0,"Y","N"))</f>
        <v>N</v>
      </c>
      <c r="EZ35" s="0" t="str">
        <f aca="false">IF($A35="","",IF(AND(U35="new",T35="N",EW35="N",AR35="Y",EY35="N"),"Y","N"))</f>
        <v>Y</v>
      </c>
      <c r="FA35" s="0" t="str">
        <f aca="false">IF($A35="","",IF(EZ35&lt;&gt;"Y","N",IF(COUNTIFS($EX$2:$EX$1000,EX35,$EZ$2:$EZ$1000,"Y",$J$2:$J$1000,"&gt;"&amp;J35)+COUNTIFS($EX$2:$EX$1000,EX35,$EZ$2:$EZ$1000,"Y",$J$2:$J$1000,J35,$FG$2:$FG$1000,"&lt;"&amp;FG35)=0,"Y","N")))</f>
        <v>Y</v>
      </c>
      <c r="FB35" s="0" t="str">
        <f aca="false">IF($A35="","",IF(AND(EZ35="Y",FA35="Y",Y35&amp;""&lt;&gt;""),IF(Y35&lt;=10,"Y","N"),"N"))</f>
        <v>N</v>
      </c>
      <c r="FC35" s="0" t="str">
        <f aca="false">IF(FB35="Y",Y35,"")</f>
        <v/>
      </c>
      <c r="FD35" s="0" t="str">
        <f aca="false">IF($A35="","",IF(AND(CK35="pass",AU35="Y",AV35&lt;&gt;"Y",U35="new",EW35="N"),"Y","N"))</f>
        <v>N</v>
      </c>
      <c r="FE35" s="0" t="str">
        <f aca="false">IF(FD35&lt;&gt;"Y","",IF(COUNTIFS($FD$2:$FD$1000,"Y",$J$2:$J$1000,"&gt;"&amp;J35)+COUNTIFS($FD$2:$FD$1000,"Y",$J$2:$J$1000,J35,$FG$2:$FG$1000,"&lt;"&amp;FG35)+1&lt;=30,COUNTIFS($FD$2:$FD$1000,"Y",$J$2:$J$1000,"&gt;"&amp;J35)+COUNTIFS($FD$2:$FD$1000,"Y",$J$2:$J$1000,J35,$FG$2:$FG$1000,"&lt;"&amp;FG35)+1,""))</f>
        <v/>
      </c>
      <c r="FF35" s="0" t="str">
        <f aca="false">IF(AND(_xlfn.ISFORMULA(C35),_xlfn.ISFORMULA(J35)),"Y","N")</f>
        <v>Y</v>
      </c>
      <c r="FG35" s="0" t="n">
        <f aca="false">ROW()-1</f>
        <v>34</v>
      </c>
    </row>
    <row r="36" customFormat="false" ht="15" hidden="false" customHeight="false" outlineLevel="0" collapsed="false">
      <c r="A36" s="0" t="s">
        <v>6615</v>
      </c>
      <c r="B36" s="0" t="s">
        <v>6616</v>
      </c>
      <c r="C36" s="0" t="str">
        <f aca="false">IF($A36="","",IF(AT36="Y",BL36&amp;"",AY36&amp;""))</f>
        <v>Zach</v>
      </c>
      <c r="D36" s="0" t="str">
        <f aca="false">IF($A36="","",IF(AT36="Y",BM36&amp;"",AZ36&amp;""))</f>
        <v>Hayworth</v>
      </c>
      <c r="E36" s="0" t="str">
        <f aca="false">IF($A36="","",IF(AT36="Y",BN36&amp;"",BA36&amp;""))</f>
        <v>Co-founder</v>
      </c>
      <c r="F36" s="0" t="str">
        <f aca="false">IF($A36="","",IF(AT36="Y",BO36&amp;"",BB36&amp;""))</f>
        <v/>
      </c>
      <c r="G36" s="0" t="str">
        <f aca="false">IF($A36="","",IF(AT36="Y",BP36&amp;"",BC36&amp;""))</f>
        <v/>
      </c>
      <c r="H36" s="0" t="str">
        <f aca="false">IF($A36="","",IF(AT36="Y",BQ36&amp;"",BD36&amp;""))</f>
        <v>none</v>
      </c>
      <c r="I36" s="0" t="str">
        <f aca="false">IF($A36="","",IF(R36="Y","warm-intro",IF(H36="verified","email",IF(C36&lt;&gt;"","linkedin",CA36&amp;""))))</f>
        <v>linkedin</v>
      </c>
      <c r="J36" s="0" t="n">
        <f aca="false">IF($A36="","",IF(CK36="pass",ROUND(N(DO36)+N(DP36)+N(DQ36)+N(DR36)+N(DS36)+N(DT36)+N(DU36)+N(DV36),0),0))</f>
        <v>55</v>
      </c>
      <c r="K36" s="0" t="str">
        <f aca="false">IF($A36="","",IF(CK36&lt;&gt;"pass",BY36&amp;"",BY36&amp;", "&amp;IF(AT36="Y",BX36&amp;"",BK36&amp;"")&amp;BZ36&amp;IF(R36="Y","; known to the founder (+10)","")&amp;"."))</f>
        <v>New York City brand, no graded store within ten blocks, online store only, news 176 days ago, revenue unknown, contact named; founder review: claim-functional, nutrient-claim.</v>
      </c>
      <c r="M36" s="0" t="s">
        <v>6144</v>
      </c>
      <c r="N36" s="0" t="s">
        <v>740</v>
      </c>
      <c r="O36" s="0" t="s">
        <v>6617</v>
      </c>
      <c r="P36" s="0" t="s">
        <v>6618</v>
      </c>
      <c r="Q36" s="0" t="s">
        <v>3074</v>
      </c>
      <c r="R36" s="5" t="s">
        <v>189</v>
      </c>
      <c r="S36" s="0" t="s">
        <v>164</v>
      </c>
      <c r="T36" s="5" t="s">
        <v>189</v>
      </c>
      <c r="U36" s="5" t="s">
        <v>3896</v>
      </c>
      <c r="V36" s="0" t="s">
        <v>6619</v>
      </c>
      <c r="W36" s="0" t="s">
        <v>263</v>
      </c>
      <c r="X36" s="0" t="s">
        <v>5578</v>
      </c>
      <c r="Y36" s="0" t="str">
        <f aca="false">IF(FA36&lt;&gt;"Y","",COUNTIFS($FA$2:$FA$1000,"Y",$J$2:$J$1000,"&gt;"&amp;J36)+COUNTIFS($FA$2:$FA$1000,"Y",$J$2:$J$1000,J36,$FG$2:$FG$1000,"&lt;"&amp;FG36)+1)</f>
        <v/>
      </c>
      <c r="Z36" s="0" t="n">
        <v>35</v>
      </c>
      <c r="AA36" s="0" t="s">
        <v>164</v>
      </c>
      <c r="AB36" s="0" t="str">
        <f aca="false">IF($A36="","",IF(AT36="Y",BW36&amp;"",BJ36&amp;""))</f>
        <v>find Zach Hayworth at Shinzo Matcha on LinkedIn and paste the profile URL into primary_linkedin_url</v>
      </c>
      <c r="AC36" s="0" t="str">
        <f aca="false">IF($A36="","",IF(AT36="Y",BR36&amp;"",BE36&amp;""))</f>
        <v>founder</v>
      </c>
      <c r="AD36" s="0" t="str">
        <f aca="false">IF($A36="","",IF(AT36="Y",BS36&amp;"",BF36&amp;""))</f>
        <v>verified-page</v>
      </c>
      <c r="AE36" s="0" t="str">
        <f aca="false">IF($A36="","",IF(AT36="Y",BT36&amp;"",BG36&amp;""))</f>
        <v>press, event or podcast page</v>
      </c>
      <c r="AF36" s="0" t="str">
        <f aca="false">IF($A36="","",IF(AT36="Y",BU36&amp;"",BH36&amp;""))</f>
        <v>https://startupcpg.com/startup-cpg-newswire-shinzo-matcha-launches-sparkling-matcha-soda/</v>
      </c>
      <c r="AG36" s="0" t="str">
        <f aca="false">IF($A36="","",IF(AT36="Y",BV36&amp;"",BI36&amp;""))</f>
        <v>2026-10-24</v>
      </c>
      <c r="AH36" s="0" t="s">
        <v>6620</v>
      </c>
      <c r="AI36" s="0" t="s">
        <v>6621</v>
      </c>
      <c r="AJ36" s="0" t="s">
        <v>6622</v>
      </c>
      <c r="AK36" s="0" t="s">
        <v>6623</v>
      </c>
      <c r="AL36" s="0" t="s">
        <v>164</v>
      </c>
      <c r="AM36" s="0" t="s">
        <v>6624</v>
      </c>
      <c r="AN36" s="0" t="s">
        <v>6615</v>
      </c>
      <c r="AO36" s="5" t="s">
        <v>189</v>
      </c>
      <c r="AR36" s="0" t="str">
        <f aca="false">IF($A36="","",IF(AND(CK36="pass",AO36&lt;&gt;"Y",C36&lt;&gt;"",OR(AU36&lt;&gt;"Y",AV36="Y")),"Y","N"))</f>
        <v>N</v>
      </c>
      <c r="AS36" s="0" t="str">
        <f aca="false">IF($A36="","",_xlfn.TEXTJOIN("; ",TRUE(),IF(CK36&lt;&gt;"pass","gated out",""),IF(AO36="Y","on hold: "&amp;AP36,""),IF(C36="","no contact named on an opened page",""),IF(AND(AU36="Y",AV36&lt;&gt;"Y"),"founder review pending (Founder review tab)","")))</f>
        <v>founder review pending (Founder review tab)</v>
      </c>
      <c r="AU36" s="0" t="s">
        <v>164</v>
      </c>
      <c r="AY36" s="0" t="s">
        <v>6625</v>
      </c>
      <c r="AZ36" s="0" t="s">
        <v>6626</v>
      </c>
      <c r="BA36" s="0" t="s">
        <v>5636</v>
      </c>
      <c r="BC36" s="0" t="str">
        <f aca="false">IF($A36="","",IFERROR(INDEX(Enrichment!$A$2:$GZ$2000,MATCH($A36,INDEX(Enrichment!$A$2:$GZ$2000,0,MATCH("row_id",Enrichment!$A$1:$GZ$1,0)),0),MATCH("work_email",Enrichment!$A$1:$GZ$1,0))&amp;"",""))</f>
        <v/>
      </c>
      <c r="BD36" s="0" t="str">
        <f aca="false">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none</v>
      </c>
      <c r="BE36" s="0" t="s">
        <v>5589</v>
      </c>
      <c r="BF36" s="0" t="s">
        <v>169</v>
      </c>
      <c r="BG36" s="0" t="s">
        <v>1252</v>
      </c>
      <c r="BH36" s="0" t="s">
        <v>6618</v>
      </c>
      <c r="BI36" s="0" t="s">
        <v>172</v>
      </c>
      <c r="BJ36" s="0" t="s">
        <v>6627</v>
      </c>
      <c r="BK36" s="0" t="s">
        <v>5643</v>
      </c>
      <c r="BP36" s="0" t="str">
        <f aca="false">IF($A36="","",IFERROR(INDEX(Enrichment!$A$2:$GZ$2000,MATCH($A36,INDEX(Enrichment!$A$2:$GZ$2000,0,MATCH("row_id",Enrichment!$A$1:$GZ$1,0)),0),MATCH("backup_work_email",Enrichment!$A$1:$GZ$1,0))&amp;"",""))</f>
        <v/>
      </c>
      <c r="BQ36" s="0" t="str">
        <f aca="false">IF($A36="","",IF(BP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none</v>
      </c>
      <c r="BS36" s="0" t="s">
        <v>380</v>
      </c>
      <c r="BW36" s="0" t="s">
        <v>387</v>
      </c>
      <c r="BX36" s="0" t="s">
        <v>388</v>
      </c>
      <c r="BY36" s="0" t="s">
        <v>6628</v>
      </c>
      <c r="BZ36" s="0" t="s">
        <v>6050</v>
      </c>
      <c r="CB36" s="0" t="s">
        <v>6629</v>
      </c>
      <c r="CD36" s="0" t="s">
        <v>6630</v>
      </c>
      <c r="CJ36" s="0" t="s">
        <v>5606</v>
      </c>
      <c r="CK36" s="0" t="s">
        <v>200</v>
      </c>
      <c r="CM36" s="0" t="s">
        <v>201</v>
      </c>
      <c r="CN36" s="0" t="s">
        <v>6051</v>
      </c>
      <c r="CO36" s="0" t="s">
        <v>6623</v>
      </c>
      <c r="CP36" s="0" t="s">
        <v>5608</v>
      </c>
      <c r="CQ36" s="0" t="s">
        <v>5609</v>
      </c>
      <c r="CR36" s="0" t="s">
        <v>209</v>
      </c>
      <c r="CT36" s="0" t="s">
        <v>209</v>
      </c>
      <c r="CU36" s="0" t="s">
        <v>6631</v>
      </c>
      <c r="CV36" s="0" t="s">
        <v>164</v>
      </c>
      <c r="CW36" s="0" t="s">
        <v>164</v>
      </c>
      <c r="CX36" s="0" t="s">
        <v>209</v>
      </c>
      <c r="CZ36" s="0" t="s">
        <v>209</v>
      </c>
      <c r="DA36" s="0" t="s">
        <v>189</v>
      </c>
      <c r="DB36" s="0" t="s">
        <v>189</v>
      </c>
      <c r="DE36" s="0" t="s">
        <v>189</v>
      </c>
      <c r="DF36" s="0" t="n">
        <v>0</v>
      </c>
      <c r="DH36" s="0" t="s">
        <v>6632</v>
      </c>
      <c r="DI36" s="0" t="s">
        <v>6633</v>
      </c>
      <c r="DJ36" s="0" t="s">
        <v>6618</v>
      </c>
      <c r="DK36" s="0" t="s">
        <v>5617</v>
      </c>
      <c r="DL36" s="0" t="n">
        <v>176</v>
      </c>
      <c r="DM36" s="0" t="s">
        <v>6470</v>
      </c>
      <c r="DN36" s="0" t="n">
        <v>55</v>
      </c>
      <c r="DO36" s="0" t="n">
        <v>6</v>
      </c>
      <c r="DP36" s="0" t="n">
        <v>20</v>
      </c>
      <c r="DQ36" s="0" t="n">
        <v>15</v>
      </c>
      <c r="DR36" s="0" t="n">
        <v>5</v>
      </c>
      <c r="DS36" s="0" t="n">
        <v>7</v>
      </c>
      <c r="DT36" s="0" t="n">
        <v>6</v>
      </c>
      <c r="DU36" s="0" t="n">
        <f aca="false">IF($A36="","",IF(R36="Y",10,0))</f>
        <v>0</v>
      </c>
      <c r="DV36" s="0" t="n">
        <v>-4</v>
      </c>
      <c r="DX36" s="0" t="s">
        <v>5619</v>
      </c>
      <c r="DY36" s="0" t="s">
        <v>6634</v>
      </c>
      <c r="DZ36" s="0" t="s">
        <v>6635</v>
      </c>
      <c r="EA36" s="0" t="s">
        <v>6636</v>
      </c>
      <c r="EV36" s="0" t="str">
        <f aca="false">IF($A36="","",IF(ISNUMBER(MATCH(U36,{"queued","contacted","replied","call_booked","call_done","yes_in_principle","materials_sent"},0)),"Y","N"))</f>
        <v>N</v>
      </c>
      <c r="EW36" s="0" t="str">
        <f aca="false">IF($A36="","",IF(OR(T36="Y",U36="do_not_contact",AQ36&amp;""&lt;&gt;""),"Y","N"))</f>
        <v>N</v>
      </c>
      <c r="EX36" s="0" t="str">
        <f aca="false">IF($A36="","",IF(AN36&amp;""&lt;&gt;"",AN36&amp;"",$A36))</f>
        <v>AB-222</v>
      </c>
      <c r="EY36" s="0" t="str">
        <f aca="false">IF($A36="","",IF(COUNTIFS($EX$2:$EX$1000,EX36,$EV$2:$EV$1000,"Y")+COUNTIFS($EX$2:$EX$1000,EX36,$EW$2:$EW$1000,"Y")&gt;0,"Y","N"))</f>
        <v>N</v>
      </c>
      <c r="EZ36" s="0" t="str">
        <f aca="false">IF($A36="","",IF(AND(U36="new",T36="N",EW36="N",AR36="Y",EY36="N"),"Y","N"))</f>
        <v>N</v>
      </c>
      <c r="FA36" s="0" t="str">
        <f aca="false">IF($A36="","",IF(EZ36&lt;&gt;"Y","N",IF(COUNTIFS($EX$2:$EX$1000,EX36,$EZ$2:$EZ$1000,"Y",$J$2:$J$1000,"&gt;"&amp;J36)+COUNTIFS($EX$2:$EX$1000,EX36,$EZ$2:$EZ$1000,"Y",$J$2:$J$1000,J36,$FG$2:$FG$1000,"&lt;"&amp;FG36)=0,"Y","N")))</f>
        <v>N</v>
      </c>
      <c r="FB36" s="0" t="str">
        <f aca="false">IF($A36="","",IF(AND(EZ36="Y",FA36="Y",Y36&amp;""&lt;&gt;""),IF(Y36&lt;=10,"Y","N"),"N"))</f>
        <v>N</v>
      </c>
      <c r="FC36" s="0" t="str">
        <f aca="false">IF(FB36="Y",Y36,"")</f>
        <v/>
      </c>
      <c r="FD36" s="0" t="str">
        <f aca="false">IF($A36="","",IF(AND(CK36="pass",AU36="Y",AV36&lt;&gt;"Y",U36="new",EW36="N"),"Y","N"))</f>
        <v>Y</v>
      </c>
      <c r="FE36" s="0" t="n">
        <f aca="false">IF(FD36&lt;&gt;"Y","",IF(COUNTIFS($FD$2:$FD$1000,"Y",$J$2:$J$1000,"&gt;"&amp;J36)+COUNTIFS($FD$2:$FD$1000,"Y",$J$2:$J$1000,J36,$FG$2:$FG$1000,"&lt;"&amp;FG36)+1&lt;=30,COUNTIFS($FD$2:$FD$1000,"Y",$J$2:$J$1000,"&gt;"&amp;J36)+COUNTIFS($FD$2:$FD$1000,"Y",$J$2:$J$1000,J36,$FG$2:$FG$1000,"&lt;"&amp;FG36)+1,""))</f>
        <v>14</v>
      </c>
      <c r="FF36" s="0" t="str">
        <f aca="false">IF(AND(_xlfn.ISFORMULA(C36),_xlfn.ISFORMULA(J36)),"Y","N")</f>
        <v>Y</v>
      </c>
      <c r="FG36" s="0" t="n">
        <f aca="false">ROW()-1</f>
        <v>35</v>
      </c>
    </row>
    <row r="37" customFormat="false" ht="15" hidden="false" customHeight="false" outlineLevel="0" collapsed="false">
      <c r="A37" s="0" t="s">
        <v>6637</v>
      </c>
      <c r="B37" s="0" t="s">
        <v>6638</v>
      </c>
      <c r="C37" s="0" t="str">
        <f aca="false">IF($A37="","",IF(AT37="Y",BL37&amp;"",AY37&amp;""))</f>
        <v>Kartik</v>
      </c>
      <c r="D37" s="0" t="str">
        <f aca="false">IF($A37="","",IF(AT37="Y",BM37&amp;"",AZ37&amp;""))</f>
        <v>Das</v>
      </c>
      <c r="E37" s="0" t="str">
        <f aca="false">IF($A37="","",IF(AT37="Y",BN37&amp;"",BA37&amp;""))</f>
        <v>Founder</v>
      </c>
      <c r="F37" s="0" t="str">
        <f aca="false">IF($A37="","",IF(AT37="Y",BO37&amp;"",BB37&amp;""))</f>
        <v>https://www.linkedin.com/in/daskartik/</v>
      </c>
      <c r="G37" s="0" t="str">
        <f aca="false">IF($A37="","",IF(AT37="Y",BP37&amp;"",BC37&amp;""))</f>
        <v/>
      </c>
      <c r="H37" s="0" t="str">
        <f aca="false">IF($A37="","",IF(AT37="Y",BQ37&amp;"",BD37&amp;""))</f>
        <v>none</v>
      </c>
      <c r="I37" s="0" t="str">
        <f aca="false">IF($A37="","",IF(R37="Y","warm-intro",IF(H37="verified","email",IF(C37&lt;&gt;"","linkedin",CA37&amp;""))))</f>
        <v>linkedin</v>
      </c>
      <c r="J37" s="0" t="n">
        <f aca="false">IF($A37="","",IF(CK37="pass",ROUND(N(DO37)+N(DP37)+N(DQ37)+N(DR37)+N(DS37)+N(DT37)+N(DU37)+N(DV37),0),0))</f>
        <v>55</v>
      </c>
      <c r="K37" s="0" t="str">
        <f aca="false">IF($A37="","",IF(CK37&lt;&gt;"pass",BY37&amp;"",BY37&amp;", "&amp;IF(AT37="Y",BX37&amp;"",BK37&amp;"")&amp;BZ37&amp;IF(R37="Y","; known to the founder (+10)","")&amp;"."))</f>
        <v>New York City brand, no graded store within ten blocks, online store only, a new store listing 8 days ago, revenue unknown, contact named.</v>
      </c>
      <c r="M37" s="0" t="s">
        <v>6144</v>
      </c>
      <c r="N37" s="0" t="s">
        <v>740</v>
      </c>
      <c r="O37" s="0" t="s">
        <v>6639</v>
      </c>
      <c r="P37" s="0" t="s">
        <v>6640</v>
      </c>
      <c r="Q37" s="0" t="s">
        <v>6641</v>
      </c>
      <c r="R37" s="5" t="s">
        <v>189</v>
      </c>
      <c r="S37" s="0" t="s">
        <v>209</v>
      </c>
      <c r="T37" s="5" t="s">
        <v>189</v>
      </c>
      <c r="U37" s="5" t="s">
        <v>3896</v>
      </c>
      <c r="V37" s="0" t="s">
        <v>6642</v>
      </c>
      <c r="W37" s="0" t="s">
        <v>172</v>
      </c>
      <c r="X37" s="0" t="s">
        <v>5578</v>
      </c>
      <c r="Y37" s="0" t="n">
        <f aca="false">IF(FA37&lt;&gt;"Y","",COUNTIFS($FA$2:$FA$1000,"Y",$J$2:$J$1000,"&gt;"&amp;J37)+COUNTIFS($FA$2:$FA$1000,"Y",$J$2:$J$1000,J37,$FG$2:$FG$1000,"&lt;"&amp;FG37)+1)</f>
        <v>19</v>
      </c>
      <c r="Z37" s="0" t="n">
        <v>36</v>
      </c>
      <c r="AA37" s="0" t="s">
        <v>164</v>
      </c>
      <c r="AB37" s="0" t="str">
        <f aca="false">IF($A37="","",IF(AT37="Y",BW37&amp;"",BJ37&amp;""))</f>
        <v>open the LinkedIn URL and confirm it is Kartik Das, Founder at Doosra (found on another page, never opened)</v>
      </c>
      <c r="AC37" s="0" t="str">
        <f aca="false">IF($A37="","",IF(AT37="Y",BR37&amp;"",BE37&amp;""))</f>
        <v>founder</v>
      </c>
      <c r="AD37" s="0" t="str">
        <f aca="false">IF($A37="","",IF(AT37="Y",BS37&amp;"",BF37&amp;""))</f>
        <v>verified-page</v>
      </c>
      <c r="AE37" s="0" t="str">
        <f aca="false">IF($A37="","",IF(AT37="Y",BT37&amp;"",BG37&amp;""))</f>
        <v>employer's own site</v>
      </c>
      <c r="AF37" s="0" t="str">
        <f aca="false">IF($A37="","",IF(AT37="Y",BU37&amp;"",BH37&amp;""))</f>
        <v>https://eatdoosra.com/pages/about</v>
      </c>
      <c r="AG37" s="0" t="str">
        <f aca="false">IF($A37="","",IF(AT37="Y",BV37&amp;"",BI37&amp;""))</f>
        <v>2026-10-24</v>
      </c>
      <c r="AH37" s="0" t="s">
        <v>6643</v>
      </c>
      <c r="AI37" s="0" t="s">
        <v>6042</v>
      </c>
      <c r="AJ37" s="0" t="s">
        <v>6644</v>
      </c>
      <c r="AK37" s="0" t="s">
        <v>6645</v>
      </c>
      <c r="AL37" s="0" t="s">
        <v>189</v>
      </c>
      <c r="AN37" s="0" t="s">
        <v>6637</v>
      </c>
      <c r="AO37" s="5" t="s">
        <v>189</v>
      </c>
      <c r="AR37" s="0" t="str">
        <f aca="false">IF($A37="","",IF(AND(CK37="pass",AO37&lt;&gt;"Y",C37&lt;&gt;"",OR(AU37&lt;&gt;"Y",AV37="Y")),"Y","N"))</f>
        <v>Y</v>
      </c>
      <c r="AS37" s="0" t="str">
        <f aca="false">IF($A37="","",_xlfn.TEXTJOIN("; ",TRUE(),IF(CK37&lt;&gt;"pass","gated out",""),IF(AO37="Y","on hold: "&amp;AP37,""),IF(C37="","no contact named on an opened page",""),IF(AND(AU37="Y",AV37&lt;&gt;"Y"),"founder review pending (Founder review tab)","")))</f>
        <v/>
      </c>
      <c r="AU37" s="0" t="s">
        <v>189</v>
      </c>
      <c r="AY37" s="0" t="s">
        <v>6646</v>
      </c>
      <c r="AZ37" s="0" t="s">
        <v>6647</v>
      </c>
      <c r="BA37" s="0" t="s">
        <v>5739</v>
      </c>
      <c r="BB37" s="0" t="s">
        <v>6648</v>
      </c>
      <c r="BC37" s="0" t="str">
        <f aca="false">IF($A37="","",IFERROR(INDEX(Enrichment!$A$2:$GZ$2000,MATCH($A37,INDEX(Enrichment!$A$2:$GZ$2000,0,MATCH("row_id",Enrichment!$A$1:$GZ$1,0)),0),MATCH("work_email",Enrichment!$A$1:$GZ$1,0))&amp;"",""))</f>
        <v/>
      </c>
      <c r="BD37" s="0" t="str">
        <f aca="false">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none</v>
      </c>
      <c r="BE37" s="0" t="s">
        <v>5589</v>
      </c>
      <c r="BF37" s="0" t="s">
        <v>169</v>
      </c>
      <c r="BG37" s="0" t="s">
        <v>170</v>
      </c>
      <c r="BH37" s="0" t="s">
        <v>6649</v>
      </c>
      <c r="BI37" s="0" t="s">
        <v>172</v>
      </c>
      <c r="BJ37" s="0" t="s">
        <v>6650</v>
      </c>
      <c r="BK37" s="0" t="s">
        <v>5643</v>
      </c>
      <c r="BP37" s="0" t="str">
        <f aca="false">IF($A37="","",IFERROR(INDEX(Enrichment!$A$2:$GZ$2000,MATCH($A37,INDEX(Enrichment!$A$2:$GZ$2000,0,MATCH("row_id",Enrichment!$A$1:$GZ$1,0)),0),MATCH("backup_work_email",Enrichment!$A$1:$GZ$1,0))&amp;"",""))</f>
        <v/>
      </c>
      <c r="BQ37" s="0" t="str">
        <f aca="false">IF($A37="","",IF(BP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none</v>
      </c>
      <c r="BS37" s="0" t="s">
        <v>380</v>
      </c>
      <c r="BW37" s="0" t="s">
        <v>387</v>
      </c>
      <c r="BX37" s="0" t="s">
        <v>388</v>
      </c>
      <c r="BY37" s="0" t="s">
        <v>6651</v>
      </c>
      <c r="CB37" s="0" t="s">
        <v>6652</v>
      </c>
      <c r="CD37" s="0" t="s">
        <v>6653</v>
      </c>
      <c r="CE37" s="0" t="s">
        <v>244</v>
      </c>
      <c r="CJ37" s="0" t="s">
        <v>5606</v>
      </c>
      <c r="CK37" s="0" t="s">
        <v>200</v>
      </c>
      <c r="CM37" s="0" t="s">
        <v>201</v>
      </c>
      <c r="CO37" s="0" t="s">
        <v>6645</v>
      </c>
      <c r="CP37" s="0" t="s">
        <v>5608</v>
      </c>
      <c r="CQ37" s="0" t="s">
        <v>5609</v>
      </c>
      <c r="CR37" s="0" t="s">
        <v>209</v>
      </c>
      <c r="CT37" s="0" t="s">
        <v>164</v>
      </c>
      <c r="CU37" s="0" t="s">
        <v>6654</v>
      </c>
      <c r="CV37" s="0" t="s">
        <v>164</v>
      </c>
      <c r="CW37" s="0" t="s">
        <v>164</v>
      </c>
      <c r="CX37" s="0" t="s">
        <v>209</v>
      </c>
      <c r="CZ37" s="0" t="s">
        <v>5993</v>
      </c>
      <c r="DA37" s="0" t="s">
        <v>189</v>
      </c>
      <c r="DB37" s="0" t="s">
        <v>189</v>
      </c>
      <c r="DE37" s="0" t="s">
        <v>189</v>
      </c>
      <c r="DF37" s="0" t="n">
        <v>0</v>
      </c>
      <c r="DH37" s="0" t="s">
        <v>6655</v>
      </c>
      <c r="DI37" s="0" t="s">
        <v>6656</v>
      </c>
      <c r="DJ37" s="0" t="s">
        <v>6657</v>
      </c>
      <c r="DK37" s="0" t="s">
        <v>5689</v>
      </c>
      <c r="DL37" s="0" t="n">
        <v>8</v>
      </c>
      <c r="DN37" s="0" t="n">
        <v>55</v>
      </c>
      <c r="DO37" s="0" t="n">
        <v>6</v>
      </c>
      <c r="DP37" s="0" t="n">
        <v>20</v>
      </c>
      <c r="DQ37" s="0" t="n">
        <v>8</v>
      </c>
      <c r="DR37" s="0" t="n">
        <v>5</v>
      </c>
      <c r="DS37" s="0" t="n">
        <v>10</v>
      </c>
      <c r="DT37" s="0" t="n">
        <v>6</v>
      </c>
      <c r="DU37" s="0" t="n">
        <f aca="false">IF($A37="","",IF(R37="Y",10,0))</f>
        <v>0</v>
      </c>
      <c r="DV37" s="0" t="n">
        <v>0</v>
      </c>
      <c r="DW37" s="0" t="s">
        <v>6658</v>
      </c>
      <c r="DX37" s="0" t="s">
        <v>5998</v>
      </c>
      <c r="DY37" s="0" t="s">
        <v>6659</v>
      </c>
      <c r="DZ37" s="0" t="s">
        <v>6660</v>
      </c>
      <c r="EV37" s="0" t="str">
        <f aca="false">IF($A37="","",IF(ISNUMBER(MATCH(U37,{"queued","contacted","replied","call_booked","call_done","yes_in_principle","materials_sent"},0)),"Y","N"))</f>
        <v>N</v>
      </c>
      <c r="EW37" s="0" t="str">
        <f aca="false">IF($A37="","",IF(OR(T37="Y",U37="do_not_contact",AQ37&amp;""&lt;&gt;""),"Y","N"))</f>
        <v>N</v>
      </c>
      <c r="EX37" s="0" t="str">
        <f aca="false">IF($A37="","",IF(AN37&amp;""&lt;&gt;"",AN37&amp;"",$A37))</f>
        <v>AB-278</v>
      </c>
      <c r="EY37" s="0" t="str">
        <f aca="false">IF($A37="","",IF(COUNTIFS($EX$2:$EX$1000,EX37,$EV$2:$EV$1000,"Y")+COUNTIFS($EX$2:$EX$1000,EX37,$EW$2:$EW$1000,"Y")&gt;0,"Y","N"))</f>
        <v>N</v>
      </c>
      <c r="EZ37" s="0" t="str">
        <f aca="false">IF($A37="","",IF(AND(U37="new",T37="N",EW37="N",AR37="Y",EY37="N"),"Y","N"))</f>
        <v>Y</v>
      </c>
      <c r="FA37" s="0" t="str">
        <f aca="false">IF($A37="","",IF(EZ37&lt;&gt;"Y","N",IF(COUNTIFS($EX$2:$EX$1000,EX37,$EZ$2:$EZ$1000,"Y",$J$2:$J$1000,"&gt;"&amp;J37)+COUNTIFS($EX$2:$EX$1000,EX37,$EZ$2:$EZ$1000,"Y",$J$2:$J$1000,J37,$FG$2:$FG$1000,"&lt;"&amp;FG37)=0,"Y","N")))</f>
        <v>Y</v>
      </c>
      <c r="FB37" s="0" t="str">
        <f aca="false">IF($A37="","",IF(AND(EZ37="Y",FA37="Y",Y37&amp;""&lt;&gt;""),IF(Y37&lt;=10,"Y","N"),"N"))</f>
        <v>N</v>
      </c>
      <c r="FC37" s="0" t="str">
        <f aca="false">IF(FB37="Y",Y37,"")</f>
        <v/>
      </c>
      <c r="FD37" s="0" t="str">
        <f aca="false">IF($A37="","",IF(AND(CK37="pass",AU37="Y",AV37&lt;&gt;"Y",U37="new",EW37="N"),"Y","N"))</f>
        <v>N</v>
      </c>
      <c r="FE37" s="0" t="str">
        <f aca="false">IF(FD37&lt;&gt;"Y","",IF(COUNTIFS($FD$2:$FD$1000,"Y",$J$2:$J$1000,"&gt;"&amp;J37)+COUNTIFS($FD$2:$FD$1000,"Y",$J$2:$J$1000,J37,$FG$2:$FG$1000,"&lt;"&amp;FG37)+1&lt;=30,COUNTIFS($FD$2:$FD$1000,"Y",$J$2:$J$1000,"&gt;"&amp;J37)+COUNTIFS($FD$2:$FD$1000,"Y",$J$2:$J$1000,J37,$FG$2:$FG$1000,"&lt;"&amp;FG37)+1,""))</f>
        <v/>
      </c>
      <c r="FF37" s="0" t="str">
        <f aca="false">IF(AND(_xlfn.ISFORMULA(C37),_xlfn.ISFORMULA(J37)),"Y","N")</f>
        <v>Y</v>
      </c>
      <c r="FG37" s="0" t="n">
        <f aca="false">ROW()-1</f>
        <v>36</v>
      </c>
    </row>
    <row r="38" customFormat="false" ht="15" hidden="false" customHeight="false" outlineLevel="0" collapsed="false">
      <c r="A38" s="0" t="s">
        <v>6661</v>
      </c>
      <c r="B38" s="0" t="s">
        <v>6662</v>
      </c>
      <c r="C38" s="0" t="str">
        <f aca="false">IF($A38="","",IF(AT38="Y",BL38&amp;"",AY38&amp;""))</f>
        <v>Oliver</v>
      </c>
      <c r="D38" s="0" t="str">
        <f aca="false">IF($A38="","",IF(AT38="Y",BM38&amp;"",AZ38&amp;""))</f>
        <v>Spring</v>
      </c>
      <c r="E38" s="0" t="str">
        <f aca="false">IF($A38="","",IF(AT38="Y",BN38&amp;"",BA38&amp;""))</f>
        <v>CEO and Co-founder</v>
      </c>
      <c r="F38" s="0" t="str">
        <f aca="false">IF($A38="","",IF(AT38="Y",BO38&amp;"",BB38&amp;""))</f>
        <v>https://www.linkedin.com/in/oliverhspring/</v>
      </c>
      <c r="G38" s="0" t="str">
        <f aca="false">IF($A38="","",IF(AT38="Y",BP38&amp;"",BC38&amp;""))</f>
        <v/>
      </c>
      <c r="H38" s="0" t="str">
        <f aca="false">IF($A38="","",IF(AT38="Y",BQ38&amp;"",BD38&amp;""))</f>
        <v>none</v>
      </c>
      <c r="I38" s="0" t="str">
        <f aca="false">IF($A38="","",IF(R38="Y","warm-intro",IF(H38="verified","email",IF(C38&lt;&gt;"","linkedin",CA38&amp;""))))</f>
        <v>linkedin</v>
      </c>
      <c r="J38" s="0" t="n">
        <f aca="false">IF($A38="","",IF(CK38="pass",ROUND(N(DO38)+N(DP38)+N(DQ38)+N(DR38)+N(DS38)+N(DT38)+N(DU38)+N(DV38),0),0))</f>
        <v>55</v>
      </c>
      <c r="K38" s="0" t="str">
        <f aca="false">IF($A38="","",IF(CK38&lt;&gt;"pass",BY38&amp;"",BY38&amp;", "&amp;IF(AT38="Y",BX38&amp;"",BK38&amp;"")&amp;BZ38&amp;IF(R38="Y","; known to the founder (+10)","")&amp;"."))</f>
        <v>New York City brand, no graded store within ten blocks, online store only, a new store listing 37 days ago, revenue unknown, contact named (crowd-listed on The Org) plus a marketing lead; founder review: claim-functional, nutrient-claim.</v>
      </c>
      <c r="M38" s="0" t="s">
        <v>6144</v>
      </c>
      <c r="N38" s="0" t="s">
        <v>740</v>
      </c>
      <c r="O38" s="0" t="s">
        <v>6663</v>
      </c>
      <c r="P38" s="0" t="s">
        <v>6664</v>
      </c>
      <c r="Q38" s="0" t="s">
        <v>4494</v>
      </c>
      <c r="R38" s="5" t="s">
        <v>189</v>
      </c>
      <c r="S38" s="0" t="s">
        <v>164</v>
      </c>
      <c r="T38" s="5" t="s">
        <v>189</v>
      </c>
      <c r="U38" s="5" t="s">
        <v>3896</v>
      </c>
      <c r="V38" s="0" t="s">
        <v>6665</v>
      </c>
      <c r="W38" s="0" t="s">
        <v>263</v>
      </c>
      <c r="X38" s="0" t="s">
        <v>5578</v>
      </c>
      <c r="Y38" s="0" t="str">
        <f aca="false">IF(FA38&lt;&gt;"Y","",COUNTIFS($FA$2:$FA$1000,"Y",$J$2:$J$1000,"&gt;"&amp;J38)+COUNTIFS($FA$2:$FA$1000,"Y",$J$2:$J$1000,J38,$FG$2:$FG$1000,"&lt;"&amp;FG38)+1)</f>
        <v/>
      </c>
      <c r="Z38" s="0" t="n">
        <v>37</v>
      </c>
      <c r="AA38" s="0" t="s">
        <v>164</v>
      </c>
      <c r="AB38" s="0" t="str">
        <f aca="false">IF($A38="","",IF(AT38="Y",BW38&amp;"",BJ38&amp;""))</f>
        <v>open the LinkedIn URL and confirm it is Oliver Spring, CEO and Co-founder at OOSO Sparkling Tea (found on another page, never opened)</v>
      </c>
      <c r="AC38" s="0" t="str">
        <f aca="false">IF($A38="","",IF(AT38="Y",BR38&amp;"",BE38&amp;""))</f>
        <v>founder</v>
      </c>
      <c r="AD38" s="0" t="str">
        <f aca="false">IF($A38="","",IF(AT38="Y",BS38&amp;"",BF38&amp;""))</f>
        <v>crowd-listed</v>
      </c>
      <c r="AE38" s="0" t="str">
        <f aca="false">IF($A38="","",IF(AT38="Y",BT38&amp;"",BG38&amp;""))</f>
        <v>The Org (crowd-edited org chart)</v>
      </c>
      <c r="AF38" s="0" t="str">
        <f aca="false">IF($A38="","",IF(AT38="Y",BU38&amp;"",BH38&amp;""))</f>
        <v>https://theorg.com/org/ooso-sparkling-tea/person/oliver-spring</v>
      </c>
      <c r="AG38" s="0" t="str">
        <f aca="false">IF($A38="","",IF(AT38="Y",BV38&amp;"",BI38&amp;""))</f>
        <v>2026-10-24</v>
      </c>
      <c r="AH38" s="0" t="s">
        <v>6666</v>
      </c>
      <c r="AI38" s="0" t="s">
        <v>6621</v>
      </c>
      <c r="AJ38" s="0" t="s">
        <v>5631</v>
      </c>
      <c r="AK38" s="0" t="s">
        <v>6667</v>
      </c>
      <c r="AL38" s="0" t="s">
        <v>164</v>
      </c>
      <c r="AM38" s="0" t="s">
        <v>6668</v>
      </c>
      <c r="AN38" s="0" t="s">
        <v>6661</v>
      </c>
      <c r="AO38" s="5" t="s">
        <v>189</v>
      </c>
      <c r="AR38" s="0" t="str">
        <f aca="false">IF($A38="","",IF(AND(CK38="pass",AO38&lt;&gt;"Y",C38&lt;&gt;"",OR(AU38&lt;&gt;"Y",AV38="Y")),"Y","N"))</f>
        <v>N</v>
      </c>
      <c r="AS38" s="0" t="str">
        <f aca="false">IF($A38="","",_xlfn.TEXTJOIN("; ",TRUE(),IF(CK38&lt;&gt;"pass","gated out",""),IF(AO38="Y","on hold: "&amp;AP38,""),IF(C38="","no contact named on an opened page",""),IF(AND(AU38="Y",AV38&lt;&gt;"Y"),"founder review pending (Founder review tab)","")))</f>
        <v>founder review pending (Founder review tab)</v>
      </c>
      <c r="AU38" s="0" t="s">
        <v>164</v>
      </c>
      <c r="AY38" s="0" t="s">
        <v>6669</v>
      </c>
      <c r="AZ38" s="0" t="s">
        <v>6670</v>
      </c>
      <c r="BA38" s="0" t="s">
        <v>6671</v>
      </c>
      <c r="BB38" s="0" t="s">
        <v>6672</v>
      </c>
      <c r="BC38" s="0" t="str">
        <f aca="false">IF($A38="","",IFERROR(INDEX(Enrichment!$A$2:$GZ$2000,MATCH($A38,INDEX(Enrichment!$A$2:$GZ$2000,0,MATCH("row_id",Enrichment!$A$1:$GZ$1,0)),0),MATCH("work_email",Enrichment!$A$1:$GZ$1,0))&amp;"",""))</f>
        <v/>
      </c>
      <c r="BD38" s="0" t="str">
        <f aca="false">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none</v>
      </c>
      <c r="BE38" s="0" t="s">
        <v>5589</v>
      </c>
      <c r="BF38" s="0" t="s">
        <v>283</v>
      </c>
      <c r="BG38" s="0" t="s">
        <v>284</v>
      </c>
      <c r="BH38" s="0" t="s">
        <v>6673</v>
      </c>
      <c r="BI38" s="0" t="s">
        <v>172</v>
      </c>
      <c r="BJ38" s="0" t="s">
        <v>6674</v>
      </c>
      <c r="BK38" s="0" t="s">
        <v>5592</v>
      </c>
      <c r="BL38" s="0" t="s">
        <v>1027</v>
      </c>
      <c r="BM38" s="0" t="s">
        <v>6675</v>
      </c>
      <c r="BN38" s="0" t="s">
        <v>6676</v>
      </c>
      <c r="BO38" s="0" t="s">
        <v>6677</v>
      </c>
      <c r="BP38" s="0" t="str">
        <f aca="false">IF($A38="","",IFERROR(INDEX(Enrichment!$A$2:$GZ$2000,MATCH($A38,INDEX(Enrichment!$A$2:$GZ$2000,0,MATCH("row_id",Enrichment!$A$1:$GZ$1,0)),0),MATCH("backup_work_email",Enrichment!$A$1:$GZ$1,0))&amp;"",""))</f>
        <v/>
      </c>
      <c r="BQ38" s="0" t="str">
        <f aca="false">IF($A38="","",IF(BP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none</v>
      </c>
      <c r="BR38" s="0" t="s">
        <v>5596</v>
      </c>
      <c r="BS38" s="0" t="s">
        <v>169</v>
      </c>
      <c r="BT38" s="0" t="s">
        <v>170</v>
      </c>
      <c r="BU38" s="0" t="s">
        <v>6678</v>
      </c>
      <c r="BV38" s="0" t="s">
        <v>172</v>
      </c>
      <c r="BW38" s="0" t="s">
        <v>6679</v>
      </c>
      <c r="BX38" s="0" t="s">
        <v>5643</v>
      </c>
      <c r="BY38" s="0" t="s">
        <v>6680</v>
      </c>
      <c r="BZ38" s="0" t="s">
        <v>6050</v>
      </c>
      <c r="CB38" s="0" t="s">
        <v>6681</v>
      </c>
      <c r="CC38" s="0" t="s">
        <v>6682</v>
      </c>
      <c r="CD38" s="0" t="s">
        <v>6683</v>
      </c>
      <c r="CE38" s="0" t="s">
        <v>244</v>
      </c>
      <c r="CF38" s="0" t="s">
        <v>6684</v>
      </c>
      <c r="CH38" s="0" t="s">
        <v>6685</v>
      </c>
      <c r="CI38" s="0" t="s">
        <v>244</v>
      </c>
      <c r="CJ38" s="0" t="s">
        <v>5606</v>
      </c>
      <c r="CK38" s="0" t="s">
        <v>200</v>
      </c>
      <c r="CM38" s="0" t="s">
        <v>201</v>
      </c>
      <c r="CN38" s="0" t="s">
        <v>6051</v>
      </c>
      <c r="CO38" s="0" t="s">
        <v>6667</v>
      </c>
      <c r="CP38" s="0" t="s">
        <v>5608</v>
      </c>
      <c r="CQ38" s="0" t="s">
        <v>5609</v>
      </c>
      <c r="CR38" s="0" t="s">
        <v>209</v>
      </c>
      <c r="CT38" s="0" t="s">
        <v>164</v>
      </c>
      <c r="CU38" s="0" t="s">
        <v>6686</v>
      </c>
      <c r="CV38" s="0" t="s">
        <v>164</v>
      </c>
      <c r="CW38" s="0" t="s">
        <v>164</v>
      </c>
      <c r="CX38" s="0" t="s">
        <v>209</v>
      </c>
      <c r="CZ38" s="0" t="s">
        <v>6456</v>
      </c>
      <c r="DA38" s="0" t="s">
        <v>189</v>
      </c>
      <c r="DB38" s="0" t="s">
        <v>189</v>
      </c>
      <c r="DE38" s="0" t="s">
        <v>189</v>
      </c>
      <c r="DF38" s="0" t="n">
        <v>0</v>
      </c>
      <c r="DI38" s="0" t="s">
        <v>6687</v>
      </c>
      <c r="DJ38" s="0" t="s">
        <v>6688</v>
      </c>
      <c r="DK38" s="0" t="s">
        <v>5689</v>
      </c>
      <c r="DL38" s="0" t="n">
        <v>37</v>
      </c>
      <c r="DM38" s="0" t="s">
        <v>6689</v>
      </c>
      <c r="DN38" s="0" t="n">
        <v>55</v>
      </c>
      <c r="DO38" s="0" t="n">
        <v>6</v>
      </c>
      <c r="DP38" s="0" t="n">
        <v>20</v>
      </c>
      <c r="DQ38" s="0" t="n">
        <v>8</v>
      </c>
      <c r="DR38" s="0" t="n">
        <v>5</v>
      </c>
      <c r="DS38" s="0" t="n">
        <v>10</v>
      </c>
      <c r="DT38" s="0" t="n">
        <v>10</v>
      </c>
      <c r="DU38" s="0" t="n">
        <f aca="false">IF($A38="","",IF(R38="Y",10,0))</f>
        <v>0</v>
      </c>
      <c r="DV38" s="0" t="n">
        <v>-4</v>
      </c>
      <c r="DW38" s="0" t="s">
        <v>6690</v>
      </c>
      <c r="DX38" s="0" t="s">
        <v>6462</v>
      </c>
      <c r="DY38" s="0" t="s">
        <v>6691</v>
      </c>
      <c r="DZ38" s="0" t="s">
        <v>6692</v>
      </c>
      <c r="EA38" s="0" t="s">
        <v>6693</v>
      </c>
      <c r="EV38" s="0" t="str">
        <f aca="false">IF($A38="","",IF(ISNUMBER(MATCH(U38,{"queued","contacted","replied","call_booked","call_done","yes_in_principle","materials_sent"},0)),"Y","N"))</f>
        <v>N</v>
      </c>
      <c r="EW38" s="0" t="str">
        <f aca="false">IF($A38="","",IF(OR(T38="Y",U38="do_not_contact",AQ38&amp;""&lt;&gt;""),"Y","N"))</f>
        <v>N</v>
      </c>
      <c r="EX38" s="0" t="str">
        <f aca="false">IF($A38="","",IF(AN38&amp;""&lt;&gt;"",AN38&amp;"",$A38))</f>
        <v>AB-174</v>
      </c>
      <c r="EY38" s="0" t="str">
        <f aca="false">IF($A38="","",IF(COUNTIFS($EX$2:$EX$1000,EX38,$EV$2:$EV$1000,"Y")+COUNTIFS($EX$2:$EX$1000,EX38,$EW$2:$EW$1000,"Y")&gt;0,"Y","N"))</f>
        <v>N</v>
      </c>
      <c r="EZ38" s="0" t="str">
        <f aca="false">IF($A38="","",IF(AND(U38="new",T38="N",EW38="N",AR38="Y",EY38="N"),"Y","N"))</f>
        <v>N</v>
      </c>
      <c r="FA38" s="0" t="str">
        <f aca="false">IF($A38="","",IF(EZ38&lt;&gt;"Y","N",IF(COUNTIFS($EX$2:$EX$1000,EX38,$EZ$2:$EZ$1000,"Y",$J$2:$J$1000,"&gt;"&amp;J38)+COUNTIFS($EX$2:$EX$1000,EX38,$EZ$2:$EZ$1000,"Y",$J$2:$J$1000,J38,$FG$2:$FG$1000,"&lt;"&amp;FG38)=0,"Y","N")))</f>
        <v>N</v>
      </c>
      <c r="FB38" s="0" t="str">
        <f aca="false">IF($A38="","",IF(AND(EZ38="Y",FA38="Y",Y38&amp;""&lt;&gt;""),IF(Y38&lt;=10,"Y","N"),"N"))</f>
        <v>N</v>
      </c>
      <c r="FC38" s="0" t="str">
        <f aca="false">IF(FB38="Y",Y38,"")</f>
        <v/>
      </c>
      <c r="FD38" s="0" t="str">
        <f aca="false">IF($A38="","",IF(AND(CK38="pass",AU38="Y",AV38&lt;&gt;"Y",U38="new",EW38="N"),"Y","N"))</f>
        <v>Y</v>
      </c>
      <c r="FE38" s="0" t="n">
        <f aca="false">IF(FD38&lt;&gt;"Y","",IF(COUNTIFS($FD$2:$FD$1000,"Y",$J$2:$J$1000,"&gt;"&amp;J38)+COUNTIFS($FD$2:$FD$1000,"Y",$J$2:$J$1000,J38,$FG$2:$FG$1000,"&lt;"&amp;FG38)+1&lt;=30,COUNTIFS($FD$2:$FD$1000,"Y",$J$2:$J$1000,"&gt;"&amp;J38)+COUNTIFS($FD$2:$FD$1000,"Y",$J$2:$J$1000,J38,$FG$2:$FG$1000,"&lt;"&amp;FG38)+1,""))</f>
        <v>15</v>
      </c>
      <c r="FF38" s="0" t="str">
        <f aca="false">IF(AND(_xlfn.ISFORMULA(C38),_xlfn.ISFORMULA(J38)),"Y","N")</f>
        <v>Y</v>
      </c>
      <c r="FG38" s="0" t="n">
        <f aca="false">ROW()-1</f>
        <v>37</v>
      </c>
    </row>
    <row r="39" customFormat="false" ht="15" hidden="false" customHeight="false" outlineLevel="0" collapsed="false">
      <c r="A39" s="0" t="s">
        <v>6694</v>
      </c>
      <c r="B39" s="0" t="s">
        <v>6695</v>
      </c>
      <c r="C39" s="0" t="str">
        <f aca="false">IF($A39="","",IF(AT39="Y",BL39&amp;"",AY39&amp;""))</f>
        <v>Claire</v>
      </c>
      <c r="D39" s="0" t="str">
        <f aca="false">IF($A39="","",IF(AT39="Y",BM39&amp;"",AZ39&amp;""))</f>
        <v>Matern</v>
      </c>
      <c r="E39" s="0" t="str">
        <f aca="false">IF($A39="","",IF(AT39="Y",BN39&amp;"",BA39&amp;""))</f>
        <v>Founder</v>
      </c>
      <c r="F39" s="0" t="str">
        <f aca="false">IF($A39="","",IF(AT39="Y",BO39&amp;"",BB39&amp;""))</f>
        <v/>
      </c>
      <c r="G39" s="0" t="str">
        <f aca="false">IF($A39="","",IF(AT39="Y",BP39&amp;"",BC39&amp;""))</f>
        <v/>
      </c>
      <c r="H39" s="0" t="str">
        <f aca="false">IF($A39="","",IF(AT39="Y",BQ39&amp;"",BD39&amp;""))</f>
        <v>none</v>
      </c>
      <c r="I39" s="0" t="str">
        <f aca="false">IF($A39="","",IF(R39="Y","warm-intro",IF(H39="verified","email",IF(C39&lt;&gt;"","linkedin",CA39&amp;""))))</f>
        <v>linkedin</v>
      </c>
      <c r="J39" s="0" t="n">
        <f aca="false">IF($A39="","",IF(CK39="pass",ROUND(N(DO39)+N(DP39)+N(DQ39)+N(DR39)+N(DS39)+N(DT39)+N(DU39)+N(DV39),0),0))</f>
        <v>54</v>
      </c>
      <c r="K39" s="0" t="str">
        <f aca="false">IF($A39="","",IF(CK39&lt;&gt;"pass",BY39&amp;"",BY39&amp;", "&amp;IF(AT39="Y",BX39&amp;"",BK39&amp;"")&amp;BZ39&amp;IF(R39="Y","; known to the founder (+10)","")&amp;"."))</f>
        <v>New York City brand, no graded store within ten blocks, online store only, news 79 days ago, revenue unknown, contact named; founder review: alcohol-adjacent.</v>
      </c>
      <c r="M39" s="0" t="s">
        <v>6144</v>
      </c>
      <c r="N39" s="0" t="s">
        <v>740</v>
      </c>
      <c r="O39" s="0" t="s">
        <v>6696</v>
      </c>
      <c r="P39" s="0" t="s">
        <v>6470</v>
      </c>
      <c r="Q39" s="0" t="s">
        <v>4090</v>
      </c>
      <c r="R39" s="5" t="s">
        <v>189</v>
      </c>
      <c r="S39" s="0" t="s">
        <v>164</v>
      </c>
      <c r="T39" s="5" t="s">
        <v>189</v>
      </c>
      <c r="U39" s="5" t="s">
        <v>3896</v>
      </c>
      <c r="V39" s="0" t="s">
        <v>6697</v>
      </c>
      <c r="W39" s="0" t="s">
        <v>263</v>
      </c>
      <c r="X39" s="0" t="s">
        <v>5578</v>
      </c>
      <c r="Y39" s="0" t="str">
        <f aca="false">IF(FA39&lt;&gt;"Y","",COUNTIFS($FA$2:$FA$1000,"Y",$J$2:$J$1000,"&gt;"&amp;J39)+COUNTIFS($FA$2:$FA$1000,"Y",$J$2:$J$1000,J39,$FG$2:$FG$1000,"&lt;"&amp;FG39)+1)</f>
        <v/>
      </c>
      <c r="Z39" s="0" t="n">
        <v>38</v>
      </c>
      <c r="AA39" s="0" t="s">
        <v>164</v>
      </c>
      <c r="AB39" s="0" t="str">
        <f aca="false">IF($A39="","",IF(AT39="Y",BW39&amp;"",BJ39&amp;""))</f>
        <v>find Claire Matern at JONI on LinkedIn and paste the profile URL into primary_linkedin_url</v>
      </c>
      <c r="AC39" s="0" t="str">
        <f aca="false">IF($A39="","",IF(AT39="Y",BR39&amp;"",BE39&amp;""))</f>
        <v>founder</v>
      </c>
      <c r="AD39" s="0" t="str">
        <f aca="false">IF($A39="","",IF(AT39="Y",BS39&amp;"",BF39&amp;""))</f>
        <v>verified-page</v>
      </c>
      <c r="AE39" s="0" t="str">
        <f aca="false">IF($A39="","",IF(AT39="Y",BT39&amp;"",BG39&amp;""))</f>
        <v>press, event or podcast page</v>
      </c>
      <c r="AF39" s="0" t="str">
        <f aca="false">IF($A39="","",IF(AT39="Y",BU39&amp;"",BH39&amp;""))</f>
        <v>https://andreastrong.substack.com/p/please-meet-joni</v>
      </c>
      <c r="AG39" s="0" t="str">
        <f aca="false">IF($A39="","",IF(AT39="Y",BV39&amp;"",BI39&amp;""))</f>
        <v>2026-10-24</v>
      </c>
      <c r="AH39" s="0" t="s">
        <v>6698</v>
      </c>
      <c r="AI39" s="0" t="s">
        <v>6699</v>
      </c>
      <c r="AJ39" s="0" t="s">
        <v>5631</v>
      </c>
      <c r="AK39" s="0" t="s">
        <v>6700</v>
      </c>
      <c r="AL39" s="0" t="s">
        <v>164</v>
      </c>
      <c r="AM39" s="0" t="s">
        <v>6701</v>
      </c>
      <c r="AN39" s="0" t="s">
        <v>6694</v>
      </c>
      <c r="AO39" s="5" t="s">
        <v>189</v>
      </c>
      <c r="AR39" s="0" t="str">
        <f aca="false">IF($A39="","",IF(AND(CK39="pass",AO39&lt;&gt;"Y",C39&lt;&gt;"",OR(AU39&lt;&gt;"Y",AV39="Y")),"Y","N"))</f>
        <v>N</v>
      </c>
      <c r="AS39" s="0" t="str">
        <f aca="false">IF($A39="","",_xlfn.TEXTJOIN("; ",TRUE(),IF(CK39&lt;&gt;"pass","gated out",""),IF(AO39="Y","on hold: "&amp;AP39,""),IF(C39="","no contact named on an opened page",""),IF(AND(AU39="Y",AV39&lt;&gt;"Y"),"founder review pending (Founder review tab)","")))</f>
        <v>founder review pending (Founder review tab)</v>
      </c>
      <c r="AU39" s="0" t="s">
        <v>164</v>
      </c>
      <c r="AY39" s="0" t="s">
        <v>6702</v>
      </c>
      <c r="AZ39" s="0" t="s">
        <v>6703</v>
      </c>
      <c r="BA39" s="0" t="s">
        <v>5739</v>
      </c>
      <c r="BC39" s="0" t="str">
        <f aca="false">IF($A39="","",IFERROR(INDEX(Enrichment!$A$2:$GZ$2000,MATCH($A39,INDEX(Enrichment!$A$2:$GZ$2000,0,MATCH("row_id",Enrichment!$A$1:$GZ$1,0)),0),MATCH("work_email",Enrichment!$A$1:$GZ$1,0))&amp;"",""))</f>
        <v/>
      </c>
      <c r="BD39" s="0" t="str">
        <f aca="false">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none</v>
      </c>
      <c r="BE39" s="0" t="s">
        <v>5589</v>
      </c>
      <c r="BF39" s="0" t="s">
        <v>169</v>
      </c>
      <c r="BG39" s="0" t="s">
        <v>1252</v>
      </c>
      <c r="BH39" s="0" t="s">
        <v>6704</v>
      </c>
      <c r="BI39" s="0" t="s">
        <v>172</v>
      </c>
      <c r="BJ39" s="0" t="s">
        <v>6705</v>
      </c>
      <c r="BK39" s="0" t="s">
        <v>5643</v>
      </c>
      <c r="BP39" s="0" t="str">
        <f aca="false">IF($A39="","",IFERROR(INDEX(Enrichment!$A$2:$GZ$2000,MATCH($A39,INDEX(Enrichment!$A$2:$GZ$2000,0,MATCH("row_id",Enrichment!$A$1:$GZ$1,0)),0),MATCH("backup_work_email",Enrichment!$A$1:$GZ$1,0))&amp;"",""))</f>
        <v/>
      </c>
      <c r="BQ39" s="0" t="str">
        <f aca="false">IF($A39="","",IF(BP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none</v>
      </c>
      <c r="BS39" s="0" t="s">
        <v>380</v>
      </c>
      <c r="BW39" s="0" t="s">
        <v>387</v>
      </c>
      <c r="BX39" s="0" t="s">
        <v>388</v>
      </c>
      <c r="BY39" s="0" t="s">
        <v>6485</v>
      </c>
      <c r="BZ39" s="0" t="s">
        <v>6706</v>
      </c>
      <c r="CB39" s="0" t="s">
        <v>6707</v>
      </c>
      <c r="CD39" s="0" t="s">
        <v>6708</v>
      </c>
      <c r="CJ39" s="0" t="s">
        <v>5606</v>
      </c>
      <c r="CK39" s="0" t="s">
        <v>200</v>
      </c>
      <c r="CM39" s="0" t="s">
        <v>201</v>
      </c>
      <c r="CN39" s="0" t="s">
        <v>6709</v>
      </c>
      <c r="CO39" s="0" t="s">
        <v>6700</v>
      </c>
      <c r="CP39" s="0" t="s">
        <v>5608</v>
      </c>
      <c r="CQ39" s="0" t="s">
        <v>5609</v>
      </c>
      <c r="CR39" s="0" t="s">
        <v>209</v>
      </c>
      <c r="CT39" s="0" t="s">
        <v>209</v>
      </c>
      <c r="CU39" s="0" t="s">
        <v>6710</v>
      </c>
      <c r="CV39" s="0" t="s">
        <v>164</v>
      </c>
      <c r="CW39" s="0" t="s">
        <v>164</v>
      </c>
      <c r="CX39" s="0" t="s">
        <v>209</v>
      </c>
      <c r="CZ39" s="0" t="s">
        <v>6456</v>
      </c>
      <c r="DA39" s="0" t="s">
        <v>189</v>
      </c>
      <c r="DB39" s="0" t="s">
        <v>189</v>
      </c>
      <c r="DE39" s="0" t="s">
        <v>189</v>
      </c>
      <c r="DF39" s="0" t="n">
        <v>0</v>
      </c>
      <c r="DH39" s="0" t="s">
        <v>6711</v>
      </c>
      <c r="DI39" s="0" t="s">
        <v>6712</v>
      </c>
      <c r="DJ39" s="0" t="s">
        <v>6713</v>
      </c>
      <c r="DK39" s="0" t="s">
        <v>5617</v>
      </c>
      <c r="DL39" s="0" t="n">
        <v>79</v>
      </c>
      <c r="DM39" s="0" t="s">
        <v>6470</v>
      </c>
      <c r="DN39" s="0" t="n">
        <v>54</v>
      </c>
      <c r="DO39" s="0" t="n">
        <v>6</v>
      </c>
      <c r="DP39" s="0" t="n">
        <v>20</v>
      </c>
      <c r="DQ39" s="0" t="n">
        <v>15</v>
      </c>
      <c r="DR39" s="0" t="n">
        <v>5</v>
      </c>
      <c r="DS39" s="0" t="n">
        <v>7</v>
      </c>
      <c r="DT39" s="0" t="n">
        <v>6</v>
      </c>
      <c r="DU39" s="0" t="n">
        <f aca="false">IF($A39="","",IF(R39="Y",10,0))</f>
        <v>0</v>
      </c>
      <c r="DV39" s="0" t="n">
        <v>-5</v>
      </c>
      <c r="DW39" s="0" t="s">
        <v>209</v>
      </c>
      <c r="DX39" s="0" t="s">
        <v>6462</v>
      </c>
      <c r="DY39" s="0" t="s">
        <v>6714</v>
      </c>
      <c r="DZ39" s="0" t="s">
        <v>6715</v>
      </c>
      <c r="EA39" s="0" t="s">
        <v>6716</v>
      </c>
      <c r="EV39" s="0" t="str">
        <f aca="false">IF($A39="","",IF(ISNUMBER(MATCH(U39,{"queued","contacted","replied","call_booked","call_done","yes_in_principle","materials_sent"},0)),"Y","N"))</f>
        <v>N</v>
      </c>
      <c r="EW39" s="0" t="str">
        <f aca="false">IF($A39="","",IF(OR(T39="Y",U39="do_not_contact",AQ39&amp;""&lt;&gt;""),"Y","N"))</f>
        <v>N</v>
      </c>
      <c r="EX39" s="0" t="str">
        <f aca="false">IF($A39="","",IF(AN39&amp;""&lt;&gt;"",AN39&amp;"",$A39))</f>
        <v>AB-173</v>
      </c>
      <c r="EY39" s="0" t="str">
        <f aca="false">IF($A39="","",IF(COUNTIFS($EX$2:$EX$1000,EX39,$EV$2:$EV$1000,"Y")+COUNTIFS($EX$2:$EX$1000,EX39,$EW$2:$EW$1000,"Y")&gt;0,"Y","N"))</f>
        <v>N</v>
      </c>
      <c r="EZ39" s="0" t="str">
        <f aca="false">IF($A39="","",IF(AND(U39="new",T39="N",EW39="N",AR39="Y",EY39="N"),"Y","N"))</f>
        <v>N</v>
      </c>
      <c r="FA39" s="0" t="str">
        <f aca="false">IF($A39="","",IF(EZ39&lt;&gt;"Y","N",IF(COUNTIFS($EX$2:$EX$1000,EX39,$EZ$2:$EZ$1000,"Y",$J$2:$J$1000,"&gt;"&amp;J39)+COUNTIFS($EX$2:$EX$1000,EX39,$EZ$2:$EZ$1000,"Y",$J$2:$J$1000,J39,$FG$2:$FG$1000,"&lt;"&amp;FG39)=0,"Y","N")))</f>
        <v>N</v>
      </c>
      <c r="FB39" s="0" t="str">
        <f aca="false">IF($A39="","",IF(AND(EZ39="Y",FA39="Y",Y39&amp;""&lt;&gt;""),IF(Y39&lt;=10,"Y","N"),"N"))</f>
        <v>N</v>
      </c>
      <c r="FC39" s="0" t="str">
        <f aca="false">IF(FB39="Y",Y39,"")</f>
        <v/>
      </c>
      <c r="FD39" s="0" t="str">
        <f aca="false">IF($A39="","",IF(AND(CK39="pass",AU39="Y",AV39&lt;&gt;"Y",U39="new",EW39="N"),"Y","N"))</f>
        <v>Y</v>
      </c>
      <c r="FE39" s="0" t="n">
        <f aca="false">IF(FD39&lt;&gt;"Y","",IF(COUNTIFS($FD$2:$FD$1000,"Y",$J$2:$J$1000,"&gt;"&amp;J39)+COUNTIFS($FD$2:$FD$1000,"Y",$J$2:$J$1000,J39,$FG$2:$FG$1000,"&lt;"&amp;FG39)+1&lt;=30,COUNTIFS($FD$2:$FD$1000,"Y",$J$2:$J$1000,"&gt;"&amp;J39)+COUNTIFS($FD$2:$FD$1000,"Y",$J$2:$J$1000,J39,$FG$2:$FG$1000,"&lt;"&amp;FG39)+1,""))</f>
        <v>16</v>
      </c>
      <c r="FF39" s="0" t="str">
        <f aca="false">IF(AND(_xlfn.ISFORMULA(C39),_xlfn.ISFORMULA(J39)),"Y","N")</f>
        <v>Y</v>
      </c>
      <c r="FG39" s="0" t="n">
        <f aca="false">ROW()-1</f>
        <v>38</v>
      </c>
    </row>
    <row r="40" customFormat="false" ht="15" hidden="false" customHeight="false" outlineLevel="0" collapsed="false">
      <c r="A40" s="0" t="s">
        <v>6717</v>
      </c>
      <c r="B40" s="0" t="s">
        <v>6718</v>
      </c>
      <c r="C40" s="0" t="str">
        <f aca="false">IF($A40="","",IF(AT40="Y",BL40&amp;"",AY40&amp;""))</f>
        <v>Cindy</v>
      </c>
      <c r="D40" s="0" t="str">
        <f aca="false">IF($A40="","",IF(AT40="Y",BM40&amp;"",AZ40&amp;""))</f>
        <v>Lam</v>
      </c>
      <c r="E40" s="0" t="str">
        <f aca="false">IF($A40="","",IF(AT40="Y",BN40&amp;"",BA40&amp;""))</f>
        <v>Founder</v>
      </c>
      <c r="F40" s="0" t="str">
        <f aca="false">IF($A40="","",IF(AT40="Y",BO40&amp;"",BB40&amp;""))</f>
        <v/>
      </c>
      <c r="G40" s="0" t="str">
        <f aca="false">IF($A40="","",IF(AT40="Y",BP40&amp;"",BC40&amp;""))</f>
        <v/>
      </c>
      <c r="H40" s="0" t="str">
        <f aca="false">IF($A40="","",IF(AT40="Y",BQ40&amp;"",BD40&amp;""))</f>
        <v>none</v>
      </c>
      <c r="I40" s="0" t="str">
        <f aca="false">IF($A40="","",IF(R40="Y","warm-intro",IF(H40="verified","email",IF(C40&lt;&gt;"","linkedin",CA40&amp;""))))</f>
        <v>linkedin</v>
      </c>
      <c r="J40" s="0" t="n">
        <f aca="false">IF($A40="","",IF(CK40="pass",ROUND(N(DO40)+N(DP40)+N(DQ40)+N(DR40)+N(DS40)+N(DT40)+N(DU40)+N(DV40),0),0))</f>
        <v>54</v>
      </c>
      <c r="K40" s="0" t="str">
        <f aca="false">IF($A40="","",IF(CK40&lt;&gt;"pass",BY40&amp;"",BY40&amp;", "&amp;IF(AT40="Y",BX40&amp;"",BK40&amp;"")&amp;BZ40&amp;IF(R40="Y","; known to the founder (+10)","")&amp;"."))</f>
        <v>New York City brand, no graded store within ten blocks, online store only, news 65 days ago, revenue unknown, contact named; founder review: under-floor, format.</v>
      </c>
      <c r="M40" s="0" t="s">
        <v>6144</v>
      </c>
      <c r="N40" s="0" t="s">
        <v>740</v>
      </c>
      <c r="O40" s="0" t="s">
        <v>6719</v>
      </c>
      <c r="P40" s="0" t="s">
        <v>6720</v>
      </c>
      <c r="Q40" s="0" t="s">
        <v>6721</v>
      </c>
      <c r="R40" s="5" t="s">
        <v>189</v>
      </c>
      <c r="S40" s="0" t="s">
        <v>164</v>
      </c>
      <c r="T40" s="5" t="s">
        <v>189</v>
      </c>
      <c r="U40" s="5" t="s">
        <v>3896</v>
      </c>
      <c r="V40" s="0" t="s">
        <v>6720</v>
      </c>
      <c r="W40" s="0" t="s">
        <v>263</v>
      </c>
      <c r="X40" s="0" t="s">
        <v>5578</v>
      </c>
      <c r="Y40" s="0" t="str">
        <f aca="false">IF(FA40&lt;&gt;"Y","",COUNTIFS($FA$2:$FA$1000,"Y",$J$2:$J$1000,"&gt;"&amp;J40)+COUNTIFS($FA$2:$FA$1000,"Y",$J$2:$J$1000,J40,$FG$2:$FG$1000,"&lt;"&amp;FG40)+1)</f>
        <v/>
      </c>
      <c r="Z40" s="0" t="n">
        <v>39</v>
      </c>
      <c r="AA40" s="0" t="s">
        <v>164</v>
      </c>
      <c r="AB40" s="0" t="str">
        <f aca="false">IF($A40="","",IF(AT40="Y",BW40&amp;"",BJ40&amp;""))</f>
        <v>find Cindy Lam at UMAMI GRANOLA on LinkedIn and paste the profile URL into primary_linkedin_url</v>
      </c>
      <c r="AC40" s="0" t="str">
        <f aca="false">IF($A40="","",IF(AT40="Y",BR40&amp;"",BE40&amp;""))</f>
        <v>founder</v>
      </c>
      <c r="AD40" s="0" t="str">
        <f aca="false">IF($A40="","",IF(AT40="Y",BS40&amp;"",BF40&amp;""))</f>
        <v>verified-page</v>
      </c>
      <c r="AE40" s="0" t="str">
        <f aca="false">IF($A40="","",IF(AT40="Y",BT40&amp;"",BG40&amp;""))</f>
        <v>press, event or podcast page</v>
      </c>
      <c r="AF40" s="0" t="str">
        <f aca="false">IF($A40="","",IF(AT40="Y",BU40&amp;"",BH40&amp;""))</f>
        <v>https://startupcpg.com/startup-cpg-newswire-umami-granola-makes-its-retail-debut/</v>
      </c>
      <c r="AG40" s="0" t="str">
        <f aca="false">IF($A40="","",IF(AT40="Y",BV40&amp;"",BI40&amp;""))</f>
        <v>2026-10-24</v>
      </c>
      <c r="AH40" s="0" t="s">
        <v>6722</v>
      </c>
      <c r="AI40" s="0" t="s">
        <v>6042</v>
      </c>
      <c r="AJ40" s="0" t="s">
        <v>6723</v>
      </c>
      <c r="AK40" s="0" t="s">
        <v>6724</v>
      </c>
      <c r="AL40" s="0" t="s">
        <v>164</v>
      </c>
      <c r="AM40" s="0" t="s">
        <v>6725</v>
      </c>
      <c r="AN40" s="0" t="s">
        <v>6717</v>
      </c>
      <c r="AO40" s="5" t="s">
        <v>189</v>
      </c>
      <c r="AR40" s="0" t="str">
        <f aca="false">IF($A40="","",IF(AND(CK40="pass",AO40&lt;&gt;"Y",C40&lt;&gt;"",OR(AU40&lt;&gt;"Y",AV40="Y")),"Y","N"))</f>
        <v>N</v>
      </c>
      <c r="AS40" s="0" t="str">
        <f aca="false">IF($A40="","",_xlfn.TEXTJOIN("; ",TRUE(),IF(CK40&lt;&gt;"pass","gated out",""),IF(AO40="Y","on hold: "&amp;AP40,""),IF(C40="","no contact named on an opened page",""),IF(AND(AU40="Y",AV40&lt;&gt;"Y"),"founder review pending (Founder review tab)","")))</f>
        <v>founder review pending (Founder review tab)</v>
      </c>
      <c r="AU40" s="0" t="s">
        <v>164</v>
      </c>
      <c r="AY40" s="0" t="s">
        <v>6726</v>
      </c>
      <c r="AZ40" s="0" t="s">
        <v>6727</v>
      </c>
      <c r="BA40" s="0" t="s">
        <v>5739</v>
      </c>
      <c r="BC40" s="0" t="str">
        <f aca="false">IF($A40="","",IFERROR(INDEX(Enrichment!$A$2:$GZ$2000,MATCH($A40,INDEX(Enrichment!$A$2:$GZ$2000,0,MATCH("row_id",Enrichment!$A$1:$GZ$1,0)),0),MATCH("work_email",Enrichment!$A$1:$GZ$1,0))&amp;"",""))</f>
        <v/>
      </c>
      <c r="BD40" s="0" t="str">
        <f aca="false">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none</v>
      </c>
      <c r="BE40" s="0" t="s">
        <v>5589</v>
      </c>
      <c r="BF40" s="0" t="s">
        <v>169</v>
      </c>
      <c r="BG40" s="0" t="s">
        <v>1252</v>
      </c>
      <c r="BH40" s="0" t="s">
        <v>6720</v>
      </c>
      <c r="BI40" s="0" t="s">
        <v>172</v>
      </c>
      <c r="BJ40" s="0" t="s">
        <v>6728</v>
      </c>
      <c r="BK40" s="0" t="s">
        <v>5643</v>
      </c>
      <c r="BP40" s="0" t="str">
        <f aca="false">IF($A40="","",IFERROR(INDEX(Enrichment!$A$2:$GZ$2000,MATCH($A40,INDEX(Enrichment!$A$2:$GZ$2000,0,MATCH("row_id",Enrichment!$A$1:$GZ$1,0)),0),MATCH("backup_work_email",Enrichment!$A$1:$GZ$1,0))&amp;"",""))</f>
        <v/>
      </c>
      <c r="BQ40" s="0" t="str">
        <f aca="false">IF($A40="","",IF(BP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none</v>
      </c>
      <c r="BS40" s="0" t="s">
        <v>380</v>
      </c>
      <c r="BW40" s="0" t="s">
        <v>387</v>
      </c>
      <c r="BX40" s="0" t="s">
        <v>388</v>
      </c>
      <c r="BY40" s="0" t="s">
        <v>6729</v>
      </c>
      <c r="BZ40" s="0" t="s">
        <v>6730</v>
      </c>
      <c r="CB40" s="0" t="s">
        <v>6731</v>
      </c>
      <c r="CD40" s="0" t="s">
        <v>6732</v>
      </c>
      <c r="CJ40" s="0" t="s">
        <v>5606</v>
      </c>
      <c r="CK40" s="0" t="s">
        <v>200</v>
      </c>
      <c r="CM40" s="0" t="s">
        <v>201</v>
      </c>
      <c r="CN40" s="0" t="s">
        <v>6733</v>
      </c>
      <c r="CO40" s="0" t="s">
        <v>6724</v>
      </c>
      <c r="CP40" s="0" t="s">
        <v>5608</v>
      </c>
      <c r="CQ40" s="0" t="s">
        <v>5609</v>
      </c>
      <c r="CR40" s="0" t="s">
        <v>209</v>
      </c>
      <c r="CT40" s="0" t="s">
        <v>164</v>
      </c>
      <c r="CU40" s="0" t="s">
        <v>6734</v>
      </c>
      <c r="CV40" s="0" t="s">
        <v>189</v>
      </c>
      <c r="CW40" s="0" t="s">
        <v>164</v>
      </c>
      <c r="CX40" s="0" t="s">
        <v>209</v>
      </c>
      <c r="CZ40" s="0" t="s">
        <v>6735</v>
      </c>
      <c r="DA40" s="0" t="s">
        <v>189</v>
      </c>
      <c r="DB40" s="0" t="s">
        <v>189</v>
      </c>
      <c r="DE40" s="0" t="s">
        <v>189</v>
      </c>
      <c r="DF40" s="0" t="n">
        <v>0</v>
      </c>
      <c r="DH40" s="0" t="s">
        <v>6736</v>
      </c>
      <c r="DI40" s="0" t="s">
        <v>6737</v>
      </c>
      <c r="DJ40" s="0" t="s">
        <v>6720</v>
      </c>
      <c r="DK40" s="0" t="s">
        <v>5617</v>
      </c>
      <c r="DL40" s="0" t="n">
        <v>65</v>
      </c>
      <c r="DM40" s="0" t="s">
        <v>6720</v>
      </c>
      <c r="DN40" s="0" t="n">
        <v>54</v>
      </c>
      <c r="DO40" s="0" t="n">
        <v>6</v>
      </c>
      <c r="DP40" s="0" t="n">
        <v>20</v>
      </c>
      <c r="DQ40" s="0" t="n">
        <v>15</v>
      </c>
      <c r="DR40" s="0" t="n">
        <v>5</v>
      </c>
      <c r="DS40" s="0" t="n">
        <v>7</v>
      </c>
      <c r="DT40" s="0" t="n">
        <v>6</v>
      </c>
      <c r="DU40" s="0" t="n">
        <f aca="false">IF($A40="","",IF(R40="Y",10,0))</f>
        <v>0</v>
      </c>
      <c r="DV40" s="0" t="n">
        <v>-5</v>
      </c>
      <c r="DX40" s="0" t="s">
        <v>5619</v>
      </c>
      <c r="DY40" s="0" t="s">
        <v>6738</v>
      </c>
      <c r="DZ40" s="0" t="s">
        <v>6739</v>
      </c>
      <c r="EA40" s="0" t="s">
        <v>6740</v>
      </c>
      <c r="EV40" s="0" t="str">
        <f aca="false">IF($A40="","",IF(ISNUMBER(MATCH(U40,{"queued","contacted","replied","call_booked","call_done","yes_in_principle","materials_sent"},0)),"Y","N"))</f>
        <v>N</v>
      </c>
      <c r="EW40" s="0" t="str">
        <f aca="false">IF($A40="","",IF(OR(T40="Y",U40="do_not_contact",AQ40&amp;""&lt;&gt;""),"Y","N"))</f>
        <v>N</v>
      </c>
      <c r="EX40" s="0" t="str">
        <f aca="false">IF($A40="","",IF(AN40&amp;""&lt;&gt;"",AN40&amp;"",$A40))</f>
        <v>AB-217</v>
      </c>
      <c r="EY40" s="0" t="str">
        <f aca="false">IF($A40="","",IF(COUNTIFS($EX$2:$EX$1000,EX40,$EV$2:$EV$1000,"Y")+COUNTIFS($EX$2:$EX$1000,EX40,$EW$2:$EW$1000,"Y")&gt;0,"Y","N"))</f>
        <v>N</v>
      </c>
      <c r="EZ40" s="0" t="str">
        <f aca="false">IF($A40="","",IF(AND(U40="new",T40="N",EW40="N",AR40="Y",EY40="N"),"Y","N"))</f>
        <v>N</v>
      </c>
      <c r="FA40" s="0" t="str">
        <f aca="false">IF($A40="","",IF(EZ40&lt;&gt;"Y","N",IF(COUNTIFS($EX$2:$EX$1000,EX40,$EZ$2:$EZ$1000,"Y",$J$2:$J$1000,"&gt;"&amp;J40)+COUNTIFS($EX$2:$EX$1000,EX40,$EZ$2:$EZ$1000,"Y",$J$2:$J$1000,J40,$FG$2:$FG$1000,"&lt;"&amp;FG40)=0,"Y","N")))</f>
        <v>N</v>
      </c>
      <c r="FB40" s="0" t="str">
        <f aca="false">IF($A40="","",IF(AND(EZ40="Y",FA40="Y",Y40&amp;""&lt;&gt;""),IF(Y40&lt;=10,"Y","N"),"N"))</f>
        <v>N</v>
      </c>
      <c r="FC40" s="0" t="str">
        <f aca="false">IF(FB40="Y",Y40,"")</f>
        <v/>
      </c>
      <c r="FD40" s="0" t="str">
        <f aca="false">IF($A40="","",IF(AND(CK40="pass",AU40="Y",AV40&lt;&gt;"Y",U40="new",EW40="N"),"Y","N"))</f>
        <v>Y</v>
      </c>
      <c r="FE40" s="0" t="n">
        <f aca="false">IF(FD40&lt;&gt;"Y","",IF(COUNTIFS($FD$2:$FD$1000,"Y",$J$2:$J$1000,"&gt;"&amp;J40)+COUNTIFS($FD$2:$FD$1000,"Y",$J$2:$J$1000,J40,$FG$2:$FG$1000,"&lt;"&amp;FG40)+1&lt;=30,COUNTIFS($FD$2:$FD$1000,"Y",$J$2:$J$1000,"&gt;"&amp;J40)+COUNTIFS($FD$2:$FD$1000,"Y",$J$2:$J$1000,J40,$FG$2:$FG$1000,"&lt;"&amp;FG40)+1,""))</f>
        <v>17</v>
      </c>
      <c r="FF40" s="0" t="str">
        <f aca="false">IF(AND(_xlfn.ISFORMULA(C40),_xlfn.ISFORMULA(J40)),"Y","N")</f>
        <v>Y</v>
      </c>
      <c r="FG40" s="0" t="n">
        <f aca="false">ROW()-1</f>
        <v>39</v>
      </c>
    </row>
    <row r="41" customFormat="false" ht="15" hidden="false" customHeight="false" outlineLevel="0" collapsed="false">
      <c r="A41" s="0" t="s">
        <v>6741</v>
      </c>
      <c r="B41" s="0" t="s">
        <v>6742</v>
      </c>
      <c r="C41" s="0" t="str">
        <f aca="false">IF($A41="","",IF(AT41="Y",BL41&amp;"",AY41&amp;""))</f>
        <v>Matt</v>
      </c>
      <c r="D41" s="0" t="str">
        <f aca="false">IF($A41="","",IF(AT41="Y",BM41&amp;"",AZ41&amp;""))</f>
        <v>Bachmann</v>
      </c>
      <c r="E41" s="0" t="str">
        <f aca="false">IF($A41="","",IF(AT41="Y",BN41&amp;"",BA41&amp;""))</f>
        <v>CEO and Co-founder</v>
      </c>
      <c r="F41" s="0" t="str">
        <f aca="false">IF($A41="","",IF(AT41="Y",BO41&amp;"",BB41&amp;""))</f>
        <v/>
      </c>
      <c r="G41" s="0" t="str">
        <f aca="false">IF($A41="","",IF(AT41="Y",BP41&amp;"",BC41&amp;""))</f>
        <v/>
      </c>
      <c r="H41" s="0" t="str">
        <f aca="false">IF($A41="","",IF(AT41="Y",BQ41&amp;"",BD41&amp;""))</f>
        <v>none</v>
      </c>
      <c r="I41" s="0" t="str">
        <f aca="false">IF($A41="","",IF(R41="Y","warm-intro",IF(H41="verified","email",IF(C41&lt;&gt;"","linkedin",CA41&amp;""))))</f>
        <v>linkedin</v>
      </c>
      <c r="J41" s="0" t="n">
        <f aca="false">IF($A41="","",IF(CK41="pass",ROUND(N(DO41)+N(DP41)+N(DQ41)+N(DR41)+N(DS41)+N(DT41)+N(DU41)+N(DV41),0),0))</f>
        <v>54</v>
      </c>
      <c r="K41" s="0" t="str">
        <f aca="false">IF($A41="","",IF(CK41&lt;&gt;"pass",BY41&amp;"",BY41&amp;", "&amp;IF(AT41="Y",BX41&amp;"",BK41&amp;"")&amp;BZ41&amp;IF(R41="Y","; known to the founder (+10)","")&amp;"."))</f>
        <v>New York City brand, no graded store within ten blocks, online store only, news 74 days ago, revenue unknown, contact named plus a marketing lead; founder review: scale, not-emerging, nutrient-claim.</v>
      </c>
      <c r="M41" s="0" t="s">
        <v>6144</v>
      </c>
      <c r="N41" s="0" t="s">
        <v>740</v>
      </c>
      <c r="O41" s="0" t="s">
        <v>6743</v>
      </c>
      <c r="P41" s="0" t="s">
        <v>6744</v>
      </c>
      <c r="Q41" s="0" t="s">
        <v>4138</v>
      </c>
      <c r="R41" s="5" t="s">
        <v>189</v>
      </c>
      <c r="S41" s="0" t="s">
        <v>209</v>
      </c>
      <c r="T41" s="5" t="s">
        <v>189</v>
      </c>
      <c r="U41" s="5" t="s">
        <v>3896</v>
      </c>
      <c r="V41" s="0" t="s">
        <v>6745</v>
      </c>
      <c r="W41" s="0" t="s">
        <v>263</v>
      </c>
      <c r="X41" s="0" t="s">
        <v>5578</v>
      </c>
      <c r="Y41" s="0" t="str">
        <f aca="false">IF(FA41&lt;&gt;"Y","",COUNTIFS($FA$2:$FA$1000,"Y",$J$2:$J$1000,"&gt;"&amp;J41)+COUNTIFS($FA$2:$FA$1000,"Y",$J$2:$J$1000,J41,$FG$2:$FG$1000,"&lt;"&amp;FG41)+1)</f>
        <v/>
      </c>
      <c r="Z41" s="0" t="n">
        <v>40</v>
      </c>
      <c r="AA41" s="0" t="s">
        <v>164</v>
      </c>
      <c r="AB41" s="0" t="str">
        <f aca="false">IF($A41="","",IF(AT41="Y",BW41&amp;"",BJ41&amp;""))</f>
        <v>find Matt Bachmann at Wandering Bear Coffee on LinkedIn and paste the profile URL into primary_linkedin_url</v>
      </c>
      <c r="AC41" s="0" t="str">
        <f aca="false">IF($A41="","",IF(AT41="Y",BR41&amp;"",BE41&amp;""))</f>
        <v>founder</v>
      </c>
      <c r="AD41" s="0" t="str">
        <f aca="false">IF($A41="","",IF(AT41="Y",BS41&amp;"",BF41&amp;""))</f>
        <v>verified-page</v>
      </c>
      <c r="AE41" s="0" t="str">
        <f aca="false">IF($A41="","",IF(AT41="Y",BT41&amp;"",BG41&amp;""))</f>
        <v>press, event or podcast page</v>
      </c>
      <c r="AF41" s="0" t="str">
        <f aca="false">IF($A41="","",IF(AT41="Y",BU41&amp;"",BH41&amp;""))</f>
        <v>https://thechangeup.buzzsprout.com/1789177/15420044</v>
      </c>
      <c r="AG41" s="0" t="str">
        <f aca="false">IF($A41="","",IF(AT41="Y",BV41&amp;"",BI41&amp;""))</f>
        <v>2026-10-24</v>
      </c>
      <c r="AH41" s="0" t="s">
        <v>6746</v>
      </c>
      <c r="AI41" s="0" t="s">
        <v>6473</v>
      </c>
      <c r="AJ41" s="0" t="s">
        <v>259</v>
      </c>
      <c r="AK41" s="0" t="s">
        <v>6747</v>
      </c>
      <c r="AL41" s="0" t="s">
        <v>164</v>
      </c>
      <c r="AM41" s="0" t="s">
        <v>6748</v>
      </c>
      <c r="AN41" s="0" t="s">
        <v>6741</v>
      </c>
      <c r="AO41" s="5" t="s">
        <v>189</v>
      </c>
      <c r="AR41" s="0" t="str">
        <f aca="false">IF($A41="","",IF(AND(CK41="pass",AO41&lt;&gt;"Y",C41&lt;&gt;"",OR(AU41&lt;&gt;"Y",AV41="Y")),"Y","N"))</f>
        <v>N</v>
      </c>
      <c r="AS41" s="0" t="str">
        <f aca="false">IF($A41="","",_xlfn.TEXTJOIN("; ",TRUE(),IF(CK41&lt;&gt;"pass","gated out",""),IF(AO41="Y","on hold: "&amp;AP41,""),IF(C41="","no contact named on an opened page",""),IF(AND(AU41="Y",AV41&lt;&gt;"Y"),"founder review pending (Founder review tab)","")))</f>
        <v>founder review pending (Founder review tab)</v>
      </c>
      <c r="AU41" s="0" t="s">
        <v>164</v>
      </c>
      <c r="AY41" s="0" t="s">
        <v>6749</v>
      </c>
      <c r="AZ41" s="0" t="s">
        <v>6750</v>
      </c>
      <c r="BA41" s="0" t="s">
        <v>6671</v>
      </c>
      <c r="BC41" s="0" t="str">
        <f aca="false">IF($A41="","",IFERROR(INDEX(Enrichment!$A$2:$GZ$2000,MATCH($A41,INDEX(Enrichment!$A$2:$GZ$2000,0,MATCH("row_id",Enrichment!$A$1:$GZ$1,0)),0),MATCH("work_email",Enrichment!$A$1:$GZ$1,0))&amp;"",""))</f>
        <v/>
      </c>
      <c r="BD41" s="0" t="str">
        <f aca="false">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none</v>
      </c>
      <c r="BE41" s="0" t="s">
        <v>5589</v>
      </c>
      <c r="BF41" s="0" t="s">
        <v>169</v>
      </c>
      <c r="BG41" s="0" t="s">
        <v>1252</v>
      </c>
      <c r="BH41" s="0" t="s">
        <v>6751</v>
      </c>
      <c r="BI41" s="0" t="s">
        <v>172</v>
      </c>
      <c r="BJ41" s="0" t="s">
        <v>6752</v>
      </c>
      <c r="BK41" s="0" t="s">
        <v>5638</v>
      </c>
      <c r="BL41" s="0" t="s">
        <v>331</v>
      </c>
      <c r="BM41" s="0" t="s">
        <v>6753</v>
      </c>
      <c r="BN41" s="0" t="s">
        <v>6754</v>
      </c>
      <c r="BP41" s="0" t="str">
        <f aca="false">IF($A41="","",IFERROR(INDEX(Enrichment!$A$2:$GZ$2000,MATCH($A41,INDEX(Enrichment!$A$2:$GZ$2000,0,MATCH("row_id",Enrichment!$A$1:$GZ$1,0)),0),MATCH("backup_work_email",Enrichment!$A$1:$GZ$1,0))&amp;"",""))</f>
        <v/>
      </c>
      <c r="BQ41" s="0" t="str">
        <f aca="false">IF($A41="","",IF(BP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none</v>
      </c>
      <c r="BR41" s="0" t="s">
        <v>5596</v>
      </c>
      <c r="BS41" s="0" t="s">
        <v>283</v>
      </c>
      <c r="BT41" s="0" t="s">
        <v>284</v>
      </c>
      <c r="BU41" s="0" t="s">
        <v>6755</v>
      </c>
      <c r="BV41" s="0" t="s">
        <v>172</v>
      </c>
      <c r="BW41" s="0" t="s">
        <v>6756</v>
      </c>
      <c r="BX41" s="0" t="s">
        <v>5599</v>
      </c>
      <c r="BY41" s="0" t="s">
        <v>6757</v>
      </c>
      <c r="BZ41" s="0" t="s">
        <v>6758</v>
      </c>
      <c r="CB41" s="0" t="s">
        <v>6759</v>
      </c>
      <c r="CD41" s="0" t="s">
        <v>6760</v>
      </c>
      <c r="CF41" s="0" t="s">
        <v>6761</v>
      </c>
      <c r="CG41" s="0" t="s">
        <v>6762</v>
      </c>
      <c r="CH41" s="0" t="s">
        <v>6763</v>
      </c>
      <c r="CJ41" s="0" t="s">
        <v>6764</v>
      </c>
      <c r="CK41" s="0" t="s">
        <v>200</v>
      </c>
      <c r="CM41" s="0" t="s">
        <v>201</v>
      </c>
      <c r="CN41" s="0" t="s">
        <v>6765</v>
      </c>
      <c r="CO41" s="0" t="s">
        <v>6766</v>
      </c>
      <c r="CP41" s="0" t="s">
        <v>5608</v>
      </c>
      <c r="CQ41" s="0" t="s">
        <v>5609</v>
      </c>
      <c r="CR41" s="0" t="s">
        <v>6767</v>
      </c>
      <c r="CS41" s="0" t="s">
        <v>6768</v>
      </c>
      <c r="CT41" s="0" t="s">
        <v>164</v>
      </c>
      <c r="CU41" s="0" t="s">
        <v>6769</v>
      </c>
      <c r="CV41" s="0" t="s">
        <v>164</v>
      </c>
      <c r="CW41" s="0" t="s">
        <v>164</v>
      </c>
      <c r="CX41" s="0" t="s">
        <v>209</v>
      </c>
      <c r="CZ41" s="0" t="s">
        <v>6770</v>
      </c>
      <c r="DA41" s="0" t="s">
        <v>189</v>
      </c>
      <c r="DB41" s="0" t="s">
        <v>189</v>
      </c>
      <c r="DE41" s="0" t="s">
        <v>189</v>
      </c>
      <c r="DF41" s="0" t="n">
        <v>0</v>
      </c>
      <c r="DI41" s="0" t="s">
        <v>6771</v>
      </c>
      <c r="DJ41" s="0" t="s">
        <v>6772</v>
      </c>
      <c r="DK41" s="0" t="s">
        <v>5617</v>
      </c>
      <c r="DL41" s="0" t="n">
        <v>74</v>
      </c>
      <c r="DN41" s="0" t="n">
        <v>54</v>
      </c>
      <c r="DO41" s="0" t="n">
        <v>6</v>
      </c>
      <c r="DP41" s="0" t="n">
        <v>20</v>
      </c>
      <c r="DQ41" s="0" t="n">
        <v>15</v>
      </c>
      <c r="DR41" s="0" t="n">
        <v>5</v>
      </c>
      <c r="DS41" s="0" t="n">
        <v>10</v>
      </c>
      <c r="DT41" s="0" t="n">
        <v>10</v>
      </c>
      <c r="DU41" s="0" t="n">
        <f aca="false">IF($A41="","",IF(R41="Y",10,0))</f>
        <v>0</v>
      </c>
      <c r="DV41" s="0" t="n">
        <v>-12</v>
      </c>
      <c r="DW41" s="0" t="s">
        <v>209</v>
      </c>
      <c r="DX41" s="0" t="s">
        <v>6462</v>
      </c>
      <c r="DY41" s="0" t="s">
        <v>6773</v>
      </c>
      <c r="DZ41" s="0" t="s">
        <v>6774</v>
      </c>
      <c r="EA41" s="0" t="s">
        <v>6775</v>
      </c>
      <c r="EV41" s="0" t="str">
        <f aca="false">IF($A41="","",IF(ISNUMBER(MATCH(U41,{"queued","contacted","replied","call_booked","call_done","yes_in_principle","materials_sent"},0)),"Y","N"))</f>
        <v>N</v>
      </c>
      <c r="EW41" s="0" t="str">
        <f aca="false">IF($A41="","",IF(OR(T41="Y",U41="do_not_contact",AQ41&amp;""&lt;&gt;""),"Y","N"))</f>
        <v>N</v>
      </c>
      <c r="EX41" s="0" t="str">
        <f aca="false">IF($A41="","",IF(AN41&amp;""&lt;&gt;"",AN41&amp;"",$A41))</f>
        <v>AB-129</v>
      </c>
      <c r="EY41" s="0" t="str">
        <f aca="false">IF($A41="","",IF(COUNTIFS($EX$2:$EX$1000,EX41,$EV$2:$EV$1000,"Y")+COUNTIFS($EX$2:$EX$1000,EX41,$EW$2:$EW$1000,"Y")&gt;0,"Y","N"))</f>
        <v>N</v>
      </c>
      <c r="EZ41" s="0" t="str">
        <f aca="false">IF($A41="","",IF(AND(U41="new",T41="N",EW41="N",AR41="Y",EY41="N"),"Y","N"))</f>
        <v>N</v>
      </c>
      <c r="FA41" s="0" t="str">
        <f aca="false">IF($A41="","",IF(EZ41&lt;&gt;"Y","N",IF(COUNTIFS($EX$2:$EX$1000,EX41,$EZ$2:$EZ$1000,"Y",$J$2:$J$1000,"&gt;"&amp;J41)+COUNTIFS($EX$2:$EX$1000,EX41,$EZ$2:$EZ$1000,"Y",$J$2:$J$1000,J41,$FG$2:$FG$1000,"&lt;"&amp;FG41)=0,"Y","N")))</f>
        <v>N</v>
      </c>
      <c r="FB41" s="0" t="str">
        <f aca="false">IF($A41="","",IF(AND(EZ41="Y",FA41="Y",Y41&amp;""&lt;&gt;""),IF(Y41&lt;=10,"Y","N"),"N"))</f>
        <v>N</v>
      </c>
      <c r="FC41" s="0" t="str">
        <f aca="false">IF(FB41="Y",Y41,"")</f>
        <v/>
      </c>
      <c r="FD41" s="0" t="str">
        <f aca="false">IF($A41="","",IF(AND(CK41="pass",AU41="Y",AV41&lt;&gt;"Y",U41="new",EW41="N"),"Y","N"))</f>
        <v>Y</v>
      </c>
      <c r="FE41" s="0" t="n">
        <f aca="false">IF(FD41&lt;&gt;"Y","",IF(COUNTIFS($FD$2:$FD$1000,"Y",$J$2:$J$1000,"&gt;"&amp;J41)+COUNTIFS($FD$2:$FD$1000,"Y",$J$2:$J$1000,J41,$FG$2:$FG$1000,"&lt;"&amp;FG41)+1&lt;=30,COUNTIFS($FD$2:$FD$1000,"Y",$J$2:$J$1000,"&gt;"&amp;J41)+COUNTIFS($FD$2:$FD$1000,"Y",$J$2:$J$1000,J41,$FG$2:$FG$1000,"&lt;"&amp;FG41)+1,""))</f>
        <v>18</v>
      </c>
      <c r="FF41" s="0" t="str">
        <f aca="false">IF(AND(_xlfn.ISFORMULA(C41),_xlfn.ISFORMULA(J41)),"Y","N")</f>
        <v>Y</v>
      </c>
      <c r="FG41" s="0" t="n">
        <f aca="false">ROW()-1</f>
        <v>40</v>
      </c>
    </row>
    <row r="42" customFormat="false" ht="15" hidden="false" customHeight="false" outlineLevel="0" collapsed="false">
      <c r="A42" s="0" t="s">
        <v>6776</v>
      </c>
      <c r="B42" s="0" t="s">
        <v>6777</v>
      </c>
      <c r="C42" s="0" t="str">
        <f aca="false">IF($A42="","",IF(AT42="Y",BL42&amp;"",AY42&amp;""))</f>
        <v>Tyler</v>
      </c>
      <c r="D42" s="0" t="str">
        <f aca="false">IF($A42="","",IF(AT42="Y",BM42&amp;"",AZ42&amp;""))</f>
        <v>Merrick</v>
      </c>
      <c r="E42" s="0" t="str">
        <f aca="false">IF($A42="","",IF(AT42="Y",BN42&amp;"",BA42&amp;""))</f>
        <v>Founder</v>
      </c>
      <c r="F42" s="0" t="str">
        <f aca="false">IF($A42="","",IF(AT42="Y",BO42&amp;"",BB42&amp;""))</f>
        <v/>
      </c>
      <c r="G42" s="0" t="str">
        <f aca="false">IF($A42="","",IF(AT42="Y",BP42&amp;"",BC42&amp;""))</f>
        <v/>
      </c>
      <c r="H42" s="0" t="str">
        <f aca="false">IF($A42="","",IF(AT42="Y",BQ42&amp;"",BD42&amp;""))</f>
        <v>none</v>
      </c>
      <c r="I42" s="0" t="str">
        <f aca="false">IF($A42="","",IF(R42="Y","warm-intro",IF(H42="verified","email",IF(C42&lt;&gt;"","linkedin",CA42&amp;""))))</f>
        <v>linkedin</v>
      </c>
      <c r="J42" s="0" t="n">
        <f aca="false">IF($A42="","",IF(CK42="pass",ROUND(N(DO42)+N(DP42)+N(DQ42)+N(DR42)+N(DS42)+N(DT42)+N(DU42)+N(DV42),0),0))</f>
        <v>52</v>
      </c>
      <c r="K42" s="0" t="str">
        <f aca="false">IF($A42="","",IF(CK42&lt;&gt;"pass",BY42&amp;"",BY42&amp;", "&amp;IF(AT42="Y",BX42&amp;"",BK42&amp;"")&amp;BZ42&amp;IF(R42="Y","; known to the founder (+10)","")&amp;"."))</f>
        <v>Brand based outside the Northeast, store page shows Whole Foods Market NoMad inside the cluster, news 36 days ago, revenue unknown, contact named plus a marketing lead; founder review: scale, nutrient-claim, format-unconfirmed.</v>
      </c>
      <c r="M42" s="0" t="s">
        <v>5572</v>
      </c>
      <c r="N42" s="0" t="s">
        <v>5573</v>
      </c>
      <c r="O42" s="0" t="s">
        <v>6778</v>
      </c>
      <c r="P42" s="0" t="s">
        <v>6779</v>
      </c>
      <c r="Q42" s="0" t="s">
        <v>5756</v>
      </c>
      <c r="R42" s="5" t="s">
        <v>189</v>
      </c>
      <c r="S42" s="0" t="s">
        <v>209</v>
      </c>
      <c r="T42" s="5" t="s">
        <v>189</v>
      </c>
      <c r="U42" s="5" t="s">
        <v>3896</v>
      </c>
      <c r="V42" s="0" t="s">
        <v>6780</v>
      </c>
      <c r="W42" s="0" t="s">
        <v>263</v>
      </c>
      <c r="X42" s="0" t="s">
        <v>5578</v>
      </c>
      <c r="Y42" s="0" t="str">
        <f aca="false">IF(FA42&lt;&gt;"Y","",COUNTIFS($FA$2:$FA$1000,"Y",$J$2:$J$1000,"&gt;"&amp;J42)+COUNTIFS($FA$2:$FA$1000,"Y",$J$2:$J$1000,J42,$FG$2:$FG$1000,"&lt;"&amp;FG42)+1)</f>
        <v/>
      </c>
      <c r="Z42" s="0" t="n">
        <v>41</v>
      </c>
      <c r="AA42" s="0" t="s">
        <v>164</v>
      </c>
      <c r="AB42" s="0" t="str">
        <f aca="false">IF($A42="","",IF(AT42="Y",BW42&amp;"",BJ42&amp;""))</f>
        <v>find Tyler Merrick at Joyride on LinkedIn and paste the profile URL into primary_linkedin_url; use the Whole Foods Market NoMad line only if retailer_checked_date is this week's Friday check</v>
      </c>
      <c r="AC42" s="0" t="str">
        <f aca="false">IF($A42="","",IF(AT42="Y",BR42&amp;"",BE42&amp;""))</f>
        <v>founder</v>
      </c>
      <c r="AD42" s="0" t="str">
        <f aca="false">IF($A42="","",IF(AT42="Y",BS42&amp;"",BF42&amp;""))</f>
        <v>verified-page</v>
      </c>
      <c r="AE42" s="0" t="str">
        <f aca="false">IF($A42="","",IF(AT42="Y",BT42&amp;"",BG42&amp;""))</f>
        <v>employer's own site</v>
      </c>
      <c r="AF42" s="0" t="str">
        <f aca="false">IF($A42="","",IF(AT42="Y",BU42&amp;"",BH42&amp;""))</f>
        <v>https://www.joyridesweets.com/pages/joyride-story</v>
      </c>
      <c r="AG42" s="0" t="str">
        <f aca="false">IF($A42="","",IF(AT42="Y",BV42&amp;"",BI42&amp;""))</f>
        <v>2026-10-24</v>
      </c>
      <c r="AH42" s="0" t="s">
        <v>6781</v>
      </c>
      <c r="AI42" s="0" t="s">
        <v>5664</v>
      </c>
      <c r="AJ42" s="0" t="s">
        <v>6210</v>
      </c>
      <c r="AK42" s="0" t="s">
        <v>6782</v>
      </c>
      <c r="AL42" s="0" t="s">
        <v>164</v>
      </c>
      <c r="AM42" s="0" t="s">
        <v>6783</v>
      </c>
      <c r="AN42" s="0" t="s">
        <v>6776</v>
      </c>
      <c r="AO42" s="5" t="s">
        <v>189</v>
      </c>
      <c r="AR42" s="0" t="str">
        <f aca="false">IF($A42="","",IF(AND(CK42="pass",AO42&lt;&gt;"Y",C42&lt;&gt;"",OR(AU42&lt;&gt;"Y",AV42="Y")),"Y","N"))</f>
        <v>N</v>
      </c>
      <c r="AS42" s="0" t="str">
        <f aca="false">IF($A42="","",_xlfn.TEXTJOIN("; ",TRUE(),IF(CK42&lt;&gt;"pass","gated out",""),IF(AO42="Y","on hold: "&amp;AP42,""),IF(C42="","no contact named on an opened page",""),IF(AND(AU42="Y",AV42&lt;&gt;"Y"),"founder review pending (Founder review tab)","")))</f>
        <v>founder review pending (Founder review tab)</v>
      </c>
      <c r="AU42" s="0" t="s">
        <v>164</v>
      </c>
      <c r="AX42" s="0" t="s">
        <v>6784</v>
      </c>
      <c r="AY42" s="0" t="s">
        <v>6785</v>
      </c>
      <c r="AZ42" s="0" t="s">
        <v>6786</v>
      </c>
      <c r="BA42" s="0" t="s">
        <v>5739</v>
      </c>
      <c r="BC42" s="0" t="str">
        <f aca="false">IF($A42="","",IFERROR(INDEX(Enrichment!$A$2:$GZ$2000,MATCH($A42,INDEX(Enrichment!$A$2:$GZ$2000,0,MATCH("row_id",Enrichment!$A$1:$GZ$1,0)),0),MATCH("work_email",Enrichment!$A$1:$GZ$1,0))&amp;"",""))</f>
        <v/>
      </c>
      <c r="BD42" s="0" t="str">
        <f aca="false">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none</v>
      </c>
      <c r="BE42" s="0" t="s">
        <v>5589</v>
      </c>
      <c r="BF42" s="0" t="s">
        <v>169</v>
      </c>
      <c r="BG42" s="0" t="s">
        <v>170</v>
      </c>
      <c r="BH42" s="0" t="s">
        <v>6780</v>
      </c>
      <c r="BI42" s="0" t="s">
        <v>172</v>
      </c>
      <c r="BJ42" s="0" t="s">
        <v>6787</v>
      </c>
      <c r="BK42" s="0" t="s">
        <v>5638</v>
      </c>
      <c r="BL42" s="0" t="s">
        <v>6788</v>
      </c>
      <c r="BM42" s="0" t="s">
        <v>6789</v>
      </c>
      <c r="BN42" s="0" t="s">
        <v>6790</v>
      </c>
      <c r="BP42" s="0" t="str">
        <f aca="false">IF($A42="","",IFERROR(INDEX(Enrichment!$A$2:$GZ$2000,MATCH($A42,INDEX(Enrichment!$A$2:$GZ$2000,0,MATCH("row_id",Enrichment!$A$1:$GZ$1,0)),0),MATCH("backup_work_email",Enrichment!$A$1:$GZ$1,0))&amp;"",""))</f>
        <v/>
      </c>
      <c r="BQ42" s="0" t="str">
        <f aca="false">IF($A42="","",IF(BP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none</v>
      </c>
      <c r="BR42" s="0" t="s">
        <v>5596</v>
      </c>
      <c r="BS42" s="0" t="s">
        <v>169</v>
      </c>
      <c r="BT42" s="0" t="s">
        <v>1252</v>
      </c>
      <c r="BU42" s="0" t="s">
        <v>6791</v>
      </c>
      <c r="BV42" s="0" t="s">
        <v>172</v>
      </c>
      <c r="BW42" s="0" t="s">
        <v>6792</v>
      </c>
      <c r="BX42" s="0" t="s">
        <v>5643</v>
      </c>
      <c r="BY42" s="0" t="s">
        <v>6793</v>
      </c>
      <c r="BZ42" s="0" t="s">
        <v>6794</v>
      </c>
      <c r="CB42" s="0" t="s">
        <v>6795</v>
      </c>
      <c r="CD42" s="0" t="s">
        <v>6796</v>
      </c>
      <c r="CF42" s="0" t="s">
        <v>6797</v>
      </c>
      <c r="CH42" s="0" t="s">
        <v>6798</v>
      </c>
      <c r="CJ42" s="0" t="s">
        <v>5606</v>
      </c>
      <c r="CK42" s="0" t="s">
        <v>200</v>
      </c>
      <c r="CM42" s="0" t="s">
        <v>201</v>
      </c>
      <c r="CN42" s="0" t="s">
        <v>6799</v>
      </c>
      <c r="CO42" s="0" t="s">
        <v>6782</v>
      </c>
      <c r="CP42" s="0" t="s">
        <v>6226</v>
      </c>
      <c r="CQ42" s="0" t="s">
        <v>6198</v>
      </c>
      <c r="CR42" s="0" t="s">
        <v>209</v>
      </c>
      <c r="CT42" s="0" t="s">
        <v>352</v>
      </c>
      <c r="CU42" s="0" t="s">
        <v>6800</v>
      </c>
      <c r="CV42" s="0" t="s">
        <v>209</v>
      </c>
      <c r="CW42" s="0" t="s">
        <v>164</v>
      </c>
      <c r="CX42" s="0" t="s">
        <v>209</v>
      </c>
      <c r="CZ42" s="0" t="s">
        <v>209</v>
      </c>
      <c r="DA42" s="0" t="s">
        <v>189</v>
      </c>
      <c r="DB42" s="0" t="s">
        <v>189</v>
      </c>
      <c r="DD42" s="0" t="n">
        <v>0</v>
      </c>
      <c r="DE42" s="0" t="s">
        <v>164</v>
      </c>
      <c r="DF42" s="0" t="n">
        <v>3</v>
      </c>
      <c r="DG42" s="0" t="s">
        <v>5686</v>
      </c>
      <c r="DI42" s="0" t="s">
        <v>5687</v>
      </c>
      <c r="DJ42" s="0" t="s">
        <v>6801</v>
      </c>
      <c r="DK42" s="0" t="s">
        <v>5617</v>
      </c>
      <c r="DL42" s="0" t="n">
        <v>36</v>
      </c>
      <c r="DN42" s="0" t="n">
        <v>52</v>
      </c>
      <c r="DO42" s="0" t="n">
        <v>25</v>
      </c>
      <c r="DP42" s="0" t="n">
        <v>3</v>
      </c>
      <c r="DQ42" s="0" t="n">
        <v>15</v>
      </c>
      <c r="DR42" s="0" t="n">
        <v>5</v>
      </c>
      <c r="DS42" s="0" t="n">
        <v>6</v>
      </c>
      <c r="DT42" s="0" t="n">
        <v>10</v>
      </c>
      <c r="DU42" s="0" t="n">
        <f aca="false">IF($A42="","",IF(R42="Y",10,0))</f>
        <v>0</v>
      </c>
      <c r="DV42" s="0" t="n">
        <v>-12</v>
      </c>
      <c r="DW42" s="0" t="s">
        <v>6802</v>
      </c>
      <c r="DX42" s="0" t="s">
        <v>5691</v>
      </c>
      <c r="DY42" s="0" t="s">
        <v>6803</v>
      </c>
      <c r="DZ42" s="0" t="s">
        <v>6804</v>
      </c>
      <c r="EA42" s="0" t="s">
        <v>6805</v>
      </c>
      <c r="EV42" s="0" t="str">
        <f aca="false">IF($A42="","",IF(ISNUMBER(MATCH(U42,{"queued","contacted","replied","call_booked","call_done","yes_in_principle","materials_sent"},0)),"Y","N"))</f>
        <v>N</v>
      </c>
      <c r="EW42" s="0" t="str">
        <f aca="false">IF($A42="","",IF(OR(T42="Y",U42="do_not_contact",AQ42&amp;""&lt;&gt;""),"Y","N"))</f>
        <v>N</v>
      </c>
      <c r="EX42" s="0" t="str">
        <f aca="false">IF($A42="","",IF(AN42&amp;""&lt;&gt;"",AN42&amp;"",$A42))</f>
        <v>AB-086</v>
      </c>
      <c r="EY42" s="0" t="str">
        <f aca="false">IF($A42="","",IF(COUNTIFS($EX$2:$EX$1000,EX42,$EV$2:$EV$1000,"Y")+COUNTIFS($EX$2:$EX$1000,EX42,$EW$2:$EW$1000,"Y")&gt;0,"Y","N"))</f>
        <v>N</v>
      </c>
      <c r="EZ42" s="0" t="str">
        <f aca="false">IF($A42="","",IF(AND(U42="new",T42="N",EW42="N",AR42="Y",EY42="N"),"Y","N"))</f>
        <v>N</v>
      </c>
      <c r="FA42" s="0" t="str">
        <f aca="false">IF($A42="","",IF(EZ42&lt;&gt;"Y","N",IF(COUNTIFS($EX$2:$EX$1000,EX42,$EZ$2:$EZ$1000,"Y",$J$2:$J$1000,"&gt;"&amp;J42)+COUNTIFS($EX$2:$EX$1000,EX42,$EZ$2:$EZ$1000,"Y",$J$2:$J$1000,J42,$FG$2:$FG$1000,"&lt;"&amp;FG42)=0,"Y","N")))</f>
        <v>N</v>
      </c>
      <c r="FB42" s="0" t="str">
        <f aca="false">IF($A42="","",IF(AND(EZ42="Y",FA42="Y",Y42&amp;""&lt;&gt;""),IF(Y42&lt;=10,"Y","N"),"N"))</f>
        <v>N</v>
      </c>
      <c r="FC42" s="0" t="str">
        <f aca="false">IF(FB42="Y",Y42,"")</f>
        <v/>
      </c>
      <c r="FD42" s="0" t="str">
        <f aca="false">IF($A42="","",IF(AND(CK42="pass",AU42="Y",AV42&lt;&gt;"Y",U42="new",EW42="N"),"Y","N"))</f>
        <v>Y</v>
      </c>
      <c r="FE42" s="0" t="n">
        <f aca="false">IF(FD42&lt;&gt;"Y","",IF(COUNTIFS($FD$2:$FD$1000,"Y",$J$2:$J$1000,"&gt;"&amp;J42)+COUNTIFS($FD$2:$FD$1000,"Y",$J$2:$J$1000,J42,$FG$2:$FG$1000,"&lt;"&amp;FG42)+1&lt;=30,COUNTIFS($FD$2:$FD$1000,"Y",$J$2:$J$1000,"&gt;"&amp;J42)+COUNTIFS($FD$2:$FD$1000,"Y",$J$2:$J$1000,J42,$FG$2:$FG$1000,"&lt;"&amp;FG42)+1,""))</f>
        <v>19</v>
      </c>
      <c r="FF42" s="0" t="str">
        <f aca="false">IF(AND(_xlfn.ISFORMULA(C42),_xlfn.ISFORMULA(J42)),"Y","N")</f>
        <v>Y</v>
      </c>
      <c r="FG42" s="0" t="n">
        <f aca="false">ROW()-1</f>
        <v>41</v>
      </c>
    </row>
    <row r="43" customFormat="false" ht="15" hidden="false" customHeight="false" outlineLevel="0" collapsed="false">
      <c r="A43" s="0" t="s">
        <v>6806</v>
      </c>
      <c r="B43" s="0" t="s">
        <v>6807</v>
      </c>
      <c r="C43" s="0" t="str">
        <f aca="false">IF($A43="","",IF(AT43="Y",BL43&amp;"",AY43&amp;""))</f>
        <v>Mark</v>
      </c>
      <c r="D43" s="0" t="str">
        <f aca="false">IF($A43="","",IF(AT43="Y",BM43&amp;"",AZ43&amp;""))</f>
        <v>Elvidge</v>
      </c>
      <c r="E43" s="0" t="str">
        <f aca="false">IF($A43="","",IF(AT43="Y",BN43&amp;"",BA43&amp;""))</f>
        <v>Co-founder</v>
      </c>
      <c r="F43" s="0" t="str">
        <f aca="false">IF($A43="","",IF(AT43="Y",BO43&amp;"",BB43&amp;""))</f>
        <v/>
      </c>
      <c r="G43" s="0" t="str">
        <f aca="false">IF($A43="","",IF(AT43="Y",BP43&amp;"",BC43&amp;""))</f>
        <v/>
      </c>
      <c r="H43" s="0" t="str">
        <f aca="false">IF($A43="","",IF(AT43="Y",BQ43&amp;"",BD43&amp;""))</f>
        <v>none</v>
      </c>
      <c r="I43" s="0" t="str">
        <f aca="false">IF($A43="","",IF(R43="Y","warm-intro",IF(H43="verified","email",IF(C43&lt;&gt;"","linkedin",CA43&amp;""))))</f>
        <v>linkedin</v>
      </c>
      <c r="J43" s="0" t="n">
        <f aca="false">IF($A43="","",IF(CK43="pass",ROUND(N(DO43)+N(DP43)+N(DQ43)+N(DR43)+N(DS43)+N(DT43)+N(DU43)+N(DV43),0),0))</f>
        <v>52</v>
      </c>
      <c r="K43" s="0" t="str">
        <f aca="false">IF($A43="","",IF(CK43&lt;&gt;"pass",BY43&amp;"",BY43&amp;", "&amp;IF(AT43="Y",BX43&amp;"",BK43&amp;"")&amp;BZ43&amp;IF(R43="Y","; known to the founder (+10)","")&amp;"."))</f>
        <v>Northeast brand, store page shows Whole Foods Market Union Square inside the cluster, a new store listing 43 days ago, revenue unknown, contact named; founder review: not-emerging.</v>
      </c>
      <c r="M43" s="0" t="s">
        <v>5625</v>
      </c>
      <c r="N43" s="0" t="s">
        <v>5573</v>
      </c>
      <c r="O43" s="0" t="s">
        <v>6808</v>
      </c>
      <c r="P43" s="0" t="s">
        <v>6809</v>
      </c>
      <c r="Q43" s="0" t="s">
        <v>6436</v>
      </c>
      <c r="R43" s="5" t="s">
        <v>189</v>
      </c>
      <c r="S43" s="0" t="s">
        <v>209</v>
      </c>
      <c r="T43" s="5" t="s">
        <v>189</v>
      </c>
      <c r="U43" s="5" t="s">
        <v>3896</v>
      </c>
      <c r="V43" s="0" t="s">
        <v>6810</v>
      </c>
      <c r="W43" s="0" t="s">
        <v>172</v>
      </c>
      <c r="X43" s="0" t="s">
        <v>5578</v>
      </c>
      <c r="Y43" s="0" t="str">
        <f aca="false">IF(FA43&lt;&gt;"Y","",COUNTIFS($FA$2:$FA$1000,"Y",$J$2:$J$1000,"&gt;"&amp;J43)+COUNTIFS($FA$2:$FA$1000,"Y",$J$2:$J$1000,J43,$FG$2:$FG$1000,"&lt;"&amp;FG43)+1)</f>
        <v/>
      </c>
      <c r="Z43" s="0" t="n">
        <v>42</v>
      </c>
      <c r="AA43" s="0" t="s">
        <v>164</v>
      </c>
      <c r="AB43" s="0" t="str">
        <f aca="false">IF($A43="","",IF(AT43="Y",BW43&amp;"",BJ43&amp;""))</f>
        <v>find Mark Elvidge at Vermont Nut Free Chocolates on LinkedIn and paste the profile URL into primary_linkedin_url; use the Whole Foods Market Union Square line only if retailer_checked_date is this week's Friday check</v>
      </c>
      <c r="AC43" s="0" t="str">
        <f aca="false">IF($A43="","",IF(AT43="Y",BR43&amp;"",BE43&amp;""))</f>
        <v>founder</v>
      </c>
      <c r="AD43" s="0" t="str">
        <f aca="false">IF($A43="","",IF(AT43="Y",BS43&amp;"",BF43&amp;""))</f>
        <v>verified-page</v>
      </c>
      <c r="AE43" s="0" t="str">
        <f aca="false">IF($A43="","",IF(AT43="Y",BT43&amp;"",BG43&amp;""))</f>
        <v>employer's own site</v>
      </c>
      <c r="AF43" s="0" t="str">
        <f aca="false">IF($A43="","",IF(AT43="Y",BU43&amp;"",BH43&amp;""))</f>
        <v>https://www.vermontnutfree.com/pages/about-us</v>
      </c>
      <c r="AG43" s="0" t="str">
        <f aca="false">IF($A43="","",IF(AT43="Y",BV43&amp;"",BI43&amp;""))</f>
        <v>2026-10-24</v>
      </c>
      <c r="AH43" s="0" t="s">
        <v>6811</v>
      </c>
      <c r="AI43" s="0" t="s">
        <v>5664</v>
      </c>
      <c r="AJ43" s="0" t="s">
        <v>6812</v>
      </c>
      <c r="AK43" s="0" t="s">
        <v>6813</v>
      </c>
      <c r="AL43" s="0" t="s">
        <v>164</v>
      </c>
      <c r="AM43" s="0" t="s">
        <v>6814</v>
      </c>
      <c r="AN43" s="0" t="s">
        <v>6806</v>
      </c>
      <c r="AO43" s="5" t="s">
        <v>189</v>
      </c>
      <c r="AR43" s="0" t="str">
        <f aca="false">IF($A43="","",IF(AND(CK43="pass",AO43&lt;&gt;"Y",C43&lt;&gt;"",OR(AU43&lt;&gt;"Y",AV43="Y")),"Y","N"))</f>
        <v>N</v>
      </c>
      <c r="AS43" s="0" t="str">
        <f aca="false">IF($A43="","",_xlfn.TEXTJOIN("; ",TRUE(),IF(CK43&lt;&gt;"pass","gated out",""),IF(AO43="Y","on hold: "&amp;AP43,""),IF(C43="","no contact named on an opened page",""),IF(AND(AU43="Y",AV43&lt;&gt;"Y"),"founder review pending (Founder review tab)","")))</f>
        <v>founder review pending (Founder review tab)</v>
      </c>
      <c r="AU43" s="0" t="s">
        <v>164</v>
      </c>
      <c r="AX43" s="0" t="s">
        <v>6815</v>
      </c>
      <c r="AY43" s="0" t="s">
        <v>1400</v>
      </c>
      <c r="AZ43" s="0" t="s">
        <v>6816</v>
      </c>
      <c r="BA43" s="0" t="s">
        <v>5636</v>
      </c>
      <c r="BC43" s="0" t="str">
        <f aca="false">IF($A43="","",IFERROR(INDEX(Enrichment!$A$2:$GZ$2000,MATCH($A43,INDEX(Enrichment!$A$2:$GZ$2000,0,MATCH("row_id",Enrichment!$A$1:$GZ$1,0)),0),MATCH("work_email",Enrichment!$A$1:$GZ$1,0))&amp;"",""))</f>
        <v/>
      </c>
      <c r="BD43" s="0" t="str">
        <f aca="false">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none</v>
      </c>
      <c r="BE43" s="0" t="s">
        <v>5589</v>
      </c>
      <c r="BF43" s="0" t="s">
        <v>169</v>
      </c>
      <c r="BG43" s="0" t="s">
        <v>170</v>
      </c>
      <c r="BH43" s="0" t="s">
        <v>6817</v>
      </c>
      <c r="BI43" s="0" t="s">
        <v>172</v>
      </c>
      <c r="BJ43" s="0" t="s">
        <v>6818</v>
      </c>
      <c r="BK43" s="0" t="s">
        <v>5643</v>
      </c>
      <c r="BL43" s="0" t="s">
        <v>6819</v>
      </c>
      <c r="BM43" s="0" t="s">
        <v>6816</v>
      </c>
      <c r="BN43" s="0" t="s">
        <v>5636</v>
      </c>
      <c r="BP43" s="0" t="str">
        <f aca="false">IF($A43="","",IFERROR(INDEX(Enrichment!$A$2:$GZ$2000,MATCH($A43,INDEX(Enrichment!$A$2:$GZ$2000,0,MATCH("row_id",Enrichment!$A$1:$GZ$1,0)),0),MATCH("backup_work_email",Enrichment!$A$1:$GZ$1,0))&amp;"",""))</f>
        <v/>
      </c>
      <c r="BQ43" s="0" t="str">
        <f aca="false">IF($A43="","",IF(BP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none</v>
      </c>
      <c r="BR43" s="0" t="s">
        <v>5712</v>
      </c>
      <c r="BS43" s="0" t="s">
        <v>169</v>
      </c>
      <c r="BT43" s="0" t="s">
        <v>170</v>
      </c>
      <c r="BU43" s="0" t="s">
        <v>6817</v>
      </c>
      <c r="BV43" s="0" t="s">
        <v>172</v>
      </c>
      <c r="BW43" s="0" t="s">
        <v>6820</v>
      </c>
      <c r="BX43" s="0" t="s">
        <v>5643</v>
      </c>
      <c r="BY43" s="0" t="s">
        <v>6821</v>
      </c>
      <c r="BZ43" s="0" t="s">
        <v>6822</v>
      </c>
      <c r="CB43" s="0" t="s">
        <v>6823</v>
      </c>
      <c r="CD43" s="0" t="s">
        <v>6824</v>
      </c>
      <c r="CF43" s="0" t="s">
        <v>6825</v>
      </c>
      <c r="CH43" s="0" t="s">
        <v>6826</v>
      </c>
      <c r="CJ43" s="0" t="s">
        <v>6764</v>
      </c>
      <c r="CK43" s="0" t="s">
        <v>200</v>
      </c>
      <c r="CM43" s="0" t="s">
        <v>201</v>
      </c>
      <c r="CN43" s="0" t="s">
        <v>6827</v>
      </c>
      <c r="CO43" s="0" t="s">
        <v>6813</v>
      </c>
      <c r="CP43" s="0" t="s">
        <v>6828</v>
      </c>
      <c r="CQ43" s="0" t="s">
        <v>6084</v>
      </c>
      <c r="CR43" s="0" t="s">
        <v>209</v>
      </c>
      <c r="CT43" s="0" t="s">
        <v>164</v>
      </c>
      <c r="CU43" s="0" t="s">
        <v>6829</v>
      </c>
      <c r="CV43" s="0" t="s">
        <v>164</v>
      </c>
      <c r="CW43" s="0" t="s">
        <v>164</v>
      </c>
      <c r="CX43" s="0" t="s">
        <v>209</v>
      </c>
      <c r="CZ43" s="0" t="s">
        <v>5993</v>
      </c>
      <c r="DA43" s="0" t="s">
        <v>189</v>
      </c>
      <c r="DB43" s="0" t="s">
        <v>189</v>
      </c>
      <c r="DD43" s="0" t="n">
        <v>0</v>
      </c>
      <c r="DE43" s="0" t="s">
        <v>164</v>
      </c>
      <c r="DF43" s="0" t="n">
        <v>2</v>
      </c>
      <c r="DG43" s="0" t="s">
        <v>6830</v>
      </c>
      <c r="DH43" s="0" t="s">
        <v>5969</v>
      </c>
      <c r="DI43" s="0" t="s">
        <v>6831</v>
      </c>
      <c r="DJ43" s="0" t="s">
        <v>6832</v>
      </c>
      <c r="DK43" s="0" t="s">
        <v>5689</v>
      </c>
      <c r="DL43" s="0" t="n">
        <v>43</v>
      </c>
      <c r="DN43" s="0" t="n">
        <v>52</v>
      </c>
      <c r="DO43" s="0" t="n">
        <v>25</v>
      </c>
      <c r="DP43" s="0" t="n">
        <v>8</v>
      </c>
      <c r="DQ43" s="0" t="n">
        <v>8</v>
      </c>
      <c r="DR43" s="0" t="n">
        <v>5</v>
      </c>
      <c r="DS43" s="0" t="n">
        <v>10</v>
      </c>
      <c r="DT43" s="0" t="n">
        <v>6</v>
      </c>
      <c r="DU43" s="0" t="n">
        <f aca="false">IF($A43="","",IF(R43="Y",10,0))</f>
        <v>0</v>
      </c>
      <c r="DV43" s="0" t="n">
        <v>-10</v>
      </c>
      <c r="DW43" s="0" t="s">
        <v>6833</v>
      </c>
      <c r="DX43" s="0" t="s">
        <v>5998</v>
      </c>
      <c r="DY43" s="0" t="s">
        <v>6834</v>
      </c>
      <c r="DZ43" s="0" t="s">
        <v>6835</v>
      </c>
      <c r="EV43" s="0" t="str">
        <f aca="false">IF($A43="","",IF(ISNUMBER(MATCH(U43,{"queued","contacted","replied","call_booked","call_done","yes_in_principle","materials_sent"},0)),"Y","N"))</f>
        <v>N</v>
      </c>
      <c r="EW43" s="0" t="str">
        <f aca="false">IF($A43="","",IF(OR(T43="Y",U43="do_not_contact",AQ43&amp;""&lt;&gt;""),"Y","N"))</f>
        <v>N</v>
      </c>
      <c r="EX43" s="0" t="str">
        <f aca="false">IF($A43="","",IF(AN43&amp;""&lt;&gt;"",AN43&amp;"",$A43))</f>
        <v>AB-286</v>
      </c>
      <c r="EY43" s="0" t="str">
        <f aca="false">IF($A43="","",IF(COUNTIFS($EX$2:$EX$1000,EX43,$EV$2:$EV$1000,"Y")+COUNTIFS($EX$2:$EX$1000,EX43,$EW$2:$EW$1000,"Y")&gt;0,"Y","N"))</f>
        <v>N</v>
      </c>
      <c r="EZ43" s="0" t="str">
        <f aca="false">IF($A43="","",IF(AND(U43="new",T43="N",EW43="N",AR43="Y",EY43="N"),"Y","N"))</f>
        <v>N</v>
      </c>
      <c r="FA43" s="0" t="str">
        <f aca="false">IF($A43="","",IF(EZ43&lt;&gt;"Y","N",IF(COUNTIFS($EX$2:$EX$1000,EX43,$EZ$2:$EZ$1000,"Y",$J$2:$J$1000,"&gt;"&amp;J43)+COUNTIFS($EX$2:$EX$1000,EX43,$EZ$2:$EZ$1000,"Y",$J$2:$J$1000,J43,$FG$2:$FG$1000,"&lt;"&amp;FG43)=0,"Y","N")))</f>
        <v>N</v>
      </c>
      <c r="FB43" s="0" t="str">
        <f aca="false">IF($A43="","",IF(AND(EZ43="Y",FA43="Y",Y43&amp;""&lt;&gt;""),IF(Y43&lt;=10,"Y","N"),"N"))</f>
        <v>N</v>
      </c>
      <c r="FC43" s="0" t="str">
        <f aca="false">IF(FB43="Y",Y43,"")</f>
        <v/>
      </c>
      <c r="FD43" s="0" t="str">
        <f aca="false">IF($A43="","",IF(AND(CK43="pass",AU43="Y",AV43&lt;&gt;"Y",U43="new",EW43="N"),"Y","N"))</f>
        <v>Y</v>
      </c>
      <c r="FE43" s="0" t="n">
        <f aca="false">IF(FD43&lt;&gt;"Y","",IF(COUNTIFS($FD$2:$FD$1000,"Y",$J$2:$J$1000,"&gt;"&amp;J43)+COUNTIFS($FD$2:$FD$1000,"Y",$J$2:$J$1000,J43,$FG$2:$FG$1000,"&lt;"&amp;FG43)+1&lt;=30,COUNTIFS($FD$2:$FD$1000,"Y",$J$2:$J$1000,"&gt;"&amp;J43)+COUNTIFS($FD$2:$FD$1000,"Y",$J$2:$J$1000,J43,$FG$2:$FG$1000,"&lt;"&amp;FG43)+1,""))</f>
        <v>20</v>
      </c>
      <c r="FF43" s="0" t="str">
        <f aca="false">IF(AND(_xlfn.ISFORMULA(C43),_xlfn.ISFORMULA(J43)),"Y","N")</f>
        <v>Y</v>
      </c>
      <c r="FG43" s="0" t="n">
        <f aca="false">ROW()-1</f>
        <v>42</v>
      </c>
    </row>
    <row r="44" customFormat="false" ht="15" hidden="false" customHeight="false" outlineLevel="0" collapsed="false">
      <c r="A44" s="0" t="s">
        <v>6836</v>
      </c>
      <c r="B44" s="0" t="s">
        <v>6837</v>
      </c>
      <c r="C44" s="0" t="str">
        <f aca="false">IF($A44="","",IF(AT44="Y",BL44&amp;"",AY44&amp;""))</f>
        <v>Taylor</v>
      </c>
      <c r="D44" s="0" t="str">
        <f aca="false">IF($A44="","",IF(AT44="Y",BM44&amp;"",AZ44&amp;""))</f>
        <v>Jones</v>
      </c>
      <c r="E44" s="0" t="str">
        <f aca="false">IF($A44="","",IF(AT44="Y",BN44&amp;"",BA44&amp;""))</f>
        <v>Founder and CEO</v>
      </c>
      <c r="F44" s="0" t="str">
        <f aca="false">IF($A44="","",IF(AT44="Y",BO44&amp;"",BB44&amp;""))</f>
        <v/>
      </c>
      <c r="G44" s="0" t="str">
        <f aca="false">IF($A44="","",IF(AT44="Y",BP44&amp;"",BC44&amp;""))</f>
        <v/>
      </c>
      <c r="H44" s="0" t="str">
        <f aca="false">IF($A44="","",IF(AT44="Y",BQ44&amp;"",BD44&amp;""))</f>
        <v>none</v>
      </c>
      <c r="I44" s="0" t="str">
        <f aca="false">IF($A44="","",IF(R44="Y","warm-intro",IF(H44="verified","email",IF(C44&lt;&gt;"","linkedin",CA44&amp;""))))</f>
        <v>linkedin</v>
      </c>
      <c r="J44" s="0" t="n">
        <f aca="false">IF($A44="","",IF(CK44="pass",ROUND(N(DO44)+N(DP44)+N(DQ44)+N(DR44)+N(DS44)+N(DT44)+N(DU44)+N(DV44),0),0))</f>
        <v>52</v>
      </c>
      <c r="K44" s="0" t="str">
        <f aca="false">IF($A44="","",IF(CK44&lt;&gt;"pass",BY44&amp;"",BY44&amp;", "&amp;IF(AT44="Y",BX44&amp;"",BK44&amp;"")&amp;BZ44&amp;IF(R44="Y","; known to the founder (+10)","")&amp;"."))</f>
        <v>Northeast brand, store page shows Whole Foods Market NoMad inside the cluster, no dated why-now in the last 12 months, revenue unknown, contact named; founder review: shelf life not stated.</v>
      </c>
      <c r="M44" s="0" t="s">
        <v>5572</v>
      </c>
      <c r="N44" s="0" t="s">
        <v>5573</v>
      </c>
      <c r="R44" s="5" t="s">
        <v>189</v>
      </c>
      <c r="S44" s="0" t="s">
        <v>209</v>
      </c>
      <c r="T44" s="5" t="s">
        <v>189</v>
      </c>
      <c r="U44" s="5" t="s">
        <v>3896</v>
      </c>
      <c r="V44" s="0" t="s">
        <v>6838</v>
      </c>
      <c r="W44" s="0" t="s">
        <v>263</v>
      </c>
      <c r="X44" s="0" t="s">
        <v>5578</v>
      </c>
      <c r="Y44" s="0" t="n">
        <f aca="false">IF(FA44&lt;&gt;"Y","",COUNTIFS($FA$2:$FA$1000,"Y",$J$2:$J$1000,"&gt;"&amp;J44)+COUNTIFS($FA$2:$FA$1000,"Y",$J$2:$J$1000,J44,$FG$2:$FG$1000,"&lt;"&amp;FG44)+1)</f>
        <v>20</v>
      </c>
      <c r="Z44" s="0" t="n">
        <v>43</v>
      </c>
      <c r="AA44" s="0" t="s">
        <v>164</v>
      </c>
      <c r="AB44" s="0" t="str">
        <f aca="false">IF($A44="","",IF(AT44="Y",BW44&amp;"",BJ44&amp;""))</f>
        <v>find Taylor Jones at Jonesbar on LinkedIn and paste the profile URL into primary_linkedin_url; use the Whole Foods Market NoMad line only if retailer_checked_date is this week's Friday check</v>
      </c>
      <c r="AC44" s="0" t="str">
        <f aca="false">IF($A44="","",IF(AT44="Y",BR44&amp;"",BE44&amp;""))</f>
        <v>founder</v>
      </c>
      <c r="AD44" s="0" t="str">
        <f aca="false">IF($A44="","",IF(AT44="Y",BS44&amp;"",BF44&amp;""))</f>
        <v>verified-page</v>
      </c>
      <c r="AE44" s="0" t="str">
        <f aca="false">IF($A44="","",IF(AT44="Y",BT44&amp;"",BG44&amp;""))</f>
        <v>employer's own site</v>
      </c>
      <c r="AF44" s="0" t="str">
        <f aca="false">IF($A44="","",IF(AT44="Y",BU44&amp;"",BH44&amp;""))</f>
        <v>https://jonesbar.com/pages/our-story-2</v>
      </c>
      <c r="AG44" s="0" t="str">
        <f aca="false">IF($A44="","",IF(AT44="Y",BV44&amp;"",BI44&amp;""))</f>
        <v>2026-10-24</v>
      </c>
      <c r="AH44" s="0" t="s">
        <v>6839</v>
      </c>
      <c r="AI44" s="0" t="s">
        <v>6007</v>
      </c>
      <c r="AJ44" s="0" t="s">
        <v>6840</v>
      </c>
      <c r="AK44" s="0" t="s">
        <v>6841</v>
      </c>
      <c r="AL44" s="0" t="s">
        <v>164</v>
      </c>
      <c r="AM44" s="0" t="s">
        <v>5666</v>
      </c>
      <c r="AN44" s="0" t="s">
        <v>6836</v>
      </c>
      <c r="AO44" s="5" t="s">
        <v>189</v>
      </c>
      <c r="AR44" s="0" t="str">
        <f aca="false">IF($A44="","",IF(AND(CK44="pass",AO44&lt;&gt;"Y",C44&lt;&gt;"",OR(AU44&lt;&gt;"Y",AV44="Y")),"Y","N"))</f>
        <v>Y</v>
      </c>
      <c r="AS44" s="0" t="str">
        <f aca="false">IF($A44="","",_xlfn.TEXTJOIN("; ",TRUE(),IF(CK44&lt;&gt;"pass","gated out",""),IF(AO44="Y","on hold: "&amp;AP44,""),IF(C44="","no contact named on an opened page",""),IF(AND(AU44="Y",AV44&lt;&gt;"Y"),"founder review pending (Founder review tab)","")))</f>
        <v/>
      </c>
      <c r="AU44" s="0" t="s">
        <v>189</v>
      </c>
      <c r="AX44" s="0" t="s">
        <v>6842</v>
      </c>
      <c r="AY44" s="0" t="s">
        <v>1210</v>
      </c>
      <c r="AZ44" s="0" t="s">
        <v>166</v>
      </c>
      <c r="BA44" s="0" t="s">
        <v>5670</v>
      </c>
      <c r="BC44" s="0" t="str">
        <f aca="false">IF($A44="","",IFERROR(INDEX(Enrichment!$A$2:$GZ$2000,MATCH($A44,INDEX(Enrichment!$A$2:$GZ$2000,0,MATCH("row_id",Enrichment!$A$1:$GZ$1,0)),0),MATCH("work_email",Enrichment!$A$1:$GZ$1,0))&amp;"",""))</f>
        <v/>
      </c>
      <c r="BD44" s="0" t="str">
        <f aca="false">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none</v>
      </c>
      <c r="BE44" s="0" t="s">
        <v>5589</v>
      </c>
      <c r="BF44" s="0" t="s">
        <v>169</v>
      </c>
      <c r="BG44" s="0" t="s">
        <v>170</v>
      </c>
      <c r="BH44" s="0" t="s">
        <v>6838</v>
      </c>
      <c r="BI44" s="0" t="s">
        <v>172</v>
      </c>
      <c r="BJ44" s="0" t="s">
        <v>6843</v>
      </c>
      <c r="BK44" s="0" t="s">
        <v>5643</v>
      </c>
      <c r="BP44" s="0" t="str">
        <f aca="false">IF($A44="","",IFERROR(INDEX(Enrichment!$A$2:$GZ$2000,MATCH($A44,INDEX(Enrichment!$A$2:$GZ$2000,0,MATCH("row_id",Enrichment!$A$1:$GZ$1,0)),0),MATCH("backup_work_email",Enrichment!$A$1:$GZ$1,0))&amp;"",""))</f>
        <v/>
      </c>
      <c r="BQ44" s="0" t="str">
        <f aca="false">IF($A44="","",IF(BP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none</v>
      </c>
      <c r="BS44" s="0" t="s">
        <v>380</v>
      </c>
      <c r="BW44" s="0" t="s">
        <v>5741</v>
      </c>
      <c r="BX44" s="0" t="s">
        <v>388</v>
      </c>
      <c r="BY44" s="0" t="s">
        <v>6844</v>
      </c>
      <c r="BZ44" s="0" t="s">
        <v>5679</v>
      </c>
      <c r="CB44" s="0" t="s">
        <v>6845</v>
      </c>
      <c r="CD44" s="0" t="s">
        <v>6846</v>
      </c>
      <c r="CJ44" s="0" t="s">
        <v>5606</v>
      </c>
      <c r="CK44" s="0" t="s">
        <v>200</v>
      </c>
      <c r="CM44" s="0" t="s">
        <v>201</v>
      </c>
      <c r="CO44" s="0" t="s">
        <v>6841</v>
      </c>
      <c r="CP44" s="0" t="s">
        <v>5840</v>
      </c>
      <c r="CQ44" s="0" t="s">
        <v>6084</v>
      </c>
      <c r="CR44" s="0" t="s">
        <v>209</v>
      </c>
      <c r="CT44" s="0" t="s">
        <v>352</v>
      </c>
      <c r="CU44" s="0" t="s">
        <v>6847</v>
      </c>
      <c r="CV44" s="0" t="s">
        <v>164</v>
      </c>
      <c r="CW44" s="0" t="s">
        <v>164</v>
      </c>
      <c r="CX44" s="0" t="s">
        <v>209</v>
      </c>
      <c r="CZ44" s="0" t="s">
        <v>209</v>
      </c>
      <c r="DA44" s="0" t="s">
        <v>189</v>
      </c>
      <c r="DB44" s="0" t="s">
        <v>189</v>
      </c>
      <c r="DD44" s="0" t="n">
        <v>0</v>
      </c>
      <c r="DE44" s="0" t="s">
        <v>164</v>
      </c>
      <c r="DF44" s="0" t="n">
        <v>3</v>
      </c>
      <c r="DG44" s="0" t="s">
        <v>5686</v>
      </c>
      <c r="DI44" s="0" t="s">
        <v>6848</v>
      </c>
      <c r="DJ44" s="0" t="s">
        <v>6849</v>
      </c>
      <c r="DK44" s="0" t="s">
        <v>380</v>
      </c>
      <c r="DN44" s="0" t="n">
        <v>52</v>
      </c>
      <c r="DO44" s="0" t="n">
        <v>25</v>
      </c>
      <c r="DP44" s="0" t="n">
        <v>8</v>
      </c>
      <c r="DQ44" s="0" t="n">
        <v>0</v>
      </c>
      <c r="DR44" s="0" t="n">
        <v>5</v>
      </c>
      <c r="DS44" s="0" t="n">
        <v>8</v>
      </c>
      <c r="DT44" s="0" t="n">
        <v>6</v>
      </c>
      <c r="DU44" s="0" t="n">
        <f aca="false">IF($A44="","",IF(R44="Y",10,0))</f>
        <v>0</v>
      </c>
      <c r="DV44" s="0" t="n">
        <v>0</v>
      </c>
      <c r="DW44" s="0" t="s">
        <v>6850</v>
      </c>
      <c r="DX44" s="0" t="s">
        <v>5691</v>
      </c>
      <c r="DY44" s="0" t="s">
        <v>6851</v>
      </c>
      <c r="DZ44" s="0" t="s">
        <v>6852</v>
      </c>
      <c r="EA44" s="0" t="s">
        <v>6853</v>
      </c>
      <c r="EV44" s="0" t="str">
        <f aca="false">IF($A44="","",IF(ISNUMBER(MATCH(U44,{"queued","contacted","replied","call_booked","call_done","yes_in_principle","materials_sent"},0)),"Y","N"))</f>
        <v>N</v>
      </c>
      <c r="EW44" s="0" t="str">
        <f aca="false">IF($A44="","",IF(OR(T44="Y",U44="do_not_contact",AQ44&amp;""&lt;&gt;""),"Y","N"))</f>
        <v>N</v>
      </c>
      <c r="EX44" s="0" t="str">
        <f aca="false">IF($A44="","",IF(AN44&amp;""&lt;&gt;"",AN44&amp;"",$A44))</f>
        <v>AB-088</v>
      </c>
      <c r="EY44" s="0" t="str">
        <f aca="false">IF($A44="","",IF(COUNTIFS($EX$2:$EX$1000,EX44,$EV$2:$EV$1000,"Y")+COUNTIFS($EX$2:$EX$1000,EX44,$EW$2:$EW$1000,"Y")&gt;0,"Y","N"))</f>
        <v>N</v>
      </c>
      <c r="EZ44" s="0" t="str">
        <f aca="false">IF($A44="","",IF(AND(U44="new",T44="N",EW44="N",AR44="Y",EY44="N"),"Y","N"))</f>
        <v>Y</v>
      </c>
      <c r="FA44" s="0" t="str">
        <f aca="false">IF($A44="","",IF(EZ44&lt;&gt;"Y","N",IF(COUNTIFS($EX$2:$EX$1000,EX44,$EZ$2:$EZ$1000,"Y",$J$2:$J$1000,"&gt;"&amp;J44)+COUNTIFS($EX$2:$EX$1000,EX44,$EZ$2:$EZ$1000,"Y",$J$2:$J$1000,J44,$FG$2:$FG$1000,"&lt;"&amp;FG44)=0,"Y","N")))</f>
        <v>Y</v>
      </c>
      <c r="FB44" s="0" t="str">
        <f aca="false">IF($A44="","",IF(AND(EZ44="Y",FA44="Y",Y44&amp;""&lt;&gt;""),IF(Y44&lt;=10,"Y","N"),"N"))</f>
        <v>N</v>
      </c>
      <c r="FC44" s="0" t="str">
        <f aca="false">IF(FB44="Y",Y44,"")</f>
        <v/>
      </c>
      <c r="FD44" s="0" t="str">
        <f aca="false">IF($A44="","",IF(AND(CK44="pass",AU44="Y",AV44&lt;&gt;"Y",U44="new",EW44="N"),"Y","N"))</f>
        <v>N</v>
      </c>
      <c r="FE44" s="0" t="str">
        <f aca="false">IF(FD44&lt;&gt;"Y","",IF(COUNTIFS($FD$2:$FD$1000,"Y",$J$2:$J$1000,"&gt;"&amp;J44)+COUNTIFS($FD$2:$FD$1000,"Y",$J$2:$J$1000,J44,$FG$2:$FG$1000,"&lt;"&amp;FG44)+1&lt;=30,COUNTIFS($FD$2:$FD$1000,"Y",$J$2:$J$1000,"&gt;"&amp;J44)+COUNTIFS($FD$2:$FD$1000,"Y",$J$2:$J$1000,J44,$FG$2:$FG$1000,"&lt;"&amp;FG44)+1,""))</f>
        <v/>
      </c>
      <c r="FF44" s="0" t="str">
        <f aca="false">IF(AND(_xlfn.ISFORMULA(C44),_xlfn.ISFORMULA(J44)),"Y","N")</f>
        <v>Y</v>
      </c>
      <c r="FG44" s="0" t="n">
        <f aca="false">ROW()-1</f>
        <v>43</v>
      </c>
    </row>
    <row r="45" customFormat="false" ht="15" hidden="false" customHeight="false" outlineLevel="0" collapsed="false">
      <c r="A45" s="0" t="s">
        <v>6854</v>
      </c>
      <c r="B45" s="0" t="s">
        <v>6855</v>
      </c>
      <c r="C45" s="0" t="str">
        <f aca="false">IF($A45="","",IF(AT45="Y",BL45&amp;"",AY45&amp;""))</f>
        <v>Jonathan</v>
      </c>
      <c r="D45" s="0" t="str">
        <f aca="false">IF($A45="","",IF(AT45="Y",BM45&amp;"",AZ45&amp;""))</f>
        <v>Rubinstein</v>
      </c>
      <c r="E45" s="0" t="str">
        <f aca="false">IF($A45="","",IF(AT45="Y",BN45&amp;"",BA45&amp;""))</f>
        <v>Founder</v>
      </c>
      <c r="F45" s="0" t="str">
        <f aca="false">IF($A45="","",IF(AT45="Y",BO45&amp;"",BB45&amp;""))</f>
        <v/>
      </c>
      <c r="G45" s="0" t="str">
        <f aca="false">IF($A45="","",IF(AT45="Y",BP45&amp;"",BC45&amp;""))</f>
        <v/>
      </c>
      <c r="H45" s="0" t="str">
        <f aca="false">IF($A45="","",IF(AT45="Y",BQ45&amp;"",BD45&amp;""))</f>
        <v>none</v>
      </c>
      <c r="I45" s="0" t="str">
        <f aca="false">IF($A45="","",IF(R45="Y","warm-intro",IF(H45="verified","email",IF(C45&lt;&gt;"","linkedin",CA45&amp;""))))</f>
        <v>linkedin</v>
      </c>
      <c r="J45" s="0" t="n">
        <f aca="false">IF($A45="","",IF(CK45="pass",ROUND(N(DO45)+N(DP45)+N(DQ45)+N(DR45)+N(DS45)+N(DT45)+N(DU45)+N(DV45),0),0))</f>
        <v>51</v>
      </c>
      <c r="K45" s="0" t="str">
        <f aca="false">IF($A45="","",IF(CK45&lt;&gt;"pass",BY45&amp;"",BY45&amp;", "&amp;IF(AT45="Y",BX45&amp;"",BK45&amp;"")&amp;BZ45&amp;IF(R45="Y","; known to the founder (+10)","")&amp;"."))</f>
        <v>New York City brand, no graded store within ten blocks, online store only, news 177 days ago, revenue unknown, contact named (crowd-listed on The Org) plus a marketing lead; founder review: not-emerging, dormant.</v>
      </c>
      <c r="M45" s="0" t="s">
        <v>6144</v>
      </c>
      <c r="N45" s="0" t="s">
        <v>740</v>
      </c>
      <c r="O45" s="0" t="s">
        <v>6856</v>
      </c>
      <c r="P45" s="0" t="s">
        <v>6857</v>
      </c>
      <c r="Q45" s="0" t="s">
        <v>6858</v>
      </c>
      <c r="R45" s="5" t="s">
        <v>189</v>
      </c>
      <c r="S45" s="0" t="s">
        <v>209</v>
      </c>
      <c r="T45" s="5" t="s">
        <v>189</v>
      </c>
      <c r="U45" s="5" t="s">
        <v>3896</v>
      </c>
      <c r="V45" s="0" t="s">
        <v>6859</v>
      </c>
      <c r="W45" s="0" t="s">
        <v>263</v>
      </c>
      <c r="X45" s="0" t="s">
        <v>5578</v>
      </c>
      <c r="Y45" s="0" t="str">
        <f aca="false">IF(FA45&lt;&gt;"Y","",COUNTIFS($FA$2:$FA$1000,"Y",$J$2:$J$1000,"&gt;"&amp;J45)+COUNTIFS($FA$2:$FA$1000,"Y",$J$2:$J$1000,J45,$FG$2:$FG$1000,"&lt;"&amp;FG45)+1)</f>
        <v/>
      </c>
      <c r="Z45" s="0" t="n">
        <v>44</v>
      </c>
      <c r="AA45" s="0" t="s">
        <v>164</v>
      </c>
      <c r="AB45" s="0" t="str">
        <f aca="false">IF($A45="","",IF(AT45="Y",BW45&amp;"",BJ45&amp;""))</f>
        <v>find Jonathan Rubinstein at Joe Coffee Company on LinkedIn and paste the profile URL into primary_linkedin_url (this also confirms the name: The Org is crowd-edited and marks it Unverified); the source is dated 2024-11-10: check Jonathan still holds the role</v>
      </c>
      <c r="AC45" s="0" t="str">
        <f aca="false">IF($A45="","",IF(AT45="Y",BR45&amp;"",BE45&amp;""))</f>
        <v>founder</v>
      </c>
      <c r="AD45" s="0" t="str">
        <f aca="false">IF($A45="","",IF(AT45="Y",BS45&amp;"",BF45&amp;""))</f>
        <v>crowd-listed</v>
      </c>
      <c r="AE45" s="0" t="str">
        <f aca="false">IF($A45="","",IF(AT45="Y",BT45&amp;"",BG45&amp;""))</f>
        <v>The Org (crowd-edited org chart)</v>
      </c>
      <c r="AF45" s="0" t="str">
        <f aca="false">IF($A45="","",IF(AT45="Y",BU45&amp;"",BH45&amp;""))</f>
        <v>https://theorg.com/org/joe-coffee-company/person/jonathan-rubinstein</v>
      </c>
      <c r="AG45" s="0" t="str">
        <f aca="false">IF($A45="","",IF(AT45="Y",BV45&amp;"",BI45&amp;""))</f>
        <v>2026-10-24</v>
      </c>
      <c r="AH45" s="0" t="s">
        <v>6860</v>
      </c>
      <c r="AI45" s="0" t="s">
        <v>6473</v>
      </c>
      <c r="AJ45" s="0" t="s">
        <v>259</v>
      </c>
      <c r="AK45" s="0" t="s">
        <v>6861</v>
      </c>
      <c r="AL45" s="0" t="s">
        <v>164</v>
      </c>
      <c r="AM45" s="0" t="s">
        <v>6862</v>
      </c>
      <c r="AN45" s="0" t="s">
        <v>6854</v>
      </c>
      <c r="AO45" s="5" t="s">
        <v>189</v>
      </c>
      <c r="AR45" s="0" t="str">
        <f aca="false">IF($A45="","",IF(AND(CK45="pass",AO45&lt;&gt;"Y",C45&lt;&gt;"",OR(AU45&lt;&gt;"Y",AV45="Y")),"Y","N"))</f>
        <v>N</v>
      </c>
      <c r="AS45" s="0" t="str">
        <f aca="false">IF($A45="","",_xlfn.TEXTJOIN("; ",TRUE(),IF(CK45&lt;&gt;"pass","gated out",""),IF(AO45="Y","on hold: "&amp;AP45,""),IF(C45="","no contact named on an opened page",""),IF(AND(AU45="Y",AV45&lt;&gt;"Y"),"founder review pending (Founder review tab)","")))</f>
        <v>founder review pending (Founder review tab)</v>
      </c>
      <c r="AU45" s="0" t="s">
        <v>164</v>
      </c>
      <c r="AY45" s="0" t="s">
        <v>6863</v>
      </c>
      <c r="AZ45" s="0" t="s">
        <v>6864</v>
      </c>
      <c r="BA45" s="0" t="s">
        <v>5739</v>
      </c>
      <c r="BC45" s="0" t="str">
        <f aca="false">IF($A45="","",IFERROR(INDEX(Enrichment!$A$2:$GZ$2000,MATCH($A45,INDEX(Enrichment!$A$2:$GZ$2000,0,MATCH("row_id",Enrichment!$A$1:$GZ$1,0)),0),MATCH("work_email",Enrichment!$A$1:$GZ$1,0))&amp;"",""))</f>
        <v/>
      </c>
      <c r="BD45" s="0" t="str">
        <f aca="false">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none</v>
      </c>
      <c r="BE45" s="0" t="s">
        <v>5589</v>
      </c>
      <c r="BF45" s="0" t="s">
        <v>283</v>
      </c>
      <c r="BG45" s="0" t="s">
        <v>284</v>
      </c>
      <c r="BH45" s="0" t="s">
        <v>6865</v>
      </c>
      <c r="BI45" s="0" t="s">
        <v>172</v>
      </c>
      <c r="BJ45" s="0" t="s">
        <v>6866</v>
      </c>
      <c r="BK45" s="0" t="s">
        <v>5592</v>
      </c>
      <c r="BL45" s="0" t="s">
        <v>6867</v>
      </c>
      <c r="BM45" s="0" t="s">
        <v>6868</v>
      </c>
      <c r="BN45" s="0" t="s">
        <v>6869</v>
      </c>
      <c r="BP45" s="0" t="str">
        <f aca="false">IF($A45="","",IFERROR(INDEX(Enrichment!$A$2:$GZ$2000,MATCH($A45,INDEX(Enrichment!$A$2:$GZ$2000,0,MATCH("row_id",Enrichment!$A$1:$GZ$1,0)),0),MATCH("backup_work_email",Enrichment!$A$1:$GZ$1,0))&amp;"",""))</f>
        <v/>
      </c>
      <c r="BQ45" s="0" t="str">
        <f aca="false">IF($A45="","",IF(BP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none</v>
      </c>
      <c r="BR45" s="0" t="s">
        <v>5596</v>
      </c>
      <c r="BS45" s="0" t="s">
        <v>283</v>
      </c>
      <c r="BT45" s="0" t="s">
        <v>284</v>
      </c>
      <c r="BU45" s="0" t="s">
        <v>6870</v>
      </c>
      <c r="BV45" s="0" t="s">
        <v>172</v>
      </c>
      <c r="BW45" s="0" t="s">
        <v>6871</v>
      </c>
      <c r="BX45" s="0" t="s">
        <v>5599</v>
      </c>
      <c r="BY45" s="0" t="s">
        <v>6872</v>
      </c>
      <c r="BZ45" s="0" t="s">
        <v>6873</v>
      </c>
      <c r="CB45" s="0" t="s">
        <v>6874</v>
      </c>
      <c r="CC45" s="0" t="s">
        <v>6875</v>
      </c>
      <c r="CD45" s="0" t="s">
        <v>6876</v>
      </c>
      <c r="CF45" s="0" t="s">
        <v>6877</v>
      </c>
      <c r="CG45" s="0" t="s">
        <v>6878</v>
      </c>
      <c r="CH45" s="0" t="s">
        <v>6879</v>
      </c>
      <c r="CJ45" s="0" t="s">
        <v>5720</v>
      </c>
      <c r="CK45" s="0" t="s">
        <v>200</v>
      </c>
      <c r="CM45" s="0" t="s">
        <v>201</v>
      </c>
      <c r="CN45" s="0" t="s">
        <v>6880</v>
      </c>
      <c r="CO45" s="0" t="s">
        <v>6881</v>
      </c>
      <c r="CP45" s="0" t="s">
        <v>5608</v>
      </c>
      <c r="CQ45" s="0" t="s">
        <v>5609</v>
      </c>
      <c r="CR45" s="0" t="s">
        <v>209</v>
      </c>
      <c r="CT45" s="0" t="s">
        <v>209</v>
      </c>
      <c r="CU45" s="0" t="s">
        <v>6882</v>
      </c>
      <c r="CV45" s="0" t="s">
        <v>164</v>
      </c>
      <c r="CW45" s="0" t="s">
        <v>164</v>
      </c>
      <c r="CX45" s="0" t="s">
        <v>209</v>
      </c>
      <c r="CZ45" s="0" t="s">
        <v>6456</v>
      </c>
      <c r="DA45" s="0" t="s">
        <v>189</v>
      </c>
      <c r="DB45" s="0" t="s">
        <v>189</v>
      </c>
      <c r="DE45" s="0" t="s">
        <v>189</v>
      </c>
      <c r="DF45" s="0" t="n">
        <v>0</v>
      </c>
      <c r="DH45" s="0" t="s">
        <v>6883</v>
      </c>
      <c r="DI45" s="0" t="s">
        <v>6884</v>
      </c>
      <c r="DJ45" s="0" t="s">
        <v>6859</v>
      </c>
      <c r="DK45" s="0" t="s">
        <v>5617</v>
      </c>
      <c r="DL45" s="0" t="n">
        <v>177</v>
      </c>
      <c r="DN45" s="0" t="n">
        <v>51</v>
      </c>
      <c r="DO45" s="0" t="n">
        <v>6</v>
      </c>
      <c r="DP45" s="0" t="n">
        <v>20</v>
      </c>
      <c r="DQ45" s="0" t="n">
        <v>15</v>
      </c>
      <c r="DR45" s="0" t="n">
        <v>5</v>
      </c>
      <c r="DS45" s="0" t="n">
        <v>7</v>
      </c>
      <c r="DT45" s="0" t="n">
        <v>10</v>
      </c>
      <c r="DU45" s="0" t="n">
        <f aca="false">IF($A45="","",IF(R45="Y",10,0))</f>
        <v>0</v>
      </c>
      <c r="DV45" s="0" t="n">
        <v>-12</v>
      </c>
      <c r="DW45" s="0" t="s">
        <v>6885</v>
      </c>
      <c r="DX45" s="0" t="s">
        <v>6462</v>
      </c>
      <c r="DY45" s="0" t="s">
        <v>6886</v>
      </c>
      <c r="DZ45" s="0" t="s">
        <v>6887</v>
      </c>
      <c r="EA45" s="0" t="s">
        <v>6888</v>
      </c>
      <c r="EV45" s="0" t="str">
        <f aca="false">IF($A45="","",IF(ISNUMBER(MATCH(U45,{"queued","contacted","replied","call_booked","call_done","yes_in_principle","materials_sent"},0)),"Y","N"))</f>
        <v>N</v>
      </c>
      <c r="EW45" s="0" t="str">
        <f aca="false">IF($A45="","",IF(OR(T45="Y",U45="do_not_contact",AQ45&amp;""&lt;&gt;""),"Y","N"))</f>
        <v>N</v>
      </c>
      <c r="EX45" s="0" t="str">
        <f aca="false">IF($A45="","",IF(AN45&amp;""&lt;&gt;"",AN45&amp;"",$A45))</f>
        <v>AB-144</v>
      </c>
      <c r="EY45" s="0" t="str">
        <f aca="false">IF($A45="","",IF(COUNTIFS($EX$2:$EX$1000,EX45,$EV$2:$EV$1000,"Y")+COUNTIFS($EX$2:$EX$1000,EX45,$EW$2:$EW$1000,"Y")&gt;0,"Y","N"))</f>
        <v>N</v>
      </c>
      <c r="EZ45" s="0" t="str">
        <f aca="false">IF($A45="","",IF(AND(U45="new",T45="N",EW45="N",AR45="Y",EY45="N"),"Y","N"))</f>
        <v>N</v>
      </c>
      <c r="FA45" s="0" t="str">
        <f aca="false">IF($A45="","",IF(EZ45&lt;&gt;"Y","N",IF(COUNTIFS($EX$2:$EX$1000,EX45,$EZ$2:$EZ$1000,"Y",$J$2:$J$1000,"&gt;"&amp;J45)+COUNTIFS($EX$2:$EX$1000,EX45,$EZ$2:$EZ$1000,"Y",$J$2:$J$1000,J45,$FG$2:$FG$1000,"&lt;"&amp;FG45)=0,"Y","N")))</f>
        <v>N</v>
      </c>
      <c r="FB45" s="0" t="str">
        <f aca="false">IF($A45="","",IF(AND(EZ45="Y",FA45="Y",Y45&amp;""&lt;&gt;""),IF(Y45&lt;=10,"Y","N"),"N"))</f>
        <v>N</v>
      </c>
      <c r="FC45" s="0" t="str">
        <f aca="false">IF(FB45="Y",Y45,"")</f>
        <v/>
      </c>
      <c r="FD45" s="0" t="str">
        <f aca="false">IF($A45="","",IF(AND(CK45="pass",AU45="Y",AV45&lt;&gt;"Y",U45="new",EW45="N"),"Y","N"))</f>
        <v>Y</v>
      </c>
      <c r="FE45" s="0" t="n">
        <f aca="false">IF(FD45&lt;&gt;"Y","",IF(COUNTIFS($FD$2:$FD$1000,"Y",$J$2:$J$1000,"&gt;"&amp;J45)+COUNTIFS($FD$2:$FD$1000,"Y",$J$2:$J$1000,J45,$FG$2:$FG$1000,"&lt;"&amp;FG45)+1&lt;=30,COUNTIFS($FD$2:$FD$1000,"Y",$J$2:$J$1000,"&gt;"&amp;J45)+COUNTIFS($FD$2:$FD$1000,"Y",$J$2:$J$1000,J45,$FG$2:$FG$1000,"&lt;"&amp;FG45)+1,""))</f>
        <v>21</v>
      </c>
      <c r="FF45" s="0" t="str">
        <f aca="false">IF(AND(_xlfn.ISFORMULA(C45),_xlfn.ISFORMULA(J45)),"Y","N")</f>
        <v>Y</v>
      </c>
      <c r="FG45" s="0" t="n">
        <f aca="false">ROW()-1</f>
        <v>44</v>
      </c>
    </row>
    <row r="46" customFormat="false" ht="15" hidden="false" customHeight="false" outlineLevel="0" collapsed="false">
      <c r="A46" s="0" t="s">
        <v>6889</v>
      </c>
      <c r="B46" s="0" t="s">
        <v>6890</v>
      </c>
      <c r="C46" s="0" t="str">
        <f aca="false">IF($A46="","",IF(AT46="Y",BL46&amp;"",AY46&amp;""))</f>
        <v>Shira</v>
      </c>
      <c r="D46" s="0" t="str">
        <f aca="false">IF($A46="","",IF(AT46="Y",BM46&amp;"",AZ46&amp;""))</f>
        <v>Berk</v>
      </c>
      <c r="E46" s="0" t="str">
        <f aca="false">IF($A46="","",IF(AT46="Y",BN46&amp;"",BA46&amp;""))</f>
        <v>Founder and CEO</v>
      </c>
      <c r="F46" s="0" t="str">
        <f aca="false">IF($A46="","",IF(AT46="Y",BO46&amp;"",BB46&amp;""))</f>
        <v/>
      </c>
      <c r="G46" s="0" t="str">
        <f aca="false">IF($A46="","",IF(AT46="Y",BP46&amp;"",BC46&amp;""))</f>
        <v/>
      </c>
      <c r="H46" s="0" t="str">
        <f aca="false">IF($A46="","",IF(AT46="Y",BQ46&amp;"",BD46&amp;""))</f>
        <v>none</v>
      </c>
      <c r="I46" s="0" t="str">
        <f aca="false">IF($A46="","",IF(R46="Y","warm-intro",IF(H46="verified","email",IF(C46&lt;&gt;"","linkedin",CA46&amp;""))))</f>
        <v>linkedin</v>
      </c>
      <c r="J46" s="0" t="n">
        <f aca="false">IF($A46="","",IF(CK46="pass",ROUND(N(DO46)+N(DP46)+N(DQ46)+N(DR46)+N(DS46)+N(DT46)+N(DU46)+N(DV46),0),0))</f>
        <v>50</v>
      </c>
      <c r="K46" s="0" t="str">
        <f aca="false">IF($A46="","",IF(CK46&lt;&gt;"pass",BY46&amp;"",BY46&amp;", "&amp;IF(AT46="Y",BX46&amp;"",BK46&amp;"")&amp;BZ46&amp;IF(R46="Y","; known to the founder (+10)","")&amp;"."))</f>
        <v>Northeast brand (HQ unverified), store page shows Whole Foods Market NoMad inside the cluster, a new store listing 163 days ago, revenue unknown, contact named; founder review: scale.</v>
      </c>
      <c r="M46" s="0" t="s">
        <v>5572</v>
      </c>
      <c r="N46" s="0" t="s">
        <v>5573</v>
      </c>
      <c r="O46" s="0" t="s">
        <v>6891</v>
      </c>
      <c r="P46" s="0" t="s">
        <v>6892</v>
      </c>
      <c r="Q46" s="0" t="s">
        <v>6893</v>
      </c>
      <c r="R46" s="5" t="s">
        <v>189</v>
      </c>
      <c r="S46" s="0" t="s">
        <v>209</v>
      </c>
      <c r="T46" s="5" t="s">
        <v>189</v>
      </c>
      <c r="U46" s="5" t="s">
        <v>3896</v>
      </c>
      <c r="V46" s="0" t="s">
        <v>6894</v>
      </c>
      <c r="W46" s="0" t="s">
        <v>263</v>
      </c>
      <c r="X46" s="0" t="s">
        <v>5578</v>
      </c>
      <c r="Y46" s="0" t="str">
        <f aca="false">IF(FA46&lt;&gt;"Y","",COUNTIFS($FA$2:$FA$1000,"Y",$J$2:$J$1000,"&gt;"&amp;J46)+COUNTIFS($FA$2:$FA$1000,"Y",$J$2:$J$1000,J46,$FG$2:$FG$1000,"&lt;"&amp;FG46)+1)</f>
        <v/>
      </c>
      <c r="Z46" s="0" t="n">
        <v>45</v>
      </c>
      <c r="AA46" s="0" t="s">
        <v>164</v>
      </c>
      <c r="AB46" s="0" t="str">
        <f aca="false">IF($A46="","",IF(AT46="Y",BW46&amp;"",BJ46&amp;""))</f>
        <v>find Shira Berk at Goodie Girl on LinkedIn and paste the profile URL into primary_linkedin_url; use the Whole Foods Market NoMad line only if retailer_checked_date is this week's Friday check</v>
      </c>
      <c r="AC46" s="0" t="str">
        <f aca="false">IF($A46="","",IF(AT46="Y",BR46&amp;"",BE46&amp;""))</f>
        <v>founder</v>
      </c>
      <c r="AD46" s="0" t="str">
        <f aca="false">IF($A46="","",IF(AT46="Y",BS46&amp;"",BF46&amp;""))</f>
        <v>verified-page</v>
      </c>
      <c r="AE46" s="0" t="str">
        <f aca="false">IF($A46="","",IF(AT46="Y",BT46&amp;"",BG46&amp;""))</f>
        <v>employer's own site</v>
      </c>
      <c r="AF46" s="0" t="str">
        <f aca="false">IF($A46="","",IF(AT46="Y",BU46&amp;"",BH46&amp;""))</f>
        <v>https://goodiegirl.com/pages/our-story</v>
      </c>
      <c r="AG46" s="0" t="str">
        <f aca="false">IF($A46="","",IF(AT46="Y",BV46&amp;"",BI46&amp;""))</f>
        <v>2026-10-24</v>
      </c>
      <c r="AH46" s="0" t="s">
        <v>6895</v>
      </c>
      <c r="AI46" s="0" t="s">
        <v>5702</v>
      </c>
      <c r="AJ46" s="0" t="s">
        <v>6896</v>
      </c>
      <c r="AK46" s="0" t="s">
        <v>6897</v>
      </c>
      <c r="AL46" s="0" t="s">
        <v>164</v>
      </c>
      <c r="AM46" s="0" t="s">
        <v>6898</v>
      </c>
      <c r="AN46" s="0" t="s">
        <v>6889</v>
      </c>
      <c r="AO46" s="5" t="s">
        <v>189</v>
      </c>
      <c r="AR46" s="0" t="str">
        <f aca="false">IF($A46="","",IF(AND(CK46="pass",AO46&lt;&gt;"Y",C46&lt;&gt;"",OR(AU46&lt;&gt;"Y",AV46="Y")),"Y","N"))</f>
        <v>N</v>
      </c>
      <c r="AS46" s="0" t="str">
        <f aca="false">IF($A46="","",_xlfn.TEXTJOIN("; ",TRUE(),IF(CK46&lt;&gt;"pass","gated out",""),IF(AO46="Y","on hold: "&amp;AP46,""),IF(C46="","no contact named on an opened page",""),IF(AND(AU46="Y",AV46&lt;&gt;"Y"),"founder review pending (Founder review tab)","")))</f>
        <v>founder review pending (Founder review tab)</v>
      </c>
      <c r="AU46" s="0" t="s">
        <v>164</v>
      </c>
      <c r="AX46" s="0" t="s">
        <v>6899</v>
      </c>
      <c r="AY46" s="0" t="s">
        <v>6900</v>
      </c>
      <c r="AZ46" s="0" t="s">
        <v>6901</v>
      </c>
      <c r="BA46" s="0" t="s">
        <v>5670</v>
      </c>
      <c r="BC46" s="0" t="str">
        <f aca="false">IF($A46="","",IFERROR(INDEX(Enrichment!$A$2:$GZ$2000,MATCH($A46,INDEX(Enrichment!$A$2:$GZ$2000,0,MATCH("row_id",Enrichment!$A$1:$GZ$1,0)),0),MATCH("work_email",Enrichment!$A$1:$GZ$1,0))&amp;"",""))</f>
        <v/>
      </c>
      <c r="BD46" s="0" t="str">
        <f aca="false">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none</v>
      </c>
      <c r="BE46" s="0" t="s">
        <v>5589</v>
      </c>
      <c r="BF46" s="0" t="s">
        <v>169</v>
      </c>
      <c r="BG46" s="0" t="s">
        <v>170</v>
      </c>
      <c r="BH46" s="0" t="s">
        <v>6894</v>
      </c>
      <c r="BI46" s="0" t="s">
        <v>172</v>
      </c>
      <c r="BJ46" s="0" t="s">
        <v>6902</v>
      </c>
      <c r="BK46" s="0" t="s">
        <v>5643</v>
      </c>
      <c r="BP46" s="0" t="str">
        <f aca="false">IF($A46="","",IFERROR(INDEX(Enrichment!$A$2:$GZ$2000,MATCH($A46,INDEX(Enrichment!$A$2:$GZ$2000,0,MATCH("row_id",Enrichment!$A$1:$GZ$1,0)),0),MATCH("backup_work_email",Enrichment!$A$1:$GZ$1,0))&amp;"",""))</f>
        <v/>
      </c>
      <c r="BQ46" s="0" t="str">
        <f aca="false">IF($A46="","",IF(BP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none</v>
      </c>
      <c r="BS46" s="0" t="s">
        <v>380</v>
      </c>
      <c r="BW46" s="0" t="s">
        <v>5741</v>
      </c>
      <c r="BX46" s="0" t="s">
        <v>388</v>
      </c>
      <c r="BY46" s="0" t="s">
        <v>6903</v>
      </c>
      <c r="BZ46" s="0" t="s">
        <v>6512</v>
      </c>
      <c r="CB46" s="0" t="s">
        <v>6904</v>
      </c>
      <c r="CD46" s="0" t="s">
        <v>6079</v>
      </c>
      <c r="CJ46" s="0" t="s">
        <v>5606</v>
      </c>
      <c r="CK46" s="0" t="s">
        <v>200</v>
      </c>
      <c r="CM46" s="0" t="s">
        <v>201</v>
      </c>
      <c r="CN46" s="0" t="s">
        <v>6516</v>
      </c>
      <c r="CO46" s="0" t="s">
        <v>6897</v>
      </c>
      <c r="CP46" s="0" t="s">
        <v>6905</v>
      </c>
      <c r="CQ46" s="0" t="s">
        <v>5841</v>
      </c>
      <c r="CR46" s="0" t="s">
        <v>209</v>
      </c>
      <c r="CT46" s="0" t="s">
        <v>164</v>
      </c>
      <c r="CU46" s="0" t="s">
        <v>6906</v>
      </c>
      <c r="CV46" s="0" t="s">
        <v>164</v>
      </c>
      <c r="CW46" s="0" t="s">
        <v>164</v>
      </c>
      <c r="CX46" s="0" t="s">
        <v>209</v>
      </c>
      <c r="CZ46" s="0" t="s">
        <v>209</v>
      </c>
      <c r="DA46" s="0" t="s">
        <v>189</v>
      </c>
      <c r="DB46" s="0" t="s">
        <v>189</v>
      </c>
      <c r="DD46" s="0" t="n">
        <v>0</v>
      </c>
      <c r="DE46" s="0" t="s">
        <v>164</v>
      </c>
      <c r="DF46" s="0" t="n">
        <v>3</v>
      </c>
      <c r="DG46" s="0" t="s">
        <v>5686</v>
      </c>
      <c r="DI46" s="0" t="s">
        <v>6907</v>
      </c>
      <c r="DJ46" s="0" t="s">
        <v>6908</v>
      </c>
      <c r="DK46" s="0" t="s">
        <v>5689</v>
      </c>
      <c r="DL46" s="0" t="n">
        <v>163</v>
      </c>
      <c r="DN46" s="0" t="n">
        <v>50</v>
      </c>
      <c r="DO46" s="0" t="n">
        <v>25</v>
      </c>
      <c r="DP46" s="0" t="n">
        <v>8</v>
      </c>
      <c r="DQ46" s="0" t="n">
        <v>8</v>
      </c>
      <c r="DR46" s="0" t="n">
        <v>5</v>
      </c>
      <c r="DS46" s="0" t="n">
        <v>10</v>
      </c>
      <c r="DT46" s="0" t="n">
        <v>6</v>
      </c>
      <c r="DU46" s="0" t="n">
        <f aca="false">IF($A46="","",IF(R46="Y",10,0))</f>
        <v>0</v>
      </c>
      <c r="DV46" s="0" t="n">
        <v>-12</v>
      </c>
      <c r="DW46" s="0" t="s">
        <v>6909</v>
      </c>
      <c r="DX46" s="0" t="s">
        <v>5691</v>
      </c>
      <c r="DY46" s="0" t="s">
        <v>6910</v>
      </c>
      <c r="DZ46" s="0" t="s">
        <v>6911</v>
      </c>
      <c r="EA46" s="0" t="s">
        <v>6912</v>
      </c>
      <c r="EV46" s="0" t="str">
        <f aca="false">IF($A46="","",IF(ISNUMBER(MATCH(U46,{"queued","contacted","replied","call_booked","call_done","yes_in_principle","materials_sent"},0)),"Y","N"))</f>
        <v>N</v>
      </c>
      <c r="EW46" s="0" t="str">
        <f aca="false">IF($A46="","",IF(OR(T46="Y",U46="do_not_contact",AQ46&amp;""&lt;&gt;""),"Y","N"))</f>
        <v>N</v>
      </c>
      <c r="EX46" s="0" t="str">
        <f aca="false">IF($A46="","",IF(AN46&amp;""&lt;&gt;"",AN46&amp;"",$A46))</f>
        <v>AB-083</v>
      </c>
      <c r="EY46" s="0" t="str">
        <f aca="false">IF($A46="","",IF(COUNTIFS($EX$2:$EX$1000,EX46,$EV$2:$EV$1000,"Y")+COUNTIFS($EX$2:$EX$1000,EX46,$EW$2:$EW$1000,"Y")&gt;0,"Y","N"))</f>
        <v>N</v>
      </c>
      <c r="EZ46" s="0" t="str">
        <f aca="false">IF($A46="","",IF(AND(U46="new",T46="N",EW46="N",AR46="Y",EY46="N"),"Y","N"))</f>
        <v>N</v>
      </c>
      <c r="FA46" s="0" t="str">
        <f aca="false">IF($A46="","",IF(EZ46&lt;&gt;"Y","N",IF(COUNTIFS($EX$2:$EX$1000,EX46,$EZ$2:$EZ$1000,"Y",$J$2:$J$1000,"&gt;"&amp;J46)+COUNTIFS($EX$2:$EX$1000,EX46,$EZ$2:$EZ$1000,"Y",$J$2:$J$1000,J46,$FG$2:$FG$1000,"&lt;"&amp;FG46)=0,"Y","N")))</f>
        <v>N</v>
      </c>
      <c r="FB46" s="0" t="str">
        <f aca="false">IF($A46="","",IF(AND(EZ46="Y",FA46="Y",Y46&amp;""&lt;&gt;""),IF(Y46&lt;=10,"Y","N"),"N"))</f>
        <v>N</v>
      </c>
      <c r="FC46" s="0" t="str">
        <f aca="false">IF(FB46="Y",Y46,"")</f>
        <v/>
      </c>
      <c r="FD46" s="0" t="str">
        <f aca="false">IF($A46="","",IF(AND(CK46="pass",AU46="Y",AV46&lt;&gt;"Y",U46="new",EW46="N"),"Y","N"))</f>
        <v>Y</v>
      </c>
      <c r="FE46" s="0" t="n">
        <f aca="false">IF(FD46&lt;&gt;"Y","",IF(COUNTIFS($FD$2:$FD$1000,"Y",$J$2:$J$1000,"&gt;"&amp;J46)+COUNTIFS($FD$2:$FD$1000,"Y",$J$2:$J$1000,J46,$FG$2:$FG$1000,"&lt;"&amp;FG46)+1&lt;=30,COUNTIFS($FD$2:$FD$1000,"Y",$J$2:$J$1000,"&gt;"&amp;J46)+COUNTIFS($FD$2:$FD$1000,"Y",$J$2:$J$1000,J46,$FG$2:$FG$1000,"&lt;"&amp;FG46)+1,""))</f>
        <v>22</v>
      </c>
      <c r="FF46" s="0" t="str">
        <f aca="false">IF(AND(_xlfn.ISFORMULA(C46),_xlfn.ISFORMULA(J46)),"Y","N")</f>
        <v>Y</v>
      </c>
      <c r="FG46" s="0" t="n">
        <f aca="false">ROW()-1</f>
        <v>45</v>
      </c>
    </row>
    <row r="47" customFormat="false" ht="15" hidden="false" customHeight="false" outlineLevel="0" collapsed="false">
      <c r="A47" s="0" t="s">
        <v>6913</v>
      </c>
      <c r="B47" s="0" t="s">
        <v>6914</v>
      </c>
      <c r="C47" s="0" t="str">
        <f aca="false">IF($A47="","",IF(AT47="Y",BL47&amp;"",AY47&amp;""))</f>
        <v>Michael</v>
      </c>
      <c r="D47" s="0" t="str">
        <f aca="false">IF($A47="","",IF(AT47="Y",BM47&amp;"",AZ47&amp;""))</f>
        <v>Bronner</v>
      </c>
      <c r="E47" s="0" t="str">
        <f aca="false">IF($A47="","",IF(AT47="Y",BN47&amp;"",BA47&amp;""))</f>
        <v>Co-founder</v>
      </c>
      <c r="F47" s="0" t="str">
        <f aca="false">IF($A47="","",IF(AT47="Y",BO47&amp;"",BB47&amp;""))</f>
        <v/>
      </c>
      <c r="G47" s="0" t="str">
        <f aca="false">IF($A47="","",IF(AT47="Y",BP47&amp;"",BC47&amp;""))</f>
        <v/>
      </c>
      <c r="H47" s="0" t="str">
        <f aca="false">IF($A47="","",IF(AT47="Y",BQ47&amp;"",BD47&amp;""))</f>
        <v>none</v>
      </c>
      <c r="I47" s="0" t="str">
        <f aca="false">IF($A47="","",IF(R47="Y","warm-intro",IF(H47="verified","email",IF(C47&lt;&gt;"","linkedin",CA47&amp;""))))</f>
        <v>linkedin</v>
      </c>
      <c r="J47" s="0" t="n">
        <f aca="false">IF($A47="","",IF(CK47="pass",ROUND(N(DO47)+N(DP47)+N(DQ47)+N(DR47)+N(DS47)+N(DT47)+N(DU47)+N(DV47),0),0))</f>
        <v>50</v>
      </c>
      <c r="K47" s="0" t="str">
        <f aca="false">IF($A47="","",IF(CK47&lt;&gt;"pass",BY47&amp;"",BY47&amp;", "&amp;IF(AT47="Y",BX47&amp;"",BK47&amp;"")&amp;BZ47&amp;IF(R47="Y","; known to the founder (+10)","")&amp;"."))</f>
        <v>Northeast brand, store page shows Whole Foods Market NoMad inside the cluster, news 220 days ago, revenue unknown, contact named; founder review: scale.</v>
      </c>
      <c r="M47" s="0" t="s">
        <v>5572</v>
      </c>
      <c r="N47" s="0" t="s">
        <v>5573</v>
      </c>
      <c r="O47" s="0" t="s">
        <v>6915</v>
      </c>
      <c r="P47" s="0" t="s">
        <v>6916</v>
      </c>
      <c r="Q47" s="0" t="s">
        <v>6917</v>
      </c>
      <c r="R47" s="5" t="s">
        <v>189</v>
      </c>
      <c r="S47" s="0" t="s">
        <v>209</v>
      </c>
      <c r="T47" s="5" t="s">
        <v>189</v>
      </c>
      <c r="U47" s="5" t="s">
        <v>3896</v>
      </c>
      <c r="V47" s="0" t="s">
        <v>6918</v>
      </c>
      <c r="W47" s="0" t="s">
        <v>263</v>
      </c>
      <c r="X47" s="0" t="s">
        <v>5578</v>
      </c>
      <c r="Y47" s="0" t="str">
        <f aca="false">IF(FA47&lt;&gt;"Y","",COUNTIFS($FA$2:$FA$1000,"Y",$J$2:$J$1000,"&gt;"&amp;J47)+COUNTIFS($FA$2:$FA$1000,"Y",$J$2:$J$1000,J47,$FG$2:$FG$1000,"&lt;"&amp;FG47)+1)</f>
        <v/>
      </c>
      <c r="Z47" s="0" t="n">
        <v>46</v>
      </c>
      <c r="AA47" s="0" t="s">
        <v>164</v>
      </c>
      <c r="AB47" s="0" t="str">
        <f aca="false">IF($A47="","",IF(AT47="Y",BW47&amp;"",BJ47&amp;""))</f>
        <v>find Michael Bronner at Unreal on LinkedIn and paste the profile URL into primary_linkedin_url; use the Whole Foods Market NoMad line only if retailer_checked_date is this week's Friday check</v>
      </c>
      <c r="AC47" s="0" t="str">
        <f aca="false">IF($A47="","",IF(AT47="Y",BR47&amp;"",BE47&amp;""))</f>
        <v>founder</v>
      </c>
      <c r="AD47" s="0" t="str">
        <f aca="false">IF($A47="","",IF(AT47="Y",BS47&amp;"",BF47&amp;""))</f>
        <v>verified-page</v>
      </c>
      <c r="AE47" s="0" t="str">
        <f aca="false">IF($A47="","",IF(AT47="Y",BT47&amp;"",BG47&amp;""))</f>
        <v>press, event or podcast page</v>
      </c>
      <c r="AF47" s="0" t="str">
        <f aca="false">IF($A47="","",IF(AT47="Y",BU47&amp;"",BH47&amp;""))</f>
        <v>https://en.wikipedia.org/wiki/Unreal_Snacks</v>
      </c>
      <c r="AG47" s="0" t="str">
        <f aca="false">IF($A47="","",IF(AT47="Y",BV47&amp;"",BI47&amp;""))</f>
        <v>2026-10-24</v>
      </c>
      <c r="AH47" s="0" t="s">
        <v>6919</v>
      </c>
      <c r="AI47" s="0" t="s">
        <v>5664</v>
      </c>
      <c r="AJ47" s="0" t="s">
        <v>6065</v>
      </c>
      <c r="AK47" s="0" t="s">
        <v>6920</v>
      </c>
      <c r="AL47" s="0" t="s">
        <v>164</v>
      </c>
      <c r="AM47" s="0" t="s">
        <v>6921</v>
      </c>
      <c r="AN47" s="0" t="s">
        <v>6913</v>
      </c>
      <c r="AO47" s="5" t="s">
        <v>189</v>
      </c>
      <c r="AR47" s="0" t="str">
        <f aca="false">IF($A47="","",IF(AND(CK47="pass",AO47&lt;&gt;"Y",C47&lt;&gt;"",OR(AU47&lt;&gt;"Y",AV47="Y")),"Y","N"))</f>
        <v>N</v>
      </c>
      <c r="AS47" s="0" t="str">
        <f aca="false">IF($A47="","",_xlfn.TEXTJOIN("; ",TRUE(),IF(CK47&lt;&gt;"pass","gated out",""),IF(AO47="Y","on hold: "&amp;AP47,""),IF(C47="","no contact named on an opened page",""),IF(AND(AU47="Y",AV47&lt;&gt;"Y"),"founder review pending (Founder review tab)","")))</f>
        <v>founder review pending (Founder review tab)</v>
      </c>
      <c r="AU47" s="0" t="s">
        <v>164</v>
      </c>
      <c r="AX47" s="0" t="s">
        <v>6922</v>
      </c>
      <c r="AY47" s="0" t="s">
        <v>6480</v>
      </c>
      <c r="AZ47" s="0" t="s">
        <v>6923</v>
      </c>
      <c r="BA47" s="0" t="s">
        <v>5636</v>
      </c>
      <c r="BC47" s="0" t="str">
        <f aca="false">IF($A47="","",IFERROR(INDEX(Enrichment!$A$2:$GZ$2000,MATCH($A47,INDEX(Enrichment!$A$2:$GZ$2000,0,MATCH("row_id",Enrichment!$A$1:$GZ$1,0)),0),MATCH("work_email",Enrichment!$A$1:$GZ$1,0))&amp;"",""))</f>
        <v/>
      </c>
      <c r="BD47" s="0" t="str">
        <f aca="false">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none</v>
      </c>
      <c r="BE47" s="0" t="s">
        <v>5589</v>
      </c>
      <c r="BF47" s="0" t="s">
        <v>169</v>
      </c>
      <c r="BG47" s="0" t="s">
        <v>1252</v>
      </c>
      <c r="BH47" s="0" t="s">
        <v>6924</v>
      </c>
      <c r="BI47" s="0" t="s">
        <v>172</v>
      </c>
      <c r="BJ47" s="0" t="s">
        <v>6925</v>
      </c>
      <c r="BK47" s="0" t="s">
        <v>5643</v>
      </c>
      <c r="BL47" s="0" t="s">
        <v>5634</v>
      </c>
      <c r="BM47" s="0" t="s">
        <v>1292</v>
      </c>
      <c r="BN47" s="0" t="s">
        <v>6182</v>
      </c>
      <c r="BP47" s="0" t="str">
        <f aca="false">IF($A47="","",IFERROR(INDEX(Enrichment!$A$2:$GZ$2000,MATCH($A47,INDEX(Enrichment!$A$2:$GZ$2000,0,MATCH("row_id",Enrichment!$A$1:$GZ$1,0)),0),MATCH("backup_work_email",Enrichment!$A$1:$GZ$1,0))&amp;"",""))</f>
        <v/>
      </c>
      <c r="BQ47" s="0" t="str">
        <f aca="false">IF($A47="","",IF(BP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none</v>
      </c>
      <c r="BR47" s="0" t="s">
        <v>5712</v>
      </c>
      <c r="BS47" s="0" t="s">
        <v>169</v>
      </c>
      <c r="BT47" s="0" t="s">
        <v>1252</v>
      </c>
      <c r="BU47" s="0" t="s">
        <v>6924</v>
      </c>
      <c r="BV47" s="0" t="s">
        <v>172</v>
      </c>
      <c r="BW47" s="0" t="s">
        <v>6926</v>
      </c>
      <c r="BX47" s="0" t="s">
        <v>5643</v>
      </c>
      <c r="BY47" s="0" t="s">
        <v>6927</v>
      </c>
      <c r="BZ47" s="0" t="s">
        <v>6512</v>
      </c>
      <c r="CB47" s="0" t="s">
        <v>6928</v>
      </c>
      <c r="CD47" s="0" t="s">
        <v>6929</v>
      </c>
      <c r="CF47" s="0" t="s">
        <v>6930</v>
      </c>
      <c r="CH47" s="0" t="s">
        <v>6931</v>
      </c>
      <c r="CJ47" s="0" t="s">
        <v>6764</v>
      </c>
      <c r="CK47" s="0" t="s">
        <v>200</v>
      </c>
      <c r="CM47" s="0" t="s">
        <v>201</v>
      </c>
      <c r="CN47" s="0" t="s">
        <v>6516</v>
      </c>
      <c r="CO47" s="0" t="s">
        <v>6920</v>
      </c>
      <c r="CP47" s="0" t="s">
        <v>6083</v>
      </c>
      <c r="CQ47" s="0" t="s">
        <v>6084</v>
      </c>
      <c r="CR47" s="0" t="s">
        <v>209</v>
      </c>
      <c r="CT47" s="0" t="s">
        <v>164</v>
      </c>
      <c r="CU47" s="0" t="s">
        <v>6932</v>
      </c>
      <c r="CV47" s="0" t="s">
        <v>164</v>
      </c>
      <c r="CW47" s="0" t="s">
        <v>164</v>
      </c>
      <c r="CX47" s="0" t="s">
        <v>209</v>
      </c>
      <c r="CZ47" s="0" t="s">
        <v>209</v>
      </c>
      <c r="DA47" s="0" t="s">
        <v>189</v>
      </c>
      <c r="DB47" s="0" t="s">
        <v>189</v>
      </c>
      <c r="DD47" s="0" t="n">
        <v>0</v>
      </c>
      <c r="DE47" s="0" t="s">
        <v>164</v>
      </c>
      <c r="DF47" s="0" t="n">
        <v>3</v>
      </c>
      <c r="DG47" s="0" t="s">
        <v>5686</v>
      </c>
      <c r="DI47" s="0" t="s">
        <v>6933</v>
      </c>
      <c r="DJ47" s="0" t="s">
        <v>6934</v>
      </c>
      <c r="DK47" s="0" t="s">
        <v>5617</v>
      </c>
      <c r="DL47" s="0" t="n">
        <v>220</v>
      </c>
      <c r="DN47" s="0" t="n">
        <v>50</v>
      </c>
      <c r="DO47" s="0" t="n">
        <v>25</v>
      </c>
      <c r="DP47" s="0" t="n">
        <v>8</v>
      </c>
      <c r="DQ47" s="0" t="n">
        <v>8</v>
      </c>
      <c r="DR47" s="0" t="n">
        <v>5</v>
      </c>
      <c r="DS47" s="0" t="n">
        <v>10</v>
      </c>
      <c r="DT47" s="0" t="n">
        <v>6</v>
      </c>
      <c r="DU47" s="0" t="n">
        <f aca="false">IF($A47="","",IF(R47="Y",10,0))</f>
        <v>0</v>
      </c>
      <c r="DV47" s="0" t="n">
        <v>-12</v>
      </c>
      <c r="DW47" s="0" t="s">
        <v>6935</v>
      </c>
      <c r="DX47" s="0" t="s">
        <v>5691</v>
      </c>
      <c r="DY47" s="0" t="s">
        <v>6936</v>
      </c>
      <c r="DZ47" s="0" t="s">
        <v>6937</v>
      </c>
      <c r="EA47" s="0" t="s">
        <v>6938</v>
      </c>
      <c r="EV47" s="0" t="str">
        <f aca="false">IF($A47="","",IF(ISNUMBER(MATCH(U47,{"queued","contacted","replied","call_booked","call_done","yes_in_principle","materials_sent"},0)),"Y","N"))</f>
        <v>N</v>
      </c>
      <c r="EW47" s="0" t="str">
        <f aca="false">IF($A47="","",IF(OR(T47="Y",U47="do_not_contact",AQ47&amp;""&lt;&gt;""),"Y","N"))</f>
        <v>N</v>
      </c>
      <c r="EX47" s="0" t="str">
        <f aca="false">IF($A47="","",IF(AN47&amp;""&lt;&gt;"",AN47&amp;"",$A47))</f>
        <v>AB-105</v>
      </c>
      <c r="EY47" s="0" t="str">
        <f aca="false">IF($A47="","",IF(COUNTIFS($EX$2:$EX$1000,EX47,$EV$2:$EV$1000,"Y")+COUNTIFS($EX$2:$EX$1000,EX47,$EW$2:$EW$1000,"Y")&gt;0,"Y","N"))</f>
        <v>N</v>
      </c>
      <c r="EZ47" s="0" t="str">
        <f aca="false">IF($A47="","",IF(AND(U47="new",T47="N",EW47="N",AR47="Y",EY47="N"),"Y","N"))</f>
        <v>N</v>
      </c>
      <c r="FA47" s="0" t="str">
        <f aca="false">IF($A47="","",IF(EZ47&lt;&gt;"Y","N",IF(COUNTIFS($EX$2:$EX$1000,EX47,$EZ$2:$EZ$1000,"Y",$J$2:$J$1000,"&gt;"&amp;J47)+COUNTIFS($EX$2:$EX$1000,EX47,$EZ$2:$EZ$1000,"Y",$J$2:$J$1000,J47,$FG$2:$FG$1000,"&lt;"&amp;FG47)=0,"Y","N")))</f>
        <v>N</v>
      </c>
      <c r="FB47" s="0" t="str">
        <f aca="false">IF($A47="","",IF(AND(EZ47="Y",FA47="Y",Y47&amp;""&lt;&gt;""),IF(Y47&lt;=10,"Y","N"),"N"))</f>
        <v>N</v>
      </c>
      <c r="FC47" s="0" t="str">
        <f aca="false">IF(FB47="Y",Y47,"")</f>
        <v/>
      </c>
      <c r="FD47" s="0" t="str">
        <f aca="false">IF($A47="","",IF(AND(CK47="pass",AU47="Y",AV47&lt;&gt;"Y",U47="new",EW47="N"),"Y","N"))</f>
        <v>Y</v>
      </c>
      <c r="FE47" s="0" t="n">
        <f aca="false">IF(FD47&lt;&gt;"Y","",IF(COUNTIFS($FD$2:$FD$1000,"Y",$J$2:$J$1000,"&gt;"&amp;J47)+COUNTIFS($FD$2:$FD$1000,"Y",$J$2:$J$1000,J47,$FG$2:$FG$1000,"&lt;"&amp;FG47)+1&lt;=30,COUNTIFS($FD$2:$FD$1000,"Y",$J$2:$J$1000,"&gt;"&amp;J47)+COUNTIFS($FD$2:$FD$1000,"Y",$J$2:$J$1000,J47,$FG$2:$FG$1000,"&lt;"&amp;FG47)+1,""))</f>
        <v>23</v>
      </c>
      <c r="FF47" s="0" t="str">
        <f aca="false">IF(AND(_xlfn.ISFORMULA(C47),_xlfn.ISFORMULA(J47)),"Y","N")</f>
        <v>Y</v>
      </c>
      <c r="FG47" s="0" t="n">
        <f aca="false">ROW()-1</f>
        <v>46</v>
      </c>
    </row>
    <row r="48" customFormat="false" ht="15" hidden="false" customHeight="false" outlineLevel="0" collapsed="false">
      <c r="A48" s="0" t="s">
        <v>6939</v>
      </c>
      <c r="B48" s="0" t="s">
        <v>6940</v>
      </c>
      <c r="C48" s="0" t="str">
        <f aca="false">IF($A48="","",IF(AT48="Y",BL48&amp;"",AY48&amp;""))</f>
        <v>Hayden</v>
      </c>
      <c r="D48" s="0" t="str">
        <f aca="false">IF($A48="","",IF(AT48="Y",BM48&amp;"",AZ48&amp;""))</f>
        <v>Arnot</v>
      </c>
      <c r="E48" s="0" t="str">
        <f aca="false">IF($A48="","",IF(AT48="Y",BN48&amp;"",BA48&amp;""))</f>
        <v>Co-founder</v>
      </c>
      <c r="F48" s="0" t="str">
        <f aca="false">IF($A48="","",IF(AT48="Y",BO48&amp;"",BB48&amp;""))</f>
        <v>https://www.linkedin.com/in/hayden-arnot-ab9457107/</v>
      </c>
      <c r="G48" s="0" t="str">
        <f aca="false">IF($A48="","",IF(AT48="Y",BP48&amp;"",BC48&amp;""))</f>
        <v/>
      </c>
      <c r="H48" s="0" t="str">
        <f aca="false">IF($A48="","",IF(AT48="Y",BQ48&amp;"",BD48&amp;""))</f>
        <v>none</v>
      </c>
      <c r="I48" s="0" t="str">
        <f aca="false">IF($A48="","",IF(R48="Y","warm-intro",IF(H48="verified","email",IF(C48&lt;&gt;"","linkedin",CA48&amp;""))))</f>
        <v>linkedin</v>
      </c>
      <c r="J48" s="0" t="n">
        <f aca="false">IF($A48="","",IF(CK48="pass",ROUND(N(DO48)+N(DP48)+N(DQ48)+N(DR48)+N(DS48)+N(DT48)+N(DU48)+N(DV48),0),0))</f>
        <v>50</v>
      </c>
      <c r="K48" s="0" t="str">
        <f aca="false">IF($A48="","",IF(CK48&lt;&gt;"pass",BY48&amp;"",BY48&amp;", "&amp;IF(AT48="Y",BX48&amp;"",BK48&amp;"")&amp;BZ48&amp;IF(R48="Y","; known to the founder (+10)","")&amp;"."))</f>
        <v>Northeast brand (HQ unverified), no graded store within ten blocks, online store only, news 106 days ago, revenue unknown, contact named.</v>
      </c>
      <c r="M48" s="0" t="s">
        <v>6144</v>
      </c>
      <c r="N48" s="0" t="s">
        <v>740</v>
      </c>
      <c r="O48" s="0" t="s">
        <v>6941</v>
      </c>
      <c r="P48" s="0" t="s">
        <v>6942</v>
      </c>
      <c r="Q48" s="0" t="s">
        <v>2709</v>
      </c>
      <c r="R48" s="5" t="s">
        <v>189</v>
      </c>
      <c r="S48" s="0" t="s">
        <v>164</v>
      </c>
      <c r="T48" s="5" t="s">
        <v>189</v>
      </c>
      <c r="U48" s="5" t="s">
        <v>3896</v>
      </c>
      <c r="V48" s="0" t="s">
        <v>6943</v>
      </c>
      <c r="W48" s="0" t="s">
        <v>263</v>
      </c>
      <c r="X48" s="0" t="s">
        <v>5578</v>
      </c>
      <c r="Y48" s="0" t="n">
        <f aca="false">IF(FA48&lt;&gt;"Y","",COUNTIFS($FA$2:$FA$1000,"Y",$J$2:$J$1000,"&gt;"&amp;J48)+COUNTIFS($FA$2:$FA$1000,"Y",$J$2:$J$1000,J48,$FG$2:$FG$1000,"&lt;"&amp;FG48)+1)</f>
        <v>21</v>
      </c>
      <c r="Z48" s="0" t="n">
        <v>47</v>
      </c>
      <c r="AA48" s="0" t="s">
        <v>164</v>
      </c>
      <c r="AB48" s="0" t="str">
        <f aca="false">IF($A48="","",IF(AT48="Y",BW48&amp;"",BJ48&amp;""))</f>
        <v>open the LinkedIn URL and confirm it is Hayden Arnot, Co-founder at Nantucket Crisps (found on another page, never opened)</v>
      </c>
      <c r="AC48" s="0" t="str">
        <f aca="false">IF($A48="","",IF(AT48="Y",BR48&amp;"",BE48&amp;""))</f>
        <v>founder</v>
      </c>
      <c r="AD48" s="0" t="str">
        <f aca="false">IF($A48="","",IF(AT48="Y",BS48&amp;"",BF48&amp;""))</f>
        <v>verified-page</v>
      </c>
      <c r="AE48" s="0" t="str">
        <f aca="false">IF($A48="","",IF(AT48="Y",BT48&amp;"",BG48&amp;""))</f>
        <v>press, event or podcast page</v>
      </c>
      <c r="AF48" s="0" t="str">
        <f aca="false">IF($A48="","",IF(AT48="Y",BU48&amp;"",BH48&amp;""))</f>
        <v>https://startupcpg.com/14-chip-brands-taking-your-tastebuds-on-a-flavor-tour/</v>
      </c>
      <c r="AG48" s="0" t="str">
        <f aca="false">IF($A48="","",IF(AT48="Y",BV48&amp;"",BI48&amp;""))</f>
        <v>2026-10-24</v>
      </c>
      <c r="AH48" s="0" t="s">
        <v>6944</v>
      </c>
      <c r="AI48" s="0" t="s">
        <v>5789</v>
      </c>
      <c r="AJ48" s="0" t="s">
        <v>6945</v>
      </c>
      <c r="AK48" s="0" t="s">
        <v>6946</v>
      </c>
      <c r="AL48" s="0" t="s">
        <v>189</v>
      </c>
      <c r="AN48" s="0" t="s">
        <v>6939</v>
      </c>
      <c r="AO48" s="5" t="s">
        <v>189</v>
      </c>
      <c r="AR48" s="0" t="str">
        <f aca="false">IF($A48="","",IF(AND(CK48="pass",AO48&lt;&gt;"Y",C48&lt;&gt;"",OR(AU48&lt;&gt;"Y",AV48="Y")),"Y","N"))</f>
        <v>Y</v>
      </c>
      <c r="AS48" s="0" t="str">
        <f aca="false">IF($A48="","",_xlfn.TEXTJOIN("; ",TRUE(),IF(CK48&lt;&gt;"pass","gated out",""),IF(AO48="Y","on hold: "&amp;AP48,""),IF(C48="","no contact named on an opened page",""),IF(AND(AU48="Y",AV48&lt;&gt;"Y"),"founder review pending (Founder review tab)","")))</f>
        <v/>
      </c>
      <c r="AU48" s="0" t="s">
        <v>189</v>
      </c>
      <c r="AY48" s="0" t="s">
        <v>6947</v>
      </c>
      <c r="AZ48" s="0" t="s">
        <v>6948</v>
      </c>
      <c r="BA48" s="0" t="s">
        <v>5636</v>
      </c>
      <c r="BB48" s="0" t="s">
        <v>6949</v>
      </c>
      <c r="BC48" s="0" t="str">
        <f aca="false">IF($A48="","",IFERROR(INDEX(Enrichment!$A$2:$GZ$2000,MATCH($A48,INDEX(Enrichment!$A$2:$GZ$2000,0,MATCH("row_id",Enrichment!$A$1:$GZ$1,0)),0),MATCH("work_email",Enrichment!$A$1:$GZ$1,0))&amp;"",""))</f>
        <v/>
      </c>
      <c r="BD48" s="0" t="str">
        <f aca="false">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none</v>
      </c>
      <c r="BE48" s="0" t="s">
        <v>5589</v>
      </c>
      <c r="BF48" s="0" t="s">
        <v>169</v>
      </c>
      <c r="BG48" s="0" t="s">
        <v>1252</v>
      </c>
      <c r="BH48" s="0" t="s">
        <v>6950</v>
      </c>
      <c r="BI48" s="0" t="s">
        <v>172</v>
      </c>
      <c r="BJ48" s="0" t="s">
        <v>6951</v>
      </c>
      <c r="BK48" s="0" t="s">
        <v>5643</v>
      </c>
      <c r="BL48" s="0" t="s">
        <v>698</v>
      </c>
      <c r="BM48" s="0" t="s">
        <v>6952</v>
      </c>
      <c r="BN48" s="0" t="s">
        <v>6182</v>
      </c>
      <c r="BP48" s="0" t="str">
        <f aca="false">IF($A48="","",IFERROR(INDEX(Enrichment!$A$2:$GZ$2000,MATCH($A48,INDEX(Enrichment!$A$2:$GZ$2000,0,MATCH("row_id",Enrichment!$A$1:$GZ$1,0)),0),MATCH("backup_work_email",Enrichment!$A$1:$GZ$1,0))&amp;"",""))</f>
        <v/>
      </c>
      <c r="BQ48" s="0" t="str">
        <f aca="false">IF($A48="","",IF(BP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none</v>
      </c>
      <c r="BR48" s="0" t="s">
        <v>5712</v>
      </c>
      <c r="BS48" s="0" t="s">
        <v>169</v>
      </c>
      <c r="BT48" s="0" t="s">
        <v>1252</v>
      </c>
      <c r="BU48" s="0" t="s">
        <v>6953</v>
      </c>
      <c r="BV48" s="0" t="s">
        <v>172</v>
      </c>
      <c r="BW48" s="0" t="s">
        <v>6954</v>
      </c>
      <c r="BX48" s="0" t="s">
        <v>5643</v>
      </c>
      <c r="BY48" s="0" t="s">
        <v>6955</v>
      </c>
      <c r="CB48" s="0" t="s">
        <v>6956</v>
      </c>
      <c r="CC48" s="0" t="s">
        <v>6957</v>
      </c>
      <c r="CD48" s="0" t="s">
        <v>6958</v>
      </c>
      <c r="CE48" s="0" t="s">
        <v>244</v>
      </c>
      <c r="CF48" s="0" t="s">
        <v>6959</v>
      </c>
      <c r="CH48" s="0" t="s">
        <v>6960</v>
      </c>
      <c r="CJ48" s="0" t="s">
        <v>5606</v>
      </c>
      <c r="CK48" s="0" t="s">
        <v>200</v>
      </c>
      <c r="CM48" s="0" t="s">
        <v>201</v>
      </c>
      <c r="CO48" s="0" t="s">
        <v>6946</v>
      </c>
      <c r="CP48" s="0" t="s">
        <v>6083</v>
      </c>
      <c r="CQ48" s="0" t="s">
        <v>5841</v>
      </c>
      <c r="CR48" s="0" t="s">
        <v>209</v>
      </c>
      <c r="CT48" s="0" t="s">
        <v>164</v>
      </c>
      <c r="CU48" s="0" t="s">
        <v>6961</v>
      </c>
      <c r="CV48" s="0" t="s">
        <v>164</v>
      </c>
      <c r="CW48" s="0" t="s">
        <v>164</v>
      </c>
      <c r="CX48" s="0" t="s">
        <v>209</v>
      </c>
      <c r="CZ48" s="0" t="s">
        <v>209</v>
      </c>
      <c r="DA48" s="0" t="s">
        <v>189</v>
      </c>
      <c r="DB48" s="0" t="s">
        <v>189</v>
      </c>
      <c r="DE48" s="0" t="s">
        <v>189</v>
      </c>
      <c r="DF48" s="0" t="n">
        <v>0</v>
      </c>
      <c r="DI48" s="0" t="s">
        <v>6962</v>
      </c>
      <c r="DJ48" s="0" t="s">
        <v>6963</v>
      </c>
      <c r="DK48" s="0" t="s">
        <v>5617</v>
      </c>
      <c r="DL48" s="0" t="n">
        <v>106</v>
      </c>
      <c r="DM48" s="0" t="s">
        <v>6950</v>
      </c>
      <c r="DN48" s="0" t="n">
        <v>50</v>
      </c>
      <c r="DO48" s="0" t="n">
        <v>6</v>
      </c>
      <c r="DP48" s="0" t="n">
        <v>8</v>
      </c>
      <c r="DQ48" s="0" t="n">
        <v>15</v>
      </c>
      <c r="DR48" s="0" t="n">
        <v>5</v>
      </c>
      <c r="DS48" s="0" t="n">
        <v>10</v>
      </c>
      <c r="DT48" s="0" t="n">
        <v>6</v>
      </c>
      <c r="DU48" s="0" t="n">
        <f aca="false">IF($A48="","",IF(R48="Y",10,0))</f>
        <v>0</v>
      </c>
      <c r="DV48" s="0" t="n">
        <v>0</v>
      </c>
      <c r="DW48" s="0" t="s">
        <v>209</v>
      </c>
      <c r="DX48" s="0" t="s">
        <v>5814</v>
      </c>
      <c r="DY48" s="0" t="s">
        <v>6964</v>
      </c>
      <c r="DZ48" s="0" t="s">
        <v>6965</v>
      </c>
      <c r="EA48" s="0" t="s">
        <v>6966</v>
      </c>
      <c r="EV48" s="0" t="str">
        <f aca="false">IF($A48="","",IF(ISNUMBER(MATCH(U48,{"queued","contacted","replied","call_booked","call_done","yes_in_principle","materials_sent"},0)),"Y","N"))</f>
        <v>N</v>
      </c>
      <c r="EW48" s="0" t="str">
        <f aca="false">IF($A48="","",IF(OR(T48="Y",U48="do_not_contact",AQ48&amp;""&lt;&gt;""),"Y","N"))</f>
        <v>N</v>
      </c>
      <c r="EX48" s="0" t="str">
        <f aca="false">IF($A48="","",IF(AN48&amp;""&lt;&gt;"",AN48&amp;"",$A48))</f>
        <v>AB-025</v>
      </c>
      <c r="EY48" s="0" t="str">
        <f aca="false">IF($A48="","",IF(COUNTIFS($EX$2:$EX$1000,EX48,$EV$2:$EV$1000,"Y")+COUNTIFS($EX$2:$EX$1000,EX48,$EW$2:$EW$1000,"Y")&gt;0,"Y","N"))</f>
        <v>N</v>
      </c>
      <c r="EZ48" s="0" t="str">
        <f aca="false">IF($A48="","",IF(AND(U48="new",T48="N",EW48="N",AR48="Y",EY48="N"),"Y","N"))</f>
        <v>Y</v>
      </c>
      <c r="FA48" s="0" t="str">
        <f aca="false">IF($A48="","",IF(EZ48&lt;&gt;"Y","N",IF(COUNTIFS($EX$2:$EX$1000,EX48,$EZ$2:$EZ$1000,"Y",$J$2:$J$1000,"&gt;"&amp;J48)+COUNTIFS($EX$2:$EX$1000,EX48,$EZ$2:$EZ$1000,"Y",$J$2:$J$1000,J48,$FG$2:$FG$1000,"&lt;"&amp;FG48)=0,"Y","N")))</f>
        <v>Y</v>
      </c>
      <c r="FB48" s="0" t="str">
        <f aca="false">IF($A48="","",IF(AND(EZ48="Y",FA48="Y",Y48&amp;""&lt;&gt;""),IF(Y48&lt;=10,"Y","N"),"N"))</f>
        <v>N</v>
      </c>
      <c r="FC48" s="0" t="str">
        <f aca="false">IF(FB48="Y",Y48,"")</f>
        <v/>
      </c>
      <c r="FD48" s="0" t="str">
        <f aca="false">IF($A48="","",IF(AND(CK48="pass",AU48="Y",AV48&lt;&gt;"Y",U48="new",EW48="N"),"Y","N"))</f>
        <v>N</v>
      </c>
      <c r="FE48" s="0" t="str">
        <f aca="false">IF(FD48&lt;&gt;"Y","",IF(COUNTIFS($FD$2:$FD$1000,"Y",$J$2:$J$1000,"&gt;"&amp;J48)+COUNTIFS($FD$2:$FD$1000,"Y",$J$2:$J$1000,J48,$FG$2:$FG$1000,"&lt;"&amp;FG48)+1&lt;=30,COUNTIFS($FD$2:$FD$1000,"Y",$J$2:$J$1000,"&gt;"&amp;J48)+COUNTIFS($FD$2:$FD$1000,"Y",$J$2:$J$1000,J48,$FG$2:$FG$1000,"&lt;"&amp;FG48)+1,""))</f>
        <v/>
      </c>
      <c r="FF48" s="0" t="str">
        <f aca="false">IF(AND(_xlfn.ISFORMULA(C48),_xlfn.ISFORMULA(J48)),"Y","N")</f>
        <v>Y</v>
      </c>
      <c r="FG48" s="0" t="n">
        <f aca="false">ROW()-1</f>
        <v>47</v>
      </c>
    </row>
    <row r="49" customFormat="false" ht="15" hidden="false" customHeight="false" outlineLevel="0" collapsed="false">
      <c r="A49" s="0" t="s">
        <v>6967</v>
      </c>
      <c r="B49" s="0" t="s">
        <v>6968</v>
      </c>
      <c r="C49" s="0" t="str">
        <f aca="false">IF($A49="","",IF(AT49="Y",BL49&amp;"",AY49&amp;""))</f>
        <v>Brad</v>
      </c>
      <c r="D49" s="0" t="str">
        <f aca="false">IF($A49="","",IF(AT49="Y",BM49&amp;"",AZ49&amp;""))</f>
        <v>Snedden</v>
      </c>
      <c r="E49" s="0" t="str">
        <f aca="false">IF($A49="","",IF(AT49="Y",BN49&amp;"",BA49&amp;""))</f>
        <v>Founder and CEO</v>
      </c>
      <c r="F49" s="0" t="str">
        <f aca="false">IF($A49="","",IF(AT49="Y",BO49&amp;"",BB49&amp;""))</f>
        <v/>
      </c>
      <c r="G49" s="0" t="str">
        <f aca="false">IF($A49="","",IF(AT49="Y",BP49&amp;"",BC49&amp;""))</f>
        <v/>
      </c>
      <c r="H49" s="0" t="str">
        <f aca="false">IF($A49="","",IF(AT49="Y",BQ49&amp;"",BD49&amp;""))</f>
        <v>none</v>
      </c>
      <c r="I49" s="0" t="str">
        <f aca="false">IF($A49="","",IF(R49="Y","warm-intro",IF(H49="verified","email",IF(C49&lt;&gt;"","linkedin",CA49&amp;""))))</f>
        <v>linkedin</v>
      </c>
      <c r="J49" s="0" t="n">
        <f aca="false">IF($A49="","",IF(CK49="pass",ROUND(N(DO49)+N(DP49)+N(DQ49)+N(DR49)+N(DS49)+N(DT49)+N(DU49)+N(DV49),0),0))</f>
        <v>49</v>
      </c>
      <c r="K49" s="0" t="str">
        <f aca="false">IF($A49="","",IF(CK49&lt;&gt;"pass",BY49&amp;"",BY49&amp;", "&amp;IF(AT49="Y",BX49&amp;"",BK49&amp;"")&amp;BZ49&amp;IF(R49="Y","; known to the founder (+10)","")&amp;"."))</f>
        <v>Brand based outside the Northeast, store page shows Whole Foods Market NoMad inside the cluster, a new store listing 275 days ago, revenue unknown, contact named; founder review: nutrient-claim.</v>
      </c>
      <c r="M49" s="0" t="s">
        <v>5572</v>
      </c>
      <c r="N49" s="0" t="s">
        <v>5573</v>
      </c>
      <c r="O49" s="0" t="s">
        <v>6969</v>
      </c>
      <c r="P49" s="0" t="s">
        <v>6970</v>
      </c>
      <c r="Q49" s="0" t="s">
        <v>2566</v>
      </c>
      <c r="R49" s="5" t="s">
        <v>189</v>
      </c>
      <c r="S49" s="0" t="s">
        <v>209</v>
      </c>
      <c r="T49" s="5" t="s">
        <v>189</v>
      </c>
      <c r="U49" s="5" t="s">
        <v>3896</v>
      </c>
      <c r="V49" s="0" t="s">
        <v>6970</v>
      </c>
      <c r="W49" s="0" t="s">
        <v>263</v>
      </c>
      <c r="X49" s="0" t="s">
        <v>5578</v>
      </c>
      <c r="Y49" s="0" t="n">
        <f aca="false">IF(FA49&lt;&gt;"Y","",COUNTIFS($FA$2:$FA$1000,"Y",$J$2:$J$1000,"&gt;"&amp;J49)+COUNTIFS($FA$2:$FA$1000,"Y",$J$2:$J$1000,J49,$FG$2:$FG$1000,"&lt;"&amp;FG49)+1)</f>
        <v>22</v>
      </c>
      <c r="Z49" s="0" t="n">
        <v>48</v>
      </c>
      <c r="AA49" s="0" t="s">
        <v>164</v>
      </c>
      <c r="AB49" s="0" t="str">
        <f aca="false">IF($A49="","",IF(AT49="Y",BW49&amp;"",BJ49&amp;""))</f>
        <v>find Brad Snedden at Good Word Foods on LinkedIn and paste the profile URL into primary_linkedin_url; use the Whole Foods Market NoMad line only if retailer_checked_date is this week's Friday check</v>
      </c>
      <c r="AC49" s="0" t="str">
        <f aca="false">IF($A49="","",IF(AT49="Y",BR49&amp;"",BE49&amp;""))</f>
        <v>founder</v>
      </c>
      <c r="AD49" s="0" t="str">
        <f aca="false">IF($A49="","",IF(AT49="Y",BS49&amp;"",BF49&amp;""))</f>
        <v>verified-page</v>
      </c>
      <c r="AE49" s="0" t="str">
        <f aca="false">IF($A49="","",IF(AT49="Y",BT49&amp;"",BG49&amp;""))</f>
        <v>press, event or podcast page</v>
      </c>
      <c r="AF49" s="0" t="str">
        <f aca="false">IF($A49="","",IF(AT49="Y",BU49&amp;"",BH49&amp;""))</f>
        <v>https://commercialbaking.com/good-word-expands-distribution-to-whole-foods-nationwide/</v>
      </c>
      <c r="AG49" s="0" t="str">
        <f aca="false">IF($A49="","",IF(AT49="Y",BV49&amp;"",BI49&amp;""))</f>
        <v>2026-10-24</v>
      </c>
      <c r="AH49" s="0" t="s">
        <v>6971</v>
      </c>
      <c r="AI49" s="0" t="s">
        <v>5702</v>
      </c>
      <c r="AJ49" s="0" t="s">
        <v>6210</v>
      </c>
      <c r="AK49" s="0" t="s">
        <v>6972</v>
      </c>
      <c r="AL49" s="0" t="s">
        <v>164</v>
      </c>
      <c r="AM49" s="0" t="s">
        <v>6973</v>
      </c>
      <c r="AN49" s="0" t="s">
        <v>6967</v>
      </c>
      <c r="AO49" s="5" t="s">
        <v>189</v>
      </c>
      <c r="AR49" s="0" t="str">
        <f aca="false">IF($A49="","",IF(AND(CK49="pass",AO49&lt;&gt;"Y",C49&lt;&gt;"",OR(AU49&lt;&gt;"Y",AV49="Y")),"Y","N"))</f>
        <v>Y</v>
      </c>
      <c r="AS49" s="0" t="str">
        <f aca="false">IF($A49="","",_xlfn.TEXTJOIN("; ",TRUE(),IF(CK49&lt;&gt;"pass","gated out",""),IF(AO49="Y","on hold: "&amp;AP49,""),IF(C49="","no contact named on an opened page",""),IF(AND(AU49="Y",AV49&lt;&gt;"Y"),"founder review pending (Founder review tab)","")))</f>
        <v/>
      </c>
      <c r="AU49" s="0" t="s">
        <v>189</v>
      </c>
      <c r="AX49" s="0" t="s">
        <v>6974</v>
      </c>
      <c r="AY49" s="0" t="s">
        <v>6975</v>
      </c>
      <c r="AZ49" s="0" t="s">
        <v>6976</v>
      </c>
      <c r="BA49" s="0" t="s">
        <v>5670</v>
      </c>
      <c r="BC49" s="0" t="str">
        <f aca="false">IF($A49="","",IFERROR(INDEX(Enrichment!$A$2:$GZ$2000,MATCH($A49,INDEX(Enrichment!$A$2:$GZ$2000,0,MATCH("row_id",Enrichment!$A$1:$GZ$1,0)),0),MATCH("work_email",Enrichment!$A$1:$GZ$1,0))&amp;"",""))</f>
        <v/>
      </c>
      <c r="BD49" s="0" t="str">
        <f aca="false">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none</v>
      </c>
      <c r="BE49" s="0" t="s">
        <v>5589</v>
      </c>
      <c r="BF49" s="0" t="s">
        <v>169</v>
      </c>
      <c r="BG49" s="0" t="s">
        <v>1252</v>
      </c>
      <c r="BH49" s="0" t="s">
        <v>6977</v>
      </c>
      <c r="BI49" s="0" t="s">
        <v>172</v>
      </c>
      <c r="BJ49" s="0" t="s">
        <v>6978</v>
      </c>
      <c r="BK49" s="0" t="s">
        <v>5643</v>
      </c>
      <c r="BP49" s="0" t="str">
        <f aca="false">IF($A49="","",IFERROR(INDEX(Enrichment!$A$2:$GZ$2000,MATCH($A49,INDEX(Enrichment!$A$2:$GZ$2000,0,MATCH("row_id",Enrichment!$A$1:$GZ$1,0)),0),MATCH("backup_work_email",Enrichment!$A$1:$GZ$1,0))&amp;"",""))</f>
        <v/>
      </c>
      <c r="BQ49" s="0" t="str">
        <f aca="false">IF($A49="","",IF(BP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none</v>
      </c>
      <c r="BS49" s="0" t="s">
        <v>380</v>
      </c>
      <c r="BW49" s="0" t="s">
        <v>5741</v>
      </c>
      <c r="BX49" s="0" t="s">
        <v>388</v>
      </c>
      <c r="BY49" s="0" t="s">
        <v>6979</v>
      </c>
      <c r="BZ49" s="0" t="s">
        <v>5601</v>
      </c>
      <c r="CB49" s="0" t="s">
        <v>6980</v>
      </c>
      <c r="CD49" s="0" t="s">
        <v>6981</v>
      </c>
      <c r="CJ49" s="0" t="s">
        <v>5720</v>
      </c>
      <c r="CK49" s="0" t="s">
        <v>200</v>
      </c>
      <c r="CM49" s="0" t="s">
        <v>201</v>
      </c>
      <c r="CN49" s="0" t="s">
        <v>5607</v>
      </c>
      <c r="CO49" s="0" t="s">
        <v>6972</v>
      </c>
      <c r="CP49" s="0" t="s">
        <v>6226</v>
      </c>
      <c r="CQ49" s="0" t="s">
        <v>6198</v>
      </c>
      <c r="CR49" s="0" t="s">
        <v>209</v>
      </c>
      <c r="CT49" s="0" t="s">
        <v>164</v>
      </c>
      <c r="CU49" s="0" t="s">
        <v>6982</v>
      </c>
      <c r="CV49" s="0" t="s">
        <v>164</v>
      </c>
      <c r="CW49" s="0" t="s">
        <v>164</v>
      </c>
      <c r="CX49" s="0" t="s">
        <v>209</v>
      </c>
      <c r="CZ49" s="0" t="s">
        <v>209</v>
      </c>
      <c r="DA49" s="0" t="s">
        <v>189</v>
      </c>
      <c r="DB49" s="0" t="s">
        <v>189</v>
      </c>
      <c r="DD49" s="0" t="n">
        <v>0</v>
      </c>
      <c r="DE49" s="0" t="s">
        <v>164</v>
      </c>
      <c r="DF49" s="0" t="n">
        <v>3</v>
      </c>
      <c r="DG49" s="0" t="s">
        <v>5686</v>
      </c>
      <c r="DI49" s="0" t="s">
        <v>6983</v>
      </c>
      <c r="DJ49" s="0" t="s">
        <v>6984</v>
      </c>
      <c r="DK49" s="0" t="s">
        <v>5689</v>
      </c>
      <c r="DL49" s="0" t="n">
        <v>275</v>
      </c>
      <c r="DN49" s="0" t="n">
        <v>49</v>
      </c>
      <c r="DO49" s="0" t="n">
        <v>25</v>
      </c>
      <c r="DP49" s="0" t="n">
        <v>3</v>
      </c>
      <c r="DQ49" s="0" t="n">
        <v>4</v>
      </c>
      <c r="DR49" s="0" t="n">
        <v>5</v>
      </c>
      <c r="DS49" s="0" t="n">
        <v>10</v>
      </c>
      <c r="DT49" s="0" t="n">
        <v>6</v>
      </c>
      <c r="DU49" s="0" t="n">
        <f aca="false">IF($A49="","",IF(R49="Y",10,0))</f>
        <v>0</v>
      </c>
      <c r="DV49" s="0" t="n">
        <v>-4</v>
      </c>
      <c r="DW49" s="0" t="s">
        <v>6985</v>
      </c>
      <c r="DX49" s="0" t="s">
        <v>5691</v>
      </c>
      <c r="DY49" s="0" t="s">
        <v>6986</v>
      </c>
      <c r="DZ49" s="0" t="s">
        <v>6987</v>
      </c>
      <c r="EA49" s="0" t="s">
        <v>6988</v>
      </c>
      <c r="EV49" s="0" t="str">
        <f aca="false">IF($A49="","",IF(ISNUMBER(MATCH(U49,{"queued","contacted","replied","call_booked","call_done","yes_in_principle","materials_sent"},0)),"Y","N"))</f>
        <v>N</v>
      </c>
      <c r="EW49" s="0" t="str">
        <f aca="false">IF($A49="","",IF(OR(T49="Y",U49="do_not_contact",AQ49&amp;""&lt;&gt;""),"Y","N"))</f>
        <v>N</v>
      </c>
      <c r="EX49" s="0" t="str">
        <f aca="false">IF($A49="","",IF(AN49&amp;""&lt;&gt;"",AN49&amp;"",$A49))</f>
        <v>AB-118</v>
      </c>
      <c r="EY49" s="0" t="str">
        <f aca="false">IF($A49="","",IF(COUNTIFS($EX$2:$EX$1000,EX49,$EV$2:$EV$1000,"Y")+COUNTIFS($EX$2:$EX$1000,EX49,$EW$2:$EW$1000,"Y")&gt;0,"Y","N"))</f>
        <v>N</v>
      </c>
      <c r="EZ49" s="0" t="str">
        <f aca="false">IF($A49="","",IF(AND(U49="new",T49="N",EW49="N",AR49="Y",EY49="N"),"Y","N"))</f>
        <v>Y</v>
      </c>
      <c r="FA49" s="0" t="str">
        <f aca="false">IF($A49="","",IF(EZ49&lt;&gt;"Y","N",IF(COUNTIFS($EX$2:$EX$1000,EX49,$EZ$2:$EZ$1000,"Y",$J$2:$J$1000,"&gt;"&amp;J49)+COUNTIFS($EX$2:$EX$1000,EX49,$EZ$2:$EZ$1000,"Y",$J$2:$J$1000,J49,$FG$2:$FG$1000,"&lt;"&amp;FG49)=0,"Y","N")))</f>
        <v>Y</v>
      </c>
      <c r="FB49" s="0" t="str">
        <f aca="false">IF($A49="","",IF(AND(EZ49="Y",FA49="Y",Y49&amp;""&lt;&gt;""),IF(Y49&lt;=10,"Y","N"),"N"))</f>
        <v>N</v>
      </c>
      <c r="FC49" s="0" t="str">
        <f aca="false">IF(FB49="Y",Y49,"")</f>
        <v/>
      </c>
      <c r="FD49" s="0" t="str">
        <f aca="false">IF($A49="","",IF(AND(CK49="pass",AU49="Y",AV49&lt;&gt;"Y",U49="new",EW49="N"),"Y","N"))</f>
        <v>N</v>
      </c>
      <c r="FE49" s="0" t="str">
        <f aca="false">IF(FD49&lt;&gt;"Y","",IF(COUNTIFS($FD$2:$FD$1000,"Y",$J$2:$J$1000,"&gt;"&amp;J49)+COUNTIFS($FD$2:$FD$1000,"Y",$J$2:$J$1000,J49,$FG$2:$FG$1000,"&lt;"&amp;FG49)+1&lt;=30,COUNTIFS($FD$2:$FD$1000,"Y",$J$2:$J$1000,"&gt;"&amp;J49)+COUNTIFS($FD$2:$FD$1000,"Y",$J$2:$J$1000,J49,$FG$2:$FG$1000,"&lt;"&amp;FG49)+1,""))</f>
        <v/>
      </c>
      <c r="FF49" s="0" t="str">
        <f aca="false">IF(AND(_xlfn.ISFORMULA(C49),_xlfn.ISFORMULA(J49)),"Y","N")</f>
        <v>Y</v>
      </c>
      <c r="FG49" s="0" t="n">
        <f aca="false">ROW()-1</f>
        <v>48</v>
      </c>
    </row>
    <row r="50" customFormat="false" ht="15" hidden="false" customHeight="false" outlineLevel="0" collapsed="false">
      <c r="A50" s="0" t="s">
        <v>6989</v>
      </c>
      <c r="B50" s="0" t="s">
        <v>6990</v>
      </c>
      <c r="C50" s="0" t="str">
        <f aca="false">IF($A50="","",IF(AT50="Y",BL50&amp;"",AY50&amp;""))</f>
        <v>Steven</v>
      </c>
      <c r="D50" s="0" t="str">
        <f aca="false">IF($A50="","",IF(AT50="Y",BM50&amp;"",AZ50&amp;""))</f>
        <v>DeAngelo</v>
      </c>
      <c r="E50" s="0" t="str">
        <f aca="false">IF($A50="","",IF(AT50="Y",BN50&amp;"",BA50&amp;""))</f>
        <v>Founder</v>
      </c>
      <c r="F50" s="0" t="str">
        <f aca="false">IF($A50="","",IF(AT50="Y",BO50&amp;"",BB50&amp;""))</f>
        <v/>
      </c>
      <c r="G50" s="0" t="str">
        <f aca="false">IF($A50="","",IF(AT50="Y",BP50&amp;"",BC50&amp;""))</f>
        <v/>
      </c>
      <c r="H50" s="0" t="str">
        <f aca="false">IF($A50="","",IF(AT50="Y",BQ50&amp;"",BD50&amp;""))</f>
        <v>none</v>
      </c>
      <c r="I50" s="0" t="str">
        <f aca="false">IF($A50="","",IF(R50="Y","warm-intro",IF(H50="verified","email",IF(C50&lt;&gt;"","linkedin",CA50&amp;""))))</f>
        <v>linkedin</v>
      </c>
      <c r="J50" s="0" t="n">
        <f aca="false">IF($A50="","",IF(CK50="pass",ROUND(N(DO50)+N(DP50)+N(DQ50)+N(DR50)+N(DS50)+N(DT50)+N(DU50)+N(DV50),0),0))</f>
        <v>49</v>
      </c>
      <c r="K50" s="0" t="str">
        <f aca="false">IF($A50="","",IF(CK50&lt;&gt;"pass",BY50&amp;"",BY50&amp;", "&amp;IF(AT50="Y",BX50&amp;"",BK50&amp;"")&amp;BZ50&amp;IF(R50="Y","; known to the founder (+10)","")&amp;"."))</f>
        <v>New York City brand, brand locator shows Eataly NYC Flatiron inside the cluster, news 178 days ago, revenue unknown, contact named plus a marketing lead; founder review: owner, alcohol-adjacent, nutrient-claim, scale.</v>
      </c>
      <c r="M50" s="0" t="s">
        <v>6991</v>
      </c>
      <c r="N50" s="0" t="s">
        <v>5915</v>
      </c>
      <c r="O50" s="0" t="s">
        <v>6992</v>
      </c>
      <c r="P50" s="0" t="s">
        <v>6993</v>
      </c>
      <c r="Q50" s="0" t="s">
        <v>6994</v>
      </c>
      <c r="R50" s="5" t="s">
        <v>189</v>
      </c>
      <c r="S50" s="0" t="s">
        <v>209</v>
      </c>
      <c r="T50" s="5" t="s">
        <v>189</v>
      </c>
      <c r="U50" s="5" t="s">
        <v>3896</v>
      </c>
      <c r="V50" s="0" t="s">
        <v>6995</v>
      </c>
      <c r="W50" s="0" t="s">
        <v>263</v>
      </c>
      <c r="X50" s="0" t="s">
        <v>5578</v>
      </c>
      <c r="Y50" s="0" t="str">
        <f aca="false">IF(FA50&lt;&gt;"Y","",COUNTIFS($FA$2:$FA$1000,"Y",$J$2:$J$1000,"&gt;"&amp;J50)+COUNTIFS($FA$2:$FA$1000,"Y",$J$2:$J$1000,J50,$FG$2:$FG$1000,"&lt;"&amp;FG50)+1)</f>
        <v/>
      </c>
      <c r="Z50" s="0" t="n">
        <v>49</v>
      </c>
      <c r="AA50" s="0" t="s">
        <v>164</v>
      </c>
      <c r="AB50" s="0" t="str">
        <f aca="false">IF($A50="","",IF(AT50="Y",BW50&amp;"",BJ50&amp;""))</f>
        <v>find Steven DeAngelo at St. Agrestis on LinkedIn and paste the profile URL into primary_linkedin_url; the retailer line rests on the brand's own store locator: say 'your store locator lists ...'</v>
      </c>
      <c r="AC50" s="0" t="str">
        <f aca="false">IF($A50="","",IF(AT50="Y",BR50&amp;"",BE50&amp;""))</f>
        <v>founder</v>
      </c>
      <c r="AD50" s="0" t="str">
        <f aca="false">IF($A50="","",IF(AT50="Y",BS50&amp;"",BF50&amp;""))</f>
        <v>verified-page</v>
      </c>
      <c r="AE50" s="0" t="str">
        <f aca="false">IF($A50="","",IF(AT50="Y",BT50&amp;"",BG50&amp;""))</f>
        <v>press, event or podcast page</v>
      </c>
      <c r="AF50" s="0" t="str">
        <f aca="false">IF($A50="","",IF(AT50="Y",BU50&amp;"",BH50&amp;""))</f>
        <v>https://www.thewinegroup.com/the-wine-group-acquires-phony-negroni-non-alcoholic-brand/</v>
      </c>
      <c r="AG50" s="0" t="str">
        <f aca="false">IF($A50="","",IF(AT50="Y",BV50&amp;"",BI50&amp;""))</f>
        <v>2026-10-24</v>
      </c>
      <c r="AH50" s="0" t="s">
        <v>6996</v>
      </c>
      <c r="AI50" s="0" t="s">
        <v>6699</v>
      </c>
      <c r="AJ50" s="0" t="s">
        <v>5631</v>
      </c>
      <c r="AK50" s="0" t="s">
        <v>6997</v>
      </c>
      <c r="AL50" s="0" t="s">
        <v>164</v>
      </c>
      <c r="AM50" s="0" t="s">
        <v>6998</v>
      </c>
      <c r="AN50" s="0" t="s">
        <v>6989</v>
      </c>
      <c r="AO50" s="5" t="s">
        <v>189</v>
      </c>
      <c r="AR50" s="0" t="str">
        <f aca="false">IF($A50="","",IF(AND(CK50="pass",AO50&lt;&gt;"Y",C50&lt;&gt;"",OR(AU50&lt;&gt;"Y",AV50="Y")),"Y","N"))</f>
        <v>N</v>
      </c>
      <c r="AS50" s="0" t="str">
        <f aca="false">IF($A50="","",_xlfn.TEXTJOIN("; ",TRUE(),IF(CK50&lt;&gt;"pass","gated out",""),IF(AO50="Y","on hold: "&amp;AP50,""),IF(C50="","no contact named on an opened page",""),IF(AND(AU50="Y",AV50&lt;&gt;"Y"),"founder review pending (Founder review tab)","")))</f>
        <v>founder review pending (Founder review tab)</v>
      </c>
      <c r="AU50" s="0" t="s">
        <v>164</v>
      </c>
      <c r="AY50" s="0" t="s">
        <v>6999</v>
      </c>
      <c r="AZ50" s="0" t="s">
        <v>7000</v>
      </c>
      <c r="BA50" s="0" t="s">
        <v>5739</v>
      </c>
      <c r="BC50" s="0" t="str">
        <f aca="false">IF($A50="","",IFERROR(INDEX(Enrichment!$A$2:$GZ$2000,MATCH($A50,INDEX(Enrichment!$A$2:$GZ$2000,0,MATCH("row_id",Enrichment!$A$1:$GZ$1,0)),0),MATCH("work_email",Enrichment!$A$1:$GZ$1,0))&amp;"",""))</f>
        <v/>
      </c>
      <c r="BD50" s="0" t="str">
        <f aca="false">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none</v>
      </c>
      <c r="BE50" s="0" t="s">
        <v>5589</v>
      </c>
      <c r="BF50" s="0" t="s">
        <v>169</v>
      </c>
      <c r="BG50" s="0" t="s">
        <v>1252</v>
      </c>
      <c r="BH50" s="0" t="s">
        <v>6993</v>
      </c>
      <c r="BI50" s="0" t="s">
        <v>172</v>
      </c>
      <c r="BJ50" s="0" t="s">
        <v>7001</v>
      </c>
      <c r="BK50" s="0" t="s">
        <v>5638</v>
      </c>
      <c r="BL50" s="0" t="s">
        <v>6749</v>
      </c>
      <c r="BM50" s="0" t="s">
        <v>7002</v>
      </c>
      <c r="BN50" s="0" t="s">
        <v>7003</v>
      </c>
      <c r="BP50" s="0" t="str">
        <f aca="false">IF($A50="","",IFERROR(INDEX(Enrichment!$A$2:$GZ$2000,MATCH($A50,INDEX(Enrichment!$A$2:$GZ$2000,0,MATCH("row_id",Enrichment!$A$1:$GZ$1,0)),0),MATCH("backup_work_email",Enrichment!$A$1:$GZ$1,0))&amp;"",""))</f>
        <v/>
      </c>
      <c r="BQ50" s="0" t="str">
        <f aca="false">IF($A50="","",IF(BP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none</v>
      </c>
      <c r="BR50" s="0" t="s">
        <v>5596</v>
      </c>
      <c r="BS50" s="0" t="s">
        <v>169</v>
      </c>
      <c r="BT50" s="0" t="s">
        <v>1252</v>
      </c>
      <c r="BU50" s="0" t="s">
        <v>6993</v>
      </c>
      <c r="BV50" s="0" t="s">
        <v>172</v>
      </c>
      <c r="BW50" s="0" t="s">
        <v>7004</v>
      </c>
      <c r="BX50" s="0" t="s">
        <v>5643</v>
      </c>
      <c r="BY50" s="0" t="s">
        <v>7005</v>
      </c>
      <c r="BZ50" s="0" t="s">
        <v>7006</v>
      </c>
      <c r="CB50" s="0" t="s">
        <v>7007</v>
      </c>
      <c r="CD50" s="0" t="s">
        <v>7008</v>
      </c>
      <c r="CF50" s="0" t="s">
        <v>7009</v>
      </c>
      <c r="CG50" s="0" t="s">
        <v>7010</v>
      </c>
      <c r="CH50" s="0" t="s">
        <v>7011</v>
      </c>
      <c r="CJ50" s="0" t="s">
        <v>5720</v>
      </c>
      <c r="CK50" s="0" t="s">
        <v>200</v>
      </c>
      <c r="CM50" s="0" t="s">
        <v>201</v>
      </c>
      <c r="CN50" s="0" t="s">
        <v>7012</v>
      </c>
      <c r="CO50" s="0" t="s">
        <v>6997</v>
      </c>
      <c r="CP50" s="0" t="s">
        <v>5608</v>
      </c>
      <c r="CQ50" s="0" t="s">
        <v>5609</v>
      </c>
      <c r="CR50" s="0" t="s">
        <v>209</v>
      </c>
      <c r="CT50" s="0" t="s">
        <v>209</v>
      </c>
      <c r="CU50" s="0" t="s">
        <v>7013</v>
      </c>
      <c r="CV50" s="0" t="s">
        <v>164</v>
      </c>
      <c r="CW50" s="0" t="s">
        <v>164</v>
      </c>
      <c r="CX50" s="0" t="s">
        <v>209</v>
      </c>
      <c r="CZ50" s="0" t="s">
        <v>6456</v>
      </c>
      <c r="DA50" s="0" t="s">
        <v>189</v>
      </c>
      <c r="DB50" s="0" t="s">
        <v>189</v>
      </c>
      <c r="DD50" s="0" t="n">
        <v>0</v>
      </c>
      <c r="DE50" s="0" t="s">
        <v>164</v>
      </c>
      <c r="DF50" s="0" t="n">
        <v>2</v>
      </c>
      <c r="DG50" s="0" t="s">
        <v>7014</v>
      </c>
      <c r="DI50" s="0" t="s">
        <v>7015</v>
      </c>
      <c r="DJ50" s="0" t="s">
        <v>7016</v>
      </c>
      <c r="DK50" s="0" t="s">
        <v>5617</v>
      </c>
      <c r="DL50" s="0" t="n">
        <v>178</v>
      </c>
      <c r="DN50" s="0" t="n">
        <v>49</v>
      </c>
      <c r="DO50" s="0" t="n">
        <v>17</v>
      </c>
      <c r="DP50" s="0" t="n">
        <v>20</v>
      </c>
      <c r="DQ50" s="0" t="n">
        <v>15</v>
      </c>
      <c r="DR50" s="0" t="n">
        <v>5</v>
      </c>
      <c r="DS50" s="0" t="n">
        <v>7</v>
      </c>
      <c r="DT50" s="0" t="n">
        <v>10</v>
      </c>
      <c r="DU50" s="0" t="n">
        <f aca="false">IF($A50="","",IF(R50="Y",10,0))</f>
        <v>0</v>
      </c>
      <c r="DV50" s="0" t="n">
        <v>-25</v>
      </c>
      <c r="DW50" s="0" t="s">
        <v>7017</v>
      </c>
      <c r="DX50" s="0" t="s">
        <v>6462</v>
      </c>
      <c r="DY50" s="0" t="s">
        <v>7018</v>
      </c>
      <c r="DZ50" s="0" t="s">
        <v>7019</v>
      </c>
      <c r="EA50" s="0" t="s">
        <v>7020</v>
      </c>
      <c r="EV50" s="0" t="str">
        <f aca="false">IF($A50="","",IF(ISNUMBER(MATCH(U50,{"queued","contacted","replied","call_booked","call_done","yes_in_principle","materials_sent"},0)),"Y","N"))</f>
        <v>N</v>
      </c>
      <c r="EW50" s="0" t="str">
        <f aca="false">IF($A50="","",IF(OR(T50="Y",U50="do_not_contact",AQ50&amp;""&lt;&gt;""),"Y","N"))</f>
        <v>N</v>
      </c>
      <c r="EX50" s="0" t="str">
        <f aca="false">IF($A50="","",IF(AN50&amp;""&lt;&gt;"",AN50&amp;"",$A50))</f>
        <v>AB-146</v>
      </c>
      <c r="EY50" s="0" t="str">
        <f aca="false">IF($A50="","",IF(COUNTIFS($EX$2:$EX$1000,EX50,$EV$2:$EV$1000,"Y")+COUNTIFS($EX$2:$EX$1000,EX50,$EW$2:$EW$1000,"Y")&gt;0,"Y","N"))</f>
        <v>N</v>
      </c>
      <c r="EZ50" s="0" t="str">
        <f aca="false">IF($A50="","",IF(AND(U50="new",T50="N",EW50="N",AR50="Y",EY50="N"),"Y","N"))</f>
        <v>N</v>
      </c>
      <c r="FA50" s="0" t="str">
        <f aca="false">IF($A50="","",IF(EZ50&lt;&gt;"Y","N",IF(COUNTIFS($EX$2:$EX$1000,EX50,$EZ$2:$EZ$1000,"Y",$J$2:$J$1000,"&gt;"&amp;J50)+COUNTIFS($EX$2:$EX$1000,EX50,$EZ$2:$EZ$1000,"Y",$J$2:$J$1000,J50,$FG$2:$FG$1000,"&lt;"&amp;FG50)=0,"Y","N")))</f>
        <v>N</v>
      </c>
      <c r="FB50" s="0" t="str">
        <f aca="false">IF($A50="","",IF(AND(EZ50="Y",FA50="Y",Y50&amp;""&lt;&gt;""),IF(Y50&lt;=10,"Y","N"),"N"))</f>
        <v>N</v>
      </c>
      <c r="FC50" s="0" t="str">
        <f aca="false">IF(FB50="Y",Y50,"")</f>
        <v/>
      </c>
      <c r="FD50" s="0" t="str">
        <f aca="false">IF($A50="","",IF(AND(CK50="pass",AU50="Y",AV50&lt;&gt;"Y",U50="new",EW50="N"),"Y","N"))</f>
        <v>Y</v>
      </c>
      <c r="FE50" s="0" t="n">
        <f aca="false">IF(FD50&lt;&gt;"Y","",IF(COUNTIFS($FD$2:$FD$1000,"Y",$J$2:$J$1000,"&gt;"&amp;J50)+COUNTIFS($FD$2:$FD$1000,"Y",$J$2:$J$1000,J50,$FG$2:$FG$1000,"&lt;"&amp;FG50)+1&lt;=30,COUNTIFS($FD$2:$FD$1000,"Y",$J$2:$J$1000,"&gt;"&amp;J50)+COUNTIFS($FD$2:$FD$1000,"Y",$J$2:$J$1000,J50,$FG$2:$FG$1000,"&lt;"&amp;FG50)+1,""))</f>
        <v>24</v>
      </c>
      <c r="FF50" s="0" t="str">
        <f aca="false">IF(AND(_xlfn.ISFORMULA(C50),_xlfn.ISFORMULA(J50)),"Y","N")</f>
        <v>Y</v>
      </c>
      <c r="FG50" s="0" t="n">
        <f aca="false">ROW()-1</f>
        <v>49</v>
      </c>
    </row>
    <row r="51" customFormat="false" ht="15" hidden="false" customHeight="false" outlineLevel="0" collapsed="false">
      <c r="A51" s="0" t="s">
        <v>7021</v>
      </c>
      <c r="B51" s="0" t="s">
        <v>7022</v>
      </c>
      <c r="C51" s="0" t="str">
        <f aca="false">IF($A51="","",IF(AT51="Y",BL51&amp;"",AY51&amp;""))</f>
        <v>Mari</v>
      </c>
      <c r="D51" s="0" t="str">
        <f aca="false">IF($A51="","",IF(AT51="Y",BM51&amp;"",AZ51&amp;""))</f>
        <v>Fassett</v>
      </c>
      <c r="E51" s="0" t="str">
        <f aca="false">IF($A51="","",IF(AT51="Y",BN51&amp;"",BA51&amp;""))</f>
        <v>Founder and CEO</v>
      </c>
      <c r="F51" s="0" t="str">
        <f aca="false">IF($A51="","",IF(AT51="Y",BO51&amp;"",BB51&amp;""))</f>
        <v/>
      </c>
      <c r="G51" s="0" t="str">
        <f aca="false">IF($A51="","",IF(AT51="Y",BP51&amp;"",BC51&amp;""))</f>
        <v/>
      </c>
      <c r="H51" s="0" t="str">
        <f aca="false">IF($A51="","",IF(AT51="Y",BQ51&amp;"",BD51&amp;""))</f>
        <v>none</v>
      </c>
      <c r="I51" s="0" t="str">
        <f aca="false">IF($A51="","",IF(R51="Y","warm-intro",IF(H51="verified","email",IF(C51&lt;&gt;"","linkedin",CA51&amp;""))))</f>
        <v>linkedin</v>
      </c>
      <c r="J51" s="0" t="n">
        <f aca="false">IF($A51="","",IF(CK51="pass",ROUND(N(DO51)+N(DP51)+N(DQ51)+N(DR51)+N(DS51)+N(DT51)+N(DU51)+N(DV51),0),0))</f>
        <v>49</v>
      </c>
      <c r="K51" s="0" t="str">
        <f aca="false">IF($A51="","",IF(CK51&lt;&gt;"pass",BY51&amp;"",BY51&amp;", "&amp;IF(AT51="Y",BX51&amp;"",BK51&amp;"")&amp;BZ51&amp;IF(R51="Y","; known to the founder (+10)","")&amp;"."))</f>
        <v>Brand based outside the Northeast, no graded store within ten blocks, online store only, news 122 days ago, revenue unknown, contact named plus a marketing lead.</v>
      </c>
      <c r="M51" s="0" t="s">
        <v>6144</v>
      </c>
      <c r="N51" s="0" t="s">
        <v>740</v>
      </c>
      <c r="O51" s="0" t="s">
        <v>7023</v>
      </c>
      <c r="P51" s="0" t="s">
        <v>7024</v>
      </c>
      <c r="Q51" s="0" t="s">
        <v>7025</v>
      </c>
      <c r="R51" s="5" t="s">
        <v>189</v>
      </c>
      <c r="S51" s="0" t="s">
        <v>164</v>
      </c>
      <c r="T51" s="5" t="s">
        <v>189</v>
      </c>
      <c r="U51" s="5" t="s">
        <v>3896</v>
      </c>
      <c r="V51" s="0" t="s">
        <v>7024</v>
      </c>
      <c r="W51" s="0" t="s">
        <v>263</v>
      </c>
      <c r="X51" s="0" t="s">
        <v>5578</v>
      </c>
      <c r="Y51" s="0" t="n">
        <f aca="false">IF(FA51&lt;&gt;"Y","",COUNTIFS($FA$2:$FA$1000,"Y",$J$2:$J$1000,"&gt;"&amp;J51)+COUNTIFS($FA$2:$FA$1000,"Y",$J$2:$J$1000,J51,$FG$2:$FG$1000,"&lt;"&amp;FG51)+1)</f>
        <v>23</v>
      </c>
      <c r="Z51" s="0" t="n">
        <v>50</v>
      </c>
      <c r="AA51" s="0" t="s">
        <v>164</v>
      </c>
      <c r="AB51" s="0" t="str">
        <f aca="false">IF($A51="","",IF(AT51="Y",BW51&amp;"",BJ51&amp;""))</f>
        <v>find Mari Fassett at Marimix on LinkedIn and paste the profile URL into primary_linkedin_url</v>
      </c>
      <c r="AC51" s="0" t="str">
        <f aca="false">IF($A51="","",IF(AT51="Y",BR51&amp;"",BE51&amp;""))</f>
        <v>founder</v>
      </c>
      <c r="AD51" s="0" t="str">
        <f aca="false">IF($A51="","",IF(AT51="Y",BS51&amp;"",BF51&amp;""))</f>
        <v>verified-page</v>
      </c>
      <c r="AE51" s="0" t="str">
        <f aca="false">IF($A51="","",IF(AT51="Y",BT51&amp;"",BG51&amp;""))</f>
        <v>press, event or podcast page</v>
      </c>
      <c r="AF51" s="0" t="str">
        <f aca="false">IF($A51="","",IF(AT51="Y",BU51&amp;"",BH51&amp;""))</f>
        <v>https://startupcpg.com/startup-cpg-newswire-marimix-earns-third-consecutive-good-housekeeping-snack-award-for-hatch-chile-lime-crunch-baked-snackmix/</v>
      </c>
      <c r="AG51" s="0" t="str">
        <f aca="false">IF($A51="","",IF(AT51="Y",BV51&amp;"",BI51&amp;""))</f>
        <v>2026-10-24</v>
      </c>
      <c r="AH51" s="0" t="s">
        <v>7026</v>
      </c>
      <c r="AI51" s="0" t="s">
        <v>6042</v>
      </c>
      <c r="AJ51" s="0" t="s">
        <v>7027</v>
      </c>
      <c r="AK51" s="0" t="s">
        <v>7028</v>
      </c>
      <c r="AL51" s="0" t="s">
        <v>189</v>
      </c>
      <c r="AN51" s="0" t="s">
        <v>7021</v>
      </c>
      <c r="AO51" s="5" t="s">
        <v>189</v>
      </c>
      <c r="AR51" s="0" t="str">
        <f aca="false">IF($A51="","",IF(AND(CK51="pass",AO51&lt;&gt;"Y",C51&lt;&gt;"",OR(AU51&lt;&gt;"Y",AV51="Y")),"Y","N"))</f>
        <v>Y</v>
      </c>
      <c r="AS51" s="0" t="str">
        <f aca="false">IF($A51="","",_xlfn.TEXTJOIN("; ",TRUE(),IF(CK51&lt;&gt;"pass","gated out",""),IF(AO51="Y","on hold: "&amp;AP51,""),IF(C51="","no contact named on an opened page",""),IF(AND(AU51="Y",AV51&lt;&gt;"Y"),"founder review pending (Founder review tab)","")))</f>
        <v/>
      </c>
      <c r="AU51" s="0" t="s">
        <v>189</v>
      </c>
      <c r="AY51" s="0" t="s">
        <v>7029</v>
      </c>
      <c r="AZ51" s="0" t="s">
        <v>7030</v>
      </c>
      <c r="BA51" s="0" t="s">
        <v>5670</v>
      </c>
      <c r="BC51" s="0" t="str">
        <f aca="false">IF($A51="","",IFERROR(INDEX(Enrichment!$A$2:$GZ$2000,MATCH($A51,INDEX(Enrichment!$A$2:$GZ$2000,0,MATCH("row_id",Enrichment!$A$1:$GZ$1,0)),0),MATCH("work_email",Enrichment!$A$1:$GZ$1,0))&amp;"",""))</f>
        <v/>
      </c>
      <c r="BD51" s="0" t="str">
        <f aca="false">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none</v>
      </c>
      <c r="BE51" s="0" t="s">
        <v>5589</v>
      </c>
      <c r="BF51" s="0" t="s">
        <v>169</v>
      </c>
      <c r="BG51" s="0" t="s">
        <v>1252</v>
      </c>
      <c r="BH51" s="0" t="s">
        <v>7024</v>
      </c>
      <c r="BI51" s="0" t="s">
        <v>172</v>
      </c>
      <c r="BJ51" s="0" t="s">
        <v>7031</v>
      </c>
      <c r="BK51" s="0" t="s">
        <v>5638</v>
      </c>
      <c r="BL51" s="0" t="s">
        <v>7032</v>
      </c>
      <c r="BM51" s="0" t="s">
        <v>1560</v>
      </c>
      <c r="BN51" s="0" t="s">
        <v>7033</v>
      </c>
      <c r="BP51" s="0" t="str">
        <f aca="false">IF($A51="","",IFERROR(INDEX(Enrichment!$A$2:$GZ$2000,MATCH($A51,INDEX(Enrichment!$A$2:$GZ$2000,0,MATCH("row_id",Enrichment!$A$1:$GZ$1,0)),0),MATCH("backup_work_email",Enrichment!$A$1:$GZ$1,0))&amp;"",""))</f>
        <v/>
      </c>
      <c r="BQ51" s="0" t="str">
        <f aca="false">IF($A51="","",IF(BP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none</v>
      </c>
      <c r="BR51" s="0" t="s">
        <v>5596</v>
      </c>
      <c r="BS51" s="0" t="s">
        <v>169</v>
      </c>
      <c r="BT51" s="0" t="s">
        <v>1252</v>
      </c>
      <c r="BU51" s="0" t="s">
        <v>7024</v>
      </c>
      <c r="BV51" s="0" t="s">
        <v>172</v>
      </c>
      <c r="BW51" s="0" t="s">
        <v>7034</v>
      </c>
      <c r="BX51" s="0" t="s">
        <v>5643</v>
      </c>
      <c r="BY51" s="0" t="s">
        <v>7035</v>
      </c>
      <c r="CB51" s="0" t="s">
        <v>7036</v>
      </c>
      <c r="CD51" s="0" t="s">
        <v>7037</v>
      </c>
      <c r="CF51" s="0" t="s">
        <v>7038</v>
      </c>
      <c r="CH51" s="0" t="s">
        <v>7039</v>
      </c>
      <c r="CJ51" s="0" t="s">
        <v>5720</v>
      </c>
      <c r="CK51" s="0" t="s">
        <v>200</v>
      </c>
      <c r="CM51" s="0" t="s">
        <v>201</v>
      </c>
      <c r="CO51" s="0" t="s">
        <v>7028</v>
      </c>
      <c r="CP51" s="0" t="s">
        <v>6550</v>
      </c>
      <c r="CQ51" s="0" t="s">
        <v>6198</v>
      </c>
      <c r="CR51" s="0" t="s">
        <v>209</v>
      </c>
      <c r="CT51" s="0" t="s">
        <v>164</v>
      </c>
      <c r="CU51" s="0" t="s">
        <v>7040</v>
      </c>
      <c r="CV51" s="0" t="s">
        <v>164</v>
      </c>
      <c r="CW51" s="0" t="s">
        <v>164</v>
      </c>
      <c r="CX51" s="0" t="s">
        <v>209</v>
      </c>
      <c r="CZ51" s="0" t="s">
        <v>209</v>
      </c>
      <c r="DA51" s="0" t="s">
        <v>189</v>
      </c>
      <c r="DB51" s="0" t="s">
        <v>189</v>
      </c>
      <c r="DE51" s="0" t="s">
        <v>189</v>
      </c>
      <c r="DF51" s="0" t="n">
        <v>0</v>
      </c>
      <c r="DI51" s="0" t="s">
        <v>209</v>
      </c>
      <c r="DJ51" s="0" t="s">
        <v>7041</v>
      </c>
      <c r="DK51" s="0" t="s">
        <v>5617</v>
      </c>
      <c r="DL51" s="0" t="n">
        <v>122</v>
      </c>
      <c r="DM51" s="0" t="s">
        <v>7024</v>
      </c>
      <c r="DN51" s="0" t="n">
        <v>49</v>
      </c>
      <c r="DO51" s="0" t="n">
        <v>6</v>
      </c>
      <c r="DP51" s="0" t="n">
        <v>3</v>
      </c>
      <c r="DQ51" s="0" t="n">
        <v>15</v>
      </c>
      <c r="DR51" s="0" t="n">
        <v>5</v>
      </c>
      <c r="DS51" s="0" t="n">
        <v>10</v>
      </c>
      <c r="DT51" s="0" t="n">
        <v>10</v>
      </c>
      <c r="DU51" s="0" t="n">
        <f aca="false">IF($A51="","",IF(R51="Y",10,0))</f>
        <v>0</v>
      </c>
      <c r="DV51" s="0" t="n">
        <v>0</v>
      </c>
      <c r="DW51" s="0" t="s">
        <v>209</v>
      </c>
      <c r="DX51" s="0" t="s">
        <v>5814</v>
      </c>
      <c r="DY51" s="0" t="s">
        <v>7042</v>
      </c>
      <c r="DZ51" s="0" t="s">
        <v>7043</v>
      </c>
      <c r="EA51" s="0" t="s">
        <v>7044</v>
      </c>
      <c r="EV51" s="0" t="str">
        <f aca="false">IF($A51="","",IF(ISNUMBER(MATCH(U51,{"queued","contacted","replied","call_booked","call_done","yes_in_principle","materials_sent"},0)),"Y","N"))</f>
        <v>N</v>
      </c>
      <c r="EW51" s="0" t="str">
        <f aca="false">IF($A51="","",IF(OR(T51="Y",U51="do_not_contact",AQ51&amp;""&lt;&gt;""),"Y","N"))</f>
        <v>N</v>
      </c>
      <c r="EX51" s="0" t="str">
        <f aca="false">IF($A51="","",IF(AN51&amp;""&lt;&gt;"",AN51&amp;"",$A51))</f>
        <v>AB-062</v>
      </c>
      <c r="EY51" s="0" t="str">
        <f aca="false">IF($A51="","",IF(COUNTIFS($EX$2:$EX$1000,EX51,$EV$2:$EV$1000,"Y")+COUNTIFS($EX$2:$EX$1000,EX51,$EW$2:$EW$1000,"Y")&gt;0,"Y","N"))</f>
        <v>N</v>
      </c>
      <c r="EZ51" s="0" t="str">
        <f aca="false">IF($A51="","",IF(AND(U51="new",T51="N",EW51="N",AR51="Y",EY51="N"),"Y","N"))</f>
        <v>Y</v>
      </c>
      <c r="FA51" s="0" t="str">
        <f aca="false">IF($A51="","",IF(EZ51&lt;&gt;"Y","N",IF(COUNTIFS($EX$2:$EX$1000,EX51,$EZ$2:$EZ$1000,"Y",$J$2:$J$1000,"&gt;"&amp;J51)+COUNTIFS($EX$2:$EX$1000,EX51,$EZ$2:$EZ$1000,"Y",$J$2:$J$1000,J51,$FG$2:$FG$1000,"&lt;"&amp;FG51)=0,"Y","N")))</f>
        <v>Y</v>
      </c>
      <c r="FB51" s="0" t="str">
        <f aca="false">IF($A51="","",IF(AND(EZ51="Y",FA51="Y",Y51&amp;""&lt;&gt;""),IF(Y51&lt;=10,"Y","N"),"N"))</f>
        <v>N</v>
      </c>
      <c r="FC51" s="0" t="str">
        <f aca="false">IF(FB51="Y",Y51,"")</f>
        <v/>
      </c>
      <c r="FD51" s="0" t="str">
        <f aca="false">IF($A51="","",IF(AND(CK51="pass",AU51="Y",AV51&lt;&gt;"Y",U51="new",EW51="N"),"Y","N"))</f>
        <v>N</v>
      </c>
      <c r="FE51" s="0" t="str">
        <f aca="false">IF(FD51&lt;&gt;"Y","",IF(COUNTIFS($FD$2:$FD$1000,"Y",$J$2:$J$1000,"&gt;"&amp;J51)+COUNTIFS($FD$2:$FD$1000,"Y",$J$2:$J$1000,J51,$FG$2:$FG$1000,"&lt;"&amp;FG51)+1&lt;=30,COUNTIFS($FD$2:$FD$1000,"Y",$J$2:$J$1000,"&gt;"&amp;J51)+COUNTIFS($FD$2:$FD$1000,"Y",$J$2:$J$1000,J51,$FG$2:$FG$1000,"&lt;"&amp;FG51)+1,""))</f>
        <v/>
      </c>
      <c r="FF51" s="0" t="str">
        <f aca="false">IF(AND(_xlfn.ISFORMULA(C51),_xlfn.ISFORMULA(J51)),"Y","N")</f>
        <v>Y</v>
      </c>
      <c r="FG51" s="0" t="n">
        <f aca="false">ROW()-1</f>
        <v>50</v>
      </c>
    </row>
    <row r="52" customFormat="false" ht="15" hidden="false" customHeight="false" outlineLevel="0" collapsed="false">
      <c r="A52" s="0" t="s">
        <v>7045</v>
      </c>
      <c r="B52" s="0" t="s">
        <v>7046</v>
      </c>
      <c r="C52" s="0" t="str">
        <f aca="false">IF($A52="","",IF(AT52="Y",BL52&amp;"",AY52&amp;""))</f>
        <v>Maribel</v>
      </c>
      <c r="D52" s="0" t="str">
        <f aca="false">IF($A52="","",IF(AT52="Y",BM52&amp;"",AZ52&amp;""))</f>
        <v>Lieberman</v>
      </c>
      <c r="E52" s="0" t="str">
        <f aca="false">IF($A52="","",IF(AT52="Y",BN52&amp;"",BA52&amp;""))</f>
        <v>Founder</v>
      </c>
      <c r="F52" s="0" t="str">
        <f aca="false">IF($A52="","",IF(AT52="Y",BO52&amp;"",BB52&amp;""))</f>
        <v/>
      </c>
      <c r="G52" s="0" t="str">
        <f aca="false">IF($A52="","",IF(AT52="Y",BP52&amp;"",BC52&amp;""))</f>
        <v/>
      </c>
      <c r="H52" s="0" t="str">
        <f aca="false">IF($A52="","",IF(AT52="Y",BQ52&amp;"",BD52&amp;""))</f>
        <v>none</v>
      </c>
      <c r="I52" s="0" t="str">
        <f aca="false">IF($A52="","",IF(R52="Y","warm-intro",IF(H52="verified","email",IF(C52&lt;&gt;"","linkedin",CA52&amp;""))))</f>
        <v>linkedin</v>
      </c>
      <c r="J52" s="0" t="n">
        <f aca="false">IF($A52="","",IF(CK52="pass",ROUND(N(DO52)+N(DP52)+N(DQ52)+N(DR52)+N(DS52)+N(DT52)+N(DU52)+N(DV52),0),0))</f>
        <v>49</v>
      </c>
      <c r="K52" s="0" t="str">
        <f aca="false">IF($A52="","",IF(CK52&lt;&gt;"pass",BY52&amp;"",BY52&amp;", "&amp;IF(AT52="Y",BX52&amp;"",BK52&amp;"")&amp;BZ52&amp;IF(R52="Y","; known to the founder (+10)","")&amp;"."))</f>
        <v>New York City brand, no graded store within ten blocks, online store only, news 255 days ago, revenue unknown, contact named plus a marketing lead; founder review: not-emerging.</v>
      </c>
      <c r="M52" s="0" t="s">
        <v>6144</v>
      </c>
      <c r="N52" s="0" t="s">
        <v>740</v>
      </c>
      <c r="O52" s="0" t="s">
        <v>7047</v>
      </c>
      <c r="P52" s="0" t="s">
        <v>7048</v>
      </c>
      <c r="Q52" s="0" t="s">
        <v>7049</v>
      </c>
      <c r="R52" s="5" t="s">
        <v>189</v>
      </c>
      <c r="S52" s="0" t="s">
        <v>209</v>
      </c>
      <c r="T52" s="5" t="s">
        <v>189</v>
      </c>
      <c r="U52" s="5" t="s">
        <v>3896</v>
      </c>
      <c r="V52" s="0" t="s">
        <v>7050</v>
      </c>
      <c r="W52" s="0" t="s">
        <v>263</v>
      </c>
      <c r="X52" s="0" t="s">
        <v>5578</v>
      </c>
      <c r="Y52" s="0" t="str">
        <f aca="false">IF(FA52&lt;&gt;"Y","",COUNTIFS($FA$2:$FA$1000,"Y",$J$2:$J$1000,"&gt;"&amp;J52)+COUNTIFS($FA$2:$FA$1000,"Y",$J$2:$J$1000,J52,$FG$2:$FG$1000,"&lt;"&amp;FG52)+1)</f>
        <v/>
      </c>
      <c r="Z52" s="0" t="n">
        <v>51</v>
      </c>
      <c r="AA52" s="0" t="s">
        <v>164</v>
      </c>
      <c r="AB52" s="0" t="str">
        <f aca="false">IF($A52="","",IF(AT52="Y",BW52&amp;"",BJ52&amp;""))</f>
        <v>find Maribel Lieberman at MarieBelle New York on LinkedIn and paste the profile URL into primary_linkedin_url</v>
      </c>
      <c r="AC52" s="0" t="str">
        <f aca="false">IF($A52="","",IF(AT52="Y",BR52&amp;"",BE52&amp;""))</f>
        <v>founder</v>
      </c>
      <c r="AD52" s="0" t="str">
        <f aca="false">IF($A52="","",IF(AT52="Y",BS52&amp;"",BF52&amp;""))</f>
        <v>verified-page</v>
      </c>
      <c r="AE52" s="0" t="str">
        <f aca="false">IF($A52="","",IF(AT52="Y",BT52&amp;"",BG52&amp;""))</f>
        <v>employer's own site</v>
      </c>
      <c r="AF52" s="0" t="str">
        <f aca="false">IF($A52="","",IF(AT52="Y",BU52&amp;"",BH52&amp;""))</f>
        <v>https://mariebelle.com/pages/our-story</v>
      </c>
      <c r="AG52" s="0" t="str">
        <f aca="false">IF($A52="","",IF(AT52="Y",BV52&amp;"",BI52&amp;""))</f>
        <v>2026-10-24</v>
      </c>
      <c r="AH52" s="0" t="s">
        <v>7051</v>
      </c>
      <c r="AI52" s="0" t="s">
        <v>5664</v>
      </c>
      <c r="AJ52" s="0" t="s">
        <v>259</v>
      </c>
      <c r="AK52" s="0" t="s">
        <v>7052</v>
      </c>
      <c r="AL52" s="0" t="s">
        <v>164</v>
      </c>
      <c r="AM52" s="0" t="s">
        <v>7053</v>
      </c>
      <c r="AN52" s="0" t="s">
        <v>7045</v>
      </c>
      <c r="AO52" s="5" t="s">
        <v>189</v>
      </c>
      <c r="AR52" s="0" t="str">
        <f aca="false">IF($A52="","",IF(AND(CK52="pass",AO52&lt;&gt;"Y",C52&lt;&gt;"",OR(AU52&lt;&gt;"Y",AV52="Y")),"Y","N"))</f>
        <v>N</v>
      </c>
      <c r="AS52" s="0" t="str">
        <f aca="false">IF($A52="","",_xlfn.TEXTJOIN("; ",TRUE(),IF(CK52&lt;&gt;"pass","gated out",""),IF(AO52="Y","on hold: "&amp;AP52,""),IF(C52="","no contact named on an opened page",""),IF(AND(AU52="Y",AV52&lt;&gt;"Y"),"founder review pending (Founder review tab)","")))</f>
        <v>founder review pending (Founder review tab)</v>
      </c>
      <c r="AU52" s="0" t="s">
        <v>164</v>
      </c>
      <c r="AY52" s="0" t="s">
        <v>7054</v>
      </c>
      <c r="AZ52" s="0" t="s">
        <v>7055</v>
      </c>
      <c r="BA52" s="0" t="s">
        <v>5739</v>
      </c>
      <c r="BC52" s="0" t="str">
        <f aca="false">IF($A52="","",IFERROR(INDEX(Enrichment!$A$2:$GZ$2000,MATCH($A52,INDEX(Enrichment!$A$2:$GZ$2000,0,MATCH("row_id",Enrichment!$A$1:$GZ$1,0)),0),MATCH("work_email",Enrichment!$A$1:$GZ$1,0))&amp;"",""))</f>
        <v/>
      </c>
      <c r="BD52" s="0" t="str">
        <f aca="false">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none</v>
      </c>
      <c r="BE52" s="0" t="s">
        <v>5589</v>
      </c>
      <c r="BF52" s="0" t="s">
        <v>169</v>
      </c>
      <c r="BG52" s="0" t="s">
        <v>170</v>
      </c>
      <c r="BH52" s="0" t="s">
        <v>7056</v>
      </c>
      <c r="BI52" s="0" t="s">
        <v>172</v>
      </c>
      <c r="BJ52" s="0" t="s">
        <v>7057</v>
      </c>
      <c r="BK52" s="0" t="s">
        <v>5638</v>
      </c>
      <c r="BL52" s="0" t="s">
        <v>5956</v>
      </c>
      <c r="BM52" s="0" t="s">
        <v>7058</v>
      </c>
      <c r="BN52" s="0" t="s">
        <v>7059</v>
      </c>
      <c r="BP52" s="0" t="str">
        <f aca="false">IF($A52="","",IFERROR(INDEX(Enrichment!$A$2:$GZ$2000,MATCH($A52,INDEX(Enrichment!$A$2:$GZ$2000,0,MATCH("row_id",Enrichment!$A$1:$GZ$1,0)),0),MATCH("backup_work_email",Enrichment!$A$1:$GZ$1,0))&amp;"",""))</f>
        <v/>
      </c>
      <c r="BQ52" s="0" t="str">
        <f aca="false">IF($A52="","",IF(BP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none</v>
      </c>
      <c r="BR52" s="0" t="s">
        <v>5596</v>
      </c>
      <c r="BS52" s="0" t="s">
        <v>283</v>
      </c>
      <c r="BT52" s="0" t="s">
        <v>284</v>
      </c>
      <c r="BU52" s="0" t="s">
        <v>7060</v>
      </c>
      <c r="BV52" s="0" t="s">
        <v>172</v>
      </c>
      <c r="BW52" s="0" t="s">
        <v>7061</v>
      </c>
      <c r="BX52" s="0" t="s">
        <v>5599</v>
      </c>
      <c r="BY52" s="0" t="s">
        <v>7062</v>
      </c>
      <c r="BZ52" s="0" t="s">
        <v>6822</v>
      </c>
      <c r="CB52" s="0" t="s">
        <v>7063</v>
      </c>
      <c r="CD52" s="0" t="s">
        <v>7064</v>
      </c>
      <c r="CF52" s="0" t="s">
        <v>7065</v>
      </c>
      <c r="CG52" s="0" t="s">
        <v>3425</v>
      </c>
      <c r="CH52" s="0" t="s">
        <v>7066</v>
      </c>
      <c r="CJ52" s="0" t="s">
        <v>5720</v>
      </c>
      <c r="CK52" s="0" t="s">
        <v>200</v>
      </c>
      <c r="CM52" s="0" t="s">
        <v>201</v>
      </c>
      <c r="CN52" s="0" t="s">
        <v>6827</v>
      </c>
      <c r="CO52" s="0" t="s">
        <v>7052</v>
      </c>
      <c r="CP52" s="0" t="s">
        <v>5608</v>
      </c>
      <c r="CQ52" s="0" t="s">
        <v>5609</v>
      </c>
      <c r="CR52" s="0" t="s">
        <v>209</v>
      </c>
      <c r="CT52" s="0" t="s">
        <v>164</v>
      </c>
      <c r="CU52" s="0" t="s">
        <v>7067</v>
      </c>
      <c r="CV52" s="0" t="s">
        <v>164</v>
      </c>
      <c r="CW52" s="0" t="s">
        <v>164</v>
      </c>
      <c r="CX52" s="0" t="s">
        <v>209</v>
      </c>
      <c r="CZ52" s="0" t="s">
        <v>209</v>
      </c>
      <c r="DA52" s="0" t="s">
        <v>189</v>
      </c>
      <c r="DB52" s="0" t="s">
        <v>189</v>
      </c>
      <c r="DE52" s="0" t="s">
        <v>189</v>
      </c>
      <c r="DF52" s="0" t="n">
        <v>0</v>
      </c>
      <c r="DI52" s="0" t="s">
        <v>7068</v>
      </c>
      <c r="DJ52" s="0" t="s">
        <v>7069</v>
      </c>
      <c r="DK52" s="0" t="s">
        <v>5617</v>
      </c>
      <c r="DL52" s="0" t="n">
        <v>255</v>
      </c>
      <c r="DN52" s="0" t="n">
        <v>49</v>
      </c>
      <c r="DO52" s="0" t="n">
        <v>6</v>
      </c>
      <c r="DP52" s="0" t="n">
        <v>20</v>
      </c>
      <c r="DQ52" s="0" t="n">
        <v>8</v>
      </c>
      <c r="DR52" s="0" t="n">
        <v>5</v>
      </c>
      <c r="DS52" s="0" t="n">
        <v>10</v>
      </c>
      <c r="DT52" s="0" t="n">
        <v>10</v>
      </c>
      <c r="DU52" s="0" t="n">
        <f aca="false">IF($A52="","",IF(R52="Y",10,0))</f>
        <v>0</v>
      </c>
      <c r="DV52" s="0" t="n">
        <v>-10</v>
      </c>
      <c r="DW52" s="0" t="s">
        <v>7070</v>
      </c>
      <c r="DX52" s="0" t="s">
        <v>5691</v>
      </c>
      <c r="DY52" s="0" t="s">
        <v>7071</v>
      </c>
      <c r="DZ52" s="0" t="s">
        <v>7072</v>
      </c>
      <c r="EA52" s="0" t="s">
        <v>7073</v>
      </c>
      <c r="EV52" s="0" t="str">
        <f aca="false">IF($A52="","",IF(ISNUMBER(MATCH(U52,{"queued","contacted","replied","call_booked","call_done","yes_in_principle","materials_sent"},0)),"Y","N"))</f>
        <v>N</v>
      </c>
      <c r="EW52" s="0" t="str">
        <f aca="false">IF($A52="","",IF(OR(T52="Y",U52="do_not_contact",AQ52&amp;""&lt;&gt;""),"Y","N"))</f>
        <v>N</v>
      </c>
      <c r="EX52" s="0" t="str">
        <f aca="false">IF($A52="","",IF(AN52&amp;""&lt;&gt;"",AN52&amp;"",$A52))</f>
        <v>AB-126</v>
      </c>
      <c r="EY52" s="0" t="str">
        <f aca="false">IF($A52="","",IF(COUNTIFS($EX$2:$EX$1000,EX52,$EV$2:$EV$1000,"Y")+COUNTIFS($EX$2:$EX$1000,EX52,$EW$2:$EW$1000,"Y")&gt;0,"Y","N"))</f>
        <v>N</v>
      </c>
      <c r="EZ52" s="0" t="str">
        <f aca="false">IF($A52="","",IF(AND(U52="new",T52="N",EW52="N",AR52="Y",EY52="N"),"Y","N"))</f>
        <v>N</v>
      </c>
      <c r="FA52" s="0" t="str">
        <f aca="false">IF($A52="","",IF(EZ52&lt;&gt;"Y","N",IF(COUNTIFS($EX$2:$EX$1000,EX52,$EZ$2:$EZ$1000,"Y",$J$2:$J$1000,"&gt;"&amp;J52)+COUNTIFS($EX$2:$EX$1000,EX52,$EZ$2:$EZ$1000,"Y",$J$2:$J$1000,J52,$FG$2:$FG$1000,"&lt;"&amp;FG52)=0,"Y","N")))</f>
        <v>N</v>
      </c>
      <c r="FB52" s="0" t="str">
        <f aca="false">IF($A52="","",IF(AND(EZ52="Y",FA52="Y",Y52&amp;""&lt;&gt;""),IF(Y52&lt;=10,"Y","N"),"N"))</f>
        <v>N</v>
      </c>
      <c r="FC52" s="0" t="str">
        <f aca="false">IF(FB52="Y",Y52,"")</f>
        <v/>
      </c>
      <c r="FD52" s="0" t="str">
        <f aca="false">IF($A52="","",IF(AND(CK52="pass",AU52="Y",AV52&lt;&gt;"Y",U52="new",EW52="N"),"Y","N"))</f>
        <v>Y</v>
      </c>
      <c r="FE52" s="0" t="n">
        <f aca="false">IF(FD52&lt;&gt;"Y","",IF(COUNTIFS($FD$2:$FD$1000,"Y",$J$2:$J$1000,"&gt;"&amp;J52)+COUNTIFS($FD$2:$FD$1000,"Y",$J$2:$J$1000,J52,$FG$2:$FG$1000,"&lt;"&amp;FG52)+1&lt;=30,COUNTIFS($FD$2:$FD$1000,"Y",$J$2:$J$1000,"&gt;"&amp;J52)+COUNTIFS($FD$2:$FD$1000,"Y",$J$2:$J$1000,J52,$FG$2:$FG$1000,"&lt;"&amp;FG52)+1,""))</f>
        <v>25</v>
      </c>
      <c r="FF52" s="0" t="str">
        <f aca="false">IF(AND(_xlfn.ISFORMULA(C52),_xlfn.ISFORMULA(J52)),"Y","N")</f>
        <v>Y</v>
      </c>
      <c r="FG52" s="0" t="n">
        <f aca="false">ROW()-1</f>
        <v>51</v>
      </c>
    </row>
    <row r="53" customFormat="false" ht="15" hidden="false" customHeight="false" outlineLevel="0" collapsed="false">
      <c r="A53" s="0" t="s">
        <v>7074</v>
      </c>
      <c r="B53" s="0" t="s">
        <v>7075</v>
      </c>
      <c r="C53" s="0" t="str">
        <f aca="false">IF($A53="","",IF(AT53="Y",BL53&amp;"",AY53&amp;""))</f>
        <v>Riddhima</v>
      </c>
      <c r="D53" s="0" t="str">
        <f aca="false">IF($A53="","",IF(AT53="Y",BM53&amp;"",AZ53&amp;""))</f>
        <v>unknown</v>
      </c>
      <c r="E53" s="0" t="str">
        <f aca="false">IF($A53="","",IF(AT53="Y",BN53&amp;"",BA53&amp;""))</f>
        <v>Founder (exact title not stated)</v>
      </c>
      <c r="F53" s="0" t="str">
        <f aca="false">IF($A53="","",IF(AT53="Y",BO53&amp;"",BB53&amp;""))</f>
        <v/>
      </c>
      <c r="G53" s="0" t="str">
        <f aca="false">IF($A53="","",IF(AT53="Y",BP53&amp;"",BC53&amp;""))</f>
        <v/>
      </c>
      <c r="H53" s="0" t="str">
        <f aca="false">IF($A53="","",IF(AT53="Y",BQ53&amp;"",BD53&amp;""))</f>
        <v>none</v>
      </c>
      <c r="I53" s="0" t="str">
        <f aca="false">IF($A53="","",IF(R53="Y","warm-intro",IF(H53="verified","email",IF(C53&lt;&gt;"","linkedin",CA53&amp;""))))</f>
        <v>linkedin</v>
      </c>
      <c r="J53" s="0" t="n">
        <f aca="false">IF($A53="","",IF(CK53="pass",ROUND(N(DO53)+N(DP53)+N(DQ53)+N(DR53)+N(DS53)+N(DT53)+N(DU53)+N(DV53),0),0))</f>
        <v>49</v>
      </c>
      <c r="K53" s="0" t="str">
        <f aca="false">IF($A53="","",IF(CK53&lt;&gt;"pass",BY53&amp;"",BY53&amp;", "&amp;IF(AT53="Y",BX53&amp;"",BK53&amp;"")&amp;BZ53&amp;IF(R53="Y","; known to the founder (+10)","")&amp;"."))</f>
        <v>Northeast brand, brand locator shows Rooted inside the cluster, a new store listing 4 days ago, revenue unknown, contact named (first name only); founder review: format-unconfirmed.</v>
      </c>
      <c r="M53" s="0" t="s">
        <v>7076</v>
      </c>
      <c r="N53" s="0" t="s">
        <v>5915</v>
      </c>
      <c r="O53" s="0" t="s">
        <v>7077</v>
      </c>
      <c r="P53" s="0" t="s">
        <v>7078</v>
      </c>
      <c r="Q53" s="0" t="s">
        <v>4851</v>
      </c>
      <c r="R53" s="5" t="s">
        <v>189</v>
      </c>
      <c r="S53" s="0" t="s">
        <v>209</v>
      </c>
      <c r="T53" s="5" t="s">
        <v>189</v>
      </c>
      <c r="U53" s="5" t="s">
        <v>3896</v>
      </c>
      <c r="V53" s="0" t="s">
        <v>7079</v>
      </c>
      <c r="W53" s="0" t="s">
        <v>263</v>
      </c>
      <c r="X53" s="0" t="s">
        <v>5578</v>
      </c>
      <c r="Y53" s="0" t="n">
        <f aca="false">IF(FA53&lt;&gt;"Y","",COUNTIFS($FA$2:$FA$1000,"Y",$J$2:$J$1000,"&gt;"&amp;J53)+COUNTIFS($FA$2:$FA$1000,"Y",$J$2:$J$1000,J53,$FG$2:$FG$1000,"&lt;"&amp;FG53)+1)</f>
        <v>24</v>
      </c>
      <c r="Z53" s="0" t="n">
        <v>52</v>
      </c>
      <c r="AA53" s="0" t="s">
        <v>164</v>
      </c>
      <c r="AB53" s="0" t="str">
        <f aca="false">IF($A53="","",IF(AT53="Y",BW53&amp;"",BJ53&amp;""))</f>
        <v>find Riddhima at Veggie Vice on LinkedIn and paste the profile URL into primary_linkedin_url; surname not public: take it from LinkedIn; the retailer line rests on the brand's own store locator: say 'your store locator lists ...'</v>
      </c>
      <c r="AC53" s="0" t="str">
        <f aca="false">IF($A53="","",IF(AT53="Y",BR53&amp;"",BE53&amp;""))</f>
        <v>founder</v>
      </c>
      <c r="AD53" s="0" t="str">
        <f aca="false">IF($A53="","",IF(AT53="Y",BS53&amp;"",BF53&amp;""))</f>
        <v>first-name-only</v>
      </c>
      <c r="AE53" s="0" t="str">
        <f aca="false">IF($A53="","",IF(AT53="Y",BT53&amp;"",BG53&amp;""))</f>
        <v>unknown</v>
      </c>
      <c r="AF53" s="0" t="str">
        <f aca="false">IF($A53="","",IF(AT53="Y",BU53&amp;"",BH53&amp;""))</f>
        <v/>
      </c>
      <c r="AG53" s="0" t="str">
        <f aca="false">IF($A53="","",IF(AT53="Y",BV53&amp;"",BI53&amp;""))</f>
        <v>2026-10-23</v>
      </c>
      <c r="AH53" s="0" t="s">
        <v>7080</v>
      </c>
      <c r="AI53" s="0" t="s">
        <v>5789</v>
      </c>
      <c r="AJ53" s="0" t="s">
        <v>7081</v>
      </c>
      <c r="AK53" s="0" t="s">
        <v>7082</v>
      </c>
      <c r="AL53" s="0" t="s">
        <v>164</v>
      </c>
      <c r="AM53" s="0" t="s">
        <v>5760</v>
      </c>
      <c r="AN53" s="0" t="s">
        <v>7074</v>
      </c>
      <c r="AO53" s="5" t="s">
        <v>189</v>
      </c>
      <c r="AR53" s="0" t="str">
        <f aca="false">IF($A53="","",IF(AND(CK53="pass",AO53&lt;&gt;"Y",C53&lt;&gt;"",OR(AU53&lt;&gt;"Y",AV53="Y")),"Y","N"))</f>
        <v>Y</v>
      </c>
      <c r="AS53" s="0" t="str">
        <f aca="false">IF($A53="","",_xlfn.TEXTJOIN("; ",TRUE(),IF(CK53&lt;&gt;"pass","gated out",""),IF(AO53="Y","on hold: "&amp;AP53,""),IF(C53="","no contact named on an opened page",""),IF(AND(AU53="Y",AV53&lt;&gt;"Y"),"founder review pending (Founder review tab)","")))</f>
        <v/>
      </c>
      <c r="AU53" s="0" t="s">
        <v>189</v>
      </c>
      <c r="AY53" s="0" t="s">
        <v>7083</v>
      </c>
      <c r="AZ53" s="0" t="s">
        <v>209</v>
      </c>
      <c r="BA53" s="0" t="s">
        <v>7084</v>
      </c>
      <c r="BC53" s="0" t="str">
        <f aca="false">IF($A53="","",IFERROR(INDEX(Enrichment!$A$2:$GZ$2000,MATCH($A53,INDEX(Enrichment!$A$2:$GZ$2000,0,MATCH("row_id",Enrichment!$A$1:$GZ$1,0)),0),MATCH("work_email",Enrichment!$A$1:$GZ$1,0))&amp;"",""))</f>
        <v/>
      </c>
      <c r="BD53" s="0" t="str">
        <f aca="false">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none</v>
      </c>
      <c r="BE53" s="0" t="s">
        <v>5589</v>
      </c>
      <c r="BF53" s="0" t="s">
        <v>5896</v>
      </c>
      <c r="BG53" s="0" t="s">
        <v>209</v>
      </c>
      <c r="BI53" s="0" t="s">
        <v>263</v>
      </c>
      <c r="BJ53" s="0" t="s">
        <v>7085</v>
      </c>
      <c r="BK53" s="0" t="s">
        <v>5898</v>
      </c>
      <c r="BP53" s="0" t="str">
        <f aca="false">IF($A53="","",IFERROR(INDEX(Enrichment!$A$2:$GZ$2000,MATCH($A53,INDEX(Enrichment!$A$2:$GZ$2000,0,MATCH("row_id",Enrichment!$A$1:$GZ$1,0)),0),MATCH("backup_work_email",Enrichment!$A$1:$GZ$1,0))&amp;"",""))</f>
        <v/>
      </c>
      <c r="BQ53" s="0" t="str">
        <f aca="false">IF($A53="","",IF(BP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none</v>
      </c>
      <c r="BS53" s="0" t="s">
        <v>380</v>
      </c>
      <c r="BW53" s="0" t="s">
        <v>5929</v>
      </c>
      <c r="BX53" s="0" t="s">
        <v>388</v>
      </c>
      <c r="BY53" s="0" t="s">
        <v>7086</v>
      </c>
      <c r="BZ53" s="0" t="s">
        <v>5769</v>
      </c>
      <c r="CB53" s="0" t="s">
        <v>7083</v>
      </c>
      <c r="CD53" s="0" t="s">
        <v>7087</v>
      </c>
      <c r="CJ53" s="0" t="s">
        <v>7088</v>
      </c>
      <c r="CK53" s="0" t="s">
        <v>200</v>
      </c>
      <c r="CM53" s="0" t="s">
        <v>201</v>
      </c>
      <c r="CN53" s="0" t="s">
        <v>5774</v>
      </c>
      <c r="CO53" s="0" t="s">
        <v>7082</v>
      </c>
      <c r="CP53" s="0" t="s">
        <v>5840</v>
      </c>
      <c r="CQ53" s="0" t="s">
        <v>6084</v>
      </c>
      <c r="CR53" s="0" t="s">
        <v>209</v>
      </c>
      <c r="CT53" s="0" t="s">
        <v>164</v>
      </c>
      <c r="CU53" s="0" t="s">
        <v>7089</v>
      </c>
      <c r="CV53" s="0" t="s">
        <v>209</v>
      </c>
      <c r="CW53" s="0" t="s">
        <v>164</v>
      </c>
      <c r="CX53" s="0" t="s">
        <v>209</v>
      </c>
      <c r="CZ53" s="0" t="s">
        <v>209</v>
      </c>
      <c r="DA53" s="0" t="s">
        <v>189</v>
      </c>
      <c r="DB53" s="0" t="s">
        <v>189</v>
      </c>
      <c r="DD53" s="0" t="n">
        <v>0</v>
      </c>
      <c r="DE53" s="0" t="s">
        <v>164</v>
      </c>
      <c r="DF53" s="0" t="n">
        <v>1</v>
      </c>
      <c r="DG53" s="0" t="s">
        <v>7090</v>
      </c>
      <c r="DI53" s="0" t="s">
        <v>7091</v>
      </c>
      <c r="DJ53" s="0" t="s">
        <v>7092</v>
      </c>
      <c r="DK53" s="0" t="s">
        <v>5689</v>
      </c>
      <c r="DL53" s="0" t="n">
        <v>4</v>
      </c>
      <c r="DN53" s="0" t="n">
        <v>49</v>
      </c>
      <c r="DO53" s="0" t="n">
        <v>17</v>
      </c>
      <c r="DP53" s="0" t="n">
        <v>8</v>
      </c>
      <c r="DQ53" s="0" t="n">
        <v>8</v>
      </c>
      <c r="DR53" s="0" t="n">
        <v>5</v>
      </c>
      <c r="DS53" s="0" t="n">
        <v>8</v>
      </c>
      <c r="DT53" s="0" t="n">
        <v>3</v>
      </c>
      <c r="DU53" s="0" t="n">
        <f aca="false">IF($A53="","",IF(R53="Y",10,0))</f>
        <v>0</v>
      </c>
      <c r="DV53" s="0" t="n">
        <v>0</v>
      </c>
      <c r="DW53" s="0" t="s">
        <v>7093</v>
      </c>
      <c r="DX53" s="0" t="s">
        <v>5814</v>
      </c>
      <c r="DY53" s="0" t="s">
        <v>7094</v>
      </c>
      <c r="DZ53" s="0" t="s">
        <v>7095</v>
      </c>
      <c r="EV53" s="0" t="str">
        <f aca="false">IF($A53="","",IF(ISNUMBER(MATCH(U53,{"queued","contacted","replied","call_booked","call_done","yes_in_principle","materials_sent"},0)),"Y","N"))</f>
        <v>N</v>
      </c>
      <c r="EW53" s="0" t="str">
        <f aca="false">IF($A53="","",IF(OR(T53="Y",U53="do_not_contact",AQ53&amp;""&lt;&gt;""),"Y","N"))</f>
        <v>N</v>
      </c>
      <c r="EX53" s="0" t="str">
        <f aca="false">IF($A53="","",IF(AN53&amp;""&lt;&gt;"",AN53&amp;"",$A53))</f>
        <v>AB-035</v>
      </c>
      <c r="EY53" s="0" t="str">
        <f aca="false">IF($A53="","",IF(COUNTIFS($EX$2:$EX$1000,EX53,$EV$2:$EV$1000,"Y")+COUNTIFS($EX$2:$EX$1000,EX53,$EW$2:$EW$1000,"Y")&gt;0,"Y","N"))</f>
        <v>N</v>
      </c>
      <c r="EZ53" s="0" t="str">
        <f aca="false">IF($A53="","",IF(AND(U53="new",T53="N",EW53="N",AR53="Y",EY53="N"),"Y","N"))</f>
        <v>Y</v>
      </c>
      <c r="FA53" s="0" t="str">
        <f aca="false">IF($A53="","",IF(EZ53&lt;&gt;"Y","N",IF(COUNTIFS($EX$2:$EX$1000,EX53,$EZ$2:$EZ$1000,"Y",$J$2:$J$1000,"&gt;"&amp;J53)+COUNTIFS($EX$2:$EX$1000,EX53,$EZ$2:$EZ$1000,"Y",$J$2:$J$1000,J53,$FG$2:$FG$1000,"&lt;"&amp;FG53)=0,"Y","N")))</f>
        <v>Y</v>
      </c>
      <c r="FB53" s="0" t="str">
        <f aca="false">IF($A53="","",IF(AND(EZ53="Y",FA53="Y",Y53&amp;""&lt;&gt;""),IF(Y53&lt;=10,"Y","N"),"N"))</f>
        <v>N</v>
      </c>
      <c r="FC53" s="0" t="str">
        <f aca="false">IF(FB53="Y",Y53,"")</f>
        <v/>
      </c>
      <c r="FD53" s="0" t="str">
        <f aca="false">IF($A53="","",IF(AND(CK53="pass",AU53="Y",AV53&lt;&gt;"Y",U53="new",EW53="N"),"Y","N"))</f>
        <v>N</v>
      </c>
      <c r="FE53" s="0" t="str">
        <f aca="false">IF(FD53&lt;&gt;"Y","",IF(COUNTIFS($FD$2:$FD$1000,"Y",$J$2:$J$1000,"&gt;"&amp;J53)+COUNTIFS($FD$2:$FD$1000,"Y",$J$2:$J$1000,J53,$FG$2:$FG$1000,"&lt;"&amp;FG53)+1&lt;=30,COUNTIFS($FD$2:$FD$1000,"Y",$J$2:$J$1000,"&gt;"&amp;J53)+COUNTIFS($FD$2:$FD$1000,"Y",$J$2:$J$1000,J53,$FG$2:$FG$1000,"&lt;"&amp;FG53)+1,""))</f>
        <v/>
      </c>
      <c r="FF53" s="0" t="str">
        <f aca="false">IF(AND(_xlfn.ISFORMULA(C53),_xlfn.ISFORMULA(J53)),"Y","N")</f>
        <v>Y</v>
      </c>
      <c r="FG53" s="0" t="n">
        <f aca="false">ROW()-1</f>
        <v>52</v>
      </c>
    </row>
    <row r="54" customFormat="false" ht="15" hidden="false" customHeight="false" outlineLevel="0" collapsed="false">
      <c r="A54" s="0" t="s">
        <v>7096</v>
      </c>
      <c r="B54" s="0" t="s">
        <v>7097</v>
      </c>
      <c r="C54" s="0" t="str">
        <f aca="false">IF($A54="","",IF(AT54="Y",BL54&amp;"",AY54&amp;""))</f>
        <v/>
      </c>
      <c r="D54" s="0" t="str">
        <f aca="false">IF($A54="","",IF(AT54="Y",BM54&amp;"",AZ54&amp;""))</f>
        <v/>
      </c>
      <c r="E54" s="0" t="str">
        <f aca="false">IF($A54="","",IF(AT54="Y",BN54&amp;"",BA54&amp;""))</f>
        <v/>
      </c>
      <c r="F54" s="0" t="str">
        <f aca="false">IF($A54="","",IF(AT54="Y",BO54&amp;"",BB54&amp;""))</f>
        <v/>
      </c>
      <c r="G54" s="0" t="str">
        <f aca="false">IF($A54="","",IF(AT54="Y",BP54&amp;"",BC54&amp;""))</f>
        <v/>
      </c>
      <c r="H54" s="0" t="str">
        <f aca="false">IF($A54="","",IF(AT54="Y",BQ54&amp;"",BD54&amp;""))</f>
        <v>none</v>
      </c>
      <c r="I54" s="0" t="str">
        <f aca="false">IF($A54="","",IF(R54="Y","warm-intro",IF(H54="verified","email",IF(C54&lt;&gt;"","linkedin",CA54&amp;""))))</f>
        <v/>
      </c>
      <c r="J54" s="0" t="n">
        <f aca="false">IF($A54="","",IF(CK54="pass",ROUND(N(DO54)+N(DP54)+N(DQ54)+N(DR54)+N(DS54)+N(DT54)+N(DU54)+N(DV54),0),0))</f>
        <v>49</v>
      </c>
      <c r="K54" s="0" t="str">
        <f aca="false">IF($A54="","",IF(CK54&lt;&gt;"pass",BY54&amp;"",BY54&amp;", "&amp;IF(AT54="Y",BX54&amp;"",BK54&amp;"")&amp;BZ54&amp;IF(R54="Y","; known to the founder (+10)","")&amp;"."))</f>
        <v>New York City brand, no graded store within ten blocks, online store only, a new store listing 135 days ago, revenue unknown, contact seen only in a snippet; founder review: other.</v>
      </c>
      <c r="M54" s="0" t="s">
        <v>6144</v>
      </c>
      <c r="N54" s="0" t="s">
        <v>740</v>
      </c>
      <c r="O54" s="0" t="s">
        <v>7098</v>
      </c>
      <c r="P54" s="0" t="s">
        <v>7099</v>
      </c>
      <c r="Q54" s="0" t="s">
        <v>4694</v>
      </c>
      <c r="R54" s="5" t="s">
        <v>189</v>
      </c>
      <c r="S54" s="0" t="s">
        <v>209</v>
      </c>
      <c r="T54" s="5" t="s">
        <v>189</v>
      </c>
      <c r="U54" s="5" t="s">
        <v>7100</v>
      </c>
      <c r="V54" s="0" t="s">
        <v>7101</v>
      </c>
      <c r="W54" s="0" t="s">
        <v>263</v>
      </c>
      <c r="X54" s="0" t="s">
        <v>5578</v>
      </c>
      <c r="Y54" s="0" t="str">
        <f aca="false">IF(FA54&lt;&gt;"Y","",COUNTIFS($FA$2:$FA$1000,"Y",$J$2:$J$1000,"&gt;"&amp;J54)+COUNTIFS($FA$2:$FA$1000,"Y",$J$2:$J$1000,J54,$FG$2:$FG$1000,"&lt;"&amp;FG54)+1)</f>
        <v/>
      </c>
      <c r="Z54" s="0" t="n">
        <v>53</v>
      </c>
      <c r="AA54" s="0" t="s">
        <v>164</v>
      </c>
      <c r="AB54" s="0" t="str">
        <f aca="false">IF($A54="","",IF(AT54="Y",BW54&amp;"",BJ54&amp;""))</f>
        <v>no person named on an opened page: not ready</v>
      </c>
      <c r="AC54" s="0" t="str">
        <f aca="false">IF($A54="","",IF(AT54="Y",BR54&amp;"",BE54&amp;""))</f>
        <v>founder</v>
      </c>
      <c r="AD54" s="0" t="str">
        <f aca="false">IF($A54="","",IF(AT54="Y",BS54&amp;"",BF54&amp;""))</f>
        <v>unverified</v>
      </c>
      <c r="AE54" s="0" t="str">
        <f aca="false">IF($A54="","",IF(AT54="Y",BT54&amp;"",BG54&amp;""))</f>
        <v>search snippet only (not opened)</v>
      </c>
      <c r="AF54" s="0" t="str">
        <f aca="false">IF($A54="","",IF(AT54="Y",BU54&amp;"",BH54&amp;""))</f>
        <v>https://www.bevnet.com/news/2017/bruce-cost-ginger-ale-look-separate-futures</v>
      </c>
      <c r="AG54" s="0" t="str">
        <f aca="false">IF($A54="","",IF(AT54="Y",BV54&amp;"",BI54&amp;""))</f>
        <v>2026-10-24</v>
      </c>
      <c r="AH54" s="0" t="s">
        <v>7102</v>
      </c>
      <c r="AI54" s="0" t="s">
        <v>5580</v>
      </c>
      <c r="AJ54" s="0" t="s">
        <v>5631</v>
      </c>
      <c r="AK54" s="0" t="s">
        <v>7101</v>
      </c>
      <c r="AL54" s="0" t="s">
        <v>164</v>
      </c>
      <c r="AM54" s="0" t="s">
        <v>7103</v>
      </c>
      <c r="AN54" s="0" t="s">
        <v>6441</v>
      </c>
      <c r="AO54" s="5" t="s">
        <v>189</v>
      </c>
      <c r="AR54" s="0" t="str">
        <f aca="false">IF($A54="","",IF(AND(CK54="pass",AO54&lt;&gt;"Y",C54&lt;&gt;"",OR(AU54&lt;&gt;"Y",AV54="Y")),"Y","N"))</f>
        <v>N</v>
      </c>
      <c r="AS54" s="0" t="str">
        <f aca="false">IF($A54="","",_xlfn.TEXTJOIN("; ",TRUE(),IF(CK54&lt;&gt;"pass","gated out",""),IF(AO54="Y","on hold: "&amp;AP54,""),IF(C54="","no contact named on an opened page",""),IF(AND(AU54="Y",AV54&lt;&gt;"Y"),"founder review pending (Founder review tab)","")))</f>
        <v>no contact named on an opened page</v>
      </c>
      <c r="AU54" s="0" t="s">
        <v>189</v>
      </c>
      <c r="BC54" s="0" t="str">
        <f aca="false">IF($A54="","",IFERROR(INDEX(Enrichment!$A$2:$GZ$2000,MATCH($A54,INDEX(Enrichment!$A$2:$GZ$2000,0,MATCH("row_id",Enrichment!$A$1:$GZ$1,0)),0),MATCH("work_email",Enrichment!$A$1:$GZ$1,0))&amp;"",""))</f>
        <v/>
      </c>
      <c r="BD54" s="0" t="str">
        <f aca="false">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none</v>
      </c>
      <c r="BE54" s="0" t="s">
        <v>5589</v>
      </c>
      <c r="BF54" s="0" t="s">
        <v>740</v>
      </c>
      <c r="BG54" s="0" t="s">
        <v>741</v>
      </c>
      <c r="BH54" s="0" t="s">
        <v>7104</v>
      </c>
      <c r="BI54" s="0" t="s">
        <v>172</v>
      </c>
      <c r="BJ54" s="0" t="s">
        <v>7105</v>
      </c>
      <c r="BK54" s="0" t="s">
        <v>5834</v>
      </c>
      <c r="BP54" s="0" t="str">
        <f aca="false">IF($A54="","",IFERROR(INDEX(Enrichment!$A$2:$GZ$2000,MATCH($A54,INDEX(Enrichment!$A$2:$GZ$2000,0,MATCH("row_id",Enrichment!$A$1:$GZ$1,0)),0),MATCH("backup_work_email",Enrichment!$A$1:$GZ$1,0))&amp;"",""))</f>
        <v/>
      </c>
      <c r="BQ54" s="0" t="str">
        <f aca="false">IF($A54="","",IF(BP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none</v>
      </c>
      <c r="BR54" s="0" t="s">
        <v>5596</v>
      </c>
      <c r="BS54" s="0" t="s">
        <v>740</v>
      </c>
      <c r="BT54" s="0" t="s">
        <v>741</v>
      </c>
      <c r="BU54" s="0" t="s">
        <v>6444</v>
      </c>
      <c r="BV54" s="0" t="s">
        <v>172</v>
      </c>
      <c r="BW54" s="0" t="s">
        <v>387</v>
      </c>
      <c r="BX54" s="0" t="s">
        <v>5834</v>
      </c>
      <c r="BY54" s="0" t="s">
        <v>7106</v>
      </c>
      <c r="BZ54" s="0" t="s">
        <v>5960</v>
      </c>
      <c r="CB54" s="0" t="s">
        <v>7107</v>
      </c>
      <c r="CC54" s="0" t="s">
        <v>7108</v>
      </c>
      <c r="CD54" s="0" t="s">
        <v>7109</v>
      </c>
      <c r="CF54" s="0" t="s">
        <v>6453</v>
      </c>
      <c r="CH54" s="0" t="s">
        <v>7110</v>
      </c>
      <c r="CJ54" s="0" t="s">
        <v>5606</v>
      </c>
      <c r="CK54" s="0" t="s">
        <v>200</v>
      </c>
      <c r="CM54" s="0" t="s">
        <v>201</v>
      </c>
      <c r="CN54" s="0" t="s">
        <v>443</v>
      </c>
      <c r="CO54" s="0" t="s">
        <v>7101</v>
      </c>
      <c r="CP54" s="0" t="s">
        <v>5608</v>
      </c>
      <c r="CQ54" s="0" t="s">
        <v>5609</v>
      </c>
      <c r="CR54" s="0" t="s">
        <v>209</v>
      </c>
      <c r="CT54" s="0" t="s">
        <v>209</v>
      </c>
      <c r="CU54" s="0" t="s">
        <v>7111</v>
      </c>
      <c r="CV54" s="0" t="s">
        <v>164</v>
      </c>
      <c r="CW54" s="0" t="s">
        <v>164</v>
      </c>
      <c r="CX54" s="0" t="s">
        <v>209</v>
      </c>
      <c r="CZ54" s="0" t="s">
        <v>6456</v>
      </c>
      <c r="DA54" s="0" t="s">
        <v>189</v>
      </c>
      <c r="DB54" s="0" t="s">
        <v>189</v>
      </c>
      <c r="DE54" s="0" t="s">
        <v>189</v>
      </c>
      <c r="DF54" s="0" t="n">
        <v>0</v>
      </c>
      <c r="DH54" s="0" t="s">
        <v>6458</v>
      </c>
      <c r="DI54" s="0" t="s">
        <v>7112</v>
      </c>
      <c r="DJ54" s="0" t="s">
        <v>7113</v>
      </c>
      <c r="DK54" s="0" t="s">
        <v>5689</v>
      </c>
      <c r="DL54" s="0" t="n">
        <v>135</v>
      </c>
      <c r="DN54" s="0" t="n">
        <v>49</v>
      </c>
      <c r="DO54" s="0" t="n">
        <v>6</v>
      </c>
      <c r="DP54" s="0" t="n">
        <v>20</v>
      </c>
      <c r="DQ54" s="0" t="n">
        <v>8</v>
      </c>
      <c r="DR54" s="0" t="n">
        <v>5</v>
      </c>
      <c r="DS54" s="0" t="n">
        <v>7</v>
      </c>
      <c r="DT54" s="0" t="n">
        <v>5</v>
      </c>
      <c r="DU54" s="0" t="n">
        <f aca="false">IF($A54="","",IF(R54="Y",10,0))</f>
        <v>0</v>
      </c>
      <c r="DV54" s="0" t="n">
        <v>-2</v>
      </c>
      <c r="DW54" s="0" t="s">
        <v>7114</v>
      </c>
      <c r="DX54" s="0" t="s">
        <v>6462</v>
      </c>
      <c r="DY54" s="0" t="s">
        <v>7115</v>
      </c>
      <c r="DZ54" s="0" t="s">
        <v>7116</v>
      </c>
      <c r="EA54" s="0" t="s">
        <v>7117</v>
      </c>
      <c r="EC54" s="0" t="s">
        <v>7118</v>
      </c>
      <c r="EV54" s="0" t="str">
        <f aca="false">IF($A54="","",IF(ISNUMBER(MATCH(U54,{"queued","contacted","replied","call_booked","call_done","yes_in_principle","materials_sent"},0)),"Y","N"))</f>
        <v>Y</v>
      </c>
      <c r="EW54" s="0" t="str">
        <f aca="false">IF($A54="","",IF(OR(T54="Y",U54="do_not_contact",AQ54&amp;""&lt;&gt;""),"Y","N"))</f>
        <v>N</v>
      </c>
      <c r="EX54" s="0" t="str">
        <f aca="false">IF($A54="","",IF(AN54&amp;""&lt;&gt;"",AN54&amp;"",$A54))</f>
        <v>grp-130-131-132</v>
      </c>
      <c r="EY54" s="0" t="str">
        <f aca="false">IF($A54="","",IF(COUNTIFS($EX$2:$EX$1000,EX54,$EV$2:$EV$1000,"Y")+COUNTIFS($EX$2:$EX$1000,EX54,$EW$2:$EW$1000,"Y")&gt;0,"Y","N"))</f>
        <v>Y</v>
      </c>
      <c r="EZ54" s="0" t="str">
        <f aca="false">IF($A54="","",IF(AND(U54="new",T54="N",EW54="N",AR54="Y",EY54="N"),"Y","N"))</f>
        <v>N</v>
      </c>
      <c r="FA54" s="0" t="str">
        <f aca="false">IF($A54="","",IF(EZ54&lt;&gt;"Y","N",IF(COUNTIFS($EX$2:$EX$1000,EX54,$EZ$2:$EZ$1000,"Y",$J$2:$J$1000,"&gt;"&amp;J54)+COUNTIFS($EX$2:$EX$1000,EX54,$EZ$2:$EZ$1000,"Y",$J$2:$J$1000,J54,$FG$2:$FG$1000,"&lt;"&amp;FG54)=0,"Y","N")))</f>
        <v>N</v>
      </c>
      <c r="FB54" s="0" t="str">
        <f aca="false">IF($A54="","",IF(AND(EZ54="Y",FA54="Y",Y54&amp;""&lt;&gt;""),IF(Y54&lt;=10,"Y","N"),"N"))</f>
        <v>N</v>
      </c>
      <c r="FC54" s="0" t="str">
        <f aca="false">IF(FB54="Y",Y54,"")</f>
        <v/>
      </c>
      <c r="FD54" s="0" t="str">
        <f aca="false">IF($A54="","",IF(AND(CK54="pass",AU54="Y",AV54&lt;&gt;"Y",U54="new",EW54="N"),"Y","N"))</f>
        <v>N</v>
      </c>
      <c r="FE54" s="0" t="str">
        <f aca="false">IF(FD54&lt;&gt;"Y","",IF(COUNTIFS($FD$2:$FD$1000,"Y",$J$2:$J$1000,"&gt;"&amp;J54)+COUNTIFS($FD$2:$FD$1000,"Y",$J$2:$J$1000,J54,$FG$2:$FG$1000,"&lt;"&amp;FG54)+1&lt;=30,COUNTIFS($FD$2:$FD$1000,"Y",$J$2:$J$1000,"&gt;"&amp;J54)+COUNTIFS($FD$2:$FD$1000,"Y",$J$2:$J$1000,J54,$FG$2:$FG$1000,"&lt;"&amp;FG54)+1,""))</f>
        <v/>
      </c>
      <c r="FF54" s="0" t="str">
        <f aca="false">IF(AND(_xlfn.ISFORMULA(C54),_xlfn.ISFORMULA(J54)),"Y","N")</f>
        <v>Y</v>
      </c>
      <c r="FG54" s="0" t="n">
        <f aca="false">ROW()-1</f>
        <v>53</v>
      </c>
    </row>
    <row r="55" customFormat="false" ht="15" hidden="false" customHeight="false" outlineLevel="0" collapsed="false">
      <c r="A55" s="0" t="s">
        <v>7119</v>
      </c>
      <c r="B55" s="0" t="s">
        <v>7120</v>
      </c>
      <c r="C55" s="0" t="str">
        <f aca="false">IF($A55="","",IF(AT55="Y",BL55&amp;"",AY55&amp;""))</f>
        <v>Dean</v>
      </c>
      <c r="D55" s="0" t="str">
        <f aca="false">IF($A55="","",IF(AT55="Y",BM55&amp;"",AZ55&amp;""))</f>
        <v>Eberhardt</v>
      </c>
      <c r="E55" s="0" t="str">
        <f aca="false">IF($A55="","",IF(AT55="Y",BN55&amp;"",BA55&amp;""))</f>
        <v>Co-founder</v>
      </c>
      <c r="F55" s="0" t="str">
        <f aca="false">IF($A55="","",IF(AT55="Y",BO55&amp;"",BB55&amp;""))</f>
        <v/>
      </c>
      <c r="G55" s="0" t="str">
        <f aca="false">IF($A55="","",IF(AT55="Y",BP55&amp;"",BC55&amp;""))</f>
        <v/>
      </c>
      <c r="H55" s="0" t="str">
        <f aca="false">IF($A55="","",IF(AT55="Y",BQ55&amp;"",BD55&amp;""))</f>
        <v>none</v>
      </c>
      <c r="I55" s="0" t="str">
        <f aca="false">IF($A55="","",IF(R55="Y","warm-intro",IF(H55="verified","email",IF(C55&lt;&gt;"","linkedin",CA55&amp;""))))</f>
        <v>linkedin</v>
      </c>
      <c r="J55" s="0" t="n">
        <f aca="false">IF($A55="","",IF(CK55="pass",ROUND(N(DO55)+N(DP55)+N(DQ55)+N(DR55)+N(DS55)+N(DT55)+N(DU55)+N(DV55),0),0))</f>
        <v>48</v>
      </c>
      <c r="K55" s="0" t="str">
        <f aca="false">IF($A55="","",IF(CK55&lt;&gt;"pass",BY55&amp;"",BY55&amp;", "&amp;IF(AT55="Y",BX55&amp;"",BK55&amp;"")&amp;BZ55&amp;IF(R55="Y","; known to the founder (+10)","")&amp;"."))</f>
        <v>Brand based outside the Northeast, brand locator shows Wegmans Astor Place 4.0 blocks outside it, news 136 days ago, revenue unknown, contact named plus a marketing lead; founder review: alcohol-adjacent, nutrient-claim.</v>
      </c>
      <c r="M55" s="0" t="s">
        <v>7121</v>
      </c>
      <c r="N55" s="0" t="s">
        <v>5915</v>
      </c>
      <c r="O55" s="0" t="s">
        <v>7122</v>
      </c>
      <c r="P55" s="0" t="s">
        <v>7123</v>
      </c>
      <c r="Q55" s="0" t="s">
        <v>7124</v>
      </c>
      <c r="R55" s="5" t="s">
        <v>189</v>
      </c>
      <c r="S55" s="0" t="s">
        <v>164</v>
      </c>
      <c r="T55" s="5" t="s">
        <v>189</v>
      </c>
      <c r="U55" s="5" t="s">
        <v>3896</v>
      </c>
      <c r="V55" s="0" t="s">
        <v>7125</v>
      </c>
      <c r="W55" s="0" t="s">
        <v>263</v>
      </c>
      <c r="X55" s="0" t="s">
        <v>5578</v>
      </c>
      <c r="Y55" s="0" t="str">
        <f aca="false">IF(FA55&lt;&gt;"Y","",COUNTIFS($FA$2:$FA$1000,"Y",$J$2:$J$1000,"&gt;"&amp;J55)+COUNTIFS($FA$2:$FA$1000,"Y",$J$2:$J$1000,J55,$FG$2:$FG$1000,"&lt;"&amp;FG55)+1)</f>
        <v/>
      </c>
      <c r="Z55" s="0" t="n">
        <v>54</v>
      </c>
      <c r="AA55" s="0" t="s">
        <v>164</v>
      </c>
      <c r="AB55" s="0" t="str">
        <f aca="false">IF($A55="","",IF(AT55="Y",BW55&amp;"",BJ55&amp;""))</f>
        <v>find Dean Eberhardt at Hoplark on LinkedIn and paste the profile URL into primary_linkedin_url; the retailer line rests on the brand's own store locator: say 'your store locator lists ...'</v>
      </c>
      <c r="AC55" s="0" t="str">
        <f aca="false">IF($A55="","",IF(AT55="Y",BR55&amp;"",BE55&amp;""))</f>
        <v>founder</v>
      </c>
      <c r="AD55" s="0" t="str">
        <f aca="false">IF($A55="","",IF(AT55="Y",BS55&amp;"",BF55&amp;""))</f>
        <v>verified-page</v>
      </c>
      <c r="AE55" s="0" t="str">
        <f aca="false">IF($A55="","",IF(AT55="Y",BT55&amp;"",BG55&amp;""))</f>
        <v>press, event or podcast page</v>
      </c>
      <c r="AF55" s="0" t="str">
        <f aca="false">IF($A55="","",IF(AT55="Y",BU55&amp;"",BH55&amp;""))</f>
        <v>https://drinks-intel.com/news/brooklyn-brewery-backed-hoplark-unveils-brand-refresh/</v>
      </c>
      <c r="AG55" s="0" t="str">
        <f aca="false">IF($A55="","",IF(AT55="Y",BV55&amp;"",BI55&amp;""))</f>
        <v>2026-10-24</v>
      </c>
      <c r="AH55" s="0" t="s">
        <v>7126</v>
      </c>
      <c r="AI55" s="0" t="s">
        <v>5580</v>
      </c>
      <c r="AJ55" s="0" t="s">
        <v>7127</v>
      </c>
      <c r="AK55" s="0" t="s">
        <v>7128</v>
      </c>
      <c r="AL55" s="0" t="s">
        <v>164</v>
      </c>
      <c r="AM55" s="0" t="s">
        <v>7129</v>
      </c>
      <c r="AN55" s="0" t="s">
        <v>7119</v>
      </c>
      <c r="AO55" s="5" t="s">
        <v>189</v>
      </c>
      <c r="AR55" s="0" t="str">
        <f aca="false">IF($A55="","",IF(AND(CK55="pass",AO55&lt;&gt;"Y",C55&lt;&gt;"",OR(AU55&lt;&gt;"Y",AV55="Y")),"Y","N"))</f>
        <v>N</v>
      </c>
      <c r="AS55" s="0" t="str">
        <f aca="false">IF($A55="","",_xlfn.TEXTJOIN("; ",TRUE(),IF(CK55&lt;&gt;"pass","gated out",""),IF(AO55="Y","on hold: "&amp;AP55,""),IF(C55="","no contact named on an opened page",""),IF(AND(AU55="Y",AV55&lt;&gt;"Y"),"founder review pending (Founder review tab)","")))</f>
        <v>founder review pending (Founder review tab)</v>
      </c>
      <c r="AU55" s="0" t="s">
        <v>164</v>
      </c>
      <c r="AY55" s="0" t="s">
        <v>7130</v>
      </c>
      <c r="AZ55" s="0" t="s">
        <v>7131</v>
      </c>
      <c r="BA55" s="0" t="s">
        <v>5636</v>
      </c>
      <c r="BC55" s="0" t="str">
        <f aca="false">IF($A55="","",IFERROR(INDEX(Enrichment!$A$2:$GZ$2000,MATCH($A55,INDEX(Enrichment!$A$2:$GZ$2000,0,MATCH("row_id",Enrichment!$A$1:$GZ$1,0)),0),MATCH("work_email",Enrichment!$A$1:$GZ$1,0))&amp;"",""))</f>
        <v/>
      </c>
      <c r="BD55" s="0" t="str">
        <f aca="false">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none</v>
      </c>
      <c r="BE55" s="0" t="s">
        <v>5589</v>
      </c>
      <c r="BF55" s="0" t="s">
        <v>169</v>
      </c>
      <c r="BG55" s="0" t="s">
        <v>1252</v>
      </c>
      <c r="BH55" s="0" t="s">
        <v>7123</v>
      </c>
      <c r="BI55" s="0" t="s">
        <v>172</v>
      </c>
      <c r="BJ55" s="0" t="s">
        <v>7132</v>
      </c>
      <c r="BK55" s="0" t="s">
        <v>5638</v>
      </c>
      <c r="BL55" s="0" t="s">
        <v>7133</v>
      </c>
      <c r="BM55" s="0" t="s">
        <v>7134</v>
      </c>
      <c r="BN55" s="0" t="s">
        <v>7135</v>
      </c>
      <c r="BP55" s="0" t="str">
        <f aca="false">IF($A55="","",IFERROR(INDEX(Enrichment!$A$2:$GZ$2000,MATCH($A55,INDEX(Enrichment!$A$2:$GZ$2000,0,MATCH("row_id",Enrichment!$A$1:$GZ$1,0)),0),MATCH("backup_work_email",Enrichment!$A$1:$GZ$1,0))&amp;"",""))</f>
        <v/>
      </c>
      <c r="BQ55" s="0" t="str">
        <f aca="false">IF($A55="","",IF(BP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none</v>
      </c>
      <c r="BR55" s="0" t="s">
        <v>5596</v>
      </c>
      <c r="BS55" s="0" t="s">
        <v>169</v>
      </c>
      <c r="BT55" s="0" t="s">
        <v>1252</v>
      </c>
      <c r="BU55" s="0" t="s">
        <v>7136</v>
      </c>
      <c r="BV55" s="0" t="s">
        <v>172</v>
      </c>
      <c r="BW55" s="0" t="s">
        <v>7137</v>
      </c>
      <c r="BX55" s="0" t="s">
        <v>5643</v>
      </c>
      <c r="BY55" s="0" t="s">
        <v>7138</v>
      </c>
      <c r="BZ55" s="0" t="s">
        <v>7139</v>
      </c>
      <c r="CB55" s="0" t="s">
        <v>7140</v>
      </c>
      <c r="CD55" s="0" t="s">
        <v>7141</v>
      </c>
      <c r="CF55" s="0" t="s">
        <v>7142</v>
      </c>
      <c r="CH55" s="0" t="s">
        <v>7143</v>
      </c>
      <c r="CJ55" s="0" t="s">
        <v>5720</v>
      </c>
      <c r="CK55" s="0" t="s">
        <v>200</v>
      </c>
      <c r="CM55" s="0" t="s">
        <v>201</v>
      </c>
      <c r="CN55" s="0" t="s">
        <v>7144</v>
      </c>
      <c r="CO55" s="0" t="s">
        <v>7128</v>
      </c>
      <c r="CP55" s="0" t="s">
        <v>7145</v>
      </c>
      <c r="CQ55" s="0" t="s">
        <v>6198</v>
      </c>
      <c r="CR55" s="0" t="s">
        <v>209</v>
      </c>
      <c r="CT55" s="0" t="s">
        <v>209</v>
      </c>
      <c r="CU55" s="0" t="s">
        <v>7146</v>
      </c>
      <c r="CV55" s="0" t="s">
        <v>164</v>
      </c>
      <c r="CW55" s="0" t="s">
        <v>164</v>
      </c>
      <c r="CX55" s="0" t="s">
        <v>209</v>
      </c>
      <c r="CZ55" s="0" t="s">
        <v>6456</v>
      </c>
      <c r="DA55" s="0" t="s">
        <v>189</v>
      </c>
      <c r="DB55" s="0" t="s">
        <v>189</v>
      </c>
      <c r="DD55" s="0" t="n">
        <v>4</v>
      </c>
      <c r="DE55" s="0" t="s">
        <v>189</v>
      </c>
      <c r="DF55" s="0" t="n">
        <v>1</v>
      </c>
      <c r="DG55" s="0" t="s">
        <v>7147</v>
      </c>
      <c r="DI55" s="0" t="s">
        <v>7148</v>
      </c>
      <c r="DJ55" s="0" t="s">
        <v>7149</v>
      </c>
      <c r="DK55" s="0" t="s">
        <v>5617</v>
      </c>
      <c r="DL55" s="0" t="n">
        <v>136</v>
      </c>
      <c r="DM55" s="0" t="s">
        <v>7136</v>
      </c>
      <c r="DN55" s="0" t="n">
        <v>48</v>
      </c>
      <c r="DO55" s="0" t="n">
        <v>13</v>
      </c>
      <c r="DP55" s="0" t="n">
        <v>3</v>
      </c>
      <c r="DQ55" s="0" t="n">
        <v>15</v>
      </c>
      <c r="DR55" s="0" t="n">
        <v>5</v>
      </c>
      <c r="DS55" s="0" t="n">
        <v>7</v>
      </c>
      <c r="DT55" s="0" t="n">
        <v>10</v>
      </c>
      <c r="DU55" s="0" t="n">
        <f aca="false">IF($A55="","",IF(R55="Y",10,0))</f>
        <v>0</v>
      </c>
      <c r="DV55" s="0" t="n">
        <v>-5</v>
      </c>
      <c r="DW55" s="0" t="s">
        <v>7150</v>
      </c>
      <c r="DX55" s="0" t="s">
        <v>6462</v>
      </c>
      <c r="DY55" s="0" t="s">
        <v>7151</v>
      </c>
      <c r="DZ55" s="0" t="s">
        <v>7152</v>
      </c>
      <c r="EA55" s="0" t="s">
        <v>7153</v>
      </c>
      <c r="EV55" s="0" t="str">
        <f aca="false">IF($A55="","",IF(ISNUMBER(MATCH(U55,{"queued","contacted","replied","call_booked","call_done","yes_in_principle","materials_sent"},0)),"Y","N"))</f>
        <v>N</v>
      </c>
      <c r="EW55" s="0" t="str">
        <f aca="false">IF($A55="","",IF(OR(T55="Y",U55="do_not_contact",AQ55&amp;""&lt;&gt;""),"Y","N"))</f>
        <v>N</v>
      </c>
      <c r="EX55" s="0" t="str">
        <f aca="false">IF($A55="","",IF(AN55&amp;""&lt;&gt;"",AN55&amp;"",$A55))</f>
        <v>AB-159</v>
      </c>
      <c r="EY55" s="0" t="str">
        <f aca="false">IF($A55="","",IF(COUNTIFS($EX$2:$EX$1000,EX55,$EV$2:$EV$1000,"Y")+COUNTIFS($EX$2:$EX$1000,EX55,$EW$2:$EW$1000,"Y")&gt;0,"Y","N"))</f>
        <v>N</v>
      </c>
      <c r="EZ55" s="0" t="str">
        <f aca="false">IF($A55="","",IF(AND(U55="new",T55="N",EW55="N",AR55="Y",EY55="N"),"Y","N"))</f>
        <v>N</v>
      </c>
      <c r="FA55" s="0" t="str">
        <f aca="false">IF($A55="","",IF(EZ55&lt;&gt;"Y","N",IF(COUNTIFS($EX$2:$EX$1000,EX55,$EZ$2:$EZ$1000,"Y",$J$2:$J$1000,"&gt;"&amp;J55)+COUNTIFS($EX$2:$EX$1000,EX55,$EZ$2:$EZ$1000,"Y",$J$2:$J$1000,J55,$FG$2:$FG$1000,"&lt;"&amp;FG55)=0,"Y","N")))</f>
        <v>N</v>
      </c>
      <c r="FB55" s="0" t="str">
        <f aca="false">IF($A55="","",IF(AND(EZ55="Y",FA55="Y",Y55&amp;""&lt;&gt;""),IF(Y55&lt;=10,"Y","N"),"N"))</f>
        <v>N</v>
      </c>
      <c r="FC55" s="0" t="str">
        <f aca="false">IF(FB55="Y",Y55,"")</f>
        <v/>
      </c>
      <c r="FD55" s="0" t="str">
        <f aca="false">IF($A55="","",IF(AND(CK55="pass",AU55="Y",AV55&lt;&gt;"Y",U55="new",EW55="N"),"Y","N"))</f>
        <v>Y</v>
      </c>
      <c r="FE55" s="0" t="n">
        <f aca="false">IF(FD55&lt;&gt;"Y","",IF(COUNTIFS($FD$2:$FD$1000,"Y",$J$2:$J$1000,"&gt;"&amp;J55)+COUNTIFS($FD$2:$FD$1000,"Y",$J$2:$J$1000,J55,$FG$2:$FG$1000,"&lt;"&amp;FG55)+1&lt;=30,COUNTIFS($FD$2:$FD$1000,"Y",$J$2:$J$1000,"&gt;"&amp;J55)+COUNTIFS($FD$2:$FD$1000,"Y",$J$2:$J$1000,J55,$FG$2:$FG$1000,"&lt;"&amp;FG55)+1,""))</f>
        <v>26</v>
      </c>
      <c r="FF55" s="0" t="str">
        <f aca="false">IF(AND(_xlfn.ISFORMULA(C55),_xlfn.ISFORMULA(J55)),"Y","N")</f>
        <v>Y</v>
      </c>
      <c r="FG55" s="0" t="n">
        <f aca="false">ROW()-1</f>
        <v>54</v>
      </c>
    </row>
    <row r="56" customFormat="false" ht="15" hidden="false" customHeight="false" outlineLevel="0" collapsed="false">
      <c r="A56" s="0" t="s">
        <v>7154</v>
      </c>
      <c r="B56" s="0" t="s">
        <v>7155</v>
      </c>
      <c r="C56" s="0" t="str">
        <f aca="false">IF($A56="","",IF(AT56="Y",BL56&amp;"",AY56&amp;""))</f>
        <v>Morganne</v>
      </c>
      <c r="D56" s="0" t="str">
        <f aca="false">IF($A56="","",IF(AT56="Y",BM56&amp;"",AZ56&amp;""))</f>
        <v>unknown</v>
      </c>
      <c r="E56" s="0" t="str">
        <f aca="false">IF($A56="","",IF(AT56="Y",BN56&amp;"",BA56&amp;""))</f>
        <v>Founder</v>
      </c>
      <c r="F56" s="0" t="str">
        <f aca="false">IF($A56="","",IF(AT56="Y",BO56&amp;"",BB56&amp;""))</f>
        <v/>
      </c>
      <c r="G56" s="0" t="str">
        <f aca="false">IF($A56="","",IF(AT56="Y",BP56&amp;"",BC56&amp;""))</f>
        <v/>
      </c>
      <c r="H56" s="0" t="str">
        <f aca="false">IF($A56="","",IF(AT56="Y",BQ56&amp;"",BD56&amp;""))</f>
        <v>none</v>
      </c>
      <c r="I56" s="0" t="str">
        <f aca="false">IF($A56="","",IF(R56="Y","warm-intro",IF(H56="verified","email",IF(C56&lt;&gt;"","linkedin",CA56&amp;""))))</f>
        <v>linkedin</v>
      </c>
      <c r="J56" s="0" t="n">
        <f aca="false">IF($A56="","",IF(CK56="pass",ROUND(N(DO56)+N(DP56)+N(DQ56)+N(DR56)+N(DS56)+N(DT56)+N(DU56)+N(DV56),0),0))</f>
        <v>48</v>
      </c>
      <c r="K56" s="0" t="str">
        <f aca="false">IF($A56="","",IF(CK56&lt;&gt;"pass",BY56&amp;"",BY56&amp;", "&amp;IF(AT56="Y",BX56&amp;"",BK56&amp;"")&amp;BZ56&amp;IF(R56="Y","; known to the founder (+10)","")&amp;"."))</f>
        <v>New York State brand, no graded store within ten blocks, online store only, news 5 days ago, revenue unknown, contact named (first name only); founder review: other, format-unconfirmed.</v>
      </c>
      <c r="M56" s="0" t="s">
        <v>6144</v>
      </c>
      <c r="N56" s="0" t="s">
        <v>740</v>
      </c>
      <c r="O56" s="0" t="s">
        <v>7156</v>
      </c>
      <c r="P56" s="0" t="s">
        <v>6499</v>
      </c>
      <c r="Q56" s="0" t="s">
        <v>2985</v>
      </c>
      <c r="R56" s="5" t="s">
        <v>189</v>
      </c>
      <c r="S56" s="0" t="s">
        <v>164</v>
      </c>
      <c r="T56" s="5" t="s">
        <v>189</v>
      </c>
      <c r="U56" s="5" t="s">
        <v>3896</v>
      </c>
      <c r="V56" s="0" t="s">
        <v>6499</v>
      </c>
      <c r="W56" s="0" t="s">
        <v>172</v>
      </c>
      <c r="X56" s="0" t="s">
        <v>5578</v>
      </c>
      <c r="Y56" s="0" t="n">
        <f aca="false">IF(FA56&lt;&gt;"Y","",COUNTIFS($FA$2:$FA$1000,"Y",$J$2:$J$1000,"&gt;"&amp;J56)+COUNTIFS($FA$2:$FA$1000,"Y",$J$2:$J$1000,J56,$FG$2:$FG$1000,"&lt;"&amp;FG56)+1)</f>
        <v>25</v>
      </c>
      <c r="Z56" s="0" t="n">
        <v>55</v>
      </c>
      <c r="AA56" s="0" t="s">
        <v>164</v>
      </c>
      <c r="AB56" s="0" t="str">
        <f aca="false">IF($A56="","",IF(AT56="Y",BW56&amp;"",BJ56&amp;""))</f>
        <v>find Morganne at Cirrus 9 Candy on LinkedIn and paste the profile URL into primary_linkedin_url; surname not public: take it from LinkedIn</v>
      </c>
      <c r="AC56" s="0" t="str">
        <f aca="false">IF($A56="","",IF(AT56="Y",BR56&amp;"",BE56&amp;""))</f>
        <v>founder</v>
      </c>
      <c r="AD56" s="0" t="str">
        <f aca="false">IF($A56="","",IF(AT56="Y",BS56&amp;"",BF56&amp;""))</f>
        <v>first-name-only</v>
      </c>
      <c r="AE56" s="0" t="str">
        <f aca="false">IF($A56="","",IF(AT56="Y",BT56&amp;"",BG56&amp;""))</f>
        <v>employer's own site</v>
      </c>
      <c r="AF56" s="0" t="str">
        <f aca="false">IF($A56="","",IF(AT56="Y",BU56&amp;"",BH56&amp;""))</f>
        <v>https://cirrus9candy.com/pages/about</v>
      </c>
      <c r="AG56" s="0" t="str">
        <f aca="false">IF($A56="","",IF(AT56="Y",BV56&amp;"",BI56&amp;""))</f>
        <v>2026-10-24</v>
      </c>
      <c r="AH56" s="0" t="s">
        <v>7157</v>
      </c>
      <c r="AI56" s="0" t="s">
        <v>5664</v>
      </c>
      <c r="AJ56" s="0" t="s">
        <v>7158</v>
      </c>
      <c r="AK56" s="0" t="s">
        <v>7159</v>
      </c>
      <c r="AL56" s="0" t="s">
        <v>164</v>
      </c>
      <c r="AM56" s="0" t="s">
        <v>7160</v>
      </c>
      <c r="AN56" s="0" t="s">
        <v>7154</v>
      </c>
      <c r="AO56" s="5" t="s">
        <v>189</v>
      </c>
      <c r="AR56" s="0" t="str">
        <f aca="false">IF($A56="","",IF(AND(CK56="pass",AO56&lt;&gt;"Y",C56&lt;&gt;"",OR(AU56&lt;&gt;"Y",AV56="Y")),"Y","N"))</f>
        <v>Y</v>
      </c>
      <c r="AS56" s="0" t="str">
        <f aca="false">IF($A56="","",_xlfn.TEXTJOIN("; ",TRUE(),IF(CK56&lt;&gt;"pass","gated out",""),IF(AO56="Y","on hold: "&amp;AP56,""),IF(C56="","no contact named on an opened page",""),IF(AND(AU56="Y",AV56&lt;&gt;"Y"),"founder review pending (Founder review tab)","")))</f>
        <v/>
      </c>
      <c r="AU56" s="0" t="s">
        <v>189</v>
      </c>
      <c r="AY56" s="0" t="s">
        <v>7161</v>
      </c>
      <c r="AZ56" s="0" t="s">
        <v>209</v>
      </c>
      <c r="BA56" s="0" t="s">
        <v>5739</v>
      </c>
      <c r="BC56" s="0" t="str">
        <f aca="false">IF($A56="","",IFERROR(INDEX(Enrichment!$A$2:$GZ$2000,MATCH($A56,INDEX(Enrichment!$A$2:$GZ$2000,0,MATCH("row_id",Enrichment!$A$1:$GZ$1,0)),0),MATCH("work_email",Enrichment!$A$1:$GZ$1,0))&amp;"",""))</f>
        <v/>
      </c>
      <c r="BD56" s="0" t="str">
        <f aca="false">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none</v>
      </c>
      <c r="BE56" s="0" t="s">
        <v>5589</v>
      </c>
      <c r="BF56" s="0" t="s">
        <v>5896</v>
      </c>
      <c r="BG56" s="0" t="s">
        <v>170</v>
      </c>
      <c r="BH56" s="0" t="s">
        <v>7162</v>
      </c>
      <c r="BI56" s="0" t="s">
        <v>172</v>
      </c>
      <c r="BJ56" s="0" t="s">
        <v>7163</v>
      </c>
      <c r="BK56" s="0" t="s">
        <v>5898</v>
      </c>
      <c r="BL56" s="0" t="s">
        <v>7164</v>
      </c>
      <c r="BM56" s="0" t="s">
        <v>209</v>
      </c>
      <c r="BN56" s="0" t="s">
        <v>7165</v>
      </c>
      <c r="BP56" s="0" t="str">
        <f aca="false">IF($A56="","",IFERROR(INDEX(Enrichment!$A$2:$GZ$2000,MATCH($A56,INDEX(Enrichment!$A$2:$GZ$2000,0,MATCH("row_id",Enrichment!$A$1:$GZ$1,0)),0),MATCH("backup_work_email",Enrichment!$A$1:$GZ$1,0))&amp;"",""))</f>
        <v/>
      </c>
      <c r="BQ56" s="0" t="str">
        <f aca="false">IF($A56="","",IF(BP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none</v>
      </c>
      <c r="BR56" s="0" t="s">
        <v>5712</v>
      </c>
      <c r="BS56" s="0" t="s">
        <v>5896</v>
      </c>
      <c r="BT56" s="0" t="s">
        <v>170</v>
      </c>
      <c r="BU56" s="0" t="s">
        <v>7162</v>
      </c>
      <c r="BV56" s="0" t="s">
        <v>172</v>
      </c>
      <c r="BW56" s="0" t="s">
        <v>7166</v>
      </c>
      <c r="BX56" s="0" t="s">
        <v>5898</v>
      </c>
      <c r="BY56" s="0" t="s">
        <v>7167</v>
      </c>
      <c r="BZ56" s="0" t="s">
        <v>7168</v>
      </c>
      <c r="CB56" s="0" t="s">
        <v>7161</v>
      </c>
      <c r="CD56" s="0" t="s">
        <v>7169</v>
      </c>
      <c r="CF56" s="0" t="s">
        <v>7164</v>
      </c>
      <c r="CH56" s="0" t="s">
        <v>7170</v>
      </c>
      <c r="CJ56" s="0" t="s">
        <v>5606</v>
      </c>
      <c r="CK56" s="0" t="s">
        <v>200</v>
      </c>
      <c r="CM56" s="0" t="s">
        <v>201</v>
      </c>
      <c r="CN56" s="0" t="s">
        <v>7171</v>
      </c>
      <c r="CO56" s="0" t="s">
        <v>7159</v>
      </c>
      <c r="CP56" s="0" t="s">
        <v>5608</v>
      </c>
      <c r="CQ56" s="0" t="s">
        <v>5870</v>
      </c>
      <c r="CR56" s="0" t="s">
        <v>209</v>
      </c>
      <c r="CT56" s="0" t="s">
        <v>164</v>
      </c>
      <c r="CU56" s="0" t="s">
        <v>7172</v>
      </c>
      <c r="CV56" s="0" t="s">
        <v>209</v>
      </c>
      <c r="CW56" s="0" t="s">
        <v>164</v>
      </c>
      <c r="CX56" s="0" t="s">
        <v>209</v>
      </c>
      <c r="CZ56" s="0" t="s">
        <v>5993</v>
      </c>
      <c r="DA56" s="0" t="s">
        <v>189</v>
      </c>
      <c r="DB56" s="0" t="s">
        <v>189</v>
      </c>
      <c r="DE56" s="0" t="s">
        <v>189</v>
      </c>
      <c r="DF56" s="0" t="n">
        <v>0</v>
      </c>
      <c r="DI56" s="0" t="s">
        <v>7173</v>
      </c>
      <c r="DK56" s="0" t="s">
        <v>5617</v>
      </c>
      <c r="DL56" s="0" t="n">
        <v>5</v>
      </c>
      <c r="DM56" s="0" t="s">
        <v>6470</v>
      </c>
      <c r="DN56" s="0" t="n">
        <v>48</v>
      </c>
      <c r="DO56" s="0" t="n">
        <v>6</v>
      </c>
      <c r="DP56" s="0" t="n">
        <v>13</v>
      </c>
      <c r="DQ56" s="0" t="n">
        <v>15</v>
      </c>
      <c r="DR56" s="0" t="n">
        <v>5</v>
      </c>
      <c r="DS56" s="0" t="n">
        <v>8</v>
      </c>
      <c r="DT56" s="0" t="n">
        <v>3</v>
      </c>
      <c r="DU56" s="0" t="n">
        <f aca="false">IF($A56="","",IF(R56="Y",10,0))</f>
        <v>0</v>
      </c>
      <c r="DV56" s="0" t="n">
        <v>-2</v>
      </c>
      <c r="DW56" s="0" t="s">
        <v>7174</v>
      </c>
      <c r="DX56" s="0" t="s">
        <v>5998</v>
      </c>
      <c r="DY56" s="0" t="s">
        <v>7175</v>
      </c>
      <c r="DZ56" s="0" t="s">
        <v>7176</v>
      </c>
      <c r="EV56" s="0" t="str">
        <f aca="false">IF($A56="","",IF(ISNUMBER(MATCH(U56,{"queued","contacted","replied","call_booked","call_done","yes_in_principle","materials_sent"},0)),"Y","N"))</f>
        <v>N</v>
      </c>
      <c r="EW56" s="0" t="str">
        <f aca="false">IF($A56="","",IF(OR(T56="Y",U56="do_not_contact",AQ56&amp;""&lt;&gt;""),"Y","N"))</f>
        <v>N</v>
      </c>
      <c r="EX56" s="0" t="str">
        <f aca="false">IF($A56="","",IF(AN56&amp;""&lt;&gt;"",AN56&amp;"",$A56))</f>
        <v>AB-281</v>
      </c>
      <c r="EY56" s="0" t="str">
        <f aca="false">IF($A56="","",IF(COUNTIFS($EX$2:$EX$1000,EX56,$EV$2:$EV$1000,"Y")+COUNTIFS($EX$2:$EX$1000,EX56,$EW$2:$EW$1000,"Y")&gt;0,"Y","N"))</f>
        <v>N</v>
      </c>
      <c r="EZ56" s="0" t="str">
        <f aca="false">IF($A56="","",IF(AND(U56="new",T56="N",EW56="N",AR56="Y",EY56="N"),"Y","N"))</f>
        <v>Y</v>
      </c>
      <c r="FA56" s="0" t="str">
        <f aca="false">IF($A56="","",IF(EZ56&lt;&gt;"Y","N",IF(COUNTIFS($EX$2:$EX$1000,EX56,$EZ$2:$EZ$1000,"Y",$J$2:$J$1000,"&gt;"&amp;J56)+COUNTIFS($EX$2:$EX$1000,EX56,$EZ$2:$EZ$1000,"Y",$J$2:$J$1000,J56,$FG$2:$FG$1000,"&lt;"&amp;FG56)=0,"Y","N")))</f>
        <v>Y</v>
      </c>
      <c r="FB56" s="0" t="str">
        <f aca="false">IF($A56="","",IF(AND(EZ56="Y",FA56="Y",Y56&amp;""&lt;&gt;""),IF(Y56&lt;=10,"Y","N"),"N"))</f>
        <v>N</v>
      </c>
      <c r="FC56" s="0" t="str">
        <f aca="false">IF(FB56="Y",Y56,"")</f>
        <v/>
      </c>
      <c r="FD56" s="0" t="str">
        <f aca="false">IF($A56="","",IF(AND(CK56="pass",AU56="Y",AV56&lt;&gt;"Y",U56="new",EW56="N"),"Y","N"))</f>
        <v>N</v>
      </c>
      <c r="FE56" s="0" t="str">
        <f aca="false">IF(FD56&lt;&gt;"Y","",IF(COUNTIFS($FD$2:$FD$1000,"Y",$J$2:$J$1000,"&gt;"&amp;J56)+COUNTIFS($FD$2:$FD$1000,"Y",$J$2:$J$1000,J56,$FG$2:$FG$1000,"&lt;"&amp;FG56)+1&lt;=30,COUNTIFS($FD$2:$FD$1000,"Y",$J$2:$J$1000,"&gt;"&amp;J56)+COUNTIFS($FD$2:$FD$1000,"Y",$J$2:$J$1000,J56,$FG$2:$FG$1000,"&lt;"&amp;FG56)+1,""))</f>
        <v/>
      </c>
      <c r="FF56" s="0" t="str">
        <f aca="false">IF(AND(_xlfn.ISFORMULA(C56),_xlfn.ISFORMULA(J56)),"Y","N")</f>
        <v>Y</v>
      </c>
      <c r="FG56" s="0" t="n">
        <f aca="false">ROW()-1</f>
        <v>55</v>
      </c>
    </row>
    <row r="57" customFormat="false" ht="15" hidden="false" customHeight="false" outlineLevel="0" collapsed="false">
      <c r="A57" s="0" t="s">
        <v>7177</v>
      </c>
      <c r="B57" s="0" t="s">
        <v>7178</v>
      </c>
      <c r="C57" s="0" t="str">
        <f aca="false">IF($A57="","",IF(AT57="Y",BL57&amp;"",AY57&amp;""))</f>
        <v/>
      </c>
      <c r="D57" s="0" t="str">
        <f aca="false">IF($A57="","",IF(AT57="Y",BM57&amp;"",AZ57&amp;""))</f>
        <v/>
      </c>
      <c r="E57" s="0" t="str">
        <f aca="false">IF($A57="","",IF(AT57="Y",BN57&amp;"",BA57&amp;""))</f>
        <v/>
      </c>
      <c r="F57" s="0" t="str">
        <f aca="false">IF($A57="","",IF(AT57="Y",BO57&amp;"",BB57&amp;""))</f>
        <v/>
      </c>
      <c r="G57" s="0" t="str">
        <f aca="false">IF($A57="","",IF(AT57="Y",BP57&amp;"",BC57&amp;""))</f>
        <v/>
      </c>
      <c r="H57" s="0" t="str">
        <f aca="false">IF($A57="","",IF(AT57="Y",BQ57&amp;"",BD57&amp;""))</f>
        <v>none</v>
      </c>
      <c r="I57" s="0" t="str">
        <f aca="false">IF($A57="","",IF(R57="Y","warm-intro",IF(H57="verified","email",IF(C57&lt;&gt;"","linkedin",CA57&amp;""))))</f>
        <v/>
      </c>
      <c r="J57" s="0" t="n">
        <f aca="false">IF($A57="","",IF(CK57="pass",ROUND(N(DO57)+N(DP57)+N(DQ57)+N(DR57)+N(DS57)+N(DT57)+N(DU57)+N(DV57),0),0))</f>
        <v>48</v>
      </c>
      <c r="K57" s="0" t="str">
        <f aca="false">IF($A57="","",IF(CK57&lt;&gt;"pass",BY57&amp;"",BY57&amp;", "&amp;IF(AT57="Y",BX57&amp;"",BK57&amp;"")&amp;BZ57&amp;IF(R57="Y","; known to the founder (+10)","")&amp;"."))</f>
        <v>New York City brand (HQ unverified), brand locator shows Fairway Market Chelsea inside the cluster, no dated why-now in the last 12 months, revenue unknown, contact seen only in a snippet; founder review: claim-functional, nutrient-claim.</v>
      </c>
      <c r="M57" s="0" t="s">
        <v>7179</v>
      </c>
      <c r="N57" s="0" t="s">
        <v>5915</v>
      </c>
      <c r="R57" s="5" t="s">
        <v>189</v>
      </c>
      <c r="S57" s="0" t="s">
        <v>209</v>
      </c>
      <c r="T57" s="5" t="s">
        <v>189</v>
      </c>
      <c r="U57" s="5" t="s">
        <v>3896</v>
      </c>
      <c r="V57" s="0" t="s">
        <v>7180</v>
      </c>
      <c r="W57" s="0" t="s">
        <v>263</v>
      </c>
      <c r="X57" s="0" t="s">
        <v>5578</v>
      </c>
      <c r="Y57" s="0" t="str">
        <f aca="false">IF(FA57&lt;&gt;"Y","",COUNTIFS($FA$2:$FA$1000,"Y",$J$2:$J$1000,"&gt;"&amp;J57)+COUNTIFS($FA$2:$FA$1000,"Y",$J$2:$J$1000,J57,$FG$2:$FG$1000,"&lt;"&amp;FG57)+1)</f>
        <v/>
      </c>
      <c r="Z57" s="0" t="n">
        <v>56</v>
      </c>
      <c r="AA57" s="0" t="s">
        <v>164</v>
      </c>
      <c r="AB57" s="0" t="str">
        <f aca="false">IF($A57="","",IF(AT57="Y",BW57&amp;"",BJ57&amp;""))</f>
        <v>no person named on an opened page: not ready; the retailer line rests on the brand's own store locator: say 'your store locator lists ...'</v>
      </c>
      <c r="AC57" s="0" t="str">
        <f aca="false">IF($A57="","",IF(AT57="Y",BR57&amp;"",BE57&amp;""))</f>
        <v>founder</v>
      </c>
      <c r="AD57" s="0" t="str">
        <f aca="false">IF($A57="","",IF(AT57="Y",BS57&amp;"",BF57&amp;""))</f>
        <v>unverified</v>
      </c>
      <c r="AE57" s="0" t="str">
        <f aca="false">IF($A57="","",IF(AT57="Y",BT57&amp;"",BG57&amp;""))</f>
        <v>employer's own site</v>
      </c>
      <c r="AF57" s="0" t="str">
        <f aca="false">IF($A57="","",IF(AT57="Y",BU57&amp;"",BH57&amp;""))</f>
        <v>https://oozwater.com/pages/our-story</v>
      </c>
      <c r="AG57" s="0" t="str">
        <f aca="false">IF($A57="","",IF(AT57="Y",BV57&amp;"",BI57&amp;""))</f>
        <v>2026-10-23</v>
      </c>
      <c r="AH57" s="0" t="s">
        <v>7181</v>
      </c>
      <c r="AI57" s="0" t="s">
        <v>6621</v>
      </c>
      <c r="AJ57" s="0" t="s">
        <v>7182</v>
      </c>
      <c r="AK57" s="0" t="s">
        <v>7183</v>
      </c>
      <c r="AL57" s="0" t="s">
        <v>164</v>
      </c>
      <c r="AM57" s="0" t="s">
        <v>7184</v>
      </c>
      <c r="AN57" s="0" t="s">
        <v>7177</v>
      </c>
      <c r="AO57" s="5" t="s">
        <v>189</v>
      </c>
      <c r="AR57" s="0" t="str">
        <f aca="false">IF($A57="","",IF(AND(CK57="pass",AO57&lt;&gt;"Y",C57&lt;&gt;"",OR(AU57&lt;&gt;"Y",AV57="Y")),"Y","N"))</f>
        <v>N</v>
      </c>
      <c r="AS57" s="0" t="str">
        <f aca="false">IF($A57="","",_xlfn.TEXTJOIN("; ",TRUE(),IF(CK57&lt;&gt;"pass","gated out",""),IF(AO57="Y","on hold: "&amp;AP57,""),IF(C57="","no contact named on an opened page",""),IF(AND(AU57="Y",AV57&lt;&gt;"Y"),"founder review pending (Founder review tab)","")))</f>
        <v>no contact named on an opened page; founder review pending (Founder review tab)</v>
      </c>
      <c r="AU57" s="0" t="s">
        <v>164</v>
      </c>
      <c r="BC57" s="0" t="str">
        <f aca="false">IF($A57="","",IFERROR(INDEX(Enrichment!$A$2:$GZ$2000,MATCH($A57,INDEX(Enrichment!$A$2:$GZ$2000,0,MATCH("row_id",Enrichment!$A$1:$GZ$1,0)),0),MATCH("work_email",Enrichment!$A$1:$GZ$1,0))&amp;"",""))</f>
        <v/>
      </c>
      <c r="BD57" s="0" t="str">
        <f aca="false">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none</v>
      </c>
      <c r="BE57" s="0" t="s">
        <v>5589</v>
      </c>
      <c r="BF57" s="0" t="s">
        <v>740</v>
      </c>
      <c r="BG57" s="0" t="s">
        <v>170</v>
      </c>
      <c r="BH57" s="0" t="s">
        <v>7180</v>
      </c>
      <c r="BI57" s="0" t="s">
        <v>263</v>
      </c>
      <c r="BJ57" s="0" t="s">
        <v>7185</v>
      </c>
      <c r="BK57" s="0" t="s">
        <v>5834</v>
      </c>
      <c r="BP57" s="0" t="str">
        <f aca="false">IF($A57="","",IFERROR(INDEX(Enrichment!$A$2:$GZ$2000,MATCH($A57,INDEX(Enrichment!$A$2:$GZ$2000,0,MATCH("row_id",Enrichment!$A$1:$GZ$1,0)),0),MATCH("backup_work_email",Enrichment!$A$1:$GZ$1,0))&amp;"",""))</f>
        <v/>
      </c>
      <c r="BQ57" s="0" t="str">
        <f aca="false">IF($A57="","",IF(BP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none</v>
      </c>
      <c r="BS57" s="0" t="s">
        <v>380</v>
      </c>
      <c r="BW57" s="0" t="s">
        <v>5929</v>
      </c>
      <c r="BX57" s="0" t="s">
        <v>388</v>
      </c>
      <c r="BY57" s="0" t="s">
        <v>7186</v>
      </c>
      <c r="BZ57" s="0" t="s">
        <v>6050</v>
      </c>
      <c r="CB57" s="0" t="s">
        <v>7187</v>
      </c>
      <c r="CJ57" s="0" t="s">
        <v>7088</v>
      </c>
      <c r="CK57" s="0" t="s">
        <v>200</v>
      </c>
      <c r="CM57" s="0" t="s">
        <v>201</v>
      </c>
      <c r="CN57" s="0" t="s">
        <v>6051</v>
      </c>
      <c r="CO57" s="0" t="s">
        <v>7183</v>
      </c>
      <c r="CP57" s="0" t="s">
        <v>7188</v>
      </c>
      <c r="CQ57" s="0" t="s">
        <v>7189</v>
      </c>
      <c r="CR57" s="0" t="s">
        <v>209</v>
      </c>
      <c r="CT57" s="0" t="s">
        <v>164</v>
      </c>
      <c r="CU57" s="0" t="s">
        <v>7190</v>
      </c>
      <c r="CV57" s="0" t="s">
        <v>164</v>
      </c>
      <c r="CW57" s="0" t="s">
        <v>164</v>
      </c>
      <c r="CX57" s="0" t="s">
        <v>209</v>
      </c>
      <c r="CZ57" s="0" t="s">
        <v>6456</v>
      </c>
      <c r="DA57" s="0" t="s">
        <v>189</v>
      </c>
      <c r="DB57" s="0" t="s">
        <v>189</v>
      </c>
      <c r="DD57" s="0" t="n">
        <v>0</v>
      </c>
      <c r="DE57" s="0" t="s">
        <v>164</v>
      </c>
      <c r="DF57" s="0" t="n">
        <v>4</v>
      </c>
      <c r="DG57" s="0" t="s">
        <v>7191</v>
      </c>
      <c r="DH57" s="0" t="s">
        <v>7192</v>
      </c>
      <c r="DI57" s="0" t="s">
        <v>7193</v>
      </c>
      <c r="DJ57" s="0" t="s">
        <v>7194</v>
      </c>
      <c r="DK57" s="0" t="s">
        <v>380</v>
      </c>
      <c r="DN57" s="0" t="n">
        <v>48</v>
      </c>
      <c r="DO57" s="0" t="n">
        <v>17</v>
      </c>
      <c r="DP57" s="0" t="n">
        <v>17</v>
      </c>
      <c r="DQ57" s="0" t="n">
        <v>0</v>
      </c>
      <c r="DR57" s="0" t="n">
        <v>5</v>
      </c>
      <c r="DS57" s="0" t="n">
        <v>10</v>
      </c>
      <c r="DT57" s="0" t="n">
        <v>3</v>
      </c>
      <c r="DU57" s="0" t="n">
        <f aca="false">IF($A57="","",IF(R57="Y",10,0))</f>
        <v>0</v>
      </c>
      <c r="DV57" s="0" t="n">
        <v>-4</v>
      </c>
      <c r="DW57" s="0" t="s">
        <v>209</v>
      </c>
      <c r="DX57" s="0" t="s">
        <v>6462</v>
      </c>
      <c r="DY57" s="0" t="s">
        <v>7195</v>
      </c>
      <c r="DZ57" s="0" t="s">
        <v>7196</v>
      </c>
      <c r="EA57" s="0" t="s">
        <v>7197</v>
      </c>
      <c r="EV57" s="0" t="str">
        <f aca="false">IF($A57="","",IF(ISNUMBER(MATCH(U57,{"queued","contacted","replied","call_booked","call_done","yes_in_principle","materials_sent"},0)),"Y","N"))</f>
        <v>N</v>
      </c>
      <c r="EW57" s="0" t="str">
        <f aca="false">IF($A57="","",IF(OR(T57="Y",U57="do_not_contact",AQ57&amp;""&lt;&gt;""),"Y","N"))</f>
        <v>N</v>
      </c>
      <c r="EX57" s="0" t="str">
        <f aca="false">IF($A57="","",IF(AN57&amp;""&lt;&gt;"",AN57&amp;"",$A57))</f>
        <v>AB-182</v>
      </c>
      <c r="EY57" s="0" t="str">
        <f aca="false">IF($A57="","",IF(COUNTIFS($EX$2:$EX$1000,EX57,$EV$2:$EV$1000,"Y")+COUNTIFS($EX$2:$EX$1000,EX57,$EW$2:$EW$1000,"Y")&gt;0,"Y","N"))</f>
        <v>N</v>
      </c>
      <c r="EZ57" s="0" t="str">
        <f aca="false">IF($A57="","",IF(AND(U57="new",T57="N",EW57="N",AR57="Y",EY57="N"),"Y","N"))</f>
        <v>N</v>
      </c>
      <c r="FA57" s="0" t="str">
        <f aca="false">IF($A57="","",IF(EZ57&lt;&gt;"Y","N",IF(COUNTIFS($EX$2:$EX$1000,EX57,$EZ$2:$EZ$1000,"Y",$J$2:$J$1000,"&gt;"&amp;J57)+COUNTIFS($EX$2:$EX$1000,EX57,$EZ$2:$EZ$1000,"Y",$J$2:$J$1000,J57,$FG$2:$FG$1000,"&lt;"&amp;FG57)=0,"Y","N")))</f>
        <v>N</v>
      </c>
      <c r="FB57" s="0" t="str">
        <f aca="false">IF($A57="","",IF(AND(EZ57="Y",FA57="Y",Y57&amp;""&lt;&gt;""),IF(Y57&lt;=10,"Y","N"),"N"))</f>
        <v>N</v>
      </c>
      <c r="FC57" s="0" t="str">
        <f aca="false">IF(FB57="Y",Y57,"")</f>
        <v/>
      </c>
      <c r="FD57" s="0" t="str">
        <f aca="false">IF($A57="","",IF(AND(CK57="pass",AU57="Y",AV57&lt;&gt;"Y",U57="new",EW57="N"),"Y","N"))</f>
        <v>Y</v>
      </c>
      <c r="FE57" s="0" t="n">
        <f aca="false">IF(FD57&lt;&gt;"Y","",IF(COUNTIFS($FD$2:$FD$1000,"Y",$J$2:$J$1000,"&gt;"&amp;J57)+COUNTIFS($FD$2:$FD$1000,"Y",$J$2:$J$1000,J57,$FG$2:$FG$1000,"&lt;"&amp;FG57)+1&lt;=30,COUNTIFS($FD$2:$FD$1000,"Y",$J$2:$J$1000,"&gt;"&amp;J57)+COUNTIFS($FD$2:$FD$1000,"Y",$J$2:$J$1000,J57,$FG$2:$FG$1000,"&lt;"&amp;FG57)+1,""))</f>
        <v>27</v>
      </c>
      <c r="FF57" s="0" t="str">
        <f aca="false">IF(AND(_xlfn.ISFORMULA(C57),_xlfn.ISFORMULA(J57)),"Y","N")</f>
        <v>Y</v>
      </c>
      <c r="FG57" s="0" t="n">
        <f aca="false">ROW()-1</f>
        <v>56</v>
      </c>
    </row>
    <row r="58" customFormat="false" ht="15" hidden="false" customHeight="false" outlineLevel="0" collapsed="false">
      <c r="A58" s="0" t="s">
        <v>7198</v>
      </c>
      <c r="B58" s="0" t="s">
        <v>7199</v>
      </c>
      <c r="C58" s="0" t="str">
        <f aca="false">IF($A58="","",IF(AT58="Y",BL58&amp;"",AY58&amp;""))</f>
        <v>Renee</v>
      </c>
      <c r="D58" s="0" t="str">
        <f aca="false">IF($A58="","",IF(AT58="Y",BM58&amp;"",AZ58&amp;""))</f>
        <v>Dunn</v>
      </c>
      <c r="E58" s="0" t="str">
        <f aca="false">IF($A58="","",IF(AT58="Y",BN58&amp;"",BA58&amp;""))</f>
        <v>Founder and CEO</v>
      </c>
      <c r="F58" s="0" t="str">
        <f aca="false">IF($A58="","",IF(AT58="Y",BO58&amp;"",BB58&amp;""))</f>
        <v/>
      </c>
      <c r="G58" s="0" t="str">
        <f aca="false">IF($A58="","",IF(AT58="Y",BP58&amp;"",BC58&amp;""))</f>
        <v/>
      </c>
      <c r="H58" s="0" t="str">
        <f aca="false">IF($A58="","",IF(AT58="Y",BQ58&amp;"",BD58&amp;""))</f>
        <v>none</v>
      </c>
      <c r="I58" s="0" t="str">
        <f aca="false">IF($A58="","",IF(R58="Y","warm-intro",IF(H58="verified","email",IF(C58&lt;&gt;"","linkedin",CA58&amp;""))))</f>
        <v>linkedin</v>
      </c>
      <c r="J58" s="0" t="n">
        <f aca="false">IF($A58="","",IF(CK58="pass",ROUND(N(DO58)+N(DP58)+N(DQ58)+N(DR58)+N(DS58)+N(DT58)+N(DU58)+N(DV58),0),0))</f>
        <v>47</v>
      </c>
      <c r="K58" s="0" t="str">
        <f aca="false">IF($A58="","",IF(CK58&lt;&gt;"pass",BY58&amp;"",BY58&amp;", "&amp;IF(AT58="Y",BX58&amp;"",BK58&amp;"")&amp;BZ58&amp;IF(R58="Y","; known to the founder (+10)","")&amp;"."))</f>
        <v>Brand based outside the Northeast, store page shows Whole Foods Market NoMad inside the cluster, no dated why-now in the last 12 months, revenue unknown, contact named; founder review: shelf life not stated.</v>
      </c>
      <c r="M58" s="0" t="s">
        <v>5572</v>
      </c>
      <c r="N58" s="0" t="s">
        <v>5573</v>
      </c>
      <c r="R58" s="5" t="s">
        <v>189</v>
      </c>
      <c r="S58" s="0" t="s">
        <v>209</v>
      </c>
      <c r="T58" s="5" t="s">
        <v>189</v>
      </c>
      <c r="U58" s="5" t="s">
        <v>3896</v>
      </c>
      <c r="V58" s="0" t="s">
        <v>7200</v>
      </c>
      <c r="W58" s="0" t="s">
        <v>263</v>
      </c>
      <c r="X58" s="0" t="s">
        <v>5578</v>
      </c>
      <c r="Y58" s="0" t="n">
        <f aca="false">IF(FA58&lt;&gt;"Y","",COUNTIFS($FA$2:$FA$1000,"Y",$J$2:$J$1000,"&gt;"&amp;J58)+COUNTIFS($FA$2:$FA$1000,"Y",$J$2:$J$1000,J58,$FG$2:$FG$1000,"&lt;"&amp;FG58)+1)</f>
        <v>26</v>
      </c>
      <c r="Z58" s="0" t="n">
        <v>57</v>
      </c>
      <c r="AA58" s="0" t="s">
        <v>164</v>
      </c>
      <c r="AB58" s="0" t="str">
        <f aca="false">IF($A58="","",IF(AT58="Y",BW58&amp;"",BJ58&amp;""))</f>
        <v>find Renee Dunn at Amazi Foods on LinkedIn and paste the profile URL into primary_linkedin_url; use the Whole Foods Market NoMad line only if retailer_checked_date is this week's Friday check</v>
      </c>
      <c r="AC58" s="0" t="str">
        <f aca="false">IF($A58="","",IF(AT58="Y",BR58&amp;"",BE58&amp;""))</f>
        <v>founder</v>
      </c>
      <c r="AD58" s="0" t="str">
        <f aca="false">IF($A58="","",IF(AT58="Y",BS58&amp;"",BF58&amp;""))</f>
        <v>verified-page</v>
      </c>
      <c r="AE58" s="0" t="str">
        <f aca="false">IF($A58="","",IF(AT58="Y",BT58&amp;"",BG58&amp;""))</f>
        <v>press, event or podcast page</v>
      </c>
      <c r="AF58" s="0" t="str">
        <f aca="false">IF($A58="","",IF(AT58="Y",BU58&amp;"",BH58&amp;""))</f>
        <v>https://www.foodbusinessnews.net/articles/22974-amazi-rebrands-expands-lineup</v>
      </c>
      <c r="AG58" s="0" t="str">
        <f aca="false">IF($A58="","",IF(AT58="Y",BV58&amp;"",BI58&amp;""))</f>
        <v>2026-10-24</v>
      </c>
      <c r="AH58" s="0" t="s">
        <v>7201</v>
      </c>
      <c r="AI58" s="0" t="s">
        <v>6532</v>
      </c>
      <c r="AJ58" s="0" t="s">
        <v>7202</v>
      </c>
      <c r="AK58" s="0" t="s">
        <v>7203</v>
      </c>
      <c r="AL58" s="0" t="s">
        <v>164</v>
      </c>
      <c r="AM58" s="0" t="s">
        <v>5666</v>
      </c>
      <c r="AN58" s="0" t="s">
        <v>7198</v>
      </c>
      <c r="AO58" s="5" t="s">
        <v>189</v>
      </c>
      <c r="AR58" s="0" t="str">
        <f aca="false">IF($A58="","",IF(AND(CK58="pass",AO58&lt;&gt;"Y",C58&lt;&gt;"",OR(AU58&lt;&gt;"Y",AV58="Y")),"Y","N"))</f>
        <v>Y</v>
      </c>
      <c r="AS58" s="0" t="str">
        <f aca="false">IF($A58="","",_xlfn.TEXTJOIN("; ",TRUE(),IF(CK58&lt;&gt;"pass","gated out",""),IF(AO58="Y","on hold: "&amp;AP58,""),IF(C58="","no contact named on an opened page",""),IF(AND(AU58="Y",AV58&lt;&gt;"Y"),"founder review pending (Founder review tab)","")))</f>
        <v/>
      </c>
      <c r="AU58" s="0" t="s">
        <v>189</v>
      </c>
      <c r="AX58" s="0" t="s">
        <v>7204</v>
      </c>
      <c r="AY58" s="0" t="s">
        <v>7205</v>
      </c>
      <c r="AZ58" s="0" t="s">
        <v>7206</v>
      </c>
      <c r="BA58" s="0" t="s">
        <v>5670</v>
      </c>
      <c r="BC58" s="0" t="str">
        <f aca="false">IF($A58="","",IFERROR(INDEX(Enrichment!$A$2:$GZ$2000,MATCH($A58,INDEX(Enrichment!$A$2:$GZ$2000,0,MATCH("row_id",Enrichment!$A$1:$GZ$1,0)),0),MATCH("work_email",Enrichment!$A$1:$GZ$1,0))&amp;"",""))</f>
        <v/>
      </c>
      <c r="BD58" s="0" t="str">
        <f aca="false">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none</v>
      </c>
      <c r="BE58" s="0" t="s">
        <v>5589</v>
      </c>
      <c r="BF58" s="0" t="s">
        <v>169</v>
      </c>
      <c r="BG58" s="0" t="s">
        <v>1252</v>
      </c>
      <c r="BH58" s="0" t="s">
        <v>7207</v>
      </c>
      <c r="BI58" s="0" t="s">
        <v>172</v>
      </c>
      <c r="BJ58" s="0" t="s">
        <v>7208</v>
      </c>
      <c r="BK58" s="0" t="s">
        <v>5643</v>
      </c>
      <c r="BP58" s="0" t="str">
        <f aca="false">IF($A58="","",IFERROR(INDEX(Enrichment!$A$2:$GZ$2000,MATCH($A58,INDEX(Enrichment!$A$2:$GZ$2000,0,MATCH("row_id",Enrichment!$A$1:$GZ$1,0)),0),MATCH("backup_work_email",Enrichment!$A$1:$GZ$1,0))&amp;"",""))</f>
        <v/>
      </c>
      <c r="BQ58" s="0" t="str">
        <f aca="false">IF($A58="","",IF(BP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none</v>
      </c>
      <c r="BS58" s="0" t="s">
        <v>380</v>
      </c>
      <c r="BW58" s="0" t="s">
        <v>5741</v>
      </c>
      <c r="BX58" s="0" t="s">
        <v>388</v>
      </c>
      <c r="BY58" s="0" t="s">
        <v>7209</v>
      </c>
      <c r="BZ58" s="0" t="s">
        <v>5679</v>
      </c>
      <c r="CB58" s="0" t="s">
        <v>7210</v>
      </c>
      <c r="CD58" s="0" t="s">
        <v>7211</v>
      </c>
      <c r="CJ58" s="0" t="s">
        <v>5720</v>
      </c>
      <c r="CK58" s="0" t="s">
        <v>200</v>
      </c>
      <c r="CM58" s="0" t="s">
        <v>201</v>
      </c>
      <c r="CO58" s="0" t="s">
        <v>7203</v>
      </c>
      <c r="CP58" s="0" t="s">
        <v>7212</v>
      </c>
      <c r="CQ58" s="0" t="s">
        <v>6198</v>
      </c>
      <c r="CR58" s="0" t="s">
        <v>209</v>
      </c>
      <c r="CT58" s="0" t="s">
        <v>352</v>
      </c>
      <c r="CU58" s="0" t="s">
        <v>7213</v>
      </c>
      <c r="CV58" s="0" t="s">
        <v>164</v>
      </c>
      <c r="CW58" s="0" t="s">
        <v>164</v>
      </c>
      <c r="CX58" s="0" t="s">
        <v>209</v>
      </c>
      <c r="CZ58" s="0" t="s">
        <v>209</v>
      </c>
      <c r="DA58" s="0" t="s">
        <v>189</v>
      </c>
      <c r="DB58" s="0" t="s">
        <v>189</v>
      </c>
      <c r="DD58" s="0" t="n">
        <v>0</v>
      </c>
      <c r="DE58" s="0" t="s">
        <v>164</v>
      </c>
      <c r="DF58" s="0" t="n">
        <v>2</v>
      </c>
      <c r="DG58" s="0" t="s">
        <v>5746</v>
      </c>
      <c r="DI58" s="0" t="s">
        <v>7214</v>
      </c>
      <c r="DJ58" s="0" t="s">
        <v>7215</v>
      </c>
      <c r="DK58" s="0" t="s">
        <v>380</v>
      </c>
      <c r="DN58" s="0" t="n">
        <v>47</v>
      </c>
      <c r="DO58" s="0" t="n">
        <v>25</v>
      </c>
      <c r="DP58" s="0" t="n">
        <v>3</v>
      </c>
      <c r="DQ58" s="0" t="n">
        <v>0</v>
      </c>
      <c r="DR58" s="0" t="n">
        <v>5</v>
      </c>
      <c r="DS58" s="0" t="n">
        <v>8</v>
      </c>
      <c r="DT58" s="0" t="n">
        <v>6</v>
      </c>
      <c r="DU58" s="0" t="n">
        <f aca="false">IF($A58="","",IF(R58="Y",10,0))</f>
        <v>0</v>
      </c>
      <c r="DV58" s="0" t="n">
        <v>0</v>
      </c>
      <c r="DW58" s="0" t="s">
        <v>7216</v>
      </c>
      <c r="DX58" s="0" t="s">
        <v>5691</v>
      </c>
      <c r="DY58" s="0" t="s">
        <v>7217</v>
      </c>
      <c r="DZ58" s="0" t="s">
        <v>7218</v>
      </c>
      <c r="EA58" s="0" t="s">
        <v>7219</v>
      </c>
      <c r="EV58" s="0" t="str">
        <f aca="false">IF($A58="","",IF(ISNUMBER(MATCH(U58,{"queued","contacted","replied","call_booked","call_done","yes_in_principle","materials_sent"},0)),"Y","N"))</f>
        <v>N</v>
      </c>
      <c r="EW58" s="0" t="str">
        <f aca="false">IF($A58="","",IF(OR(T58="Y",U58="do_not_contact",AQ58&amp;""&lt;&gt;""),"Y","N"))</f>
        <v>N</v>
      </c>
      <c r="EX58" s="0" t="str">
        <f aca="false">IF($A58="","",IF(AN58&amp;""&lt;&gt;"",AN58&amp;"",$A58))</f>
        <v>AB-119</v>
      </c>
      <c r="EY58" s="0" t="str">
        <f aca="false">IF($A58="","",IF(COUNTIFS($EX$2:$EX$1000,EX58,$EV$2:$EV$1000,"Y")+COUNTIFS($EX$2:$EX$1000,EX58,$EW$2:$EW$1000,"Y")&gt;0,"Y","N"))</f>
        <v>N</v>
      </c>
      <c r="EZ58" s="0" t="str">
        <f aca="false">IF($A58="","",IF(AND(U58="new",T58="N",EW58="N",AR58="Y",EY58="N"),"Y","N"))</f>
        <v>Y</v>
      </c>
      <c r="FA58" s="0" t="str">
        <f aca="false">IF($A58="","",IF(EZ58&lt;&gt;"Y","N",IF(COUNTIFS($EX$2:$EX$1000,EX58,$EZ$2:$EZ$1000,"Y",$J$2:$J$1000,"&gt;"&amp;J58)+COUNTIFS($EX$2:$EX$1000,EX58,$EZ$2:$EZ$1000,"Y",$J$2:$J$1000,J58,$FG$2:$FG$1000,"&lt;"&amp;FG58)=0,"Y","N")))</f>
        <v>Y</v>
      </c>
      <c r="FB58" s="0" t="str">
        <f aca="false">IF($A58="","",IF(AND(EZ58="Y",FA58="Y",Y58&amp;""&lt;&gt;""),IF(Y58&lt;=10,"Y","N"),"N"))</f>
        <v>N</v>
      </c>
      <c r="FC58" s="0" t="str">
        <f aca="false">IF(FB58="Y",Y58,"")</f>
        <v/>
      </c>
      <c r="FD58" s="0" t="str">
        <f aca="false">IF($A58="","",IF(AND(CK58="pass",AU58="Y",AV58&lt;&gt;"Y",U58="new",EW58="N"),"Y","N"))</f>
        <v>N</v>
      </c>
      <c r="FE58" s="0" t="str">
        <f aca="false">IF(FD58&lt;&gt;"Y","",IF(COUNTIFS($FD$2:$FD$1000,"Y",$J$2:$J$1000,"&gt;"&amp;J58)+COUNTIFS($FD$2:$FD$1000,"Y",$J$2:$J$1000,J58,$FG$2:$FG$1000,"&lt;"&amp;FG58)+1&lt;=30,COUNTIFS($FD$2:$FD$1000,"Y",$J$2:$J$1000,"&gt;"&amp;J58)+COUNTIFS($FD$2:$FD$1000,"Y",$J$2:$J$1000,J58,$FG$2:$FG$1000,"&lt;"&amp;FG58)+1,""))</f>
        <v/>
      </c>
      <c r="FF58" s="0" t="str">
        <f aca="false">IF(AND(_xlfn.ISFORMULA(C58),_xlfn.ISFORMULA(J58)),"Y","N")</f>
        <v>Y</v>
      </c>
      <c r="FG58" s="0" t="n">
        <f aca="false">ROW()-1</f>
        <v>57</v>
      </c>
    </row>
    <row r="59" customFormat="false" ht="15" hidden="false" customHeight="false" outlineLevel="0" collapsed="false">
      <c r="A59" s="0" t="s">
        <v>7220</v>
      </c>
      <c r="B59" s="0" t="s">
        <v>7221</v>
      </c>
      <c r="C59" s="0" t="str">
        <f aca="false">IF($A59="","",IF(AT59="Y",BL59&amp;"",AY59&amp;""))</f>
        <v>Nekisia</v>
      </c>
      <c r="D59" s="0" t="str">
        <f aca="false">IF($A59="","",IF(AT59="Y",BM59&amp;"",AZ59&amp;""))</f>
        <v>Davis</v>
      </c>
      <c r="E59" s="0" t="str">
        <f aca="false">IF($A59="","",IF(AT59="Y",BN59&amp;"",BA59&amp;""))</f>
        <v>Founder</v>
      </c>
      <c r="F59" s="0" t="str">
        <f aca="false">IF($A59="","",IF(AT59="Y",BO59&amp;"",BB59&amp;""))</f>
        <v/>
      </c>
      <c r="G59" s="0" t="str">
        <f aca="false">IF($A59="","",IF(AT59="Y",BP59&amp;"",BC59&amp;""))</f>
        <v/>
      </c>
      <c r="H59" s="0" t="str">
        <f aca="false">IF($A59="","",IF(AT59="Y",BQ59&amp;"",BD59&amp;""))</f>
        <v>none</v>
      </c>
      <c r="I59" s="0" t="str">
        <f aca="false">IF($A59="","",IF(R59="Y","warm-intro",IF(H59="verified","email",IF(C59&lt;&gt;"","linkedin",CA59&amp;""))))</f>
        <v>linkedin</v>
      </c>
      <c r="J59" s="0" t="n">
        <f aca="false">IF($A59="","",IF(CK59="pass",ROUND(N(DO59)+N(DP59)+N(DQ59)+N(DR59)+N(DS59)+N(DT59)+N(DU59)+N(DV59),0),0))</f>
        <v>47</v>
      </c>
      <c r="K59" s="0" t="str">
        <f aca="false">IF($A59="","",IF(CK59&lt;&gt;"pass",BY59&amp;"",BY59&amp;", "&amp;IF(AT59="Y",BX59&amp;"",BK59&amp;"")&amp;BZ59&amp;IF(R59="Y","; known to the founder (+10)","")&amp;"."))</f>
        <v>Brand based outside the Northeast (HQ unverified), store page shows Whole Foods Market NoMad inside the cluster, no dated why-now in the last 12 months, revenue unknown, contact named; founder review: other.</v>
      </c>
      <c r="M59" s="0" t="s">
        <v>5572</v>
      </c>
      <c r="N59" s="0" t="s">
        <v>5573</v>
      </c>
      <c r="R59" s="5" t="s">
        <v>189</v>
      </c>
      <c r="S59" s="0" t="s">
        <v>209</v>
      </c>
      <c r="T59" s="5" t="s">
        <v>189</v>
      </c>
      <c r="U59" s="5" t="s">
        <v>3896</v>
      </c>
      <c r="V59" s="0" t="s">
        <v>7222</v>
      </c>
      <c r="W59" s="0" t="s">
        <v>263</v>
      </c>
      <c r="X59" s="0" t="s">
        <v>5578</v>
      </c>
      <c r="Y59" s="0" t="n">
        <f aca="false">IF(FA59&lt;&gt;"Y","",COUNTIFS($FA$2:$FA$1000,"Y",$J$2:$J$1000,"&gt;"&amp;J59)+COUNTIFS($FA$2:$FA$1000,"Y",$J$2:$J$1000,J59,$FG$2:$FG$1000,"&lt;"&amp;FG59)+1)</f>
        <v>27</v>
      </c>
      <c r="Z59" s="0" t="n">
        <v>58</v>
      </c>
      <c r="AA59" s="0" t="s">
        <v>164</v>
      </c>
      <c r="AB59" s="0" t="str">
        <f aca="false">IF($A59="","",IF(AT59="Y",BW59&amp;"",BJ59&amp;""))</f>
        <v>find Nekisia Davis at Early Bird Foods &amp; Co. on LinkedIn and paste the profile URL into primary_linkedin_url; use the Whole Foods Market NoMad line only if retailer_checked_date is this week's Friday check</v>
      </c>
      <c r="AC59" s="0" t="str">
        <f aca="false">IF($A59="","",IF(AT59="Y",BR59&amp;"",BE59&amp;""))</f>
        <v>founder</v>
      </c>
      <c r="AD59" s="0" t="str">
        <f aca="false">IF($A59="","",IF(AT59="Y",BS59&amp;"",BF59&amp;""))</f>
        <v>verified-page</v>
      </c>
      <c r="AE59" s="0" t="str">
        <f aca="false">IF($A59="","",IF(AT59="Y",BT59&amp;"",BG59&amp;""))</f>
        <v>employer's own site</v>
      </c>
      <c r="AF59" s="0" t="str">
        <f aca="false">IF($A59="","",IF(AT59="Y",BU59&amp;"",BH59&amp;""))</f>
        <v>https://earlybirdfoods.com/pages/about</v>
      </c>
      <c r="AG59" s="0" t="str">
        <f aca="false">IF($A59="","",IF(AT59="Y",BV59&amp;"",BI59&amp;""))</f>
        <v>2026-10-24</v>
      </c>
      <c r="AH59" s="0" t="s">
        <v>7223</v>
      </c>
      <c r="AI59" s="0" t="s">
        <v>6042</v>
      </c>
      <c r="AJ59" s="0" t="s">
        <v>7224</v>
      </c>
      <c r="AK59" s="0" t="s">
        <v>7225</v>
      </c>
      <c r="AL59" s="0" t="s">
        <v>164</v>
      </c>
      <c r="AM59" s="0" t="s">
        <v>7226</v>
      </c>
      <c r="AN59" s="0" t="s">
        <v>7220</v>
      </c>
      <c r="AO59" s="5" t="s">
        <v>189</v>
      </c>
      <c r="AR59" s="0" t="str">
        <f aca="false">IF($A59="","",IF(AND(CK59="pass",AO59&lt;&gt;"Y",C59&lt;&gt;"",OR(AU59&lt;&gt;"Y",AV59="Y")),"Y","N"))</f>
        <v>Y</v>
      </c>
      <c r="AS59" s="0" t="str">
        <f aca="false">IF($A59="","",_xlfn.TEXTJOIN("; ",TRUE(),IF(CK59&lt;&gt;"pass","gated out",""),IF(AO59="Y","on hold: "&amp;AP59,""),IF(C59="","no contact named on an opened page",""),IF(AND(AU59="Y",AV59&lt;&gt;"Y"),"founder review pending (Founder review tab)","")))</f>
        <v/>
      </c>
      <c r="AU59" s="0" t="s">
        <v>189</v>
      </c>
      <c r="AX59" s="0" t="s">
        <v>7227</v>
      </c>
      <c r="AY59" s="0" t="s">
        <v>7228</v>
      </c>
      <c r="AZ59" s="0" t="s">
        <v>7229</v>
      </c>
      <c r="BA59" s="0" t="s">
        <v>5739</v>
      </c>
      <c r="BC59" s="0" t="str">
        <f aca="false">IF($A59="","",IFERROR(INDEX(Enrichment!$A$2:$GZ$2000,MATCH($A59,INDEX(Enrichment!$A$2:$GZ$2000,0,MATCH("row_id",Enrichment!$A$1:$GZ$1,0)),0),MATCH("work_email",Enrichment!$A$1:$GZ$1,0))&amp;"",""))</f>
        <v/>
      </c>
      <c r="BD59" s="0" t="str">
        <f aca="false">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none</v>
      </c>
      <c r="BE59" s="0" t="s">
        <v>5589</v>
      </c>
      <c r="BF59" s="0" t="s">
        <v>169</v>
      </c>
      <c r="BG59" s="0" t="s">
        <v>170</v>
      </c>
      <c r="BH59" s="0" t="s">
        <v>7222</v>
      </c>
      <c r="BI59" s="0" t="s">
        <v>172</v>
      </c>
      <c r="BJ59" s="0" t="s">
        <v>7230</v>
      </c>
      <c r="BK59" s="0" t="s">
        <v>5643</v>
      </c>
      <c r="BP59" s="0" t="str">
        <f aca="false">IF($A59="","",IFERROR(INDEX(Enrichment!$A$2:$GZ$2000,MATCH($A59,INDEX(Enrichment!$A$2:$GZ$2000,0,MATCH("row_id",Enrichment!$A$1:$GZ$1,0)),0),MATCH("backup_work_email",Enrichment!$A$1:$GZ$1,0))&amp;"",""))</f>
        <v/>
      </c>
      <c r="BQ59" s="0" t="str">
        <f aca="false">IF($A59="","",IF(BP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none</v>
      </c>
      <c r="BS59" s="0" t="s">
        <v>380</v>
      </c>
      <c r="BW59" s="0" t="s">
        <v>5741</v>
      </c>
      <c r="BX59" s="0" t="s">
        <v>388</v>
      </c>
      <c r="BY59" s="0" t="s">
        <v>7231</v>
      </c>
      <c r="BZ59" s="0" t="s">
        <v>5960</v>
      </c>
      <c r="CB59" s="0" t="s">
        <v>7232</v>
      </c>
      <c r="CD59" s="0" t="s">
        <v>7233</v>
      </c>
      <c r="CJ59" s="0" t="s">
        <v>5720</v>
      </c>
      <c r="CK59" s="0" t="s">
        <v>200</v>
      </c>
      <c r="CM59" s="0" t="s">
        <v>201</v>
      </c>
      <c r="CN59" s="0" t="s">
        <v>443</v>
      </c>
      <c r="CO59" s="0" t="s">
        <v>7225</v>
      </c>
      <c r="CP59" s="0" t="s">
        <v>7234</v>
      </c>
      <c r="CQ59" s="0" t="s">
        <v>7235</v>
      </c>
      <c r="CR59" s="0" t="s">
        <v>209</v>
      </c>
      <c r="CT59" s="0" t="s">
        <v>164</v>
      </c>
      <c r="CU59" s="0" t="s">
        <v>7236</v>
      </c>
      <c r="CV59" s="0" t="s">
        <v>164</v>
      </c>
      <c r="CW59" s="0" t="s">
        <v>164</v>
      </c>
      <c r="CX59" s="0" t="s">
        <v>209</v>
      </c>
      <c r="CZ59" s="0" t="s">
        <v>209</v>
      </c>
      <c r="DA59" s="0" t="s">
        <v>189</v>
      </c>
      <c r="DB59" s="0" t="s">
        <v>189</v>
      </c>
      <c r="DD59" s="0" t="n">
        <v>0</v>
      </c>
      <c r="DE59" s="0" t="s">
        <v>164</v>
      </c>
      <c r="DF59" s="0" t="n">
        <v>11</v>
      </c>
      <c r="DG59" s="0" t="s">
        <v>7237</v>
      </c>
      <c r="DH59" s="0" t="s">
        <v>5969</v>
      </c>
      <c r="DI59" s="0" t="s">
        <v>7238</v>
      </c>
      <c r="DJ59" s="0" t="s">
        <v>7239</v>
      </c>
      <c r="DK59" s="0" t="s">
        <v>380</v>
      </c>
      <c r="DN59" s="0" t="n">
        <v>47</v>
      </c>
      <c r="DO59" s="0" t="n">
        <v>25</v>
      </c>
      <c r="DP59" s="0" t="n">
        <v>3</v>
      </c>
      <c r="DQ59" s="0" t="n">
        <v>0</v>
      </c>
      <c r="DR59" s="0" t="n">
        <v>5</v>
      </c>
      <c r="DS59" s="0" t="n">
        <v>10</v>
      </c>
      <c r="DT59" s="0" t="n">
        <v>6</v>
      </c>
      <c r="DU59" s="0" t="n">
        <f aca="false">IF($A59="","",IF(R59="Y",10,0))</f>
        <v>0</v>
      </c>
      <c r="DV59" s="0" t="n">
        <v>-2</v>
      </c>
      <c r="DW59" s="0" t="s">
        <v>7240</v>
      </c>
      <c r="DX59" s="0" t="s">
        <v>5619</v>
      </c>
      <c r="DY59" s="0" t="s">
        <v>7241</v>
      </c>
      <c r="DZ59" s="0" t="s">
        <v>7242</v>
      </c>
      <c r="EA59" s="0" t="s">
        <v>7243</v>
      </c>
      <c r="EV59" s="0" t="str">
        <f aca="false">IF($A59="","",IF(ISNUMBER(MATCH(U59,{"queued","contacted","replied","call_booked","call_done","yes_in_principle","materials_sent"},0)),"Y","N"))</f>
        <v>N</v>
      </c>
      <c r="EW59" s="0" t="str">
        <f aca="false">IF($A59="","",IF(OR(T59="Y",U59="do_not_contact",AQ59&amp;""&lt;&gt;""),"Y","N"))</f>
        <v>N</v>
      </c>
      <c r="EX59" s="0" t="str">
        <f aca="false">IF($A59="","",IF(AN59&amp;""&lt;&gt;"",AN59&amp;"",$A59))</f>
        <v>AB-215</v>
      </c>
      <c r="EY59" s="0" t="str">
        <f aca="false">IF($A59="","",IF(COUNTIFS($EX$2:$EX$1000,EX59,$EV$2:$EV$1000,"Y")+COUNTIFS($EX$2:$EX$1000,EX59,$EW$2:$EW$1000,"Y")&gt;0,"Y","N"))</f>
        <v>N</v>
      </c>
      <c r="EZ59" s="0" t="str">
        <f aca="false">IF($A59="","",IF(AND(U59="new",T59="N",EW59="N",AR59="Y",EY59="N"),"Y","N"))</f>
        <v>Y</v>
      </c>
      <c r="FA59" s="0" t="str">
        <f aca="false">IF($A59="","",IF(EZ59&lt;&gt;"Y","N",IF(COUNTIFS($EX$2:$EX$1000,EX59,$EZ$2:$EZ$1000,"Y",$J$2:$J$1000,"&gt;"&amp;J59)+COUNTIFS($EX$2:$EX$1000,EX59,$EZ$2:$EZ$1000,"Y",$J$2:$J$1000,J59,$FG$2:$FG$1000,"&lt;"&amp;FG59)=0,"Y","N")))</f>
        <v>Y</v>
      </c>
      <c r="FB59" s="0" t="str">
        <f aca="false">IF($A59="","",IF(AND(EZ59="Y",FA59="Y",Y59&amp;""&lt;&gt;""),IF(Y59&lt;=10,"Y","N"),"N"))</f>
        <v>N</v>
      </c>
      <c r="FC59" s="0" t="str">
        <f aca="false">IF(FB59="Y",Y59,"")</f>
        <v/>
      </c>
      <c r="FD59" s="0" t="str">
        <f aca="false">IF($A59="","",IF(AND(CK59="pass",AU59="Y",AV59&lt;&gt;"Y",U59="new",EW59="N"),"Y","N"))</f>
        <v>N</v>
      </c>
      <c r="FE59" s="0" t="str">
        <f aca="false">IF(FD59&lt;&gt;"Y","",IF(COUNTIFS($FD$2:$FD$1000,"Y",$J$2:$J$1000,"&gt;"&amp;J59)+COUNTIFS($FD$2:$FD$1000,"Y",$J$2:$J$1000,J59,$FG$2:$FG$1000,"&lt;"&amp;FG59)+1&lt;=30,COUNTIFS($FD$2:$FD$1000,"Y",$J$2:$J$1000,"&gt;"&amp;J59)+COUNTIFS($FD$2:$FD$1000,"Y",$J$2:$J$1000,J59,$FG$2:$FG$1000,"&lt;"&amp;FG59)+1,""))</f>
        <v/>
      </c>
      <c r="FF59" s="0" t="str">
        <f aca="false">IF(AND(_xlfn.ISFORMULA(C59),_xlfn.ISFORMULA(J59)),"Y","N")</f>
        <v>Y</v>
      </c>
      <c r="FG59" s="0" t="n">
        <f aca="false">ROW()-1</f>
        <v>58</v>
      </c>
    </row>
    <row r="60" customFormat="false" ht="15" hidden="false" customHeight="false" outlineLevel="0" collapsed="false">
      <c r="A60" s="0" t="s">
        <v>7244</v>
      </c>
      <c r="B60" s="0" t="s">
        <v>7245</v>
      </c>
      <c r="C60" s="0" t="str">
        <f aca="false">IF($A60="","",IF(AT60="Y",BL60&amp;"",AY60&amp;""))</f>
        <v>Sarah</v>
      </c>
      <c r="D60" s="0" t="str">
        <f aca="false">IF($A60="","",IF(AT60="Y",BM60&amp;"",AZ60&amp;""))</f>
        <v>Harasaki</v>
      </c>
      <c r="E60" s="0" t="str">
        <f aca="false">IF($A60="","",IF(AT60="Y",BN60&amp;"",BA60&amp;""))</f>
        <v>Founder</v>
      </c>
      <c r="F60" s="0" t="str">
        <f aca="false">IF($A60="","",IF(AT60="Y",BO60&amp;"",BB60&amp;""))</f>
        <v/>
      </c>
      <c r="G60" s="0" t="str">
        <f aca="false">IF($A60="","",IF(AT60="Y",BP60&amp;"",BC60&amp;""))</f>
        <v/>
      </c>
      <c r="H60" s="0" t="str">
        <f aca="false">IF($A60="","",IF(AT60="Y",BQ60&amp;"",BD60&amp;""))</f>
        <v>none</v>
      </c>
      <c r="I60" s="0" t="str">
        <f aca="false">IF($A60="","",IF(R60="Y","warm-intro",IF(H60="verified","email",IF(C60&lt;&gt;"","linkedin",CA60&amp;""))))</f>
        <v>linkedin</v>
      </c>
      <c r="J60" s="0" t="n">
        <f aca="false">IF($A60="","",IF(CK60="pass",ROUND(N(DO60)+N(DP60)+N(DQ60)+N(DR60)+N(DS60)+N(DT60)+N(DU60)+N(DV60),0),0))</f>
        <v>47</v>
      </c>
      <c r="K60" s="0" t="str">
        <f aca="false">IF($A60="","",IF(CK60&lt;&gt;"pass",BY60&amp;"",BY60&amp;", "&amp;IF(AT60="Y",BX60&amp;"",BK60&amp;"")&amp;BZ60&amp;IF(R60="Y","; known to the founder (+10)","")&amp;"."))</f>
        <v>New York City brand, brand locator shows Jack's Market 1.3 blocks outside it, no dated why-now in the last 12 months, revenue unknown, contact named; founder review: format, nutrient-claim.</v>
      </c>
      <c r="M60" s="0" t="s">
        <v>7246</v>
      </c>
      <c r="N60" s="0" t="s">
        <v>5915</v>
      </c>
      <c r="R60" s="5" t="s">
        <v>189</v>
      </c>
      <c r="S60" s="0" t="s">
        <v>209</v>
      </c>
      <c r="T60" s="5" t="s">
        <v>189</v>
      </c>
      <c r="U60" s="5" t="s">
        <v>3896</v>
      </c>
      <c r="V60" s="0" t="s">
        <v>7247</v>
      </c>
      <c r="W60" s="0" t="s">
        <v>263</v>
      </c>
      <c r="X60" s="0" t="s">
        <v>5578</v>
      </c>
      <c r="Y60" s="0" t="str">
        <f aca="false">IF(FA60&lt;&gt;"Y","",COUNTIFS($FA$2:$FA$1000,"Y",$J$2:$J$1000,"&gt;"&amp;J60)+COUNTIFS($FA$2:$FA$1000,"Y",$J$2:$J$1000,J60,$FG$2:$FG$1000,"&lt;"&amp;FG60)+1)</f>
        <v/>
      </c>
      <c r="Z60" s="0" t="n">
        <v>59</v>
      </c>
      <c r="AA60" s="0" t="s">
        <v>164</v>
      </c>
      <c r="AB60" s="0" t="str">
        <f aca="false">IF($A60="","",IF(AT60="Y",BW60&amp;"",BJ60&amp;""))</f>
        <v>find Sarah Harasaki at Nomi Crunch on LinkedIn and paste the profile URL into primary_linkedin_url; the retailer line rests on the brand's own store locator: say 'your store locator lists ...'</v>
      </c>
      <c r="AC60" s="0" t="str">
        <f aca="false">IF($A60="","",IF(AT60="Y",BR60&amp;"",BE60&amp;""))</f>
        <v>founder</v>
      </c>
      <c r="AD60" s="0" t="str">
        <f aca="false">IF($A60="","",IF(AT60="Y",BS60&amp;"",BF60&amp;""))</f>
        <v>verified-page</v>
      </c>
      <c r="AE60" s="0" t="str">
        <f aca="false">IF($A60="","",IF(AT60="Y",BT60&amp;"",BG60&amp;""))</f>
        <v>press, event or podcast page</v>
      </c>
      <c r="AF60" s="0" t="str">
        <f aca="false">IF($A60="","",IF(AT60="Y",BU60&amp;"",BH60&amp;""))</f>
        <v>https://www.pearlriver.com/products/nomi-crunch-granola-earl-grey-yuzu</v>
      </c>
      <c r="AG60" s="0" t="str">
        <f aca="false">IF($A60="","",IF(AT60="Y",BV60&amp;"",BI60&amp;""))</f>
        <v>2026-10-24</v>
      </c>
      <c r="AH60" s="0" t="s">
        <v>7248</v>
      </c>
      <c r="AI60" s="0" t="s">
        <v>6042</v>
      </c>
      <c r="AJ60" s="0" t="s">
        <v>7249</v>
      </c>
      <c r="AK60" s="0" t="s">
        <v>7250</v>
      </c>
      <c r="AL60" s="0" t="s">
        <v>164</v>
      </c>
      <c r="AM60" s="0" t="s">
        <v>7251</v>
      </c>
      <c r="AN60" s="0" t="s">
        <v>7244</v>
      </c>
      <c r="AO60" s="5" t="s">
        <v>189</v>
      </c>
      <c r="AR60" s="0" t="str">
        <f aca="false">IF($A60="","",IF(AND(CK60="pass",AO60&lt;&gt;"Y",C60&lt;&gt;"",OR(AU60&lt;&gt;"Y",AV60="Y")),"Y","N"))</f>
        <v>N</v>
      </c>
      <c r="AS60" s="0" t="str">
        <f aca="false">IF($A60="","",_xlfn.TEXTJOIN("; ",TRUE(),IF(CK60&lt;&gt;"pass","gated out",""),IF(AO60="Y","on hold: "&amp;AP60,""),IF(C60="","no contact named on an opened page",""),IF(AND(AU60="Y",AV60&lt;&gt;"Y"),"founder review pending (Founder review tab)","")))</f>
        <v>founder review pending (Founder review tab)</v>
      </c>
      <c r="AU60" s="0" t="s">
        <v>164</v>
      </c>
      <c r="AY60" s="0" t="s">
        <v>7252</v>
      </c>
      <c r="AZ60" s="0" t="s">
        <v>7253</v>
      </c>
      <c r="BA60" s="0" t="s">
        <v>5739</v>
      </c>
      <c r="BC60" s="0" t="str">
        <f aca="false">IF($A60="","",IFERROR(INDEX(Enrichment!$A$2:$GZ$2000,MATCH($A60,INDEX(Enrichment!$A$2:$GZ$2000,0,MATCH("row_id",Enrichment!$A$1:$GZ$1,0)),0),MATCH("work_email",Enrichment!$A$1:$GZ$1,0))&amp;"",""))</f>
        <v/>
      </c>
      <c r="BD60" s="0" t="str">
        <f aca="false">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none</v>
      </c>
      <c r="BE60" s="0" t="s">
        <v>5589</v>
      </c>
      <c r="BF60" s="0" t="s">
        <v>169</v>
      </c>
      <c r="BG60" s="0" t="s">
        <v>1252</v>
      </c>
      <c r="BH60" s="0" t="s">
        <v>7254</v>
      </c>
      <c r="BI60" s="0" t="s">
        <v>172</v>
      </c>
      <c r="BJ60" s="0" t="s">
        <v>7255</v>
      </c>
      <c r="BK60" s="0" t="s">
        <v>5643</v>
      </c>
      <c r="BP60" s="0" t="str">
        <f aca="false">IF($A60="","",IFERROR(INDEX(Enrichment!$A$2:$GZ$2000,MATCH($A60,INDEX(Enrichment!$A$2:$GZ$2000,0,MATCH("row_id",Enrichment!$A$1:$GZ$1,0)),0),MATCH("backup_work_email",Enrichment!$A$1:$GZ$1,0))&amp;"",""))</f>
        <v/>
      </c>
      <c r="BQ60" s="0" t="str">
        <f aca="false">IF($A60="","",IF(BP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none</v>
      </c>
      <c r="BS60" s="0" t="s">
        <v>380</v>
      </c>
      <c r="BW60" s="0" t="s">
        <v>5929</v>
      </c>
      <c r="BX60" s="0" t="s">
        <v>388</v>
      </c>
      <c r="BY60" s="0" t="s">
        <v>7256</v>
      </c>
      <c r="BZ60" s="0" t="s">
        <v>7257</v>
      </c>
      <c r="CB60" s="0" t="s">
        <v>7258</v>
      </c>
      <c r="CD60" s="0" t="s">
        <v>7259</v>
      </c>
      <c r="CJ60" s="0" t="s">
        <v>5720</v>
      </c>
      <c r="CK60" s="0" t="s">
        <v>200</v>
      </c>
      <c r="CM60" s="0" t="s">
        <v>201</v>
      </c>
      <c r="CN60" s="0" t="s">
        <v>7260</v>
      </c>
      <c r="CO60" s="0" t="s">
        <v>7250</v>
      </c>
      <c r="CP60" s="0" t="s">
        <v>5608</v>
      </c>
      <c r="CQ60" s="0" t="s">
        <v>5609</v>
      </c>
      <c r="CR60" s="0" t="s">
        <v>209</v>
      </c>
      <c r="CT60" s="0" t="s">
        <v>164</v>
      </c>
      <c r="CU60" s="0" t="s">
        <v>7261</v>
      </c>
      <c r="CV60" s="0" t="s">
        <v>189</v>
      </c>
      <c r="CW60" s="0" t="s">
        <v>164</v>
      </c>
      <c r="CX60" s="0" t="s">
        <v>209</v>
      </c>
      <c r="CZ60" s="0" t="s">
        <v>209</v>
      </c>
      <c r="DA60" s="0" t="s">
        <v>189</v>
      </c>
      <c r="DB60" s="0" t="s">
        <v>189</v>
      </c>
      <c r="DD60" s="0" t="n">
        <v>1.3</v>
      </c>
      <c r="DE60" s="0" t="s">
        <v>189</v>
      </c>
      <c r="DF60" s="0" t="n">
        <v>1</v>
      </c>
      <c r="DG60" s="0" t="s">
        <v>7262</v>
      </c>
      <c r="DH60" s="0" t="s">
        <v>6736</v>
      </c>
      <c r="DI60" s="0" t="s">
        <v>7263</v>
      </c>
      <c r="DJ60" s="0" t="s">
        <v>7264</v>
      </c>
      <c r="DK60" s="0" t="s">
        <v>380</v>
      </c>
      <c r="DN60" s="0" t="n">
        <v>47</v>
      </c>
      <c r="DO60" s="0" t="n">
        <v>13</v>
      </c>
      <c r="DP60" s="0" t="n">
        <v>20</v>
      </c>
      <c r="DQ60" s="0" t="n">
        <v>0</v>
      </c>
      <c r="DR60" s="0" t="n">
        <v>5</v>
      </c>
      <c r="DS60" s="0" t="n">
        <v>7</v>
      </c>
      <c r="DT60" s="0" t="n">
        <v>6</v>
      </c>
      <c r="DU60" s="0" t="n">
        <f aca="false">IF($A60="","",IF(R60="Y",10,0))</f>
        <v>0</v>
      </c>
      <c r="DV60" s="0" t="n">
        <v>-4</v>
      </c>
      <c r="DX60" s="0" t="s">
        <v>5619</v>
      </c>
      <c r="DY60" s="0" t="s">
        <v>7265</v>
      </c>
      <c r="DZ60" s="0" t="s">
        <v>7266</v>
      </c>
      <c r="EA60" s="0" t="s">
        <v>7267</v>
      </c>
      <c r="EV60" s="0" t="str">
        <f aca="false">IF($A60="","",IF(ISNUMBER(MATCH(U60,{"queued","contacted","replied","call_booked","call_done","yes_in_principle","materials_sent"},0)),"Y","N"))</f>
        <v>N</v>
      </c>
      <c r="EW60" s="0" t="str">
        <f aca="false">IF($A60="","",IF(OR(T60="Y",U60="do_not_contact",AQ60&amp;""&lt;&gt;""),"Y","N"))</f>
        <v>N</v>
      </c>
      <c r="EX60" s="0" t="str">
        <f aca="false">IF($A60="","",IF(AN60&amp;""&lt;&gt;"",AN60&amp;"",$A60))</f>
        <v>AB-241</v>
      </c>
      <c r="EY60" s="0" t="str">
        <f aca="false">IF($A60="","",IF(COUNTIFS($EX$2:$EX$1000,EX60,$EV$2:$EV$1000,"Y")+COUNTIFS($EX$2:$EX$1000,EX60,$EW$2:$EW$1000,"Y")&gt;0,"Y","N"))</f>
        <v>N</v>
      </c>
      <c r="EZ60" s="0" t="str">
        <f aca="false">IF($A60="","",IF(AND(U60="new",T60="N",EW60="N",AR60="Y",EY60="N"),"Y","N"))</f>
        <v>N</v>
      </c>
      <c r="FA60" s="0" t="str">
        <f aca="false">IF($A60="","",IF(EZ60&lt;&gt;"Y","N",IF(COUNTIFS($EX$2:$EX$1000,EX60,$EZ$2:$EZ$1000,"Y",$J$2:$J$1000,"&gt;"&amp;J60)+COUNTIFS($EX$2:$EX$1000,EX60,$EZ$2:$EZ$1000,"Y",$J$2:$J$1000,J60,$FG$2:$FG$1000,"&lt;"&amp;FG60)=0,"Y","N")))</f>
        <v>N</v>
      </c>
      <c r="FB60" s="0" t="str">
        <f aca="false">IF($A60="","",IF(AND(EZ60="Y",FA60="Y",Y60&amp;""&lt;&gt;""),IF(Y60&lt;=10,"Y","N"),"N"))</f>
        <v>N</v>
      </c>
      <c r="FC60" s="0" t="str">
        <f aca="false">IF(FB60="Y",Y60,"")</f>
        <v/>
      </c>
      <c r="FD60" s="0" t="str">
        <f aca="false">IF($A60="","",IF(AND(CK60="pass",AU60="Y",AV60&lt;&gt;"Y",U60="new",EW60="N"),"Y","N"))</f>
        <v>Y</v>
      </c>
      <c r="FE60" s="0" t="n">
        <f aca="false">IF(FD60&lt;&gt;"Y","",IF(COUNTIFS($FD$2:$FD$1000,"Y",$J$2:$J$1000,"&gt;"&amp;J60)+COUNTIFS($FD$2:$FD$1000,"Y",$J$2:$J$1000,J60,$FG$2:$FG$1000,"&lt;"&amp;FG60)+1&lt;=30,COUNTIFS($FD$2:$FD$1000,"Y",$J$2:$J$1000,"&gt;"&amp;J60)+COUNTIFS($FD$2:$FD$1000,"Y",$J$2:$J$1000,J60,$FG$2:$FG$1000,"&lt;"&amp;FG60)+1,""))</f>
        <v>28</v>
      </c>
      <c r="FF60" s="0" t="str">
        <f aca="false">IF(AND(_xlfn.ISFORMULA(C60),_xlfn.ISFORMULA(J60)),"Y","N")</f>
        <v>Y</v>
      </c>
      <c r="FG60" s="0" t="n">
        <f aca="false">ROW()-1</f>
        <v>59</v>
      </c>
    </row>
    <row r="61" customFormat="false" ht="15" hidden="false" customHeight="false" outlineLevel="0" collapsed="false">
      <c r="A61" s="0" t="s">
        <v>7268</v>
      </c>
      <c r="B61" s="0" t="s">
        <v>7269</v>
      </c>
      <c r="C61" s="0" t="str">
        <f aca="false">IF($A61="","",IF(AT61="Y",BL61&amp;"",AY61&amp;""))</f>
        <v>Pierrelande</v>
      </c>
      <c r="D61" s="0" t="str">
        <f aca="false">IF($A61="","",IF(AT61="Y",BM61&amp;"",AZ61&amp;""))</f>
        <v>Saint Cyr</v>
      </c>
      <c r="E61" s="0" t="str">
        <f aca="false">IF($A61="","",IF(AT61="Y",BN61&amp;"",BA61&amp;""))</f>
        <v>Co-founder</v>
      </c>
      <c r="F61" s="0" t="str">
        <f aca="false">IF($A61="","",IF(AT61="Y",BO61&amp;"",BB61&amp;""))</f>
        <v/>
      </c>
      <c r="G61" s="0" t="str">
        <f aca="false">IF($A61="","",IF(AT61="Y",BP61&amp;"",BC61&amp;""))</f>
        <v/>
      </c>
      <c r="H61" s="0" t="str">
        <f aca="false">IF($A61="","",IF(AT61="Y",BQ61&amp;"",BD61&amp;""))</f>
        <v>none</v>
      </c>
      <c r="I61" s="0" t="str">
        <f aca="false">IF($A61="","",IF(R61="Y","warm-intro",IF(H61="verified","email",IF(C61&lt;&gt;"","linkedin",CA61&amp;""))))</f>
        <v>linkedin</v>
      </c>
      <c r="J61" s="0" t="n">
        <f aca="false">IF($A61="","",IF(CK61="pass",ROUND(N(DO61)+N(DP61)+N(DQ61)+N(DR61)+N(DS61)+N(DT61)+N(DU61)+N(DV61),0),0))</f>
        <v>47</v>
      </c>
      <c r="K61" s="0" t="str">
        <f aca="false">IF($A61="","",IF(CK61&lt;&gt;"pass",BY61&amp;"",BY61&amp;", "&amp;IF(AT61="Y",BX61&amp;"",BK61&amp;"")&amp;BZ61&amp;IF(R61="Y","; known to the founder (+10)","")&amp;"."))</f>
        <v>New York State brand, no graded store within ten blocks, online store only, news 142 days ago, revenue unknown, contact named; founder review: under-floor.</v>
      </c>
      <c r="M61" s="0" t="s">
        <v>6144</v>
      </c>
      <c r="N61" s="0" t="s">
        <v>740</v>
      </c>
      <c r="O61" s="0" t="s">
        <v>7270</v>
      </c>
      <c r="P61" s="0" t="s">
        <v>7271</v>
      </c>
      <c r="Q61" s="0" t="s">
        <v>7272</v>
      </c>
      <c r="R61" s="5" t="s">
        <v>189</v>
      </c>
      <c r="S61" s="0" t="s">
        <v>164</v>
      </c>
      <c r="T61" s="5" t="s">
        <v>189</v>
      </c>
      <c r="U61" s="5" t="s">
        <v>3896</v>
      </c>
      <c r="V61" s="0" t="s">
        <v>7271</v>
      </c>
      <c r="W61" s="0" t="s">
        <v>263</v>
      </c>
      <c r="X61" s="0" t="s">
        <v>5578</v>
      </c>
      <c r="Y61" s="0" t="n">
        <f aca="false">IF(FA61&lt;&gt;"Y","",COUNTIFS($FA$2:$FA$1000,"Y",$J$2:$J$1000,"&gt;"&amp;J61)+COUNTIFS($FA$2:$FA$1000,"Y",$J$2:$J$1000,J61,$FG$2:$FG$1000,"&lt;"&amp;FG61)+1)</f>
        <v>28</v>
      </c>
      <c r="Z61" s="0" t="n">
        <v>60</v>
      </c>
      <c r="AA61" s="0" t="s">
        <v>164</v>
      </c>
      <c r="AB61" s="0" t="str">
        <f aca="false">IF($A61="","",IF(AT61="Y",BW61&amp;"",BJ61&amp;""))</f>
        <v>find Pierrelande Saint Cyr at NouBon on LinkedIn and paste the profile URL into primary_linkedin_url</v>
      </c>
      <c r="AC61" s="0" t="str">
        <f aca="false">IF($A61="","",IF(AT61="Y",BR61&amp;"",BE61&amp;""))</f>
        <v>founder</v>
      </c>
      <c r="AD61" s="0" t="str">
        <f aca="false">IF($A61="","",IF(AT61="Y",BS61&amp;"",BF61&amp;""))</f>
        <v>verified-page</v>
      </c>
      <c r="AE61" s="0" t="str">
        <f aca="false">IF($A61="","",IF(AT61="Y",BT61&amp;"",BG61&amp;""))</f>
        <v>press, event or podcast page</v>
      </c>
      <c r="AF61" s="0" t="str">
        <f aca="false">IF($A61="","",IF(AT61="Y",BU61&amp;"",BH61&amp;""))</f>
        <v>https://startupcpg.com/startup-cpg-newswire-noubon-bringing-bold-small-batch-caribbean-flavors-to-store-shelves/</v>
      </c>
      <c r="AG61" s="0" t="str">
        <f aca="false">IF($A61="","",IF(AT61="Y",BV61&amp;"",BI61&amp;""))</f>
        <v>2026-10-24</v>
      </c>
      <c r="AH61" s="0" t="s">
        <v>7273</v>
      </c>
      <c r="AI61" s="0" t="s">
        <v>5664</v>
      </c>
      <c r="AJ61" s="0" t="s">
        <v>7274</v>
      </c>
      <c r="AK61" s="0" t="s">
        <v>7275</v>
      </c>
      <c r="AL61" s="0" t="s">
        <v>164</v>
      </c>
      <c r="AM61" s="0" t="s">
        <v>7276</v>
      </c>
      <c r="AN61" s="0" t="s">
        <v>7268</v>
      </c>
      <c r="AO61" s="5" t="s">
        <v>189</v>
      </c>
      <c r="AR61" s="0" t="str">
        <f aca="false">IF($A61="","",IF(AND(CK61="pass",AO61&lt;&gt;"Y",C61&lt;&gt;"",OR(AU61&lt;&gt;"Y",AV61="Y")),"Y","N"))</f>
        <v>Y</v>
      </c>
      <c r="AS61" s="0" t="str">
        <f aca="false">IF($A61="","",_xlfn.TEXTJOIN("; ",TRUE(),IF(CK61&lt;&gt;"pass","gated out",""),IF(AO61="Y","on hold: "&amp;AP61,""),IF(C61="","no contact named on an opened page",""),IF(AND(AU61="Y",AV61&lt;&gt;"Y"),"founder review pending (Founder review tab)","")))</f>
        <v/>
      </c>
      <c r="AU61" s="0" t="s">
        <v>189</v>
      </c>
      <c r="AY61" s="0" t="s">
        <v>7277</v>
      </c>
      <c r="AZ61" s="0" t="s">
        <v>7278</v>
      </c>
      <c r="BA61" s="0" t="s">
        <v>5636</v>
      </c>
      <c r="BC61" s="0" t="str">
        <f aca="false">IF($A61="","",IFERROR(INDEX(Enrichment!$A$2:$GZ$2000,MATCH($A61,INDEX(Enrichment!$A$2:$GZ$2000,0,MATCH("row_id",Enrichment!$A$1:$GZ$1,0)),0),MATCH("work_email",Enrichment!$A$1:$GZ$1,0))&amp;"",""))</f>
        <v/>
      </c>
      <c r="BD61" s="0" t="str">
        <f aca="false">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none</v>
      </c>
      <c r="BE61" s="0" t="s">
        <v>5589</v>
      </c>
      <c r="BF61" s="0" t="s">
        <v>169</v>
      </c>
      <c r="BG61" s="0" t="s">
        <v>1252</v>
      </c>
      <c r="BH61" s="0" t="s">
        <v>7271</v>
      </c>
      <c r="BI61" s="0" t="s">
        <v>172</v>
      </c>
      <c r="BJ61" s="0" t="s">
        <v>7279</v>
      </c>
      <c r="BK61" s="0" t="s">
        <v>5643</v>
      </c>
      <c r="BP61" s="0" t="str">
        <f aca="false">IF($A61="","",IFERROR(INDEX(Enrichment!$A$2:$GZ$2000,MATCH($A61,INDEX(Enrichment!$A$2:$GZ$2000,0,MATCH("row_id",Enrichment!$A$1:$GZ$1,0)),0),MATCH("backup_work_email",Enrichment!$A$1:$GZ$1,0))&amp;"",""))</f>
        <v/>
      </c>
      <c r="BQ61" s="0" t="str">
        <f aca="false">IF($A61="","",IF(BP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none</v>
      </c>
      <c r="BS61" s="0" t="s">
        <v>380</v>
      </c>
      <c r="BW61" s="0" t="s">
        <v>387</v>
      </c>
      <c r="BX61" s="0" t="s">
        <v>388</v>
      </c>
      <c r="BY61" s="0" t="s">
        <v>7280</v>
      </c>
      <c r="BZ61" s="0" t="s">
        <v>7281</v>
      </c>
      <c r="CB61" s="0" t="s">
        <v>7282</v>
      </c>
      <c r="CD61" s="0" t="s">
        <v>7283</v>
      </c>
      <c r="CJ61" s="0" t="s">
        <v>5720</v>
      </c>
      <c r="CK61" s="0" t="s">
        <v>200</v>
      </c>
      <c r="CM61" s="0" t="s">
        <v>201</v>
      </c>
      <c r="CN61" s="0" t="s">
        <v>7284</v>
      </c>
      <c r="CO61" s="0" t="s">
        <v>7275</v>
      </c>
      <c r="CP61" s="0" t="s">
        <v>5608</v>
      </c>
      <c r="CQ61" s="0" t="s">
        <v>5870</v>
      </c>
      <c r="CR61" s="0" t="s">
        <v>209</v>
      </c>
      <c r="CT61" s="0" t="s">
        <v>209</v>
      </c>
      <c r="CU61" s="0" t="s">
        <v>7285</v>
      </c>
      <c r="CV61" s="0" t="s">
        <v>164</v>
      </c>
      <c r="CW61" s="0" t="s">
        <v>164</v>
      </c>
      <c r="CX61" s="0" t="s">
        <v>209</v>
      </c>
      <c r="CZ61" s="0" t="s">
        <v>7286</v>
      </c>
      <c r="DA61" s="0" t="s">
        <v>189</v>
      </c>
      <c r="DB61" s="0" t="s">
        <v>189</v>
      </c>
      <c r="DE61" s="0" t="s">
        <v>189</v>
      </c>
      <c r="DF61" s="0" t="n">
        <v>0</v>
      </c>
      <c r="DI61" s="0" t="s">
        <v>7287</v>
      </c>
      <c r="DK61" s="0" t="s">
        <v>5617</v>
      </c>
      <c r="DL61" s="0" t="n">
        <v>142</v>
      </c>
      <c r="DM61" s="0" t="s">
        <v>7271</v>
      </c>
      <c r="DN61" s="0" t="n">
        <v>47</v>
      </c>
      <c r="DO61" s="0" t="n">
        <v>6</v>
      </c>
      <c r="DP61" s="0" t="n">
        <v>13</v>
      </c>
      <c r="DQ61" s="0" t="n">
        <v>15</v>
      </c>
      <c r="DR61" s="0" t="n">
        <v>5</v>
      </c>
      <c r="DS61" s="0" t="n">
        <v>7</v>
      </c>
      <c r="DT61" s="0" t="n">
        <v>6</v>
      </c>
      <c r="DU61" s="0" t="n">
        <f aca="false">IF($A61="","",IF(R61="Y",10,0))</f>
        <v>0</v>
      </c>
      <c r="DV61" s="0" t="n">
        <v>-5</v>
      </c>
      <c r="DX61" s="0" t="s">
        <v>5619</v>
      </c>
      <c r="DY61" s="0" t="s">
        <v>7288</v>
      </c>
      <c r="DZ61" s="0" t="s">
        <v>7289</v>
      </c>
      <c r="EA61" s="0" t="s">
        <v>7290</v>
      </c>
      <c r="EV61" s="0" t="str">
        <f aca="false">IF($A61="","",IF(ISNUMBER(MATCH(U61,{"queued","contacted","replied","call_booked","call_done","yes_in_principle","materials_sent"},0)),"Y","N"))</f>
        <v>N</v>
      </c>
      <c r="EW61" s="0" t="str">
        <f aca="false">IF($A61="","",IF(OR(T61="Y",U61="do_not_contact",AQ61&amp;""&lt;&gt;""),"Y","N"))</f>
        <v>N</v>
      </c>
      <c r="EX61" s="0" t="str">
        <f aca="false">IF($A61="","",IF(AN61&amp;""&lt;&gt;"",AN61&amp;"",$A61))</f>
        <v>AB-250</v>
      </c>
      <c r="EY61" s="0" t="str">
        <f aca="false">IF($A61="","",IF(COUNTIFS($EX$2:$EX$1000,EX61,$EV$2:$EV$1000,"Y")+COUNTIFS($EX$2:$EX$1000,EX61,$EW$2:$EW$1000,"Y")&gt;0,"Y","N"))</f>
        <v>N</v>
      </c>
      <c r="EZ61" s="0" t="str">
        <f aca="false">IF($A61="","",IF(AND(U61="new",T61="N",EW61="N",AR61="Y",EY61="N"),"Y","N"))</f>
        <v>Y</v>
      </c>
      <c r="FA61" s="0" t="str">
        <f aca="false">IF($A61="","",IF(EZ61&lt;&gt;"Y","N",IF(COUNTIFS($EX$2:$EX$1000,EX61,$EZ$2:$EZ$1000,"Y",$J$2:$J$1000,"&gt;"&amp;J61)+COUNTIFS($EX$2:$EX$1000,EX61,$EZ$2:$EZ$1000,"Y",$J$2:$J$1000,J61,$FG$2:$FG$1000,"&lt;"&amp;FG61)=0,"Y","N")))</f>
        <v>Y</v>
      </c>
      <c r="FB61" s="0" t="str">
        <f aca="false">IF($A61="","",IF(AND(EZ61="Y",FA61="Y",Y61&amp;""&lt;&gt;""),IF(Y61&lt;=10,"Y","N"),"N"))</f>
        <v>N</v>
      </c>
      <c r="FC61" s="0" t="str">
        <f aca="false">IF(FB61="Y",Y61,"")</f>
        <v/>
      </c>
      <c r="FD61" s="0" t="str">
        <f aca="false">IF($A61="","",IF(AND(CK61="pass",AU61="Y",AV61&lt;&gt;"Y",U61="new",EW61="N"),"Y","N"))</f>
        <v>N</v>
      </c>
      <c r="FE61" s="0" t="str">
        <f aca="false">IF(FD61&lt;&gt;"Y","",IF(COUNTIFS($FD$2:$FD$1000,"Y",$J$2:$J$1000,"&gt;"&amp;J61)+COUNTIFS($FD$2:$FD$1000,"Y",$J$2:$J$1000,J61,$FG$2:$FG$1000,"&lt;"&amp;FG61)+1&lt;=30,COUNTIFS($FD$2:$FD$1000,"Y",$J$2:$J$1000,"&gt;"&amp;J61)+COUNTIFS($FD$2:$FD$1000,"Y",$J$2:$J$1000,J61,$FG$2:$FG$1000,"&lt;"&amp;FG61)+1,""))</f>
        <v/>
      </c>
      <c r="FF61" s="0" t="str">
        <f aca="false">IF(AND(_xlfn.ISFORMULA(C61),_xlfn.ISFORMULA(J61)),"Y","N")</f>
        <v>Y</v>
      </c>
      <c r="FG61" s="0" t="n">
        <f aca="false">ROW()-1</f>
        <v>60</v>
      </c>
    </row>
    <row r="62" customFormat="false" ht="15" hidden="false" customHeight="false" outlineLevel="0" collapsed="false">
      <c r="A62" s="0" t="s">
        <v>7291</v>
      </c>
      <c r="B62" s="0" t="s">
        <v>7292</v>
      </c>
      <c r="C62" s="0" t="str">
        <f aca="false">IF($A62="","",IF(AT62="Y",BL62&amp;"",AY62&amp;""))</f>
        <v>Nigel</v>
      </c>
      <c r="D62" s="0" t="str">
        <f aca="false">IF($A62="","",IF(AT62="Y",BM62&amp;"",AZ62&amp;""))</f>
        <v>Sielegar</v>
      </c>
      <c r="E62" s="0" t="str">
        <f aca="false">IF($A62="","",IF(AT62="Y",BN62&amp;"",BA62&amp;""))</f>
        <v>Co-founder</v>
      </c>
      <c r="F62" s="0" t="str">
        <f aca="false">IF($A62="","",IF(AT62="Y",BO62&amp;"",BB62&amp;""))</f>
        <v/>
      </c>
      <c r="G62" s="0" t="str">
        <f aca="false">IF($A62="","",IF(AT62="Y",BP62&amp;"",BC62&amp;""))</f>
        <v/>
      </c>
      <c r="H62" s="0" t="str">
        <f aca="false">IF($A62="","",IF(AT62="Y",BQ62&amp;"",BD62&amp;""))</f>
        <v>none</v>
      </c>
      <c r="I62" s="0" t="str">
        <f aca="false">IF($A62="","",IF(R62="Y","warm-intro",IF(H62="verified","email",IF(C62&lt;&gt;"","linkedin",CA62&amp;""))))</f>
        <v>linkedin</v>
      </c>
      <c r="J62" s="0" t="n">
        <f aca="false">IF($A62="","",IF(CK62="pass",ROUND(N(DO62)+N(DP62)+N(DQ62)+N(DR62)+N(DS62)+N(DT62)+N(DU62)+N(DV62),0),0))</f>
        <v>47</v>
      </c>
      <c r="K62" s="0" t="str">
        <f aca="false">IF($A62="","",IF(CK62&lt;&gt;"pass",BY62&amp;"",BY62&amp;", "&amp;IF(AT62="Y",BX62&amp;"",BK62&amp;"")&amp;BZ62&amp;IF(R62="Y","; known to the founder (+10)","")&amp;"."))</f>
        <v>New York City brand (HQ unverified), no graded store within ten blocks, online store only, a new store listing 0 days ago, revenue unknown, contact named; founder review: under-floor.</v>
      </c>
      <c r="M62" s="0" t="s">
        <v>6144</v>
      </c>
      <c r="N62" s="0" t="s">
        <v>740</v>
      </c>
      <c r="O62" s="0" t="s">
        <v>7293</v>
      </c>
      <c r="P62" s="0" t="s">
        <v>7294</v>
      </c>
      <c r="Q62" s="0" t="s">
        <v>172</v>
      </c>
      <c r="R62" s="5" t="s">
        <v>189</v>
      </c>
      <c r="S62" s="0" t="s">
        <v>209</v>
      </c>
      <c r="T62" s="5" t="s">
        <v>189</v>
      </c>
      <c r="U62" s="5" t="s">
        <v>3896</v>
      </c>
      <c r="V62" s="0" t="s">
        <v>7294</v>
      </c>
      <c r="W62" s="0" t="s">
        <v>263</v>
      </c>
      <c r="X62" s="0" t="s">
        <v>5578</v>
      </c>
      <c r="Y62" s="0" t="n">
        <f aca="false">IF(FA62&lt;&gt;"Y","",COUNTIFS($FA$2:$FA$1000,"Y",$J$2:$J$1000,"&gt;"&amp;J62)+COUNTIFS($FA$2:$FA$1000,"Y",$J$2:$J$1000,J62,$FG$2:$FG$1000,"&lt;"&amp;FG62)+1)</f>
        <v>29</v>
      </c>
      <c r="Z62" s="0" t="n">
        <v>61</v>
      </c>
      <c r="AA62" s="0" t="s">
        <v>189</v>
      </c>
      <c r="AB62" s="0" t="str">
        <f aca="false">IF($A62="","",IF(AT62="Y",BW62&amp;"",BJ62&amp;""))</f>
        <v>find Nigel Sielegar at Moon Man on LinkedIn and paste the profile URL into primary_linkedin_url; the source is dated 2017: check Nigel still holds the role</v>
      </c>
      <c r="AC62" s="0" t="str">
        <f aca="false">IF($A62="","",IF(AT62="Y",BR62&amp;"",BE62&amp;""))</f>
        <v>founder</v>
      </c>
      <c r="AD62" s="0" t="str">
        <f aca="false">IF($A62="","",IF(AT62="Y",BS62&amp;"",BF62&amp;""))</f>
        <v>verified-page</v>
      </c>
      <c r="AE62" s="0" t="str">
        <f aca="false">IF($A62="","",IF(AT62="Y",BT62&amp;"",BG62&amp;""))</f>
        <v>press, event or podcast page</v>
      </c>
      <c r="AF62" s="0" t="str">
        <f aca="false">IF($A62="","",IF(AT62="Y",BU62&amp;"",BH62&amp;""))</f>
        <v>https://untappedcities.com/2017/09/29/10-not-to-miss-vendors-at-the-queens-international-night-market/4/</v>
      </c>
      <c r="AG62" s="0" t="str">
        <f aca="false">IF($A62="","",IF(AT62="Y",BV62&amp;"",BI62&amp;""))</f>
        <v>2026-10-24</v>
      </c>
      <c r="AH62" s="0" t="s">
        <v>7295</v>
      </c>
      <c r="AI62" s="0" t="s">
        <v>5789</v>
      </c>
      <c r="AJ62" s="0" t="s">
        <v>7296</v>
      </c>
      <c r="AK62" s="0" t="s">
        <v>7297</v>
      </c>
      <c r="AL62" s="0" t="s">
        <v>164</v>
      </c>
      <c r="AM62" s="0" t="s">
        <v>7298</v>
      </c>
      <c r="AN62" s="0" t="s">
        <v>7291</v>
      </c>
      <c r="AO62" s="5" t="s">
        <v>189</v>
      </c>
      <c r="AR62" s="0" t="str">
        <f aca="false">IF($A62="","",IF(AND(CK62="pass",AO62&lt;&gt;"Y",C62&lt;&gt;"",OR(AU62&lt;&gt;"Y",AV62="Y")),"Y","N"))</f>
        <v>Y</v>
      </c>
      <c r="AS62" s="0" t="str">
        <f aca="false">IF($A62="","",_xlfn.TEXTJOIN("; ",TRUE(),IF(CK62&lt;&gt;"pass","gated out",""),IF(AO62="Y","on hold: "&amp;AP62,""),IF(C62="","no contact named on an opened page",""),IF(AND(AU62="Y",AV62&lt;&gt;"Y"),"founder review pending (Founder review tab)","")))</f>
        <v/>
      </c>
      <c r="AU62" s="0" t="s">
        <v>189</v>
      </c>
      <c r="AY62" s="0" t="s">
        <v>7299</v>
      </c>
      <c r="AZ62" s="0" t="s">
        <v>7300</v>
      </c>
      <c r="BA62" s="0" t="s">
        <v>5636</v>
      </c>
      <c r="BC62" s="0" t="str">
        <f aca="false">IF($A62="","",IFERROR(INDEX(Enrichment!$A$2:$GZ$2000,MATCH($A62,INDEX(Enrichment!$A$2:$GZ$2000,0,MATCH("row_id",Enrichment!$A$1:$GZ$1,0)),0),MATCH("work_email",Enrichment!$A$1:$GZ$1,0))&amp;"",""))</f>
        <v/>
      </c>
      <c r="BD62" s="0" t="str">
        <f aca="false">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none</v>
      </c>
      <c r="BE62" s="0" t="s">
        <v>5589</v>
      </c>
      <c r="BF62" s="0" t="s">
        <v>169</v>
      </c>
      <c r="BG62" s="0" t="s">
        <v>1252</v>
      </c>
      <c r="BH62" s="0" t="s">
        <v>7301</v>
      </c>
      <c r="BI62" s="0" t="s">
        <v>172</v>
      </c>
      <c r="BJ62" s="0" t="s">
        <v>7302</v>
      </c>
      <c r="BK62" s="0" t="s">
        <v>5643</v>
      </c>
      <c r="BP62" s="0" t="str">
        <f aca="false">IF($A62="","",IFERROR(INDEX(Enrichment!$A$2:$GZ$2000,MATCH($A62,INDEX(Enrichment!$A$2:$GZ$2000,0,MATCH("row_id",Enrichment!$A$1:$GZ$1,0)),0),MATCH("backup_work_email",Enrichment!$A$1:$GZ$1,0))&amp;"",""))</f>
        <v/>
      </c>
      <c r="BQ62" s="0" t="str">
        <f aca="false">IF($A62="","",IF(BP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none</v>
      </c>
      <c r="BS62" s="0" t="s">
        <v>380</v>
      </c>
      <c r="BW62" s="0" t="s">
        <v>387</v>
      </c>
      <c r="BX62" s="0" t="s">
        <v>388</v>
      </c>
      <c r="BY62" s="0" t="s">
        <v>7303</v>
      </c>
      <c r="BZ62" s="0" t="s">
        <v>7281</v>
      </c>
      <c r="CB62" s="0" t="s">
        <v>7304</v>
      </c>
      <c r="CC62" s="0" t="s">
        <v>7108</v>
      </c>
      <c r="CD62" s="0" t="s">
        <v>7305</v>
      </c>
      <c r="CJ62" s="0" t="s">
        <v>5720</v>
      </c>
      <c r="CK62" s="0" t="s">
        <v>200</v>
      </c>
      <c r="CM62" s="0" t="s">
        <v>201</v>
      </c>
      <c r="CN62" s="0" t="s">
        <v>7284</v>
      </c>
      <c r="CO62" s="0" t="s">
        <v>7297</v>
      </c>
      <c r="CP62" s="0" t="s">
        <v>5608</v>
      </c>
      <c r="CQ62" s="0" t="s">
        <v>7189</v>
      </c>
      <c r="CR62" s="0" t="s">
        <v>209</v>
      </c>
      <c r="CT62" s="0" t="s">
        <v>164</v>
      </c>
      <c r="CU62" s="0" t="s">
        <v>7306</v>
      </c>
      <c r="CV62" s="0" t="s">
        <v>164</v>
      </c>
      <c r="CW62" s="0" t="s">
        <v>164</v>
      </c>
      <c r="CX62" s="0" t="s">
        <v>209</v>
      </c>
      <c r="CZ62" s="0" t="s">
        <v>209</v>
      </c>
      <c r="DA62" s="0" t="s">
        <v>189</v>
      </c>
      <c r="DB62" s="0" t="s">
        <v>189</v>
      </c>
      <c r="DE62" s="0" t="s">
        <v>189</v>
      </c>
      <c r="DF62" s="0" t="n">
        <v>0</v>
      </c>
      <c r="DH62" s="0" t="s">
        <v>7307</v>
      </c>
      <c r="DI62" s="0" t="s">
        <v>7308</v>
      </c>
      <c r="DJ62" s="0" t="s">
        <v>7309</v>
      </c>
      <c r="DK62" s="0" t="s">
        <v>5689</v>
      </c>
      <c r="DL62" s="0" t="n">
        <v>0</v>
      </c>
      <c r="DN62" s="0" t="n">
        <v>47</v>
      </c>
      <c r="DO62" s="0" t="n">
        <v>6</v>
      </c>
      <c r="DP62" s="0" t="n">
        <v>17</v>
      </c>
      <c r="DQ62" s="0" t="n">
        <v>8</v>
      </c>
      <c r="DR62" s="0" t="n">
        <v>5</v>
      </c>
      <c r="DS62" s="0" t="n">
        <v>10</v>
      </c>
      <c r="DT62" s="0" t="n">
        <v>6</v>
      </c>
      <c r="DU62" s="0" t="n">
        <f aca="false">IF($A62="","",IF(R62="Y",10,0))</f>
        <v>0</v>
      </c>
      <c r="DV62" s="0" t="n">
        <v>-5</v>
      </c>
      <c r="DX62" s="0" t="s">
        <v>5619</v>
      </c>
      <c r="DY62" s="0" t="s">
        <v>7310</v>
      </c>
      <c r="DZ62" s="0" t="s">
        <v>7311</v>
      </c>
      <c r="EA62" s="0" t="s">
        <v>7312</v>
      </c>
      <c r="EV62" s="0" t="str">
        <f aca="false">IF($A62="","",IF(ISNUMBER(MATCH(U62,{"queued","contacted","replied","call_booked","call_done","yes_in_principle","materials_sent"},0)),"Y","N"))</f>
        <v>N</v>
      </c>
      <c r="EW62" s="0" t="str">
        <f aca="false">IF($A62="","",IF(OR(T62="Y",U62="do_not_contact",AQ62&amp;""&lt;&gt;""),"Y","N"))</f>
        <v>N</v>
      </c>
      <c r="EX62" s="0" t="str">
        <f aca="false">IF($A62="","",IF(AN62&amp;""&lt;&gt;"",AN62&amp;"",$A62))</f>
        <v>AB-243</v>
      </c>
      <c r="EY62" s="0" t="str">
        <f aca="false">IF($A62="","",IF(COUNTIFS($EX$2:$EX$1000,EX62,$EV$2:$EV$1000,"Y")+COUNTIFS($EX$2:$EX$1000,EX62,$EW$2:$EW$1000,"Y")&gt;0,"Y","N"))</f>
        <v>N</v>
      </c>
      <c r="EZ62" s="0" t="str">
        <f aca="false">IF($A62="","",IF(AND(U62="new",T62="N",EW62="N",AR62="Y",EY62="N"),"Y","N"))</f>
        <v>Y</v>
      </c>
      <c r="FA62" s="0" t="str">
        <f aca="false">IF($A62="","",IF(EZ62&lt;&gt;"Y","N",IF(COUNTIFS($EX$2:$EX$1000,EX62,$EZ$2:$EZ$1000,"Y",$J$2:$J$1000,"&gt;"&amp;J62)+COUNTIFS($EX$2:$EX$1000,EX62,$EZ$2:$EZ$1000,"Y",$J$2:$J$1000,J62,$FG$2:$FG$1000,"&lt;"&amp;FG62)=0,"Y","N")))</f>
        <v>Y</v>
      </c>
      <c r="FB62" s="0" t="str">
        <f aca="false">IF($A62="","",IF(AND(EZ62="Y",FA62="Y",Y62&amp;""&lt;&gt;""),IF(Y62&lt;=10,"Y","N"),"N"))</f>
        <v>N</v>
      </c>
      <c r="FC62" s="0" t="str">
        <f aca="false">IF(FB62="Y",Y62,"")</f>
        <v/>
      </c>
      <c r="FD62" s="0" t="str">
        <f aca="false">IF($A62="","",IF(AND(CK62="pass",AU62="Y",AV62&lt;&gt;"Y",U62="new",EW62="N"),"Y","N"))</f>
        <v>N</v>
      </c>
      <c r="FE62" s="0" t="str">
        <f aca="false">IF(FD62&lt;&gt;"Y","",IF(COUNTIFS($FD$2:$FD$1000,"Y",$J$2:$J$1000,"&gt;"&amp;J62)+COUNTIFS($FD$2:$FD$1000,"Y",$J$2:$J$1000,J62,$FG$2:$FG$1000,"&lt;"&amp;FG62)+1&lt;=30,COUNTIFS($FD$2:$FD$1000,"Y",$J$2:$J$1000,"&gt;"&amp;J62)+COUNTIFS($FD$2:$FD$1000,"Y",$J$2:$J$1000,J62,$FG$2:$FG$1000,"&lt;"&amp;FG62)+1,""))</f>
        <v/>
      </c>
      <c r="FF62" s="0" t="str">
        <f aca="false">IF(AND(_xlfn.ISFORMULA(C62),_xlfn.ISFORMULA(J62)),"Y","N")</f>
        <v>Y</v>
      </c>
      <c r="FG62" s="0" t="n">
        <f aca="false">ROW()-1</f>
        <v>61</v>
      </c>
    </row>
    <row r="63" customFormat="false" ht="15" hidden="false" customHeight="false" outlineLevel="0" collapsed="false">
      <c r="A63" s="0" t="s">
        <v>7313</v>
      </c>
      <c r="B63" s="0" t="s">
        <v>7314</v>
      </c>
      <c r="C63" s="0" t="str">
        <f aca="false">IF($A63="","",IF(AT63="Y",BL63&amp;"",AY63&amp;""))</f>
        <v>Joyce</v>
      </c>
      <c r="D63" s="0" t="str">
        <f aca="false">IF($A63="","",IF(AT63="Y",BM63&amp;"",AZ63&amp;""))</f>
        <v>unknown</v>
      </c>
      <c r="E63" s="0" t="str">
        <f aca="false">IF($A63="","",IF(AT63="Y",BN63&amp;"",BA63&amp;""))</f>
        <v>Founder</v>
      </c>
      <c r="F63" s="0" t="str">
        <f aca="false">IF($A63="","",IF(AT63="Y",BO63&amp;"",BB63&amp;""))</f>
        <v/>
      </c>
      <c r="G63" s="0" t="str">
        <f aca="false">IF($A63="","",IF(AT63="Y",BP63&amp;"",BC63&amp;""))</f>
        <v/>
      </c>
      <c r="H63" s="0" t="str">
        <f aca="false">IF($A63="","",IF(AT63="Y",BQ63&amp;"",BD63&amp;""))</f>
        <v>none</v>
      </c>
      <c r="I63" s="0" t="str">
        <f aca="false">IF($A63="","",IF(R63="Y","warm-intro",IF(H63="verified","email",IF(C63&lt;&gt;"","linkedin",CA63&amp;""))))</f>
        <v>linkedin</v>
      </c>
      <c r="J63" s="0" t="n">
        <f aca="false">IF($A63="","",IF(CK63="pass",ROUND(N(DO63)+N(DP63)+N(DQ63)+N(DR63)+N(DS63)+N(DT63)+N(DU63)+N(DV63),0),0))</f>
        <v>47</v>
      </c>
      <c r="K63" s="0" t="str">
        <f aca="false">IF($A63="","",IF(CK63&lt;&gt;"pass",BY63&amp;"",BY63&amp;", "&amp;IF(AT63="Y",BX63&amp;"",BK63&amp;"")&amp;BZ63&amp;IF(R63="Y","; known to the founder (+10)","")&amp;"."))</f>
        <v>Northeast brand, store page shows Whole Foods Market NoMad inside the cluster, no dated why-now in the last 12 months, revenue unknown, contact named (first name only); founder review: nutrient-claim.</v>
      </c>
      <c r="M63" s="0" t="s">
        <v>5572</v>
      </c>
      <c r="N63" s="0" t="s">
        <v>5573</v>
      </c>
      <c r="R63" s="5" t="s">
        <v>189</v>
      </c>
      <c r="S63" s="0" t="s">
        <v>209</v>
      </c>
      <c r="T63" s="5" t="s">
        <v>189</v>
      </c>
      <c r="U63" s="5" t="s">
        <v>3896</v>
      </c>
      <c r="V63" s="0" t="s">
        <v>7315</v>
      </c>
      <c r="W63" s="0" t="s">
        <v>263</v>
      </c>
      <c r="X63" s="0" t="s">
        <v>5578</v>
      </c>
      <c r="Y63" s="0" t="n">
        <f aca="false">IF(FA63&lt;&gt;"Y","",COUNTIFS($FA$2:$FA$1000,"Y",$J$2:$J$1000,"&gt;"&amp;J63)+COUNTIFS($FA$2:$FA$1000,"Y",$J$2:$J$1000,J63,$FG$2:$FG$1000,"&lt;"&amp;FG63)+1)</f>
        <v>30</v>
      </c>
      <c r="Z63" s="0" t="n">
        <v>62</v>
      </c>
      <c r="AA63" s="0" t="s">
        <v>189</v>
      </c>
      <c r="AB63" s="0" t="str">
        <f aca="false">IF($A63="","",IF(AT63="Y",BW63&amp;"",BJ63&amp;""))</f>
        <v>find Joyce at Numa Foods on LinkedIn and paste the profile URL into primary_linkedin_url; surname not public: take it from LinkedIn; use the Whole Foods Market NoMad line only if retailer_checked_date is this week's Friday check</v>
      </c>
      <c r="AC63" s="0" t="str">
        <f aca="false">IF($A63="","",IF(AT63="Y",BR63&amp;"",BE63&amp;""))</f>
        <v>founder</v>
      </c>
      <c r="AD63" s="0" t="str">
        <f aca="false">IF($A63="","",IF(AT63="Y",BS63&amp;"",BF63&amp;""))</f>
        <v>first-name-only</v>
      </c>
      <c r="AE63" s="0" t="str">
        <f aca="false">IF($A63="","",IF(AT63="Y",BT63&amp;"",BG63&amp;""))</f>
        <v>employer's own site</v>
      </c>
      <c r="AF63" s="0" t="str">
        <f aca="false">IF($A63="","",IF(AT63="Y",BU63&amp;"",BH63&amp;""))</f>
        <v>https://numafoods.com/pages/our-story-new</v>
      </c>
      <c r="AG63" s="0" t="str">
        <f aca="false">IF($A63="","",IF(AT63="Y",BV63&amp;"",BI63&amp;""))</f>
        <v>2026-10-24</v>
      </c>
      <c r="AH63" s="0" t="s">
        <v>7316</v>
      </c>
      <c r="AI63" s="0" t="s">
        <v>5664</v>
      </c>
      <c r="AJ63" s="0" t="s">
        <v>7317</v>
      </c>
      <c r="AK63" s="0" t="s">
        <v>7318</v>
      </c>
      <c r="AL63" s="0" t="s">
        <v>164</v>
      </c>
      <c r="AM63" s="0" t="s">
        <v>7319</v>
      </c>
      <c r="AN63" s="0" t="s">
        <v>7313</v>
      </c>
      <c r="AO63" s="5" t="s">
        <v>189</v>
      </c>
      <c r="AR63" s="0" t="str">
        <f aca="false">IF($A63="","",IF(AND(CK63="pass",AO63&lt;&gt;"Y",C63&lt;&gt;"",OR(AU63&lt;&gt;"Y",AV63="Y")),"Y","N"))</f>
        <v>Y</v>
      </c>
      <c r="AS63" s="0" t="str">
        <f aca="false">IF($A63="","",_xlfn.TEXTJOIN("; ",TRUE(),IF(CK63&lt;&gt;"pass","gated out",""),IF(AO63="Y","on hold: "&amp;AP63,""),IF(C63="","no contact named on an opened page",""),IF(AND(AU63="Y",AV63&lt;&gt;"Y"),"founder review pending (Founder review tab)","")))</f>
        <v/>
      </c>
      <c r="AU63" s="0" t="s">
        <v>189</v>
      </c>
      <c r="AX63" s="0" t="s">
        <v>7320</v>
      </c>
      <c r="AY63" s="0" t="s">
        <v>7321</v>
      </c>
      <c r="AZ63" s="0" t="s">
        <v>209</v>
      </c>
      <c r="BA63" s="0" t="s">
        <v>5739</v>
      </c>
      <c r="BC63" s="0" t="str">
        <f aca="false">IF($A63="","",IFERROR(INDEX(Enrichment!$A$2:$GZ$2000,MATCH($A63,INDEX(Enrichment!$A$2:$GZ$2000,0,MATCH("row_id",Enrichment!$A$1:$GZ$1,0)),0),MATCH("work_email",Enrichment!$A$1:$GZ$1,0))&amp;"",""))</f>
        <v/>
      </c>
      <c r="BD63" s="0" t="str">
        <f aca="false">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none</v>
      </c>
      <c r="BE63" s="0" t="s">
        <v>5589</v>
      </c>
      <c r="BF63" s="0" t="s">
        <v>5896</v>
      </c>
      <c r="BG63" s="0" t="s">
        <v>170</v>
      </c>
      <c r="BH63" s="0" t="s">
        <v>7315</v>
      </c>
      <c r="BI63" s="0" t="s">
        <v>172</v>
      </c>
      <c r="BJ63" s="0" t="s">
        <v>7322</v>
      </c>
      <c r="BK63" s="0" t="s">
        <v>5898</v>
      </c>
      <c r="BP63" s="0" t="str">
        <f aca="false">IF($A63="","",IFERROR(INDEX(Enrichment!$A$2:$GZ$2000,MATCH($A63,INDEX(Enrichment!$A$2:$GZ$2000,0,MATCH("row_id",Enrichment!$A$1:$GZ$1,0)),0),MATCH("backup_work_email",Enrichment!$A$1:$GZ$1,0))&amp;"",""))</f>
        <v/>
      </c>
      <c r="BQ63" s="0" t="str">
        <f aca="false">IF($A63="","",IF(BP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none</v>
      </c>
      <c r="BS63" s="0" t="s">
        <v>380</v>
      </c>
      <c r="BW63" s="0" t="s">
        <v>5741</v>
      </c>
      <c r="BX63" s="0" t="s">
        <v>388</v>
      </c>
      <c r="BY63" s="0" t="s">
        <v>6844</v>
      </c>
      <c r="BZ63" s="0" t="s">
        <v>5601</v>
      </c>
      <c r="CB63" s="0" t="s">
        <v>7321</v>
      </c>
      <c r="CD63" s="0" t="s">
        <v>7323</v>
      </c>
      <c r="CJ63" s="0" t="s">
        <v>5720</v>
      </c>
      <c r="CK63" s="0" t="s">
        <v>200</v>
      </c>
      <c r="CM63" s="0" t="s">
        <v>201</v>
      </c>
      <c r="CN63" s="0" t="s">
        <v>5607</v>
      </c>
      <c r="CO63" s="0" t="s">
        <v>7318</v>
      </c>
      <c r="CP63" s="0" t="s">
        <v>5840</v>
      </c>
      <c r="CQ63" s="0" t="s">
        <v>6084</v>
      </c>
      <c r="CR63" s="0" t="s">
        <v>209</v>
      </c>
      <c r="CT63" s="0" t="s">
        <v>164</v>
      </c>
      <c r="CU63" s="0" t="s">
        <v>7324</v>
      </c>
      <c r="CV63" s="0" t="s">
        <v>164</v>
      </c>
      <c r="CW63" s="0" t="s">
        <v>164</v>
      </c>
      <c r="CX63" s="0" t="s">
        <v>209</v>
      </c>
      <c r="CZ63" s="0" t="s">
        <v>209</v>
      </c>
      <c r="DA63" s="0" t="s">
        <v>189</v>
      </c>
      <c r="DB63" s="0" t="s">
        <v>189</v>
      </c>
      <c r="DD63" s="0" t="n">
        <v>0</v>
      </c>
      <c r="DE63" s="0" t="s">
        <v>164</v>
      </c>
      <c r="DF63" s="0" t="n">
        <v>3</v>
      </c>
      <c r="DG63" s="0" t="s">
        <v>5686</v>
      </c>
      <c r="DI63" s="0" t="s">
        <v>7214</v>
      </c>
      <c r="DJ63" s="0" t="s">
        <v>7325</v>
      </c>
      <c r="DK63" s="0" t="s">
        <v>380</v>
      </c>
      <c r="DN63" s="0" t="n">
        <v>47</v>
      </c>
      <c r="DO63" s="0" t="n">
        <v>25</v>
      </c>
      <c r="DP63" s="0" t="n">
        <v>8</v>
      </c>
      <c r="DQ63" s="0" t="n">
        <v>0</v>
      </c>
      <c r="DR63" s="0" t="n">
        <v>5</v>
      </c>
      <c r="DS63" s="0" t="n">
        <v>10</v>
      </c>
      <c r="DT63" s="0" t="n">
        <v>3</v>
      </c>
      <c r="DU63" s="0" t="n">
        <f aca="false">IF($A63="","",IF(R63="Y",10,0))</f>
        <v>0</v>
      </c>
      <c r="DV63" s="0" t="n">
        <v>-4</v>
      </c>
      <c r="DW63" s="0" t="s">
        <v>7326</v>
      </c>
      <c r="DX63" s="0" t="s">
        <v>5691</v>
      </c>
      <c r="DY63" s="0" t="s">
        <v>7327</v>
      </c>
      <c r="DZ63" s="0" t="s">
        <v>7328</v>
      </c>
      <c r="EA63" s="0" t="s">
        <v>7329</v>
      </c>
      <c r="EV63" s="0" t="str">
        <f aca="false">IF($A63="","",IF(ISNUMBER(MATCH(U63,{"queued","contacted","replied","call_booked","call_done","yes_in_principle","materials_sent"},0)),"Y","N"))</f>
        <v>N</v>
      </c>
      <c r="EW63" s="0" t="str">
        <f aca="false">IF($A63="","",IF(OR(T63="Y",U63="do_not_contact",AQ63&amp;""&lt;&gt;""),"Y","N"))</f>
        <v>N</v>
      </c>
      <c r="EX63" s="0" t="str">
        <f aca="false">IF($A63="","",IF(AN63&amp;""&lt;&gt;"",AN63&amp;"",$A63))</f>
        <v>AB-123</v>
      </c>
      <c r="EY63" s="0" t="str">
        <f aca="false">IF($A63="","",IF(COUNTIFS($EX$2:$EX$1000,EX63,$EV$2:$EV$1000,"Y")+COUNTIFS($EX$2:$EX$1000,EX63,$EW$2:$EW$1000,"Y")&gt;0,"Y","N"))</f>
        <v>N</v>
      </c>
      <c r="EZ63" s="0" t="str">
        <f aca="false">IF($A63="","",IF(AND(U63="new",T63="N",EW63="N",AR63="Y",EY63="N"),"Y","N"))</f>
        <v>Y</v>
      </c>
      <c r="FA63" s="0" t="str">
        <f aca="false">IF($A63="","",IF(EZ63&lt;&gt;"Y","N",IF(COUNTIFS($EX$2:$EX$1000,EX63,$EZ$2:$EZ$1000,"Y",$J$2:$J$1000,"&gt;"&amp;J63)+COUNTIFS($EX$2:$EX$1000,EX63,$EZ$2:$EZ$1000,"Y",$J$2:$J$1000,J63,$FG$2:$FG$1000,"&lt;"&amp;FG63)=0,"Y","N")))</f>
        <v>Y</v>
      </c>
      <c r="FB63" s="0" t="str">
        <f aca="false">IF($A63="","",IF(AND(EZ63="Y",FA63="Y",Y63&amp;""&lt;&gt;""),IF(Y63&lt;=10,"Y","N"),"N"))</f>
        <v>N</v>
      </c>
      <c r="FC63" s="0" t="str">
        <f aca="false">IF(FB63="Y",Y63,"")</f>
        <v/>
      </c>
      <c r="FD63" s="0" t="str">
        <f aca="false">IF($A63="","",IF(AND(CK63="pass",AU63="Y",AV63&lt;&gt;"Y",U63="new",EW63="N"),"Y","N"))</f>
        <v>N</v>
      </c>
      <c r="FE63" s="0" t="str">
        <f aca="false">IF(FD63&lt;&gt;"Y","",IF(COUNTIFS($FD$2:$FD$1000,"Y",$J$2:$J$1000,"&gt;"&amp;J63)+COUNTIFS($FD$2:$FD$1000,"Y",$J$2:$J$1000,J63,$FG$2:$FG$1000,"&lt;"&amp;FG63)+1&lt;=30,COUNTIFS($FD$2:$FD$1000,"Y",$J$2:$J$1000,"&gt;"&amp;J63)+COUNTIFS($FD$2:$FD$1000,"Y",$J$2:$J$1000,J63,$FG$2:$FG$1000,"&lt;"&amp;FG63)+1,""))</f>
        <v/>
      </c>
      <c r="FF63" s="0" t="str">
        <f aca="false">IF(AND(_xlfn.ISFORMULA(C63),_xlfn.ISFORMULA(J63)),"Y","N")</f>
        <v>Y</v>
      </c>
      <c r="FG63" s="0" t="n">
        <f aca="false">ROW()-1</f>
        <v>62</v>
      </c>
    </row>
    <row r="64" customFormat="false" ht="15" hidden="false" customHeight="false" outlineLevel="0" collapsed="false">
      <c r="A64" s="0" t="s">
        <v>7330</v>
      </c>
      <c r="B64" s="0" t="s">
        <v>7331</v>
      </c>
      <c r="C64" s="0" t="str">
        <f aca="false">IF($A64="","",IF(AT64="Y",BL64&amp;"",AY64&amp;""))</f>
        <v>Keesha</v>
      </c>
      <c r="D64" s="0" t="str">
        <f aca="false">IF($A64="","",IF(AT64="Y",BM64&amp;"",AZ64&amp;""))</f>
        <v>unknown</v>
      </c>
      <c r="E64" s="0" t="str">
        <f aca="false">IF($A64="","",IF(AT64="Y",BN64&amp;"",BA64&amp;""))</f>
        <v>Founder</v>
      </c>
      <c r="F64" s="0" t="str">
        <f aca="false">IF($A64="","",IF(AT64="Y",BO64&amp;"",BB64&amp;""))</f>
        <v/>
      </c>
      <c r="G64" s="0" t="str">
        <f aca="false">IF($A64="","",IF(AT64="Y",BP64&amp;"",BC64&amp;""))</f>
        <v/>
      </c>
      <c r="H64" s="0" t="str">
        <f aca="false">IF($A64="","",IF(AT64="Y",BQ64&amp;"",BD64&amp;""))</f>
        <v>none</v>
      </c>
      <c r="I64" s="0" t="str">
        <f aca="false">IF($A64="","",IF(R64="Y","warm-intro",IF(H64="verified","email",IF(C64&lt;&gt;"","linkedin",CA64&amp;""))))</f>
        <v>linkedin</v>
      </c>
      <c r="J64" s="0" t="n">
        <f aca="false">IF($A64="","",IF(CK64="pass",ROUND(N(DO64)+N(DP64)+N(DQ64)+N(DR64)+N(DS64)+N(DT64)+N(DU64)+N(DV64),0),0))</f>
        <v>47</v>
      </c>
      <c r="K64" s="0" t="str">
        <f aca="false">IF($A64="","",IF(CK64&lt;&gt;"pass",BY64&amp;"",BY64&amp;", "&amp;IF(AT64="Y",BX64&amp;"",BK64&amp;"")&amp;BZ64&amp;IF(R64="Y","; known to the founder (+10)","")&amp;"."))</f>
        <v>New York City brand, no graded store within ten blocks, online store only, a new store listing 53 days ago, revenue unknown, contact named (first name only); founder review: under-floor, format.</v>
      </c>
      <c r="M64" s="0" t="s">
        <v>6144</v>
      </c>
      <c r="N64" s="0" t="s">
        <v>740</v>
      </c>
      <c r="O64" s="0" t="s">
        <v>7332</v>
      </c>
      <c r="P64" s="0" t="s">
        <v>7333</v>
      </c>
      <c r="Q64" s="0" t="s">
        <v>7334</v>
      </c>
      <c r="R64" s="5" t="s">
        <v>189</v>
      </c>
      <c r="S64" s="0" t="s">
        <v>209</v>
      </c>
      <c r="T64" s="5" t="s">
        <v>189</v>
      </c>
      <c r="U64" s="5" t="s">
        <v>3896</v>
      </c>
      <c r="V64" s="0" t="s">
        <v>7335</v>
      </c>
      <c r="W64" s="0" t="s">
        <v>172</v>
      </c>
      <c r="X64" s="0" t="s">
        <v>5578</v>
      </c>
      <c r="Y64" s="0" t="str">
        <f aca="false">IF(FA64&lt;&gt;"Y","",COUNTIFS($FA$2:$FA$1000,"Y",$J$2:$J$1000,"&gt;"&amp;J64)+COUNTIFS($FA$2:$FA$1000,"Y",$J$2:$J$1000,J64,$FG$2:$FG$1000,"&lt;"&amp;FG64)+1)</f>
        <v/>
      </c>
      <c r="Z64" s="0" t="n">
        <v>63</v>
      </c>
      <c r="AA64" s="0" t="s">
        <v>189</v>
      </c>
      <c r="AB64" s="0" t="str">
        <f aca="false">IF($A64="","",IF(AT64="Y",BW64&amp;"",BJ64&amp;""))</f>
        <v>find Keesha at Live Loud Foods on LinkedIn and paste the profile URL into primary_linkedin_url; surname not public: take it from LinkedIn</v>
      </c>
      <c r="AC64" s="0" t="str">
        <f aca="false">IF($A64="","",IF(AT64="Y",BR64&amp;"",BE64&amp;""))</f>
        <v>founder</v>
      </c>
      <c r="AD64" s="0" t="str">
        <f aca="false">IF($A64="","",IF(AT64="Y",BS64&amp;"",BF64&amp;""))</f>
        <v>first-name-only</v>
      </c>
      <c r="AE64" s="0" t="str">
        <f aca="false">IF($A64="","",IF(AT64="Y",BT64&amp;"",BG64&amp;""))</f>
        <v>press, event or podcast page</v>
      </c>
      <c r="AF64" s="0" t="str">
        <f aca="false">IF($A64="","",IF(AT64="Y",BU64&amp;"",BH64&amp;""))</f>
        <v>https://hotbreadkitchen.org/hbki/</v>
      </c>
      <c r="AG64" s="0" t="str">
        <f aca="false">IF($A64="","",IF(AT64="Y",BV64&amp;"",BI64&amp;""))</f>
        <v>2026-10-24</v>
      </c>
      <c r="AH64" s="0" t="s">
        <v>7336</v>
      </c>
      <c r="AI64" s="0" t="s">
        <v>6240</v>
      </c>
      <c r="AJ64" s="0" t="s">
        <v>6149</v>
      </c>
      <c r="AK64" s="0" t="s">
        <v>7333</v>
      </c>
      <c r="AL64" s="0" t="s">
        <v>164</v>
      </c>
      <c r="AM64" s="0" t="s">
        <v>7337</v>
      </c>
      <c r="AN64" s="0" t="s">
        <v>7330</v>
      </c>
      <c r="AO64" s="5" t="s">
        <v>189</v>
      </c>
      <c r="AR64" s="0" t="str">
        <f aca="false">IF($A64="","",IF(AND(CK64="pass",AO64&lt;&gt;"Y",C64&lt;&gt;"",OR(AU64&lt;&gt;"Y",AV64="Y")),"Y","N"))</f>
        <v>N</v>
      </c>
      <c r="AS64" s="0" t="str">
        <f aca="false">IF($A64="","",_xlfn.TEXTJOIN("; ",TRUE(),IF(CK64&lt;&gt;"pass","gated out",""),IF(AO64="Y","on hold: "&amp;AP64,""),IF(C64="","no contact named on an opened page",""),IF(AND(AU64="Y",AV64&lt;&gt;"Y"),"founder review pending (Founder review tab)","")))</f>
        <v>founder review pending (Founder review tab)</v>
      </c>
      <c r="AU64" s="0" t="s">
        <v>164</v>
      </c>
      <c r="AY64" s="0" t="s">
        <v>7338</v>
      </c>
      <c r="AZ64" s="0" t="s">
        <v>209</v>
      </c>
      <c r="BA64" s="0" t="s">
        <v>5739</v>
      </c>
      <c r="BC64" s="0" t="str">
        <f aca="false">IF($A64="","",IFERROR(INDEX(Enrichment!$A$2:$GZ$2000,MATCH($A64,INDEX(Enrichment!$A$2:$GZ$2000,0,MATCH("row_id",Enrichment!$A$1:$GZ$1,0)),0),MATCH("work_email",Enrichment!$A$1:$GZ$1,0))&amp;"",""))</f>
        <v/>
      </c>
      <c r="BD64" s="0" t="str">
        <f aca="false">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none</v>
      </c>
      <c r="BE64" s="0" t="s">
        <v>5589</v>
      </c>
      <c r="BF64" s="0" t="s">
        <v>5896</v>
      </c>
      <c r="BG64" s="0" t="s">
        <v>1252</v>
      </c>
      <c r="BH64" s="0" t="s">
        <v>7339</v>
      </c>
      <c r="BI64" s="0" t="s">
        <v>172</v>
      </c>
      <c r="BJ64" s="0" t="s">
        <v>7340</v>
      </c>
      <c r="BK64" s="0" t="s">
        <v>5898</v>
      </c>
      <c r="BP64" s="0" t="str">
        <f aca="false">IF($A64="","",IFERROR(INDEX(Enrichment!$A$2:$GZ$2000,MATCH($A64,INDEX(Enrichment!$A$2:$GZ$2000,0,MATCH("row_id",Enrichment!$A$1:$GZ$1,0)),0),MATCH("backup_work_email",Enrichment!$A$1:$GZ$1,0))&amp;"",""))</f>
        <v/>
      </c>
      <c r="BQ64" s="0" t="str">
        <f aca="false">IF($A64="","",IF(BP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none</v>
      </c>
      <c r="BS64" s="0" t="s">
        <v>380</v>
      </c>
      <c r="BW64" s="0" t="s">
        <v>387</v>
      </c>
      <c r="BX64" s="0" t="s">
        <v>388</v>
      </c>
      <c r="BY64" s="0" t="s">
        <v>7341</v>
      </c>
      <c r="BZ64" s="0" t="s">
        <v>6730</v>
      </c>
      <c r="CB64" s="0" t="s">
        <v>7338</v>
      </c>
      <c r="CD64" s="0" t="s">
        <v>7342</v>
      </c>
      <c r="CJ64" s="0" t="s">
        <v>5720</v>
      </c>
      <c r="CK64" s="0" t="s">
        <v>200</v>
      </c>
      <c r="CM64" s="0" t="s">
        <v>201</v>
      </c>
      <c r="CN64" s="0" t="s">
        <v>6733</v>
      </c>
      <c r="CO64" s="0" t="s">
        <v>7333</v>
      </c>
      <c r="CP64" s="0" t="s">
        <v>5608</v>
      </c>
      <c r="CQ64" s="0" t="s">
        <v>5609</v>
      </c>
      <c r="CR64" s="0" t="s">
        <v>209</v>
      </c>
      <c r="CT64" s="0" t="s">
        <v>164</v>
      </c>
      <c r="CU64" s="0" t="s">
        <v>7343</v>
      </c>
      <c r="CV64" s="0" t="s">
        <v>164</v>
      </c>
      <c r="CW64" s="0" t="s">
        <v>164</v>
      </c>
      <c r="CX64" s="0" t="s">
        <v>209</v>
      </c>
      <c r="CZ64" s="0" t="s">
        <v>5993</v>
      </c>
      <c r="DA64" s="0" t="s">
        <v>189</v>
      </c>
      <c r="DB64" s="0" t="s">
        <v>189</v>
      </c>
      <c r="DE64" s="0" t="s">
        <v>189</v>
      </c>
      <c r="DF64" s="0" t="n">
        <v>0</v>
      </c>
      <c r="DI64" s="0" t="s">
        <v>7344</v>
      </c>
      <c r="DK64" s="0" t="s">
        <v>5689</v>
      </c>
      <c r="DL64" s="0" t="n">
        <v>53</v>
      </c>
      <c r="DN64" s="0" t="n">
        <v>47</v>
      </c>
      <c r="DO64" s="0" t="n">
        <v>6</v>
      </c>
      <c r="DP64" s="0" t="n">
        <v>20</v>
      </c>
      <c r="DQ64" s="0" t="n">
        <v>8</v>
      </c>
      <c r="DR64" s="0" t="n">
        <v>5</v>
      </c>
      <c r="DS64" s="0" t="n">
        <v>10</v>
      </c>
      <c r="DT64" s="0" t="n">
        <v>3</v>
      </c>
      <c r="DU64" s="0" t="n">
        <f aca="false">IF($A64="","",IF(R64="Y",10,0))</f>
        <v>0</v>
      </c>
      <c r="DV64" s="0" t="n">
        <v>-5</v>
      </c>
      <c r="DW64" s="0" t="s">
        <v>7345</v>
      </c>
      <c r="DX64" s="0" t="s">
        <v>5998</v>
      </c>
      <c r="DY64" s="0" t="s">
        <v>7346</v>
      </c>
      <c r="DZ64" s="0" t="s">
        <v>7347</v>
      </c>
      <c r="EV64" s="0" t="str">
        <f aca="false">IF($A64="","",IF(ISNUMBER(MATCH(U64,{"queued","contacted","replied","call_booked","call_done","yes_in_principle","materials_sent"},0)),"Y","N"))</f>
        <v>N</v>
      </c>
      <c r="EW64" s="0" t="str">
        <f aca="false">IF($A64="","",IF(OR(T64="Y",U64="do_not_contact",AQ64&amp;""&lt;&gt;""),"Y","N"))</f>
        <v>N</v>
      </c>
      <c r="EX64" s="0" t="str">
        <f aca="false">IF($A64="","",IF(AN64&amp;""&lt;&gt;"",AN64&amp;"",$A64))</f>
        <v>AB-276</v>
      </c>
      <c r="EY64" s="0" t="str">
        <f aca="false">IF($A64="","",IF(COUNTIFS($EX$2:$EX$1000,EX64,$EV$2:$EV$1000,"Y")+COUNTIFS($EX$2:$EX$1000,EX64,$EW$2:$EW$1000,"Y")&gt;0,"Y","N"))</f>
        <v>N</v>
      </c>
      <c r="EZ64" s="0" t="str">
        <f aca="false">IF($A64="","",IF(AND(U64="new",T64="N",EW64="N",AR64="Y",EY64="N"),"Y","N"))</f>
        <v>N</v>
      </c>
      <c r="FA64" s="0" t="str">
        <f aca="false">IF($A64="","",IF(EZ64&lt;&gt;"Y","N",IF(COUNTIFS($EX$2:$EX$1000,EX64,$EZ$2:$EZ$1000,"Y",$J$2:$J$1000,"&gt;"&amp;J64)+COUNTIFS($EX$2:$EX$1000,EX64,$EZ$2:$EZ$1000,"Y",$J$2:$J$1000,J64,$FG$2:$FG$1000,"&lt;"&amp;FG64)=0,"Y","N")))</f>
        <v>N</v>
      </c>
      <c r="FB64" s="0" t="str">
        <f aca="false">IF($A64="","",IF(AND(EZ64="Y",FA64="Y",Y64&amp;""&lt;&gt;""),IF(Y64&lt;=10,"Y","N"),"N"))</f>
        <v>N</v>
      </c>
      <c r="FC64" s="0" t="str">
        <f aca="false">IF(FB64="Y",Y64,"")</f>
        <v/>
      </c>
      <c r="FD64" s="0" t="str">
        <f aca="false">IF($A64="","",IF(AND(CK64="pass",AU64="Y",AV64&lt;&gt;"Y",U64="new",EW64="N"),"Y","N"))</f>
        <v>Y</v>
      </c>
      <c r="FE64" s="0" t="n">
        <f aca="false">IF(FD64&lt;&gt;"Y","",IF(COUNTIFS($FD$2:$FD$1000,"Y",$J$2:$J$1000,"&gt;"&amp;J64)+COUNTIFS($FD$2:$FD$1000,"Y",$J$2:$J$1000,J64,$FG$2:$FG$1000,"&lt;"&amp;FG64)+1&lt;=30,COUNTIFS($FD$2:$FD$1000,"Y",$J$2:$J$1000,"&gt;"&amp;J64)+COUNTIFS($FD$2:$FD$1000,"Y",$J$2:$J$1000,J64,$FG$2:$FG$1000,"&lt;"&amp;FG64)+1,""))</f>
        <v>29</v>
      </c>
      <c r="FF64" s="0" t="str">
        <f aca="false">IF(AND(_xlfn.ISFORMULA(C64),_xlfn.ISFORMULA(J64)),"Y","N")</f>
        <v>Y</v>
      </c>
      <c r="FG64" s="0" t="n">
        <f aca="false">ROW()-1</f>
        <v>63</v>
      </c>
    </row>
    <row r="65" customFormat="false" ht="15" hidden="false" customHeight="false" outlineLevel="0" collapsed="false">
      <c r="A65" s="0" t="s">
        <v>7348</v>
      </c>
      <c r="B65" s="0" t="s">
        <v>7349</v>
      </c>
      <c r="C65" s="0" t="str">
        <f aca="false">IF($A65="","",IF(AT65="Y",BL65&amp;"",AY65&amp;""))</f>
        <v/>
      </c>
      <c r="D65" s="0" t="str">
        <f aca="false">IF($A65="","",IF(AT65="Y",BM65&amp;"",AZ65&amp;""))</f>
        <v/>
      </c>
      <c r="E65" s="0" t="str">
        <f aca="false">IF($A65="","",IF(AT65="Y",BN65&amp;"",BA65&amp;""))</f>
        <v/>
      </c>
      <c r="F65" s="0" t="str">
        <f aca="false">IF($A65="","",IF(AT65="Y",BO65&amp;"",BB65&amp;""))</f>
        <v/>
      </c>
      <c r="G65" s="0" t="str">
        <f aca="false">IF($A65="","",IF(AT65="Y",BP65&amp;"",BC65&amp;""))</f>
        <v/>
      </c>
      <c r="H65" s="0" t="str">
        <f aca="false">IF($A65="","",IF(AT65="Y",BQ65&amp;"",BD65&amp;""))</f>
        <v>none</v>
      </c>
      <c r="I65" s="0" t="str">
        <f aca="false">IF($A65="","",IF(R65="Y","warm-intro",IF(H65="verified","email",IF(C65&lt;&gt;"","linkedin",CA65&amp;""))))</f>
        <v/>
      </c>
      <c r="J65" s="0" t="n">
        <f aca="false">IF($A65="","",IF(CK65="pass",ROUND(N(DO65)+N(DP65)+N(DQ65)+N(DR65)+N(DS65)+N(DT65)+N(DU65)+N(DV65),0),0))</f>
        <v>47</v>
      </c>
      <c r="K65" s="0" t="str">
        <f aca="false">IF($A65="","",IF(CK65&lt;&gt;"pass",BY65&amp;"",BY65&amp;", "&amp;IF(AT65="Y",BX65&amp;"",BK65&amp;"")&amp;BZ65&amp;IF(R65="Y","; known to the founder (+10)","")&amp;"."))</f>
        <v>New York City brand, no graded store within ten blocks, online store only, a new store listing 93 days ago, revenue unknown, no contact named; founder review: other.</v>
      </c>
      <c r="M65" s="0" t="s">
        <v>6144</v>
      </c>
      <c r="N65" s="0" t="s">
        <v>740</v>
      </c>
      <c r="O65" s="0" t="s">
        <v>7350</v>
      </c>
      <c r="P65" s="0" t="s">
        <v>7351</v>
      </c>
      <c r="Q65" s="0" t="s">
        <v>3907</v>
      </c>
      <c r="R65" s="5" t="s">
        <v>189</v>
      </c>
      <c r="S65" s="0" t="s">
        <v>209</v>
      </c>
      <c r="T65" s="5" t="s">
        <v>189</v>
      </c>
      <c r="U65" s="5" t="s">
        <v>3896</v>
      </c>
      <c r="V65" s="0" t="s">
        <v>6499</v>
      </c>
      <c r="W65" s="0" t="s">
        <v>172</v>
      </c>
      <c r="X65" s="0" t="s">
        <v>5578</v>
      </c>
      <c r="Y65" s="0" t="str">
        <f aca="false">IF(FA65&lt;&gt;"Y","",COUNTIFS($FA$2:$FA$1000,"Y",$J$2:$J$1000,"&gt;"&amp;J65)+COUNTIFS($FA$2:$FA$1000,"Y",$J$2:$J$1000,J65,$FG$2:$FG$1000,"&lt;"&amp;FG65)+1)</f>
        <v/>
      </c>
      <c r="Z65" s="0" t="n">
        <v>64</v>
      </c>
      <c r="AA65" s="0" t="s">
        <v>189</v>
      </c>
      <c r="AB65" s="0" t="str">
        <f aca="false">IF($A65="","",IF(AT65="Y",BW65&amp;"",BJ65&amp;""))</f>
        <v>no person named on an opened page: not ready</v>
      </c>
      <c r="AC65" s="0" t="str">
        <f aca="false">IF($A65="","",IF(AT65="Y",BR65&amp;"",BE65&amp;""))</f>
        <v/>
      </c>
      <c r="AD65" s="0" t="str">
        <f aca="false">IF($A65="","",IF(AT65="Y",BS65&amp;"",BF65&amp;""))</f>
        <v>none</v>
      </c>
      <c r="AE65" s="0" t="str">
        <f aca="false">IF($A65="","",IF(AT65="Y",BT65&amp;"",BG65&amp;""))</f>
        <v/>
      </c>
      <c r="AF65" s="0" t="str">
        <f aca="false">IF($A65="","",IF(AT65="Y",BU65&amp;"",BH65&amp;""))</f>
        <v/>
      </c>
      <c r="AG65" s="0" t="str">
        <f aca="false">IF($A65="","",IF(AT65="Y",BV65&amp;"",BI65&amp;""))</f>
        <v/>
      </c>
      <c r="AH65" s="0" t="s">
        <v>7352</v>
      </c>
      <c r="AI65" s="0" t="s">
        <v>6042</v>
      </c>
      <c r="AJ65" s="0" t="s">
        <v>7353</v>
      </c>
      <c r="AK65" s="0" t="s">
        <v>7354</v>
      </c>
      <c r="AL65" s="0" t="s">
        <v>164</v>
      </c>
      <c r="AM65" s="0" t="s">
        <v>7355</v>
      </c>
      <c r="AN65" s="0" t="s">
        <v>7348</v>
      </c>
      <c r="AO65" s="5" t="s">
        <v>189</v>
      </c>
      <c r="AR65" s="0" t="str">
        <f aca="false">IF($A65="","",IF(AND(CK65="pass",AO65&lt;&gt;"Y",C65&lt;&gt;"",OR(AU65&lt;&gt;"Y",AV65="Y")),"Y","N"))</f>
        <v>N</v>
      </c>
      <c r="AS65" s="0" t="str">
        <f aca="false">IF($A65="","",_xlfn.TEXTJOIN("; ",TRUE(),IF(CK65&lt;&gt;"pass","gated out",""),IF(AO65="Y","on hold: "&amp;AP65,""),IF(C65="","no contact named on an opened page",""),IF(AND(AU65="Y",AV65&lt;&gt;"Y"),"founder review pending (Founder review tab)","")))</f>
        <v>no contact named on an opened page</v>
      </c>
      <c r="AU65" s="0" t="s">
        <v>189</v>
      </c>
      <c r="BC65" s="0" t="str">
        <f aca="false">IF($A65="","",IFERROR(INDEX(Enrichment!$A$2:$GZ$2000,MATCH($A65,INDEX(Enrichment!$A$2:$GZ$2000,0,MATCH("row_id",Enrichment!$A$1:$GZ$1,0)),0),MATCH("work_email",Enrichment!$A$1:$GZ$1,0))&amp;"",""))</f>
        <v/>
      </c>
      <c r="BD65" s="0" t="str">
        <f aca="false">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none</v>
      </c>
      <c r="BF65" s="0" t="s">
        <v>380</v>
      </c>
      <c r="BJ65" s="0" t="s">
        <v>7105</v>
      </c>
      <c r="BK65" s="0" t="s">
        <v>6048</v>
      </c>
      <c r="BP65" s="0" t="str">
        <f aca="false">IF($A65="","",IFERROR(INDEX(Enrichment!$A$2:$GZ$2000,MATCH($A65,INDEX(Enrichment!$A$2:$GZ$2000,0,MATCH("row_id",Enrichment!$A$1:$GZ$1,0)),0),MATCH("backup_work_email",Enrichment!$A$1:$GZ$1,0))&amp;"",""))</f>
        <v/>
      </c>
      <c r="BQ65" s="0" t="str">
        <f aca="false">IF($A65="","",IF(BP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none</v>
      </c>
      <c r="BS65" s="0" t="s">
        <v>380</v>
      </c>
      <c r="BW65" s="0" t="s">
        <v>387</v>
      </c>
      <c r="BX65" s="0" t="s">
        <v>388</v>
      </c>
      <c r="BY65" s="0" t="s">
        <v>7356</v>
      </c>
      <c r="BZ65" s="0" t="s">
        <v>5960</v>
      </c>
      <c r="CJ65" s="0" t="s">
        <v>7088</v>
      </c>
      <c r="CK65" s="0" t="s">
        <v>200</v>
      </c>
      <c r="CM65" s="0" t="s">
        <v>201</v>
      </c>
      <c r="CN65" s="0" t="s">
        <v>443</v>
      </c>
      <c r="CO65" s="0" t="s">
        <v>7354</v>
      </c>
      <c r="CP65" s="0" t="s">
        <v>5608</v>
      </c>
      <c r="CQ65" s="0" t="s">
        <v>5609</v>
      </c>
      <c r="CR65" s="0" t="s">
        <v>209</v>
      </c>
      <c r="CT65" s="0" t="s">
        <v>164</v>
      </c>
      <c r="CU65" s="0" t="s">
        <v>7357</v>
      </c>
      <c r="CV65" s="0" t="s">
        <v>164</v>
      </c>
      <c r="CW65" s="0" t="s">
        <v>164</v>
      </c>
      <c r="CX65" s="0" t="s">
        <v>209</v>
      </c>
      <c r="CZ65" s="0" t="s">
        <v>5993</v>
      </c>
      <c r="DA65" s="0" t="s">
        <v>189</v>
      </c>
      <c r="DB65" s="0" t="s">
        <v>189</v>
      </c>
      <c r="DE65" s="0" t="s">
        <v>189</v>
      </c>
      <c r="DF65" s="0" t="n">
        <v>0</v>
      </c>
      <c r="DI65" s="0" t="s">
        <v>209</v>
      </c>
      <c r="DK65" s="0" t="s">
        <v>5689</v>
      </c>
      <c r="DL65" s="0" t="n">
        <v>93</v>
      </c>
      <c r="DN65" s="0" t="n">
        <v>47</v>
      </c>
      <c r="DO65" s="0" t="n">
        <v>6</v>
      </c>
      <c r="DP65" s="0" t="n">
        <v>20</v>
      </c>
      <c r="DQ65" s="0" t="n">
        <v>8</v>
      </c>
      <c r="DR65" s="0" t="n">
        <v>5</v>
      </c>
      <c r="DS65" s="0" t="n">
        <v>10</v>
      </c>
      <c r="DT65" s="0" t="n">
        <v>0</v>
      </c>
      <c r="DU65" s="0" t="n">
        <f aca="false">IF($A65="","",IF(R65="Y",10,0))</f>
        <v>0</v>
      </c>
      <c r="DV65" s="0" t="n">
        <v>-2</v>
      </c>
      <c r="DW65" s="0" t="s">
        <v>7358</v>
      </c>
      <c r="DX65" s="0" t="s">
        <v>5998</v>
      </c>
      <c r="DY65" s="0" t="s">
        <v>7359</v>
      </c>
      <c r="DZ65" s="0" t="s">
        <v>7360</v>
      </c>
      <c r="EV65" s="0" t="str">
        <f aca="false">IF($A65="","",IF(ISNUMBER(MATCH(U65,{"queued","contacted","replied","call_booked","call_done","yes_in_principle","materials_sent"},0)),"Y","N"))</f>
        <v>N</v>
      </c>
      <c r="EW65" s="0" t="str">
        <f aca="false">IF($A65="","",IF(OR(T65="Y",U65="do_not_contact",AQ65&amp;""&lt;&gt;""),"Y","N"))</f>
        <v>N</v>
      </c>
      <c r="EX65" s="0" t="str">
        <f aca="false">IF($A65="","",IF(AN65&amp;""&lt;&gt;"",AN65&amp;"",$A65))</f>
        <v>AB-282</v>
      </c>
      <c r="EY65" s="0" t="str">
        <f aca="false">IF($A65="","",IF(COUNTIFS($EX$2:$EX$1000,EX65,$EV$2:$EV$1000,"Y")+COUNTIFS($EX$2:$EX$1000,EX65,$EW$2:$EW$1000,"Y")&gt;0,"Y","N"))</f>
        <v>N</v>
      </c>
      <c r="EZ65" s="0" t="str">
        <f aca="false">IF($A65="","",IF(AND(U65="new",T65="N",EW65="N",AR65="Y",EY65="N"),"Y","N"))</f>
        <v>N</v>
      </c>
      <c r="FA65" s="0" t="str">
        <f aca="false">IF($A65="","",IF(EZ65&lt;&gt;"Y","N",IF(COUNTIFS($EX$2:$EX$1000,EX65,$EZ$2:$EZ$1000,"Y",$J$2:$J$1000,"&gt;"&amp;J65)+COUNTIFS($EX$2:$EX$1000,EX65,$EZ$2:$EZ$1000,"Y",$J$2:$J$1000,J65,$FG$2:$FG$1000,"&lt;"&amp;FG65)=0,"Y","N")))</f>
        <v>N</v>
      </c>
      <c r="FB65" s="0" t="str">
        <f aca="false">IF($A65="","",IF(AND(EZ65="Y",FA65="Y",Y65&amp;""&lt;&gt;""),IF(Y65&lt;=10,"Y","N"),"N"))</f>
        <v>N</v>
      </c>
      <c r="FC65" s="0" t="str">
        <f aca="false">IF(FB65="Y",Y65,"")</f>
        <v/>
      </c>
      <c r="FD65" s="0" t="str">
        <f aca="false">IF($A65="","",IF(AND(CK65="pass",AU65="Y",AV65&lt;&gt;"Y",U65="new",EW65="N"),"Y","N"))</f>
        <v>N</v>
      </c>
      <c r="FE65" s="0" t="str">
        <f aca="false">IF(FD65&lt;&gt;"Y","",IF(COUNTIFS($FD$2:$FD$1000,"Y",$J$2:$J$1000,"&gt;"&amp;J65)+COUNTIFS($FD$2:$FD$1000,"Y",$J$2:$J$1000,J65,$FG$2:$FG$1000,"&lt;"&amp;FG65)+1&lt;=30,COUNTIFS($FD$2:$FD$1000,"Y",$J$2:$J$1000,"&gt;"&amp;J65)+COUNTIFS($FD$2:$FD$1000,"Y",$J$2:$J$1000,J65,$FG$2:$FG$1000,"&lt;"&amp;FG65)+1,""))</f>
        <v/>
      </c>
      <c r="FF65" s="0" t="str">
        <f aca="false">IF(AND(_xlfn.ISFORMULA(C65),_xlfn.ISFORMULA(J65)),"Y","N")</f>
        <v>Y</v>
      </c>
      <c r="FG65" s="0" t="n">
        <f aca="false">ROW()-1</f>
        <v>64</v>
      </c>
    </row>
    <row r="66" customFormat="false" ht="15" hidden="false" customHeight="false" outlineLevel="0" collapsed="false">
      <c r="A66" s="0" t="s">
        <v>7361</v>
      </c>
      <c r="B66" s="0" t="s">
        <v>7362</v>
      </c>
      <c r="C66" s="0" t="str">
        <f aca="false">IF($A66="","",IF(AT66="Y",BL66&amp;"",AY66&amp;""))</f>
        <v>Rebecca</v>
      </c>
      <c r="D66" s="0" t="str">
        <f aca="false">IF($A66="","",IF(AT66="Y",BM66&amp;"",AZ66&amp;""))</f>
        <v>Styn</v>
      </c>
      <c r="E66" s="0" t="str">
        <f aca="false">IF($A66="","",IF(AT66="Y",BN66&amp;"",BA66&amp;""))</f>
        <v>Founder and CEO</v>
      </c>
      <c r="F66" s="0" t="str">
        <f aca="false">IF($A66="","",IF(AT66="Y",BO66&amp;"",BB66&amp;""))</f>
        <v/>
      </c>
      <c r="G66" s="0" t="str">
        <f aca="false">IF($A66="","",IF(AT66="Y",BP66&amp;"",BC66&amp;""))</f>
        <v/>
      </c>
      <c r="H66" s="0" t="str">
        <f aca="false">IF($A66="","",IF(AT66="Y",BQ66&amp;"",BD66&amp;""))</f>
        <v>none</v>
      </c>
      <c r="I66" s="0" t="str">
        <f aca="false">IF($A66="","",IF(R66="Y","warm-intro",IF(H66="verified","email",IF(C66&lt;&gt;"","linkedin",CA66&amp;""))))</f>
        <v>linkedin</v>
      </c>
      <c r="J66" s="0" t="n">
        <f aca="false">IF($A66="","",IF(CK66="pass",ROUND(N(DO66)+N(DP66)+N(DQ66)+N(DR66)+N(DS66)+N(DT66)+N(DU66)+N(DV66),0),0))</f>
        <v>46</v>
      </c>
      <c r="K66" s="0" t="str">
        <f aca="false">IF($A66="","",IF(CK66&lt;&gt;"pass",BY66&amp;"",BY66&amp;", "&amp;IF(AT66="Y",BX66&amp;"",BK66&amp;"")&amp;BZ66&amp;IF(R66="Y","; known to the founder (+10)","")&amp;"."))</f>
        <v>Northeast brand, brand locator shows Whole Foods Market NoMad inside the cluster, news 263 days ago, revenue unknown, contact named; founder review: alcohol-adjacent.</v>
      </c>
      <c r="M66" s="0" t="s">
        <v>5572</v>
      </c>
      <c r="N66" s="0" t="s">
        <v>5915</v>
      </c>
      <c r="O66" s="0" t="s">
        <v>7363</v>
      </c>
      <c r="P66" s="0" t="s">
        <v>7364</v>
      </c>
      <c r="Q66" s="0" t="s">
        <v>7365</v>
      </c>
      <c r="R66" s="5" t="s">
        <v>189</v>
      </c>
      <c r="S66" s="0" t="s">
        <v>164</v>
      </c>
      <c r="T66" s="5" t="s">
        <v>189</v>
      </c>
      <c r="U66" s="5" t="s">
        <v>3896</v>
      </c>
      <c r="V66" s="0" t="s">
        <v>7366</v>
      </c>
      <c r="W66" s="0" t="s">
        <v>263</v>
      </c>
      <c r="X66" s="0" t="s">
        <v>5578</v>
      </c>
      <c r="Y66" s="0" t="str">
        <f aca="false">IF(FA66&lt;&gt;"Y","",COUNTIFS($FA$2:$FA$1000,"Y",$J$2:$J$1000,"&gt;"&amp;J66)+COUNTIFS($FA$2:$FA$1000,"Y",$J$2:$J$1000,J66,$FG$2:$FG$1000,"&lt;"&amp;FG66)+1)</f>
        <v/>
      </c>
      <c r="Z66" s="0" t="n">
        <v>65</v>
      </c>
      <c r="AA66" s="0" t="s">
        <v>189</v>
      </c>
      <c r="AB66" s="0" t="str">
        <f aca="false">IF($A66="","",IF(AT66="Y",BW66&amp;"",BJ66&amp;""))</f>
        <v>find Rebecca Styn at Blind Tiger Spirit-Free Cocktails on LinkedIn and paste the profile URL into primary_linkedin_url; the retailer line rests on the brand's own store locator: say 'your store locator lists ...'</v>
      </c>
      <c r="AC66" s="0" t="str">
        <f aca="false">IF($A66="","",IF(AT66="Y",BR66&amp;"",BE66&amp;""))</f>
        <v>founder</v>
      </c>
      <c r="AD66" s="0" t="str">
        <f aca="false">IF($A66="","",IF(AT66="Y",BS66&amp;"",BF66&amp;""))</f>
        <v>verified-page</v>
      </c>
      <c r="AE66" s="0" t="str">
        <f aca="false">IF($A66="","",IF(AT66="Y",BT66&amp;"",BG66&amp;""))</f>
        <v>press, event or podcast page</v>
      </c>
      <c r="AF66" s="0" t="str">
        <f aca="false">IF($A66="","",IF(AT66="Y",BU66&amp;"",BH66&amp;""))</f>
        <v>https://startupcpg.com/startup-cpg-newswire-blind-tiger-spirit-free-cocktails-expands-national-pilot-across-400-whole-foods-market-stores/</v>
      </c>
      <c r="AG66" s="0" t="str">
        <f aca="false">IF($A66="","",IF(AT66="Y",BV66&amp;"",BI66&amp;""))</f>
        <v>2026-10-24</v>
      </c>
      <c r="AH66" s="0" t="s">
        <v>7367</v>
      </c>
      <c r="AI66" s="0" t="s">
        <v>6699</v>
      </c>
      <c r="AJ66" s="0" t="s">
        <v>7368</v>
      </c>
      <c r="AK66" s="0" t="s">
        <v>7369</v>
      </c>
      <c r="AL66" s="0" t="s">
        <v>164</v>
      </c>
      <c r="AM66" s="0" t="s">
        <v>7370</v>
      </c>
      <c r="AN66" s="0" t="s">
        <v>7361</v>
      </c>
      <c r="AO66" s="5" t="s">
        <v>189</v>
      </c>
      <c r="AR66" s="0" t="str">
        <f aca="false">IF($A66="","",IF(AND(CK66="pass",AO66&lt;&gt;"Y",C66&lt;&gt;"",OR(AU66&lt;&gt;"Y",AV66="Y")),"Y","N"))</f>
        <v>N</v>
      </c>
      <c r="AS66" s="0" t="str">
        <f aca="false">IF($A66="","",_xlfn.TEXTJOIN("; ",TRUE(),IF(CK66&lt;&gt;"pass","gated out",""),IF(AO66="Y","on hold: "&amp;AP66,""),IF(C66="","no contact named on an opened page",""),IF(AND(AU66="Y",AV66&lt;&gt;"Y"),"founder review pending (Founder review tab)","")))</f>
        <v>founder review pending (Founder review tab)</v>
      </c>
      <c r="AU66" s="0" t="s">
        <v>164</v>
      </c>
      <c r="AY66" s="0" t="s">
        <v>462</v>
      </c>
      <c r="AZ66" s="0" t="s">
        <v>7371</v>
      </c>
      <c r="BA66" s="0" t="s">
        <v>5670</v>
      </c>
      <c r="BC66" s="0" t="str">
        <f aca="false">IF($A66="","",IFERROR(INDEX(Enrichment!$A$2:$GZ$2000,MATCH($A66,INDEX(Enrichment!$A$2:$GZ$2000,0,MATCH("row_id",Enrichment!$A$1:$GZ$1,0)),0),MATCH("work_email",Enrichment!$A$1:$GZ$1,0))&amp;"",""))</f>
        <v/>
      </c>
      <c r="BD66" s="0" t="str">
        <f aca="false">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none</v>
      </c>
      <c r="BE66" s="0" t="s">
        <v>5589</v>
      </c>
      <c r="BF66" s="0" t="s">
        <v>169</v>
      </c>
      <c r="BG66" s="0" t="s">
        <v>1252</v>
      </c>
      <c r="BH66" s="0" t="s">
        <v>7364</v>
      </c>
      <c r="BI66" s="0" t="s">
        <v>172</v>
      </c>
      <c r="BJ66" s="0" t="s">
        <v>7372</v>
      </c>
      <c r="BK66" s="0" t="s">
        <v>5643</v>
      </c>
      <c r="BP66" s="0" t="str">
        <f aca="false">IF($A66="","",IFERROR(INDEX(Enrichment!$A$2:$GZ$2000,MATCH($A66,INDEX(Enrichment!$A$2:$GZ$2000,0,MATCH("row_id",Enrichment!$A$1:$GZ$1,0)),0),MATCH("backup_work_email",Enrichment!$A$1:$GZ$1,0))&amp;"",""))</f>
        <v/>
      </c>
      <c r="BQ66" s="0" t="str">
        <f aca="false">IF($A66="","",IF(BP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none</v>
      </c>
      <c r="BS66" s="0" t="s">
        <v>380</v>
      </c>
      <c r="BW66" s="0" t="s">
        <v>5929</v>
      </c>
      <c r="BX66" s="0" t="s">
        <v>388</v>
      </c>
      <c r="BY66" s="0" t="s">
        <v>7373</v>
      </c>
      <c r="BZ66" s="0" t="s">
        <v>6706</v>
      </c>
      <c r="CB66" s="0" t="s">
        <v>7374</v>
      </c>
      <c r="CD66" s="0" t="s">
        <v>7375</v>
      </c>
      <c r="CJ66" s="0" t="s">
        <v>5720</v>
      </c>
      <c r="CK66" s="0" t="s">
        <v>200</v>
      </c>
      <c r="CM66" s="0" t="s">
        <v>201</v>
      </c>
      <c r="CN66" s="0" t="s">
        <v>6709</v>
      </c>
      <c r="CO66" s="0" t="s">
        <v>7369</v>
      </c>
      <c r="CP66" s="0" t="s">
        <v>7376</v>
      </c>
      <c r="CQ66" s="0" t="s">
        <v>6084</v>
      </c>
      <c r="CR66" s="0" t="s">
        <v>209</v>
      </c>
      <c r="CT66" s="0" t="s">
        <v>209</v>
      </c>
      <c r="CU66" s="0" t="s">
        <v>7377</v>
      </c>
      <c r="CV66" s="0" t="s">
        <v>164</v>
      </c>
      <c r="CW66" s="0" t="s">
        <v>164</v>
      </c>
      <c r="CX66" s="0" t="s">
        <v>209</v>
      </c>
      <c r="CZ66" s="0" t="s">
        <v>7378</v>
      </c>
      <c r="DA66" s="0" t="s">
        <v>189</v>
      </c>
      <c r="DB66" s="0" t="s">
        <v>189</v>
      </c>
      <c r="DD66" s="0" t="n">
        <v>0</v>
      </c>
      <c r="DE66" s="0" t="s">
        <v>164</v>
      </c>
      <c r="DF66" s="0" t="n">
        <v>3</v>
      </c>
      <c r="DG66" s="0" t="s">
        <v>7379</v>
      </c>
      <c r="DH66" s="0" t="s">
        <v>7380</v>
      </c>
      <c r="DI66" s="0" t="s">
        <v>7381</v>
      </c>
      <c r="DJ66" s="0" t="s">
        <v>7382</v>
      </c>
      <c r="DK66" s="0" t="s">
        <v>5617</v>
      </c>
      <c r="DL66" s="0" t="n">
        <v>263</v>
      </c>
      <c r="DM66" s="0" t="s">
        <v>7364</v>
      </c>
      <c r="DN66" s="0" t="n">
        <v>46</v>
      </c>
      <c r="DO66" s="0" t="n">
        <v>17</v>
      </c>
      <c r="DP66" s="0" t="n">
        <v>8</v>
      </c>
      <c r="DQ66" s="0" t="n">
        <v>8</v>
      </c>
      <c r="DR66" s="0" t="n">
        <v>5</v>
      </c>
      <c r="DS66" s="0" t="n">
        <v>7</v>
      </c>
      <c r="DT66" s="0" t="n">
        <v>6</v>
      </c>
      <c r="DU66" s="0" t="n">
        <f aca="false">IF($A66="","",IF(R66="Y",10,0))</f>
        <v>0</v>
      </c>
      <c r="DV66" s="0" t="n">
        <v>-5</v>
      </c>
      <c r="DX66" s="0" t="s">
        <v>5619</v>
      </c>
      <c r="DY66" s="0" t="s">
        <v>7383</v>
      </c>
      <c r="DZ66" s="0" t="s">
        <v>7384</v>
      </c>
      <c r="EA66" s="0" t="s">
        <v>7385</v>
      </c>
      <c r="EV66" s="0" t="str">
        <f aca="false">IF($A66="","",IF(ISNUMBER(MATCH(U66,{"queued","contacted","replied","call_booked","call_done","yes_in_principle","materials_sent"},0)),"Y","N"))</f>
        <v>N</v>
      </c>
      <c r="EW66" s="0" t="str">
        <f aca="false">IF($A66="","",IF(OR(T66="Y",U66="do_not_contact",AQ66&amp;""&lt;&gt;""),"Y","N"))</f>
        <v>N</v>
      </c>
      <c r="EX66" s="0" t="str">
        <f aca="false">IF($A66="","",IF(AN66&amp;""&lt;&gt;"",AN66&amp;"",$A66))</f>
        <v>AB-225</v>
      </c>
      <c r="EY66" s="0" t="str">
        <f aca="false">IF($A66="","",IF(COUNTIFS($EX$2:$EX$1000,EX66,$EV$2:$EV$1000,"Y")+COUNTIFS($EX$2:$EX$1000,EX66,$EW$2:$EW$1000,"Y")&gt;0,"Y","N"))</f>
        <v>N</v>
      </c>
      <c r="EZ66" s="0" t="str">
        <f aca="false">IF($A66="","",IF(AND(U66="new",T66="N",EW66="N",AR66="Y",EY66="N"),"Y","N"))</f>
        <v>N</v>
      </c>
      <c r="FA66" s="0" t="str">
        <f aca="false">IF($A66="","",IF(EZ66&lt;&gt;"Y","N",IF(COUNTIFS($EX$2:$EX$1000,EX66,$EZ$2:$EZ$1000,"Y",$J$2:$J$1000,"&gt;"&amp;J66)+COUNTIFS($EX$2:$EX$1000,EX66,$EZ$2:$EZ$1000,"Y",$J$2:$J$1000,J66,$FG$2:$FG$1000,"&lt;"&amp;FG66)=0,"Y","N")))</f>
        <v>N</v>
      </c>
      <c r="FB66" s="0" t="str">
        <f aca="false">IF($A66="","",IF(AND(EZ66="Y",FA66="Y",Y66&amp;""&lt;&gt;""),IF(Y66&lt;=10,"Y","N"),"N"))</f>
        <v>N</v>
      </c>
      <c r="FC66" s="0" t="str">
        <f aca="false">IF(FB66="Y",Y66,"")</f>
        <v/>
      </c>
      <c r="FD66" s="0" t="str">
        <f aca="false">IF($A66="","",IF(AND(CK66="pass",AU66="Y",AV66&lt;&gt;"Y",U66="new",EW66="N"),"Y","N"))</f>
        <v>Y</v>
      </c>
      <c r="FE66" s="0" t="n">
        <f aca="false">IF(FD66&lt;&gt;"Y","",IF(COUNTIFS($FD$2:$FD$1000,"Y",$J$2:$J$1000,"&gt;"&amp;J66)+COUNTIFS($FD$2:$FD$1000,"Y",$J$2:$J$1000,J66,$FG$2:$FG$1000,"&lt;"&amp;FG66)+1&lt;=30,COUNTIFS($FD$2:$FD$1000,"Y",$J$2:$J$1000,"&gt;"&amp;J66)+COUNTIFS($FD$2:$FD$1000,"Y",$J$2:$J$1000,J66,$FG$2:$FG$1000,"&lt;"&amp;FG66)+1,""))</f>
        <v>30</v>
      </c>
      <c r="FF66" s="0" t="str">
        <f aca="false">IF(AND(_xlfn.ISFORMULA(C66),_xlfn.ISFORMULA(J66)),"Y","N")</f>
        <v>Y</v>
      </c>
      <c r="FG66" s="0" t="n">
        <f aca="false">ROW()-1</f>
        <v>65</v>
      </c>
    </row>
    <row r="67" customFormat="false" ht="15" hidden="false" customHeight="false" outlineLevel="0" collapsed="false">
      <c r="A67" s="0" t="s">
        <v>7386</v>
      </c>
      <c r="B67" s="0" t="s">
        <v>7387</v>
      </c>
      <c r="C67" s="0" t="str">
        <f aca="false">IF($A67="","",IF(AT67="Y",BL67&amp;"",AY67&amp;""))</f>
        <v>Rob</v>
      </c>
      <c r="D67" s="0" t="str">
        <f aca="false">IF($A67="","",IF(AT67="Y",BM67&amp;"",AZ67&amp;""))</f>
        <v>Smithson</v>
      </c>
      <c r="E67" s="0" t="str">
        <f aca="false">IF($A67="","",IF(AT67="Y",BN67&amp;"",BA67&amp;""))</f>
        <v>Co-founder</v>
      </c>
      <c r="F67" s="0" t="str">
        <f aca="false">IF($A67="","",IF(AT67="Y",BO67&amp;"",BB67&amp;""))</f>
        <v/>
      </c>
      <c r="G67" s="0" t="str">
        <f aca="false">IF($A67="","",IF(AT67="Y",BP67&amp;"",BC67&amp;""))</f>
        <v/>
      </c>
      <c r="H67" s="0" t="str">
        <f aca="false">IF($A67="","",IF(AT67="Y",BQ67&amp;"",BD67&amp;""))</f>
        <v>none</v>
      </c>
      <c r="I67" s="0" t="str">
        <f aca="false">IF($A67="","",IF(R67="Y","warm-intro",IF(H67="verified","email",IF(C67&lt;&gt;"","linkedin",CA67&amp;""))))</f>
        <v>linkedin</v>
      </c>
      <c r="J67" s="0" t="n">
        <f aca="false">IF($A67="","",IF(CK67="pass",ROUND(N(DO67)+N(DP67)+N(DQ67)+N(DR67)+N(DS67)+N(DT67)+N(DU67)+N(DV67),0),0))</f>
        <v>46</v>
      </c>
      <c r="K67" s="0" t="str">
        <f aca="false">IF($A67="","",IF(CK67&lt;&gt;"pass",BY67&amp;"",BY67&amp;", "&amp;IF(AT67="Y",BX67&amp;"",BK67&amp;"")&amp;BZ67&amp;IF(R67="Y","; known to the founder (+10)","")&amp;"."))</f>
        <v>Brand based outside the Northeast, no graded store within ten blocks, online store only, news 61 days ago, revenue in band, contact named; founder review: claim-functional, nutrient-claim.</v>
      </c>
      <c r="M67" s="0" t="s">
        <v>6144</v>
      </c>
      <c r="N67" s="0" t="s">
        <v>740</v>
      </c>
      <c r="O67" s="0" t="s">
        <v>7388</v>
      </c>
      <c r="P67" s="0" t="s">
        <v>7389</v>
      </c>
      <c r="Q67" s="0" t="s">
        <v>7390</v>
      </c>
      <c r="R67" s="5" t="s">
        <v>189</v>
      </c>
      <c r="S67" s="0" t="s">
        <v>164</v>
      </c>
      <c r="T67" s="5" t="s">
        <v>189</v>
      </c>
      <c r="U67" s="5" t="s">
        <v>3896</v>
      </c>
      <c r="V67" s="0" t="s">
        <v>7391</v>
      </c>
      <c r="W67" s="0" t="s">
        <v>263</v>
      </c>
      <c r="X67" s="0" t="s">
        <v>5578</v>
      </c>
      <c r="Y67" s="0" t="str">
        <f aca="false">IF(FA67&lt;&gt;"Y","",COUNTIFS($FA$2:$FA$1000,"Y",$J$2:$J$1000,"&gt;"&amp;J67)+COUNTIFS($FA$2:$FA$1000,"Y",$J$2:$J$1000,J67,$FG$2:$FG$1000,"&lt;"&amp;FG67)+1)</f>
        <v/>
      </c>
      <c r="Z67" s="0" t="n">
        <v>66</v>
      </c>
      <c r="AA67" s="0" t="s">
        <v>189</v>
      </c>
      <c r="AB67" s="0" t="str">
        <f aca="false">IF($A67="","",IF(AT67="Y",BW67&amp;"",BJ67&amp;""))</f>
        <v>find Rob Smithson at Banagua on LinkedIn and paste the profile URL into primary_linkedin_url</v>
      </c>
      <c r="AC67" s="0" t="str">
        <f aca="false">IF($A67="","",IF(AT67="Y",BR67&amp;"",BE67&amp;""))</f>
        <v>founder</v>
      </c>
      <c r="AD67" s="0" t="str">
        <f aca="false">IF($A67="","",IF(AT67="Y",BS67&amp;"",BF67&amp;""))</f>
        <v>verified-page</v>
      </c>
      <c r="AE67" s="0" t="str">
        <f aca="false">IF($A67="","",IF(AT67="Y",BT67&amp;"",BG67&amp;""))</f>
        <v>press, event or podcast page</v>
      </c>
      <c r="AF67" s="0" t="str">
        <f aca="false">IF($A67="","",IF(AT67="Y",BU67&amp;"",BH67&amp;""))</f>
        <v>https://www.newhope.com/brands/banaguas-rapid-banana-water-growth-rivals-coconut-water</v>
      </c>
      <c r="AG67" s="0" t="str">
        <f aca="false">IF($A67="","",IF(AT67="Y",BV67&amp;"",BI67&amp;""))</f>
        <v>2026-10-24</v>
      </c>
      <c r="AH67" s="0" t="s">
        <v>7392</v>
      </c>
      <c r="AI67" s="0" t="s">
        <v>6621</v>
      </c>
      <c r="AJ67" s="0" t="s">
        <v>7393</v>
      </c>
      <c r="AK67" s="0" t="s">
        <v>7394</v>
      </c>
      <c r="AL67" s="0" t="s">
        <v>164</v>
      </c>
      <c r="AM67" s="0" t="s">
        <v>7395</v>
      </c>
      <c r="AN67" s="0" t="s">
        <v>7386</v>
      </c>
      <c r="AO67" s="5" t="s">
        <v>189</v>
      </c>
      <c r="AR67" s="0" t="str">
        <f aca="false">IF($A67="","",IF(AND(CK67="pass",AO67&lt;&gt;"Y",C67&lt;&gt;"",OR(AU67&lt;&gt;"Y",AV67="Y")),"Y","N"))</f>
        <v>N</v>
      </c>
      <c r="AS67" s="0" t="str">
        <f aca="false">IF($A67="","",_xlfn.TEXTJOIN("; ",TRUE(),IF(CK67&lt;&gt;"pass","gated out",""),IF(AO67="Y","on hold: "&amp;AP67,""),IF(C67="","no contact named on an opened page",""),IF(AND(AU67="Y",AV67&lt;&gt;"Y"),"founder review pending (Founder review tab)","")))</f>
        <v>founder review pending (Founder review tab)</v>
      </c>
      <c r="AU67" s="0" t="s">
        <v>164</v>
      </c>
      <c r="AY67" s="0" t="s">
        <v>7396</v>
      </c>
      <c r="AZ67" s="0" t="s">
        <v>7397</v>
      </c>
      <c r="BA67" s="0" t="s">
        <v>5636</v>
      </c>
      <c r="BC67" s="0" t="str">
        <f aca="false">IF($A67="","",IFERROR(INDEX(Enrichment!$A$2:$GZ$2000,MATCH($A67,INDEX(Enrichment!$A$2:$GZ$2000,0,MATCH("row_id",Enrichment!$A$1:$GZ$1,0)),0),MATCH("work_email",Enrichment!$A$1:$GZ$1,0))&amp;"",""))</f>
        <v/>
      </c>
      <c r="BD67" s="0" t="str">
        <f aca="false">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none</v>
      </c>
      <c r="BE67" s="0" t="s">
        <v>5589</v>
      </c>
      <c r="BF67" s="0" t="s">
        <v>169</v>
      </c>
      <c r="BG67" s="0" t="s">
        <v>1252</v>
      </c>
      <c r="BH67" s="0" t="s">
        <v>7398</v>
      </c>
      <c r="BI67" s="0" t="s">
        <v>172</v>
      </c>
      <c r="BJ67" s="0" t="s">
        <v>7399</v>
      </c>
      <c r="BK67" s="0" t="s">
        <v>5643</v>
      </c>
      <c r="BL67" s="0" t="s">
        <v>7400</v>
      </c>
      <c r="BM67" s="0" t="s">
        <v>7401</v>
      </c>
      <c r="BN67" s="0" t="s">
        <v>5636</v>
      </c>
      <c r="BP67" s="0" t="str">
        <f aca="false">IF($A67="","",IFERROR(INDEX(Enrichment!$A$2:$GZ$2000,MATCH($A67,INDEX(Enrichment!$A$2:$GZ$2000,0,MATCH("row_id",Enrichment!$A$1:$GZ$1,0)),0),MATCH("backup_work_email",Enrichment!$A$1:$GZ$1,0))&amp;"",""))</f>
        <v/>
      </c>
      <c r="BQ67" s="0" t="str">
        <f aca="false">IF($A67="","",IF(BP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none</v>
      </c>
      <c r="BR67" s="0" t="s">
        <v>5712</v>
      </c>
      <c r="BS67" s="0" t="s">
        <v>169</v>
      </c>
      <c r="BT67" s="0" t="s">
        <v>1252</v>
      </c>
      <c r="BU67" s="0" t="s">
        <v>7398</v>
      </c>
      <c r="BV67" s="0" t="s">
        <v>172</v>
      </c>
      <c r="BW67" s="0" t="s">
        <v>7402</v>
      </c>
      <c r="BX67" s="0" t="s">
        <v>5643</v>
      </c>
      <c r="BY67" s="0" t="s">
        <v>7403</v>
      </c>
      <c r="BZ67" s="0" t="s">
        <v>6050</v>
      </c>
      <c r="CB67" s="0" t="s">
        <v>7404</v>
      </c>
      <c r="CD67" s="0" t="s">
        <v>7405</v>
      </c>
      <c r="CF67" s="0" t="s">
        <v>7406</v>
      </c>
      <c r="CH67" s="0" t="s">
        <v>7405</v>
      </c>
      <c r="CJ67" s="0" t="s">
        <v>5720</v>
      </c>
      <c r="CK67" s="0" t="s">
        <v>200</v>
      </c>
      <c r="CM67" s="0" t="s">
        <v>201</v>
      </c>
      <c r="CN67" s="0" t="s">
        <v>6051</v>
      </c>
      <c r="CO67" s="0" t="s">
        <v>7394</v>
      </c>
      <c r="CP67" s="0" t="s">
        <v>6343</v>
      </c>
      <c r="CQ67" s="0" t="s">
        <v>6198</v>
      </c>
      <c r="CR67" s="0" t="s">
        <v>7407</v>
      </c>
      <c r="CT67" s="0" t="s">
        <v>164</v>
      </c>
      <c r="CU67" s="0" t="s">
        <v>7408</v>
      </c>
      <c r="CV67" s="0" t="s">
        <v>164</v>
      </c>
      <c r="CW67" s="0" t="s">
        <v>164</v>
      </c>
      <c r="CX67" s="0" t="s">
        <v>7409</v>
      </c>
      <c r="CY67" s="0" t="s">
        <v>7410</v>
      </c>
      <c r="CZ67" s="0" t="s">
        <v>7411</v>
      </c>
      <c r="DA67" s="0" t="s">
        <v>189</v>
      </c>
      <c r="DB67" s="0" t="s">
        <v>189</v>
      </c>
      <c r="DE67" s="0" t="s">
        <v>189</v>
      </c>
      <c r="DF67" s="0" t="n">
        <v>0</v>
      </c>
      <c r="DI67" s="0" t="s">
        <v>7412</v>
      </c>
      <c r="DK67" s="0" t="s">
        <v>5617</v>
      </c>
      <c r="DL67" s="0" t="n">
        <v>61</v>
      </c>
      <c r="DM67" s="0" t="s">
        <v>7389</v>
      </c>
      <c r="DN67" s="0" t="n">
        <v>46</v>
      </c>
      <c r="DO67" s="0" t="n">
        <v>6</v>
      </c>
      <c r="DP67" s="0" t="n">
        <v>3</v>
      </c>
      <c r="DQ67" s="0" t="n">
        <v>15</v>
      </c>
      <c r="DR67" s="0" t="n">
        <v>10</v>
      </c>
      <c r="DS67" s="0" t="n">
        <v>10</v>
      </c>
      <c r="DT67" s="0" t="n">
        <v>6</v>
      </c>
      <c r="DU67" s="0" t="n">
        <f aca="false">IF($A67="","",IF(R67="Y",10,0))</f>
        <v>0</v>
      </c>
      <c r="DV67" s="0" t="n">
        <v>-4</v>
      </c>
      <c r="DW67" s="0" t="s">
        <v>209</v>
      </c>
      <c r="DX67" s="0" t="s">
        <v>6462</v>
      </c>
      <c r="DY67" s="0" t="s">
        <v>7413</v>
      </c>
      <c r="DZ67" s="0" t="s">
        <v>7414</v>
      </c>
      <c r="EA67" s="0" t="s">
        <v>7415</v>
      </c>
      <c r="EV67" s="0" t="str">
        <f aca="false">IF($A67="","",IF(ISNUMBER(MATCH(U67,{"queued","contacted","replied","call_booked","call_done","yes_in_principle","materials_sent"},0)),"Y","N"))</f>
        <v>N</v>
      </c>
      <c r="EW67" s="0" t="str">
        <f aca="false">IF($A67="","",IF(OR(T67="Y",U67="do_not_contact",AQ67&amp;""&lt;&gt;""),"Y","N"))</f>
        <v>N</v>
      </c>
      <c r="EX67" s="0" t="str">
        <f aca="false">IF($A67="","",IF(AN67&amp;""&lt;&gt;"",AN67&amp;"",$A67))</f>
        <v>AB-169</v>
      </c>
      <c r="EY67" s="0" t="str">
        <f aca="false">IF($A67="","",IF(COUNTIFS($EX$2:$EX$1000,EX67,$EV$2:$EV$1000,"Y")+COUNTIFS($EX$2:$EX$1000,EX67,$EW$2:$EW$1000,"Y")&gt;0,"Y","N"))</f>
        <v>N</v>
      </c>
      <c r="EZ67" s="0" t="str">
        <f aca="false">IF($A67="","",IF(AND(U67="new",T67="N",EW67="N",AR67="Y",EY67="N"),"Y","N"))</f>
        <v>N</v>
      </c>
      <c r="FA67" s="0" t="str">
        <f aca="false">IF($A67="","",IF(EZ67&lt;&gt;"Y","N",IF(COUNTIFS($EX$2:$EX$1000,EX67,$EZ$2:$EZ$1000,"Y",$J$2:$J$1000,"&gt;"&amp;J67)+COUNTIFS($EX$2:$EX$1000,EX67,$EZ$2:$EZ$1000,"Y",$J$2:$J$1000,J67,$FG$2:$FG$1000,"&lt;"&amp;FG67)=0,"Y","N")))</f>
        <v>N</v>
      </c>
      <c r="FB67" s="0" t="str">
        <f aca="false">IF($A67="","",IF(AND(EZ67="Y",FA67="Y",Y67&amp;""&lt;&gt;""),IF(Y67&lt;=10,"Y","N"),"N"))</f>
        <v>N</v>
      </c>
      <c r="FC67" s="0" t="str">
        <f aca="false">IF(FB67="Y",Y67,"")</f>
        <v/>
      </c>
      <c r="FD67" s="0" t="str">
        <f aca="false">IF($A67="","",IF(AND(CK67="pass",AU67="Y",AV67&lt;&gt;"Y",U67="new",EW67="N"),"Y","N"))</f>
        <v>Y</v>
      </c>
      <c r="FE67" s="0" t="str">
        <f aca="false">IF(FD67&lt;&gt;"Y","",IF(COUNTIFS($FD$2:$FD$1000,"Y",$J$2:$J$1000,"&gt;"&amp;J67)+COUNTIFS($FD$2:$FD$1000,"Y",$J$2:$J$1000,J67,$FG$2:$FG$1000,"&lt;"&amp;FG67)+1&lt;=30,COUNTIFS($FD$2:$FD$1000,"Y",$J$2:$J$1000,"&gt;"&amp;J67)+COUNTIFS($FD$2:$FD$1000,"Y",$J$2:$J$1000,J67,$FG$2:$FG$1000,"&lt;"&amp;FG67)+1,""))</f>
        <v/>
      </c>
      <c r="FF67" s="0" t="str">
        <f aca="false">IF(AND(_xlfn.ISFORMULA(C67),_xlfn.ISFORMULA(J67)),"Y","N")</f>
        <v>Y</v>
      </c>
      <c r="FG67" s="0" t="n">
        <f aca="false">ROW()-1</f>
        <v>66</v>
      </c>
    </row>
    <row r="68" customFormat="false" ht="15" hidden="false" customHeight="false" outlineLevel="0" collapsed="false">
      <c r="A68" s="0" t="s">
        <v>7416</v>
      </c>
      <c r="B68" s="0" t="s">
        <v>7417</v>
      </c>
      <c r="C68" s="0" t="str">
        <f aca="false">IF($A68="","",IF(AT68="Y",BL68&amp;"",AY68&amp;""))</f>
        <v>Becky</v>
      </c>
      <c r="D68" s="0" t="str">
        <f aca="false">IF($A68="","",IF(AT68="Y",BM68&amp;"",AZ68&amp;""))</f>
        <v>Dheri</v>
      </c>
      <c r="E68" s="0" t="str">
        <f aca="false">IF($A68="","",IF(AT68="Y",BN68&amp;"",BA68&amp;""))</f>
        <v>Founder and CEO</v>
      </c>
      <c r="F68" s="0" t="str">
        <f aca="false">IF($A68="","",IF(AT68="Y",BO68&amp;"",BB68&amp;""))</f>
        <v/>
      </c>
      <c r="G68" s="0" t="str">
        <f aca="false">IF($A68="","",IF(AT68="Y",BP68&amp;"",BC68&amp;""))</f>
        <v/>
      </c>
      <c r="H68" s="0" t="str">
        <f aca="false">IF($A68="","",IF(AT68="Y",BQ68&amp;"",BD68&amp;""))</f>
        <v>none</v>
      </c>
      <c r="I68" s="0" t="str">
        <f aca="false">IF($A68="","",IF(R68="Y","warm-intro",IF(H68="verified","email",IF(C68&lt;&gt;"","linkedin",CA68&amp;""))))</f>
        <v>linkedin</v>
      </c>
      <c r="J68" s="0" t="n">
        <f aca="false">IF($A68="","",IF(CK68="pass",ROUND(N(DO68)+N(DP68)+N(DQ68)+N(DR68)+N(DS68)+N(DT68)+N(DU68)+N(DV68),0),0))</f>
        <v>46</v>
      </c>
      <c r="K68" s="0" t="str">
        <f aca="false">IF($A68="","",IF(CK68&lt;&gt;"pass",BY68&amp;"",BY68&amp;", "&amp;IF(AT68="Y",BX68&amp;"",BK68&amp;"")&amp;BZ68&amp;IF(R68="Y","; known to the founder (+10)","")&amp;"."))</f>
        <v>Northeast brand (HQ unverified), no graded store within ten blocks, online store only, news 60 days ago, revenue unknown, contact named; founder review: nutrient-claim.</v>
      </c>
      <c r="M68" s="0" t="s">
        <v>6144</v>
      </c>
      <c r="N68" s="0" t="s">
        <v>740</v>
      </c>
      <c r="O68" s="0" t="s">
        <v>7418</v>
      </c>
      <c r="P68" s="0" t="s">
        <v>7419</v>
      </c>
      <c r="Q68" s="0" t="s">
        <v>7420</v>
      </c>
      <c r="R68" s="5" t="s">
        <v>189</v>
      </c>
      <c r="S68" s="0" t="s">
        <v>164</v>
      </c>
      <c r="T68" s="5" t="s">
        <v>189</v>
      </c>
      <c r="U68" s="5" t="s">
        <v>3896</v>
      </c>
      <c r="V68" s="0" t="s">
        <v>7421</v>
      </c>
      <c r="W68" s="0" t="s">
        <v>263</v>
      </c>
      <c r="X68" s="0" t="s">
        <v>5578</v>
      </c>
      <c r="Y68" s="0" t="n">
        <f aca="false">IF(FA68&lt;&gt;"Y","",COUNTIFS($FA$2:$FA$1000,"Y",$J$2:$J$1000,"&gt;"&amp;J68)+COUNTIFS($FA$2:$FA$1000,"Y",$J$2:$J$1000,J68,$FG$2:$FG$1000,"&lt;"&amp;FG68)+1)</f>
        <v>31</v>
      </c>
      <c r="Z68" s="0" t="n">
        <v>67</v>
      </c>
      <c r="AA68" s="0" t="s">
        <v>189</v>
      </c>
      <c r="AB68" s="0" t="str">
        <f aca="false">IF($A68="","",IF(AT68="Y",BW68&amp;"",BJ68&amp;""))</f>
        <v>find Becky Dheri at Day Out Snacks on LinkedIn and paste the profile URL into primary_linkedin_url</v>
      </c>
      <c r="AC68" s="0" t="str">
        <f aca="false">IF($A68="","",IF(AT68="Y",BR68&amp;"",BE68&amp;""))</f>
        <v>founder</v>
      </c>
      <c r="AD68" s="0" t="str">
        <f aca="false">IF($A68="","",IF(AT68="Y",BS68&amp;"",BF68&amp;""))</f>
        <v>verified-page</v>
      </c>
      <c r="AE68" s="0" t="str">
        <f aca="false">IF($A68="","",IF(AT68="Y",BT68&amp;"",BG68&amp;""))</f>
        <v>press, event or podcast page</v>
      </c>
      <c r="AF68" s="0" t="str">
        <f aca="false">IF($A68="","",IF(AT68="Y",BU68&amp;"",BH68&amp;""))</f>
        <v>https://startupcpg.com/startup-cpg-newswire-day-out-snacks-launches-limited-edition-apple-pie-and-pumpkin-cheesecake-flavors-for-fall/</v>
      </c>
      <c r="AG68" s="0" t="str">
        <f aca="false">IF($A68="","",IF(AT68="Y",BV68&amp;"",BI68&amp;""))</f>
        <v>2026-10-24</v>
      </c>
      <c r="AH68" s="0" t="s">
        <v>7422</v>
      </c>
      <c r="AI68" s="0" t="s">
        <v>6042</v>
      </c>
      <c r="AJ68" s="0" t="s">
        <v>7423</v>
      </c>
      <c r="AK68" s="0" t="s">
        <v>7424</v>
      </c>
      <c r="AL68" s="0" t="s">
        <v>164</v>
      </c>
      <c r="AM68" s="0" t="s">
        <v>7425</v>
      </c>
      <c r="AN68" s="0" t="s">
        <v>7416</v>
      </c>
      <c r="AO68" s="5" t="s">
        <v>189</v>
      </c>
      <c r="AR68" s="0" t="str">
        <f aca="false">IF($A68="","",IF(AND(CK68="pass",AO68&lt;&gt;"Y",C68&lt;&gt;"",OR(AU68&lt;&gt;"Y",AV68="Y")),"Y","N"))</f>
        <v>Y</v>
      </c>
      <c r="AS68" s="0" t="str">
        <f aca="false">IF($A68="","",_xlfn.TEXTJOIN("; ",TRUE(),IF(CK68&lt;&gt;"pass","gated out",""),IF(AO68="Y","on hold: "&amp;AP68,""),IF(C68="","no contact named on an opened page",""),IF(AND(AU68="Y",AV68&lt;&gt;"Y"),"founder review pending (Founder review tab)","")))</f>
        <v/>
      </c>
      <c r="AU68" s="0" t="s">
        <v>189</v>
      </c>
      <c r="AY68" s="0" t="s">
        <v>7426</v>
      </c>
      <c r="AZ68" s="0" t="s">
        <v>7427</v>
      </c>
      <c r="BA68" s="0" t="s">
        <v>5670</v>
      </c>
      <c r="BC68" s="0" t="str">
        <f aca="false">IF($A68="","",IFERROR(INDEX(Enrichment!$A$2:$GZ$2000,MATCH($A68,INDEX(Enrichment!$A$2:$GZ$2000,0,MATCH("row_id",Enrichment!$A$1:$GZ$1,0)),0),MATCH("work_email",Enrichment!$A$1:$GZ$1,0))&amp;"",""))</f>
        <v/>
      </c>
      <c r="BD68" s="0" t="str">
        <f aca="false">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none</v>
      </c>
      <c r="BE68" s="0" t="s">
        <v>5589</v>
      </c>
      <c r="BF68" s="0" t="s">
        <v>169</v>
      </c>
      <c r="BG68" s="0" t="s">
        <v>1252</v>
      </c>
      <c r="BH68" s="0" t="s">
        <v>7419</v>
      </c>
      <c r="BI68" s="0" t="s">
        <v>172</v>
      </c>
      <c r="BJ68" s="0" t="s">
        <v>7428</v>
      </c>
      <c r="BK68" s="0" t="s">
        <v>5643</v>
      </c>
      <c r="BP68" s="0" t="str">
        <f aca="false">IF($A68="","",IFERROR(INDEX(Enrichment!$A$2:$GZ$2000,MATCH($A68,INDEX(Enrichment!$A$2:$GZ$2000,0,MATCH("row_id",Enrichment!$A$1:$GZ$1,0)),0),MATCH("backup_work_email",Enrichment!$A$1:$GZ$1,0))&amp;"",""))</f>
        <v/>
      </c>
      <c r="BQ68" s="0" t="str">
        <f aca="false">IF($A68="","",IF(BP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none</v>
      </c>
      <c r="BS68" s="0" t="s">
        <v>380</v>
      </c>
      <c r="BW68" s="0" t="s">
        <v>387</v>
      </c>
      <c r="BX68" s="0" t="s">
        <v>388</v>
      </c>
      <c r="BY68" s="0" t="s">
        <v>7429</v>
      </c>
      <c r="BZ68" s="0" t="s">
        <v>5601</v>
      </c>
      <c r="CB68" s="0" t="s">
        <v>7430</v>
      </c>
      <c r="CD68" s="0" t="s">
        <v>7375</v>
      </c>
      <c r="CJ68" s="0" t="s">
        <v>5720</v>
      </c>
      <c r="CK68" s="0" t="s">
        <v>200</v>
      </c>
      <c r="CM68" s="0" t="s">
        <v>201</v>
      </c>
      <c r="CN68" s="0" t="s">
        <v>5607</v>
      </c>
      <c r="CO68" s="0" t="s">
        <v>7424</v>
      </c>
      <c r="CP68" s="0" t="s">
        <v>5840</v>
      </c>
      <c r="CQ68" s="0" t="s">
        <v>5841</v>
      </c>
      <c r="CR68" s="0" t="s">
        <v>209</v>
      </c>
      <c r="CT68" s="0" t="s">
        <v>164</v>
      </c>
      <c r="CU68" s="0" t="s">
        <v>7431</v>
      </c>
      <c r="CV68" s="0" t="s">
        <v>164</v>
      </c>
      <c r="CW68" s="0" t="s">
        <v>164</v>
      </c>
      <c r="CX68" s="0" t="s">
        <v>209</v>
      </c>
      <c r="CZ68" s="0" t="s">
        <v>209</v>
      </c>
      <c r="DA68" s="0" t="s">
        <v>189</v>
      </c>
      <c r="DB68" s="0" t="s">
        <v>189</v>
      </c>
      <c r="DE68" s="0" t="s">
        <v>189</v>
      </c>
      <c r="DF68" s="0" t="n">
        <v>0</v>
      </c>
      <c r="DI68" s="0" t="s">
        <v>7432</v>
      </c>
      <c r="DJ68" s="0" t="s">
        <v>7421</v>
      </c>
      <c r="DK68" s="0" t="s">
        <v>5617</v>
      </c>
      <c r="DL68" s="0" t="n">
        <v>60</v>
      </c>
      <c r="DM68" s="0" t="s">
        <v>7421</v>
      </c>
      <c r="DN68" s="0" t="n">
        <v>46</v>
      </c>
      <c r="DO68" s="0" t="n">
        <v>6</v>
      </c>
      <c r="DP68" s="0" t="n">
        <v>8</v>
      </c>
      <c r="DQ68" s="0" t="n">
        <v>15</v>
      </c>
      <c r="DR68" s="0" t="n">
        <v>5</v>
      </c>
      <c r="DS68" s="0" t="n">
        <v>10</v>
      </c>
      <c r="DT68" s="0" t="n">
        <v>6</v>
      </c>
      <c r="DU68" s="0" t="n">
        <f aca="false">IF($A68="","",IF(R68="Y",10,0))</f>
        <v>0</v>
      </c>
      <c r="DV68" s="0" t="n">
        <v>-4</v>
      </c>
      <c r="DX68" s="0" t="s">
        <v>5619</v>
      </c>
      <c r="DY68" s="0" t="s">
        <v>7433</v>
      </c>
      <c r="DZ68" s="0" t="s">
        <v>7434</v>
      </c>
      <c r="EA68" s="0" t="s">
        <v>7435</v>
      </c>
      <c r="EV68" s="0" t="str">
        <f aca="false">IF($A68="","",IF(ISNUMBER(MATCH(U68,{"queued","contacted","replied","call_booked","call_done","yes_in_principle","materials_sent"},0)),"Y","N"))</f>
        <v>N</v>
      </c>
      <c r="EW68" s="0" t="str">
        <f aca="false">IF($A68="","",IF(OR(T68="Y",U68="do_not_contact",AQ68&amp;""&lt;&gt;""),"Y","N"))</f>
        <v>N</v>
      </c>
      <c r="EX68" s="0" t="str">
        <f aca="false">IF($A68="","",IF(AN68&amp;""&lt;&gt;"",AN68&amp;"",$A68))</f>
        <v>AB-224</v>
      </c>
      <c r="EY68" s="0" t="str">
        <f aca="false">IF($A68="","",IF(COUNTIFS($EX$2:$EX$1000,EX68,$EV$2:$EV$1000,"Y")+COUNTIFS($EX$2:$EX$1000,EX68,$EW$2:$EW$1000,"Y")&gt;0,"Y","N"))</f>
        <v>N</v>
      </c>
      <c r="EZ68" s="0" t="str">
        <f aca="false">IF($A68="","",IF(AND(U68="new",T68="N",EW68="N",AR68="Y",EY68="N"),"Y","N"))</f>
        <v>Y</v>
      </c>
      <c r="FA68" s="0" t="str">
        <f aca="false">IF($A68="","",IF(EZ68&lt;&gt;"Y","N",IF(COUNTIFS($EX$2:$EX$1000,EX68,$EZ$2:$EZ$1000,"Y",$J$2:$J$1000,"&gt;"&amp;J68)+COUNTIFS($EX$2:$EX$1000,EX68,$EZ$2:$EZ$1000,"Y",$J$2:$J$1000,J68,$FG$2:$FG$1000,"&lt;"&amp;FG68)=0,"Y","N")))</f>
        <v>Y</v>
      </c>
      <c r="FB68" s="0" t="str">
        <f aca="false">IF($A68="","",IF(AND(EZ68="Y",FA68="Y",Y68&amp;""&lt;&gt;""),IF(Y68&lt;=10,"Y","N"),"N"))</f>
        <v>N</v>
      </c>
      <c r="FC68" s="0" t="str">
        <f aca="false">IF(FB68="Y",Y68,"")</f>
        <v/>
      </c>
      <c r="FD68" s="0" t="str">
        <f aca="false">IF($A68="","",IF(AND(CK68="pass",AU68="Y",AV68&lt;&gt;"Y",U68="new",EW68="N"),"Y","N"))</f>
        <v>N</v>
      </c>
      <c r="FE68" s="0" t="str">
        <f aca="false">IF(FD68&lt;&gt;"Y","",IF(COUNTIFS($FD$2:$FD$1000,"Y",$J$2:$J$1000,"&gt;"&amp;J68)+COUNTIFS($FD$2:$FD$1000,"Y",$J$2:$J$1000,J68,$FG$2:$FG$1000,"&lt;"&amp;FG68)+1&lt;=30,COUNTIFS($FD$2:$FD$1000,"Y",$J$2:$J$1000,"&gt;"&amp;J68)+COUNTIFS($FD$2:$FD$1000,"Y",$J$2:$J$1000,J68,$FG$2:$FG$1000,"&lt;"&amp;FG68)+1,""))</f>
        <v/>
      </c>
      <c r="FF68" s="0" t="str">
        <f aca="false">IF(AND(_xlfn.ISFORMULA(C68),_xlfn.ISFORMULA(J68)),"Y","N")</f>
        <v>Y</v>
      </c>
      <c r="FG68" s="0" t="n">
        <f aca="false">ROW()-1</f>
        <v>67</v>
      </c>
    </row>
    <row r="69" customFormat="false" ht="15" hidden="false" customHeight="false" outlineLevel="0" collapsed="false">
      <c r="A69" s="0" t="s">
        <v>7436</v>
      </c>
      <c r="B69" s="0" t="s">
        <v>7437</v>
      </c>
      <c r="C69" s="0" t="str">
        <f aca="false">IF($A69="","",IF(AT69="Y",BL69&amp;"",AY69&amp;""))</f>
        <v>Amy</v>
      </c>
      <c r="D69" s="0" t="str">
        <f aca="false">IF($A69="","",IF(AT69="Y",BM69&amp;"",AZ69&amp;""))</f>
        <v>Boysen</v>
      </c>
      <c r="E69" s="0" t="str">
        <f aca="false">IF($A69="","",IF(AT69="Y",BN69&amp;"",BA69&amp;""))</f>
        <v>Co-founder and CEO</v>
      </c>
      <c r="F69" s="0" t="str">
        <f aca="false">IF($A69="","",IF(AT69="Y",BO69&amp;"",BB69&amp;""))</f>
        <v/>
      </c>
      <c r="G69" s="0" t="str">
        <f aca="false">IF($A69="","",IF(AT69="Y",BP69&amp;"",BC69&amp;""))</f>
        <v/>
      </c>
      <c r="H69" s="0" t="str">
        <f aca="false">IF($A69="","",IF(AT69="Y",BQ69&amp;"",BD69&amp;""))</f>
        <v>none</v>
      </c>
      <c r="I69" s="0" t="str">
        <f aca="false">IF($A69="","",IF(R69="Y","warm-intro",IF(H69="verified","email",IF(C69&lt;&gt;"","linkedin",CA69&amp;""))))</f>
        <v>linkedin</v>
      </c>
      <c r="J69" s="0" t="n">
        <f aca="false">IF($A69="","",IF(CK69="pass",ROUND(N(DO69)+N(DP69)+N(DQ69)+N(DR69)+N(DS69)+N(DT69)+N(DU69)+N(DV69),0),0))</f>
        <v>46</v>
      </c>
      <c r="K69" s="0" t="str">
        <f aca="false">IF($A69="","",IF(CK69&lt;&gt;"pass",BY69&amp;"",BY69&amp;", "&amp;IF(AT69="Y",BX69&amp;"",BK69&amp;"")&amp;BZ69&amp;IF(R69="Y","; known to the founder (+10)","")&amp;"."))</f>
        <v>Northeast brand, no graded store within ten blocks, online store only, news 24 days ago, revenue unknown, contact named; founder review: nutrient-claim.</v>
      </c>
      <c r="M69" s="0" t="s">
        <v>6144</v>
      </c>
      <c r="N69" s="0" t="s">
        <v>740</v>
      </c>
      <c r="O69" s="0" t="s">
        <v>7438</v>
      </c>
      <c r="P69" s="0" t="s">
        <v>7439</v>
      </c>
      <c r="Q69" s="0" t="s">
        <v>7440</v>
      </c>
      <c r="R69" s="5" t="s">
        <v>189</v>
      </c>
      <c r="S69" s="0" t="s">
        <v>164</v>
      </c>
      <c r="T69" s="5" t="s">
        <v>189</v>
      </c>
      <c r="U69" s="5" t="s">
        <v>3896</v>
      </c>
      <c r="V69" s="0" t="s">
        <v>7441</v>
      </c>
      <c r="W69" s="0" t="s">
        <v>263</v>
      </c>
      <c r="X69" s="0" t="s">
        <v>5578</v>
      </c>
      <c r="Y69" s="0" t="n">
        <f aca="false">IF(FA69&lt;&gt;"Y","",COUNTIFS($FA$2:$FA$1000,"Y",$J$2:$J$1000,"&gt;"&amp;J69)+COUNTIFS($FA$2:$FA$1000,"Y",$J$2:$J$1000,J69,$FG$2:$FG$1000,"&lt;"&amp;FG69)+1)</f>
        <v>32</v>
      </c>
      <c r="Z69" s="0" t="n">
        <v>68</v>
      </c>
      <c r="AA69" s="0" t="s">
        <v>189</v>
      </c>
      <c r="AB69" s="0" t="str">
        <f aca="false">IF($A69="","",IF(AT69="Y",BW69&amp;"",BJ69&amp;""))</f>
        <v>find Amy Boysen at WildBoard on LinkedIn and paste the profile URL into primary_linkedin_url</v>
      </c>
      <c r="AC69" s="0" t="str">
        <f aca="false">IF($A69="","",IF(AT69="Y",BR69&amp;"",BE69&amp;""))</f>
        <v>founder</v>
      </c>
      <c r="AD69" s="0" t="str">
        <f aca="false">IF($A69="","",IF(AT69="Y",BS69&amp;"",BF69&amp;""))</f>
        <v>verified-page</v>
      </c>
      <c r="AE69" s="0" t="str">
        <f aca="false">IF($A69="","",IF(AT69="Y",BT69&amp;"",BG69&amp;""))</f>
        <v>press, event or podcast page</v>
      </c>
      <c r="AF69" s="0" t="str">
        <f aca="false">IF($A69="","",IF(AT69="Y",BU69&amp;"",BH69&amp;""))</f>
        <v>https://startupcpg.com/startup-cpg-newswire-wildboard-launches-savory-trail-mix-clusters-bringing-the-appetizer-board-to-everyday-snacking/</v>
      </c>
      <c r="AG69" s="0" t="str">
        <f aca="false">IF($A69="","",IF(AT69="Y",BV69&amp;"",BI69&amp;""))</f>
        <v>2026-10-24</v>
      </c>
      <c r="AH69" s="0" t="s">
        <v>7442</v>
      </c>
      <c r="AI69" s="0" t="s">
        <v>6240</v>
      </c>
      <c r="AJ69" s="0" t="s">
        <v>7443</v>
      </c>
      <c r="AK69" s="0" t="s">
        <v>7444</v>
      </c>
      <c r="AL69" s="0" t="s">
        <v>164</v>
      </c>
      <c r="AM69" s="0" t="s">
        <v>7445</v>
      </c>
      <c r="AN69" s="0" t="s">
        <v>7436</v>
      </c>
      <c r="AO69" s="5" t="s">
        <v>189</v>
      </c>
      <c r="AR69" s="0" t="str">
        <f aca="false">IF($A69="","",IF(AND(CK69="pass",AO69&lt;&gt;"Y",C69&lt;&gt;"",OR(AU69&lt;&gt;"Y",AV69="Y")),"Y","N"))</f>
        <v>Y</v>
      </c>
      <c r="AS69" s="0" t="str">
        <f aca="false">IF($A69="","",_xlfn.TEXTJOIN("; ",TRUE(),IF(CK69&lt;&gt;"pass","gated out",""),IF(AO69="Y","on hold: "&amp;AP69,""),IF(C69="","no contact named on an opened page",""),IF(AND(AU69="Y",AV69&lt;&gt;"Y"),"founder review pending (Founder review tab)","")))</f>
        <v/>
      </c>
      <c r="AU69" s="0" t="s">
        <v>189</v>
      </c>
      <c r="AY69" s="0" t="s">
        <v>1586</v>
      </c>
      <c r="AZ69" s="0" t="s">
        <v>7446</v>
      </c>
      <c r="BA69" s="0" t="s">
        <v>5830</v>
      </c>
      <c r="BC69" s="0" t="str">
        <f aca="false">IF($A69="","",IFERROR(INDEX(Enrichment!$A$2:$GZ$2000,MATCH($A69,INDEX(Enrichment!$A$2:$GZ$2000,0,MATCH("row_id",Enrichment!$A$1:$GZ$1,0)),0),MATCH("work_email",Enrichment!$A$1:$GZ$1,0))&amp;"",""))</f>
        <v/>
      </c>
      <c r="BD69" s="0" t="str">
        <f aca="false">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none</v>
      </c>
      <c r="BE69" s="0" t="s">
        <v>5589</v>
      </c>
      <c r="BF69" s="0" t="s">
        <v>169</v>
      </c>
      <c r="BG69" s="0" t="s">
        <v>1252</v>
      </c>
      <c r="BH69" s="0" t="s">
        <v>7439</v>
      </c>
      <c r="BI69" s="0" t="s">
        <v>172</v>
      </c>
      <c r="BJ69" s="0" t="s">
        <v>7447</v>
      </c>
      <c r="BK69" s="0" t="s">
        <v>5643</v>
      </c>
      <c r="BP69" s="0" t="str">
        <f aca="false">IF($A69="","",IFERROR(INDEX(Enrichment!$A$2:$GZ$2000,MATCH($A69,INDEX(Enrichment!$A$2:$GZ$2000,0,MATCH("row_id",Enrichment!$A$1:$GZ$1,0)),0),MATCH("backup_work_email",Enrichment!$A$1:$GZ$1,0))&amp;"",""))</f>
        <v/>
      </c>
      <c r="BQ69" s="0" t="str">
        <f aca="false">IF($A69="","",IF(BP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none</v>
      </c>
      <c r="BS69" s="0" t="s">
        <v>380</v>
      </c>
      <c r="BW69" s="0" t="s">
        <v>387</v>
      </c>
      <c r="BX69" s="0" t="s">
        <v>388</v>
      </c>
      <c r="BY69" s="0" t="s">
        <v>7448</v>
      </c>
      <c r="BZ69" s="0" t="s">
        <v>5601</v>
      </c>
      <c r="CB69" s="0" t="s">
        <v>7449</v>
      </c>
      <c r="CD69" s="0" t="s">
        <v>7375</v>
      </c>
      <c r="CJ69" s="0" t="s">
        <v>5720</v>
      </c>
      <c r="CK69" s="0" t="s">
        <v>200</v>
      </c>
      <c r="CM69" s="0" t="s">
        <v>201</v>
      </c>
      <c r="CN69" s="0" t="s">
        <v>5607</v>
      </c>
      <c r="CO69" s="0" t="s">
        <v>7444</v>
      </c>
      <c r="CP69" s="0" t="s">
        <v>7450</v>
      </c>
      <c r="CQ69" s="0" t="s">
        <v>6084</v>
      </c>
      <c r="CR69" s="0" t="s">
        <v>209</v>
      </c>
      <c r="CT69" s="0" t="s">
        <v>164</v>
      </c>
      <c r="CU69" s="0" t="s">
        <v>7451</v>
      </c>
      <c r="CV69" s="0" t="s">
        <v>164</v>
      </c>
      <c r="CW69" s="0" t="s">
        <v>164</v>
      </c>
      <c r="CX69" s="0" t="s">
        <v>209</v>
      </c>
      <c r="CZ69" s="0" t="s">
        <v>7452</v>
      </c>
      <c r="DA69" s="0" t="s">
        <v>189</v>
      </c>
      <c r="DB69" s="0" t="s">
        <v>189</v>
      </c>
      <c r="DE69" s="0" t="s">
        <v>189</v>
      </c>
      <c r="DF69" s="0" t="n">
        <v>0</v>
      </c>
      <c r="DI69" s="0" t="s">
        <v>7453</v>
      </c>
      <c r="DJ69" s="0" t="s">
        <v>7441</v>
      </c>
      <c r="DK69" s="0" t="s">
        <v>5617</v>
      </c>
      <c r="DL69" s="0" t="n">
        <v>24</v>
      </c>
      <c r="DM69" s="0" t="s">
        <v>7439</v>
      </c>
      <c r="DN69" s="0" t="n">
        <v>46</v>
      </c>
      <c r="DO69" s="0" t="n">
        <v>6</v>
      </c>
      <c r="DP69" s="0" t="n">
        <v>8</v>
      </c>
      <c r="DQ69" s="0" t="n">
        <v>15</v>
      </c>
      <c r="DR69" s="0" t="n">
        <v>5</v>
      </c>
      <c r="DS69" s="0" t="n">
        <v>10</v>
      </c>
      <c r="DT69" s="0" t="n">
        <v>6</v>
      </c>
      <c r="DU69" s="0" t="n">
        <f aca="false">IF($A69="","",IF(R69="Y",10,0))</f>
        <v>0</v>
      </c>
      <c r="DV69" s="0" t="n">
        <v>-4</v>
      </c>
      <c r="DX69" s="0" t="s">
        <v>5619</v>
      </c>
      <c r="DY69" s="0" t="s">
        <v>7454</v>
      </c>
      <c r="DZ69" s="0" t="s">
        <v>7455</v>
      </c>
      <c r="EA69" s="0" t="s">
        <v>7456</v>
      </c>
      <c r="EV69" s="0" t="str">
        <f aca="false">IF($A69="","",IF(ISNUMBER(MATCH(U69,{"queued","contacted","replied","call_booked","call_done","yes_in_principle","materials_sent"},0)),"Y","N"))</f>
        <v>N</v>
      </c>
      <c r="EW69" s="0" t="str">
        <f aca="false">IF($A69="","",IF(OR(T69="Y",U69="do_not_contact",AQ69&amp;""&lt;&gt;""),"Y","N"))</f>
        <v>N</v>
      </c>
      <c r="EX69" s="0" t="str">
        <f aca="false">IF($A69="","",IF(AN69&amp;""&lt;&gt;"",AN69&amp;"",$A69))</f>
        <v>AB-218</v>
      </c>
      <c r="EY69" s="0" t="str">
        <f aca="false">IF($A69="","",IF(COUNTIFS($EX$2:$EX$1000,EX69,$EV$2:$EV$1000,"Y")+COUNTIFS($EX$2:$EX$1000,EX69,$EW$2:$EW$1000,"Y")&gt;0,"Y","N"))</f>
        <v>N</v>
      </c>
      <c r="EZ69" s="0" t="str">
        <f aca="false">IF($A69="","",IF(AND(U69="new",T69="N",EW69="N",AR69="Y",EY69="N"),"Y","N"))</f>
        <v>Y</v>
      </c>
      <c r="FA69" s="0" t="str">
        <f aca="false">IF($A69="","",IF(EZ69&lt;&gt;"Y","N",IF(COUNTIFS($EX$2:$EX$1000,EX69,$EZ$2:$EZ$1000,"Y",$J$2:$J$1000,"&gt;"&amp;J69)+COUNTIFS($EX$2:$EX$1000,EX69,$EZ$2:$EZ$1000,"Y",$J$2:$J$1000,J69,$FG$2:$FG$1000,"&lt;"&amp;FG69)=0,"Y","N")))</f>
        <v>Y</v>
      </c>
      <c r="FB69" s="0" t="str">
        <f aca="false">IF($A69="","",IF(AND(EZ69="Y",FA69="Y",Y69&amp;""&lt;&gt;""),IF(Y69&lt;=10,"Y","N"),"N"))</f>
        <v>N</v>
      </c>
      <c r="FC69" s="0" t="str">
        <f aca="false">IF(FB69="Y",Y69,"")</f>
        <v/>
      </c>
      <c r="FD69" s="0" t="str">
        <f aca="false">IF($A69="","",IF(AND(CK69="pass",AU69="Y",AV69&lt;&gt;"Y",U69="new",EW69="N"),"Y","N"))</f>
        <v>N</v>
      </c>
      <c r="FE69" s="0" t="str">
        <f aca="false">IF(FD69&lt;&gt;"Y","",IF(COUNTIFS($FD$2:$FD$1000,"Y",$J$2:$J$1000,"&gt;"&amp;J69)+COUNTIFS($FD$2:$FD$1000,"Y",$J$2:$J$1000,J69,$FG$2:$FG$1000,"&lt;"&amp;FG69)+1&lt;=30,COUNTIFS($FD$2:$FD$1000,"Y",$J$2:$J$1000,"&gt;"&amp;J69)+COUNTIFS($FD$2:$FD$1000,"Y",$J$2:$J$1000,J69,$FG$2:$FG$1000,"&lt;"&amp;FG69)+1,""))</f>
        <v/>
      </c>
      <c r="FF69" s="0" t="str">
        <f aca="false">IF(AND(_xlfn.ISFORMULA(C69),_xlfn.ISFORMULA(J69)),"Y","N")</f>
        <v>Y</v>
      </c>
      <c r="FG69" s="0" t="n">
        <f aca="false">ROW()-1</f>
        <v>68</v>
      </c>
    </row>
    <row r="70" customFormat="false" ht="15" hidden="false" customHeight="false" outlineLevel="0" collapsed="false">
      <c r="A70" s="0" t="s">
        <v>7457</v>
      </c>
      <c r="B70" s="0" t="s">
        <v>7458</v>
      </c>
      <c r="C70" s="0" t="str">
        <f aca="false">IF($A70="","",IF(AT70="Y",BL70&amp;"",AY70&amp;""))</f>
        <v>Darryn</v>
      </c>
      <c r="D70" s="0" t="str">
        <f aca="false">IF($A70="","",IF(AT70="Y",BM70&amp;"",AZ70&amp;""))</f>
        <v>Weinstein</v>
      </c>
      <c r="E70" s="0" t="str">
        <f aca="false">IF($A70="","",IF(AT70="Y",BN70&amp;"",BA70&amp;""))</f>
        <v>Founder</v>
      </c>
      <c r="F70" s="0" t="str">
        <f aca="false">IF($A70="","",IF(AT70="Y",BO70&amp;"",BB70&amp;""))</f>
        <v/>
      </c>
      <c r="G70" s="0" t="str">
        <f aca="false">IF($A70="","",IF(AT70="Y",BP70&amp;"",BC70&amp;""))</f>
        <v/>
      </c>
      <c r="H70" s="0" t="str">
        <f aca="false">IF($A70="","",IF(AT70="Y",BQ70&amp;"",BD70&amp;""))</f>
        <v>none</v>
      </c>
      <c r="I70" s="0" t="str">
        <f aca="false">IF($A70="","",IF(R70="Y","warm-intro",IF(H70="verified","email",IF(C70&lt;&gt;"","linkedin",CA70&amp;""))))</f>
        <v>linkedin</v>
      </c>
      <c r="J70" s="0" t="n">
        <f aca="false">IF($A70="","",IF(CK70="pass",ROUND(N(DO70)+N(DP70)+N(DQ70)+N(DR70)+N(DS70)+N(DT70)+N(DU70)+N(DV70),0),0))</f>
        <v>46</v>
      </c>
      <c r="K70" s="0" t="str">
        <f aca="false">IF($A70="","",IF(CK70&lt;&gt;"pass",BY70&amp;"",BY70&amp;", "&amp;IF(AT70="Y",BX70&amp;"",BK70&amp;"")&amp;BZ70&amp;IF(R70="Y","; known to the founder (+10)","")&amp;"."))</f>
        <v>New York State brand, no graded store within ten blocks, online store only, a new store listing 65 days ago, revenue unknown, contact named; founder review: format-unconfirmed.</v>
      </c>
      <c r="M70" s="0" t="s">
        <v>6144</v>
      </c>
      <c r="N70" s="0" t="s">
        <v>740</v>
      </c>
      <c r="O70" s="0" t="s">
        <v>7459</v>
      </c>
      <c r="P70" s="0" t="s">
        <v>7460</v>
      </c>
      <c r="Q70" s="0" t="s">
        <v>6721</v>
      </c>
      <c r="R70" s="5" t="s">
        <v>189</v>
      </c>
      <c r="S70" s="0" t="s">
        <v>209</v>
      </c>
      <c r="T70" s="5" t="s">
        <v>189</v>
      </c>
      <c r="U70" s="5" t="s">
        <v>3896</v>
      </c>
      <c r="V70" s="0" t="s">
        <v>7461</v>
      </c>
      <c r="W70" s="0" t="s">
        <v>263</v>
      </c>
      <c r="X70" s="0" t="s">
        <v>5578</v>
      </c>
      <c r="Y70" s="0" t="n">
        <f aca="false">IF(FA70&lt;&gt;"Y","",COUNTIFS($FA$2:$FA$1000,"Y",$J$2:$J$1000,"&gt;"&amp;J70)+COUNTIFS($FA$2:$FA$1000,"Y",$J$2:$J$1000,J70,$FG$2:$FG$1000,"&lt;"&amp;FG70)+1)</f>
        <v>33</v>
      </c>
      <c r="Z70" s="0" t="n">
        <v>69</v>
      </c>
      <c r="AA70" s="0" t="s">
        <v>189</v>
      </c>
      <c r="AB70" s="0" t="str">
        <f aca="false">IF($A70="","",IF(AT70="Y",BW70&amp;"",BJ70&amp;""))</f>
        <v>find Darryn Weinstein at Eccentric Bagel Chips on LinkedIn and paste the profile URL into primary_linkedin_url</v>
      </c>
      <c r="AC70" s="0" t="str">
        <f aca="false">IF($A70="","",IF(AT70="Y",BR70&amp;"",BE70&amp;""))</f>
        <v>founder</v>
      </c>
      <c r="AD70" s="0" t="str">
        <f aca="false">IF($A70="","",IF(AT70="Y",BS70&amp;"",BF70&amp;""))</f>
        <v>verified-page</v>
      </c>
      <c r="AE70" s="0" t="str">
        <f aca="false">IF($A70="","",IF(AT70="Y",BT70&amp;"",BG70&amp;""))</f>
        <v>press, event or podcast page</v>
      </c>
      <c r="AF70" s="0" t="str">
        <f aca="false">IF($A70="","",IF(AT70="Y",BU70&amp;"",BH70&amp;""))</f>
        <v>https://northforker.com/2025/03/my-favorite-things-darryn-weinstein-eccentric-bagel/</v>
      </c>
      <c r="AG70" s="0" t="str">
        <f aca="false">IF($A70="","",IF(AT70="Y",BV70&amp;"",BI70&amp;""))</f>
        <v>2026-10-24</v>
      </c>
      <c r="AH70" s="0" t="s">
        <v>7462</v>
      </c>
      <c r="AI70" s="0" t="s">
        <v>5630</v>
      </c>
      <c r="AJ70" s="0" t="s">
        <v>7463</v>
      </c>
      <c r="AK70" s="0" t="s">
        <v>7460</v>
      </c>
      <c r="AL70" s="0" t="s">
        <v>164</v>
      </c>
      <c r="AM70" s="0" t="s">
        <v>5760</v>
      </c>
      <c r="AN70" s="0" t="s">
        <v>7457</v>
      </c>
      <c r="AO70" s="5" t="s">
        <v>189</v>
      </c>
      <c r="AR70" s="0" t="str">
        <f aca="false">IF($A70="","",IF(AND(CK70="pass",AO70&lt;&gt;"Y",C70&lt;&gt;"",OR(AU70&lt;&gt;"Y",AV70="Y")),"Y","N"))</f>
        <v>Y</v>
      </c>
      <c r="AS70" s="0" t="str">
        <f aca="false">IF($A70="","",_xlfn.TEXTJOIN("; ",TRUE(),IF(CK70&lt;&gt;"pass","gated out",""),IF(AO70="Y","on hold: "&amp;AP70,""),IF(C70="","no contact named on an opened page",""),IF(AND(AU70="Y",AV70&lt;&gt;"Y"),"founder review pending (Founder review tab)","")))</f>
        <v/>
      </c>
      <c r="AU70" s="0" t="s">
        <v>189</v>
      </c>
      <c r="AY70" s="0" t="s">
        <v>7464</v>
      </c>
      <c r="AZ70" s="0" t="s">
        <v>7465</v>
      </c>
      <c r="BA70" s="0" t="s">
        <v>5739</v>
      </c>
      <c r="BC70" s="0" t="str">
        <f aca="false">IF($A70="","",IFERROR(INDEX(Enrichment!$A$2:$GZ$2000,MATCH($A70,INDEX(Enrichment!$A$2:$GZ$2000,0,MATCH("row_id",Enrichment!$A$1:$GZ$1,0)),0),MATCH("work_email",Enrichment!$A$1:$GZ$1,0))&amp;"",""))</f>
        <v/>
      </c>
      <c r="BD70" s="0" t="str">
        <f aca="false">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none</v>
      </c>
      <c r="BE70" s="0" t="s">
        <v>5589</v>
      </c>
      <c r="BF70" s="0" t="s">
        <v>169</v>
      </c>
      <c r="BG70" s="0" t="s">
        <v>1252</v>
      </c>
      <c r="BH70" s="0" t="s">
        <v>7466</v>
      </c>
      <c r="BI70" s="0" t="s">
        <v>172</v>
      </c>
      <c r="BJ70" s="0" t="s">
        <v>7467</v>
      </c>
      <c r="BK70" s="0" t="s">
        <v>5643</v>
      </c>
      <c r="BP70" s="0" t="str">
        <f aca="false">IF($A70="","",IFERROR(INDEX(Enrichment!$A$2:$GZ$2000,MATCH($A70,INDEX(Enrichment!$A$2:$GZ$2000,0,MATCH("row_id",Enrichment!$A$1:$GZ$1,0)),0),MATCH("backup_work_email",Enrichment!$A$1:$GZ$1,0))&amp;"",""))</f>
        <v/>
      </c>
      <c r="BQ70" s="0" t="str">
        <f aca="false">IF($A70="","",IF(BP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none</v>
      </c>
      <c r="BS70" s="0" t="s">
        <v>380</v>
      </c>
      <c r="BW70" s="0" t="s">
        <v>387</v>
      </c>
      <c r="BX70" s="0" t="s">
        <v>388</v>
      </c>
      <c r="BY70" s="0" t="s">
        <v>7468</v>
      </c>
      <c r="BZ70" s="0" t="s">
        <v>5769</v>
      </c>
      <c r="CB70" s="0" t="s">
        <v>7469</v>
      </c>
      <c r="CD70" s="0" t="s">
        <v>7470</v>
      </c>
      <c r="CJ70" s="0" t="s">
        <v>5720</v>
      </c>
      <c r="CK70" s="0" t="s">
        <v>200</v>
      </c>
      <c r="CM70" s="0" t="s">
        <v>201</v>
      </c>
      <c r="CN70" s="0" t="s">
        <v>5774</v>
      </c>
      <c r="CO70" s="0" t="s">
        <v>7471</v>
      </c>
      <c r="CP70" s="0" t="s">
        <v>5608</v>
      </c>
      <c r="CQ70" s="0" t="s">
        <v>5870</v>
      </c>
      <c r="CR70" s="0" t="s">
        <v>209</v>
      </c>
      <c r="CT70" s="0" t="s">
        <v>164</v>
      </c>
      <c r="CU70" s="0" t="s">
        <v>7472</v>
      </c>
      <c r="CV70" s="0" t="s">
        <v>209</v>
      </c>
      <c r="CW70" s="0" t="s">
        <v>164</v>
      </c>
      <c r="CX70" s="0" t="s">
        <v>209</v>
      </c>
      <c r="CZ70" s="0" t="s">
        <v>209</v>
      </c>
      <c r="DA70" s="0" t="s">
        <v>189</v>
      </c>
      <c r="DB70" s="0" t="s">
        <v>189</v>
      </c>
      <c r="DE70" s="0" t="s">
        <v>189</v>
      </c>
      <c r="DF70" s="0" t="n">
        <v>0</v>
      </c>
      <c r="DH70" s="0" t="s">
        <v>7473</v>
      </c>
      <c r="DI70" s="0" t="s">
        <v>7474</v>
      </c>
      <c r="DJ70" s="0" t="s">
        <v>7475</v>
      </c>
      <c r="DK70" s="0" t="s">
        <v>5689</v>
      </c>
      <c r="DL70" s="0" t="n">
        <v>65</v>
      </c>
      <c r="DN70" s="0" t="n">
        <v>46</v>
      </c>
      <c r="DO70" s="0" t="n">
        <v>6</v>
      </c>
      <c r="DP70" s="0" t="n">
        <v>13</v>
      </c>
      <c r="DQ70" s="0" t="n">
        <v>8</v>
      </c>
      <c r="DR70" s="0" t="n">
        <v>5</v>
      </c>
      <c r="DS70" s="0" t="n">
        <v>8</v>
      </c>
      <c r="DT70" s="0" t="n">
        <v>6</v>
      </c>
      <c r="DU70" s="0" t="n">
        <f aca="false">IF($A70="","",IF(R70="Y",10,0))</f>
        <v>0</v>
      </c>
      <c r="DV70" s="0" t="n">
        <v>0</v>
      </c>
      <c r="DW70" s="0" t="s">
        <v>7476</v>
      </c>
      <c r="DX70" s="0" t="s">
        <v>5814</v>
      </c>
      <c r="DY70" s="0" t="s">
        <v>7477</v>
      </c>
      <c r="DZ70" s="0" t="s">
        <v>7478</v>
      </c>
      <c r="EA70" s="0" t="s">
        <v>7479</v>
      </c>
      <c r="EV70" s="0" t="str">
        <f aca="false">IF($A70="","",IF(ISNUMBER(MATCH(U70,{"queued","contacted","replied","call_booked","call_done","yes_in_principle","materials_sent"},0)),"Y","N"))</f>
        <v>N</v>
      </c>
      <c r="EW70" s="0" t="str">
        <f aca="false">IF($A70="","",IF(OR(T70="Y",U70="do_not_contact",AQ70&amp;""&lt;&gt;""),"Y","N"))</f>
        <v>N</v>
      </c>
      <c r="EX70" s="0" t="str">
        <f aca="false">IF($A70="","",IF(AN70&amp;""&lt;&gt;"",AN70&amp;"",$A70))</f>
        <v>AB-007</v>
      </c>
      <c r="EY70" s="0" t="str">
        <f aca="false">IF($A70="","",IF(COUNTIFS($EX$2:$EX$1000,EX70,$EV$2:$EV$1000,"Y")+COUNTIFS($EX$2:$EX$1000,EX70,$EW$2:$EW$1000,"Y")&gt;0,"Y","N"))</f>
        <v>N</v>
      </c>
      <c r="EZ70" s="0" t="str">
        <f aca="false">IF($A70="","",IF(AND(U70="new",T70="N",EW70="N",AR70="Y",EY70="N"),"Y","N"))</f>
        <v>Y</v>
      </c>
      <c r="FA70" s="0" t="str">
        <f aca="false">IF($A70="","",IF(EZ70&lt;&gt;"Y","N",IF(COUNTIFS($EX$2:$EX$1000,EX70,$EZ$2:$EZ$1000,"Y",$J$2:$J$1000,"&gt;"&amp;J70)+COUNTIFS($EX$2:$EX$1000,EX70,$EZ$2:$EZ$1000,"Y",$J$2:$J$1000,J70,$FG$2:$FG$1000,"&lt;"&amp;FG70)=0,"Y","N")))</f>
        <v>Y</v>
      </c>
      <c r="FB70" s="0" t="str">
        <f aca="false">IF($A70="","",IF(AND(EZ70="Y",FA70="Y",Y70&amp;""&lt;&gt;""),IF(Y70&lt;=10,"Y","N"),"N"))</f>
        <v>N</v>
      </c>
      <c r="FC70" s="0" t="str">
        <f aca="false">IF(FB70="Y",Y70,"")</f>
        <v/>
      </c>
      <c r="FD70" s="0" t="str">
        <f aca="false">IF($A70="","",IF(AND(CK70="pass",AU70="Y",AV70&lt;&gt;"Y",U70="new",EW70="N"),"Y","N"))</f>
        <v>N</v>
      </c>
      <c r="FE70" s="0" t="str">
        <f aca="false">IF(FD70&lt;&gt;"Y","",IF(COUNTIFS($FD$2:$FD$1000,"Y",$J$2:$J$1000,"&gt;"&amp;J70)+COUNTIFS($FD$2:$FD$1000,"Y",$J$2:$J$1000,J70,$FG$2:$FG$1000,"&lt;"&amp;FG70)+1&lt;=30,COUNTIFS($FD$2:$FD$1000,"Y",$J$2:$J$1000,"&gt;"&amp;J70)+COUNTIFS($FD$2:$FD$1000,"Y",$J$2:$J$1000,J70,$FG$2:$FG$1000,"&lt;"&amp;FG70)+1,""))</f>
        <v/>
      </c>
      <c r="FF70" s="0" t="str">
        <f aca="false">IF(AND(_xlfn.ISFORMULA(C70),_xlfn.ISFORMULA(J70)),"Y","N")</f>
        <v>Y</v>
      </c>
      <c r="FG70" s="0" t="n">
        <f aca="false">ROW()-1</f>
        <v>69</v>
      </c>
    </row>
    <row r="71" customFormat="false" ht="15" hidden="false" customHeight="false" outlineLevel="0" collapsed="false">
      <c r="A71" s="0" t="s">
        <v>7480</v>
      </c>
      <c r="B71" s="0" t="s">
        <v>7481</v>
      </c>
      <c r="C71" s="0" t="str">
        <f aca="false">IF($A71="","",IF(AT71="Y",BL71&amp;"",AY71&amp;""))</f>
        <v>Lewis</v>
      </c>
      <c r="D71" s="0" t="str">
        <f aca="false">IF($A71="","",IF(AT71="Y",BM71&amp;"",AZ71&amp;""))</f>
        <v>Hershkowitz</v>
      </c>
      <c r="E71" s="0" t="str">
        <f aca="false">IF($A71="","",IF(AT71="Y",BN71&amp;"",BA71&amp;""))</f>
        <v>CEO, Big Geyser</v>
      </c>
      <c r="F71" s="0" t="str">
        <f aca="false">IF($A71="","",IF(AT71="Y",BO71&amp;"",BB71&amp;""))</f>
        <v/>
      </c>
      <c r="G71" s="0" t="str">
        <f aca="false">IF($A71="","",IF(AT71="Y",BP71&amp;"",BC71&amp;""))</f>
        <v/>
      </c>
      <c r="H71" s="0" t="str">
        <f aca="false">IF($A71="","",IF(AT71="Y",BQ71&amp;"",BD71&amp;""))</f>
        <v>none</v>
      </c>
      <c r="I71" s="0" t="str">
        <f aca="false">IF($A71="","",IF(R71="Y","warm-intro",IF(H71="verified","email",IF(C71&lt;&gt;"","linkedin",CA71&amp;""))))</f>
        <v>linkedin</v>
      </c>
      <c r="J71" s="0" t="n">
        <f aca="false">IF($A71="","",IF(CK71="pass",ROUND(N(DO71)+N(DP71)+N(DQ71)+N(DR71)+N(DS71)+N(DT71)+N(DU71)+N(DV71),0),0))</f>
        <v>46</v>
      </c>
      <c r="K71" s="0" t="str">
        <f aca="false">IF($A71="","",IF(CK71&lt;&gt;"pass",BY71&amp;"",BY71&amp;", "&amp;IF(AT71="Y",BX71&amp;"",BK71&amp;"")&amp;BZ71&amp;IF(R71="Y","; known to the founder (+10)","")&amp;"."))</f>
        <v>New York City brand, no graded store within ten blocks, online store only, no dated why-now in the last 12 months, revenue unknown, contact named; founder review: other.</v>
      </c>
      <c r="M71" s="0" t="s">
        <v>6144</v>
      </c>
      <c r="N71" s="0" t="s">
        <v>740</v>
      </c>
      <c r="R71" s="5" t="s">
        <v>189</v>
      </c>
      <c r="S71" s="0" t="s">
        <v>209</v>
      </c>
      <c r="T71" s="5" t="s">
        <v>189</v>
      </c>
      <c r="U71" s="5" t="s">
        <v>3896</v>
      </c>
      <c r="V71" s="0" t="s">
        <v>7482</v>
      </c>
      <c r="W71" s="0" t="s">
        <v>263</v>
      </c>
      <c r="X71" s="0" t="s">
        <v>5578</v>
      </c>
      <c r="Y71" s="0" t="n">
        <f aca="false">IF(FA71&lt;&gt;"Y","",COUNTIFS($FA$2:$FA$1000,"Y",$J$2:$J$1000,"&gt;"&amp;J71)+COUNTIFS($FA$2:$FA$1000,"Y",$J$2:$J$1000,J71,$FG$2:$FG$1000,"&lt;"&amp;FG71)+1)</f>
        <v>34</v>
      </c>
      <c r="Z71" s="0" t="n">
        <v>70</v>
      </c>
      <c r="AA71" s="0" t="s">
        <v>189</v>
      </c>
      <c r="AB71" s="0" t="str">
        <f aca="false">IF($A71="","",IF(AT71="Y",BW71&amp;"",BJ71&amp;""))</f>
        <v>find Lewis Hershkowitz at Hal's New York on LinkedIn and paste the profile URL into primary_linkedin_url</v>
      </c>
      <c r="AC71" s="0" t="str">
        <f aca="false">IF($A71="","",IF(AT71="Y",BR71&amp;"",BE71&amp;""))</f>
        <v>founder</v>
      </c>
      <c r="AD71" s="0" t="str">
        <f aca="false">IF($A71="","",IF(AT71="Y",BS71&amp;"",BF71&amp;""))</f>
        <v>verified-page</v>
      </c>
      <c r="AE71" s="0" t="str">
        <f aca="false">IF($A71="","",IF(AT71="Y",BT71&amp;"",BG71&amp;""))</f>
        <v>press, event or podcast page</v>
      </c>
      <c r="AF71" s="0" t="str">
        <f aca="false">IF($A71="","",IF(AT71="Y",BU71&amp;"",BH71&amp;""))</f>
        <v>https://www.longisland.com/news/11-09-22/hals-new-york-home-grown-seltzer-snack-company-making-waves-nationwide.html</v>
      </c>
      <c r="AG71" s="0" t="str">
        <f aca="false">IF($A71="","",IF(AT71="Y",BV71&amp;"",BI71&amp;""))</f>
        <v>2026-10-23</v>
      </c>
      <c r="AH71" s="0" t="s">
        <v>7483</v>
      </c>
      <c r="AI71" s="0" t="s">
        <v>5580</v>
      </c>
      <c r="AJ71" s="0" t="s">
        <v>7484</v>
      </c>
      <c r="AK71" s="0" t="s">
        <v>7485</v>
      </c>
      <c r="AL71" s="0" t="s">
        <v>164</v>
      </c>
      <c r="AM71" s="0" t="s">
        <v>7486</v>
      </c>
      <c r="AN71" s="0" t="s">
        <v>7480</v>
      </c>
      <c r="AO71" s="5" t="s">
        <v>189</v>
      </c>
      <c r="AR71" s="0" t="str">
        <f aca="false">IF($A71="","",IF(AND(CK71="pass",AO71&lt;&gt;"Y",C71&lt;&gt;"",OR(AU71&lt;&gt;"Y",AV71="Y")),"Y","N"))</f>
        <v>Y</v>
      </c>
      <c r="AS71" s="0" t="str">
        <f aca="false">IF($A71="","",_xlfn.TEXTJOIN("; ",TRUE(),IF(CK71&lt;&gt;"pass","gated out",""),IF(AO71="Y","on hold: "&amp;AP71,""),IF(C71="","no contact named on an opened page",""),IF(AND(AU71="Y",AV71&lt;&gt;"Y"),"founder review pending (Founder review tab)","")))</f>
        <v/>
      </c>
      <c r="AU71" s="0" t="s">
        <v>189</v>
      </c>
      <c r="AY71" s="0" t="s">
        <v>6360</v>
      </c>
      <c r="AZ71" s="0" t="s">
        <v>7487</v>
      </c>
      <c r="BA71" s="0" t="s">
        <v>7488</v>
      </c>
      <c r="BC71" s="0" t="str">
        <f aca="false">IF($A71="","",IFERROR(INDEX(Enrichment!$A$2:$GZ$2000,MATCH($A71,INDEX(Enrichment!$A$2:$GZ$2000,0,MATCH("row_id",Enrichment!$A$1:$GZ$1,0)),0),MATCH("work_email",Enrichment!$A$1:$GZ$1,0))&amp;"",""))</f>
        <v/>
      </c>
      <c r="BD71" s="0" t="str">
        <f aca="false">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none</v>
      </c>
      <c r="BE71" s="0" t="s">
        <v>5589</v>
      </c>
      <c r="BF71" s="0" t="s">
        <v>169</v>
      </c>
      <c r="BG71" s="0" t="s">
        <v>1252</v>
      </c>
      <c r="BH71" s="0" t="s">
        <v>7489</v>
      </c>
      <c r="BI71" s="0" t="s">
        <v>263</v>
      </c>
      <c r="BJ71" s="0" t="s">
        <v>7490</v>
      </c>
      <c r="BK71" s="0" t="s">
        <v>5643</v>
      </c>
      <c r="BL71" s="0" t="s">
        <v>7491</v>
      </c>
      <c r="BM71" s="0" t="s">
        <v>7492</v>
      </c>
      <c r="BN71" s="0" t="s">
        <v>7493</v>
      </c>
      <c r="BP71" s="0" t="str">
        <f aca="false">IF($A71="","",IFERROR(INDEX(Enrichment!$A$2:$GZ$2000,MATCH($A71,INDEX(Enrichment!$A$2:$GZ$2000,0,MATCH("row_id",Enrichment!$A$1:$GZ$1,0)),0),MATCH("backup_work_email",Enrichment!$A$1:$GZ$1,0))&amp;"",""))</f>
        <v/>
      </c>
      <c r="BQ71" s="0" t="str">
        <f aca="false">IF($A71="","",IF(BP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none</v>
      </c>
      <c r="BR71" s="0" t="s">
        <v>7494</v>
      </c>
      <c r="BS71" s="0" t="s">
        <v>169</v>
      </c>
      <c r="BT71" s="0" t="s">
        <v>209</v>
      </c>
      <c r="BV71" s="0" t="s">
        <v>263</v>
      </c>
      <c r="BW71" s="0" t="s">
        <v>7495</v>
      </c>
      <c r="BX71" s="0" t="s">
        <v>5643</v>
      </c>
      <c r="BY71" s="0" t="s">
        <v>7496</v>
      </c>
      <c r="BZ71" s="0" t="s">
        <v>5960</v>
      </c>
      <c r="CB71" s="0" t="s">
        <v>7497</v>
      </c>
      <c r="CF71" s="0" t="s">
        <v>7498</v>
      </c>
      <c r="CJ71" s="0" t="s">
        <v>7088</v>
      </c>
      <c r="CK71" s="0" t="s">
        <v>200</v>
      </c>
      <c r="CM71" s="0" t="s">
        <v>201</v>
      </c>
      <c r="CN71" s="0" t="s">
        <v>443</v>
      </c>
      <c r="CO71" s="0" t="s">
        <v>7485</v>
      </c>
      <c r="CP71" s="0" t="s">
        <v>5608</v>
      </c>
      <c r="CQ71" s="0" t="s">
        <v>5609</v>
      </c>
      <c r="CR71" s="0" t="s">
        <v>7499</v>
      </c>
      <c r="CS71" s="0" t="s">
        <v>7500</v>
      </c>
      <c r="CT71" s="0" t="s">
        <v>209</v>
      </c>
      <c r="CU71" s="0" t="s">
        <v>7501</v>
      </c>
      <c r="CV71" s="0" t="s">
        <v>164</v>
      </c>
      <c r="CW71" s="0" t="s">
        <v>164</v>
      </c>
      <c r="CX71" s="0" t="s">
        <v>209</v>
      </c>
      <c r="CZ71" s="0" t="s">
        <v>6456</v>
      </c>
      <c r="DA71" s="0" t="s">
        <v>189</v>
      </c>
      <c r="DB71" s="0" t="s">
        <v>189</v>
      </c>
      <c r="DE71" s="0" t="s">
        <v>189</v>
      </c>
      <c r="DF71" s="0" t="n">
        <v>0</v>
      </c>
      <c r="DI71" s="0" t="s">
        <v>7502</v>
      </c>
      <c r="DK71" s="0" t="s">
        <v>380</v>
      </c>
      <c r="DN71" s="0" t="n">
        <v>46</v>
      </c>
      <c r="DO71" s="0" t="n">
        <v>6</v>
      </c>
      <c r="DP71" s="0" t="n">
        <v>20</v>
      </c>
      <c r="DQ71" s="0" t="n">
        <v>0</v>
      </c>
      <c r="DR71" s="0" t="n">
        <v>5</v>
      </c>
      <c r="DS71" s="0" t="n">
        <v>7</v>
      </c>
      <c r="DT71" s="0" t="n">
        <v>10</v>
      </c>
      <c r="DU71" s="0" t="n">
        <f aca="false">IF($A71="","",IF(R71="Y",10,0))</f>
        <v>0</v>
      </c>
      <c r="DV71" s="0" t="n">
        <v>-2</v>
      </c>
      <c r="DW71" s="0" t="s">
        <v>7503</v>
      </c>
      <c r="DX71" s="0" t="s">
        <v>6462</v>
      </c>
      <c r="DY71" s="0" t="s">
        <v>7504</v>
      </c>
      <c r="DZ71" s="0" t="s">
        <v>7505</v>
      </c>
      <c r="EA71" s="0" t="s">
        <v>7506</v>
      </c>
      <c r="EV71" s="0" t="str">
        <f aca="false">IF($A71="","",IF(ISNUMBER(MATCH(U71,{"queued","contacted","replied","call_booked","call_done","yes_in_principle","materials_sent"},0)),"Y","N"))</f>
        <v>N</v>
      </c>
      <c r="EW71" s="0" t="str">
        <f aca="false">IF($A71="","",IF(OR(T71="Y",U71="do_not_contact",AQ71&amp;""&lt;&gt;""),"Y","N"))</f>
        <v>N</v>
      </c>
      <c r="EX71" s="0" t="str">
        <f aca="false">IF($A71="","",IF(AN71&amp;""&lt;&gt;"",AN71&amp;"",$A71))</f>
        <v>AB-136</v>
      </c>
      <c r="EY71" s="0" t="str">
        <f aca="false">IF($A71="","",IF(COUNTIFS($EX$2:$EX$1000,EX71,$EV$2:$EV$1000,"Y")+COUNTIFS($EX$2:$EX$1000,EX71,$EW$2:$EW$1000,"Y")&gt;0,"Y","N"))</f>
        <v>N</v>
      </c>
      <c r="EZ71" s="0" t="str">
        <f aca="false">IF($A71="","",IF(AND(U71="new",T71="N",EW71="N",AR71="Y",EY71="N"),"Y","N"))</f>
        <v>Y</v>
      </c>
      <c r="FA71" s="0" t="str">
        <f aca="false">IF($A71="","",IF(EZ71&lt;&gt;"Y","N",IF(COUNTIFS($EX$2:$EX$1000,EX71,$EZ$2:$EZ$1000,"Y",$J$2:$J$1000,"&gt;"&amp;J71)+COUNTIFS($EX$2:$EX$1000,EX71,$EZ$2:$EZ$1000,"Y",$J$2:$J$1000,J71,$FG$2:$FG$1000,"&lt;"&amp;FG71)=0,"Y","N")))</f>
        <v>Y</v>
      </c>
      <c r="FB71" s="0" t="str">
        <f aca="false">IF($A71="","",IF(AND(EZ71="Y",FA71="Y",Y71&amp;""&lt;&gt;""),IF(Y71&lt;=10,"Y","N"),"N"))</f>
        <v>N</v>
      </c>
      <c r="FC71" s="0" t="str">
        <f aca="false">IF(FB71="Y",Y71,"")</f>
        <v/>
      </c>
      <c r="FD71" s="0" t="str">
        <f aca="false">IF($A71="","",IF(AND(CK71="pass",AU71="Y",AV71&lt;&gt;"Y",U71="new",EW71="N"),"Y","N"))</f>
        <v>N</v>
      </c>
      <c r="FE71" s="0" t="str">
        <f aca="false">IF(FD71&lt;&gt;"Y","",IF(COUNTIFS($FD$2:$FD$1000,"Y",$J$2:$J$1000,"&gt;"&amp;J71)+COUNTIFS($FD$2:$FD$1000,"Y",$J$2:$J$1000,J71,$FG$2:$FG$1000,"&lt;"&amp;FG71)+1&lt;=30,COUNTIFS($FD$2:$FD$1000,"Y",$J$2:$J$1000,"&gt;"&amp;J71)+COUNTIFS($FD$2:$FD$1000,"Y",$J$2:$J$1000,J71,$FG$2:$FG$1000,"&lt;"&amp;FG71)+1,""))</f>
        <v/>
      </c>
      <c r="FF71" s="0" t="str">
        <f aca="false">IF(AND(_xlfn.ISFORMULA(C71),_xlfn.ISFORMULA(J71)),"Y","N")</f>
        <v>Y</v>
      </c>
      <c r="FG71" s="0" t="n">
        <f aca="false">ROW()-1</f>
        <v>70</v>
      </c>
    </row>
    <row r="72" customFormat="false" ht="15" hidden="false" customHeight="false" outlineLevel="0" collapsed="false">
      <c r="A72" s="0" t="s">
        <v>7507</v>
      </c>
      <c r="B72" s="0" t="s">
        <v>7508</v>
      </c>
      <c r="C72" s="0" t="str">
        <f aca="false">IF($A72="","",IF(AT72="Y",BL72&amp;"",AY72&amp;""))</f>
        <v>Elisabeth</v>
      </c>
      <c r="D72" s="0" t="str">
        <f aca="false">IF($A72="","",IF(AT72="Y",BM72&amp;"",AZ72&amp;""))</f>
        <v>Galvin</v>
      </c>
      <c r="E72" s="0" t="str">
        <f aca="false">IF($A72="","",IF(AT72="Y",BN72&amp;"",BA72&amp;""))</f>
        <v>Founder</v>
      </c>
      <c r="F72" s="0" t="str">
        <f aca="false">IF($A72="","",IF(AT72="Y",BO72&amp;"",BB72&amp;""))</f>
        <v/>
      </c>
      <c r="G72" s="0" t="str">
        <f aca="false">IF($A72="","",IF(AT72="Y",BP72&amp;"",BC72&amp;""))</f>
        <v/>
      </c>
      <c r="H72" s="0" t="str">
        <f aca="false">IF($A72="","",IF(AT72="Y",BQ72&amp;"",BD72&amp;""))</f>
        <v>none</v>
      </c>
      <c r="I72" s="0" t="str">
        <f aca="false">IF($A72="","",IF(R72="Y","warm-intro",IF(H72="verified","email",IF(C72&lt;&gt;"","linkedin",CA72&amp;""))))</f>
        <v>linkedin</v>
      </c>
      <c r="J72" s="0" t="n">
        <f aca="false">IF($A72="","",IF(CK72="pass",ROUND(N(DO72)+N(DP72)+N(DQ72)+N(DR72)+N(DS72)+N(DT72)+N(DU72)+N(DV72),0),0))</f>
        <v>45</v>
      </c>
      <c r="K72" s="0" t="str">
        <f aca="false">IF($A72="","",IF(CK72&lt;&gt;"pass",BY72&amp;"",BY72&amp;", "&amp;IF(AT72="Y",BX72&amp;"",BK72&amp;"")&amp;BZ72&amp;IF(R72="Y","; known to the founder (+10)","")&amp;"."))</f>
        <v>Brand based outside the Northeast, no graded store within ten blocks, online store only, news 65 days ago, revenue unknown, contact named plus a marketing lead; founder review: other, format-unconfirmed.</v>
      </c>
      <c r="M72" s="0" t="s">
        <v>6144</v>
      </c>
      <c r="N72" s="0" t="s">
        <v>740</v>
      </c>
      <c r="O72" s="0" t="s">
        <v>7509</v>
      </c>
      <c r="P72" s="0" t="s">
        <v>7510</v>
      </c>
      <c r="Q72" s="0" t="s">
        <v>6721</v>
      </c>
      <c r="R72" s="5" t="s">
        <v>189</v>
      </c>
      <c r="S72" s="0" t="s">
        <v>209</v>
      </c>
      <c r="T72" s="5" t="s">
        <v>189</v>
      </c>
      <c r="U72" s="5" t="s">
        <v>3896</v>
      </c>
      <c r="V72" s="0" t="s">
        <v>7510</v>
      </c>
      <c r="W72" s="0" t="s">
        <v>263</v>
      </c>
      <c r="X72" s="0" t="s">
        <v>5578</v>
      </c>
      <c r="Y72" s="0" t="n">
        <f aca="false">IF(FA72&lt;&gt;"Y","",COUNTIFS($FA$2:$FA$1000,"Y",$J$2:$J$1000,"&gt;"&amp;J72)+COUNTIFS($FA$2:$FA$1000,"Y",$J$2:$J$1000,J72,$FG$2:$FG$1000,"&lt;"&amp;FG72)+1)</f>
        <v>35</v>
      </c>
      <c r="Z72" s="0" t="n">
        <v>71</v>
      </c>
      <c r="AA72" s="0" t="s">
        <v>189</v>
      </c>
      <c r="AB72" s="0" t="str">
        <f aca="false">IF($A72="","",IF(AT72="Y",BW72&amp;"",BJ72&amp;""))</f>
        <v>find Elisabeth Galvin at Stellar Snacks on LinkedIn and paste the profile URL into primary_linkedin_url</v>
      </c>
      <c r="AC72" s="0" t="str">
        <f aca="false">IF($A72="","",IF(AT72="Y",BR72&amp;"",BE72&amp;""))</f>
        <v>founder</v>
      </c>
      <c r="AD72" s="0" t="str">
        <f aca="false">IF($A72="","",IF(AT72="Y",BS72&amp;"",BF72&amp;""))</f>
        <v>verified-page</v>
      </c>
      <c r="AE72" s="0" t="str">
        <f aca="false">IF($A72="","",IF(AT72="Y",BT72&amp;"",BG72&amp;""))</f>
        <v>press, event or podcast page</v>
      </c>
      <c r="AF72" s="0" t="str">
        <f aca="false">IF($A72="","",IF(AT72="Y",BU72&amp;"",BH72&amp;""))</f>
        <v>https://www.snackandbakery.com/articles/116213-stellar-snacks-cofounders-rosy-about-the-future-of-pretzels</v>
      </c>
      <c r="AG72" s="0" t="str">
        <f aca="false">IF($A72="","",IF(AT72="Y",BV72&amp;"",BI72&amp;""))</f>
        <v>2026-10-24</v>
      </c>
      <c r="AH72" s="0" t="s">
        <v>7511</v>
      </c>
      <c r="AI72" s="0" t="s">
        <v>5630</v>
      </c>
      <c r="AJ72" s="0" t="s">
        <v>7512</v>
      </c>
      <c r="AK72" s="0" t="s">
        <v>7513</v>
      </c>
      <c r="AL72" s="0" t="s">
        <v>164</v>
      </c>
      <c r="AM72" s="0" t="s">
        <v>7514</v>
      </c>
      <c r="AN72" s="0" t="s">
        <v>7507</v>
      </c>
      <c r="AO72" s="5" t="s">
        <v>189</v>
      </c>
      <c r="AR72" s="0" t="str">
        <f aca="false">IF($A72="","",IF(AND(CK72="pass",AO72&lt;&gt;"Y",C72&lt;&gt;"",OR(AU72&lt;&gt;"Y",AV72="Y")),"Y","N"))</f>
        <v>Y</v>
      </c>
      <c r="AS72" s="0" t="str">
        <f aca="false">IF($A72="","",_xlfn.TEXTJOIN("; ",TRUE(),IF(CK72&lt;&gt;"pass","gated out",""),IF(AO72="Y","on hold: "&amp;AP72,""),IF(C72="","no contact named on an opened page",""),IF(AND(AU72="Y",AV72&lt;&gt;"Y"),"founder review pending (Founder review tab)","")))</f>
        <v/>
      </c>
      <c r="AU72" s="0" t="s">
        <v>189</v>
      </c>
      <c r="AY72" s="0" t="s">
        <v>7515</v>
      </c>
      <c r="AZ72" s="0" t="s">
        <v>7516</v>
      </c>
      <c r="BA72" s="0" t="s">
        <v>5739</v>
      </c>
      <c r="BC72" s="0" t="str">
        <f aca="false">IF($A72="","",IFERROR(INDEX(Enrichment!$A$2:$GZ$2000,MATCH($A72,INDEX(Enrichment!$A$2:$GZ$2000,0,MATCH("row_id",Enrichment!$A$1:$GZ$1,0)),0),MATCH("work_email",Enrichment!$A$1:$GZ$1,0))&amp;"",""))</f>
        <v/>
      </c>
      <c r="BD72" s="0" t="str">
        <f aca="false">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none</v>
      </c>
      <c r="BE72" s="0" t="s">
        <v>5589</v>
      </c>
      <c r="BF72" s="0" t="s">
        <v>169</v>
      </c>
      <c r="BG72" s="0" t="s">
        <v>1252</v>
      </c>
      <c r="BH72" s="0" t="s">
        <v>7510</v>
      </c>
      <c r="BI72" s="0" t="s">
        <v>172</v>
      </c>
      <c r="BJ72" s="0" t="s">
        <v>7517</v>
      </c>
      <c r="BK72" s="0" t="s">
        <v>5638</v>
      </c>
      <c r="BL72" s="0" t="s">
        <v>7518</v>
      </c>
      <c r="BM72" s="0" t="s">
        <v>7519</v>
      </c>
      <c r="BN72" s="0" t="s">
        <v>5798</v>
      </c>
      <c r="BP72" s="0" t="str">
        <f aca="false">IF($A72="","",IFERROR(INDEX(Enrichment!$A$2:$GZ$2000,MATCH($A72,INDEX(Enrichment!$A$2:$GZ$2000,0,MATCH("row_id",Enrichment!$A$1:$GZ$1,0)),0),MATCH("backup_work_email",Enrichment!$A$1:$GZ$1,0))&amp;"",""))</f>
        <v/>
      </c>
      <c r="BQ72" s="0" t="str">
        <f aca="false">IF($A72="","",IF(BP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none</v>
      </c>
      <c r="BR72" s="0" t="s">
        <v>5596</v>
      </c>
      <c r="BS72" s="0" t="s">
        <v>169</v>
      </c>
      <c r="BT72" s="0" t="s">
        <v>170</v>
      </c>
      <c r="BU72" s="0" t="s">
        <v>7520</v>
      </c>
      <c r="BV72" s="0" t="s">
        <v>172</v>
      </c>
      <c r="BW72" s="0" t="s">
        <v>7521</v>
      </c>
      <c r="BX72" s="0" t="s">
        <v>5643</v>
      </c>
      <c r="BY72" s="0" t="s">
        <v>7522</v>
      </c>
      <c r="BZ72" s="0" t="s">
        <v>7168</v>
      </c>
      <c r="CB72" s="0" t="s">
        <v>7523</v>
      </c>
      <c r="CD72" s="0" t="s">
        <v>7524</v>
      </c>
      <c r="CF72" s="0" t="s">
        <v>7525</v>
      </c>
      <c r="CH72" s="0" t="s">
        <v>7526</v>
      </c>
      <c r="CJ72" s="0" t="s">
        <v>5720</v>
      </c>
      <c r="CK72" s="0" t="s">
        <v>200</v>
      </c>
      <c r="CM72" s="0" t="s">
        <v>201</v>
      </c>
      <c r="CN72" s="0" t="s">
        <v>7171</v>
      </c>
      <c r="CO72" s="0" t="s">
        <v>7527</v>
      </c>
      <c r="CP72" s="0" t="s">
        <v>7528</v>
      </c>
      <c r="CQ72" s="0" t="s">
        <v>6198</v>
      </c>
      <c r="CR72" s="0" t="s">
        <v>209</v>
      </c>
      <c r="CT72" s="0" t="s">
        <v>164</v>
      </c>
      <c r="CU72" s="0" t="s">
        <v>7529</v>
      </c>
      <c r="CV72" s="0" t="s">
        <v>209</v>
      </c>
      <c r="CW72" s="0" t="s">
        <v>164</v>
      </c>
      <c r="CX72" s="0" t="s">
        <v>209</v>
      </c>
      <c r="CZ72" s="0" t="s">
        <v>209</v>
      </c>
      <c r="DA72" s="0" t="s">
        <v>189</v>
      </c>
      <c r="DB72" s="0" t="s">
        <v>189</v>
      </c>
      <c r="DE72" s="0" t="s">
        <v>189</v>
      </c>
      <c r="DF72" s="0" t="n">
        <v>0</v>
      </c>
      <c r="DI72" s="0" t="s">
        <v>209</v>
      </c>
      <c r="DK72" s="0" t="s">
        <v>5617</v>
      </c>
      <c r="DL72" s="0" t="n">
        <v>65</v>
      </c>
      <c r="DN72" s="0" t="n">
        <v>45</v>
      </c>
      <c r="DO72" s="0" t="n">
        <v>6</v>
      </c>
      <c r="DP72" s="0" t="n">
        <v>3</v>
      </c>
      <c r="DQ72" s="0" t="n">
        <v>15</v>
      </c>
      <c r="DR72" s="0" t="n">
        <v>5</v>
      </c>
      <c r="DS72" s="0" t="n">
        <v>8</v>
      </c>
      <c r="DT72" s="0" t="n">
        <v>10</v>
      </c>
      <c r="DU72" s="0" t="n">
        <f aca="false">IF($A72="","",IF(R72="Y",10,0))</f>
        <v>0</v>
      </c>
      <c r="DV72" s="0" t="n">
        <v>-2</v>
      </c>
      <c r="DW72" s="0" t="s">
        <v>209</v>
      </c>
      <c r="DX72" s="0" t="s">
        <v>5814</v>
      </c>
      <c r="DY72" s="0" t="s">
        <v>7530</v>
      </c>
      <c r="DZ72" s="0" t="s">
        <v>7531</v>
      </c>
      <c r="EA72" s="0" t="s">
        <v>7532</v>
      </c>
      <c r="EV72" s="0" t="str">
        <f aca="false">IF($A72="","",IF(ISNUMBER(MATCH(U72,{"queued","contacted","replied","call_booked","call_done","yes_in_principle","materials_sent"},0)),"Y","N"))</f>
        <v>N</v>
      </c>
      <c r="EW72" s="0" t="str">
        <f aca="false">IF($A72="","",IF(OR(T72="Y",U72="do_not_contact",AQ72&amp;""&lt;&gt;""),"Y","N"))</f>
        <v>N</v>
      </c>
      <c r="EX72" s="0" t="str">
        <f aca="false">IF($A72="","",IF(AN72&amp;""&lt;&gt;"",AN72&amp;"",$A72))</f>
        <v>AB-056</v>
      </c>
      <c r="EY72" s="0" t="str">
        <f aca="false">IF($A72="","",IF(COUNTIFS($EX$2:$EX$1000,EX72,$EV$2:$EV$1000,"Y")+COUNTIFS($EX$2:$EX$1000,EX72,$EW$2:$EW$1000,"Y")&gt;0,"Y","N"))</f>
        <v>N</v>
      </c>
      <c r="EZ72" s="0" t="str">
        <f aca="false">IF($A72="","",IF(AND(U72="new",T72="N",EW72="N",AR72="Y",EY72="N"),"Y","N"))</f>
        <v>Y</v>
      </c>
      <c r="FA72" s="0" t="str">
        <f aca="false">IF($A72="","",IF(EZ72&lt;&gt;"Y","N",IF(COUNTIFS($EX$2:$EX$1000,EX72,$EZ$2:$EZ$1000,"Y",$J$2:$J$1000,"&gt;"&amp;J72)+COUNTIFS($EX$2:$EX$1000,EX72,$EZ$2:$EZ$1000,"Y",$J$2:$J$1000,J72,$FG$2:$FG$1000,"&lt;"&amp;FG72)=0,"Y","N")))</f>
        <v>Y</v>
      </c>
      <c r="FB72" s="0" t="str">
        <f aca="false">IF($A72="","",IF(AND(EZ72="Y",FA72="Y",Y72&amp;""&lt;&gt;""),IF(Y72&lt;=10,"Y","N"),"N"))</f>
        <v>N</v>
      </c>
      <c r="FC72" s="0" t="str">
        <f aca="false">IF(FB72="Y",Y72,"")</f>
        <v/>
      </c>
      <c r="FD72" s="0" t="str">
        <f aca="false">IF($A72="","",IF(AND(CK72="pass",AU72="Y",AV72&lt;&gt;"Y",U72="new",EW72="N"),"Y","N"))</f>
        <v>N</v>
      </c>
      <c r="FE72" s="0" t="str">
        <f aca="false">IF(FD72&lt;&gt;"Y","",IF(COUNTIFS($FD$2:$FD$1000,"Y",$J$2:$J$1000,"&gt;"&amp;J72)+COUNTIFS($FD$2:$FD$1000,"Y",$J$2:$J$1000,J72,$FG$2:$FG$1000,"&lt;"&amp;FG72)+1&lt;=30,COUNTIFS($FD$2:$FD$1000,"Y",$J$2:$J$1000,"&gt;"&amp;J72)+COUNTIFS($FD$2:$FD$1000,"Y",$J$2:$J$1000,J72,$FG$2:$FG$1000,"&lt;"&amp;FG72)+1,""))</f>
        <v/>
      </c>
      <c r="FF72" s="0" t="str">
        <f aca="false">IF(AND(_xlfn.ISFORMULA(C72),_xlfn.ISFORMULA(J72)),"Y","N")</f>
        <v>Y</v>
      </c>
      <c r="FG72" s="0" t="n">
        <f aca="false">ROW()-1</f>
        <v>71</v>
      </c>
    </row>
    <row r="73" customFormat="false" ht="15" hidden="false" customHeight="false" outlineLevel="0" collapsed="false">
      <c r="A73" s="0" t="s">
        <v>7533</v>
      </c>
      <c r="B73" s="0" t="s">
        <v>7534</v>
      </c>
      <c r="C73" s="0" t="str">
        <f aca="false">IF($A73="","",IF(AT73="Y",BL73&amp;"",AY73&amp;""))</f>
        <v>Lauryn</v>
      </c>
      <c r="D73" s="0" t="str">
        <f aca="false">IF($A73="","",IF(AT73="Y",BM73&amp;"",AZ73&amp;""))</f>
        <v>Bodden</v>
      </c>
      <c r="E73" s="0" t="str">
        <f aca="false">IF($A73="","",IF(AT73="Y",BN73&amp;"",BA73&amp;""))</f>
        <v>Founder</v>
      </c>
      <c r="F73" s="0" t="str">
        <f aca="false">IF($A73="","",IF(AT73="Y",BO73&amp;"",BB73&amp;""))</f>
        <v/>
      </c>
      <c r="G73" s="0" t="str">
        <f aca="false">IF($A73="","",IF(AT73="Y",BP73&amp;"",BC73&amp;""))</f>
        <v/>
      </c>
      <c r="H73" s="0" t="str">
        <f aca="false">IF($A73="","",IF(AT73="Y",BQ73&amp;"",BD73&amp;""))</f>
        <v>none</v>
      </c>
      <c r="I73" s="0" t="str">
        <f aca="false">IF($A73="","",IF(R73="Y","warm-intro",IF(H73="verified","email",IF(C73&lt;&gt;"","linkedin",CA73&amp;""))))</f>
        <v>linkedin</v>
      </c>
      <c r="J73" s="0" t="n">
        <f aca="false">IF($A73="","",IF(CK73="pass",ROUND(N(DO73)+N(DP73)+N(DQ73)+N(DR73)+N(DS73)+N(DT73)+N(DU73)+N(DV73),0),0))</f>
        <v>45</v>
      </c>
      <c r="K73" s="0" t="str">
        <f aca="false">IF($A73="","",IF(CK73&lt;&gt;"pass",BY73&amp;"",BY73&amp;", "&amp;IF(AT73="Y",BX73&amp;"",BK73&amp;"")&amp;BZ73&amp;IF(R73="Y","; known to the founder (+10)","")&amp;"."))</f>
        <v>New York City brand (HQ unverified), no graded store within ten blocks, online store only, a new store listing 95 days ago, revenue unknown, contact named; founder review: format.</v>
      </c>
      <c r="M73" s="0" t="s">
        <v>6144</v>
      </c>
      <c r="N73" s="0" t="s">
        <v>740</v>
      </c>
      <c r="O73" s="0" t="s">
        <v>7535</v>
      </c>
      <c r="P73" s="0" t="s">
        <v>6950</v>
      </c>
      <c r="Q73" s="0" t="s">
        <v>3658</v>
      </c>
      <c r="R73" s="5" t="s">
        <v>189</v>
      </c>
      <c r="S73" s="0" t="s">
        <v>164</v>
      </c>
      <c r="T73" s="5" t="s">
        <v>189</v>
      </c>
      <c r="U73" s="5" t="s">
        <v>3896</v>
      </c>
      <c r="V73" s="0" t="s">
        <v>7536</v>
      </c>
      <c r="W73" s="0" t="s">
        <v>263</v>
      </c>
      <c r="X73" s="0" t="s">
        <v>5578</v>
      </c>
      <c r="Y73" s="0" t="str">
        <f aca="false">IF(FA73&lt;&gt;"Y","",COUNTIFS($FA$2:$FA$1000,"Y",$J$2:$J$1000,"&gt;"&amp;J73)+COUNTIFS($FA$2:$FA$1000,"Y",$J$2:$J$1000,J73,$FG$2:$FG$1000,"&lt;"&amp;FG73)+1)</f>
        <v/>
      </c>
      <c r="Z73" s="0" t="n">
        <v>72</v>
      </c>
      <c r="AA73" s="0" t="s">
        <v>189</v>
      </c>
      <c r="AB73" s="0" t="str">
        <f aca="false">IF($A73="","",IF(AT73="Y",BW73&amp;"",BJ73&amp;""))</f>
        <v>find Lauryn Bodden at S'NOODS on LinkedIn and paste the profile URL into primary_linkedin_url</v>
      </c>
      <c r="AC73" s="0" t="str">
        <f aca="false">IF($A73="","",IF(AT73="Y",BR73&amp;"",BE73&amp;""))</f>
        <v>founder</v>
      </c>
      <c r="AD73" s="0" t="str">
        <f aca="false">IF($A73="","",IF(AT73="Y",BS73&amp;"",BF73&amp;""))</f>
        <v>verified-page</v>
      </c>
      <c r="AE73" s="0" t="str">
        <f aca="false">IF($A73="","",IF(AT73="Y",BT73&amp;"",BG73&amp;""))</f>
        <v>employer's own site</v>
      </c>
      <c r="AF73" s="0" t="str">
        <f aca="false">IF($A73="","",IF(AT73="Y",BU73&amp;"",BH73&amp;""))</f>
        <v>https://www.eatsnoods.com/pages/about</v>
      </c>
      <c r="AG73" s="0" t="str">
        <f aca="false">IF($A73="","",IF(AT73="Y",BV73&amp;"",BI73&amp;""))</f>
        <v>2026-10-23</v>
      </c>
      <c r="AH73" s="0" t="s">
        <v>7537</v>
      </c>
      <c r="AI73" s="0" t="s">
        <v>5789</v>
      </c>
      <c r="AJ73" s="0" t="s">
        <v>7538</v>
      </c>
      <c r="AK73" s="0" t="s">
        <v>7539</v>
      </c>
      <c r="AL73" s="0" t="s">
        <v>164</v>
      </c>
      <c r="AM73" s="0" t="s">
        <v>7540</v>
      </c>
      <c r="AN73" s="0" t="s">
        <v>7533</v>
      </c>
      <c r="AO73" s="5" t="s">
        <v>189</v>
      </c>
      <c r="AR73" s="0" t="str">
        <f aca="false">IF($A73="","",IF(AND(CK73="pass",AO73&lt;&gt;"Y",C73&lt;&gt;"",OR(AU73&lt;&gt;"Y",AV73="Y")),"Y","N"))</f>
        <v>N</v>
      </c>
      <c r="AS73" s="0" t="str">
        <f aca="false">IF($A73="","",_xlfn.TEXTJOIN("; ",TRUE(),IF(CK73&lt;&gt;"pass","gated out",""),IF(AO73="Y","on hold: "&amp;AP73,""),IF(C73="","no contact named on an opened page",""),IF(AND(AU73="Y",AV73&lt;&gt;"Y"),"founder review pending (Founder review tab)","")))</f>
        <v>founder review pending (Founder review tab)</v>
      </c>
      <c r="AU73" s="0" t="s">
        <v>164</v>
      </c>
      <c r="AY73" s="0" t="s">
        <v>7541</v>
      </c>
      <c r="AZ73" s="0" t="s">
        <v>7542</v>
      </c>
      <c r="BA73" s="0" t="s">
        <v>5739</v>
      </c>
      <c r="BC73" s="0" t="str">
        <f aca="false">IF($A73="","",IFERROR(INDEX(Enrichment!$A$2:$GZ$2000,MATCH($A73,INDEX(Enrichment!$A$2:$GZ$2000,0,MATCH("row_id",Enrichment!$A$1:$GZ$1,0)),0),MATCH("work_email",Enrichment!$A$1:$GZ$1,0))&amp;"",""))</f>
        <v/>
      </c>
      <c r="BD73" s="0" t="str">
        <f aca="false">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none</v>
      </c>
      <c r="BE73" s="0" t="s">
        <v>5589</v>
      </c>
      <c r="BF73" s="0" t="s">
        <v>169</v>
      </c>
      <c r="BG73" s="0" t="s">
        <v>170</v>
      </c>
      <c r="BH73" s="0" t="s">
        <v>7536</v>
      </c>
      <c r="BI73" s="0" t="s">
        <v>263</v>
      </c>
      <c r="BJ73" s="0" t="s">
        <v>7543</v>
      </c>
      <c r="BK73" s="0" t="s">
        <v>5643</v>
      </c>
      <c r="BP73" s="0" t="str">
        <f aca="false">IF($A73="","",IFERROR(INDEX(Enrichment!$A$2:$GZ$2000,MATCH($A73,INDEX(Enrichment!$A$2:$GZ$2000,0,MATCH("row_id",Enrichment!$A$1:$GZ$1,0)),0),MATCH("backup_work_email",Enrichment!$A$1:$GZ$1,0))&amp;"",""))</f>
        <v/>
      </c>
      <c r="BQ73" s="0" t="str">
        <f aca="false">IF($A73="","",IF(BP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none</v>
      </c>
      <c r="BS73" s="0" t="s">
        <v>380</v>
      </c>
      <c r="BW73" s="0" t="s">
        <v>387</v>
      </c>
      <c r="BX73" s="0" t="s">
        <v>388</v>
      </c>
      <c r="BY73" s="0" t="s">
        <v>7544</v>
      </c>
      <c r="BZ73" s="0" t="s">
        <v>5802</v>
      </c>
      <c r="CB73" s="0" t="s">
        <v>7545</v>
      </c>
      <c r="CJ73" s="0" t="s">
        <v>7088</v>
      </c>
      <c r="CK73" s="0" t="s">
        <v>200</v>
      </c>
      <c r="CM73" s="0" t="s">
        <v>201</v>
      </c>
      <c r="CN73" s="0" t="s">
        <v>5808</v>
      </c>
      <c r="CO73" s="0" t="s">
        <v>7539</v>
      </c>
      <c r="CP73" s="0" t="s">
        <v>7188</v>
      </c>
      <c r="CQ73" s="0" t="s">
        <v>7189</v>
      </c>
      <c r="CR73" s="0" t="s">
        <v>209</v>
      </c>
      <c r="CT73" s="0" t="s">
        <v>164</v>
      </c>
      <c r="CU73" s="0" t="s">
        <v>7546</v>
      </c>
      <c r="CV73" s="0" t="s">
        <v>189</v>
      </c>
      <c r="CW73" s="0" t="s">
        <v>164</v>
      </c>
      <c r="CX73" s="0" t="s">
        <v>209</v>
      </c>
      <c r="CZ73" s="0" t="s">
        <v>209</v>
      </c>
      <c r="DA73" s="0" t="s">
        <v>189</v>
      </c>
      <c r="DB73" s="0" t="s">
        <v>189</v>
      </c>
      <c r="DE73" s="0" t="s">
        <v>189</v>
      </c>
      <c r="DF73" s="0" t="n">
        <v>0</v>
      </c>
      <c r="DI73" s="0" t="s">
        <v>7547</v>
      </c>
      <c r="DJ73" s="0" t="s">
        <v>7548</v>
      </c>
      <c r="DK73" s="0" t="s">
        <v>5689</v>
      </c>
      <c r="DL73" s="0" t="n">
        <v>95</v>
      </c>
      <c r="DM73" s="0" t="s">
        <v>6950</v>
      </c>
      <c r="DN73" s="0" t="n">
        <v>45</v>
      </c>
      <c r="DO73" s="0" t="n">
        <v>6</v>
      </c>
      <c r="DP73" s="0" t="n">
        <v>17</v>
      </c>
      <c r="DQ73" s="0" t="n">
        <v>8</v>
      </c>
      <c r="DR73" s="0" t="n">
        <v>5</v>
      </c>
      <c r="DS73" s="0" t="n">
        <v>7</v>
      </c>
      <c r="DT73" s="0" t="n">
        <v>6</v>
      </c>
      <c r="DU73" s="0" t="n">
        <f aca="false">IF($A73="","",IF(R73="Y",10,0))</f>
        <v>0</v>
      </c>
      <c r="DV73" s="0" t="n">
        <v>-4</v>
      </c>
      <c r="DW73" s="0" t="s">
        <v>209</v>
      </c>
      <c r="DX73" s="0" t="s">
        <v>5814</v>
      </c>
      <c r="DY73" s="0" t="s">
        <v>7549</v>
      </c>
      <c r="DZ73" s="0" t="s">
        <v>7550</v>
      </c>
      <c r="EA73" s="0" t="s">
        <v>7551</v>
      </c>
      <c r="EV73" s="0" t="str">
        <f aca="false">IF($A73="","",IF(ISNUMBER(MATCH(U73,{"queued","contacted","replied","call_booked","call_done","yes_in_principle","materials_sent"},0)),"Y","N"))</f>
        <v>N</v>
      </c>
      <c r="EW73" s="0" t="str">
        <f aca="false">IF($A73="","",IF(OR(T73="Y",U73="do_not_contact",AQ73&amp;""&lt;&gt;""),"Y","N"))</f>
        <v>N</v>
      </c>
      <c r="EX73" s="0" t="str">
        <f aca="false">IF($A73="","",IF(AN73&amp;""&lt;&gt;"",AN73&amp;"",$A73))</f>
        <v>AB-036</v>
      </c>
      <c r="EY73" s="0" t="str">
        <f aca="false">IF($A73="","",IF(COUNTIFS($EX$2:$EX$1000,EX73,$EV$2:$EV$1000,"Y")+COUNTIFS($EX$2:$EX$1000,EX73,$EW$2:$EW$1000,"Y")&gt;0,"Y","N"))</f>
        <v>N</v>
      </c>
      <c r="EZ73" s="0" t="str">
        <f aca="false">IF($A73="","",IF(AND(U73="new",T73="N",EW73="N",AR73="Y",EY73="N"),"Y","N"))</f>
        <v>N</v>
      </c>
      <c r="FA73" s="0" t="str">
        <f aca="false">IF($A73="","",IF(EZ73&lt;&gt;"Y","N",IF(COUNTIFS($EX$2:$EX$1000,EX73,$EZ$2:$EZ$1000,"Y",$J$2:$J$1000,"&gt;"&amp;J73)+COUNTIFS($EX$2:$EX$1000,EX73,$EZ$2:$EZ$1000,"Y",$J$2:$J$1000,J73,$FG$2:$FG$1000,"&lt;"&amp;FG73)=0,"Y","N")))</f>
        <v>N</v>
      </c>
      <c r="FB73" s="0" t="str">
        <f aca="false">IF($A73="","",IF(AND(EZ73="Y",FA73="Y",Y73&amp;""&lt;&gt;""),IF(Y73&lt;=10,"Y","N"),"N"))</f>
        <v>N</v>
      </c>
      <c r="FC73" s="0" t="str">
        <f aca="false">IF(FB73="Y",Y73,"")</f>
        <v/>
      </c>
      <c r="FD73" s="0" t="str">
        <f aca="false">IF($A73="","",IF(AND(CK73="pass",AU73="Y",AV73&lt;&gt;"Y",U73="new",EW73="N"),"Y","N"))</f>
        <v>Y</v>
      </c>
      <c r="FE73" s="0" t="str">
        <f aca="false">IF(FD73&lt;&gt;"Y","",IF(COUNTIFS($FD$2:$FD$1000,"Y",$J$2:$J$1000,"&gt;"&amp;J73)+COUNTIFS($FD$2:$FD$1000,"Y",$J$2:$J$1000,J73,$FG$2:$FG$1000,"&lt;"&amp;FG73)+1&lt;=30,COUNTIFS($FD$2:$FD$1000,"Y",$J$2:$J$1000,"&gt;"&amp;J73)+COUNTIFS($FD$2:$FD$1000,"Y",$J$2:$J$1000,J73,$FG$2:$FG$1000,"&lt;"&amp;FG73)+1,""))</f>
        <v/>
      </c>
      <c r="FF73" s="0" t="str">
        <f aca="false">IF(AND(_xlfn.ISFORMULA(C73),_xlfn.ISFORMULA(J73)),"Y","N")</f>
        <v>Y</v>
      </c>
      <c r="FG73" s="0" t="n">
        <f aca="false">ROW()-1</f>
        <v>72</v>
      </c>
    </row>
    <row r="74" customFormat="false" ht="15" hidden="false" customHeight="false" outlineLevel="0" collapsed="false">
      <c r="A74" s="0" t="s">
        <v>7552</v>
      </c>
      <c r="B74" s="0" t="s">
        <v>7553</v>
      </c>
      <c r="C74" s="0" t="str">
        <f aca="false">IF($A74="","",IF(AT74="Y",BL74&amp;"",AY74&amp;""))</f>
        <v>David</v>
      </c>
      <c r="D74" s="0" t="str">
        <f aca="false">IF($A74="","",IF(AT74="Y",BM74&amp;"",AZ74&amp;""))</f>
        <v>Elwell</v>
      </c>
      <c r="E74" s="0" t="str">
        <f aca="false">IF($A74="","",IF(AT74="Y",BN74&amp;"",BA74&amp;""))</f>
        <v>Co-founder and original owners</v>
      </c>
      <c r="F74" s="0" t="str">
        <f aca="false">IF($A74="","",IF(AT74="Y",BO74&amp;"",BB74&amp;""))</f>
        <v/>
      </c>
      <c r="G74" s="0" t="str">
        <f aca="false">IF($A74="","",IF(AT74="Y",BP74&amp;"",BC74&amp;""))</f>
        <v/>
      </c>
      <c r="H74" s="0" t="str">
        <f aca="false">IF($A74="","",IF(AT74="Y",BQ74&amp;"",BD74&amp;""))</f>
        <v>none</v>
      </c>
      <c r="I74" s="0" t="str">
        <f aca="false">IF($A74="","",IF(R74="Y","warm-intro",IF(H74="verified","email",IF(C74&lt;&gt;"","linkedin",CA74&amp;""))))</f>
        <v>linkedin</v>
      </c>
      <c r="J74" s="0" t="n">
        <f aca="false">IF($A74="","",IF(CK74="pass",ROUND(N(DO74)+N(DP74)+N(DQ74)+N(DR74)+N(DS74)+N(DT74)+N(DU74)+N(DV74),0),0))</f>
        <v>45</v>
      </c>
      <c r="K74" s="0" t="str">
        <f aca="false">IF($A74="","",IF(CK74&lt;&gt;"pass",BY74&amp;"",BY74&amp;", "&amp;IF(AT74="Y",BX74&amp;"",BK74&amp;"")&amp;BZ74&amp;IF(R74="Y","; known to the founder (+10)","")&amp;"."))</f>
        <v>New York City brand, no graded store within ten blocks, online store only, a new store listing 193 days ago, revenue unknown, contact named; founder review: not-emerging.</v>
      </c>
      <c r="M74" s="0" t="s">
        <v>7554</v>
      </c>
      <c r="N74" s="0" t="s">
        <v>740</v>
      </c>
      <c r="O74" s="0" t="s">
        <v>7555</v>
      </c>
      <c r="P74" s="0" t="s">
        <v>7556</v>
      </c>
      <c r="Q74" s="0" t="s">
        <v>1940</v>
      </c>
      <c r="R74" s="5" t="s">
        <v>189</v>
      </c>
      <c r="S74" s="0" t="s">
        <v>209</v>
      </c>
      <c r="T74" s="5" t="s">
        <v>189</v>
      </c>
      <c r="U74" s="5" t="s">
        <v>3896</v>
      </c>
      <c r="V74" s="0" t="s">
        <v>7557</v>
      </c>
      <c r="W74" s="0" t="s">
        <v>263</v>
      </c>
      <c r="X74" s="0" t="s">
        <v>5578</v>
      </c>
      <c r="Y74" s="0" t="str">
        <f aca="false">IF(FA74&lt;&gt;"Y","",COUNTIFS($FA$2:$FA$1000,"Y",$J$2:$J$1000,"&gt;"&amp;J74)+COUNTIFS($FA$2:$FA$1000,"Y",$J$2:$J$1000,J74,$FG$2:$FG$1000,"&lt;"&amp;FG74)+1)</f>
        <v/>
      </c>
      <c r="Z74" s="0" t="n">
        <v>73</v>
      </c>
      <c r="AA74" s="0" t="s">
        <v>189</v>
      </c>
      <c r="AB74" s="0" t="str">
        <f aca="false">IF($A74="","",IF(AT74="Y",BW74&amp;"",BJ74&amp;""))</f>
        <v>find David Elwell at Irving Farm New York on LinkedIn and paste the profile URL into primary_linkedin_url</v>
      </c>
      <c r="AC74" s="0" t="str">
        <f aca="false">IF($A74="","",IF(AT74="Y",BR74&amp;"",BE74&amp;""))</f>
        <v>founder</v>
      </c>
      <c r="AD74" s="0" t="str">
        <f aca="false">IF($A74="","",IF(AT74="Y",BS74&amp;"",BF74&amp;""))</f>
        <v>verified-page</v>
      </c>
      <c r="AE74" s="0" t="str">
        <f aca="false">IF($A74="","",IF(AT74="Y",BT74&amp;"",BG74&amp;""))</f>
        <v>press, event or podcast page</v>
      </c>
      <c r="AF74" s="0" t="str">
        <f aca="false">IF($A74="","",IF(AT74="Y",BU74&amp;"",BH74&amp;""))</f>
        <v>https://lakevillejournal.com/former-owners-return-and-irving-farm-returns-its-roots</v>
      </c>
      <c r="AG74" s="0" t="str">
        <f aca="false">IF($A74="","",IF(AT74="Y",BV74&amp;"",BI74&amp;""))</f>
        <v>2026-10-23</v>
      </c>
      <c r="AH74" s="0" t="s">
        <v>7558</v>
      </c>
      <c r="AI74" s="0" t="s">
        <v>6473</v>
      </c>
      <c r="AJ74" s="0" t="s">
        <v>7559</v>
      </c>
      <c r="AK74" s="0" t="s">
        <v>7556</v>
      </c>
      <c r="AL74" s="0" t="s">
        <v>164</v>
      </c>
      <c r="AM74" s="0" t="s">
        <v>7560</v>
      </c>
      <c r="AN74" s="0" t="s">
        <v>7552</v>
      </c>
      <c r="AO74" s="5" t="s">
        <v>189</v>
      </c>
      <c r="AR74" s="0" t="str">
        <f aca="false">IF($A74="","",IF(AND(CK74="pass",AO74&lt;&gt;"Y",C74&lt;&gt;"",OR(AU74&lt;&gt;"Y",AV74="Y")),"Y","N"))</f>
        <v>N</v>
      </c>
      <c r="AS74" s="0" t="str">
        <f aca="false">IF($A74="","",_xlfn.TEXTJOIN("; ",TRUE(),IF(CK74&lt;&gt;"pass","gated out",""),IF(AO74="Y","on hold: "&amp;AP74,""),IF(C74="","no contact named on an opened page",""),IF(AND(AU74="Y",AV74&lt;&gt;"Y"),"founder review pending (Founder review tab)","")))</f>
        <v>founder review pending (Founder review tab)</v>
      </c>
      <c r="AU74" s="0" t="s">
        <v>164</v>
      </c>
      <c r="AY74" s="0" t="s">
        <v>780</v>
      </c>
      <c r="AZ74" s="0" t="s">
        <v>7561</v>
      </c>
      <c r="BA74" s="0" t="s">
        <v>7562</v>
      </c>
      <c r="BC74" s="0" t="str">
        <f aca="false">IF($A74="","",IFERROR(INDEX(Enrichment!$A$2:$GZ$2000,MATCH($A74,INDEX(Enrichment!$A$2:$GZ$2000,0,MATCH("row_id",Enrichment!$A$1:$GZ$1,0)),0),MATCH("work_email",Enrichment!$A$1:$GZ$1,0))&amp;"",""))</f>
        <v/>
      </c>
      <c r="BD74" s="0" t="str">
        <f aca="false">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none</v>
      </c>
      <c r="BE74" s="0" t="s">
        <v>5589</v>
      </c>
      <c r="BF74" s="0" t="s">
        <v>169</v>
      </c>
      <c r="BG74" s="0" t="s">
        <v>1252</v>
      </c>
      <c r="BH74" s="0" t="s">
        <v>7563</v>
      </c>
      <c r="BI74" s="0" t="s">
        <v>263</v>
      </c>
      <c r="BJ74" s="0" t="s">
        <v>7564</v>
      </c>
      <c r="BK74" s="0" t="s">
        <v>5643</v>
      </c>
      <c r="BL74" s="0" t="s">
        <v>7565</v>
      </c>
      <c r="BM74" s="0" t="s">
        <v>7566</v>
      </c>
      <c r="BN74" s="0" t="s">
        <v>7567</v>
      </c>
      <c r="BP74" s="0" t="str">
        <f aca="false">IF($A74="","",IFERROR(INDEX(Enrichment!$A$2:$GZ$2000,MATCH($A74,INDEX(Enrichment!$A$2:$GZ$2000,0,MATCH("row_id",Enrichment!$A$1:$GZ$1,0)),0),MATCH("backup_work_email",Enrichment!$A$1:$GZ$1,0))&amp;"",""))</f>
        <v/>
      </c>
      <c r="BQ74" s="0" t="str">
        <f aca="false">IF($A74="","",IF(BP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none</v>
      </c>
      <c r="BR74" s="0" t="s">
        <v>7494</v>
      </c>
      <c r="BS74" s="0" t="s">
        <v>169</v>
      </c>
      <c r="BT74" s="0" t="s">
        <v>1252</v>
      </c>
      <c r="BU74" s="0" t="s">
        <v>7568</v>
      </c>
      <c r="BV74" s="0" t="s">
        <v>263</v>
      </c>
      <c r="BW74" s="0" t="s">
        <v>7569</v>
      </c>
      <c r="BX74" s="0" t="s">
        <v>5643</v>
      </c>
      <c r="BY74" s="0" t="s">
        <v>7570</v>
      </c>
      <c r="BZ74" s="0" t="s">
        <v>6822</v>
      </c>
      <c r="CB74" s="0" t="s">
        <v>7571</v>
      </c>
      <c r="CF74" s="0" t="s">
        <v>7572</v>
      </c>
      <c r="CH74" s="0" t="s">
        <v>7573</v>
      </c>
      <c r="CJ74" s="0" t="s">
        <v>7088</v>
      </c>
      <c r="CK74" s="0" t="s">
        <v>200</v>
      </c>
      <c r="CM74" s="0" t="s">
        <v>201</v>
      </c>
      <c r="CN74" s="0" t="s">
        <v>6827</v>
      </c>
      <c r="CO74" s="0" t="s">
        <v>7574</v>
      </c>
      <c r="CP74" s="0" t="s">
        <v>5608</v>
      </c>
      <c r="CQ74" s="0" t="s">
        <v>5609</v>
      </c>
      <c r="CR74" s="0" t="s">
        <v>209</v>
      </c>
      <c r="CT74" s="0" t="s">
        <v>164</v>
      </c>
      <c r="CU74" s="0" t="s">
        <v>7575</v>
      </c>
      <c r="CV74" s="0" t="s">
        <v>164</v>
      </c>
      <c r="CW74" s="0" t="s">
        <v>164</v>
      </c>
      <c r="CX74" s="0" t="s">
        <v>209</v>
      </c>
      <c r="CZ74" s="0" t="s">
        <v>6456</v>
      </c>
      <c r="DA74" s="0" t="s">
        <v>189</v>
      </c>
      <c r="DB74" s="0" t="s">
        <v>189</v>
      </c>
      <c r="DD74" s="0" t="n">
        <v>0.9</v>
      </c>
      <c r="DE74" s="0" t="s">
        <v>189</v>
      </c>
      <c r="DF74" s="0" t="n">
        <v>0</v>
      </c>
      <c r="DG74" s="0" t="s">
        <v>7576</v>
      </c>
      <c r="DI74" s="0" t="s">
        <v>7577</v>
      </c>
      <c r="DJ74" s="0" t="s">
        <v>7578</v>
      </c>
      <c r="DK74" s="0" t="s">
        <v>5689</v>
      </c>
      <c r="DL74" s="0" t="n">
        <v>193</v>
      </c>
      <c r="DN74" s="0" t="n">
        <v>45</v>
      </c>
      <c r="DO74" s="0" t="n">
        <v>6</v>
      </c>
      <c r="DP74" s="0" t="n">
        <v>20</v>
      </c>
      <c r="DQ74" s="0" t="n">
        <v>4</v>
      </c>
      <c r="DR74" s="0" t="n">
        <v>5</v>
      </c>
      <c r="DS74" s="0" t="n">
        <v>10</v>
      </c>
      <c r="DT74" s="0" t="n">
        <v>10</v>
      </c>
      <c r="DU74" s="0" t="n">
        <f aca="false">IF($A74="","",IF(R74="Y",10,0))</f>
        <v>0</v>
      </c>
      <c r="DV74" s="0" t="n">
        <v>-10</v>
      </c>
      <c r="DW74" s="0" t="s">
        <v>7579</v>
      </c>
      <c r="DX74" s="0" t="s">
        <v>6462</v>
      </c>
      <c r="DY74" s="0" t="s">
        <v>7580</v>
      </c>
      <c r="DZ74" s="0" t="s">
        <v>7581</v>
      </c>
      <c r="EA74" s="0" t="s">
        <v>7582</v>
      </c>
      <c r="EV74" s="0" t="str">
        <f aca="false">IF($A74="","",IF(ISNUMBER(MATCH(U74,{"queued","contacted","replied","call_booked","call_done","yes_in_principle","materials_sent"},0)),"Y","N"))</f>
        <v>N</v>
      </c>
      <c r="EW74" s="0" t="str">
        <f aca="false">IF($A74="","",IF(OR(T74="Y",U74="do_not_contact",AQ74&amp;""&lt;&gt;""),"Y","N"))</f>
        <v>N</v>
      </c>
      <c r="EX74" s="0" t="str">
        <f aca="false">IF($A74="","",IF(AN74&amp;""&lt;&gt;"",AN74&amp;"",$A74))</f>
        <v>AB-143</v>
      </c>
      <c r="EY74" s="0" t="str">
        <f aca="false">IF($A74="","",IF(COUNTIFS($EX$2:$EX$1000,EX74,$EV$2:$EV$1000,"Y")+COUNTIFS($EX$2:$EX$1000,EX74,$EW$2:$EW$1000,"Y")&gt;0,"Y","N"))</f>
        <v>N</v>
      </c>
      <c r="EZ74" s="0" t="str">
        <f aca="false">IF($A74="","",IF(AND(U74="new",T74="N",EW74="N",AR74="Y",EY74="N"),"Y","N"))</f>
        <v>N</v>
      </c>
      <c r="FA74" s="0" t="str">
        <f aca="false">IF($A74="","",IF(EZ74&lt;&gt;"Y","N",IF(COUNTIFS($EX$2:$EX$1000,EX74,$EZ$2:$EZ$1000,"Y",$J$2:$J$1000,"&gt;"&amp;J74)+COUNTIFS($EX$2:$EX$1000,EX74,$EZ$2:$EZ$1000,"Y",$J$2:$J$1000,J74,$FG$2:$FG$1000,"&lt;"&amp;FG74)=0,"Y","N")))</f>
        <v>N</v>
      </c>
      <c r="FB74" s="0" t="str">
        <f aca="false">IF($A74="","",IF(AND(EZ74="Y",FA74="Y",Y74&amp;""&lt;&gt;""),IF(Y74&lt;=10,"Y","N"),"N"))</f>
        <v>N</v>
      </c>
      <c r="FC74" s="0" t="str">
        <f aca="false">IF(FB74="Y",Y74,"")</f>
        <v/>
      </c>
      <c r="FD74" s="0" t="str">
        <f aca="false">IF($A74="","",IF(AND(CK74="pass",AU74="Y",AV74&lt;&gt;"Y",U74="new",EW74="N"),"Y","N"))</f>
        <v>Y</v>
      </c>
      <c r="FE74" s="0" t="str">
        <f aca="false">IF(FD74&lt;&gt;"Y","",IF(COUNTIFS($FD$2:$FD$1000,"Y",$J$2:$J$1000,"&gt;"&amp;J74)+COUNTIFS($FD$2:$FD$1000,"Y",$J$2:$J$1000,J74,$FG$2:$FG$1000,"&lt;"&amp;FG74)+1&lt;=30,COUNTIFS($FD$2:$FD$1000,"Y",$J$2:$J$1000,"&gt;"&amp;J74)+COUNTIFS($FD$2:$FD$1000,"Y",$J$2:$J$1000,J74,$FG$2:$FG$1000,"&lt;"&amp;FG74)+1,""))</f>
        <v/>
      </c>
      <c r="FF74" s="0" t="str">
        <f aca="false">IF(AND(_xlfn.ISFORMULA(C74),_xlfn.ISFORMULA(J74)),"Y","N")</f>
        <v>Y</v>
      </c>
      <c r="FG74" s="0" t="n">
        <f aca="false">ROW()-1</f>
        <v>73</v>
      </c>
    </row>
    <row r="75" customFormat="false" ht="15" hidden="false" customHeight="false" outlineLevel="0" collapsed="false">
      <c r="A75" s="0" t="s">
        <v>7583</v>
      </c>
      <c r="B75" s="0" t="s">
        <v>7584</v>
      </c>
      <c r="C75" s="0" t="str">
        <f aca="false">IF($A75="","",IF(AT75="Y",BL75&amp;"",AY75&amp;""))</f>
        <v>Jaden</v>
      </c>
      <c r="D75" s="0" t="str">
        <f aca="false">IF($A75="","",IF(AT75="Y",BM75&amp;"",AZ75&amp;""))</f>
        <v>Smith</v>
      </c>
      <c r="E75" s="0" t="str">
        <f aca="false">IF($A75="","",IF(AT75="Y",BN75&amp;"",BA75&amp;""))</f>
        <v>Founder</v>
      </c>
      <c r="F75" s="0" t="str">
        <f aca="false">IF($A75="","",IF(AT75="Y",BO75&amp;"",BB75&amp;""))</f>
        <v/>
      </c>
      <c r="G75" s="0" t="str">
        <f aca="false">IF($A75="","",IF(AT75="Y",BP75&amp;"",BC75&amp;""))</f>
        <v/>
      </c>
      <c r="H75" s="0" t="str">
        <f aca="false">IF($A75="","",IF(AT75="Y",BQ75&amp;"",BD75&amp;""))</f>
        <v>none</v>
      </c>
      <c r="I75" s="0" t="str">
        <f aca="false">IF($A75="","",IF(R75="Y","warm-intro",IF(H75="verified","email",IF(C75&lt;&gt;"","linkedin",CA75&amp;""))))</f>
        <v>linkedin</v>
      </c>
      <c r="J75" s="0" t="n">
        <f aca="false">IF($A75="","",IF(CK75="pass",ROUND(N(DO75)+N(DP75)+N(DQ75)+N(DR75)+N(DS75)+N(DT75)+N(DU75)+N(DV75),0),0))</f>
        <v>45</v>
      </c>
      <c r="K75" s="0" t="str">
        <f aca="false">IF($A75="","",IF(CK75&lt;&gt;"pass",BY75&amp;"",BY75&amp;", "&amp;IF(AT75="Y",BX75&amp;"",BK75&amp;"")&amp;BZ75&amp;IF(R75="Y","; known to the founder (+10)","")&amp;"."))</f>
        <v>New York City brand, no graded store within ten blocks, online store only, no dated why-now in the last 12 months, revenue unknown, contact named; founder review: other.</v>
      </c>
      <c r="M75" s="0" t="s">
        <v>6144</v>
      </c>
      <c r="N75" s="0" t="s">
        <v>740</v>
      </c>
      <c r="R75" s="5" t="s">
        <v>189</v>
      </c>
      <c r="S75" s="0" t="s">
        <v>209</v>
      </c>
      <c r="T75" s="5" t="s">
        <v>189</v>
      </c>
      <c r="U75" s="5" t="s">
        <v>3896</v>
      </c>
      <c r="V75" s="0" t="s">
        <v>7585</v>
      </c>
      <c r="W75" s="0" t="s">
        <v>263</v>
      </c>
      <c r="X75" s="0" t="s">
        <v>5578</v>
      </c>
      <c r="Y75" s="0" t="n">
        <f aca="false">IF(FA75&lt;&gt;"Y","",COUNTIFS($FA$2:$FA$1000,"Y",$J$2:$J$1000,"&gt;"&amp;J75)+COUNTIFS($FA$2:$FA$1000,"Y",$J$2:$J$1000,J75,$FG$2:$FG$1000,"&lt;"&amp;FG75)+1)</f>
        <v>36</v>
      </c>
      <c r="Z75" s="0" t="n">
        <v>74</v>
      </c>
      <c r="AA75" s="0" t="s">
        <v>189</v>
      </c>
      <c r="AB75" s="0" t="str">
        <f aca="false">IF($A75="","",IF(AT75="Y",BW75&amp;"",BJ75&amp;""))</f>
        <v>find Jaden Smith at JUST Water on LinkedIn and paste the profile URL into primary_linkedin_url</v>
      </c>
      <c r="AC75" s="0" t="str">
        <f aca="false">IF($A75="","",IF(AT75="Y",BR75&amp;"",BE75&amp;""))</f>
        <v>founder</v>
      </c>
      <c r="AD75" s="0" t="str">
        <f aca="false">IF($A75="","",IF(AT75="Y",BS75&amp;"",BF75&amp;""))</f>
        <v>verified-page</v>
      </c>
      <c r="AE75" s="0" t="str">
        <f aca="false">IF($A75="","",IF(AT75="Y",BT75&amp;"",BG75&amp;""))</f>
        <v>employer's own site</v>
      </c>
      <c r="AF75" s="0" t="str">
        <f aca="false">IF($A75="","",IF(AT75="Y",BU75&amp;"",BH75&amp;""))</f>
        <v>https://justwater.com/pages/about</v>
      </c>
      <c r="AG75" s="0" t="str">
        <f aca="false">IF($A75="","",IF(AT75="Y",BV75&amp;"",BI75&amp;""))</f>
        <v>2026-10-23</v>
      </c>
      <c r="AH75" s="0" t="s">
        <v>7586</v>
      </c>
      <c r="AI75" s="0" t="s">
        <v>6699</v>
      </c>
      <c r="AJ75" s="0" t="s">
        <v>259</v>
      </c>
      <c r="AK75" s="0" t="s">
        <v>7587</v>
      </c>
      <c r="AL75" s="0" t="s">
        <v>164</v>
      </c>
      <c r="AM75" s="0" t="s">
        <v>7588</v>
      </c>
      <c r="AN75" s="0" t="s">
        <v>7583</v>
      </c>
      <c r="AO75" s="5" t="s">
        <v>189</v>
      </c>
      <c r="AR75" s="0" t="str">
        <f aca="false">IF($A75="","",IF(AND(CK75="pass",AO75&lt;&gt;"Y",C75&lt;&gt;"",OR(AU75&lt;&gt;"Y",AV75="Y")),"Y","N"))</f>
        <v>Y</v>
      </c>
      <c r="AS75" s="0" t="str">
        <f aca="false">IF($A75="","",_xlfn.TEXTJOIN("; ",TRUE(),IF(CK75&lt;&gt;"pass","gated out",""),IF(AO75="Y","on hold: "&amp;AP75,""),IF(C75="","no contact named on an opened page",""),IF(AND(AU75="Y",AV75&lt;&gt;"Y"),"founder review pending (Founder review tab)","")))</f>
        <v/>
      </c>
      <c r="AU75" s="0" t="s">
        <v>189</v>
      </c>
      <c r="AY75" s="0" t="s">
        <v>7589</v>
      </c>
      <c r="AZ75" s="0" t="s">
        <v>7590</v>
      </c>
      <c r="BA75" s="0" t="s">
        <v>5739</v>
      </c>
      <c r="BC75" s="0" t="str">
        <f aca="false">IF($A75="","",IFERROR(INDEX(Enrichment!$A$2:$GZ$2000,MATCH($A75,INDEX(Enrichment!$A$2:$GZ$2000,0,MATCH("row_id",Enrichment!$A$1:$GZ$1,0)),0),MATCH("work_email",Enrichment!$A$1:$GZ$1,0))&amp;"",""))</f>
        <v/>
      </c>
      <c r="BD75" s="0" t="str">
        <f aca="false">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none</v>
      </c>
      <c r="BE75" s="0" t="s">
        <v>5589</v>
      </c>
      <c r="BF75" s="0" t="s">
        <v>169</v>
      </c>
      <c r="BG75" s="0" t="s">
        <v>170</v>
      </c>
      <c r="BH75" s="0" t="s">
        <v>7591</v>
      </c>
      <c r="BI75" s="0" t="s">
        <v>263</v>
      </c>
      <c r="BJ75" s="0" t="s">
        <v>7592</v>
      </c>
      <c r="BK75" s="0" t="s">
        <v>5643</v>
      </c>
      <c r="BP75" s="0" t="str">
        <f aca="false">IF($A75="","",IFERROR(INDEX(Enrichment!$A$2:$GZ$2000,MATCH($A75,INDEX(Enrichment!$A$2:$GZ$2000,0,MATCH("row_id",Enrichment!$A$1:$GZ$1,0)),0),MATCH("backup_work_email",Enrichment!$A$1:$GZ$1,0))&amp;"",""))</f>
        <v/>
      </c>
      <c r="BQ75" s="0" t="str">
        <f aca="false">IF($A75="","",IF(BP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none</v>
      </c>
      <c r="BS75" s="0" t="s">
        <v>380</v>
      </c>
      <c r="BW75" s="0" t="s">
        <v>387</v>
      </c>
      <c r="BX75" s="0" t="s">
        <v>388</v>
      </c>
      <c r="BY75" s="0" t="s">
        <v>7496</v>
      </c>
      <c r="BZ75" s="0" t="s">
        <v>5960</v>
      </c>
      <c r="CB75" s="0" t="s">
        <v>7593</v>
      </c>
      <c r="CJ75" s="0" t="s">
        <v>7088</v>
      </c>
      <c r="CK75" s="0" t="s">
        <v>200</v>
      </c>
      <c r="CM75" s="0" t="s">
        <v>201</v>
      </c>
      <c r="CN75" s="0" t="s">
        <v>443</v>
      </c>
      <c r="CO75" s="0" t="s">
        <v>7587</v>
      </c>
      <c r="CP75" s="0" t="s">
        <v>5608</v>
      </c>
      <c r="CQ75" s="0" t="s">
        <v>5609</v>
      </c>
      <c r="CR75" s="0" t="s">
        <v>209</v>
      </c>
      <c r="CT75" s="0" t="s">
        <v>164</v>
      </c>
      <c r="CU75" s="0" t="s">
        <v>7594</v>
      </c>
      <c r="CV75" s="0" t="s">
        <v>164</v>
      </c>
      <c r="CW75" s="0" t="s">
        <v>164</v>
      </c>
      <c r="CX75" s="0" t="s">
        <v>209</v>
      </c>
      <c r="CZ75" s="0" t="s">
        <v>6456</v>
      </c>
      <c r="DA75" s="0" t="s">
        <v>189</v>
      </c>
      <c r="DB75" s="0" t="s">
        <v>189</v>
      </c>
      <c r="DE75" s="0" t="s">
        <v>189</v>
      </c>
      <c r="DF75" s="0" t="n">
        <v>0</v>
      </c>
      <c r="DI75" s="0" t="s">
        <v>209</v>
      </c>
      <c r="DK75" s="0" t="s">
        <v>380</v>
      </c>
      <c r="DN75" s="0" t="n">
        <v>45</v>
      </c>
      <c r="DO75" s="0" t="n">
        <v>6</v>
      </c>
      <c r="DP75" s="0" t="n">
        <v>20</v>
      </c>
      <c r="DQ75" s="0" t="n">
        <v>0</v>
      </c>
      <c r="DR75" s="0" t="n">
        <v>5</v>
      </c>
      <c r="DS75" s="0" t="n">
        <v>10</v>
      </c>
      <c r="DT75" s="0" t="n">
        <v>6</v>
      </c>
      <c r="DU75" s="0" t="n">
        <f aca="false">IF($A75="","",IF(R75="Y",10,0))</f>
        <v>0</v>
      </c>
      <c r="DV75" s="0" t="n">
        <v>-2</v>
      </c>
      <c r="DW75" s="0" t="s">
        <v>209</v>
      </c>
      <c r="DX75" s="0" t="s">
        <v>6462</v>
      </c>
      <c r="DY75" s="0" t="s">
        <v>7595</v>
      </c>
      <c r="DZ75" s="0" t="s">
        <v>7596</v>
      </c>
      <c r="EA75" s="0" t="s">
        <v>7597</v>
      </c>
      <c r="EV75" s="0" t="str">
        <f aca="false">IF($A75="","",IF(ISNUMBER(MATCH(U75,{"queued","contacted","replied","call_booked","call_done","yes_in_principle","materials_sent"},0)),"Y","N"))</f>
        <v>N</v>
      </c>
      <c r="EW75" s="0" t="str">
        <f aca="false">IF($A75="","",IF(OR(T75="Y",U75="do_not_contact",AQ75&amp;""&lt;&gt;""),"Y","N"))</f>
        <v>N</v>
      </c>
      <c r="EX75" s="0" t="str">
        <f aca="false">IF($A75="","",IF(AN75&amp;""&lt;&gt;"",AN75&amp;"",$A75))</f>
        <v>AB-157</v>
      </c>
      <c r="EY75" s="0" t="str">
        <f aca="false">IF($A75="","",IF(COUNTIFS($EX$2:$EX$1000,EX75,$EV$2:$EV$1000,"Y")+COUNTIFS($EX$2:$EX$1000,EX75,$EW$2:$EW$1000,"Y")&gt;0,"Y","N"))</f>
        <v>N</v>
      </c>
      <c r="EZ75" s="0" t="str">
        <f aca="false">IF($A75="","",IF(AND(U75="new",T75="N",EW75="N",AR75="Y",EY75="N"),"Y","N"))</f>
        <v>Y</v>
      </c>
      <c r="FA75" s="0" t="str">
        <f aca="false">IF($A75="","",IF(EZ75&lt;&gt;"Y","N",IF(COUNTIFS($EX$2:$EX$1000,EX75,$EZ$2:$EZ$1000,"Y",$J$2:$J$1000,"&gt;"&amp;J75)+COUNTIFS($EX$2:$EX$1000,EX75,$EZ$2:$EZ$1000,"Y",$J$2:$J$1000,J75,$FG$2:$FG$1000,"&lt;"&amp;FG75)=0,"Y","N")))</f>
        <v>Y</v>
      </c>
      <c r="FB75" s="0" t="str">
        <f aca="false">IF($A75="","",IF(AND(EZ75="Y",FA75="Y",Y75&amp;""&lt;&gt;""),IF(Y75&lt;=10,"Y","N"),"N"))</f>
        <v>N</v>
      </c>
      <c r="FC75" s="0" t="str">
        <f aca="false">IF(FB75="Y",Y75,"")</f>
        <v/>
      </c>
      <c r="FD75" s="0" t="str">
        <f aca="false">IF($A75="","",IF(AND(CK75="pass",AU75="Y",AV75&lt;&gt;"Y",U75="new",EW75="N"),"Y","N"))</f>
        <v>N</v>
      </c>
      <c r="FE75" s="0" t="str">
        <f aca="false">IF(FD75&lt;&gt;"Y","",IF(COUNTIFS($FD$2:$FD$1000,"Y",$J$2:$J$1000,"&gt;"&amp;J75)+COUNTIFS($FD$2:$FD$1000,"Y",$J$2:$J$1000,J75,$FG$2:$FG$1000,"&lt;"&amp;FG75)+1&lt;=30,COUNTIFS($FD$2:$FD$1000,"Y",$J$2:$J$1000,"&gt;"&amp;J75)+COUNTIFS($FD$2:$FD$1000,"Y",$J$2:$J$1000,J75,$FG$2:$FG$1000,"&lt;"&amp;FG75)+1,""))</f>
        <v/>
      </c>
      <c r="FF75" s="0" t="str">
        <f aca="false">IF(AND(_xlfn.ISFORMULA(C75),_xlfn.ISFORMULA(J75)),"Y","N")</f>
        <v>Y</v>
      </c>
      <c r="FG75" s="0" t="n">
        <f aca="false">ROW()-1</f>
        <v>74</v>
      </c>
    </row>
    <row r="76" customFormat="false" ht="15" hidden="false" customHeight="false" outlineLevel="0" collapsed="false">
      <c r="A76" s="0" t="s">
        <v>7598</v>
      </c>
      <c r="B76" s="0" t="s">
        <v>7599</v>
      </c>
      <c r="C76" s="0" t="str">
        <f aca="false">IF($A76="","",IF(AT76="Y",BL76&amp;"",AY76&amp;""))</f>
        <v>Daniel</v>
      </c>
      <c r="D76" s="0" t="str">
        <f aca="false">IF($A76="","",IF(AT76="Y",BM76&amp;"",AZ76&amp;""))</f>
        <v>Maloney</v>
      </c>
      <c r="E76" s="0" t="str">
        <f aca="false">IF($A76="","",IF(AT76="Y",BN76&amp;"",BA76&amp;""))</f>
        <v>Co-founder</v>
      </c>
      <c r="F76" s="0" t="str">
        <f aca="false">IF($A76="","",IF(AT76="Y",BO76&amp;"",BB76&amp;""))</f>
        <v/>
      </c>
      <c r="G76" s="0" t="str">
        <f aca="false">IF($A76="","",IF(AT76="Y",BP76&amp;"",BC76&amp;""))</f>
        <v/>
      </c>
      <c r="H76" s="0" t="str">
        <f aca="false">IF($A76="","",IF(AT76="Y",BQ76&amp;"",BD76&amp;""))</f>
        <v>none</v>
      </c>
      <c r="I76" s="0" t="str">
        <f aca="false">IF($A76="","",IF(R76="Y","warm-intro",IF(H76="verified","email",IF(C76&lt;&gt;"","linkedin",CA76&amp;""))))</f>
        <v>linkedin</v>
      </c>
      <c r="J76" s="0" t="n">
        <f aca="false">IF($A76="","",IF(CK76="pass",ROUND(N(DO76)+N(DP76)+N(DQ76)+N(DR76)+N(DS76)+N(DT76)+N(DU76)+N(DV76),0),0))</f>
        <v>45</v>
      </c>
      <c r="K76" s="0" t="str">
        <f aca="false">IF($A76="","",IF(CK76&lt;&gt;"pass",BY76&amp;"",BY76&amp;", "&amp;IF(AT76="Y",BX76&amp;"",BK76&amp;"")&amp;BZ76&amp;IF(R76="Y","; known to the founder (+10)","")&amp;"."))</f>
        <v>New York City brand, no graded store within ten blocks, online store only, no dated why-now in the last 12 months, revenue unknown, contact named; founder review: other.</v>
      </c>
      <c r="M76" s="0" t="s">
        <v>6144</v>
      </c>
      <c r="N76" s="0" t="s">
        <v>740</v>
      </c>
      <c r="R76" s="5" t="s">
        <v>189</v>
      </c>
      <c r="S76" s="0" t="s">
        <v>209</v>
      </c>
      <c r="T76" s="5" t="s">
        <v>189</v>
      </c>
      <c r="U76" s="5" t="s">
        <v>3896</v>
      </c>
      <c r="V76" s="0" t="s">
        <v>7600</v>
      </c>
      <c r="W76" s="0" t="s">
        <v>263</v>
      </c>
      <c r="X76" s="0" t="s">
        <v>5578</v>
      </c>
      <c r="Y76" s="0" t="n">
        <f aca="false">IF(FA76&lt;&gt;"Y","",COUNTIFS($FA$2:$FA$1000,"Y",$J$2:$J$1000,"&gt;"&amp;J76)+COUNTIFS($FA$2:$FA$1000,"Y",$J$2:$J$1000,J76,$FG$2:$FG$1000,"&lt;"&amp;FG76)+1)</f>
        <v>37</v>
      </c>
      <c r="Z76" s="0" t="n">
        <v>75</v>
      </c>
      <c r="AA76" s="0" t="s">
        <v>189</v>
      </c>
      <c r="AB76" s="0" t="str">
        <f aca="false">IF($A76="","",IF(AT76="Y",BW76&amp;"",BJ76&amp;""))</f>
        <v>find Daniel Maloney at Sol Cacao on LinkedIn and paste the profile URL into primary_linkedin_url</v>
      </c>
      <c r="AC76" s="0" t="str">
        <f aca="false">IF($A76="","",IF(AT76="Y",BR76&amp;"",BE76&amp;""))</f>
        <v>founder</v>
      </c>
      <c r="AD76" s="0" t="str">
        <f aca="false">IF($A76="","",IF(AT76="Y",BS76&amp;"",BF76&amp;""))</f>
        <v>verified-page</v>
      </c>
      <c r="AE76" s="0" t="str">
        <f aca="false">IF($A76="","",IF(AT76="Y",BT76&amp;"",BG76&amp;""))</f>
        <v>press, event or podcast page</v>
      </c>
      <c r="AF76" s="0" t="str">
        <f aca="false">IF($A76="","",IF(AT76="Y",BU76&amp;"",BH76&amp;""))</f>
        <v>https://business.bronxchamber.org/list/member/sol-cacao-llc-4669</v>
      </c>
      <c r="AG76" s="0" t="str">
        <f aca="false">IF($A76="","",IF(AT76="Y",BV76&amp;"",BI76&amp;""))</f>
        <v>2026-10-23</v>
      </c>
      <c r="AH76" s="0" t="s">
        <v>7601</v>
      </c>
      <c r="AI76" s="0" t="s">
        <v>5664</v>
      </c>
      <c r="AJ76" s="0" t="s">
        <v>7602</v>
      </c>
      <c r="AK76" s="0" t="s">
        <v>7603</v>
      </c>
      <c r="AL76" s="0" t="s">
        <v>164</v>
      </c>
      <c r="AM76" s="0" t="s">
        <v>7604</v>
      </c>
      <c r="AN76" s="0" t="s">
        <v>7598</v>
      </c>
      <c r="AO76" s="5" t="s">
        <v>189</v>
      </c>
      <c r="AR76" s="0" t="str">
        <f aca="false">IF($A76="","",IF(AND(CK76="pass",AO76&lt;&gt;"Y",C76&lt;&gt;"",OR(AU76&lt;&gt;"Y",AV76="Y")),"Y","N"))</f>
        <v>Y</v>
      </c>
      <c r="AS76" s="0" t="str">
        <f aca="false">IF($A76="","",_xlfn.TEXTJOIN("; ",TRUE(),IF(CK76&lt;&gt;"pass","gated out",""),IF(AO76="Y","on hold: "&amp;AP76,""),IF(C76="","no contact named on an opened page",""),IF(AND(AU76="Y",AV76&lt;&gt;"Y"),"founder review pending (Founder review tab)","")))</f>
        <v/>
      </c>
      <c r="AU76" s="0" t="s">
        <v>189</v>
      </c>
      <c r="AY76" s="0" t="s">
        <v>2400</v>
      </c>
      <c r="AZ76" s="0" t="s">
        <v>7605</v>
      </c>
      <c r="BA76" s="0" t="s">
        <v>5636</v>
      </c>
      <c r="BC76" s="0" t="str">
        <f aca="false">IF($A76="","",IFERROR(INDEX(Enrichment!$A$2:$GZ$2000,MATCH($A76,INDEX(Enrichment!$A$2:$GZ$2000,0,MATCH("row_id",Enrichment!$A$1:$GZ$1,0)),0),MATCH("work_email",Enrichment!$A$1:$GZ$1,0))&amp;"",""))</f>
        <v/>
      </c>
      <c r="BD76" s="0" t="str">
        <f aca="false">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none</v>
      </c>
      <c r="BE76" s="0" t="s">
        <v>5589</v>
      </c>
      <c r="BF76" s="0" t="s">
        <v>169</v>
      </c>
      <c r="BG76" s="0" t="s">
        <v>1252</v>
      </c>
      <c r="BH76" s="0" t="s">
        <v>7606</v>
      </c>
      <c r="BI76" s="0" t="s">
        <v>263</v>
      </c>
      <c r="BJ76" s="0" t="s">
        <v>7607</v>
      </c>
      <c r="BK76" s="0" t="s">
        <v>5643</v>
      </c>
      <c r="BP76" s="0" t="str">
        <f aca="false">IF($A76="","",IFERROR(INDEX(Enrichment!$A$2:$GZ$2000,MATCH($A76,INDEX(Enrichment!$A$2:$GZ$2000,0,MATCH("row_id",Enrichment!$A$1:$GZ$1,0)),0),MATCH("backup_work_email",Enrichment!$A$1:$GZ$1,0))&amp;"",""))</f>
        <v/>
      </c>
      <c r="BQ76" s="0" t="str">
        <f aca="false">IF($A76="","",IF(BP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none</v>
      </c>
      <c r="BS76" s="0" t="s">
        <v>380</v>
      </c>
      <c r="BW76" s="0" t="s">
        <v>387</v>
      </c>
      <c r="BX76" s="0" t="s">
        <v>388</v>
      </c>
      <c r="BY76" s="0" t="s">
        <v>7496</v>
      </c>
      <c r="BZ76" s="0" t="s">
        <v>5960</v>
      </c>
      <c r="CB76" s="0" t="s">
        <v>7608</v>
      </c>
      <c r="CD76" s="0" t="s">
        <v>7609</v>
      </c>
      <c r="CJ76" s="0" t="s">
        <v>7088</v>
      </c>
      <c r="CK76" s="0" t="s">
        <v>200</v>
      </c>
      <c r="CM76" s="0" t="s">
        <v>201</v>
      </c>
      <c r="CN76" s="0" t="s">
        <v>443</v>
      </c>
      <c r="CO76" s="0" t="s">
        <v>7603</v>
      </c>
      <c r="CP76" s="0" t="s">
        <v>5608</v>
      </c>
      <c r="CQ76" s="0" t="s">
        <v>5609</v>
      </c>
      <c r="CR76" s="0" t="s">
        <v>7610</v>
      </c>
      <c r="CS76" s="0" t="s">
        <v>7600</v>
      </c>
      <c r="CT76" s="0" t="s">
        <v>164</v>
      </c>
      <c r="CU76" s="0" t="s">
        <v>7611</v>
      </c>
      <c r="CV76" s="0" t="s">
        <v>164</v>
      </c>
      <c r="CW76" s="0" t="s">
        <v>164</v>
      </c>
      <c r="CX76" s="0" t="s">
        <v>209</v>
      </c>
      <c r="CZ76" s="0" t="s">
        <v>209</v>
      </c>
      <c r="DA76" s="0" t="s">
        <v>189</v>
      </c>
      <c r="DB76" s="0" t="s">
        <v>189</v>
      </c>
      <c r="DE76" s="0" t="s">
        <v>189</v>
      </c>
      <c r="DF76" s="0" t="n">
        <v>0</v>
      </c>
      <c r="DI76" s="0" t="s">
        <v>7612</v>
      </c>
      <c r="DJ76" s="0" t="s">
        <v>7613</v>
      </c>
      <c r="DK76" s="0" t="s">
        <v>380</v>
      </c>
      <c r="DN76" s="0" t="n">
        <v>45</v>
      </c>
      <c r="DO76" s="0" t="n">
        <v>6</v>
      </c>
      <c r="DP76" s="0" t="n">
        <v>20</v>
      </c>
      <c r="DQ76" s="0" t="n">
        <v>0</v>
      </c>
      <c r="DR76" s="0" t="n">
        <v>5</v>
      </c>
      <c r="DS76" s="0" t="n">
        <v>10</v>
      </c>
      <c r="DT76" s="0" t="n">
        <v>6</v>
      </c>
      <c r="DU76" s="0" t="n">
        <f aca="false">IF($A76="","",IF(R76="Y",10,0))</f>
        <v>0</v>
      </c>
      <c r="DV76" s="0" t="n">
        <v>-2</v>
      </c>
      <c r="DX76" s="0" t="s">
        <v>5619</v>
      </c>
      <c r="DY76" s="0" t="s">
        <v>7614</v>
      </c>
      <c r="DZ76" s="0" t="s">
        <v>7615</v>
      </c>
      <c r="EA76" s="0" t="s">
        <v>7616</v>
      </c>
      <c r="EV76" s="0" t="str">
        <f aca="false">IF($A76="","",IF(ISNUMBER(MATCH(U76,{"queued","contacted","replied","call_booked","call_done","yes_in_principle","materials_sent"},0)),"Y","N"))</f>
        <v>N</v>
      </c>
      <c r="EW76" s="0" t="str">
        <f aca="false">IF($A76="","",IF(OR(T76="Y",U76="do_not_contact",AQ76&amp;""&lt;&gt;""),"Y","N"))</f>
        <v>N</v>
      </c>
      <c r="EX76" s="0" t="str">
        <f aca="false">IF($A76="","",IF(AN76&amp;""&lt;&gt;"",AN76&amp;"",$A76))</f>
        <v>AB-260</v>
      </c>
      <c r="EY76" s="0" t="str">
        <f aca="false">IF($A76="","",IF(COUNTIFS($EX$2:$EX$1000,EX76,$EV$2:$EV$1000,"Y")+COUNTIFS($EX$2:$EX$1000,EX76,$EW$2:$EW$1000,"Y")&gt;0,"Y","N"))</f>
        <v>N</v>
      </c>
      <c r="EZ76" s="0" t="str">
        <f aca="false">IF($A76="","",IF(AND(U76="new",T76="N",EW76="N",AR76="Y",EY76="N"),"Y","N"))</f>
        <v>Y</v>
      </c>
      <c r="FA76" s="0" t="str">
        <f aca="false">IF($A76="","",IF(EZ76&lt;&gt;"Y","N",IF(COUNTIFS($EX$2:$EX$1000,EX76,$EZ$2:$EZ$1000,"Y",$J$2:$J$1000,"&gt;"&amp;J76)+COUNTIFS($EX$2:$EX$1000,EX76,$EZ$2:$EZ$1000,"Y",$J$2:$J$1000,J76,$FG$2:$FG$1000,"&lt;"&amp;FG76)=0,"Y","N")))</f>
        <v>Y</v>
      </c>
      <c r="FB76" s="0" t="str">
        <f aca="false">IF($A76="","",IF(AND(EZ76="Y",FA76="Y",Y76&amp;""&lt;&gt;""),IF(Y76&lt;=10,"Y","N"),"N"))</f>
        <v>N</v>
      </c>
      <c r="FC76" s="0" t="str">
        <f aca="false">IF(FB76="Y",Y76,"")</f>
        <v/>
      </c>
      <c r="FD76" s="0" t="str">
        <f aca="false">IF($A76="","",IF(AND(CK76="pass",AU76="Y",AV76&lt;&gt;"Y",U76="new",EW76="N"),"Y","N"))</f>
        <v>N</v>
      </c>
      <c r="FE76" s="0" t="str">
        <f aca="false">IF(FD76&lt;&gt;"Y","",IF(COUNTIFS($FD$2:$FD$1000,"Y",$J$2:$J$1000,"&gt;"&amp;J76)+COUNTIFS($FD$2:$FD$1000,"Y",$J$2:$J$1000,J76,$FG$2:$FG$1000,"&lt;"&amp;FG76)+1&lt;=30,COUNTIFS($FD$2:$FD$1000,"Y",$J$2:$J$1000,"&gt;"&amp;J76)+COUNTIFS($FD$2:$FD$1000,"Y",$J$2:$J$1000,J76,$FG$2:$FG$1000,"&lt;"&amp;FG76)+1,""))</f>
        <v/>
      </c>
      <c r="FF76" s="0" t="str">
        <f aca="false">IF(AND(_xlfn.ISFORMULA(C76),_xlfn.ISFORMULA(J76)),"Y","N")</f>
        <v>Y</v>
      </c>
      <c r="FG76" s="0" t="n">
        <f aca="false">ROW()-1</f>
        <v>75</v>
      </c>
    </row>
    <row r="77" customFormat="false" ht="15" hidden="false" customHeight="false" outlineLevel="0" collapsed="false">
      <c r="A77" s="0" t="s">
        <v>7617</v>
      </c>
      <c r="B77" s="0" t="s">
        <v>7618</v>
      </c>
      <c r="C77" s="0" t="str">
        <f aca="false">IF($A77="","",IF(AT77="Y",BL77&amp;"",AY77&amp;""))</f>
        <v>Aaron</v>
      </c>
      <c r="D77" s="0" t="str">
        <f aca="false">IF($A77="","",IF(AT77="Y",BM77&amp;"",AZ77&amp;""))</f>
        <v>unknown</v>
      </c>
      <c r="E77" s="0" t="str">
        <f aca="false">IF($A77="","",IF(AT77="Y",BN77&amp;"",BA77&amp;""))</f>
        <v>Founder</v>
      </c>
      <c r="F77" s="0" t="str">
        <f aca="false">IF($A77="","",IF(AT77="Y",BO77&amp;"",BB77&amp;""))</f>
        <v/>
      </c>
      <c r="G77" s="0" t="str">
        <f aca="false">IF($A77="","",IF(AT77="Y",BP77&amp;"",BC77&amp;""))</f>
        <v/>
      </c>
      <c r="H77" s="0" t="str">
        <f aca="false">IF($A77="","",IF(AT77="Y",BQ77&amp;"",BD77&amp;""))</f>
        <v>none</v>
      </c>
      <c r="I77" s="0" t="str">
        <f aca="false">IF($A77="","",IF(R77="Y","warm-intro",IF(H77="verified","email",IF(C77&lt;&gt;"","linkedin",CA77&amp;""))))</f>
        <v>linkedin</v>
      </c>
      <c r="J77" s="0" t="n">
        <f aca="false">IF($A77="","",IF(CK77="pass",ROUND(N(DO77)+N(DP77)+N(DQ77)+N(DR77)+N(DS77)+N(DT77)+N(DU77)+N(DV77),0),0))</f>
        <v>45</v>
      </c>
      <c r="K77" s="0" t="str">
        <f aca="false">IF($A77="","",IF(CK77&lt;&gt;"pass",BY77&amp;"",BY77&amp;", "&amp;IF(AT77="Y",BX77&amp;"",BK77&amp;"")&amp;BZ77&amp;IF(R77="Y","; known to the founder (+10)","")&amp;"."))</f>
        <v>New York City brand (HQ unverified), brand locator shows CompleteBody Chelsea inside the cluster, no dated why-now in the last 12 months, revenue unknown, contact named (first name only); founder review: nutrient-claim.</v>
      </c>
      <c r="M77" s="0" t="s">
        <v>7619</v>
      </c>
      <c r="N77" s="0" t="s">
        <v>5915</v>
      </c>
      <c r="R77" s="5" t="s">
        <v>189</v>
      </c>
      <c r="S77" s="0" t="s">
        <v>209</v>
      </c>
      <c r="T77" s="5" t="s">
        <v>189</v>
      </c>
      <c r="U77" s="5" t="s">
        <v>3896</v>
      </c>
      <c r="V77" s="0" t="s">
        <v>6642</v>
      </c>
      <c r="W77" s="0" t="s">
        <v>172</v>
      </c>
      <c r="X77" s="0" t="s">
        <v>5578</v>
      </c>
      <c r="Y77" s="0" t="n">
        <f aca="false">IF(FA77&lt;&gt;"Y","",COUNTIFS($FA$2:$FA$1000,"Y",$J$2:$J$1000,"&gt;"&amp;J77)+COUNTIFS($FA$2:$FA$1000,"Y",$J$2:$J$1000,J77,$FG$2:$FG$1000,"&lt;"&amp;FG77)+1)</f>
        <v>38</v>
      </c>
      <c r="Z77" s="0" t="n">
        <v>76</v>
      </c>
      <c r="AA77" s="0" t="s">
        <v>189</v>
      </c>
      <c r="AB77" s="0" t="str">
        <f aca="false">IF($A77="","",IF(AT77="Y",BW77&amp;"",BJ77&amp;""))</f>
        <v>find Aaron at Caltein on LinkedIn and paste the profile URL into primary_linkedin_url; surname not public: take it from LinkedIn; the retailer line rests on the brand's own store locator: say 'your store locator lists ...'</v>
      </c>
      <c r="AC77" s="0" t="str">
        <f aca="false">IF($A77="","",IF(AT77="Y",BR77&amp;"",BE77&amp;""))</f>
        <v>founder</v>
      </c>
      <c r="AD77" s="0" t="str">
        <f aca="false">IF($A77="","",IF(AT77="Y",BS77&amp;"",BF77&amp;""))</f>
        <v>first-name-only</v>
      </c>
      <c r="AE77" s="0" t="str">
        <f aca="false">IF($A77="","",IF(AT77="Y",BT77&amp;"",BG77&amp;""))</f>
        <v>employer's own site</v>
      </c>
      <c r="AF77" s="0" t="str">
        <f aca="false">IF($A77="","",IF(AT77="Y",BU77&amp;"",BH77&amp;""))</f>
        <v>https://caltein.com/pages/about-us</v>
      </c>
      <c r="AG77" s="0" t="str">
        <f aca="false">IF($A77="","",IF(AT77="Y",BV77&amp;"",BI77&amp;""))</f>
        <v>2026-10-24</v>
      </c>
      <c r="AH77" s="0" t="s">
        <v>7620</v>
      </c>
      <c r="AI77" s="0" t="s">
        <v>5702</v>
      </c>
      <c r="AJ77" s="0" t="s">
        <v>7621</v>
      </c>
      <c r="AK77" s="0" t="s">
        <v>7622</v>
      </c>
      <c r="AL77" s="0" t="s">
        <v>164</v>
      </c>
      <c r="AM77" s="0" t="s">
        <v>7623</v>
      </c>
      <c r="AN77" s="0" t="s">
        <v>7617</v>
      </c>
      <c r="AO77" s="5" t="s">
        <v>189</v>
      </c>
      <c r="AR77" s="0" t="str">
        <f aca="false">IF($A77="","",IF(AND(CK77="pass",AO77&lt;&gt;"Y",C77&lt;&gt;"",OR(AU77&lt;&gt;"Y",AV77="Y")),"Y","N"))</f>
        <v>Y</v>
      </c>
      <c r="AS77" s="0" t="str">
        <f aca="false">IF($A77="","",_xlfn.TEXTJOIN("; ",TRUE(),IF(CK77&lt;&gt;"pass","gated out",""),IF(AO77="Y","on hold: "&amp;AP77,""),IF(C77="","no contact named on an opened page",""),IF(AND(AU77="Y",AV77&lt;&gt;"Y"),"founder review pending (Founder review tab)","")))</f>
        <v/>
      </c>
      <c r="AU77" s="0" t="s">
        <v>189</v>
      </c>
      <c r="AY77" s="0" t="s">
        <v>7624</v>
      </c>
      <c r="AZ77" s="0" t="s">
        <v>209</v>
      </c>
      <c r="BA77" s="0" t="s">
        <v>5739</v>
      </c>
      <c r="BC77" s="0" t="str">
        <f aca="false">IF($A77="","",IFERROR(INDEX(Enrichment!$A$2:$GZ$2000,MATCH($A77,INDEX(Enrichment!$A$2:$GZ$2000,0,MATCH("row_id",Enrichment!$A$1:$GZ$1,0)),0),MATCH("work_email",Enrichment!$A$1:$GZ$1,0))&amp;"",""))</f>
        <v/>
      </c>
      <c r="BD77" s="0" t="str">
        <f aca="false">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none</v>
      </c>
      <c r="BE77" s="0" t="s">
        <v>5589</v>
      </c>
      <c r="BF77" s="0" t="s">
        <v>5896</v>
      </c>
      <c r="BG77" s="0" t="s">
        <v>170</v>
      </c>
      <c r="BH77" s="0" t="s">
        <v>7625</v>
      </c>
      <c r="BI77" s="0" t="s">
        <v>172</v>
      </c>
      <c r="BJ77" s="0" t="s">
        <v>7626</v>
      </c>
      <c r="BK77" s="0" t="s">
        <v>5898</v>
      </c>
      <c r="BP77" s="0" t="str">
        <f aca="false">IF($A77="","",IFERROR(INDEX(Enrichment!$A$2:$GZ$2000,MATCH($A77,INDEX(Enrichment!$A$2:$GZ$2000,0,MATCH("row_id",Enrichment!$A$1:$GZ$1,0)),0),MATCH("backup_work_email",Enrichment!$A$1:$GZ$1,0))&amp;"",""))</f>
        <v/>
      </c>
      <c r="BQ77" s="0" t="str">
        <f aca="false">IF($A77="","",IF(BP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none</v>
      </c>
      <c r="BS77" s="0" t="s">
        <v>380</v>
      </c>
      <c r="BW77" s="0" t="s">
        <v>5929</v>
      </c>
      <c r="BX77" s="0" t="s">
        <v>388</v>
      </c>
      <c r="BY77" s="0" t="s">
        <v>7627</v>
      </c>
      <c r="BZ77" s="0" t="s">
        <v>5601</v>
      </c>
      <c r="CB77" s="0" t="s">
        <v>7624</v>
      </c>
      <c r="CD77" s="0" t="s">
        <v>7628</v>
      </c>
      <c r="CJ77" s="0" t="s">
        <v>7088</v>
      </c>
      <c r="CK77" s="0" t="s">
        <v>200</v>
      </c>
      <c r="CM77" s="0" t="s">
        <v>201</v>
      </c>
      <c r="CN77" s="0" t="s">
        <v>5607</v>
      </c>
      <c r="CO77" s="0" t="s">
        <v>7622</v>
      </c>
      <c r="CP77" s="0" t="s">
        <v>5608</v>
      </c>
      <c r="CQ77" s="0" t="s">
        <v>7189</v>
      </c>
      <c r="CR77" s="0" t="s">
        <v>209</v>
      </c>
      <c r="CT77" s="0" t="s">
        <v>209</v>
      </c>
      <c r="CU77" s="0" t="s">
        <v>7629</v>
      </c>
      <c r="CV77" s="0" t="s">
        <v>164</v>
      </c>
      <c r="CW77" s="0" t="s">
        <v>164</v>
      </c>
      <c r="CX77" s="0" t="s">
        <v>209</v>
      </c>
      <c r="CZ77" s="0" t="s">
        <v>5993</v>
      </c>
      <c r="DA77" s="0" t="s">
        <v>189</v>
      </c>
      <c r="DB77" s="0" t="s">
        <v>189</v>
      </c>
      <c r="DD77" s="0" t="n">
        <v>0</v>
      </c>
      <c r="DE77" s="0" t="s">
        <v>164</v>
      </c>
      <c r="DF77" s="0" t="n">
        <v>1</v>
      </c>
      <c r="DG77" s="0" t="s">
        <v>7630</v>
      </c>
      <c r="DH77" s="0" t="s">
        <v>7631</v>
      </c>
      <c r="DI77" s="0" t="s">
        <v>7632</v>
      </c>
      <c r="DJ77" s="0" t="s">
        <v>7633</v>
      </c>
      <c r="DK77" s="0" t="s">
        <v>380</v>
      </c>
      <c r="DN77" s="0" t="n">
        <v>45</v>
      </c>
      <c r="DO77" s="0" t="n">
        <v>17</v>
      </c>
      <c r="DP77" s="0" t="n">
        <v>17</v>
      </c>
      <c r="DQ77" s="0" t="n">
        <v>0</v>
      </c>
      <c r="DR77" s="0" t="n">
        <v>5</v>
      </c>
      <c r="DS77" s="0" t="n">
        <v>7</v>
      </c>
      <c r="DT77" s="0" t="n">
        <v>3</v>
      </c>
      <c r="DU77" s="0" t="n">
        <f aca="false">IF($A77="","",IF(R77="Y",10,0))</f>
        <v>0</v>
      </c>
      <c r="DV77" s="0" t="n">
        <v>-4</v>
      </c>
      <c r="DW77" s="0" t="s">
        <v>7634</v>
      </c>
      <c r="DX77" s="0" t="s">
        <v>5998</v>
      </c>
      <c r="DY77" s="0" t="s">
        <v>7635</v>
      </c>
      <c r="DZ77" s="0" t="s">
        <v>7636</v>
      </c>
      <c r="EV77" s="0" t="str">
        <f aca="false">IF($A77="","",IF(ISNUMBER(MATCH(U77,{"queued","contacted","replied","call_booked","call_done","yes_in_principle","materials_sent"},0)),"Y","N"))</f>
        <v>N</v>
      </c>
      <c r="EW77" s="0" t="str">
        <f aca="false">IF($A77="","",IF(OR(T77="Y",U77="do_not_contact",AQ77&amp;""&lt;&gt;""),"Y","N"))</f>
        <v>N</v>
      </c>
      <c r="EX77" s="0" t="str">
        <f aca="false">IF($A77="","",IF(AN77&amp;""&lt;&gt;"",AN77&amp;"",$A77))</f>
        <v>AB-283</v>
      </c>
      <c r="EY77" s="0" t="str">
        <f aca="false">IF($A77="","",IF(COUNTIFS($EX$2:$EX$1000,EX77,$EV$2:$EV$1000,"Y")+COUNTIFS($EX$2:$EX$1000,EX77,$EW$2:$EW$1000,"Y")&gt;0,"Y","N"))</f>
        <v>N</v>
      </c>
      <c r="EZ77" s="0" t="str">
        <f aca="false">IF($A77="","",IF(AND(U77="new",T77="N",EW77="N",AR77="Y",EY77="N"),"Y","N"))</f>
        <v>Y</v>
      </c>
      <c r="FA77" s="0" t="str">
        <f aca="false">IF($A77="","",IF(EZ77&lt;&gt;"Y","N",IF(COUNTIFS($EX$2:$EX$1000,EX77,$EZ$2:$EZ$1000,"Y",$J$2:$J$1000,"&gt;"&amp;J77)+COUNTIFS($EX$2:$EX$1000,EX77,$EZ$2:$EZ$1000,"Y",$J$2:$J$1000,J77,$FG$2:$FG$1000,"&lt;"&amp;FG77)=0,"Y","N")))</f>
        <v>Y</v>
      </c>
      <c r="FB77" s="0" t="str">
        <f aca="false">IF($A77="","",IF(AND(EZ77="Y",FA77="Y",Y77&amp;""&lt;&gt;""),IF(Y77&lt;=10,"Y","N"),"N"))</f>
        <v>N</v>
      </c>
      <c r="FC77" s="0" t="str">
        <f aca="false">IF(FB77="Y",Y77,"")</f>
        <v/>
      </c>
      <c r="FD77" s="0" t="str">
        <f aca="false">IF($A77="","",IF(AND(CK77="pass",AU77="Y",AV77&lt;&gt;"Y",U77="new",EW77="N"),"Y","N"))</f>
        <v>N</v>
      </c>
      <c r="FE77" s="0" t="str">
        <f aca="false">IF(FD77&lt;&gt;"Y","",IF(COUNTIFS($FD$2:$FD$1000,"Y",$J$2:$J$1000,"&gt;"&amp;J77)+COUNTIFS($FD$2:$FD$1000,"Y",$J$2:$J$1000,J77,$FG$2:$FG$1000,"&lt;"&amp;FG77)+1&lt;=30,COUNTIFS($FD$2:$FD$1000,"Y",$J$2:$J$1000,"&gt;"&amp;J77)+COUNTIFS($FD$2:$FD$1000,"Y",$J$2:$J$1000,J77,$FG$2:$FG$1000,"&lt;"&amp;FG77)+1,""))</f>
        <v/>
      </c>
      <c r="FF77" s="0" t="str">
        <f aca="false">IF(AND(_xlfn.ISFORMULA(C77),_xlfn.ISFORMULA(J77)),"Y","N")</f>
        <v>Y</v>
      </c>
      <c r="FG77" s="0" t="n">
        <f aca="false">ROW()-1</f>
        <v>76</v>
      </c>
    </row>
    <row r="78" customFormat="false" ht="15" hidden="false" customHeight="false" outlineLevel="0" collapsed="false">
      <c r="A78" s="0" t="s">
        <v>7637</v>
      </c>
      <c r="B78" s="0" t="s">
        <v>7638</v>
      </c>
      <c r="C78" s="0" t="str">
        <f aca="false">IF($A78="","",IF(AT78="Y",BL78&amp;"",AY78&amp;""))</f>
        <v/>
      </c>
      <c r="D78" s="0" t="str">
        <f aca="false">IF($A78="","",IF(AT78="Y",BM78&amp;"",AZ78&amp;""))</f>
        <v/>
      </c>
      <c r="E78" s="0" t="str">
        <f aca="false">IF($A78="","",IF(AT78="Y",BN78&amp;"",BA78&amp;""))</f>
        <v/>
      </c>
      <c r="F78" s="0" t="str">
        <f aca="false">IF($A78="","",IF(AT78="Y",BO78&amp;"",BB78&amp;""))</f>
        <v/>
      </c>
      <c r="G78" s="0" t="str">
        <f aca="false">IF($A78="","",IF(AT78="Y",BP78&amp;"",BC78&amp;""))</f>
        <v/>
      </c>
      <c r="H78" s="0" t="str">
        <f aca="false">IF($A78="","",IF(AT78="Y",BQ78&amp;"",BD78&amp;""))</f>
        <v>none</v>
      </c>
      <c r="I78" s="0" t="str">
        <f aca="false">IF($A78="","",IF(R78="Y","warm-intro",IF(H78="verified","email",IF(C78&lt;&gt;"","linkedin",CA78&amp;""))))</f>
        <v/>
      </c>
      <c r="J78" s="0" t="n">
        <f aca="false">IF($A78="","",IF(CK78="pass",ROUND(N(DO78)+N(DP78)+N(DQ78)+N(DR78)+N(DS78)+N(DT78)+N(DU78)+N(DV78),0),0))</f>
        <v>45</v>
      </c>
      <c r="K78" s="0" t="str">
        <f aca="false">IF($A78="","",IF(CK78&lt;&gt;"pass",BY78&amp;"",BY78&amp;", "&amp;IF(AT78="Y",BX78&amp;"",BK78&amp;"")&amp;BZ78&amp;IF(R78="Y","; known to the founder (+10)","")&amp;"."))</f>
        <v>New York City brand, no graded store within ten blocks, online store only, a new store listing 4 days ago, revenue unknown, no contact named; founder review: nutrient-claim.</v>
      </c>
      <c r="M78" s="0" t="s">
        <v>6144</v>
      </c>
      <c r="N78" s="0" t="s">
        <v>740</v>
      </c>
      <c r="O78" s="0" t="s">
        <v>7639</v>
      </c>
      <c r="P78" s="0" t="s">
        <v>7640</v>
      </c>
      <c r="Q78" s="0" t="s">
        <v>4851</v>
      </c>
      <c r="R78" s="5" t="s">
        <v>189</v>
      </c>
      <c r="S78" s="0" t="s">
        <v>209</v>
      </c>
      <c r="T78" s="5" t="s">
        <v>189</v>
      </c>
      <c r="U78" s="5" t="s">
        <v>3896</v>
      </c>
      <c r="V78" s="0" t="s">
        <v>6642</v>
      </c>
      <c r="W78" s="0" t="s">
        <v>172</v>
      </c>
      <c r="X78" s="0" t="s">
        <v>5578</v>
      </c>
      <c r="Y78" s="0" t="str">
        <f aca="false">IF(FA78&lt;&gt;"Y","",COUNTIFS($FA$2:$FA$1000,"Y",$J$2:$J$1000,"&gt;"&amp;J78)+COUNTIFS($FA$2:$FA$1000,"Y",$J$2:$J$1000,J78,$FG$2:$FG$1000,"&lt;"&amp;FG78)+1)</f>
        <v/>
      </c>
      <c r="Z78" s="0" t="n">
        <v>77</v>
      </c>
      <c r="AA78" s="0" t="s">
        <v>189</v>
      </c>
      <c r="AB78" s="0" t="str">
        <f aca="false">IF($A78="","",IF(AT78="Y",BW78&amp;"",BJ78&amp;""))</f>
        <v>no person named on an opened page: not ready</v>
      </c>
      <c r="AC78" s="0" t="str">
        <f aca="false">IF($A78="","",IF(AT78="Y",BR78&amp;"",BE78&amp;""))</f>
        <v/>
      </c>
      <c r="AD78" s="0" t="str">
        <f aca="false">IF($A78="","",IF(AT78="Y",BS78&amp;"",BF78&amp;""))</f>
        <v>none</v>
      </c>
      <c r="AE78" s="0" t="str">
        <f aca="false">IF($A78="","",IF(AT78="Y",BT78&amp;"",BG78&amp;""))</f>
        <v/>
      </c>
      <c r="AF78" s="0" t="str">
        <f aca="false">IF($A78="","",IF(AT78="Y",BU78&amp;"",BH78&amp;""))</f>
        <v/>
      </c>
      <c r="AG78" s="0" t="str">
        <f aca="false">IF($A78="","",IF(AT78="Y",BV78&amp;"",BI78&amp;""))</f>
        <v/>
      </c>
      <c r="AH78" s="0" t="s">
        <v>7641</v>
      </c>
      <c r="AI78" s="0" t="s">
        <v>6240</v>
      </c>
      <c r="AJ78" s="0" t="s">
        <v>6644</v>
      </c>
      <c r="AK78" s="0" t="s">
        <v>7642</v>
      </c>
      <c r="AL78" s="0" t="s">
        <v>164</v>
      </c>
      <c r="AM78" s="0" t="s">
        <v>7643</v>
      </c>
      <c r="AN78" s="0" t="s">
        <v>7637</v>
      </c>
      <c r="AO78" s="5" t="s">
        <v>189</v>
      </c>
      <c r="AR78" s="0" t="str">
        <f aca="false">IF($A78="","",IF(AND(CK78="pass",AO78&lt;&gt;"Y",C78&lt;&gt;"",OR(AU78&lt;&gt;"Y",AV78="Y")),"Y","N"))</f>
        <v>N</v>
      </c>
      <c r="AS78" s="0" t="str">
        <f aca="false">IF($A78="","",_xlfn.TEXTJOIN("; ",TRUE(),IF(CK78&lt;&gt;"pass","gated out",""),IF(AO78="Y","on hold: "&amp;AP78,""),IF(C78="","no contact named on an opened page",""),IF(AND(AU78="Y",AV78&lt;&gt;"Y"),"founder review pending (Founder review tab)","")))</f>
        <v>no contact named on an opened page</v>
      </c>
      <c r="AU78" s="0" t="s">
        <v>189</v>
      </c>
      <c r="BC78" s="0" t="str">
        <f aca="false">IF($A78="","",IFERROR(INDEX(Enrichment!$A$2:$GZ$2000,MATCH($A78,INDEX(Enrichment!$A$2:$GZ$2000,0,MATCH("row_id",Enrichment!$A$1:$GZ$1,0)),0),MATCH("work_email",Enrichment!$A$1:$GZ$1,0))&amp;"",""))</f>
        <v/>
      </c>
      <c r="BD78" s="0" t="str">
        <f aca="false">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none</v>
      </c>
      <c r="BF78" s="0" t="s">
        <v>380</v>
      </c>
      <c r="BJ78" s="0" t="s">
        <v>7105</v>
      </c>
      <c r="BK78" s="0" t="s">
        <v>6048</v>
      </c>
      <c r="BP78" s="0" t="str">
        <f aca="false">IF($A78="","",IFERROR(INDEX(Enrichment!$A$2:$GZ$2000,MATCH($A78,INDEX(Enrichment!$A$2:$GZ$2000,0,MATCH("row_id",Enrichment!$A$1:$GZ$1,0)),0),MATCH("backup_work_email",Enrichment!$A$1:$GZ$1,0))&amp;"",""))</f>
        <v/>
      </c>
      <c r="BQ78" s="0" t="str">
        <f aca="false">IF($A78="","",IF(BP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none</v>
      </c>
      <c r="BS78" s="0" t="s">
        <v>380</v>
      </c>
      <c r="BW78" s="0" t="s">
        <v>387</v>
      </c>
      <c r="BX78" s="0" t="s">
        <v>388</v>
      </c>
      <c r="BY78" s="0" t="s">
        <v>7644</v>
      </c>
      <c r="BZ78" s="0" t="s">
        <v>5601</v>
      </c>
      <c r="CJ78" s="0" t="s">
        <v>7088</v>
      </c>
      <c r="CK78" s="0" t="s">
        <v>200</v>
      </c>
      <c r="CM78" s="0" t="s">
        <v>201</v>
      </c>
      <c r="CN78" s="0" t="s">
        <v>5607</v>
      </c>
      <c r="CO78" s="0" t="s">
        <v>7642</v>
      </c>
      <c r="CP78" s="0" t="s">
        <v>5608</v>
      </c>
      <c r="CQ78" s="0" t="s">
        <v>5609</v>
      </c>
      <c r="CR78" s="0" t="s">
        <v>209</v>
      </c>
      <c r="CT78" s="0" t="s">
        <v>164</v>
      </c>
      <c r="CU78" s="0" t="s">
        <v>7645</v>
      </c>
      <c r="CV78" s="0" t="s">
        <v>164</v>
      </c>
      <c r="CW78" s="0" t="s">
        <v>164</v>
      </c>
      <c r="CX78" s="0" t="s">
        <v>209</v>
      </c>
      <c r="CZ78" s="0" t="s">
        <v>5993</v>
      </c>
      <c r="DA78" s="0" t="s">
        <v>189</v>
      </c>
      <c r="DB78" s="0" t="s">
        <v>189</v>
      </c>
      <c r="DE78" s="0" t="s">
        <v>189</v>
      </c>
      <c r="DF78" s="0" t="n">
        <v>0</v>
      </c>
      <c r="DI78" s="0" t="s">
        <v>209</v>
      </c>
      <c r="DK78" s="0" t="s">
        <v>5689</v>
      </c>
      <c r="DL78" s="0" t="n">
        <v>4</v>
      </c>
      <c r="DN78" s="0" t="n">
        <v>45</v>
      </c>
      <c r="DO78" s="0" t="n">
        <v>6</v>
      </c>
      <c r="DP78" s="0" t="n">
        <v>20</v>
      </c>
      <c r="DQ78" s="0" t="n">
        <v>8</v>
      </c>
      <c r="DR78" s="0" t="n">
        <v>5</v>
      </c>
      <c r="DS78" s="0" t="n">
        <v>10</v>
      </c>
      <c r="DT78" s="0" t="n">
        <v>0</v>
      </c>
      <c r="DU78" s="0" t="n">
        <f aca="false">IF($A78="","",IF(R78="Y",10,0))</f>
        <v>0</v>
      </c>
      <c r="DV78" s="0" t="n">
        <v>-4</v>
      </c>
      <c r="DW78" s="0" t="s">
        <v>7646</v>
      </c>
      <c r="DX78" s="0" t="s">
        <v>5998</v>
      </c>
      <c r="DY78" s="0" t="s">
        <v>7647</v>
      </c>
      <c r="DZ78" s="0" t="s">
        <v>7648</v>
      </c>
      <c r="EV78" s="0" t="str">
        <f aca="false">IF($A78="","",IF(ISNUMBER(MATCH(U78,{"queued","contacted","replied","call_booked","call_done","yes_in_principle","materials_sent"},0)),"Y","N"))</f>
        <v>N</v>
      </c>
      <c r="EW78" s="0" t="str">
        <f aca="false">IF($A78="","",IF(OR(T78="Y",U78="do_not_contact",AQ78&amp;""&lt;&gt;""),"Y","N"))</f>
        <v>N</v>
      </c>
      <c r="EX78" s="0" t="str">
        <f aca="false">IF($A78="","",IF(AN78&amp;""&lt;&gt;"",AN78&amp;"",$A78))</f>
        <v>AB-280</v>
      </c>
      <c r="EY78" s="0" t="str">
        <f aca="false">IF($A78="","",IF(COUNTIFS($EX$2:$EX$1000,EX78,$EV$2:$EV$1000,"Y")+COUNTIFS($EX$2:$EX$1000,EX78,$EW$2:$EW$1000,"Y")&gt;0,"Y","N"))</f>
        <v>N</v>
      </c>
      <c r="EZ78" s="0" t="str">
        <f aca="false">IF($A78="","",IF(AND(U78="new",T78="N",EW78="N",AR78="Y",EY78="N"),"Y","N"))</f>
        <v>N</v>
      </c>
      <c r="FA78" s="0" t="str">
        <f aca="false">IF($A78="","",IF(EZ78&lt;&gt;"Y","N",IF(COUNTIFS($EX$2:$EX$1000,EX78,$EZ$2:$EZ$1000,"Y",$J$2:$J$1000,"&gt;"&amp;J78)+COUNTIFS($EX$2:$EX$1000,EX78,$EZ$2:$EZ$1000,"Y",$J$2:$J$1000,J78,$FG$2:$FG$1000,"&lt;"&amp;FG78)=0,"Y","N")))</f>
        <v>N</v>
      </c>
      <c r="FB78" s="0" t="str">
        <f aca="false">IF($A78="","",IF(AND(EZ78="Y",FA78="Y",Y78&amp;""&lt;&gt;""),IF(Y78&lt;=10,"Y","N"),"N"))</f>
        <v>N</v>
      </c>
      <c r="FC78" s="0" t="str">
        <f aca="false">IF(FB78="Y",Y78,"")</f>
        <v/>
      </c>
      <c r="FD78" s="0" t="str">
        <f aca="false">IF($A78="","",IF(AND(CK78="pass",AU78="Y",AV78&lt;&gt;"Y",U78="new",EW78="N"),"Y","N"))</f>
        <v>N</v>
      </c>
      <c r="FE78" s="0" t="str">
        <f aca="false">IF(FD78&lt;&gt;"Y","",IF(COUNTIFS($FD$2:$FD$1000,"Y",$J$2:$J$1000,"&gt;"&amp;J78)+COUNTIFS($FD$2:$FD$1000,"Y",$J$2:$J$1000,J78,$FG$2:$FG$1000,"&lt;"&amp;FG78)+1&lt;=30,COUNTIFS($FD$2:$FD$1000,"Y",$J$2:$J$1000,"&gt;"&amp;J78)+COUNTIFS($FD$2:$FD$1000,"Y",$J$2:$J$1000,J78,$FG$2:$FG$1000,"&lt;"&amp;FG78)+1,""))</f>
        <v/>
      </c>
      <c r="FF78" s="0" t="str">
        <f aca="false">IF(AND(_xlfn.ISFORMULA(C78),_xlfn.ISFORMULA(J78)),"Y","N")</f>
        <v>Y</v>
      </c>
      <c r="FG78" s="0" t="n">
        <f aca="false">ROW()-1</f>
        <v>77</v>
      </c>
    </row>
    <row r="79" customFormat="false" ht="15" hidden="false" customHeight="false" outlineLevel="0" collapsed="false">
      <c r="A79" s="0" t="s">
        <v>7649</v>
      </c>
      <c r="B79" s="0" t="s">
        <v>7650</v>
      </c>
      <c r="C79" s="0" t="str">
        <f aca="false">IF($A79="","",IF(AT79="Y",BL79&amp;"",AY79&amp;""))</f>
        <v>Maiko</v>
      </c>
      <c r="D79" s="0" t="str">
        <f aca="false">IF($A79="","",IF(AT79="Y",BM79&amp;"",AZ79&amp;""))</f>
        <v>Kyogoku</v>
      </c>
      <c r="E79" s="0" t="str">
        <f aca="false">IF($A79="","",IF(AT79="Y",BN79&amp;"",BA79&amp;""))</f>
        <v>Founder</v>
      </c>
      <c r="F79" s="0" t="str">
        <f aca="false">IF($A79="","",IF(AT79="Y",BO79&amp;"",BB79&amp;""))</f>
        <v/>
      </c>
      <c r="G79" s="0" t="str">
        <f aca="false">IF($A79="","",IF(AT79="Y",BP79&amp;"",BC79&amp;""))</f>
        <v/>
      </c>
      <c r="H79" s="0" t="str">
        <f aca="false">IF($A79="","",IF(AT79="Y",BQ79&amp;"",BD79&amp;""))</f>
        <v>none</v>
      </c>
      <c r="I79" s="0" t="str">
        <f aca="false">IF($A79="","",IF(R79="Y","warm-intro",IF(H79="verified","email",IF(C79&lt;&gt;"","linkedin",CA79&amp;""))))</f>
        <v>linkedin</v>
      </c>
      <c r="J79" s="0" t="n">
        <f aca="false">IF($A79="","",IF(CK79="pass",ROUND(N(DO79)+N(DP79)+N(DQ79)+N(DR79)+N(DS79)+N(DT79)+N(DU79)+N(DV79),0),0))</f>
        <v>44</v>
      </c>
      <c r="K79" s="0" t="str">
        <f aca="false">IF($A79="","",IF(CK79&lt;&gt;"pass",BY79&amp;"",BY79&amp;", "&amp;IF(AT79="Y",BX79&amp;"",BK79&amp;"")&amp;BZ79&amp;IF(R79="Y","; known to the founder (+10)","")&amp;"."))</f>
        <v>New York City brand, brand locator shows Rose Bakery (Dover Street Market) 0.8 blocks outside it, no dated why-now in the last 12 months, revenue unknown, contact named; founder review: not-emerging.</v>
      </c>
      <c r="M79" s="0" t="s">
        <v>7651</v>
      </c>
      <c r="N79" s="0" t="s">
        <v>5915</v>
      </c>
      <c r="R79" s="5" t="s">
        <v>189</v>
      </c>
      <c r="S79" s="0" t="s">
        <v>209</v>
      </c>
      <c r="T79" s="5" t="s">
        <v>189</v>
      </c>
      <c r="U79" s="5" t="s">
        <v>3896</v>
      </c>
      <c r="V79" s="0" t="s">
        <v>7652</v>
      </c>
      <c r="W79" s="0" t="s">
        <v>263</v>
      </c>
      <c r="X79" s="0" t="s">
        <v>5578</v>
      </c>
      <c r="Y79" s="0" t="str">
        <f aca="false">IF(FA79&lt;&gt;"Y","",COUNTIFS($FA$2:$FA$1000,"Y",$J$2:$J$1000,"&gt;"&amp;J79)+COUNTIFS($FA$2:$FA$1000,"Y",$J$2:$J$1000,J79,$FG$2:$FG$1000,"&lt;"&amp;FG79)+1)</f>
        <v/>
      </c>
      <c r="Z79" s="0" t="n">
        <v>78</v>
      </c>
      <c r="AA79" s="0" t="s">
        <v>189</v>
      </c>
      <c r="AB79" s="0" t="str">
        <f aca="false">IF($A79="","",IF(AT79="Y",BW79&amp;"",BJ79&amp;""))</f>
        <v>find Maiko Kyogoku at Bessou on LinkedIn and paste the profile URL into primary_linkedin_url; the retailer line rests on the brand's own store locator: say 'your store locator lists ...'</v>
      </c>
      <c r="AC79" s="0" t="str">
        <f aca="false">IF($A79="","",IF(AT79="Y",BR79&amp;"",BE79&amp;""))</f>
        <v>founder</v>
      </c>
      <c r="AD79" s="0" t="str">
        <f aca="false">IF($A79="","",IF(AT79="Y",BS79&amp;"",BF79&amp;""))</f>
        <v>verified-page</v>
      </c>
      <c r="AE79" s="0" t="str">
        <f aca="false">IF($A79="","",IF(AT79="Y",BT79&amp;"",BG79&amp;""))</f>
        <v>employer's own site</v>
      </c>
      <c r="AF79" s="0" t="str">
        <f aca="false">IF($A79="","",IF(AT79="Y",BU79&amp;"",BH79&amp;""))</f>
        <v>https://bessou.nyc/pages/meet-the-team</v>
      </c>
      <c r="AG79" s="0" t="str">
        <f aca="false">IF($A79="","",IF(AT79="Y",BV79&amp;"",BI79&amp;""))</f>
        <v>2026-10-23</v>
      </c>
      <c r="AH79" s="0" t="s">
        <v>7653</v>
      </c>
      <c r="AI79" s="0" t="s">
        <v>5921</v>
      </c>
      <c r="AJ79" s="0" t="s">
        <v>7654</v>
      </c>
      <c r="AK79" s="0" t="s">
        <v>7655</v>
      </c>
      <c r="AL79" s="0" t="s">
        <v>164</v>
      </c>
      <c r="AM79" s="0" t="s">
        <v>7656</v>
      </c>
      <c r="AN79" s="0" t="s">
        <v>7649</v>
      </c>
      <c r="AO79" s="5" t="s">
        <v>189</v>
      </c>
      <c r="AR79" s="0" t="str">
        <f aca="false">IF($A79="","",IF(AND(CK79="pass",AO79&lt;&gt;"Y",C79&lt;&gt;"",OR(AU79&lt;&gt;"Y",AV79="Y")),"Y","N"))</f>
        <v>N</v>
      </c>
      <c r="AS79" s="0" t="str">
        <f aca="false">IF($A79="","",_xlfn.TEXTJOIN("; ",TRUE(),IF(CK79&lt;&gt;"pass","gated out",""),IF(AO79="Y","on hold: "&amp;AP79,""),IF(C79="","no contact named on an opened page",""),IF(AND(AU79="Y",AV79&lt;&gt;"Y"),"founder review pending (Founder review tab)","")))</f>
        <v>founder review pending (Founder review tab)</v>
      </c>
      <c r="AU79" s="0" t="s">
        <v>164</v>
      </c>
      <c r="AY79" s="0" t="s">
        <v>7657</v>
      </c>
      <c r="AZ79" s="0" t="s">
        <v>7658</v>
      </c>
      <c r="BA79" s="0" t="s">
        <v>5739</v>
      </c>
      <c r="BC79" s="0" t="str">
        <f aca="false">IF($A79="","",IFERROR(INDEX(Enrichment!$A$2:$GZ$2000,MATCH($A79,INDEX(Enrichment!$A$2:$GZ$2000,0,MATCH("row_id",Enrichment!$A$1:$GZ$1,0)),0),MATCH("work_email",Enrichment!$A$1:$GZ$1,0))&amp;"",""))</f>
        <v/>
      </c>
      <c r="BD79" s="0" t="str">
        <f aca="false">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none</v>
      </c>
      <c r="BE79" s="0" t="s">
        <v>5589</v>
      </c>
      <c r="BF79" s="0" t="s">
        <v>169</v>
      </c>
      <c r="BG79" s="0" t="s">
        <v>170</v>
      </c>
      <c r="BH79" s="0" t="s">
        <v>7659</v>
      </c>
      <c r="BI79" s="0" t="s">
        <v>263</v>
      </c>
      <c r="BJ79" s="0" t="s">
        <v>7660</v>
      </c>
      <c r="BK79" s="0" t="s">
        <v>5643</v>
      </c>
      <c r="BP79" s="0" t="str">
        <f aca="false">IF($A79="","",IFERROR(INDEX(Enrichment!$A$2:$GZ$2000,MATCH($A79,INDEX(Enrichment!$A$2:$GZ$2000,0,MATCH("row_id",Enrichment!$A$1:$GZ$1,0)),0),MATCH("backup_work_email",Enrichment!$A$1:$GZ$1,0))&amp;"",""))</f>
        <v/>
      </c>
      <c r="BQ79" s="0" t="str">
        <f aca="false">IF($A79="","",IF(BP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none</v>
      </c>
      <c r="BS79" s="0" t="s">
        <v>380</v>
      </c>
      <c r="BW79" s="0" t="s">
        <v>5929</v>
      </c>
      <c r="BX79" s="0" t="s">
        <v>388</v>
      </c>
      <c r="BY79" s="0" t="s">
        <v>7661</v>
      </c>
      <c r="BZ79" s="0" t="s">
        <v>6822</v>
      </c>
      <c r="CB79" s="0" t="s">
        <v>7662</v>
      </c>
      <c r="CJ79" s="0" t="s">
        <v>7088</v>
      </c>
      <c r="CK79" s="0" t="s">
        <v>200</v>
      </c>
      <c r="CM79" s="0" t="s">
        <v>201</v>
      </c>
      <c r="CN79" s="0" t="s">
        <v>6827</v>
      </c>
      <c r="CO79" s="0" t="s">
        <v>7655</v>
      </c>
      <c r="CP79" s="0" t="s">
        <v>5608</v>
      </c>
      <c r="CQ79" s="0" t="s">
        <v>5609</v>
      </c>
      <c r="CR79" s="0" t="s">
        <v>209</v>
      </c>
      <c r="CT79" s="0" t="s">
        <v>164</v>
      </c>
      <c r="CU79" s="0" t="s">
        <v>7663</v>
      </c>
      <c r="CV79" s="0" t="s">
        <v>164</v>
      </c>
      <c r="CW79" s="0" t="s">
        <v>164</v>
      </c>
      <c r="CX79" s="0" t="s">
        <v>209</v>
      </c>
      <c r="CZ79" s="0" t="s">
        <v>209</v>
      </c>
      <c r="DA79" s="0" t="s">
        <v>189</v>
      </c>
      <c r="DB79" s="0" t="s">
        <v>189</v>
      </c>
      <c r="DD79" s="0" t="n">
        <v>0.8</v>
      </c>
      <c r="DE79" s="0" t="s">
        <v>189</v>
      </c>
      <c r="DF79" s="0" t="n">
        <v>2</v>
      </c>
      <c r="DG79" s="0" t="s">
        <v>7664</v>
      </c>
      <c r="DI79" s="0" t="s">
        <v>7665</v>
      </c>
      <c r="DJ79" s="0" t="s">
        <v>7666</v>
      </c>
      <c r="DK79" s="0" t="s">
        <v>380</v>
      </c>
      <c r="DN79" s="0" t="n">
        <v>44</v>
      </c>
      <c r="DO79" s="0" t="n">
        <v>13</v>
      </c>
      <c r="DP79" s="0" t="n">
        <v>20</v>
      </c>
      <c r="DQ79" s="0" t="n">
        <v>0</v>
      </c>
      <c r="DR79" s="0" t="n">
        <v>5</v>
      </c>
      <c r="DS79" s="0" t="n">
        <v>10</v>
      </c>
      <c r="DT79" s="0" t="n">
        <v>6</v>
      </c>
      <c r="DU79" s="0" t="n">
        <f aca="false">IF($A79="","",IF(R79="Y",10,0))</f>
        <v>0</v>
      </c>
      <c r="DV79" s="0" t="n">
        <v>-10</v>
      </c>
      <c r="DX79" s="0" t="s">
        <v>5619</v>
      </c>
      <c r="DY79" s="0" t="s">
        <v>7667</v>
      </c>
      <c r="DZ79" s="0" t="s">
        <v>7668</v>
      </c>
      <c r="EA79" s="0" t="s">
        <v>7669</v>
      </c>
      <c r="EV79" s="0" t="str">
        <f aca="false">IF($A79="","",IF(ISNUMBER(MATCH(U79,{"queued","contacted","replied","call_booked","call_done","yes_in_principle","materials_sent"},0)),"Y","N"))</f>
        <v>N</v>
      </c>
      <c r="EW79" s="0" t="str">
        <f aca="false">IF($A79="","",IF(OR(T79="Y",U79="do_not_contact",AQ79&amp;""&lt;&gt;""),"Y","N"))</f>
        <v>N</v>
      </c>
      <c r="EX79" s="0" t="str">
        <f aca="false">IF($A79="","",IF(AN79&amp;""&lt;&gt;"",AN79&amp;"",$A79))</f>
        <v>AB-240</v>
      </c>
      <c r="EY79" s="0" t="str">
        <f aca="false">IF($A79="","",IF(COUNTIFS($EX$2:$EX$1000,EX79,$EV$2:$EV$1000,"Y")+COUNTIFS($EX$2:$EX$1000,EX79,$EW$2:$EW$1000,"Y")&gt;0,"Y","N"))</f>
        <v>N</v>
      </c>
      <c r="EZ79" s="0" t="str">
        <f aca="false">IF($A79="","",IF(AND(U79="new",T79="N",EW79="N",AR79="Y",EY79="N"),"Y","N"))</f>
        <v>N</v>
      </c>
      <c r="FA79" s="0" t="str">
        <f aca="false">IF($A79="","",IF(EZ79&lt;&gt;"Y","N",IF(COUNTIFS($EX$2:$EX$1000,EX79,$EZ$2:$EZ$1000,"Y",$J$2:$J$1000,"&gt;"&amp;J79)+COUNTIFS($EX$2:$EX$1000,EX79,$EZ$2:$EZ$1000,"Y",$J$2:$J$1000,J79,$FG$2:$FG$1000,"&lt;"&amp;FG79)=0,"Y","N")))</f>
        <v>N</v>
      </c>
      <c r="FB79" s="0" t="str">
        <f aca="false">IF($A79="","",IF(AND(EZ79="Y",FA79="Y",Y79&amp;""&lt;&gt;""),IF(Y79&lt;=10,"Y","N"),"N"))</f>
        <v>N</v>
      </c>
      <c r="FC79" s="0" t="str">
        <f aca="false">IF(FB79="Y",Y79,"")</f>
        <v/>
      </c>
      <c r="FD79" s="0" t="str">
        <f aca="false">IF($A79="","",IF(AND(CK79="pass",AU79="Y",AV79&lt;&gt;"Y",U79="new",EW79="N"),"Y","N"))</f>
        <v>Y</v>
      </c>
      <c r="FE79" s="0" t="str">
        <f aca="false">IF(FD79&lt;&gt;"Y","",IF(COUNTIFS($FD$2:$FD$1000,"Y",$J$2:$J$1000,"&gt;"&amp;J79)+COUNTIFS($FD$2:$FD$1000,"Y",$J$2:$J$1000,J79,$FG$2:$FG$1000,"&lt;"&amp;FG79)+1&lt;=30,COUNTIFS($FD$2:$FD$1000,"Y",$J$2:$J$1000,"&gt;"&amp;J79)+COUNTIFS($FD$2:$FD$1000,"Y",$J$2:$J$1000,J79,$FG$2:$FG$1000,"&lt;"&amp;FG79)+1,""))</f>
        <v/>
      </c>
      <c r="FF79" s="0" t="str">
        <f aca="false">IF(AND(_xlfn.ISFORMULA(C79),_xlfn.ISFORMULA(J79)),"Y","N")</f>
        <v>Y</v>
      </c>
      <c r="FG79" s="0" t="n">
        <f aca="false">ROW()-1</f>
        <v>78</v>
      </c>
    </row>
    <row r="80" customFormat="false" ht="15" hidden="false" customHeight="false" outlineLevel="0" collapsed="false">
      <c r="A80" s="0" t="s">
        <v>7670</v>
      </c>
      <c r="B80" s="0" t="s">
        <v>7671</v>
      </c>
      <c r="C80" s="0" t="str">
        <f aca="false">IF($A80="","",IF(AT80="Y",BL80&amp;"",AY80&amp;""))</f>
        <v>Sarah</v>
      </c>
      <c r="D80" s="0" t="str">
        <f aca="false">IF($A80="","",IF(AT80="Y",BM80&amp;"",AZ80&amp;""))</f>
        <v>Tamm</v>
      </c>
      <c r="E80" s="0" t="str">
        <f aca="false">IF($A80="","",IF(AT80="Y",BN80&amp;"",BA80&amp;""))</f>
        <v>Founder</v>
      </c>
      <c r="F80" s="0" t="str">
        <f aca="false">IF($A80="","",IF(AT80="Y",BO80&amp;"",BB80&amp;""))</f>
        <v/>
      </c>
      <c r="G80" s="0" t="str">
        <f aca="false">IF($A80="","",IF(AT80="Y",BP80&amp;"",BC80&amp;""))</f>
        <v/>
      </c>
      <c r="H80" s="0" t="str">
        <f aca="false">IF($A80="","",IF(AT80="Y",BQ80&amp;"",BD80&amp;""))</f>
        <v>none</v>
      </c>
      <c r="I80" s="0" t="str">
        <f aca="false">IF($A80="","",IF(R80="Y","warm-intro",IF(H80="verified","email",IF(C80&lt;&gt;"","linkedin",CA80&amp;""))))</f>
        <v>linkedin</v>
      </c>
      <c r="J80" s="0" t="n">
        <f aca="false">IF($A80="","",IF(CK80="pass",ROUND(N(DO80)+N(DP80)+N(DQ80)+N(DR80)+N(DS80)+N(DT80)+N(DU80)+N(DV80),0),0))</f>
        <v>44</v>
      </c>
      <c r="K80" s="0" t="str">
        <f aca="false">IF($A80="","",IF(CK80&lt;&gt;"pass",BY80&amp;"",BY80&amp;", "&amp;IF(AT80="Y",BX80&amp;"",BK80&amp;"")&amp;BZ80&amp;IF(R80="Y","; known to the founder (+10)","")&amp;"."))</f>
        <v>Northeast brand, no graded store within ten blocks, online store only, news 118 days ago, revenue unknown, contact named; founder review: format.</v>
      </c>
      <c r="M80" s="0" t="s">
        <v>6144</v>
      </c>
      <c r="N80" s="0" t="s">
        <v>740</v>
      </c>
      <c r="O80" s="0" t="s">
        <v>7672</v>
      </c>
      <c r="P80" s="0" t="s">
        <v>7673</v>
      </c>
      <c r="Q80" s="0" t="s">
        <v>5980</v>
      </c>
      <c r="R80" s="5" t="s">
        <v>189</v>
      </c>
      <c r="S80" s="0" t="s">
        <v>209</v>
      </c>
      <c r="T80" s="5" t="s">
        <v>189</v>
      </c>
      <c r="U80" s="5" t="s">
        <v>3896</v>
      </c>
      <c r="V80" s="0" t="s">
        <v>7673</v>
      </c>
      <c r="W80" s="0" t="s">
        <v>172</v>
      </c>
      <c r="X80" s="0" t="s">
        <v>5578</v>
      </c>
      <c r="Y80" s="0" t="str">
        <f aca="false">IF(FA80&lt;&gt;"Y","",COUNTIFS($FA$2:$FA$1000,"Y",$J$2:$J$1000,"&gt;"&amp;J80)+COUNTIFS($FA$2:$FA$1000,"Y",$J$2:$J$1000,J80,$FG$2:$FG$1000,"&lt;"&amp;FG80)+1)</f>
        <v/>
      </c>
      <c r="Z80" s="0" t="n">
        <v>79</v>
      </c>
      <c r="AA80" s="0" t="s">
        <v>189</v>
      </c>
      <c r="AB80" s="0" t="str">
        <f aca="false">IF($A80="","",IF(AT80="Y",BW80&amp;"",BJ80&amp;""))</f>
        <v>find Sarah Tamm at Ivy's Gourmet on LinkedIn and paste the profile URL into primary_linkedin_url</v>
      </c>
      <c r="AC80" s="0" t="str">
        <f aca="false">IF($A80="","",IF(AT80="Y",BR80&amp;"",BE80&amp;""))</f>
        <v>founder</v>
      </c>
      <c r="AD80" s="0" t="str">
        <f aca="false">IF($A80="","",IF(AT80="Y",BS80&amp;"",BF80&amp;""))</f>
        <v>verified-page</v>
      </c>
      <c r="AE80" s="0" t="str">
        <f aca="false">IF($A80="","",IF(AT80="Y",BT80&amp;"",BG80&amp;""))</f>
        <v>press, event or podcast page</v>
      </c>
      <c r="AF80" s="0" t="str">
        <f aca="false">IF($A80="","",IF(AT80="Y",BU80&amp;"",BH80&amp;""))</f>
        <v>https://events.specialtyfood.com/event/2026-summer-fancy-food-show/exhibitor/RXhoaWJpdG9yXzIzMzA2ODA=</v>
      </c>
      <c r="AG80" s="0" t="str">
        <f aca="false">IF($A80="","",IF(AT80="Y",BV80&amp;"",BI80&amp;""))</f>
        <v>2026-10-24</v>
      </c>
      <c r="AH80" s="0" t="s">
        <v>7674</v>
      </c>
      <c r="AI80" s="0" t="s">
        <v>6042</v>
      </c>
      <c r="AJ80" s="0" t="s">
        <v>4451</v>
      </c>
      <c r="AK80" s="0" t="s">
        <v>7675</v>
      </c>
      <c r="AL80" s="0" t="s">
        <v>164</v>
      </c>
      <c r="AM80" s="0" t="s">
        <v>7676</v>
      </c>
      <c r="AN80" s="0" t="s">
        <v>7670</v>
      </c>
      <c r="AO80" s="5" t="s">
        <v>189</v>
      </c>
      <c r="AR80" s="0" t="str">
        <f aca="false">IF($A80="","",IF(AND(CK80="pass",AO80&lt;&gt;"Y",C80&lt;&gt;"",OR(AU80&lt;&gt;"Y",AV80="Y")),"Y","N"))</f>
        <v>N</v>
      </c>
      <c r="AS80" s="0" t="str">
        <f aca="false">IF($A80="","",_xlfn.TEXTJOIN("; ",TRUE(),IF(CK80&lt;&gt;"pass","gated out",""),IF(AO80="Y","on hold: "&amp;AP80,""),IF(C80="","no contact named on an opened page",""),IF(AND(AU80="Y",AV80&lt;&gt;"Y"),"founder review pending (Founder review tab)","")))</f>
        <v>founder review pending (Founder review tab)</v>
      </c>
      <c r="AU80" s="0" t="s">
        <v>164</v>
      </c>
      <c r="AY80" s="0" t="s">
        <v>7252</v>
      </c>
      <c r="AZ80" s="0" t="s">
        <v>7677</v>
      </c>
      <c r="BA80" s="0" t="s">
        <v>5739</v>
      </c>
      <c r="BC80" s="0" t="str">
        <f aca="false">IF($A80="","",IFERROR(INDEX(Enrichment!$A$2:$GZ$2000,MATCH($A80,INDEX(Enrichment!$A$2:$GZ$2000,0,MATCH("row_id",Enrichment!$A$1:$GZ$1,0)),0),MATCH("work_email",Enrichment!$A$1:$GZ$1,0))&amp;"",""))</f>
        <v/>
      </c>
      <c r="BD80" s="0" t="str">
        <f aca="false">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none</v>
      </c>
      <c r="BE80" s="0" t="s">
        <v>5589</v>
      </c>
      <c r="BF80" s="0" t="s">
        <v>169</v>
      </c>
      <c r="BG80" s="0" t="s">
        <v>1252</v>
      </c>
      <c r="BH80" s="0" t="s">
        <v>7673</v>
      </c>
      <c r="BI80" s="0" t="s">
        <v>172</v>
      </c>
      <c r="BJ80" s="0" t="s">
        <v>7678</v>
      </c>
      <c r="BK80" s="0" t="s">
        <v>5643</v>
      </c>
      <c r="BP80" s="0" t="str">
        <f aca="false">IF($A80="","",IFERROR(INDEX(Enrichment!$A$2:$GZ$2000,MATCH($A80,INDEX(Enrichment!$A$2:$GZ$2000,0,MATCH("row_id",Enrichment!$A$1:$GZ$1,0)),0),MATCH("backup_work_email",Enrichment!$A$1:$GZ$1,0))&amp;"",""))</f>
        <v/>
      </c>
      <c r="BQ80" s="0" t="str">
        <f aca="false">IF($A80="","",IF(BP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none</v>
      </c>
      <c r="BS80" s="0" t="s">
        <v>380</v>
      </c>
      <c r="BW80" s="0" t="s">
        <v>387</v>
      </c>
      <c r="BX80" s="0" t="s">
        <v>388</v>
      </c>
      <c r="BY80" s="0" t="s">
        <v>7679</v>
      </c>
      <c r="BZ80" s="0" t="s">
        <v>5802</v>
      </c>
      <c r="CB80" s="0" t="s">
        <v>7680</v>
      </c>
      <c r="CJ80" s="0" t="s">
        <v>7088</v>
      </c>
      <c r="CK80" s="0" t="s">
        <v>200</v>
      </c>
      <c r="CM80" s="0" t="s">
        <v>201</v>
      </c>
      <c r="CN80" s="0" t="s">
        <v>5808</v>
      </c>
      <c r="CO80" s="0" t="s">
        <v>7675</v>
      </c>
      <c r="CP80" s="0" t="s">
        <v>7450</v>
      </c>
      <c r="CQ80" s="0" t="s">
        <v>6084</v>
      </c>
      <c r="CR80" s="0" t="s">
        <v>209</v>
      </c>
      <c r="CT80" s="0" t="s">
        <v>164</v>
      </c>
      <c r="CU80" s="0" t="s">
        <v>7681</v>
      </c>
      <c r="CV80" s="0" t="s">
        <v>209</v>
      </c>
      <c r="CW80" s="0" t="s">
        <v>164</v>
      </c>
      <c r="CX80" s="0" t="s">
        <v>209</v>
      </c>
      <c r="CZ80" s="0" t="s">
        <v>5993</v>
      </c>
      <c r="DA80" s="0" t="s">
        <v>189</v>
      </c>
      <c r="DB80" s="0" t="s">
        <v>189</v>
      </c>
      <c r="DE80" s="0" t="s">
        <v>189</v>
      </c>
      <c r="DF80" s="0" t="n">
        <v>0</v>
      </c>
      <c r="DI80" s="0" t="s">
        <v>7682</v>
      </c>
      <c r="DK80" s="0" t="s">
        <v>5617</v>
      </c>
      <c r="DL80" s="0" t="n">
        <v>118</v>
      </c>
      <c r="DN80" s="0" t="n">
        <v>44</v>
      </c>
      <c r="DO80" s="0" t="n">
        <v>6</v>
      </c>
      <c r="DP80" s="0" t="n">
        <v>8</v>
      </c>
      <c r="DQ80" s="0" t="n">
        <v>15</v>
      </c>
      <c r="DR80" s="0" t="n">
        <v>5</v>
      </c>
      <c r="DS80" s="0" t="n">
        <v>8</v>
      </c>
      <c r="DT80" s="0" t="n">
        <v>6</v>
      </c>
      <c r="DU80" s="0" t="n">
        <f aca="false">IF($A80="","",IF(R80="Y",10,0))</f>
        <v>0</v>
      </c>
      <c r="DV80" s="0" t="n">
        <v>-4</v>
      </c>
      <c r="DX80" s="0" t="s">
        <v>5998</v>
      </c>
      <c r="DY80" s="0" t="s">
        <v>7683</v>
      </c>
      <c r="DZ80" s="0" t="s">
        <v>7684</v>
      </c>
      <c r="EV80" s="0" t="str">
        <f aca="false">IF($A80="","",IF(ISNUMBER(MATCH(U80,{"queued","contacted","replied","call_booked","call_done","yes_in_principle","materials_sent"},0)),"Y","N"))</f>
        <v>N</v>
      </c>
      <c r="EW80" s="0" t="str">
        <f aca="false">IF($A80="","",IF(OR(T80="Y",U80="do_not_contact",AQ80&amp;""&lt;&gt;""),"Y","N"))</f>
        <v>N</v>
      </c>
      <c r="EX80" s="0" t="str">
        <f aca="false">IF($A80="","",IF(AN80&amp;""&lt;&gt;"",AN80&amp;"",$A80))</f>
        <v>AB-293</v>
      </c>
      <c r="EY80" s="0" t="str">
        <f aca="false">IF($A80="","",IF(COUNTIFS($EX$2:$EX$1000,EX80,$EV$2:$EV$1000,"Y")+COUNTIFS($EX$2:$EX$1000,EX80,$EW$2:$EW$1000,"Y")&gt;0,"Y","N"))</f>
        <v>N</v>
      </c>
      <c r="EZ80" s="0" t="str">
        <f aca="false">IF($A80="","",IF(AND(U80="new",T80="N",EW80="N",AR80="Y",EY80="N"),"Y","N"))</f>
        <v>N</v>
      </c>
      <c r="FA80" s="0" t="str">
        <f aca="false">IF($A80="","",IF(EZ80&lt;&gt;"Y","N",IF(COUNTIFS($EX$2:$EX$1000,EX80,$EZ$2:$EZ$1000,"Y",$J$2:$J$1000,"&gt;"&amp;J80)+COUNTIFS($EX$2:$EX$1000,EX80,$EZ$2:$EZ$1000,"Y",$J$2:$J$1000,J80,$FG$2:$FG$1000,"&lt;"&amp;FG80)=0,"Y","N")))</f>
        <v>N</v>
      </c>
      <c r="FB80" s="0" t="str">
        <f aca="false">IF($A80="","",IF(AND(EZ80="Y",FA80="Y",Y80&amp;""&lt;&gt;""),IF(Y80&lt;=10,"Y","N"),"N"))</f>
        <v>N</v>
      </c>
      <c r="FC80" s="0" t="str">
        <f aca="false">IF(FB80="Y",Y80,"")</f>
        <v/>
      </c>
      <c r="FD80" s="0" t="str">
        <f aca="false">IF($A80="","",IF(AND(CK80="pass",AU80="Y",AV80&lt;&gt;"Y",U80="new",EW80="N"),"Y","N"))</f>
        <v>Y</v>
      </c>
      <c r="FE80" s="0" t="str">
        <f aca="false">IF(FD80&lt;&gt;"Y","",IF(COUNTIFS($FD$2:$FD$1000,"Y",$J$2:$J$1000,"&gt;"&amp;J80)+COUNTIFS($FD$2:$FD$1000,"Y",$J$2:$J$1000,J80,$FG$2:$FG$1000,"&lt;"&amp;FG80)+1&lt;=30,COUNTIFS($FD$2:$FD$1000,"Y",$J$2:$J$1000,"&gt;"&amp;J80)+COUNTIFS($FD$2:$FD$1000,"Y",$J$2:$J$1000,J80,$FG$2:$FG$1000,"&lt;"&amp;FG80)+1,""))</f>
        <v/>
      </c>
      <c r="FF80" s="0" t="str">
        <f aca="false">IF(AND(_xlfn.ISFORMULA(C80),_xlfn.ISFORMULA(J80)),"Y","N")</f>
        <v>Y</v>
      </c>
      <c r="FG80" s="0" t="n">
        <f aca="false">ROW()-1</f>
        <v>79</v>
      </c>
    </row>
    <row r="81" customFormat="false" ht="15" hidden="false" customHeight="false" outlineLevel="0" collapsed="false">
      <c r="A81" s="0" t="s">
        <v>7685</v>
      </c>
      <c r="B81" s="0" t="s">
        <v>7686</v>
      </c>
      <c r="C81" s="0" t="str">
        <f aca="false">IF($A81="","",IF(AT81="Y",BL81&amp;"",AY81&amp;""))</f>
        <v>Denise</v>
      </c>
      <c r="D81" s="0" t="str">
        <f aca="false">IF($A81="","",IF(AT81="Y",BM81&amp;"",AZ81&amp;""))</f>
        <v>Woodard</v>
      </c>
      <c r="E81" s="0" t="str">
        <f aca="false">IF($A81="","",IF(AT81="Y",BN81&amp;"",BA81&amp;""))</f>
        <v>Founder</v>
      </c>
      <c r="F81" s="0" t="str">
        <f aca="false">IF($A81="","",IF(AT81="Y",BO81&amp;"",BB81&amp;""))</f>
        <v>https://www.linkedin.com/in/denisegwoodard/</v>
      </c>
      <c r="G81" s="0" t="str">
        <f aca="false">IF($A81="","",IF(AT81="Y",BP81&amp;"",BC81&amp;""))</f>
        <v/>
      </c>
      <c r="H81" s="0" t="str">
        <f aca="false">IF($A81="","",IF(AT81="Y",BQ81&amp;"",BD81&amp;""))</f>
        <v>none</v>
      </c>
      <c r="I81" s="0" t="str">
        <f aca="false">IF($A81="","",IF(R81="Y","warm-intro",IF(H81="verified","email",IF(C81&lt;&gt;"","linkedin",CA81&amp;""))))</f>
        <v>linkedin</v>
      </c>
      <c r="J81" s="0" t="n">
        <f aca="false">IF($A81="","",IF(CK81="pass",ROUND(N(DO81)+N(DP81)+N(DQ81)+N(DR81)+N(DS81)+N(DT81)+N(DU81)+N(DV81),0),0))</f>
        <v>44</v>
      </c>
      <c r="K81" s="0" t="str">
        <f aca="false">IF($A81="","",IF(CK81&lt;&gt;"pass",BY81&amp;"",BY81&amp;", "&amp;IF(AT81="Y",BX81&amp;"",BK81&amp;"")&amp;BZ81&amp;IF(R81="Y","; known to the founder (+10)","")&amp;"."))</f>
        <v>New York State brand (HQ unverified), no graded store within ten blocks, online store only, news 46 days ago, revenue unknown, contact named; founder review: scale.</v>
      </c>
      <c r="M81" s="0" t="s">
        <v>6144</v>
      </c>
      <c r="N81" s="0" t="s">
        <v>740</v>
      </c>
      <c r="O81" s="0" t="s">
        <v>7687</v>
      </c>
      <c r="P81" s="0" t="s">
        <v>7688</v>
      </c>
      <c r="Q81" s="0" t="s">
        <v>1605</v>
      </c>
      <c r="R81" s="5" t="s">
        <v>189</v>
      </c>
      <c r="S81" s="0" t="s">
        <v>209</v>
      </c>
      <c r="T81" s="5" t="s">
        <v>189</v>
      </c>
      <c r="U81" s="5" t="s">
        <v>3896</v>
      </c>
      <c r="V81" s="0" t="s">
        <v>7689</v>
      </c>
      <c r="W81" s="0" t="s">
        <v>263</v>
      </c>
      <c r="X81" s="0" t="s">
        <v>5578</v>
      </c>
      <c r="Y81" s="0" t="str">
        <f aca="false">IF(FA81&lt;&gt;"Y","",COUNTIFS($FA$2:$FA$1000,"Y",$J$2:$J$1000,"&gt;"&amp;J81)+COUNTIFS($FA$2:$FA$1000,"Y",$J$2:$J$1000,J81,$FG$2:$FG$1000,"&lt;"&amp;FG81)+1)</f>
        <v/>
      </c>
      <c r="Z81" s="0" t="n">
        <v>80</v>
      </c>
      <c r="AA81" s="0" t="s">
        <v>189</v>
      </c>
      <c r="AB81" s="0" t="str">
        <f aca="false">IF($A81="","",IF(AT81="Y",BW81&amp;"",BJ81&amp;""))</f>
        <v>open the LinkedIn URL and confirm it is Denise Woodard, Founder at Partake Foods (found on another page, never opened)</v>
      </c>
      <c r="AC81" s="0" t="str">
        <f aca="false">IF($A81="","",IF(AT81="Y",BR81&amp;"",BE81&amp;""))</f>
        <v>founder</v>
      </c>
      <c r="AD81" s="0" t="str">
        <f aca="false">IF($A81="","",IF(AT81="Y",BS81&amp;"",BF81&amp;""))</f>
        <v>verified-page</v>
      </c>
      <c r="AE81" s="0" t="str">
        <f aca="false">IF($A81="","",IF(AT81="Y",BT81&amp;"",BG81&amp;""))</f>
        <v>employer's own site</v>
      </c>
      <c r="AF81" s="0" t="str">
        <f aca="false">IF($A81="","",IF(AT81="Y",BU81&amp;"",BH81&amp;""))</f>
        <v>https://partakefoods.com/pages/about</v>
      </c>
      <c r="AG81" s="0" t="str">
        <f aca="false">IF($A81="","",IF(AT81="Y",BV81&amp;"",BI81&amp;""))</f>
        <v>2026-10-23</v>
      </c>
      <c r="AH81" s="0" t="s">
        <v>7690</v>
      </c>
      <c r="AI81" s="0" t="s">
        <v>5702</v>
      </c>
      <c r="AJ81" s="0" t="s">
        <v>7691</v>
      </c>
      <c r="AK81" s="0" t="s">
        <v>7692</v>
      </c>
      <c r="AL81" s="0" t="s">
        <v>164</v>
      </c>
      <c r="AM81" s="0" t="s">
        <v>7693</v>
      </c>
      <c r="AN81" s="0" t="s">
        <v>7685</v>
      </c>
      <c r="AO81" s="5" t="s">
        <v>189</v>
      </c>
      <c r="AR81" s="0" t="str">
        <f aca="false">IF($A81="","",IF(AND(CK81="pass",AO81&lt;&gt;"Y",C81&lt;&gt;"",OR(AU81&lt;&gt;"Y",AV81="Y")),"Y","N"))</f>
        <v>N</v>
      </c>
      <c r="AS81" s="0" t="str">
        <f aca="false">IF($A81="","",_xlfn.TEXTJOIN("; ",TRUE(),IF(CK81&lt;&gt;"pass","gated out",""),IF(AO81="Y","on hold: "&amp;AP81,""),IF(C81="","no contact named on an opened page",""),IF(AND(AU81="Y",AV81&lt;&gt;"Y"),"founder review pending (Founder review tab)","")))</f>
        <v>founder review pending (Founder review tab)</v>
      </c>
      <c r="AU81" s="0" t="s">
        <v>164</v>
      </c>
      <c r="AY81" s="0" t="s">
        <v>7694</v>
      </c>
      <c r="AZ81" s="0" t="s">
        <v>7695</v>
      </c>
      <c r="BA81" s="0" t="s">
        <v>5739</v>
      </c>
      <c r="BB81" s="0" t="s">
        <v>7696</v>
      </c>
      <c r="BC81" s="0" t="str">
        <f aca="false">IF($A81="","",IFERROR(INDEX(Enrichment!$A$2:$GZ$2000,MATCH($A81,INDEX(Enrichment!$A$2:$GZ$2000,0,MATCH("row_id",Enrichment!$A$1:$GZ$1,0)),0),MATCH("work_email",Enrichment!$A$1:$GZ$1,0))&amp;"",""))</f>
        <v/>
      </c>
      <c r="BD81" s="0" t="str">
        <f aca="false">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none</v>
      </c>
      <c r="BE81" s="0" t="s">
        <v>5589</v>
      </c>
      <c r="BF81" s="0" t="s">
        <v>169</v>
      </c>
      <c r="BG81" s="0" t="s">
        <v>170</v>
      </c>
      <c r="BH81" s="0" t="s">
        <v>7689</v>
      </c>
      <c r="BI81" s="0" t="s">
        <v>263</v>
      </c>
      <c r="BJ81" s="0" t="s">
        <v>7697</v>
      </c>
      <c r="BK81" s="0" t="s">
        <v>5643</v>
      </c>
      <c r="BO81" s="0" t="s">
        <v>7698</v>
      </c>
      <c r="BP81" s="0" t="str">
        <f aca="false">IF($A81="","",IFERROR(INDEX(Enrichment!$A$2:$GZ$2000,MATCH($A81,INDEX(Enrichment!$A$2:$GZ$2000,0,MATCH("row_id",Enrichment!$A$1:$GZ$1,0)),0),MATCH("backup_work_email",Enrichment!$A$1:$GZ$1,0))&amp;"",""))</f>
        <v/>
      </c>
      <c r="BQ81" s="0" t="str">
        <f aca="false">IF($A81="","",IF(BP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none</v>
      </c>
      <c r="BR81" s="0" t="s">
        <v>7494</v>
      </c>
      <c r="BS81" s="0" t="s">
        <v>740</v>
      </c>
      <c r="BT81" s="0" t="s">
        <v>209</v>
      </c>
      <c r="BV81" s="0" t="s">
        <v>263</v>
      </c>
      <c r="BW81" s="0" t="s">
        <v>387</v>
      </c>
      <c r="BX81" s="0" t="s">
        <v>5834</v>
      </c>
      <c r="BY81" s="0" t="s">
        <v>7699</v>
      </c>
      <c r="BZ81" s="0" t="s">
        <v>6512</v>
      </c>
      <c r="CB81" s="0" t="s">
        <v>7700</v>
      </c>
      <c r="CE81" s="0" t="s">
        <v>7701</v>
      </c>
      <c r="CF81" s="0" t="s">
        <v>7702</v>
      </c>
      <c r="CH81" s="0" t="s">
        <v>7703</v>
      </c>
      <c r="CI81" s="0" t="s">
        <v>7701</v>
      </c>
      <c r="CJ81" s="0" t="s">
        <v>7088</v>
      </c>
      <c r="CK81" s="0" t="s">
        <v>200</v>
      </c>
      <c r="CM81" s="0" t="s">
        <v>201</v>
      </c>
      <c r="CN81" s="0" t="s">
        <v>6516</v>
      </c>
      <c r="CO81" s="0" t="s">
        <v>7692</v>
      </c>
      <c r="CP81" s="0" t="s">
        <v>7704</v>
      </c>
      <c r="CQ81" s="0" t="s">
        <v>7705</v>
      </c>
      <c r="CR81" s="0" t="s">
        <v>7706</v>
      </c>
      <c r="CS81" s="0" t="s">
        <v>7689</v>
      </c>
      <c r="CT81" s="0" t="s">
        <v>164</v>
      </c>
      <c r="CU81" s="0" t="s">
        <v>7707</v>
      </c>
      <c r="CV81" s="0" t="s">
        <v>164</v>
      </c>
      <c r="CW81" s="0" t="s">
        <v>164</v>
      </c>
      <c r="CX81" s="0" t="s">
        <v>209</v>
      </c>
      <c r="CZ81" s="0" t="s">
        <v>7708</v>
      </c>
      <c r="DA81" s="0" t="s">
        <v>189</v>
      </c>
      <c r="DB81" s="0" t="s">
        <v>189</v>
      </c>
      <c r="DE81" s="0" t="s">
        <v>189</v>
      </c>
      <c r="DF81" s="0" t="n">
        <v>0</v>
      </c>
      <c r="DI81" s="0" t="s">
        <v>7709</v>
      </c>
      <c r="DJ81" s="0" t="s">
        <v>7710</v>
      </c>
      <c r="DK81" s="0" t="s">
        <v>5617</v>
      </c>
      <c r="DL81" s="0" t="n">
        <v>46</v>
      </c>
      <c r="DN81" s="0" t="n">
        <v>44</v>
      </c>
      <c r="DO81" s="0" t="n">
        <v>6</v>
      </c>
      <c r="DP81" s="0" t="n">
        <v>10</v>
      </c>
      <c r="DQ81" s="0" t="n">
        <v>15</v>
      </c>
      <c r="DR81" s="0" t="n">
        <v>5</v>
      </c>
      <c r="DS81" s="0" t="n">
        <v>10</v>
      </c>
      <c r="DT81" s="0" t="n">
        <v>10</v>
      </c>
      <c r="DU81" s="0" t="n">
        <f aca="false">IF($A81="","",IF(R81="Y",10,0))</f>
        <v>0</v>
      </c>
      <c r="DV81" s="0" t="n">
        <v>-12</v>
      </c>
      <c r="DW81" s="0" t="s">
        <v>7711</v>
      </c>
      <c r="DX81" s="0" t="s">
        <v>5691</v>
      </c>
      <c r="DY81" s="0" t="s">
        <v>7712</v>
      </c>
      <c r="DZ81" s="0" t="s">
        <v>7713</v>
      </c>
      <c r="EA81" s="0" t="s">
        <v>7714</v>
      </c>
      <c r="EV81" s="0" t="str">
        <f aca="false">IF($A81="","",IF(ISNUMBER(MATCH(U81,{"queued","contacted","replied","call_booked","call_done","yes_in_principle","materials_sent"},0)),"Y","N"))</f>
        <v>N</v>
      </c>
      <c r="EW81" s="0" t="str">
        <f aca="false">IF($A81="","",IF(OR(T81="Y",U81="do_not_contact",AQ81&amp;""&lt;&gt;""),"Y","N"))</f>
        <v>N</v>
      </c>
      <c r="EX81" s="0" t="str">
        <f aca="false">IF($A81="","",IF(AN81&amp;""&lt;&gt;"",AN81&amp;"",$A81))</f>
        <v>AB-068</v>
      </c>
      <c r="EY81" s="0" t="str">
        <f aca="false">IF($A81="","",IF(COUNTIFS($EX$2:$EX$1000,EX81,$EV$2:$EV$1000,"Y")+COUNTIFS($EX$2:$EX$1000,EX81,$EW$2:$EW$1000,"Y")&gt;0,"Y","N"))</f>
        <v>N</v>
      </c>
      <c r="EZ81" s="0" t="str">
        <f aca="false">IF($A81="","",IF(AND(U81="new",T81="N",EW81="N",AR81="Y",EY81="N"),"Y","N"))</f>
        <v>N</v>
      </c>
      <c r="FA81" s="0" t="str">
        <f aca="false">IF($A81="","",IF(EZ81&lt;&gt;"Y","N",IF(COUNTIFS($EX$2:$EX$1000,EX81,$EZ$2:$EZ$1000,"Y",$J$2:$J$1000,"&gt;"&amp;J81)+COUNTIFS($EX$2:$EX$1000,EX81,$EZ$2:$EZ$1000,"Y",$J$2:$J$1000,J81,$FG$2:$FG$1000,"&lt;"&amp;FG81)=0,"Y","N")))</f>
        <v>N</v>
      </c>
      <c r="FB81" s="0" t="str">
        <f aca="false">IF($A81="","",IF(AND(EZ81="Y",FA81="Y",Y81&amp;""&lt;&gt;""),IF(Y81&lt;=10,"Y","N"),"N"))</f>
        <v>N</v>
      </c>
      <c r="FC81" s="0" t="str">
        <f aca="false">IF(FB81="Y",Y81,"")</f>
        <v/>
      </c>
      <c r="FD81" s="0" t="str">
        <f aca="false">IF($A81="","",IF(AND(CK81="pass",AU81="Y",AV81&lt;&gt;"Y",U81="new",EW81="N"),"Y","N"))</f>
        <v>Y</v>
      </c>
      <c r="FE81" s="0" t="str">
        <f aca="false">IF(FD81&lt;&gt;"Y","",IF(COUNTIFS($FD$2:$FD$1000,"Y",$J$2:$J$1000,"&gt;"&amp;J81)+COUNTIFS($FD$2:$FD$1000,"Y",$J$2:$J$1000,J81,$FG$2:$FG$1000,"&lt;"&amp;FG81)+1&lt;=30,COUNTIFS($FD$2:$FD$1000,"Y",$J$2:$J$1000,"&gt;"&amp;J81)+COUNTIFS($FD$2:$FD$1000,"Y",$J$2:$J$1000,J81,$FG$2:$FG$1000,"&lt;"&amp;FG81)+1,""))</f>
        <v/>
      </c>
      <c r="FF81" s="0" t="str">
        <f aca="false">IF(AND(_xlfn.ISFORMULA(C81),_xlfn.ISFORMULA(J81)),"Y","N")</f>
        <v>Y</v>
      </c>
      <c r="FG81" s="0" t="n">
        <f aca="false">ROW()-1</f>
        <v>80</v>
      </c>
    </row>
    <row r="82" customFormat="false" ht="15" hidden="false" customHeight="false" outlineLevel="0" collapsed="false">
      <c r="A82" s="0" t="s">
        <v>7715</v>
      </c>
      <c r="B82" s="0" t="s">
        <v>7716</v>
      </c>
      <c r="C82" s="0" t="str">
        <f aca="false">IF($A82="","",IF(AT82="Y",BL82&amp;"",AY82&amp;""))</f>
        <v>Steven</v>
      </c>
      <c r="D82" s="0" t="str">
        <f aca="false">IF($A82="","",IF(AT82="Y",BM82&amp;"",AZ82&amp;""))</f>
        <v>Shonts</v>
      </c>
      <c r="E82" s="0" t="str">
        <f aca="false">IF($A82="","",IF(AT82="Y",BN82&amp;"",BA82&amp;""))</f>
        <v>Press contact on release</v>
      </c>
      <c r="F82" s="0" t="str">
        <f aca="false">IF($A82="","",IF(AT82="Y",BO82&amp;"",BB82&amp;""))</f>
        <v/>
      </c>
      <c r="G82" s="0" t="str">
        <f aca="false">IF($A82="","",IF(AT82="Y",BP82&amp;"",BC82&amp;""))</f>
        <v/>
      </c>
      <c r="H82" s="0" t="str">
        <f aca="false">IF($A82="","",IF(AT82="Y",BQ82&amp;"",BD82&amp;""))</f>
        <v>none</v>
      </c>
      <c r="I82" s="0" t="str">
        <f aca="false">IF($A82="","",IF(R82="Y","warm-intro",IF(H82="verified","email",IF(C82&lt;&gt;"","linkedin",CA82&amp;""))))</f>
        <v>linkedin</v>
      </c>
      <c r="J82" s="0" t="n">
        <f aca="false">IF($A82="","",IF(CK82="pass",ROUND(N(DO82)+N(DP82)+N(DQ82)+N(DR82)+N(DS82)+N(DT82)+N(DU82)+N(DV82),0),0))</f>
        <v>44</v>
      </c>
      <c r="K82" s="0" t="str">
        <f aca="false">IF($A82="","",IF(CK82&lt;&gt;"pass",BY82&amp;"",BY82&amp;", "&amp;IF(AT82="Y",BX82&amp;"",BK82&amp;"")&amp;BZ82&amp;IF(R82="Y","; known to the founder (+10)","")&amp;"."))</f>
        <v>Brand based outside the Northeast, no graded store within ten blocks, online store only, news 143 days ago, revenue unknown, contact named; founder review: under-floor, nutrient-claim.</v>
      </c>
      <c r="M82" s="0" t="s">
        <v>6144</v>
      </c>
      <c r="N82" s="0" t="s">
        <v>740</v>
      </c>
      <c r="O82" s="0" t="s">
        <v>7717</v>
      </c>
      <c r="P82" s="0" t="s">
        <v>7718</v>
      </c>
      <c r="Q82" s="0" t="s">
        <v>851</v>
      </c>
      <c r="R82" s="5" t="s">
        <v>189</v>
      </c>
      <c r="S82" s="0" t="s">
        <v>164</v>
      </c>
      <c r="T82" s="5" t="s">
        <v>189</v>
      </c>
      <c r="U82" s="5" t="s">
        <v>3896</v>
      </c>
      <c r="V82" s="0" t="s">
        <v>7718</v>
      </c>
      <c r="W82" s="0" t="s">
        <v>263</v>
      </c>
      <c r="X82" s="0" t="s">
        <v>5578</v>
      </c>
      <c r="Y82" s="0" t="n">
        <f aca="false">IF(FA82&lt;&gt;"Y","",COUNTIFS($FA$2:$FA$1000,"Y",$J$2:$J$1000,"&gt;"&amp;J82)+COUNTIFS($FA$2:$FA$1000,"Y",$J$2:$J$1000,J82,$FG$2:$FG$1000,"&lt;"&amp;FG82)+1)</f>
        <v>39</v>
      </c>
      <c r="Z82" s="0" t="n">
        <v>81</v>
      </c>
      <c r="AA82" s="0" t="s">
        <v>189</v>
      </c>
      <c r="AB82" s="0" t="str">
        <f aca="false">IF($A82="","",IF(AT82="Y",BW82&amp;"",BJ82&amp;""))</f>
        <v>find Steven Shonts at The Hermit on LinkedIn and paste the profile URL into primary_linkedin_url</v>
      </c>
      <c r="AC82" s="0" t="str">
        <f aca="false">IF($A82="","",IF(AT82="Y",BR82&amp;"",BE82&amp;""))</f>
        <v>marketing</v>
      </c>
      <c r="AD82" s="0" t="str">
        <f aca="false">IF($A82="","",IF(AT82="Y",BS82&amp;"",BF82&amp;""))</f>
        <v>verified-page</v>
      </c>
      <c r="AE82" s="0" t="str">
        <f aca="false">IF($A82="","",IF(AT82="Y",BT82&amp;"",BG82&amp;""))</f>
        <v>press, event or podcast page</v>
      </c>
      <c r="AF82" s="0" t="str">
        <f aca="false">IF($A82="","",IF(AT82="Y",BU82&amp;"",BH82&amp;""))</f>
        <v>https://startupcpg.com/startup-cpg-newswire-the-hermit-relaunches-wild-caught-calamari-jerky-with-improved-texture/</v>
      </c>
      <c r="AG82" s="0" t="str">
        <f aca="false">IF($A82="","",IF(AT82="Y",BV82&amp;"",BI82&amp;""))</f>
        <v>2026-10-23</v>
      </c>
      <c r="AH82" s="0" t="s">
        <v>7719</v>
      </c>
      <c r="AI82" s="0" t="s">
        <v>6306</v>
      </c>
      <c r="AJ82" s="0" t="s">
        <v>7720</v>
      </c>
      <c r="AK82" s="0" t="s">
        <v>7721</v>
      </c>
      <c r="AL82" s="0" t="s">
        <v>164</v>
      </c>
      <c r="AM82" s="0" t="s">
        <v>7722</v>
      </c>
      <c r="AN82" s="0" t="s">
        <v>7715</v>
      </c>
      <c r="AO82" s="5" t="s">
        <v>189</v>
      </c>
      <c r="AR82" s="0" t="str">
        <f aca="false">IF($A82="","",IF(AND(CK82="pass",AO82&lt;&gt;"Y",C82&lt;&gt;"",OR(AU82&lt;&gt;"Y",AV82="Y")),"Y","N"))</f>
        <v>Y</v>
      </c>
      <c r="AS82" s="0" t="str">
        <f aca="false">IF($A82="","",_xlfn.TEXTJOIN("; ",TRUE(),IF(CK82&lt;&gt;"pass","gated out",""),IF(AO82="Y","on hold: "&amp;AP82,""),IF(C82="","no contact named on an opened page",""),IF(AND(AU82="Y",AV82&lt;&gt;"Y"),"founder review pending (Founder review tab)","")))</f>
        <v/>
      </c>
      <c r="AU82" s="0" t="s">
        <v>189</v>
      </c>
      <c r="AY82" s="0" t="s">
        <v>6999</v>
      </c>
      <c r="AZ82" s="0" t="s">
        <v>7723</v>
      </c>
      <c r="BA82" s="0" t="s">
        <v>7724</v>
      </c>
      <c r="BC82" s="0" t="str">
        <f aca="false">IF($A82="","",IFERROR(INDEX(Enrichment!$A$2:$GZ$2000,MATCH($A82,INDEX(Enrichment!$A$2:$GZ$2000,0,MATCH("row_id",Enrichment!$A$1:$GZ$1,0)),0),MATCH("work_email",Enrichment!$A$1:$GZ$1,0))&amp;"",""))</f>
        <v/>
      </c>
      <c r="BD82" s="0" t="str">
        <f aca="false">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none</v>
      </c>
      <c r="BE82" s="0" t="s">
        <v>7494</v>
      </c>
      <c r="BF82" s="0" t="s">
        <v>169</v>
      </c>
      <c r="BG82" s="0" t="s">
        <v>1252</v>
      </c>
      <c r="BH82" s="0" t="s">
        <v>7718</v>
      </c>
      <c r="BI82" s="0" t="s">
        <v>263</v>
      </c>
      <c r="BJ82" s="0" t="s">
        <v>7725</v>
      </c>
      <c r="BK82" s="0" t="s">
        <v>5643</v>
      </c>
      <c r="BP82" s="0" t="str">
        <f aca="false">IF($A82="","",IFERROR(INDEX(Enrichment!$A$2:$GZ$2000,MATCH($A82,INDEX(Enrichment!$A$2:$GZ$2000,0,MATCH("row_id",Enrichment!$A$1:$GZ$1,0)),0),MATCH("backup_work_email",Enrichment!$A$1:$GZ$1,0))&amp;"",""))</f>
        <v/>
      </c>
      <c r="BQ82" s="0" t="str">
        <f aca="false">IF($A82="","",IF(BP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none</v>
      </c>
      <c r="BS82" s="0" t="s">
        <v>380</v>
      </c>
      <c r="BW82" s="0" t="s">
        <v>387</v>
      </c>
      <c r="BX82" s="0" t="s">
        <v>388</v>
      </c>
      <c r="BY82" s="0" t="s">
        <v>7726</v>
      </c>
      <c r="BZ82" s="0" t="s">
        <v>7727</v>
      </c>
      <c r="CB82" s="0" t="s">
        <v>7728</v>
      </c>
      <c r="CJ82" s="0" t="s">
        <v>7088</v>
      </c>
      <c r="CK82" s="0" t="s">
        <v>200</v>
      </c>
      <c r="CM82" s="0" t="s">
        <v>201</v>
      </c>
      <c r="CN82" s="0" t="s">
        <v>7729</v>
      </c>
      <c r="CO82" s="0" t="s">
        <v>7721</v>
      </c>
      <c r="CP82" s="0" t="s">
        <v>7528</v>
      </c>
      <c r="CQ82" s="0" t="s">
        <v>6198</v>
      </c>
      <c r="CR82" s="0" t="s">
        <v>209</v>
      </c>
      <c r="CT82" s="0" t="s">
        <v>164</v>
      </c>
      <c r="CU82" s="0" t="s">
        <v>7730</v>
      </c>
      <c r="CV82" s="0" t="s">
        <v>164</v>
      </c>
      <c r="CW82" s="0" t="s">
        <v>164</v>
      </c>
      <c r="CX82" s="0" t="s">
        <v>209</v>
      </c>
      <c r="CZ82" s="0" t="s">
        <v>7731</v>
      </c>
      <c r="DA82" s="0" t="s">
        <v>189</v>
      </c>
      <c r="DB82" s="0" t="s">
        <v>189</v>
      </c>
      <c r="DE82" s="0" t="s">
        <v>189</v>
      </c>
      <c r="DF82" s="0" t="n">
        <v>0</v>
      </c>
      <c r="DI82" s="0" t="s">
        <v>7732</v>
      </c>
      <c r="DK82" s="0" t="s">
        <v>5617</v>
      </c>
      <c r="DL82" s="0" t="n">
        <v>143</v>
      </c>
      <c r="DM82" s="0" t="s">
        <v>7718</v>
      </c>
      <c r="DN82" s="0" t="n">
        <v>44</v>
      </c>
      <c r="DO82" s="0" t="n">
        <v>6</v>
      </c>
      <c r="DP82" s="0" t="n">
        <v>3</v>
      </c>
      <c r="DQ82" s="0" t="n">
        <v>15</v>
      </c>
      <c r="DR82" s="0" t="n">
        <v>5</v>
      </c>
      <c r="DS82" s="0" t="n">
        <v>10</v>
      </c>
      <c r="DT82" s="0" t="n">
        <v>10</v>
      </c>
      <c r="DU82" s="0" t="n">
        <f aca="false">IF($A82="","",IF(R82="Y",10,0))</f>
        <v>0</v>
      </c>
      <c r="DV82" s="0" t="n">
        <v>-5</v>
      </c>
      <c r="DW82" s="0" t="s">
        <v>209</v>
      </c>
      <c r="DX82" s="0" t="s">
        <v>5814</v>
      </c>
      <c r="DY82" s="0" t="s">
        <v>7733</v>
      </c>
      <c r="DZ82" s="0" t="s">
        <v>7734</v>
      </c>
      <c r="EV82" s="0" t="str">
        <f aca="false">IF($A82="","",IF(ISNUMBER(MATCH(U82,{"queued","contacted","replied","call_booked","call_done","yes_in_principle","materials_sent"},0)),"Y","N"))</f>
        <v>N</v>
      </c>
      <c r="EW82" s="0" t="str">
        <f aca="false">IF($A82="","",IF(OR(T82="Y",U82="do_not_contact",AQ82&amp;""&lt;&gt;""),"Y","N"))</f>
        <v>N</v>
      </c>
      <c r="EX82" s="0" t="str">
        <f aca="false">IF($A82="","",IF(AN82&amp;""&lt;&gt;"",AN82&amp;"",$A82))</f>
        <v>AB-063</v>
      </c>
      <c r="EY82" s="0" t="str">
        <f aca="false">IF($A82="","",IF(COUNTIFS($EX$2:$EX$1000,EX82,$EV$2:$EV$1000,"Y")+COUNTIFS($EX$2:$EX$1000,EX82,$EW$2:$EW$1000,"Y")&gt;0,"Y","N"))</f>
        <v>N</v>
      </c>
      <c r="EZ82" s="0" t="str">
        <f aca="false">IF($A82="","",IF(AND(U82="new",T82="N",EW82="N",AR82="Y",EY82="N"),"Y","N"))</f>
        <v>Y</v>
      </c>
      <c r="FA82" s="0" t="str">
        <f aca="false">IF($A82="","",IF(EZ82&lt;&gt;"Y","N",IF(COUNTIFS($EX$2:$EX$1000,EX82,$EZ$2:$EZ$1000,"Y",$J$2:$J$1000,"&gt;"&amp;J82)+COUNTIFS($EX$2:$EX$1000,EX82,$EZ$2:$EZ$1000,"Y",$J$2:$J$1000,J82,$FG$2:$FG$1000,"&lt;"&amp;FG82)=0,"Y","N")))</f>
        <v>Y</v>
      </c>
      <c r="FB82" s="0" t="str">
        <f aca="false">IF($A82="","",IF(AND(EZ82="Y",FA82="Y",Y82&amp;""&lt;&gt;""),IF(Y82&lt;=10,"Y","N"),"N"))</f>
        <v>N</v>
      </c>
      <c r="FC82" s="0" t="str">
        <f aca="false">IF(FB82="Y",Y82,"")</f>
        <v/>
      </c>
      <c r="FD82" s="0" t="str">
        <f aca="false">IF($A82="","",IF(AND(CK82="pass",AU82="Y",AV82&lt;&gt;"Y",U82="new",EW82="N"),"Y","N"))</f>
        <v>N</v>
      </c>
      <c r="FE82" s="0" t="str">
        <f aca="false">IF(FD82&lt;&gt;"Y","",IF(COUNTIFS($FD$2:$FD$1000,"Y",$J$2:$J$1000,"&gt;"&amp;J82)+COUNTIFS($FD$2:$FD$1000,"Y",$J$2:$J$1000,J82,$FG$2:$FG$1000,"&lt;"&amp;FG82)+1&lt;=30,COUNTIFS($FD$2:$FD$1000,"Y",$J$2:$J$1000,"&gt;"&amp;J82)+COUNTIFS($FD$2:$FD$1000,"Y",$J$2:$J$1000,J82,$FG$2:$FG$1000,"&lt;"&amp;FG82)+1,""))</f>
        <v/>
      </c>
      <c r="FF82" s="0" t="str">
        <f aca="false">IF(AND(_xlfn.ISFORMULA(C82),_xlfn.ISFORMULA(J82)),"Y","N")</f>
        <v>Y</v>
      </c>
      <c r="FG82" s="0" t="n">
        <f aca="false">ROW()-1</f>
        <v>81</v>
      </c>
    </row>
    <row r="83" customFormat="false" ht="15" hidden="false" customHeight="false" outlineLevel="0" collapsed="false">
      <c r="A83" s="0" t="s">
        <v>7735</v>
      </c>
      <c r="B83" s="0" t="s">
        <v>7736</v>
      </c>
      <c r="C83" s="0" t="str">
        <f aca="false">IF($A83="","",IF(AT83="Y",BL83&amp;"",AY83&amp;""))</f>
        <v>Aiswarya</v>
      </c>
      <c r="D83" s="0" t="str">
        <f aca="false">IF($A83="","",IF(AT83="Y",BM83&amp;"",AZ83&amp;""))</f>
        <v>unknown</v>
      </c>
      <c r="E83" s="0" t="str">
        <f aca="false">IF($A83="","",IF(AT83="Y",BN83&amp;"",BA83&amp;""))</f>
        <v>Co-founder</v>
      </c>
      <c r="F83" s="0" t="str">
        <f aca="false">IF($A83="","",IF(AT83="Y",BO83&amp;"",BB83&amp;""))</f>
        <v/>
      </c>
      <c r="G83" s="0" t="str">
        <f aca="false">IF($A83="","",IF(AT83="Y",BP83&amp;"",BC83&amp;""))</f>
        <v/>
      </c>
      <c r="H83" s="0" t="str">
        <f aca="false">IF($A83="","",IF(AT83="Y",BQ83&amp;"",BD83&amp;""))</f>
        <v>none</v>
      </c>
      <c r="I83" s="0" t="str">
        <f aca="false">IF($A83="","",IF(R83="Y","warm-intro",IF(H83="verified","email",IF(C83&lt;&gt;"","linkedin",CA83&amp;""))))</f>
        <v>linkedin</v>
      </c>
      <c r="J83" s="0" t="n">
        <f aca="false">IF($A83="","",IF(CK83="pass",ROUND(N(DO83)+N(DP83)+N(DQ83)+N(DR83)+N(DS83)+N(DT83)+N(DU83)+N(DV83),0),0))</f>
        <v>44</v>
      </c>
      <c r="K83" s="0" t="str">
        <f aca="false">IF($A83="","",IF(CK83&lt;&gt;"pass",BY83&amp;"",BY83&amp;", "&amp;IF(AT83="Y",BX83&amp;"",BK83&amp;"")&amp;BZ83&amp;IF(R83="Y","; known to the founder (+10)","")&amp;"."))</f>
        <v>New York City brand, no graded store within ten blocks, online store only, a new store listing 17 days ago, revenue unknown, contact named (first name only); founder review: under-floor.</v>
      </c>
      <c r="M83" s="0" t="s">
        <v>6144</v>
      </c>
      <c r="N83" s="0" t="s">
        <v>740</v>
      </c>
      <c r="O83" s="0" t="s">
        <v>7737</v>
      </c>
      <c r="P83" s="0" t="s">
        <v>7738</v>
      </c>
      <c r="Q83" s="0" t="s">
        <v>5102</v>
      </c>
      <c r="R83" s="5" t="s">
        <v>189</v>
      </c>
      <c r="S83" s="0" t="s">
        <v>209</v>
      </c>
      <c r="T83" s="5" t="s">
        <v>189</v>
      </c>
      <c r="U83" s="5" t="s">
        <v>3896</v>
      </c>
      <c r="V83" s="0" t="s">
        <v>7739</v>
      </c>
      <c r="W83" s="0" t="s">
        <v>172</v>
      </c>
      <c r="X83" s="0" t="s">
        <v>5578</v>
      </c>
      <c r="Y83" s="0" t="n">
        <f aca="false">IF(FA83&lt;&gt;"Y","",COUNTIFS($FA$2:$FA$1000,"Y",$J$2:$J$1000,"&gt;"&amp;J83)+COUNTIFS($FA$2:$FA$1000,"Y",$J$2:$J$1000,J83,$FG$2:$FG$1000,"&lt;"&amp;FG83)+1)</f>
        <v>40</v>
      </c>
      <c r="Z83" s="0" t="n">
        <v>82</v>
      </c>
      <c r="AA83" s="0" t="s">
        <v>189</v>
      </c>
      <c r="AB83" s="0" t="str">
        <f aca="false">IF($A83="","",IF(AT83="Y",BW83&amp;"",BJ83&amp;""))</f>
        <v>find Aiswarya at Namkeen Queens on LinkedIn and paste the profile URL into primary_linkedin_url; surname not public: take it from LinkedIn</v>
      </c>
      <c r="AC83" s="0" t="str">
        <f aca="false">IF($A83="","",IF(AT83="Y",BR83&amp;"",BE83&amp;""))</f>
        <v>founder</v>
      </c>
      <c r="AD83" s="0" t="str">
        <f aca="false">IF($A83="","",IF(AT83="Y",BS83&amp;"",BF83&amp;""))</f>
        <v>first-name-only</v>
      </c>
      <c r="AE83" s="0" t="str">
        <f aca="false">IF($A83="","",IF(AT83="Y",BT83&amp;"",BG83&amp;""))</f>
        <v>employer's own site</v>
      </c>
      <c r="AF83" s="0" t="str">
        <f aca="false">IF($A83="","",IF(AT83="Y",BU83&amp;"",BH83&amp;""))</f>
        <v>https://namkeenqueens.com/pages/about</v>
      </c>
      <c r="AG83" s="0" t="str">
        <f aca="false">IF($A83="","",IF(AT83="Y",BV83&amp;"",BI83&amp;""))</f>
        <v>2026-10-24</v>
      </c>
      <c r="AH83" s="0" t="s">
        <v>7740</v>
      </c>
      <c r="AI83" s="0" t="s">
        <v>6042</v>
      </c>
      <c r="AJ83" s="0" t="s">
        <v>7741</v>
      </c>
      <c r="AK83" s="0" t="s">
        <v>7742</v>
      </c>
      <c r="AL83" s="0" t="s">
        <v>164</v>
      </c>
      <c r="AM83" s="0" t="s">
        <v>7743</v>
      </c>
      <c r="AN83" s="0" t="s">
        <v>7735</v>
      </c>
      <c r="AO83" s="5" t="s">
        <v>189</v>
      </c>
      <c r="AR83" s="0" t="str">
        <f aca="false">IF($A83="","",IF(AND(CK83="pass",AO83&lt;&gt;"Y",C83&lt;&gt;"",OR(AU83&lt;&gt;"Y",AV83="Y")),"Y","N"))</f>
        <v>Y</v>
      </c>
      <c r="AS83" s="0" t="str">
        <f aca="false">IF($A83="","",_xlfn.TEXTJOIN("; ",TRUE(),IF(CK83&lt;&gt;"pass","gated out",""),IF(AO83="Y","on hold: "&amp;AP83,""),IF(C83="","no contact named on an opened page",""),IF(AND(AU83="Y",AV83&lt;&gt;"Y"),"founder review pending (Founder review tab)","")))</f>
        <v/>
      </c>
      <c r="AU83" s="0" t="s">
        <v>189</v>
      </c>
      <c r="AY83" s="0" t="s">
        <v>7744</v>
      </c>
      <c r="AZ83" s="0" t="s">
        <v>209</v>
      </c>
      <c r="BA83" s="0" t="s">
        <v>5636</v>
      </c>
      <c r="BC83" s="0" t="str">
        <f aca="false">IF($A83="","",IFERROR(INDEX(Enrichment!$A$2:$GZ$2000,MATCH($A83,INDEX(Enrichment!$A$2:$GZ$2000,0,MATCH("row_id",Enrichment!$A$1:$GZ$1,0)),0),MATCH("work_email",Enrichment!$A$1:$GZ$1,0))&amp;"",""))</f>
        <v/>
      </c>
      <c r="BD83" s="0" t="str">
        <f aca="false">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none</v>
      </c>
      <c r="BE83" s="0" t="s">
        <v>5589</v>
      </c>
      <c r="BF83" s="0" t="s">
        <v>5896</v>
      </c>
      <c r="BG83" s="0" t="s">
        <v>170</v>
      </c>
      <c r="BH83" s="0" t="s">
        <v>7745</v>
      </c>
      <c r="BI83" s="0" t="s">
        <v>172</v>
      </c>
      <c r="BJ83" s="0" t="s">
        <v>7746</v>
      </c>
      <c r="BK83" s="0" t="s">
        <v>5898</v>
      </c>
      <c r="BL83" s="0" t="s">
        <v>7747</v>
      </c>
      <c r="BM83" s="0" t="s">
        <v>209</v>
      </c>
      <c r="BN83" s="0" t="s">
        <v>5636</v>
      </c>
      <c r="BP83" s="0" t="str">
        <f aca="false">IF($A83="","",IFERROR(INDEX(Enrichment!$A$2:$GZ$2000,MATCH($A83,INDEX(Enrichment!$A$2:$GZ$2000,0,MATCH("row_id",Enrichment!$A$1:$GZ$1,0)),0),MATCH("backup_work_email",Enrichment!$A$1:$GZ$1,0))&amp;"",""))</f>
        <v/>
      </c>
      <c r="BQ83" s="0" t="str">
        <f aca="false">IF($A83="","",IF(BP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none</v>
      </c>
      <c r="BR83" s="0" t="s">
        <v>7748</v>
      </c>
      <c r="BS83" s="0" t="s">
        <v>5896</v>
      </c>
      <c r="BT83" s="0" t="s">
        <v>170</v>
      </c>
      <c r="BU83" s="0" t="s">
        <v>7745</v>
      </c>
      <c r="BV83" s="0" t="s">
        <v>172</v>
      </c>
      <c r="BW83" s="0" t="s">
        <v>7749</v>
      </c>
      <c r="BX83" s="0" t="s">
        <v>5898</v>
      </c>
      <c r="BY83" s="0" t="s">
        <v>7750</v>
      </c>
      <c r="BZ83" s="0" t="s">
        <v>7281</v>
      </c>
      <c r="CB83" s="0" t="s">
        <v>7744</v>
      </c>
      <c r="CD83" s="0" t="s">
        <v>7751</v>
      </c>
      <c r="CF83" s="0" t="s">
        <v>7747</v>
      </c>
      <c r="CH83" s="0" t="s">
        <v>7751</v>
      </c>
      <c r="CJ83" s="0" t="s">
        <v>7088</v>
      </c>
      <c r="CK83" s="0" t="s">
        <v>200</v>
      </c>
      <c r="CM83" s="0" t="s">
        <v>201</v>
      </c>
      <c r="CN83" s="0" t="s">
        <v>7284</v>
      </c>
      <c r="CO83" s="0" t="s">
        <v>7742</v>
      </c>
      <c r="CP83" s="0" t="s">
        <v>5608</v>
      </c>
      <c r="CQ83" s="0" t="s">
        <v>5609</v>
      </c>
      <c r="CR83" s="0" t="s">
        <v>209</v>
      </c>
      <c r="CT83" s="0" t="s">
        <v>209</v>
      </c>
      <c r="CU83" s="0" t="s">
        <v>7752</v>
      </c>
      <c r="CV83" s="0" t="s">
        <v>164</v>
      </c>
      <c r="CW83" s="0" t="s">
        <v>164</v>
      </c>
      <c r="CX83" s="0" t="s">
        <v>209</v>
      </c>
      <c r="CZ83" s="0" t="s">
        <v>5993</v>
      </c>
      <c r="DA83" s="0" t="s">
        <v>189</v>
      </c>
      <c r="DB83" s="0" t="s">
        <v>189</v>
      </c>
      <c r="DE83" s="0" t="s">
        <v>189</v>
      </c>
      <c r="DF83" s="0" t="n">
        <v>0</v>
      </c>
      <c r="DI83" s="0" t="s">
        <v>7753</v>
      </c>
      <c r="DK83" s="0" t="s">
        <v>5689</v>
      </c>
      <c r="DL83" s="0" t="n">
        <v>17</v>
      </c>
      <c r="DN83" s="0" t="n">
        <v>44</v>
      </c>
      <c r="DO83" s="0" t="n">
        <v>6</v>
      </c>
      <c r="DP83" s="0" t="n">
        <v>20</v>
      </c>
      <c r="DQ83" s="0" t="n">
        <v>8</v>
      </c>
      <c r="DR83" s="0" t="n">
        <v>5</v>
      </c>
      <c r="DS83" s="0" t="n">
        <v>7</v>
      </c>
      <c r="DT83" s="0" t="n">
        <v>3</v>
      </c>
      <c r="DU83" s="0" t="n">
        <f aca="false">IF($A83="","",IF(R83="Y",10,0))</f>
        <v>0</v>
      </c>
      <c r="DV83" s="0" t="n">
        <v>-5</v>
      </c>
      <c r="DW83" s="0" t="s">
        <v>7754</v>
      </c>
      <c r="DX83" s="0" t="s">
        <v>5998</v>
      </c>
      <c r="DY83" s="0" t="s">
        <v>7755</v>
      </c>
      <c r="DZ83" s="0" t="s">
        <v>7756</v>
      </c>
      <c r="EV83" s="0" t="str">
        <f aca="false">IF($A83="","",IF(ISNUMBER(MATCH(U83,{"queued","contacted","replied","call_booked","call_done","yes_in_principle","materials_sent"},0)),"Y","N"))</f>
        <v>N</v>
      </c>
      <c r="EW83" s="0" t="str">
        <f aca="false">IF($A83="","",IF(OR(T83="Y",U83="do_not_contact",AQ83&amp;""&lt;&gt;""),"Y","N"))</f>
        <v>N</v>
      </c>
      <c r="EX83" s="0" t="str">
        <f aca="false">IF($A83="","",IF(AN83&amp;""&lt;&gt;"",AN83&amp;"",$A83))</f>
        <v>AB-272</v>
      </c>
      <c r="EY83" s="0" t="str">
        <f aca="false">IF($A83="","",IF(COUNTIFS($EX$2:$EX$1000,EX83,$EV$2:$EV$1000,"Y")+COUNTIFS($EX$2:$EX$1000,EX83,$EW$2:$EW$1000,"Y")&gt;0,"Y","N"))</f>
        <v>N</v>
      </c>
      <c r="EZ83" s="0" t="str">
        <f aca="false">IF($A83="","",IF(AND(U83="new",T83="N",EW83="N",AR83="Y",EY83="N"),"Y","N"))</f>
        <v>Y</v>
      </c>
      <c r="FA83" s="0" t="str">
        <f aca="false">IF($A83="","",IF(EZ83&lt;&gt;"Y","N",IF(COUNTIFS($EX$2:$EX$1000,EX83,$EZ$2:$EZ$1000,"Y",$J$2:$J$1000,"&gt;"&amp;J83)+COUNTIFS($EX$2:$EX$1000,EX83,$EZ$2:$EZ$1000,"Y",$J$2:$J$1000,J83,$FG$2:$FG$1000,"&lt;"&amp;FG83)=0,"Y","N")))</f>
        <v>Y</v>
      </c>
      <c r="FB83" s="0" t="str">
        <f aca="false">IF($A83="","",IF(AND(EZ83="Y",FA83="Y",Y83&amp;""&lt;&gt;""),IF(Y83&lt;=10,"Y","N"),"N"))</f>
        <v>N</v>
      </c>
      <c r="FC83" s="0" t="str">
        <f aca="false">IF(FB83="Y",Y83,"")</f>
        <v/>
      </c>
      <c r="FD83" s="0" t="str">
        <f aca="false">IF($A83="","",IF(AND(CK83="pass",AU83="Y",AV83&lt;&gt;"Y",U83="new",EW83="N"),"Y","N"))</f>
        <v>N</v>
      </c>
      <c r="FE83" s="0" t="str">
        <f aca="false">IF(FD83&lt;&gt;"Y","",IF(COUNTIFS($FD$2:$FD$1000,"Y",$J$2:$J$1000,"&gt;"&amp;J83)+COUNTIFS($FD$2:$FD$1000,"Y",$J$2:$J$1000,J83,$FG$2:$FG$1000,"&lt;"&amp;FG83)+1&lt;=30,COUNTIFS($FD$2:$FD$1000,"Y",$J$2:$J$1000,"&gt;"&amp;J83)+COUNTIFS($FD$2:$FD$1000,"Y",$J$2:$J$1000,J83,$FG$2:$FG$1000,"&lt;"&amp;FG83)+1,""))</f>
        <v/>
      </c>
      <c r="FF83" s="0" t="str">
        <f aca="false">IF(AND(_xlfn.ISFORMULA(C83),_xlfn.ISFORMULA(J83)),"Y","N")</f>
        <v>Y</v>
      </c>
      <c r="FG83" s="0" t="n">
        <f aca="false">ROW()-1</f>
        <v>82</v>
      </c>
    </row>
    <row r="84" customFormat="false" ht="15" hidden="false" customHeight="false" outlineLevel="0" collapsed="false">
      <c r="A84" s="0" t="s">
        <v>7757</v>
      </c>
      <c r="B84" s="0" t="s">
        <v>7758</v>
      </c>
      <c r="C84" s="0" t="str">
        <f aca="false">IF($A84="","",IF(AT84="Y",BL84&amp;"",AY84&amp;""))</f>
        <v/>
      </c>
      <c r="D84" s="0" t="str">
        <f aca="false">IF($A84="","",IF(AT84="Y",BM84&amp;"",AZ84&amp;""))</f>
        <v/>
      </c>
      <c r="E84" s="0" t="str">
        <f aca="false">IF($A84="","",IF(AT84="Y",BN84&amp;"",BA84&amp;""))</f>
        <v/>
      </c>
      <c r="F84" s="0" t="str">
        <f aca="false">IF($A84="","",IF(AT84="Y",BO84&amp;"",BB84&amp;""))</f>
        <v/>
      </c>
      <c r="G84" s="0" t="str">
        <f aca="false">IF($A84="","",IF(AT84="Y",BP84&amp;"",BC84&amp;""))</f>
        <v/>
      </c>
      <c r="H84" s="0" t="str">
        <f aca="false">IF($A84="","",IF(AT84="Y",BQ84&amp;"",BD84&amp;""))</f>
        <v>none</v>
      </c>
      <c r="I84" s="0" t="str">
        <f aca="false">IF($A84="","",IF(R84="Y","warm-intro",IF(H84="verified","email",IF(C84&lt;&gt;"","linkedin",CA84&amp;""))))</f>
        <v/>
      </c>
      <c r="J84" s="0" t="n">
        <f aca="false">IF($A84="","",IF(CK84="pass",ROUND(N(DO84)+N(DP84)+N(DQ84)+N(DR84)+N(DS84)+N(DT84)+N(DU84)+N(DV84),0),0))</f>
        <v>44</v>
      </c>
      <c r="K84" s="0" t="str">
        <f aca="false">IF($A84="","",IF(CK84&lt;&gt;"pass",BY84&amp;"",BY84&amp;", "&amp;IF(AT84="Y",BX84&amp;"",BK84&amp;"")&amp;BZ84&amp;IF(R84="Y","; known to the founder (+10)","")&amp;"."))</f>
        <v>Brand based outside the Northeast, store page shows Whole Foods Market NoMad inside the cluster, no dated why-now in the last 12 months, revenue unknown, contact seen only in a snippet; founder review: other.</v>
      </c>
      <c r="M84" s="0" t="s">
        <v>5572</v>
      </c>
      <c r="N84" s="0" t="s">
        <v>5573</v>
      </c>
      <c r="R84" s="5" t="s">
        <v>189</v>
      </c>
      <c r="S84" s="0" t="s">
        <v>209</v>
      </c>
      <c r="T84" s="5" t="s">
        <v>189</v>
      </c>
      <c r="U84" s="5" t="s">
        <v>3896</v>
      </c>
      <c r="V84" s="0" t="s">
        <v>7759</v>
      </c>
      <c r="W84" s="0" t="s">
        <v>263</v>
      </c>
      <c r="X84" s="0" t="s">
        <v>5578</v>
      </c>
      <c r="Y84" s="0" t="str">
        <f aca="false">IF(FA84&lt;&gt;"Y","",COUNTIFS($FA$2:$FA$1000,"Y",$J$2:$J$1000,"&gt;"&amp;J84)+COUNTIFS($FA$2:$FA$1000,"Y",$J$2:$J$1000,J84,$FG$2:$FG$1000,"&lt;"&amp;FG84)+1)</f>
        <v/>
      </c>
      <c r="Z84" s="0" t="n">
        <v>83</v>
      </c>
      <c r="AA84" s="0" t="s">
        <v>189</v>
      </c>
      <c r="AB84" s="0" t="str">
        <f aca="false">IF($A84="","",IF(AT84="Y",BW84&amp;"",BJ84&amp;""))</f>
        <v>no person named on an opened page: not ready; use the Whole Foods Market NoMad line only if retailer_checked_date is this week's Friday check</v>
      </c>
      <c r="AC84" s="0" t="str">
        <f aca="false">IF($A84="","",IF(AT84="Y",BR84&amp;"",BE84&amp;""))</f>
        <v>founder</v>
      </c>
      <c r="AD84" s="0" t="str">
        <f aca="false">IF($A84="","",IF(AT84="Y",BS84&amp;"",BF84&amp;""))</f>
        <v>unverified</v>
      </c>
      <c r="AE84" s="0" t="str">
        <f aca="false">IF($A84="","",IF(AT84="Y",BT84&amp;"",BG84&amp;""))</f>
        <v>unknown</v>
      </c>
      <c r="AF84" s="0" t="str">
        <f aca="false">IF($A84="","",IF(AT84="Y",BU84&amp;"",BH84&amp;""))</f>
        <v/>
      </c>
      <c r="AG84" s="0" t="str">
        <f aca="false">IF($A84="","",IF(AT84="Y",BV84&amp;"",BI84&amp;""))</f>
        <v>2026-10-23</v>
      </c>
      <c r="AH84" s="0" t="s">
        <v>7760</v>
      </c>
      <c r="AI84" s="0" t="s">
        <v>6306</v>
      </c>
      <c r="AJ84" s="0" t="s">
        <v>7761</v>
      </c>
      <c r="AK84" s="0" t="s">
        <v>7762</v>
      </c>
      <c r="AL84" s="0" t="s">
        <v>164</v>
      </c>
      <c r="AM84" s="0" t="s">
        <v>7763</v>
      </c>
      <c r="AN84" s="0" t="s">
        <v>7757</v>
      </c>
      <c r="AO84" s="5" t="s">
        <v>189</v>
      </c>
      <c r="AR84" s="0" t="str">
        <f aca="false">IF($A84="","",IF(AND(CK84="pass",AO84&lt;&gt;"Y",C84&lt;&gt;"",OR(AU84&lt;&gt;"Y",AV84="Y")),"Y","N"))</f>
        <v>N</v>
      </c>
      <c r="AS84" s="0" t="str">
        <f aca="false">IF($A84="","",_xlfn.TEXTJOIN("; ",TRUE(),IF(CK84&lt;&gt;"pass","gated out",""),IF(AO84="Y","on hold: "&amp;AP84,""),IF(C84="","no contact named on an opened page",""),IF(AND(AU84="Y",AV84&lt;&gt;"Y"),"founder review pending (Founder review tab)","")))</f>
        <v>no contact named on an opened page</v>
      </c>
      <c r="AU84" s="0" t="s">
        <v>189</v>
      </c>
      <c r="AX84" s="0" t="s">
        <v>7764</v>
      </c>
      <c r="BC84" s="0" t="str">
        <f aca="false">IF($A84="","",IFERROR(INDEX(Enrichment!$A$2:$GZ$2000,MATCH($A84,INDEX(Enrichment!$A$2:$GZ$2000,0,MATCH("row_id",Enrichment!$A$1:$GZ$1,0)),0),MATCH("work_email",Enrichment!$A$1:$GZ$1,0))&amp;"",""))</f>
        <v/>
      </c>
      <c r="BD84" s="0" t="str">
        <f aca="false">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none</v>
      </c>
      <c r="BE84" s="0" t="s">
        <v>5589</v>
      </c>
      <c r="BF84" s="0" t="s">
        <v>740</v>
      </c>
      <c r="BG84" s="0" t="s">
        <v>209</v>
      </c>
      <c r="BI84" s="0" t="s">
        <v>263</v>
      </c>
      <c r="BJ84" s="0" t="s">
        <v>6047</v>
      </c>
      <c r="BK84" s="0" t="s">
        <v>5834</v>
      </c>
      <c r="BP84" s="0" t="str">
        <f aca="false">IF($A84="","",IFERROR(INDEX(Enrichment!$A$2:$GZ$2000,MATCH($A84,INDEX(Enrichment!$A$2:$GZ$2000,0,MATCH("row_id",Enrichment!$A$1:$GZ$1,0)),0),MATCH("backup_work_email",Enrichment!$A$1:$GZ$1,0))&amp;"",""))</f>
        <v/>
      </c>
      <c r="BQ84" s="0" t="str">
        <f aca="false">IF($A84="","",IF(BP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none</v>
      </c>
      <c r="BS84" s="0" t="s">
        <v>380</v>
      </c>
      <c r="BW84" s="0" t="s">
        <v>5741</v>
      </c>
      <c r="BX84" s="0" t="s">
        <v>388</v>
      </c>
      <c r="BY84" s="0" t="s">
        <v>7209</v>
      </c>
      <c r="BZ84" s="0" t="s">
        <v>5960</v>
      </c>
      <c r="CB84" s="0" t="s">
        <v>7765</v>
      </c>
      <c r="CD84" s="0" t="s">
        <v>7766</v>
      </c>
      <c r="CJ84" s="0" t="s">
        <v>7088</v>
      </c>
      <c r="CK84" s="0" t="s">
        <v>200</v>
      </c>
      <c r="CM84" s="0" t="s">
        <v>201</v>
      </c>
      <c r="CN84" s="0" t="s">
        <v>443</v>
      </c>
      <c r="CO84" s="0" t="s">
        <v>7762</v>
      </c>
      <c r="CP84" s="0" t="s">
        <v>7767</v>
      </c>
      <c r="CQ84" s="0" t="s">
        <v>6198</v>
      </c>
      <c r="CR84" s="0" t="s">
        <v>209</v>
      </c>
      <c r="CT84" s="0" t="s">
        <v>164</v>
      </c>
      <c r="CU84" s="0" t="s">
        <v>6316</v>
      </c>
      <c r="CV84" s="0" t="s">
        <v>164</v>
      </c>
      <c r="CW84" s="0" t="s">
        <v>164</v>
      </c>
      <c r="CX84" s="0" t="s">
        <v>209</v>
      </c>
      <c r="CZ84" s="0" t="s">
        <v>209</v>
      </c>
      <c r="DA84" s="0" t="s">
        <v>189</v>
      </c>
      <c r="DB84" s="0" t="s">
        <v>189</v>
      </c>
      <c r="DD84" s="0" t="n">
        <v>0</v>
      </c>
      <c r="DE84" s="0" t="s">
        <v>164</v>
      </c>
      <c r="DF84" s="0" t="n">
        <v>2</v>
      </c>
      <c r="DG84" s="0" t="s">
        <v>5746</v>
      </c>
      <c r="DI84" s="0" t="s">
        <v>6054</v>
      </c>
      <c r="DJ84" s="0" t="s">
        <v>7768</v>
      </c>
      <c r="DK84" s="0" t="s">
        <v>380</v>
      </c>
      <c r="DN84" s="0" t="n">
        <v>44</v>
      </c>
      <c r="DO84" s="0" t="n">
        <v>25</v>
      </c>
      <c r="DP84" s="0" t="n">
        <v>3</v>
      </c>
      <c r="DQ84" s="0" t="n">
        <v>0</v>
      </c>
      <c r="DR84" s="0" t="n">
        <v>5</v>
      </c>
      <c r="DS84" s="0" t="n">
        <v>10</v>
      </c>
      <c r="DT84" s="0" t="n">
        <v>3</v>
      </c>
      <c r="DU84" s="0" t="n">
        <f aca="false">IF($A84="","",IF(R84="Y",10,0))</f>
        <v>0</v>
      </c>
      <c r="DV84" s="0" t="n">
        <v>-2</v>
      </c>
      <c r="DW84" s="0" t="s">
        <v>209</v>
      </c>
      <c r="DX84" s="0" t="s">
        <v>5814</v>
      </c>
      <c r="DY84" s="0" t="s">
        <v>7769</v>
      </c>
      <c r="DZ84" s="0" t="s">
        <v>7770</v>
      </c>
      <c r="EA84" s="0" t="s">
        <v>7771</v>
      </c>
      <c r="EV84" s="0" t="str">
        <f aca="false">IF($A84="","",IF(ISNUMBER(MATCH(U84,{"queued","contacted","replied","call_booked","call_done","yes_in_principle","materials_sent"},0)),"Y","N"))</f>
        <v>N</v>
      </c>
      <c r="EW84" s="0" t="str">
        <f aca="false">IF($A84="","",IF(OR(T84="Y",U84="do_not_contact",AQ84&amp;""&lt;&gt;""),"Y","N"))</f>
        <v>N</v>
      </c>
      <c r="EX84" s="0" t="str">
        <f aca="false">IF($A84="","",IF(AN84&amp;""&lt;&gt;"",AN84&amp;"",$A84))</f>
        <v>AB-059</v>
      </c>
      <c r="EY84" s="0" t="str">
        <f aca="false">IF($A84="","",IF(COUNTIFS($EX$2:$EX$1000,EX84,$EV$2:$EV$1000,"Y")+COUNTIFS($EX$2:$EX$1000,EX84,$EW$2:$EW$1000,"Y")&gt;0,"Y","N"))</f>
        <v>N</v>
      </c>
      <c r="EZ84" s="0" t="str">
        <f aca="false">IF($A84="","",IF(AND(U84="new",T84="N",EW84="N",AR84="Y",EY84="N"),"Y","N"))</f>
        <v>N</v>
      </c>
      <c r="FA84" s="0" t="str">
        <f aca="false">IF($A84="","",IF(EZ84&lt;&gt;"Y","N",IF(COUNTIFS($EX$2:$EX$1000,EX84,$EZ$2:$EZ$1000,"Y",$J$2:$J$1000,"&gt;"&amp;J84)+COUNTIFS($EX$2:$EX$1000,EX84,$EZ$2:$EZ$1000,"Y",$J$2:$J$1000,J84,$FG$2:$FG$1000,"&lt;"&amp;FG84)=0,"Y","N")))</f>
        <v>N</v>
      </c>
      <c r="FB84" s="0" t="str">
        <f aca="false">IF($A84="","",IF(AND(EZ84="Y",FA84="Y",Y84&amp;""&lt;&gt;""),IF(Y84&lt;=10,"Y","N"),"N"))</f>
        <v>N</v>
      </c>
      <c r="FC84" s="0" t="str">
        <f aca="false">IF(FB84="Y",Y84,"")</f>
        <v/>
      </c>
      <c r="FD84" s="0" t="str">
        <f aca="false">IF($A84="","",IF(AND(CK84="pass",AU84="Y",AV84&lt;&gt;"Y",U84="new",EW84="N"),"Y","N"))</f>
        <v>N</v>
      </c>
      <c r="FE84" s="0" t="str">
        <f aca="false">IF(FD84&lt;&gt;"Y","",IF(COUNTIFS($FD$2:$FD$1000,"Y",$J$2:$J$1000,"&gt;"&amp;J84)+COUNTIFS($FD$2:$FD$1000,"Y",$J$2:$J$1000,J84,$FG$2:$FG$1000,"&lt;"&amp;FG84)+1&lt;=30,COUNTIFS($FD$2:$FD$1000,"Y",$J$2:$J$1000,"&gt;"&amp;J84)+COUNTIFS($FD$2:$FD$1000,"Y",$J$2:$J$1000,J84,$FG$2:$FG$1000,"&lt;"&amp;FG84)+1,""))</f>
        <v/>
      </c>
      <c r="FF84" s="0" t="str">
        <f aca="false">IF(AND(_xlfn.ISFORMULA(C84),_xlfn.ISFORMULA(J84)),"Y","N")</f>
        <v>Y</v>
      </c>
      <c r="FG84" s="0" t="n">
        <f aca="false">ROW()-1</f>
        <v>83</v>
      </c>
    </row>
    <row r="85" customFormat="false" ht="15" hidden="false" customHeight="false" outlineLevel="0" collapsed="false">
      <c r="A85" s="0" t="s">
        <v>7772</v>
      </c>
      <c r="B85" s="0" t="s">
        <v>7773</v>
      </c>
      <c r="C85" s="0" t="str">
        <f aca="false">IF($A85="","",IF(AT85="Y",BL85&amp;"",AY85&amp;""))</f>
        <v>Alex</v>
      </c>
      <c r="D85" s="0" t="str">
        <f aca="false">IF($A85="","",IF(AT85="Y",BM85&amp;"",AZ85&amp;""))</f>
        <v>McCoy</v>
      </c>
      <c r="E85" s="0" t="str">
        <f aca="false">IF($A85="","",IF(AT85="Y",BN85&amp;"",BA85&amp;""))</f>
        <v>Founder and CEO</v>
      </c>
      <c r="F85" s="0" t="str">
        <f aca="false">IF($A85="","",IF(AT85="Y",BO85&amp;"",BB85&amp;""))</f>
        <v/>
      </c>
      <c r="G85" s="0" t="str">
        <f aca="false">IF($A85="","",IF(AT85="Y",BP85&amp;"",BC85&amp;""))</f>
        <v/>
      </c>
      <c r="H85" s="0" t="str">
        <f aca="false">IF($A85="","",IF(AT85="Y",BQ85&amp;"",BD85&amp;""))</f>
        <v>none</v>
      </c>
      <c r="I85" s="0" t="str">
        <f aca="false">IF($A85="","",IF(R85="Y","warm-intro",IF(H85="verified","email",IF(C85&lt;&gt;"","linkedin",CA85&amp;""))))</f>
        <v>linkedin</v>
      </c>
      <c r="J85" s="0" t="n">
        <f aca="false">IF($A85="","",IF(CK85="pass",ROUND(N(DO85)+N(DP85)+N(DQ85)+N(DR85)+N(DS85)+N(DT85)+N(DU85)+N(DV85),0),0))</f>
        <v>43</v>
      </c>
      <c r="K85" s="0" t="str">
        <f aca="false">IF($A85="","",IF(CK85&lt;&gt;"pass",BY85&amp;"",BY85&amp;", "&amp;IF(AT85="Y",BX85&amp;"",BK85&amp;"")&amp;BZ85&amp;IF(R85="Y","; known to the founder (+10)","")&amp;"."))</f>
        <v>Brand based outside the Northeast, no graded store within ten blocks, online store only, news 4 days ago, revenue unknown, contact named; founder review: other.</v>
      </c>
      <c r="M85" s="0" t="s">
        <v>6144</v>
      </c>
      <c r="N85" s="0" t="s">
        <v>740</v>
      </c>
      <c r="O85" s="0" t="s">
        <v>7774</v>
      </c>
      <c r="P85" s="0" t="s">
        <v>7775</v>
      </c>
      <c r="Q85" s="0" t="s">
        <v>4851</v>
      </c>
      <c r="R85" s="5" t="s">
        <v>189</v>
      </c>
      <c r="S85" s="0" t="s">
        <v>209</v>
      </c>
      <c r="T85" s="5" t="s">
        <v>189</v>
      </c>
      <c r="U85" s="5" t="s">
        <v>3896</v>
      </c>
      <c r="V85" s="0" t="s">
        <v>7775</v>
      </c>
      <c r="W85" s="0" t="s">
        <v>263</v>
      </c>
      <c r="X85" s="0" t="s">
        <v>5578</v>
      </c>
      <c r="Y85" s="0" t="n">
        <f aca="false">IF(FA85&lt;&gt;"Y","",COUNTIFS($FA$2:$FA$1000,"Y",$J$2:$J$1000,"&gt;"&amp;J85)+COUNTIFS($FA$2:$FA$1000,"Y",$J$2:$J$1000,J85,$FG$2:$FG$1000,"&lt;"&amp;FG85)+1)</f>
        <v>41</v>
      </c>
      <c r="Z85" s="0" t="n">
        <v>84</v>
      </c>
      <c r="AA85" s="0" t="s">
        <v>189</v>
      </c>
      <c r="AB85" s="0" t="str">
        <f aca="false">IF($A85="","",IF(AT85="Y",BW85&amp;"",BJ85&amp;""))</f>
        <v>find Alex McCoy at American Ostrich Farms on LinkedIn and paste the profile URL into primary_linkedin_url</v>
      </c>
      <c r="AC85" s="0" t="str">
        <f aca="false">IF($A85="","",IF(AT85="Y",BR85&amp;"",BE85&amp;""))</f>
        <v>founder</v>
      </c>
      <c r="AD85" s="0" t="str">
        <f aca="false">IF($A85="","",IF(AT85="Y",BS85&amp;"",BF85&amp;""))</f>
        <v>verified-page</v>
      </c>
      <c r="AE85" s="0" t="str">
        <f aca="false">IF($A85="","",IF(AT85="Y",BT85&amp;"",BG85&amp;""))</f>
        <v>press, event or podcast page</v>
      </c>
      <c r="AF85" s="0" t="str">
        <f aca="false">IF($A85="","",IF(AT85="Y",BU85&amp;"",BH85&amp;""))</f>
        <v>https://www.snackandbakery.com/articles/116497-american-ostrich-farms-launches-blended-meat-snacks</v>
      </c>
      <c r="AG85" s="0" t="str">
        <f aca="false">IF($A85="","",IF(AT85="Y",BV85&amp;"",BI85&amp;""))</f>
        <v>2026-10-23</v>
      </c>
      <c r="AH85" s="0" t="s">
        <v>7776</v>
      </c>
      <c r="AI85" s="0" t="s">
        <v>6306</v>
      </c>
      <c r="AJ85" s="0" t="s">
        <v>7777</v>
      </c>
      <c r="AK85" s="0" t="s">
        <v>7778</v>
      </c>
      <c r="AL85" s="0" t="s">
        <v>164</v>
      </c>
      <c r="AM85" s="0" t="s">
        <v>7779</v>
      </c>
      <c r="AN85" s="0" t="s">
        <v>7772</v>
      </c>
      <c r="AO85" s="5" t="s">
        <v>189</v>
      </c>
      <c r="AR85" s="0" t="str">
        <f aca="false">IF($A85="","",IF(AND(CK85="pass",AO85&lt;&gt;"Y",C85&lt;&gt;"",OR(AU85&lt;&gt;"Y",AV85="Y")),"Y","N"))</f>
        <v>Y</v>
      </c>
      <c r="AS85" s="0" t="str">
        <f aca="false">IF($A85="","",_xlfn.TEXTJOIN("; ",TRUE(),IF(CK85&lt;&gt;"pass","gated out",""),IF(AO85="Y","on hold: "&amp;AP85,""),IF(C85="","no contact named on an opened page",""),IF(AND(AU85="Y",AV85&lt;&gt;"Y"),"founder review pending (Founder review tab)","")))</f>
        <v/>
      </c>
      <c r="AU85" s="0" t="s">
        <v>189</v>
      </c>
      <c r="AY85" s="0" t="s">
        <v>2598</v>
      </c>
      <c r="AZ85" s="0" t="s">
        <v>7780</v>
      </c>
      <c r="BA85" s="0" t="s">
        <v>5670</v>
      </c>
      <c r="BC85" s="0" t="str">
        <f aca="false">IF($A85="","",IFERROR(INDEX(Enrichment!$A$2:$GZ$2000,MATCH($A85,INDEX(Enrichment!$A$2:$GZ$2000,0,MATCH("row_id",Enrichment!$A$1:$GZ$1,0)),0),MATCH("work_email",Enrichment!$A$1:$GZ$1,0))&amp;"",""))</f>
        <v/>
      </c>
      <c r="BD85" s="0" t="str">
        <f aca="false">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none</v>
      </c>
      <c r="BE85" s="0" t="s">
        <v>5589</v>
      </c>
      <c r="BF85" s="0" t="s">
        <v>169</v>
      </c>
      <c r="BG85" s="0" t="s">
        <v>1252</v>
      </c>
      <c r="BH85" s="0" t="s">
        <v>7775</v>
      </c>
      <c r="BI85" s="0" t="s">
        <v>263</v>
      </c>
      <c r="BJ85" s="0" t="s">
        <v>7781</v>
      </c>
      <c r="BK85" s="0" t="s">
        <v>5643</v>
      </c>
      <c r="BP85" s="0" t="str">
        <f aca="false">IF($A85="","",IFERROR(INDEX(Enrichment!$A$2:$GZ$2000,MATCH($A85,INDEX(Enrichment!$A$2:$GZ$2000,0,MATCH("row_id",Enrichment!$A$1:$GZ$1,0)),0),MATCH("backup_work_email",Enrichment!$A$1:$GZ$1,0))&amp;"",""))</f>
        <v/>
      </c>
      <c r="BQ85" s="0" t="str">
        <f aca="false">IF($A85="","",IF(BP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none</v>
      </c>
      <c r="BS85" s="0" t="s">
        <v>380</v>
      </c>
      <c r="BW85" s="0" t="s">
        <v>387</v>
      </c>
      <c r="BX85" s="0" t="s">
        <v>388</v>
      </c>
      <c r="BY85" s="0" t="s">
        <v>7782</v>
      </c>
      <c r="BZ85" s="0" t="s">
        <v>5960</v>
      </c>
      <c r="CB85" s="0" t="s">
        <v>7783</v>
      </c>
      <c r="CJ85" s="0" t="s">
        <v>7088</v>
      </c>
      <c r="CK85" s="0" t="s">
        <v>200</v>
      </c>
      <c r="CM85" s="0" t="s">
        <v>201</v>
      </c>
      <c r="CN85" s="0" t="s">
        <v>443</v>
      </c>
      <c r="CO85" s="0" t="s">
        <v>7778</v>
      </c>
      <c r="CP85" s="0" t="s">
        <v>7784</v>
      </c>
      <c r="CQ85" s="0" t="s">
        <v>6198</v>
      </c>
      <c r="CR85" s="0" t="s">
        <v>209</v>
      </c>
      <c r="CT85" s="0" t="s">
        <v>164</v>
      </c>
      <c r="CU85" s="0" t="s">
        <v>7785</v>
      </c>
      <c r="CV85" s="0" t="s">
        <v>164</v>
      </c>
      <c r="CW85" s="0" t="s">
        <v>164</v>
      </c>
      <c r="CX85" s="0" t="s">
        <v>209</v>
      </c>
      <c r="CZ85" s="0" t="s">
        <v>209</v>
      </c>
      <c r="DA85" s="0" t="s">
        <v>189</v>
      </c>
      <c r="DB85" s="0" t="s">
        <v>189</v>
      </c>
      <c r="DE85" s="0" t="s">
        <v>189</v>
      </c>
      <c r="DF85" s="0" t="n">
        <v>0</v>
      </c>
      <c r="DI85" s="0" t="s">
        <v>7786</v>
      </c>
      <c r="DJ85" s="0" t="s">
        <v>7775</v>
      </c>
      <c r="DK85" s="0" t="s">
        <v>5617</v>
      </c>
      <c r="DL85" s="0" t="n">
        <v>4</v>
      </c>
      <c r="DN85" s="0" t="n">
        <v>43</v>
      </c>
      <c r="DO85" s="0" t="n">
        <v>6</v>
      </c>
      <c r="DP85" s="0" t="n">
        <v>3</v>
      </c>
      <c r="DQ85" s="0" t="n">
        <v>15</v>
      </c>
      <c r="DR85" s="0" t="n">
        <v>5</v>
      </c>
      <c r="DS85" s="0" t="n">
        <v>10</v>
      </c>
      <c r="DT85" s="0" t="n">
        <v>6</v>
      </c>
      <c r="DU85" s="0" t="n">
        <f aca="false">IF($A85="","",IF(R85="Y",10,0))</f>
        <v>0</v>
      </c>
      <c r="DV85" s="0" t="n">
        <v>-2</v>
      </c>
      <c r="DW85" s="0" t="s">
        <v>209</v>
      </c>
      <c r="DX85" s="0" t="s">
        <v>5814</v>
      </c>
      <c r="DY85" s="0" t="s">
        <v>7787</v>
      </c>
      <c r="DZ85" s="0" t="s">
        <v>7788</v>
      </c>
      <c r="EA85" s="0" t="s">
        <v>7789</v>
      </c>
      <c r="EV85" s="0" t="str">
        <f aca="false">IF($A85="","",IF(ISNUMBER(MATCH(U85,{"queued","contacted","replied","call_booked","call_done","yes_in_principle","materials_sent"},0)),"Y","N"))</f>
        <v>N</v>
      </c>
      <c r="EW85" s="0" t="str">
        <f aca="false">IF($A85="","",IF(OR(T85="Y",U85="do_not_contact",AQ85&amp;""&lt;&gt;""),"Y","N"))</f>
        <v>N</v>
      </c>
      <c r="EX85" s="0" t="str">
        <f aca="false">IF($A85="","",IF(AN85&amp;""&lt;&gt;"",AN85&amp;"",$A85))</f>
        <v>AB-055</v>
      </c>
      <c r="EY85" s="0" t="str">
        <f aca="false">IF($A85="","",IF(COUNTIFS($EX$2:$EX$1000,EX85,$EV$2:$EV$1000,"Y")+COUNTIFS($EX$2:$EX$1000,EX85,$EW$2:$EW$1000,"Y")&gt;0,"Y","N"))</f>
        <v>N</v>
      </c>
      <c r="EZ85" s="0" t="str">
        <f aca="false">IF($A85="","",IF(AND(U85="new",T85="N",EW85="N",AR85="Y",EY85="N"),"Y","N"))</f>
        <v>Y</v>
      </c>
      <c r="FA85" s="0" t="str">
        <f aca="false">IF($A85="","",IF(EZ85&lt;&gt;"Y","N",IF(COUNTIFS($EX$2:$EX$1000,EX85,$EZ$2:$EZ$1000,"Y",$J$2:$J$1000,"&gt;"&amp;J85)+COUNTIFS($EX$2:$EX$1000,EX85,$EZ$2:$EZ$1000,"Y",$J$2:$J$1000,J85,$FG$2:$FG$1000,"&lt;"&amp;FG85)=0,"Y","N")))</f>
        <v>Y</v>
      </c>
      <c r="FB85" s="0" t="str">
        <f aca="false">IF($A85="","",IF(AND(EZ85="Y",FA85="Y",Y85&amp;""&lt;&gt;""),IF(Y85&lt;=10,"Y","N"),"N"))</f>
        <v>N</v>
      </c>
      <c r="FC85" s="0" t="str">
        <f aca="false">IF(FB85="Y",Y85,"")</f>
        <v/>
      </c>
      <c r="FD85" s="0" t="str">
        <f aca="false">IF($A85="","",IF(AND(CK85="pass",AU85="Y",AV85&lt;&gt;"Y",U85="new",EW85="N"),"Y","N"))</f>
        <v>N</v>
      </c>
      <c r="FE85" s="0" t="str">
        <f aca="false">IF(FD85&lt;&gt;"Y","",IF(COUNTIFS($FD$2:$FD$1000,"Y",$J$2:$J$1000,"&gt;"&amp;J85)+COUNTIFS($FD$2:$FD$1000,"Y",$J$2:$J$1000,J85,$FG$2:$FG$1000,"&lt;"&amp;FG85)+1&lt;=30,COUNTIFS($FD$2:$FD$1000,"Y",$J$2:$J$1000,"&gt;"&amp;J85)+COUNTIFS($FD$2:$FD$1000,"Y",$J$2:$J$1000,J85,$FG$2:$FG$1000,"&lt;"&amp;FG85)+1,""))</f>
        <v/>
      </c>
      <c r="FF85" s="0" t="str">
        <f aca="false">IF(AND(_xlfn.ISFORMULA(C85),_xlfn.ISFORMULA(J85)),"Y","N")</f>
        <v>Y</v>
      </c>
      <c r="FG85" s="0" t="n">
        <f aca="false">ROW()-1</f>
        <v>84</v>
      </c>
    </row>
    <row r="86" customFormat="false" ht="15" hidden="false" customHeight="false" outlineLevel="0" collapsed="false">
      <c r="A86" s="0" t="s">
        <v>7790</v>
      </c>
      <c r="B86" s="0" t="s">
        <v>7791</v>
      </c>
      <c r="C86" s="0" t="str">
        <f aca="false">IF($A86="","",IF(AT86="Y",BL86&amp;"",AY86&amp;""))</f>
        <v>Keya</v>
      </c>
      <c r="D86" s="0" t="str">
        <f aca="false">IF($A86="","",IF(AT86="Y",BM86&amp;"",AZ86&amp;""))</f>
        <v>Wingfield</v>
      </c>
      <c r="E86" s="0" t="str">
        <f aca="false">IF($A86="","",IF(AT86="Y",BN86&amp;"",BA86&amp;""))</f>
        <v>Founder</v>
      </c>
      <c r="F86" s="0" t="str">
        <f aca="false">IF($A86="","",IF(AT86="Y",BO86&amp;"",BB86&amp;""))</f>
        <v/>
      </c>
      <c r="G86" s="0" t="str">
        <f aca="false">IF($A86="","",IF(AT86="Y",BP86&amp;"",BC86&amp;""))</f>
        <v/>
      </c>
      <c r="H86" s="0" t="str">
        <f aca="false">IF($A86="","",IF(AT86="Y",BQ86&amp;"",BD86&amp;""))</f>
        <v>none</v>
      </c>
      <c r="I86" s="0" t="str">
        <f aca="false">IF($A86="","",IF(R86="Y","warm-intro",IF(H86="verified","email",IF(C86&lt;&gt;"","linkedin",CA86&amp;""))))</f>
        <v>linkedin</v>
      </c>
      <c r="J86" s="0" t="n">
        <f aca="false">IF($A86="","",IF(CK86="pass",ROUND(N(DO86)+N(DP86)+N(DQ86)+N(DR86)+N(DS86)+N(DT86)+N(DU86)+N(DV86),0),0))</f>
        <v>43</v>
      </c>
      <c r="K86" s="0" t="str">
        <f aca="false">IF($A86="","",IF(CK86&lt;&gt;"pass",BY86&amp;"",BY86&amp;", "&amp;IF(AT86="Y",BX86&amp;"",BK86&amp;"")&amp;BZ86&amp;IF(R86="Y","; known to the founder (+10)","")&amp;"."))</f>
        <v>Brand based outside the Northeast, no graded store within ten blocks, online store only, news 144 days ago, revenue unknown, contact named; founder review: other.</v>
      </c>
      <c r="M86" s="0" t="s">
        <v>6144</v>
      </c>
      <c r="N86" s="0" t="s">
        <v>740</v>
      </c>
      <c r="O86" s="0" t="s">
        <v>7792</v>
      </c>
      <c r="P86" s="0" t="s">
        <v>6146</v>
      </c>
      <c r="Q86" s="0" t="s">
        <v>3096</v>
      </c>
      <c r="R86" s="5" t="s">
        <v>189</v>
      </c>
      <c r="S86" s="0" t="s">
        <v>164</v>
      </c>
      <c r="T86" s="5" t="s">
        <v>189</v>
      </c>
      <c r="U86" s="5" t="s">
        <v>3896</v>
      </c>
      <c r="V86" s="0" t="s">
        <v>7793</v>
      </c>
      <c r="W86" s="0" t="s">
        <v>172</v>
      </c>
      <c r="X86" s="0" t="s">
        <v>5578</v>
      </c>
      <c r="Y86" s="0" t="n">
        <f aca="false">IF(FA86&lt;&gt;"Y","",COUNTIFS($FA$2:$FA$1000,"Y",$J$2:$J$1000,"&gt;"&amp;J86)+COUNTIFS($FA$2:$FA$1000,"Y",$J$2:$J$1000,J86,$FG$2:$FG$1000,"&lt;"&amp;FG86)+1)</f>
        <v>42</v>
      </c>
      <c r="Z86" s="0" t="n">
        <v>85</v>
      </c>
      <c r="AA86" s="0" t="s">
        <v>189</v>
      </c>
      <c r="AB86" s="0" t="str">
        <f aca="false">IF($A86="","",IF(AT86="Y",BW86&amp;"",BJ86&amp;""))</f>
        <v>find Keya Wingfield at Keya's Snacks on LinkedIn and paste the profile URL into primary_linkedin_url</v>
      </c>
      <c r="AC86" s="0" t="str">
        <f aca="false">IF($A86="","",IF(AT86="Y",BR86&amp;"",BE86&amp;""))</f>
        <v>founder</v>
      </c>
      <c r="AD86" s="0" t="str">
        <f aca="false">IF($A86="","",IF(AT86="Y",BS86&amp;"",BF86&amp;""))</f>
        <v>verified-page</v>
      </c>
      <c r="AE86" s="0" t="str">
        <f aca="false">IF($A86="","",IF(AT86="Y",BT86&amp;"",BG86&amp;""))</f>
        <v>press, event or podcast page</v>
      </c>
      <c r="AF86" s="0" t="str">
        <f aca="false">IF($A86="","",IF(AT86="Y",BU86&amp;"",BH86&amp;""))</f>
        <v>https://startupcpg.com/14-chip-brands-taking-your-tastebuds-on-a-flavor-tour/</v>
      </c>
      <c r="AG86" s="0" t="str">
        <f aca="false">IF($A86="","",IF(AT86="Y",BV86&amp;"",BI86&amp;""))</f>
        <v>2026-10-24</v>
      </c>
      <c r="AH86" s="0" t="s">
        <v>7794</v>
      </c>
      <c r="AI86" s="0" t="s">
        <v>5789</v>
      </c>
      <c r="AJ86" s="0" t="s">
        <v>7795</v>
      </c>
      <c r="AK86" s="0" t="s">
        <v>7796</v>
      </c>
      <c r="AL86" s="0" t="s">
        <v>164</v>
      </c>
      <c r="AM86" s="0" t="s">
        <v>7797</v>
      </c>
      <c r="AN86" s="0" t="s">
        <v>7790</v>
      </c>
      <c r="AO86" s="5" t="s">
        <v>189</v>
      </c>
      <c r="AR86" s="0" t="str">
        <f aca="false">IF($A86="","",IF(AND(CK86="pass",AO86&lt;&gt;"Y",C86&lt;&gt;"",OR(AU86&lt;&gt;"Y",AV86="Y")),"Y","N"))</f>
        <v>Y</v>
      </c>
      <c r="AS86" s="0" t="str">
        <f aca="false">IF($A86="","",_xlfn.TEXTJOIN("; ",TRUE(),IF(CK86&lt;&gt;"pass","gated out",""),IF(AO86="Y","on hold: "&amp;AP86,""),IF(C86="","no contact named on an opened page",""),IF(AND(AU86="Y",AV86&lt;&gt;"Y"),"founder review pending (Founder review tab)","")))</f>
        <v/>
      </c>
      <c r="AU86" s="0" t="s">
        <v>189</v>
      </c>
      <c r="AY86" s="0" t="s">
        <v>7798</v>
      </c>
      <c r="AZ86" s="0" t="s">
        <v>7799</v>
      </c>
      <c r="BA86" s="0" t="s">
        <v>5739</v>
      </c>
      <c r="BC86" s="0" t="str">
        <f aca="false">IF($A86="","",IFERROR(INDEX(Enrichment!$A$2:$GZ$2000,MATCH($A86,INDEX(Enrichment!$A$2:$GZ$2000,0,MATCH("row_id",Enrichment!$A$1:$GZ$1,0)),0),MATCH("work_email",Enrichment!$A$1:$GZ$1,0))&amp;"",""))</f>
        <v/>
      </c>
      <c r="BD86" s="0" t="str">
        <f aca="false">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none</v>
      </c>
      <c r="BE86" s="0" t="s">
        <v>5589</v>
      </c>
      <c r="BF86" s="0" t="s">
        <v>169</v>
      </c>
      <c r="BG86" s="0" t="s">
        <v>1252</v>
      </c>
      <c r="BH86" s="0" t="s">
        <v>6950</v>
      </c>
      <c r="BI86" s="0" t="s">
        <v>172</v>
      </c>
      <c r="BJ86" s="0" t="s">
        <v>7800</v>
      </c>
      <c r="BK86" s="0" t="s">
        <v>5643</v>
      </c>
      <c r="BP86" s="0" t="str">
        <f aca="false">IF($A86="","",IFERROR(INDEX(Enrichment!$A$2:$GZ$2000,MATCH($A86,INDEX(Enrichment!$A$2:$GZ$2000,0,MATCH("row_id",Enrichment!$A$1:$GZ$1,0)),0),MATCH("backup_work_email",Enrichment!$A$1:$GZ$1,0))&amp;"",""))</f>
        <v/>
      </c>
      <c r="BQ86" s="0" t="str">
        <f aca="false">IF($A86="","",IF(BP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none</v>
      </c>
      <c r="BS86" s="0" t="s">
        <v>380</v>
      </c>
      <c r="BW86" s="0" t="s">
        <v>387</v>
      </c>
      <c r="BX86" s="0" t="s">
        <v>388</v>
      </c>
      <c r="BY86" s="0" t="s">
        <v>7801</v>
      </c>
      <c r="BZ86" s="0" t="s">
        <v>5960</v>
      </c>
      <c r="CB86" s="0" t="s">
        <v>7802</v>
      </c>
      <c r="CJ86" s="0" t="s">
        <v>7088</v>
      </c>
      <c r="CK86" s="0" t="s">
        <v>200</v>
      </c>
      <c r="CM86" s="0" t="s">
        <v>201</v>
      </c>
      <c r="CN86" s="0" t="s">
        <v>443</v>
      </c>
      <c r="CO86" s="0" t="s">
        <v>7803</v>
      </c>
      <c r="CP86" s="0" t="s">
        <v>6197</v>
      </c>
      <c r="CQ86" s="0" t="s">
        <v>6198</v>
      </c>
      <c r="CR86" s="0" t="s">
        <v>209</v>
      </c>
      <c r="CT86" s="0" t="s">
        <v>164</v>
      </c>
      <c r="CU86" s="0" t="s">
        <v>7804</v>
      </c>
      <c r="CV86" s="0" t="s">
        <v>164</v>
      </c>
      <c r="CW86" s="0" t="s">
        <v>164</v>
      </c>
      <c r="CX86" s="0" t="s">
        <v>209</v>
      </c>
      <c r="CZ86" s="0" t="s">
        <v>7805</v>
      </c>
      <c r="DA86" s="0" t="s">
        <v>189</v>
      </c>
      <c r="DB86" s="0" t="s">
        <v>189</v>
      </c>
      <c r="DE86" s="0" t="s">
        <v>189</v>
      </c>
      <c r="DF86" s="0" t="n">
        <v>0</v>
      </c>
      <c r="DI86" s="0" t="s">
        <v>7806</v>
      </c>
      <c r="DK86" s="0" t="s">
        <v>5617</v>
      </c>
      <c r="DL86" s="0" t="n">
        <v>144</v>
      </c>
      <c r="DM86" s="0" t="s">
        <v>5979</v>
      </c>
      <c r="DN86" s="0" t="n">
        <v>43</v>
      </c>
      <c r="DO86" s="0" t="n">
        <v>6</v>
      </c>
      <c r="DP86" s="0" t="n">
        <v>3</v>
      </c>
      <c r="DQ86" s="0" t="n">
        <v>15</v>
      </c>
      <c r="DR86" s="0" t="n">
        <v>5</v>
      </c>
      <c r="DS86" s="0" t="n">
        <v>10</v>
      </c>
      <c r="DT86" s="0" t="n">
        <v>6</v>
      </c>
      <c r="DU86" s="0" t="n">
        <f aca="false">IF($A86="","",IF(R86="Y",10,0))</f>
        <v>0</v>
      </c>
      <c r="DV86" s="0" t="n">
        <v>-2</v>
      </c>
      <c r="DW86" s="0" t="s">
        <v>7807</v>
      </c>
      <c r="DX86" s="0" t="s">
        <v>5998</v>
      </c>
      <c r="DY86" s="0" t="s">
        <v>7808</v>
      </c>
      <c r="DZ86" s="0" t="s">
        <v>7809</v>
      </c>
      <c r="EV86" s="0" t="str">
        <f aca="false">IF($A86="","",IF(ISNUMBER(MATCH(U86,{"queued","contacted","replied","call_booked","call_done","yes_in_principle","materials_sent"},0)),"Y","N"))</f>
        <v>N</v>
      </c>
      <c r="EW86" s="0" t="str">
        <f aca="false">IF($A86="","",IF(OR(T86="Y",U86="do_not_contact",AQ86&amp;""&lt;&gt;""),"Y","N"))</f>
        <v>N</v>
      </c>
      <c r="EX86" s="0" t="str">
        <f aca="false">IF($A86="","",IF(AN86&amp;""&lt;&gt;"",AN86&amp;"",$A86))</f>
        <v>AB-284</v>
      </c>
      <c r="EY86" s="0" t="str">
        <f aca="false">IF($A86="","",IF(COUNTIFS($EX$2:$EX$1000,EX86,$EV$2:$EV$1000,"Y")+COUNTIFS($EX$2:$EX$1000,EX86,$EW$2:$EW$1000,"Y")&gt;0,"Y","N"))</f>
        <v>N</v>
      </c>
      <c r="EZ86" s="0" t="str">
        <f aca="false">IF($A86="","",IF(AND(U86="new",T86="N",EW86="N",AR86="Y",EY86="N"),"Y","N"))</f>
        <v>Y</v>
      </c>
      <c r="FA86" s="0" t="str">
        <f aca="false">IF($A86="","",IF(EZ86&lt;&gt;"Y","N",IF(COUNTIFS($EX$2:$EX$1000,EX86,$EZ$2:$EZ$1000,"Y",$J$2:$J$1000,"&gt;"&amp;J86)+COUNTIFS($EX$2:$EX$1000,EX86,$EZ$2:$EZ$1000,"Y",$J$2:$J$1000,J86,$FG$2:$FG$1000,"&lt;"&amp;FG86)=0,"Y","N")))</f>
        <v>Y</v>
      </c>
      <c r="FB86" s="0" t="str">
        <f aca="false">IF($A86="","",IF(AND(EZ86="Y",FA86="Y",Y86&amp;""&lt;&gt;""),IF(Y86&lt;=10,"Y","N"),"N"))</f>
        <v>N</v>
      </c>
      <c r="FC86" s="0" t="str">
        <f aca="false">IF(FB86="Y",Y86,"")</f>
        <v/>
      </c>
      <c r="FD86" s="0" t="str">
        <f aca="false">IF($A86="","",IF(AND(CK86="pass",AU86="Y",AV86&lt;&gt;"Y",U86="new",EW86="N"),"Y","N"))</f>
        <v>N</v>
      </c>
      <c r="FE86" s="0" t="str">
        <f aca="false">IF(FD86&lt;&gt;"Y","",IF(COUNTIFS($FD$2:$FD$1000,"Y",$J$2:$J$1000,"&gt;"&amp;J86)+COUNTIFS($FD$2:$FD$1000,"Y",$J$2:$J$1000,J86,$FG$2:$FG$1000,"&lt;"&amp;FG86)+1&lt;=30,COUNTIFS($FD$2:$FD$1000,"Y",$J$2:$J$1000,"&gt;"&amp;J86)+COUNTIFS($FD$2:$FD$1000,"Y",$J$2:$J$1000,J86,$FG$2:$FG$1000,"&lt;"&amp;FG86)+1,""))</f>
        <v/>
      </c>
      <c r="FF86" s="0" t="str">
        <f aca="false">IF(AND(_xlfn.ISFORMULA(C86),_xlfn.ISFORMULA(J86)),"Y","N")</f>
        <v>Y</v>
      </c>
      <c r="FG86" s="0" t="n">
        <f aca="false">ROW()-1</f>
        <v>85</v>
      </c>
    </row>
    <row r="87" customFormat="false" ht="15" hidden="false" customHeight="false" outlineLevel="0" collapsed="false">
      <c r="A87" s="0" t="s">
        <v>7810</v>
      </c>
      <c r="B87" s="0" t="s">
        <v>7811</v>
      </c>
      <c r="C87" s="0" t="str">
        <f aca="false">IF($A87="","",IF(AT87="Y",BL87&amp;"",AY87&amp;""))</f>
        <v>Monica</v>
      </c>
      <c r="D87" s="0" t="str">
        <f aca="false">IF($A87="","",IF(AT87="Y",BM87&amp;"",AZ87&amp;""))</f>
        <v>Wong</v>
      </c>
      <c r="E87" s="0" t="str">
        <f aca="false">IF($A87="","",IF(AT87="Y",BN87&amp;"",BA87&amp;""))</f>
        <v>Co-founder and CEO</v>
      </c>
      <c r="F87" s="0" t="str">
        <f aca="false">IF($A87="","",IF(AT87="Y",BO87&amp;"",BB87&amp;""))</f>
        <v/>
      </c>
      <c r="G87" s="0" t="str">
        <f aca="false">IF($A87="","",IF(AT87="Y",BP87&amp;"",BC87&amp;""))</f>
        <v/>
      </c>
      <c r="H87" s="0" t="str">
        <f aca="false">IF($A87="","",IF(AT87="Y",BQ87&amp;"",BD87&amp;""))</f>
        <v>none</v>
      </c>
      <c r="I87" s="0" t="str">
        <f aca="false">IF($A87="","",IF(R87="Y","warm-intro",IF(H87="verified","email",IF(C87&lt;&gt;"","linkedin",CA87&amp;""))))</f>
        <v>linkedin</v>
      </c>
      <c r="J87" s="0" t="n">
        <f aca="false">IF($A87="","",IF(CK87="pass",ROUND(N(DO87)+N(DP87)+N(DQ87)+N(DR87)+N(DS87)+N(DT87)+N(DU87)+N(DV87),0),0))</f>
        <v>43</v>
      </c>
      <c r="K87" s="0" t="str">
        <f aca="false">IF($A87="","",IF(CK87&lt;&gt;"pass",BY87&amp;"",BY87&amp;", "&amp;IF(AT87="Y",BX87&amp;"",BK87&amp;"")&amp;BZ87&amp;IF(R87="Y","; known to the founder (+10)","")&amp;"."))</f>
        <v>Brand based outside the Northeast, no graded store within ten blocks, online store only, news 79 days ago, revenue unknown, contact named; founder review: other.</v>
      </c>
      <c r="M87" s="0" t="s">
        <v>6144</v>
      </c>
      <c r="N87" s="0" t="s">
        <v>740</v>
      </c>
      <c r="O87" s="0" t="s">
        <v>7812</v>
      </c>
      <c r="P87" s="0" t="s">
        <v>6470</v>
      </c>
      <c r="Q87" s="0" t="s">
        <v>4090</v>
      </c>
      <c r="R87" s="5" t="s">
        <v>189</v>
      </c>
      <c r="S87" s="0" t="s">
        <v>164</v>
      </c>
      <c r="T87" s="5" t="s">
        <v>189</v>
      </c>
      <c r="U87" s="5" t="s">
        <v>3896</v>
      </c>
      <c r="V87" s="0" t="s">
        <v>7813</v>
      </c>
      <c r="W87" s="0" t="s">
        <v>263</v>
      </c>
      <c r="X87" s="0" t="s">
        <v>5578</v>
      </c>
      <c r="Y87" s="0" t="n">
        <f aca="false">IF(FA87&lt;&gt;"Y","",COUNTIFS($FA$2:$FA$1000,"Y",$J$2:$J$1000,"&gt;"&amp;J87)+COUNTIFS($FA$2:$FA$1000,"Y",$J$2:$J$1000,J87,$FG$2:$FG$1000,"&lt;"&amp;FG87)+1)</f>
        <v>43</v>
      </c>
      <c r="Z87" s="0" t="n">
        <v>86</v>
      </c>
      <c r="AA87" s="0" t="s">
        <v>189</v>
      </c>
      <c r="AB87" s="0" t="str">
        <f aca="false">IF($A87="","",IF(AT87="Y",BW87&amp;"",BJ87&amp;""))</f>
        <v>find Monica Wong at Little Green Cyclo on LinkedIn and paste the profile URL into primary_linkedin_url</v>
      </c>
      <c r="AC87" s="0" t="str">
        <f aca="false">IF($A87="","",IF(AT87="Y",BR87&amp;"",BE87&amp;""))</f>
        <v>founder</v>
      </c>
      <c r="AD87" s="0" t="str">
        <f aca="false">IF($A87="","",IF(AT87="Y",BS87&amp;"",BF87&amp;""))</f>
        <v>verified-page</v>
      </c>
      <c r="AE87" s="0" t="str">
        <f aca="false">IF($A87="","",IF(AT87="Y",BT87&amp;"",BG87&amp;""))</f>
        <v>employer's own site</v>
      </c>
      <c r="AF87" s="0" t="str">
        <f aca="false">IF($A87="","",IF(AT87="Y",BU87&amp;"",BH87&amp;""))</f>
        <v>https://coffeelgc.com/pages/founder-story</v>
      </c>
      <c r="AG87" s="0" t="str">
        <f aca="false">IF($A87="","",IF(AT87="Y",BV87&amp;"",BI87&amp;""))</f>
        <v>2026-10-23</v>
      </c>
      <c r="AH87" s="0" t="s">
        <v>7814</v>
      </c>
      <c r="AI87" s="0" t="s">
        <v>6473</v>
      </c>
      <c r="AJ87" s="0" t="s">
        <v>7815</v>
      </c>
      <c r="AK87" s="0" t="s">
        <v>7816</v>
      </c>
      <c r="AL87" s="0" t="s">
        <v>164</v>
      </c>
      <c r="AM87" s="0" t="s">
        <v>7817</v>
      </c>
      <c r="AN87" s="0" t="s">
        <v>7810</v>
      </c>
      <c r="AO87" s="5" t="s">
        <v>189</v>
      </c>
      <c r="AR87" s="0" t="str">
        <f aca="false">IF($A87="","",IF(AND(CK87="pass",AO87&lt;&gt;"Y",C87&lt;&gt;"",OR(AU87&lt;&gt;"Y",AV87="Y")),"Y","N"))</f>
        <v>Y</v>
      </c>
      <c r="AS87" s="0" t="str">
        <f aca="false">IF($A87="","",_xlfn.TEXTJOIN("; ",TRUE(),IF(CK87&lt;&gt;"pass","gated out",""),IF(AO87="Y","on hold: "&amp;AP87,""),IF(C87="","no contact named on an opened page",""),IF(AND(AU87="Y",AV87&lt;&gt;"Y"),"founder review pending (Founder review tab)","")))</f>
        <v/>
      </c>
      <c r="AU87" s="0" t="s">
        <v>189</v>
      </c>
      <c r="AY87" s="0" t="s">
        <v>7818</v>
      </c>
      <c r="AZ87" s="0" t="s">
        <v>7819</v>
      </c>
      <c r="BA87" s="0" t="s">
        <v>5830</v>
      </c>
      <c r="BC87" s="0" t="str">
        <f aca="false">IF($A87="","",IFERROR(INDEX(Enrichment!$A$2:$GZ$2000,MATCH($A87,INDEX(Enrichment!$A$2:$GZ$2000,0,MATCH("row_id",Enrichment!$A$1:$GZ$1,0)),0),MATCH("work_email",Enrichment!$A$1:$GZ$1,0))&amp;"",""))</f>
        <v/>
      </c>
      <c r="BD87" s="0" t="str">
        <f aca="false">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none</v>
      </c>
      <c r="BE87" s="0" t="s">
        <v>5589</v>
      </c>
      <c r="BF87" s="0" t="s">
        <v>169</v>
      </c>
      <c r="BG87" s="0" t="s">
        <v>170</v>
      </c>
      <c r="BH87" s="0" t="s">
        <v>7813</v>
      </c>
      <c r="BI87" s="0" t="s">
        <v>263</v>
      </c>
      <c r="BJ87" s="0" t="s">
        <v>7820</v>
      </c>
      <c r="BK87" s="0" t="s">
        <v>5643</v>
      </c>
      <c r="BP87" s="0" t="str">
        <f aca="false">IF($A87="","",IFERROR(INDEX(Enrichment!$A$2:$GZ$2000,MATCH($A87,INDEX(Enrichment!$A$2:$GZ$2000,0,MATCH("row_id",Enrichment!$A$1:$GZ$1,0)),0),MATCH("backup_work_email",Enrichment!$A$1:$GZ$1,0))&amp;"",""))</f>
        <v/>
      </c>
      <c r="BQ87" s="0" t="str">
        <f aca="false">IF($A87="","",IF(BP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none</v>
      </c>
      <c r="BS87" s="0" t="s">
        <v>380</v>
      </c>
      <c r="BW87" s="0" t="s">
        <v>387</v>
      </c>
      <c r="BX87" s="0" t="s">
        <v>388</v>
      </c>
      <c r="BY87" s="0" t="s">
        <v>7821</v>
      </c>
      <c r="BZ87" s="0" t="s">
        <v>5960</v>
      </c>
      <c r="CB87" s="0" t="s">
        <v>7822</v>
      </c>
      <c r="CJ87" s="0" t="s">
        <v>7088</v>
      </c>
      <c r="CK87" s="0" t="s">
        <v>200</v>
      </c>
      <c r="CM87" s="0" t="s">
        <v>201</v>
      </c>
      <c r="CN87" s="0" t="s">
        <v>443</v>
      </c>
      <c r="CO87" s="0" t="s">
        <v>7816</v>
      </c>
      <c r="CP87" s="0" t="s">
        <v>6550</v>
      </c>
      <c r="CQ87" s="0" t="s">
        <v>6198</v>
      </c>
      <c r="CR87" s="0" t="s">
        <v>209</v>
      </c>
      <c r="CT87" s="0" t="s">
        <v>164</v>
      </c>
      <c r="CU87" s="0" t="s">
        <v>7823</v>
      </c>
      <c r="CV87" s="0" t="s">
        <v>164</v>
      </c>
      <c r="CW87" s="0" t="s">
        <v>164</v>
      </c>
      <c r="CX87" s="0" t="s">
        <v>209</v>
      </c>
      <c r="CZ87" s="0" t="s">
        <v>6456</v>
      </c>
      <c r="DA87" s="0" t="s">
        <v>189</v>
      </c>
      <c r="DB87" s="0" t="s">
        <v>189</v>
      </c>
      <c r="DE87" s="0" t="s">
        <v>189</v>
      </c>
      <c r="DF87" s="0" t="n">
        <v>0</v>
      </c>
      <c r="DI87" s="0" t="s">
        <v>7824</v>
      </c>
      <c r="DJ87" s="0" t="s">
        <v>7825</v>
      </c>
      <c r="DK87" s="0" t="s">
        <v>5617</v>
      </c>
      <c r="DL87" s="0" t="n">
        <v>79</v>
      </c>
      <c r="DM87" s="0" t="s">
        <v>6470</v>
      </c>
      <c r="DN87" s="0" t="n">
        <v>43</v>
      </c>
      <c r="DO87" s="0" t="n">
        <v>6</v>
      </c>
      <c r="DP87" s="0" t="n">
        <v>3</v>
      </c>
      <c r="DQ87" s="0" t="n">
        <v>15</v>
      </c>
      <c r="DR87" s="0" t="n">
        <v>5</v>
      </c>
      <c r="DS87" s="0" t="n">
        <v>10</v>
      </c>
      <c r="DT87" s="0" t="n">
        <v>6</v>
      </c>
      <c r="DU87" s="0" t="n">
        <f aca="false">IF($A87="","",IF(R87="Y",10,0))</f>
        <v>0</v>
      </c>
      <c r="DV87" s="0" t="n">
        <v>-2</v>
      </c>
      <c r="DW87" s="0" t="s">
        <v>209</v>
      </c>
      <c r="DX87" s="0" t="s">
        <v>6462</v>
      </c>
      <c r="DY87" s="0" t="s">
        <v>7826</v>
      </c>
      <c r="DZ87" s="0" t="s">
        <v>7827</v>
      </c>
      <c r="EV87" s="0" t="str">
        <f aca="false">IF($A87="","",IF(ISNUMBER(MATCH(U87,{"queued","contacted","replied","call_booked","call_done","yes_in_principle","materials_sent"},0)),"Y","N"))</f>
        <v>N</v>
      </c>
      <c r="EW87" s="0" t="str">
        <f aca="false">IF($A87="","",IF(OR(T87="Y",U87="do_not_contact",AQ87&amp;""&lt;&gt;""),"Y","N"))</f>
        <v>N</v>
      </c>
      <c r="EX87" s="0" t="str">
        <f aca="false">IF($A87="","",IF(AN87&amp;""&lt;&gt;"",AN87&amp;"",$A87))</f>
        <v>AB-170</v>
      </c>
      <c r="EY87" s="0" t="str">
        <f aca="false">IF($A87="","",IF(COUNTIFS($EX$2:$EX$1000,EX87,$EV$2:$EV$1000,"Y")+COUNTIFS($EX$2:$EX$1000,EX87,$EW$2:$EW$1000,"Y")&gt;0,"Y","N"))</f>
        <v>N</v>
      </c>
      <c r="EZ87" s="0" t="str">
        <f aca="false">IF($A87="","",IF(AND(U87="new",T87="N",EW87="N",AR87="Y",EY87="N"),"Y","N"))</f>
        <v>Y</v>
      </c>
      <c r="FA87" s="0" t="str">
        <f aca="false">IF($A87="","",IF(EZ87&lt;&gt;"Y","N",IF(COUNTIFS($EX$2:$EX$1000,EX87,$EZ$2:$EZ$1000,"Y",$J$2:$J$1000,"&gt;"&amp;J87)+COUNTIFS($EX$2:$EX$1000,EX87,$EZ$2:$EZ$1000,"Y",$J$2:$J$1000,J87,$FG$2:$FG$1000,"&lt;"&amp;FG87)=0,"Y","N")))</f>
        <v>Y</v>
      </c>
      <c r="FB87" s="0" t="str">
        <f aca="false">IF($A87="","",IF(AND(EZ87="Y",FA87="Y",Y87&amp;""&lt;&gt;""),IF(Y87&lt;=10,"Y","N"),"N"))</f>
        <v>N</v>
      </c>
      <c r="FC87" s="0" t="str">
        <f aca="false">IF(FB87="Y",Y87,"")</f>
        <v/>
      </c>
      <c r="FD87" s="0" t="str">
        <f aca="false">IF($A87="","",IF(AND(CK87="pass",AU87="Y",AV87&lt;&gt;"Y",U87="new",EW87="N"),"Y","N"))</f>
        <v>N</v>
      </c>
      <c r="FE87" s="0" t="str">
        <f aca="false">IF(FD87&lt;&gt;"Y","",IF(COUNTIFS($FD$2:$FD$1000,"Y",$J$2:$J$1000,"&gt;"&amp;J87)+COUNTIFS($FD$2:$FD$1000,"Y",$J$2:$J$1000,J87,$FG$2:$FG$1000,"&lt;"&amp;FG87)+1&lt;=30,COUNTIFS($FD$2:$FD$1000,"Y",$J$2:$J$1000,"&gt;"&amp;J87)+COUNTIFS($FD$2:$FD$1000,"Y",$J$2:$J$1000,J87,$FG$2:$FG$1000,"&lt;"&amp;FG87)+1,""))</f>
        <v/>
      </c>
      <c r="FF87" s="0" t="str">
        <f aca="false">IF(AND(_xlfn.ISFORMULA(C87),_xlfn.ISFORMULA(J87)),"Y","N")</f>
        <v>Y</v>
      </c>
      <c r="FG87" s="0" t="n">
        <f aca="false">ROW()-1</f>
        <v>86</v>
      </c>
    </row>
    <row r="88" customFormat="false" ht="15" hidden="false" customHeight="false" outlineLevel="0" collapsed="false">
      <c r="A88" s="0" t="s">
        <v>7828</v>
      </c>
      <c r="B88" s="0" t="s">
        <v>7829</v>
      </c>
      <c r="C88" s="0" t="str">
        <f aca="false">IF($A88="","",IF(AT88="Y",BL88&amp;"",AY88&amp;""))</f>
        <v>Joe</v>
      </c>
      <c r="D88" s="0" t="str">
        <f aca="false">IF($A88="","",IF(AT88="Y",BM88&amp;"",AZ88&amp;""))</f>
        <v>Fiorenzo</v>
      </c>
      <c r="E88" s="0" t="str">
        <f aca="false">IF($A88="","",IF(AT88="Y",BN88&amp;"",BA88&amp;""))</f>
        <v>Co-founder</v>
      </c>
      <c r="F88" s="0" t="str">
        <f aca="false">IF($A88="","",IF(AT88="Y",BO88&amp;"",BB88&amp;""))</f>
        <v/>
      </c>
      <c r="G88" s="0" t="str">
        <f aca="false">IF($A88="","",IF(AT88="Y",BP88&amp;"",BC88&amp;""))</f>
        <v/>
      </c>
      <c r="H88" s="0" t="str">
        <f aca="false">IF($A88="","",IF(AT88="Y",BQ88&amp;"",BD88&amp;""))</f>
        <v>none</v>
      </c>
      <c r="I88" s="0" t="str">
        <f aca="false">IF($A88="","",IF(R88="Y","warm-intro",IF(H88="verified","email",IF(C88&lt;&gt;"","linkedin",CA88&amp;""))))</f>
        <v>linkedin</v>
      </c>
      <c r="J88" s="0" t="n">
        <f aca="false">IF($A88="","",IF(CK88="pass",ROUND(N(DO88)+N(DP88)+N(DQ88)+N(DR88)+N(DS88)+N(DT88)+N(DU88)+N(DV88),0),0))</f>
        <v>43</v>
      </c>
      <c r="K88" s="0" t="str">
        <f aca="false">IF($A88="","",IF(CK88&lt;&gt;"pass",BY88&amp;"",BY88&amp;", "&amp;IF(AT88="Y",BX88&amp;"",BK88&amp;"")&amp;BZ88&amp;IF(R88="Y","; known to the founder (+10)","")&amp;"."))</f>
        <v>Brand based outside the Northeast, no graded store within ten blocks, online store only, news 37 days ago, revenue unknown, contact named; founder review: format-unconfirmed.</v>
      </c>
      <c r="M88" s="0" t="s">
        <v>6144</v>
      </c>
      <c r="N88" s="0" t="s">
        <v>740</v>
      </c>
      <c r="O88" s="0" t="s">
        <v>7830</v>
      </c>
      <c r="P88" s="0" t="s">
        <v>7831</v>
      </c>
      <c r="Q88" s="0" t="s">
        <v>4494</v>
      </c>
      <c r="R88" s="5" t="s">
        <v>189</v>
      </c>
      <c r="S88" s="0" t="s">
        <v>164</v>
      </c>
      <c r="T88" s="5" t="s">
        <v>189</v>
      </c>
      <c r="U88" s="5" t="s">
        <v>3896</v>
      </c>
      <c r="V88" s="0" t="s">
        <v>7832</v>
      </c>
      <c r="W88" s="0" t="s">
        <v>263</v>
      </c>
      <c r="X88" s="0" t="s">
        <v>5578</v>
      </c>
      <c r="Y88" s="0" t="n">
        <f aca="false">IF(FA88&lt;&gt;"Y","",COUNTIFS($FA$2:$FA$1000,"Y",$J$2:$J$1000,"&gt;"&amp;J88)+COUNTIFS($FA$2:$FA$1000,"Y",$J$2:$J$1000,J88,$FG$2:$FG$1000,"&lt;"&amp;FG88)+1)</f>
        <v>44</v>
      </c>
      <c r="Z88" s="0" t="n">
        <v>87</v>
      </c>
      <c r="AA88" s="0" t="s">
        <v>189</v>
      </c>
      <c r="AB88" s="0" t="str">
        <f aca="false">IF($A88="","",IF(AT88="Y",BW88&amp;"",BJ88&amp;""))</f>
        <v>find Joe Fiorenzo at Sfizi on LinkedIn and paste the profile URL into primary_linkedin_url</v>
      </c>
      <c r="AC88" s="0" t="str">
        <f aca="false">IF($A88="","",IF(AT88="Y",BR88&amp;"",BE88&amp;""))</f>
        <v>founder</v>
      </c>
      <c r="AD88" s="0" t="str">
        <f aca="false">IF($A88="","",IF(AT88="Y",BS88&amp;"",BF88&amp;""))</f>
        <v>verified-page</v>
      </c>
      <c r="AE88" s="0" t="str">
        <f aca="false">IF($A88="","",IF(AT88="Y",BT88&amp;"",BG88&amp;""))</f>
        <v>employer's own site</v>
      </c>
      <c r="AF88" s="0" t="str">
        <f aca="false">IF($A88="","",IF(AT88="Y",BU88&amp;"",BH88&amp;""))</f>
        <v>https://eatsfizi.com/pages/about</v>
      </c>
      <c r="AG88" s="0" t="str">
        <f aca="false">IF($A88="","",IF(AT88="Y",BV88&amp;"",BI88&amp;""))</f>
        <v>2026-10-23</v>
      </c>
      <c r="AH88" s="0" t="s">
        <v>7833</v>
      </c>
      <c r="AI88" s="0" t="s">
        <v>5630</v>
      </c>
      <c r="AJ88" s="0" t="s">
        <v>7834</v>
      </c>
      <c r="AK88" s="0" t="s">
        <v>7835</v>
      </c>
      <c r="AL88" s="0" t="s">
        <v>164</v>
      </c>
      <c r="AM88" s="0" t="s">
        <v>5760</v>
      </c>
      <c r="AN88" s="0" t="s">
        <v>7828</v>
      </c>
      <c r="AO88" s="5" t="s">
        <v>189</v>
      </c>
      <c r="AR88" s="0" t="str">
        <f aca="false">IF($A88="","",IF(AND(CK88="pass",AO88&lt;&gt;"Y",C88&lt;&gt;"",OR(AU88&lt;&gt;"Y",AV88="Y")),"Y","N"))</f>
        <v>Y</v>
      </c>
      <c r="AS88" s="0" t="str">
        <f aca="false">IF($A88="","",_xlfn.TEXTJOIN("; ",TRUE(),IF(CK88&lt;&gt;"pass","gated out",""),IF(AO88="Y","on hold: "&amp;AP88,""),IF(C88="","no contact named on an opened page",""),IF(AND(AU88="Y",AV88&lt;&gt;"Y"),"founder review pending (Founder review tab)","")))</f>
        <v/>
      </c>
      <c r="AU88" s="0" t="s">
        <v>189</v>
      </c>
      <c r="AY88" s="0" t="s">
        <v>7836</v>
      </c>
      <c r="AZ88" s="0" t="s">
        <v>7837</v>
      </c>
      <c r="BA88" s="0" t="s">
        <v>5636</v>
      </c>
      <c r="BC88" s="0" t="str">
        <f aca="false">IF($A88="","",IFERROR(INDEX(Enrichment!$A$2:$GZ$2000,MATCH($A88,INDEX(Enrichment!$A$2:$GZ$2000,0,MATCH("row_id",Enrichment!$A$1:$GZ$1,0)),0),MATCH("work_email",Enrichment!$A$1:$GZ$1,0))&amp;"",""))</f>
        <v/>
      </c>
      <c r="BD88" s="0" t="str">
        <f aca="false">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none</v>
      </c>
      <c r="BE88" s="0" t="s">
        <v>5589</v>
      </c>
      <c r="BF88" s="0" t="s">
        <v>169</v>
      </c>
      <c r="BG88" s="0" t="s">
        <v>170</v>
      </c>
      <c r="BH88" s="0" t="s">
        <v>7832</v>
      </c>
      <c r="BI88" s="0" t="s">
        <v>263</v>
      </c>
      <c r="BJ88" s="0" t="s">
        <v>7838</v>
      </c>
      <c r="BK88" s="0" t="s">
        <v>5643</v>
      </c>
      <c r="BL88" s="0" t="s">
        <v>7839</v>
      </c>
      <c r="BM88" s="0" t="s">
        <v>7840</v>
      </c>
      <c r="BN88" s="0" t="s">
        <v>5636</v>
      </c>
      <c r="BP88" s="0" t="str">
        <f aca="false">IF($A88="","",IFERROR(INDEX(Enrichment!$A$2:$GZ$2000,MATCH($A88,INDEX(Enrichment!$A$2:$GZ$2000,0,MATCH("row_id",Enrichment!$A$1:$GZ$1,0)),0),MATCH("backup_work_email",Enrichment!$A$1:$GZ$1,0))&amp;"",""))</f>
        <v/>
      </c>
      <c r="BQ88" s="0" t="str">
        <f aca="false">IF($A88="","",IF(BP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none</v>
      </c>
      <c r="BR88" s="0" t="s">
        <v>7748</v>
      </c>
      <c r="BS88" s="0" t="s">
        <v>169</v>
      </c>
      <c r="BT88" s="0" t="s">
        <v>170</v>
      </c>
      <c r="BU88" s="0" t="s">
        <v>7832</v>
      </c>
      <c r="BV88" s="0" t="s">
        <v>263</v>
      </c>
      <c r="BW88" s="0" t="s">
        <v>7841</v>
      </c>
      <c r="BX88" s="0" t="s">
        <v>5643</v>
      </c>
      <c r="BY88" s="0" t="s">
        <v>7842</v>
      </c>
      <c r="BZ88" s="0" t="s">
        <v>5769</v>
      </c>
      <c r="CB88" s="0" t="s">
        <v>7843</v>
      </c>
      <c r="CF88" s="0" t="s">
        <v>7844</v>
      </c>
      <c r="CJ88" s="0" t="s">
        <v>7088</v>
      </c>
      <c r="CK88" s="0" t="s">
        <v>200</v>
      </c>
      <c r="CM88" s="0" t="s">
        <v>201</v>
      </c>
      <c r="CN88" s="0" t="s">
        <v>5774</v>
      </c>
      <c r="CO88" s="0" t="s">
        <v>7835</v>
      </c>
      <c r="CP88" s="0" t="s">
        <v>7845</v>
      </c>
      <c r="CQ88" s="0" t="s">
        <v>6198</v>
      </c>
      <c r="CR88" s="0" t="s">
        <v>209</v>
      </c>
      <c r="CT88" s="0" t="s">
        <v>164</v>
      </c>
      <c r="CU88" s="0" t="s">
        <v>7846</v>
      </c>
      <c r="CV88" s="0" t="s">
        <v>209</v>
      </c>
      <c r="CW88" s="0" t="s">
        <v>164</v>
      </c>
      <c r="CX88" s="0" t="s">
        <v>209</v>
      </c>
      <c r="CZ88" s="0" t="s">
        <v>209</v>
      </c>
      <c r="DA88" s="0" t="s">
        <v>189</v>
      </c>
      <c r="DB88" s="0" t="s">
        <v>189</v>
      </c>
      <c r="DE88" s="0" t="s">
        <v>189</v>
      </c>
      <c r="DF88" s="0" t="n">
        <v>0</v>
      </c>
      <c r="DH88" s="0" t="s">
        <v>7473</v>
      </c>
      <c r="DI88" s="0" t="s">
        <v>7474</v>
      </c>
      <c r="DJ88" s="0" t="s">
        <v>7847</v>
      </c>
      <c r="DK88" s="0" t="s">
        <v>5617</v>
      </c>
      <c r="DL88" s="0" t="n">
        <v>37</v>
      </c>
      <c r="DM88" s="0" t="s">
        <v>6470</v>
      </c>
      <c r="DN88" s="0" t="n">
        <v>43</v>
      </c>
      <c r="DO88" s="0" t="n">
        <v>6</v>
      </c>
      <c r="DP88" s="0" t="n">
        <v>3</v>
      </c>
      <c r="DQ88" s="0" t="n">
        <v>15</v>
      </c>
      <c r="DR88" s="0" t="n">
        <v>5</v>
      </c>
      <c r="DS88" s="0" t="n">
        <v>8</v>
      </c>
      <c r="DT88" s="0" t="n">
        <v>6</v>
      </c>
      <c r="DU88" s="0" t="n">
        <f aca="false">IF($A88="","",IF(R88="Y",10,0))</f>
        <v>0</v>
      </c>
      <c r="DV88" s="0" t="n">
        <v>0</v>
      </c>
      <c r="DW88" s="0" t="s">
        <v>7848</v>
      </c>
      <c r="DX88" s="0" t="s">
        <v>5814</v>
      </c>
      <c r="DY88" s="0" t="s">
        <v>7849</v>
      </c>
      <c r="DZ88" s="0" t="s">
        <v>7850</v>
      </c>
      <c r="EA88" s="0" t="s">
        <v>7851</v>
      </c>
      <c r="EV88" s="0" t="str">
        <f aca="false">IF($A88="","",IF(ISNUMBER(MATCH(U88,{"queued","contacted","replied","call_booked","call_done","yes_in_principle","materials_sent"},0)),"Y","N"))</f>
        <v>N</v>
      </c>
      <c r="EW88" s="0" t="str">
        <f aca="false">IF($A88="","",IF(OR(T88="Y",U88="do_not_contact",AQ88&amp;""&lt;&gt;""),"Y","N"))</f>
        <v>N</v>
      </c>
      <c r="EX88" s="0" t="str">
        <f aca="false">IF($A88="","",IF(AN88&amp;""&lt;&gt;"",AN88&amp;"",$A88))</f>
        <v>AB-009</v>
      </c>
      <c r="EY88" s="0" t="str">
        <f aca="false">IF($A88="","",IF(COUNTIFS($EX$2:$EX$1000,EX88,$EV$2:$EV$1000,"Y")+COUNTIFS($EX$2:$EX$1000,EX88,$EW$2:$EW$1000,"Y")&gt;0,"Y","N"))</f>
        <v>N</v>
      </c>
      <c r="EZ88" s="0" t="str">
        <f aca="false">IF($A88="","",IF(AND(U88="new",T88="N",EW88="N",AR88="Y",EY88="N"),"Y","N"))</f>
        <v>Y</v>
      </c>
      <c r="FA88" s="0" t="str">
        <f aca="false">IF($A88="","",IF(EZ88&lt;&gt;"Y","N",IF(COUNTIFS($EX$2:$EX$1000,EX88,$EZ$2:$EZ$1000,"Y",$J$2:$J$1000,"&gt;"&amp;J88)+COUNTIFS($EX$2:$EX$1000,EX88,$EZ$2:$EZ$1000,"Y",$J$2:$J$1000,J88,$FG$2:$FG$1000,"&lt;"&amp;FG88)=0,"Y","N")))</f>
        <v>Y</v>
      </c>
      <c r="FB88" s="0" t="str">
        <f aca="false">IF($A88="","",IF(AND(EZ88="Y",FA88="Y",Y88&amp;""&lt;&gt;""),IF(Y88&lt;=10,"Y","N"),"N"))</f>
        <v>N</v>
      </c>
      <c r="FC88" s="0" t="str">
        <f aca="false">IF(FB88="Y",Y88,"")</f>
        <v/>
      </c>
      <c r="FD88" s="0" t="str">
        <f aca="false">IF($A88="","",IF(AND(CK88="pass",AU88="Y",AV88&lt;&gt;"Y",U88="new",EW88="N"),"Y","N"))</f>
        <v>N</v>
      </c>
      <c r="FE88" s="0" t="str">
        <f aca="false">IF(FD88&lt;&gt;"Y","",IF(COUNTIFS($FD$2:$FD$1000,"Y",$J$2:$J$1000,"&gt;"&amp;J88)+COUNTIFS($FD$2:$FD$1000,"Y",$J$2:$J$1000,J88,$FG$2:$FG$1000,"&lt;"&amp;FG88)+1&lt;=30,COUNTIFS($FD$2:$FD$1000,"Y",$J$2:$J$1000,"&gt;"&amp;J88)+COUNTIFS($FD$2:$FD$1000,"Y",$J$2:$J$1000,J88,$FG$2:$FG$1000,"&lt;"&amp;FG88)+1,""))</f>
        <v/>
      </c>
      <c r="FF88" s="0" t="str">
        <f aca="false">IF(AND(_xlfn.ISFORMULA(C88),_xlfn.ISFORMULA(J88)),"Y","N")</f>
        <v>Y</v>
      </c>
      <c r="FG88" s="0" t="n">
        <f aca="false">ROW()-1</f>
        <v>87</v>
      </c>
    </row>
    <row r="89" customFormat="false" ht="15" hidden="false" customHeight="false" outlineLevel="0" collapsed="false">
      <c r="A89" s="0" t="s">
        <v>7852</v>
      </c>
      <c r="B89" s="0" t="s">
        <v>7853</v>
      </c>
      <c r="C89" s="0" t="str">
        <f aca="false">IF($A89="","",IF(AT89="Y",BL89&amp;"",AY89&amp;""))</f>
        <v>Ethan</v>
      </c>
      <c r="D89" s="0" t="str">
        <f aca="false">IF($A89="","",IF(AT89="Y",BM89&amp;"",AZ89&amp;""))</f>
        <v>Bender</v>
      </c>
      <c r="E89" s="0" t="str">
        <f aca="false">IF($A89="","",IF(AT89="Y",BN89&amp;"",BA89&amp;""))</f>
        <v>CEO</v>
      </c>
      <c r="F89" s="0" t="str">
        <f aca="false">IF($A89="","",IF(AT89="Y",BO89&amp;"",BB89&amp;""))</f>
        <v/>
      </c>
      <c r="G89" s="0" t="str">
        <f aca="false">IF($A89="","",IF(AT89="Y",BP89&amp;"",BC89&amp;""))</f>
        <v/>
      </c>
      <c r="H89" s="0" t="str">
        <f aca="false">IF($A89="","",IF(AT89="Y",BQ89&amp;"",BD89&amp;""))</f>
        <v>none</v>
      </c>
      <c r="I89" s="0" t="str">
        <f aca="false">IF($A89="","",IF(R89="Y","warm-intro",IF(H89="verified","email",IF(C89&lt;&gt;"","linkedin",CA89&amp;""))))</f>
        <v>linkedin</v>
      </c>
      <c r="J89" s="0" t="n">
        <f aca="false">IF($A89="","",IF(CK89="pass",ROUND(N(DO89)+N(DP89)+N(DQ89)+N(DR89)+N(DS89)+N(DT89)+N(DU89)+N(DV89),0),0))</f>
        <v>43</v>
      </c>
      <c r="K89" s="0" t="str">
        <f aca="false">IF($A89="","",IF(CK89&lt;&gt;"pass",BY89&amp;"",BY89&amp;", "&amp;IF(AT89="Y",BX89&amp;"",BK89&amp;"")&amp;BZ89&amp;IF(R89="Y","; known to the founder (+10)","")&amp;"."))</f>
        <v>Northeast brand (HQ unverified), no graded store within ten blocks, online store only, a new store listing 37 days ago, revenue unknown, contact named.</v>
      </c>
      <c r="M89" s="0" t="s">
        <v>6144</v>
      </c>
      <c r="N89" s="0" t="s">
        <v>740</v>
      </c>
      <c r="O89" s="0" t="s">
        <v>7854</v>
      </c>
      <c r="P89" s="0" t="s">
        <v>7855</v>
      </c>
      <c r="Q89" s="0" t="s">
        <v>4494</v>
      </c>
      <c r="R89" s="5" t="s">
        <v>189</v>
      </c>
      <c r="S89" s="0" t="s">
        <v>209</v>
      </c>
      <c r="T89" s="5" t="s">
        <v>189</v>
      </c>
      <c r="U89" s="5" t="s">
        <v>3896</v>
      </c>
      <c r="V89" s="0" t="s">
        <v>7856</v>
      </c>
      <c r="W89" s="0" t="s">
        <v>263</v>
      </c>
      <c r="X89" s="0" t="s">
        <v>5578</v>
      </c>
      <c r="Y89" s="0" t="n">
        <f aca="false">IF(FA89&lt;&gt;"Y","",COUNTIFS($FA$2:$FA$1000,"Y",$J$2:$J$1000,"&gt;"&amp;J89)+COUNTIFS($FA$2:$FA$1000,"Y",$J$2:$J$1000,J89,$FG$2:$FG$1000,"&lt;"&amp;FG89)+1)</f>
        <v>45</v>
      </c>
      <c r="Z89" s="0" t="n">
        <v>88</v>
      </c>
      <c r="AA89" s="0" t="s">
        <v>189</v>
      </c>
      <c r="AB89" s="0" t="str">
        <f aca="false">IF($A89="","",IF(AT89="Y",BW89&amp;"",BJ89&amp;""))</f>
        <v>find Ethan Bender at Beefy's Own on LinkedIn and paste the profile URL into primary_linkedin_url</v>
      </c>
      <c r="AC89" s="0" t="str">
        <f aca="false">IF($A89="","",IF(AT89="Y",BR89&amp;"",BE89&amp;""))</f>
        <v>founder</v>
      </c>
      <c r="AD89" s="0" t="str">
        <f aca="false">IF($A89="","",IF(AT89="Y",BS89&amp;"",BF89&amp;""))</f>
        <v>verified-page</v>
      </c>
      <c r="AE89" s="0" t="str">
        <f aca="false">IF($A89="","",IF(AT89="Y",BT89&amp;"",BG89&amp;""))</f>
        <v>employer's own site</v>
      </c>
      <c r="AF89" s="0" t="str">
        <f aca="false">IF($A89="","",IF(AT89="Y",BU89&amp;"",BH89&amp;""))</f>
        <v>https://beefysown.com/</v>
      </c>
      <c r="AG89" s="0" t="str">
        <f aca="false">IF($A89="","",IF(AT89="Y",BV89&amp;"",BI89&amp;""))</f>
        <v>2026-10-23</v>
      </c>
      <c r="AH89" s="0" t="s">
        <v>7857</v>
      </c>
      <c r="AI89" s="0" t="s">
        <v>5789</v>
      </c>
      <c r="AJ89" s="0" t="s">
        <v>7858</v>
      </c>
      <c r="AK89" s="0" t="s">
        <v>7859</v>
      </c>
      <c r="AL89" s="0" t="s">
        <v>189</v>
      </c>
      <c r="AN89" s="0" t="s">
        <v>7852</v>
      </c>
      <c r="AO89" s="5" t="s">
        <v>189</v>
      </c>
      <c r="AR89" s="0" t="str">
        <f aca="false">IF($A89="","",IF(AND(CK89="pass",AO89&lt;&gt;"Y",C89&lt;&gt;"",OR(AU89&lt;&gt;"Y",AV89="Y")),"Y","N"))</f>
        <v>Y</v>
      </c>
      <c r="AS89" s="0" t="str">
        <f aca="false">IF($A89="","",_xlfn.TEXTJOIN("; ",TRUE(),IF(CK89&lt;&gt;"pass","gated out",""),IF(AO89="Y","on hold: "&amp;AP89,""),IF(C89="","no contact named on an opened page",""),IF(AND(AU89="Y",AV89&lt;&gt;"Y"),"founder review pending (Founder review tab)","")))</f>
        <v/>
      </c>
      <c r="AU89" s="0" t="s">
        <v>189</v>
      </c>
      <c r="AY89" s="0" t="s">
        <v>7860</v>
      </c>
      <c r="AZ89" s="0" t="s">
        <v>7861</v>
      </c>
      <c r="BA89" s="0" t="s">
        <v>6182</v>
      </c>
      <c r="BC89" s="0" t="str">
        <f aca="false">IF($A89="","",IFERROR(INDEX(Enrichment!$A$2:$GZ$2000,MATCH($A89,INDEX(Enrichment!$A$2:$GZ$2000,0,MATCH("row_id",Enrichment!$A$1:$GZ$1,0)),0),MATCH("work_email",Enrichment!$A$1:$GZ$1,0))&amp;"",""))</f>
        <v/>
      </c>
      <c r="BD89" s="0" t="str">
        <f aca="false">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none</v>
      </c>
      <c r="BE89" s="0" t="s">
        <v>5589</v>
      </c>
      <c r="BF89" s="0" t="s">
        <v>169</v>
      </c>
      <c r="BG89" s="0" t="s">
        <v>170</v>
      </c>
      <c r="BH89" s="0" t="s">
        <v>7862</v>
      </c>
      <c r="BI89" s="0" t="s">
        <v>263</v>
      </c>
      <c r="BJ89" s="0" t="s">
        <v>7863</v>
      </c>
      <c r="BK89" s="0" t="s">
        <v>5643</v>
      </c>
      <c r="BP89" s="0" t="str">
        <f aca="false">IF($A89="","",IFERROR(INDEX(Enrichment!$A$2:$GZ$2000,MATCH($A89,INDEX(Enrichment!$A$2:$GZ$2000,0,MATCH("row_id",Enrichment!$A$1:$GZ$1,0)),0),MATCH("backup_work_email",Enrichment!$A$1:$GZ$1,0))&amp;"",""))</f>
        <v/>
      </c>
      <c r="BQ89" s="0" t="str">
        <f aca="false">IF($A89="","",IF(BP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none</v>
      </c>
      <c r="BS89" s="0" t="s">
        <v>380</v>
      </c>
      <c r="BW89" s="0" t="s">
        <v>387</v>
      </c>
      <c r="BX89" s="0" t="s">
        <v>388</v>
      </c>
      <c r="BY89" s="0" t="s">
        <v>7864</v>
      </c>
      <c r="CB89" s="0" t="s">
        <v>7865</v>
      </c>
      <c r="CJ89" s="0" t="s">
        <v>7088</v>
      </c>
      <c r="CK89" s="0" t="s">
        <v>200</v>
      </c>
      <c r="CM89" s="0" t="s">
        <v>201</v>
      </c>
      <c r="CO89" s="0" t="s">
        <v>7866</v>
      </c>
      <c r="CP89" s="0" t="s">
        <v>7867</v>
      </c>
      <c r="CQ89" s="0" t="s">
        <v>5841</v>
      </c>
      <c r="CR89" s="0" t="s">
        <v>209</v>
      </c>
      <c r="CT89" s="0" t="s">
        <v>164</v>
      </c>
      <c r="CU89" s="0" t="s">
        <v>7868</v>
      </c>
      <c r="CV89" s="0" t="s">
        <v>164</v>
      </c>
      <c r="CW89" s="0" t="s">
        <v>164</v>
      </c>
      <c r="CX89" s="0" t="s">
        <v>209</v>
      </c>
      <c r="CZ89" s="0" t="s">
        <v>209</v>
      </c>
      <c r="DA89" s="0" t="s">
        <v>189</v>
      </c>
      <c r="DB89" s="0" t="s">
        <v>189</v>
      </c>
      <c r="DE89" s="0" t="s">
        <v>189</v>
      </c>
      <c r="DF89" s="0" t="n">
        <v>0</v>
      </c>
      <c r="DH89" s="0" t="s">
        <v>7473</v>
      </c>
      <c r="DI89" s="0" t="s">
        <v>7869</v>
      </c>
      <c r="DJ89" s="0" t="s">
        <v>7870</v>
      </c>
      <c r="DK89" s="0" t="s">
        <v>5689</v>
      </c>
      <c r="DL89" s="0" t="n">
        <v>37</v>
      </c>
      <c r="DN89" s="0" t="n">
        <v>43</v>
      </c>
      <c r="DO89" s="0" t="n">
        <v>6</v>
      </c>
      <c r="DP89" s="0" t="n">
        <v>8</v>
      </c>
      <c r="DQ89" s="0" t="n">
        <v>8</v>
      </c>
      <c r="DR89" s="0" t="n">
        <v>5</v>
      </c>
      <c r="DS89" s="0" t="n">
        <v>10</v>
      </c>
      <c r="DT89" s="0" t="n">
        <v>6</v>
      </c>
      <c r="DU89" s="0" t="n">
        <f aca="false">IF($A89="","",IF(R89="Y",10,0))</f>
        <v>0</v>
      </c>
      <c r="DV89" s="0" t="n">
        <v>0</v>
      </c>
      <c r="DW89" s="0" t="s">
        <v>7871</v>
      </c>
      <c r="DX89" s="0" t="s">
        <v>5814</v>
      </c>
      <c r="DY89" s="0" t="s">
        <v>7872</v>
      </c>
      <c r="DZ89" s="0" t="s">
        <v>7873</v>
      </c>
      <c r="EA89" s="0" t="s">
        <v>7874</v>
      </c>
      <c r="EV89" s="0" t="str">
        <f aca="false">IF($A89="","",IF(ISNUMBER(MATCH(U89,{"queued","contacted","replied","call_booked","call_done","yes_in_principle","materials_sent"},0)),"Y","N"))</f>
        <v>N</v>
      </c>
      <c r="EW89" s="0" t="str">
        <f aca="false">IF($A89="","",IF(OR(T89="Y",U89="do_not_contact",AQ89&amp;""&lt;&gt;""),"Y","N"))</f>
        <v>N</v>
      </c>
      <c r="EX89" s="0" t="str">
        <f aca="false">IF($A89="","",IF(AN89&amp;""&lt;&gt;"",AN89&amp;"",$A89))</f>
        <v>AB-015</v>
      </c>
      <c r="EY89" s="0" t="str">
        <f aca="false">IF($A89="","",IF(COUNTIFS($EX$2:$EX$1000,EX89,$EV$2:$EV$1000,"Y")+COUNTIFS($EX$2:$EX$1000,EX89,$EW$2:$EW$1000,"Y")&gt;0,"Y","N"))</f>
        <v>N</v>
      </c>
      <c r="EZ89" s="0" t="str">
        <f aca="false">IF($A89="","",IF(AND(U89="new",T89="N",EW89="N",AR89="Y",EY89="N"),"Y","N"))</f>
        <v>Y</v>
      </c>
      <c r="FA89" s="0" t="str">
        <f aca="false">IF($A89="","",IF(EZ89&lt;&gt;"Y","N",IF(COUNTIFS($EX$2:$EX$1000,EX89,$EZ$2:$EZ$1000,"Y",$J$2:$J$1000,"&gt;"&amp;J89)+COUNTIFS($EX$2:$EX$1000,EX89,$EZ$2:$EZ$1000,"Y",$J$2:$J$1000,J89,$FG$2:$FG$1000,"&lt;"&amp;FG89)=0,"Y","N")))</f>
        <v>Y</v>
      </c>
      <c r="FB89" s="0" t="str">
        <f aca="false">IF($A89="","",IF(AND(EZ89="Y",FA89="Y",Y89&amp;""&lt;&gt;""),IF(Y89&lt;=10,"Y","N"),"N"))</f>
        <v>N</v>
      </c>
      <c r="FC89" s="0" t="str">
        <f aca="false">IF(FB89="Y",Y89,"")</f>
        <v/>
      </c>
      <c r="FD89" s="0" t="str">
        <f aca="false">IF($A89="","",IF(AND(CK89="pass",AU89="Y",AV89&lt;&gt;"Y",U89="new",EW89="N"),"Y","N"))</f>
        <v>N</v>
      </c>
      <c r="FE89" s="0" t="str">
        <f aca="false">IF(FD89&lt;&gt;"Y","",IF(COUNTIFS($FD$2:$FD$1000,"Y",$J$2:$J$1000,"&gt;"&amp;J89)+COUNTIFS($FD$2:$FD$1000,"Y",$J$2:$J$1000,J89,$FG$2:$FG$1000,"&lt;"&amp;FG89)+1&lt;=30,COUNTIFS($FD$2:$FD$1000,"Y",$J$2:$J$1000,"&gt;"&amp;J89)+COUNTIFS($FD$2:$FD$1000,"Y",$J$2:$J$1000,J89,$FG$2:$FG$1000,"&lt;"&amp;FG89)+1,""))</f>
        <v/>
      </c>
      <c r="FF89" s="0" t="str">
        <f aca="false">IF(AND(_xlfn.ISFORMULA(C89),_xlfn.ISFORMULA(J89)),"Y","N")</f>
        <v>Y</v>
      </c>
      <c r="FG89" s="0" t="n">
        <f aca="false">ROW()-1</f>
        <v>88</v>
      </c>
    </row>
    <row r="90" customFormat="false" ht="15" hidden="false" customHeight="false" outlineLevel="0" collapsed="false">
      <c r="A90" s="0" t="s">
        <v>7875</v>
      </c>
      <c r="B90" s="0" t="s">
        <v>7876</v>
      </c>
      <c r="C90" s="0" t="str">
        <f aca="false">IF($A90="","",IF(AT90="Y",BL90&amp;"",AY90&amp;""))</f>
        <v>George</v>
      </c>
      <c r="D90" s="0" t="str">
        <f aca="false">IF($A90="","",IF(AT90="Y",BM90&amp;"",AZ90&amp;""))</f>
        <v>Demetrious</v>
      </c>
      <c r="E90" s="0" t="str">
        <f aca="false">IF($A90="","",IF(AT90="Y",BN90&amp;"",BA90&amp;""))</f>
        <v>Founder</v>
      </c>
      <c r="F90" s="0" t="str">
        <f aca="false">IF($A90="","",IF(AT90="Y",BO90&amp;"",BB90&amp;""))</f>
        <v/>
      </c>
      <c r="G90" s="0" t="str">
        <f aca="false">IF($A90="","",IF(AT90="Y",BP90&amp;"",BC90&amp;""))</f>
        <v/>
      </c>
      <c r="H90" s="0" t="str">
        <f aca="false">IF($A90="","",IF(AT90="Y",BQ90&amp;"",BD90&amp;""))</f>
        <v>none</v>
      </c>
      <c r="I90" s="0" t="str">
        <f aca="false">IF($A90="","",IF(R90="Y","warm-intro",IF(H90="verified","email",IF(C90&lt;&gt;"","linkedin",CA90&amp;""))))</f>
        <v>linkedin</v>
      </c>
      <c r="J90" s="0" t="n">
        <f aca="false">IF($A90="","",IF(CK90="pass",ROUND(N(DO90)+N(DP90)+N(DQ90)+N(DR90)+N(DS90)+N(DT90)+N(DU90)+N(DV90),0),0))</f>
        <v>43</v>
      </c>
      <c r="K90" s="0" t="str">
        <f aca="false">IF($A90="","",IF(CK90&lt;&gt;"pass",BY90&amp;"",BY90&amp;", "&amp;IF(AT90="Y",BX90&amp;"",BK90&amp;"")&amp;BZ90&amp;IF(R90="Y","; known to the founder (+10)","")&amp;"."))</f>
        <v>New York City brand, no graded store within ten blocks, online store only, a new store listing 2 days ago, revenue unknown, contact named; founder review: not-emerging.</v>
      </c>
      <c r="M90" s="0" t="s">
        <v>6144</v>
      </c>
      <c r="N90" s="0" t="s">
        <v>740</v>
      </c>
      <c r="O90" s="0" t="s">
        <v>7877</v>
      </c>
      <c r="P90" s="0" t="s">
        <v>7878</v>
      </c>
      <c r="Q90" s="0" t="s">
        <v>2326</v>
      </c>
      <c r="R90" s="5" t="s">
        <v>189</v>
      </c>
      <c r="S90" s="0" t="s">
        <v>209</v>
      </c>
      <c r="T90" s="5" t="s">
        <v>189</v>
      </c>
      <c r="U90" s="5" t="s">
        <v>3896</v>
      </c>
      <c r="V90" s="0" t="s">
        <v>7879</v>
      </c>
      <c r="W90" s="0" t="s">
        <v>263</v>
      </c>
      <c r="X90" s="0" t="s">
        <v>5578</v>
      </c>
      <c r="Y90" s="0" t="str">
        <f aca="false">IF(FA90&lt;&gt;"Y","",COUNTIFS($FA$2:$FA$1000,"Y",$J$2:$J$1000,"&gt;"&amp;J90)+COUNTIFS($FA$2:$FA$1000,"Y",$J$2:$J$1000,J90,$FG$2:$FG$1000,"&lt;"&amp;FG90)+1)</f>
        <v/>
      </c>
      <c r="Z90" s="0" t="n">
        <v>89</v>
      </c>
      <c r="AA90" s="0" t="s">
        <v>189</v>
      </c>
      <c r="AB90" s="0" t="str">
        <f aca="false">IF($A90="","",IF(AT90="Y",BW90&amp;"",BJ90&amp;""))</f>
        <v>find George Demetrious at Li-Lac Chocolates on LinkedIn and paste the profile URL into primary_linkedin_url</v>
      </c>
      <c r="AC90" s="0" t="str">
        <f aca="false">IF($A90="","",IF(AT90="Y",BR90&amp;"",BE90&amp;""))</f>
        <v>founder</v>
      </c>
      <c r="AD90" s="0" t="str">
        <f aca="false">IF($A90="","",IF(AT90="Y",BS90&amp;"",BF90&amp;""))</f>
        <v>verified-page</v>
      </c>
      <c r="AE90" s="0" t="str">
        <f aca="false">IF($A90="","",IF(AT90="Y",BT90&amp;"",BG90&amp;""))</f>
        <v>employer's own site</v>
      </c>
      <c r="AF90" s="0" t="str">
        <f aca="false">IF($A90="","",IF(AT90="Y",BU90&amp;"",BH90&amp;""))</f>
        <v>https://www.li-lacchocolates.com/pages/about-us</v>
      </c>
      <c r="AG90" s="0" t="str">
        <f aca="false">IF($A90="","",IF(AT90="Y",BV90&amp;"",BI90&amp;""))</f>
        <v>2026-10-23</v>
      </c>
      <c r="AH90" s="0" t="s">
        <v>7880</v>
      </c>
      <c r="AI90" s="0" t="s">
        <v>5664</v>
      </c>
      <c r="AJ90" s="0" t="s">
        <v>7881</v>
      </c>
      <c r="AK90" s="0" t="s">
        <v>7882</v>
      </c>
      <c r="AL90" s="0" t="s">
        <v>164</v>
      </c>
      <c r="AM90" s="0" t="s">
        <v>7883</v>
      </c>
      <c r="AN90" s="0" t="s">
        <v>7875</v>
      </c>
      <c r="AO90" s="5" t="s">
        <v>189</v>
      </c>
      <c r="AR90" s="0" t="str">
        <f aca="false">IF($A90="","",IF(AND(CK90="pass",AO90&lt;&gt;"Y",C90&lt;&gt;"",OR(AU90&lt;&gt;"Y",AV90="Y")),"Y","N"))</f>
        <v>N</v>
      </c>
      <c r="AS90" s="0" t="str">
        <f aca="false">IF($A90="","",_xlfn.TEXTJOIN("; ",TRUE(),IF(CK90&lt;&gt;"pass","gated out",""),IF(AO90="Y","on hold: "&amp;AP90,""),IF(C90="","no contact named on an opened page",""),IF(AND(AU90="Y",AV90&lt;&gt;"Y"),"founder review pending (Founder review tab)","")))</f>
        <v>founder review pending (Founder review tab)</v>
      </c>
      <c r="AU90" s="0" t="s">
        <v>164</v>
      </c>
      <c r="AY90" s="0" t="s">
        <v>7884</v>
      </c>
      <c r="AZ90" s="0" t="s">
        <v>7885</v>
      </c>
      <c r="BA90" s="0" t="s">
        <v>5739</v>
      </c>
      <c r="BC90" s="0" t="str">
        <f aca="false">IF($A90="","",IFERROR(INDEX(Enrichment!$A$2:$GZ$2000,MATCH($A90,INDEX(Enrichment!$A$2:$GZ$2000,0,MATCH("row_id",Enrichment!$A$1:$GZ$1,0)),0),MATCH("work_email",Enrichment!$A$1:$GZ$1,0))&amp;"",""))</f>
        <v/>
      </c>
      <c r="BD90" s="0" t="str">
        <f aca="false">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none</v>
      </c>
      <c r="BE90" s="0" t="s">
        <v>5589</v>
      </c>
      <c r="BF90" s="0" t="s">
        <v>169</v>
      </c>
      <c r="BG90" s="0" t="s">
        <v>170</v>
      </c>
      <c r="BH90" s="0" t="s">
        <v>7879</v>
      </c>
      <c r="BI90" s="0" t="s">
        <v>263</v>
      </c>
      <c r="BJ90" s="0" t="s">
        <v>7886</v>
      </c>
      <c r="BK90" s="0" t="s">
        <v>5643</v>
      </c>
      <c r="BP90" s="0" t="str">
        <f aca="false">IF($A90="","",IFERROR(INDEX(Enrichment!$A$2:$GZ$2000,MATCH($A90,INDEX(Enrichment!$A$2:$GZ$2000,0,MATCH("row_id",Enrichment!$A$1:$GZ$1,0)),0),MATCH("backup_work_email",Enrichment!$A$1:$GZ$1,0))&amp;"",""))</f>
        <v/>
      </c>
      <c r="BQ90" s="0" t="str">
        <f aca="false">IF($A90="","",IF(BP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none</v>
      </c>
      <c r="BS90" s="0" t="s">
        <v>380</v>
      </c>
      <c r="BW90" s="0" t="s">
        <v>387</v>
      </c>
      <c r="BX90" s="0" t="s">
        <v>388</v>
      </c>
      <c r="BY90" s="0" t="s">
        <v>7887</v>
      </c>
      <c r="BZ90" s="0" t="s">
        <v>6822</v>
      </c>
      <c r="CB90" s="0" t="s">
        <v>7888</v>
      </c>
      <c r="CJ90" s="0" t="s">
        <v>7088</v>
      </c>
      <c r="CK90" s="0" t="s">
        <v>200</v>
      </c>
      <c r="CM90" s="0" t="s">
        <v>201</v>
      </c>
      <c r="CN90" s="0" t="s">
        <v>6827</v>
      </c>
      <c r="CO90" s="0" t="s">
        <v>7882</v>
      </c>
      <c r="CP90" s="0" t="s">
        <v>5608</v>
      </c>
      <c r="CQ90" s="0" t="s">
        <v>5609</v>
      </c>
      <c r="CR90" s="0" t="s">
        <v>209</v>
      </c>
      <c r="CT90" s="0" t="s">
        <v>352</v>
      </c>
      <c r="CU90" s="0" t="s">
        <v>7889</v>
      </c>
      <c r="CV90" s="0" t="s">
        <v>164</v>
      </c>
      <c r="CW90" s="0" t="s">
        <v>164</v>
      </c>
      <c r="CX90" s="0" t="s">
        <v>209</v>
      </c>
      <c r="CZ90" s="0" t="s">
        <v>209</v>
      </c>
      <c r="DA90" s="0" t="s">
        <v>189</v>
      </c>
      <c r="DB90" s="0" t="s">
        <v>189</v>
      </c>
      <c r="DE90" s="0" t="s">
        <v>189</v>
      </c>
      <c r="DF90" s="0" t="n">
        <v>0</v>
      </c>
      <c r="DI90" s="0" t="s">
        <v>7890</v>
      </c>
      <c r="DJ90" s="0" t="s">
        <v>7891</v>
      </c>
      <c r="DK90" s="0" t="s">
        <v>5689</v>
      </c>
      <c r="DL90" s="0" t="n">
        <v>2</v>
      </c>
      <c r="DN90" s="0" t="n">
        <v>43</v>
      </c>
      <c r="DO90" s="0" t="n">
        <v>6</v>
      </c>
      <c r="DP90" s="0" t="n">
        <v>20</v>
      </c>
      <c r="DQ90" s="0" t="n">
        <v>8</v>
      </c>
      <c r="DR90" s="0" t="n">
        <v>5</v>
      </c>
      <c r="DS90" s="0" t="n">
        <v>8</v>
      </c>
      <c r="DT90" s="0" t="n">
        <v>6</v>
      </c>
      <c r="DU90" s="0" t="n">
        <f aca="false">IF($A90="","",IF(R90="Y",10,0))</f>
        <v>0</v>
      </c>
      <c r="DV90" s="0" t="n">
        <v>-10</v>
      </c>
      <c r="DW90" s="0" t="s">
        <v>7892</v>
      </c>
      <c r="DX90" s="0" t="s">
        <v>5691</v>
      </c>
      <c r="DY90" s="0" t="s">
        <v>7893</v>
      </c>
      <c r="DZ90" s="0" t="s">
        <v>7894</v>
      </c>
      <c r="EA90" s="0" t="s">
        <v>7895</v>
      </c>
      <c r="EV90" s="0" t="str">
        <f aca="false">IF($A90="","",IF(ISNUMBER(MATCH(U90,{"queued","contacted","replied","call_booked","call_done","yes_in_principle","materials_sent"},0)),"Y","N"))</f>
        <v>N</v>
      </c>
      <c r="EW90" s="0" t="str">
        <f aca="false">IF($A90="","",IF(OR(T90="Y",U90="do_not_contact",AQ90&amp;""&lt;&gt;""),"Y","N"))</f>
        <v>N</v>
      </c>
      <c r="EX90" s="0" t="str">
        <f aca="false">IF($A90="","",IF(AN90&amp;""&lt;&gt;"",AN90&amp;"",$A90))</f>
        <v>AB-127</v>
      </c>
      <c r="EY90" s="0" t="str">
        <f aca="false">IF($A90="","",IF(COUNTIFS($EX$2:$EX$1000,EX90,$EV$2:$EV$1000,"Y")+COUNTIFS($EX$2:$EX$1000,EX90,$EW$2:$EW$1000,"Y")&gt;0,"Y","N"))</f>
        <v>N</v>
      </c>
      <c r="EZ90" s="0" t="str">
        <f aca="false">IF($A90="","",IF(AND(U90="new",T90="N",EW90="N",AR90="Y",EY90="N"),"Y","N"))</f>
        <v>N</v>
      </c>
      <c r="FA90" s="0" t="str">
        <f aca="false">IF($A90="","",IF(EZ90&lt;&gt;"Y","N",IF(COUNTIFS($EX$2:$EX$1000,EX90,$EZ$2:$EZ$1000,"Y",$J$2:$J$1000,"&gt;"&amp;J90)+COUNTIFS($EX$2:$EX$1000,EX90,$EZ$2:$EZ$1000,"Y",$J$2:$J$1000,J90,$FG$2:$FG$1000,"&lt;"&amp;FG90)=0,"Y","N")))</f>
        <v>N</v>
      </c>
      <c r="FB90" s="0" t="str">
        <f aca="false">IF($A90="","",IF(AND(EZ90="Y",FA90="Y",Y90&amp;""&lt;&gt;""),IF(Y90&lt;=10,"Y","N"),"N"))</f>
        <v>N</v>
      </c>
      <c r="FC90" s="0" t="str">
        <f aca="false">IF(FB90="Y",Y90,"")</f>
        <v/>
      </c>
      <c r="FD90" s="0" t="str">
        <f aca="false">IF($A90="","",IF(AND(CK90="pass",AU90="Y",AV90&lt;&gt;"Y",U90="new",EW90="N"),"Y","N"))</f>
        <v>Y</v>
      </c>
      <c r="FE90" s="0" t="str">
        <f aca="false">IF(FD90&lt;&gt;"Y","",IF(COUNTIFS($FD$2:$FD$1000,"Y",$J$2:$J$1000,"&gt;"&amp;J90)+COUNTIFS($FD$2:$FD$1000,"Y",$J$2:$J$1000,J90,$FG$2:$FG$1000,"&lt;"&amp;FG90)+1&lt;=30,COUNTIFS($FD$2:$FD$1000,"Y",$J$2:$J$1000,"&gt;"&amp;J90)+COUNTIFS($FD$2:$FD$1000,"Y",$J$2:$J$1000,J90,$FG$2:$FG$1000,"&lt;"&amp;FG90)+1,""))</f>
        <v/>
      </c>
      <c r="FF90" s="0" t="str">
        <f aca="false">IF(AND(_xlfn.ISFORMULA(C90),_xlfn.ISFORMULA(J90)),"Y","N")</f>
        <v>Y</v>
      </c>
      <c r="FG90" s="0" t="n">
        <f aca="false">ROW()-1</f>
        <v>89</v>
      </c>
    </row>
    <row r="91" customFormat="false" ht="15" hidden="false" customHeight="false" outlineLevel="0" collapsed="false">
      <c r="A91" s="0" t="s">
        <v>7896</v>
      </c>
      <c r="B91" s="0" t="s">
        <v>7897</v>
      </c>
      <c r="C91" s="0" t="str">
        <f aca="false">IF($A91="","",IF(AT91="Y",BL91&amp;"",AY91&amp;""))</f>
        <v/>
      </c>
      <c r="D91" s="0" t="str">
        <f aca="false">IF($A91="","",IF(AT91="Y",BM91&amp;"",AZ91&amp;""))</f>
        <v/>
      </c>
      <c r="E91" s="0" t="str">
        <f aca="false">IF($A91="","",IF(AT91="Y",BN91&amp;"",BA91&amp;""))</f>
        <v/>
      </c>
      <c r="F91" s="0" t="str">
        <f aca="false">IF($A91="","",IF(AT91="Y",BO91&amp;"",BB91&amp;""))</f>
        <v/>
      </c>
      <c r="G91" s="0" t="str">
        <f aca="false">IF($A91="","",IF(AT91="Y",BP91&amp;"",BC91&amp;""))</f>
        <v/>
      </c>
      <c r="H91" s="0" t="str">
        <f aca="false">IF($A91="","",IF(AT91="Y",BQ91&amp;"",BD91&amp;""))</f>
        <v>none</v>
      </c>
      <c r="I91" s="0" t="str">
        <f aca="false">IF($A91="","",IF(R91="Y","warm-intro",IF(H91="verified","email",IF(C91&lt;&gt;"","linkedin",CA91&amp;""))))</f>
        <v/>
      </c>
      <c r="J91" s="0" t="n">
        <f aca="false">IF($A91="","",IF(CK91="pass",ROUND(N(DO91)+N(DP91)+N(DQ91)+N(DR91)+N(DS91)+N(DT91)+N(DU91)+N(DV91),0),0))</f>
        <v>43</v>
      </c>
      <c r="K91" s="0" t="str">
        <f aca="false">IF($A91="","",IF(CK91&lt;&gt;"pass",BY91&amp;"",BY91&amp;", "&amp;IF(AT91="Y",BX91&amp;"",BK91&amp;"")&amp;BZ91&amp;IF(R91="Y","; known to the founder (+10)","")&amp;"."))</f>
        <v>New York City brand, no graded store within ten blocks, online store only, a new store listing 211 days ago, revenue unknown, contact seen only in a snippet; founder review: other.</v>
      </c>
      <c r="M91" s="0" t="s">
        <v>6144</v>
      </c>
      <c r="N91" s="0" t="s">
        <v>740</v>
      </c>
      <c r="O91" s="0" t="s">
        <v>7898</v>
      </c>
      <c r="P91" s="0" t="s">
        <v>7899</v>
      </c>
      <c r="Q91" s="0" t="s">
        <v>6562</v>
      </c>
      <c r="R91" s="5" t="s">
        <v>189</v>
      </c>
      <c r="S91" s="0" t="s">
        <v>209</v>
      </c>
      <c r="T91" s="5" t="s">
        <v>189</v>
      </c>
      <c r="U91" s="5" t="s">
        <v>3896</v>
      </c>
      <c r="V91" s="0" t="s">
        <v>7900</v>
      </c>
      <c r="W91" s="0" t="s">
        <v>263</v>
      </c>
      <c r="X91" s="0" t="s">
        <v>5578</v>
      </c>
      <c r="Y91" s="0" t="str">
        <f aca="false">IF(FA91&lt;&gt;"Y","",COUNTIFS($FA$2:$FA$1000,"Y",$J$2:$J$1000,"&gt;"&amp;J91)+COUNTIFS($FA$2:$FA$1000,"Y",$J$2:$J$1000,J91,$FG$2:$FG$1000,"&lt;"&amp;FG91)+1)</f>
        <v/>
      </c>
      <c r="Z91" s="0" t="n">
        <v>90</v>
      </c>
      <c r="AA91" s="0" t="s">
        <v>189</v>
      </c>
      <c r="AB91" s="0" t="str">
        <f aca="false">IF($A91="","",IF(AT91="Y",BW91&amp;"",BJ91&amp;""))</f>
        <v>no person named on an opened page: not ready</v>
      </c>
      <c r="AC91" s="0" t="str">
        <f aca="false">IF($A91="","",IF(AT91="Y",BR91&amp;"",BE91&amp;""))</f>
        <v>founder</v>
      </c>
      <c r="AD91" s="0" t="str">
        <f aca="false">IF($A91="","",IF(AT91="Y",BS91&amp;"",BF91&amp;""))</f>
        <v>unverified</v>
      </c>
      <c r="AE91" s="0" t="str">
        <f aca="false">IF($A91="","",IF(AT91="Y",BT91&amp;"",BG91&amp;""))</f>
        <v>unknown</v>
      </c>
      <c r="AF91" s="0" t="str">
        <f aca="false">IF($A91="","",IF(AT91="Y",BU91&amp;"",BH91&amp;""))</f>
        <v/>
      </c>
      <c r="AG91" s="0" t="str">
        <f aca="false">IF($A91="","",IF(AT91="Y",BV91&amp;"",BI91&amp;""))</f>
        <v>2026-10-23</v>
      </c>
      <c r="AH91" s="0" t="s">
        <v>7901</v>
      </c>
      <c r="AI91" s="0" t="s">
        <v>6473</v>
      </c>
      <c r="AJ91" s="0" t="s">
        <v>259</v>
      </c>
      <c r="AK91" s="0" t="s">
        <v>7900</v>
      </c>
      <c r="AL91" s="0" t="s">
        <v>164</v>
      </c>
      <c r="AM91" s="0" t="s">
        <v>7902</v>
      </c>
      <c r="AN91" s="0" t="s">
        <v>7896</v>
      </c>
      <c r="AO91" s="5" t="s">
        <v>189</v>
      </c>
      <c r="AR91" s="0" t="str">
        <f aca="false">IF($A91="","",IF(AND(CK91="pass",AO91&lt;&gt;"Y",C91&lt;&gt;"",OR(AU91&lt;&gt;"Y",AV91="Y")),"Y","N"))</f>
        <v>N</v>
      </c>
      <c r="AS91" s="0" t="str">
        <f aca="false">IF($A91="","",_xlfn.TEXTJOIN("; ",TRUE(),IF(CK91&lt;&gt;"pass","gated out",""),IF(AO91="Y","on hold: "&amp;AP91,""),IF(C91="","no contact named on an opened page",""),IF(AND(AU91="Y",AV91&lt;&gt;"Y"),"founder review pending (Founder review tab)","")))</f>
        <v>no contact named on an opened page</v>
      </c>
      <c r="AU91" s="0" t="s">
        <v>189</v>
      </c>
      <c r="BC91" s="0" t="str">
        <f aca="false">IF($A91="","",IFERROR(INDEX(Enrichment!$A$2:$GZ$2000,MATCH($A91,INDEX(Enrichment!$A$2:$GZ$2000,0,MATCH("row_id",Enrichment!$A$1:$GZ$1,0)),0),MATCH("work_email",Enrichment!$A$1:$GZ$1,0))&amp;"",""))</f>
        <v/>
      </c>
      <c r="BD91" s="0" t="str">
        <f aca="false">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none</v>
      </c>
      <c r="BE91" s="0" t="s">
        <v>5589</v>
      </c>
      <c r="BF91" s="0" t="s">
        <v>740</v>
      </c>
      <c r="BG91" s="0" t="s">
        <v>209</v>
      </c>
      <c r="BI91" s="0" t="s">
        <v>263</v>
      </c>
      <c r="BJ91" s="0" t="s">
        <v>7105</v>
      </c>
      <c r="BK91" s="0" t="s">
        <v>5834</v>
      </c>
      <c r="BP91" s="0" t="str">
        <f aca="false">IF($A91="","",IFERROR(INDEX(Enrichment!$A$2:$GZ$2000,MATCH($A91,INDEX(Enrichment!$A$2:$GZ$2000,0,MATCH("row_id",Enrichment!$A$1:$GZ$1,0)),0),MATCH("backup_work_email",Enrichment!$A$1:$GZ$1,0))&amp;"",""))</f>
        <v/>
      </c>
      <c r="BQ91" s="0" t="str">
        <f aca="false">IF($A91="","",IF(BP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none</v>
      </c>
      <c r="BS91" s="0" t="s">
        <v>380</v>
      </c>
      <c r="BW91" s="0" t="s">
        <v>387</v>
      </c>
      <c r="BX91" s="0" t="s">
        <v>388</v>
      </c>
      <c r="BY91" s="0" t="s">
        <v>7903</v>
      </c>
      <c r="BZ91" s="0" t="s">
        <v>5960</v>
      </c>
      <c r="CB91" s="0" t="s">
        <v>7904</v>
      </c>
      <c r="CD91" s="0" t="s">
        <v>7905</v>
      </c>
      <c r="CJ91" s="0" t="s">
        <v>7088</v>
      </c>
      <c r="CK91" s="0" t="s">
        <v>200</v>
      </c>
      <c r="CM91" s="0" t="s">
        <v>201</v>
      </c>
      <c r="CN91" s="0" t="s">
        <v>443</v>
      </c>
      <c r="CO91" s="0" t="s">
        <v>7900</v>
      </c>
      <c r="CP91" s="0" t="s">
        <v>5608</v>
      </c>
      <c r="CQ91" s="0" t="s">
        <v>5609</v>
      </c>
      <c r="CR91" s="0" t="s">
        <v>209</v>
      </c>
      <c r="CT91" s="0" t="s">
        <v>209</v>
      </c>
      <c r="CU91" s="0" t="s">
        <v>6710</v>
      </c>
      <c r="CV91" s="0" t="s">
        <v>164</v>
      </c>
      <c r="CW91" s="0" t="s">
        <v>164</v>
      </c>
      <c r="CX91" s="0" t="s">
        <v>209</v>
      </c>
      <c r="CZ91" s="0" t="s">
        <v>6456</v>
      </c>
      <c r="DA91" s="0" t="s">
        <v>189</v>
      </c>
      <c r="DB91" s="0" t="s">
        <v>189</v>
      </c>
      <c r="DE91" s="0" t="s">
        <v>189</v>
      </c>
      <c r="DF91" s="0" t="n">
        <v>0</v>
      </c>
      <c r="DI91" s="0" t="s">
        <v>7906</v>
      </c>
      <c r="DJ91" s="0" t="s">
        <v>7907</v>
      </c>
      <c r="DK91" s="0" t="s">
        <v>5689</v>
      </c>
      <c r="DL91" s="0" t="n">
        <v>211</v>
      </c>
      <c r="DN91" s="0" t="n">
        <v>43</v>
      </c>
      <c r="DO91" s="0" t="n">
        <v>6</v>
      </c>
      <c r="DP91" s="0" t="n">
        <v>20</v>
      </c>
      <c r="DQ91" s="0" t="n">
        <v>4</v>
      </c>
      <c r="DR91" s="0" t="n">
        <v>5</v>
      </c>
      <c r="DS91" s="0" t="n">
        <v>7</v>
      </c>
      <c r="DT91" s="0" t="n">
        <v>3</v>
      </c>
      <c r="DU91" s="0" t="n">
        <f aca="false">IF($A91="","",IF(R91="Y",10,0))</f>
        <v>0</v>
      </c>
      <c r="DV91" s="0" t="n">
        <v>-2</v>
      </c>
      <c r="DW91" s="0" t="s">
        <v>7908</v>
      </c>
      <c r="DX91" s="0" t="s">
        <v>6462</v>
      </c>
      <c r="DY91" s="0" t="s">
        <v>7909</v>
      </c>
      <c r="DZ91" s="0" t="s">
        <v>7910</v>
      </c>
      <c r="EA91" s="0" t="s">
        <v>7911</v>
      </c>
      <c r="EV91" s="0" t="str">
        <f aca="false">IF($A91="","",IF(ISNUMBER(MATCH(U91,{"queued","contacted","replied","call_booked","call_done","yes_in_principle","materials_sent"},0)),"Y","N"))</f>
        <v>N</v>
      </c>
      <c r="EW91" s="0" t="str">
        <f aca="false">IF($A91="","",IF(OR(T91="Y",U91="do_not_contact",AQ91&amp;""&lt;&gt;""),"Y","N"))</f>
        <v>N</v>
      </c>
      <c r="EX91" s="0" t="str">
        <f aca="false">IF($A91="","",IF(AN91&amp;""&lt;&gt;"",AN91&amp;"",$A91))</f>
        <v>AB-187</v>
      </c>
      <c r="EY91" s="0" t="str">
        <f aca="false">IF($A91="","",IF(COUNTIFS($EX$2:$EX$1000,EX91,$EV$2:$EV$1000,"Y")+COUNTIFS($EX$2:$EX$1000,EX91,$EW$2:$EW$1000,"Y")&gt;0,"Y","N"))</f>
        <v>N</v>
      </c>
      <c r="EZ91" s="0" t="str">
        <f aca="false">IF($A91="","",IF(AND(U91="new",T91="N",EW91="N",AR91="Y",EY91="N"),"Y","N"))</f>
        <v>N</v>
      </c>
      <c r="FA91" s="0" t="str">
        <f aca="false">IF($A91="","",IF(EZ91&lt;&gt;"Y","N",IF(COUNTIFS($EX$2:$EX$1000,EX91,$EZ$2:$EZ$1000,"Y",$J$2:$J$1000,"&gt;"&amp;J91)+COUNTIFS($EX$2:$EX$1000,EX91,$EZ$2:$EZ$1000,"Y",$J$2:$J$1000,J91,$FG$2:$FG$1000,"&lt;"&amp;FG91)=0,"Y","N")))</f>
        <v>N</v>
      </c>
      <c r="FB91" s="0" t="str">
        <f aca="false">IF($A91="","",IF(AND(EZ91="Y",FA91="Y",Y91&amp;""&lt;&gt;""),IF(Y91&lt;=10,"Y","N"),"N"))</f>
        <v>N</v>
      </c>
      <c r="FC91" s="0" t="str">
        <f aca="false">IF(FB91="Y",Y91,"")</f>
        <v/>
      </c>
      <c r="FD91" s="0" t="str">
        <f aca="false">IF($A91="","",IF(AND(CK91="pass",AU91="Y",AV91&lt;&gt;"Y",U91="new",EW91="N"),"Y","N"))</f>
        <v>N</v>
      </c>
      <c r="FE91" s="0" t="str">
        <f aca="false">IF(FD91&lt;&gt;"Y","",IF(COUNTIFS($FD$2:$FD$1000,"Y",$J$2:$J$1000,"&gt;"&amp;J91)+COUNTIFS($FD$2:$FD$1000,"Y",$J$2:$J$1000,J91,$FG$2:$FG$1000,"&lt;"&amp;FG91)+1&lt;=30,COUNTIFS($FD$2:$FD$1000,"Y",$J$2:$J$1000,"&gt;"&amp;J91)+COUNTIFS($FD$2:$FD$1000,"Y",$J$2:$J$1000,J91,$FG$2:$FG$1000,"&lt;"&amp;FG91)+1,""))</f>
        <v/>
      </c>
      <c r="FF91" s="0" t="str">
        <f aca="false">IF(AND(_xlfn.ISFORMULA(C91),_xlfn.ISFORMULA(J91)),"Y","N")</f>
        <v>Y</v>
      </c>
      <c r="FG91" s="0" t="n">
        <f aca="false">ROW()-1</f>
        <v>90</v>
      </c>
    </row>
    <row r="92" customFormat="false" ht="15" hidden="false" customHeight="false" outlineLevel="0" collapsed="false">
      <c r="A92" s="0" t="s">
        <v>7912</v>
      </c>
      <c r="B92" s="0" t="s">
        <v>7913</v>
      </c>
      <c r="C92" s="0" t="str">
        <f aca="false">IF($A92="","",IF(AT92="Y",BL92&amp;"",AY92&amp;""))</f>
        <v/>
      </c>
      <c r="D92" s="0" t="str">
        <f aca="false">IF($A92="","",IF(AT92="Y",BM92&amp;"",AZ92&amp;""))</f>
        <v/>
      </c>
      <c r="E92" s="0" t="str">
        <f aca="false">IF($A92="","",IF(AT92="Y",BN92&amp;"",BA92&amp;""))</f>
        <v/>
      </c>
      <c r="F92" s="0" t="str">
        <f aca="false">IF($A92="","",IF(AT92="Y",BO92&amp;"",BB92&amp;""))</f>
        <v/>
      </c>
      <c r="G92" s="0" t="str">
        <f aca="false">IF($A92="","",IF(AT92="Y",BP92&amp;"",BC92&amp;""))</f>
        <v/>
      </c>
      <c r="H92" s="0" t="str">
        <f aca="false">IF($A92="","",IF(AT92="Y",BQ92&amp;"",BD92&amp;""))</f>
        <v>none</v>
      </c>
      <c r="I92" s="0" t="str">
        <f aca="false">IF($A92="","",IF(R92="Y","warm-intro",IF(H92="verified","email",IF(C92&lt;&gt;"","linkedin",CA92&amp;""))))</f>
        <v/>
      </c>
      <c r="J92" s="0" t="n">
        <f aca="false">IF($A92="","",IF(CK92="pass",ROUND(N(DO92)+N(DP92)+N(DQ92)+N(DR92)+N(DS92)+N(DT92)+N(DU92)+N(DV92),0),0))</f>
        <v>43</v>
      </c>
      <c r="K92" s="0" t="str">
        <f aca="false">IF($A92="","",IF(CK92&lt;&gt;"pass",BY92&amp;"",BY92&amp;", "&amp;IF(AT92="Y",BX92&amp;"",BK92&amp;"")&amp;BZ92&amp;IF(R92="Y","; known to the founder (+10)","")&amp;"."))</f>
        <v>Brand based outside the Northeast, store page shows Whole Foods Market NoMad inside the cluster, a new store listing 23 days ago, revenue unknown, no contact named; founder review: nutrient-claim, format-unconfirmed.</v>
      </c>
      <c r="M92" s="0" t="s">
        <v>5572</v>
      </c>
      <c r="N92" s="0" t="s">
        <v>5573</v>
      </c>
      <c r="O92" s="0" t="s">
        <v>7914</v>
      </c>
      <c r="P92" s="0" t="s">
        <v>7915</v>
      </c>
      <c r="Q92" s="0" t="s">
        <v>7916</v>
      </c>
      <c r="R92" s="5" t="s">
        <v>189</v>
      </c>
      <c r="S92" s="0" t="s">
        <v>209</v>
      </c>
      <c r="T92" s="5" t="s">
        <v>189</v>
      </c>
      <c r="U92" s="5" t="s">
        <v>3896</v>
      </c>
      <c r="V92" s="0" t="s">
        <v>7917</v>
      </c>
      <c r="W92" s="0" t="s">
        <v>263</v>
      </c>
      <c r="X92" s="0" t="s">
        <v>5578</v>
      </c>
      <c r="Y92" s="0" t="str">
        <f aca="false">IF(FA92&lt;&gt;"Y","",COUNTIFS($FA$2:$FA$1000,"Y",$J$2:$J$1000,"&gt;"&amp;J92)+COUNTIFS($FA$2:$FA$1000,"Y",$J$2:$J$1000,J92,$FG$2:$FG$1000,"&lt;"&amp;FG92)+1)</f>
        <v/>
      </c>
      <c r="Z92" s="0" t="n">
        <v>91</v>
      </c>
      <c r="AA92" s="0" t="s">
        <v>189</v>
      </c>
      <c r="AB92" s="0" t="str">
        <f aca="false">IF($A92="","",IF(AT92="Y",BW92&amp;"",BJ92&amp;""))</f>
        <v>no person named on an opened page: not ready; use the Whole Foods Market NoMad line only if retailer_checked_date is this week's Friday check</v>
      </c>
      <c r="AC92" s="0" t="str">
        <f aca="false">IF($A92="","",IF(AT92="Y",BR92&amp;"",BE92&amp;""))</f>
        <v/>
      </c>
      <c r="AD92" s="0" t="str">
        <f aca="false">IF($A92="","",IF(AT92="Y",BS92&amp;"",BF92&amp;""))</f>
        <v>none</v>
      </c>
      <c r="AE92" s="0" t="str">
        <f aca="false">IF($A92="","",IF(AT92="Y",BT92&amp;"",BG92&amp;""))</f>
        <v/>
      </c>
      <c r="AF92" s="0" t="str">
        <f aca="false">IF($A92="","",IF(AT92="Y",BU92&amp;"",BH92&amp;""))</f>
        <v/>
      </c>
      <c r="AG92" s="0" t="str">
        <f aca="false">IF($A92="","",IF(AT92="Y",BV92&amp;"",BI92&amp;""))</f>
        <v/>
      </c>
      <c r="AH92" s="0" t="s">
        <v>7918</v>
      </c>
      <c r="AI92" s="0" t="s">
        <v>5664</v>
      </c>
      <c r="AJ92" s="0" t="s">
        <v>7919</v>
      </c>
      <c r="AK92" s="0" t="s">
        <v>7920</v>
      </c>
      <c r="AL92" s="0" t="s">
        <v>164</v>
      </c>
      <c r="AM92" s="0" t="s">
        <v>7921</v>
      </c>
      <c r="AN92" s="0" t="s">
        <v>7912</v>
      </c>
      <c r="AO92" s="5" t="s">
        <v>189</v>
      </c>
      <c r="AR92" s="0" t="str">
        <f aca="false">IF($A92="","",IF(AND(CK92="pass",AO92&lt;&gt;"Y",C92&lt;&gt;"",OR(AU92&lt;&gt;"Y",AV92="Y")),"Y","N"))</f>
        <v>N</v>
      </c>
      <c r="AS92" s="0" t="str">
        <f aca="false">IF($A92="","",_xlfn.TEXTJOIN("; ",TRUE(),IF(CK92&lt;&gt;"pass","gated out",""),IF(AO92="Y","on hold: "&amp;AP92,""),IF(C92="","no contact named on an opened page",""),IF(AND(AU92="Y",AV92&lt;&gt;"Y"),"founder review pending (Founder review tab)","")))</f>
        <v>no contact named on an opened page</v>
      </c>
      <c r="AU92" s="0" t="s">
        <v>189</v>
      </c>
      <c r="AX92" s="0" t="s">
        <v>7922</v>
      </c>
      <c r="BC92" s="0" t="str">
        <f aca="false">IF($A92="","",IFERROR(INDEX(Enrichment!$A$2:$GZ$2000,MATCH($A92,INDEX(Enrichment!$A$2:$GZ$2000,0,MATCH("row_id",Enrichment!$A$1:$GZ$1,0)),0),MATCH("work_email",Enrichment!$A$1:$GZ$1,0))&amp;"",""))</f>
        <v/>
      </c>
      <c r="BD92" s="0" t="str">
        <f aca="false">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none</v>
      </c>
      <c r="BF92" s="0" t="s">
        <v>380</v>
      </c>
      <c r="BJ92" s="0" t="s">
        <v>6047</v>
      </c>
      <c r="BK92" s="0" t="s">
        <v>6048</v>
      </c>
      <c r="BP92" s="0" t="str">
        <f aca="false">IF($A92="","",IFERROR(INDEX(Enrichment!$A$2:$GZ$2000,MATCH($A92,INDEX(Enrichment!$A$2:$GZ$2000,0,MATCH("row_id",Enrichment!$A$1:$GZ$1,0)),0),MATCH("backup_work_email",Enrichment!$A$1:$GZ$1,0))&amp;"",""))</f>
        <v/>
      </c>
      <c r="BQ92" s="0" t="str">
        <f aca="false">IF($A92="","",IF(BP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none</v>
      </c>
      <c r="BS92" s="0" t="s">
        <v>380</v>
      </c>
      <c r="BW92" s="0" t="s">
        <v>5741</v>
      </c>
      <c r="BX92" s="0" t="s">
        <v>388</v>
      </c>
      <c r="BY92" s="0" t="s">
        <v>7923</v>
      </c>
      <c r="BZ92" s="0" t="s">
        <v>7924</v>
      </c>
      <c r="CJ92" s="0" t="s">
        <v>7088</v>
      </c>
      <c r="CK92" s="0" t="s">
        <v>200</v>
      </c>
      <c r="CM92" s="0" t="s">
        <v>201</v>
      </c>
      <c r="CN92" s="0" t="s">
        <v>7925</v>
      </c>
      <c r="CO92" s="0" t="s">
        <v>7920</v>
      </c>
      <c r="CP92" s="0" t="s">
        <v>7926</v>
      </c>
      <c r="CQ92" s="0" t="s">
        <v>6198</v>
      </c>
      <c r="CR92" s="0" t="s">
        <v>209</v>
      </c>
      <c r="CT92" s="0" t="s">
        <v>352</v>
      </c>
      <c r="CU92" s="0" t="s">
        <v>7927</v>
      </c>
      <c r="CV92" s="0" t="s">
        <v>209</v>
      </c>
      <c r="CW92" s="0" t="s">
        <v>164</v>
      </c>
      <c r="CX92" s="0" t="s">
        <v>209</v>
      </c>
      <c r="CZ92" s="0" t="s">
        <v>209</v>
      </c>
      <c r="DA92" s="0" t="s">
        <v>189</v>
      </c>
      <c r="DB92" s="0" t="s">
        <v>189</v>
      </c>
      <c r="DD92" s="0" t="n">
        <v>0</v>
      </c>
      <c r="DE92" s="0" t="s">
        <v>164</v>
      </c>
      <c r="DF92" s="0" t="n">
        <v>3</v>
      </c>
      <c r="DG92" s="0" t="s">
        <v>5686</v>
      </c>
      <c r="DI92" s="0" t="s">
        <v>5687</v>
      </c>
      <c r="DJ92" s="0" t="s">
        <v>7928</v>
      </c>
      <c r="DK92" s="0" t="s">
        <v>5689</v>
      </c>
      <c r="DL92" s="0" t="n">
        <v>23</v>
      </c>
      <c r="DN92" s="0" t="n">
        <v>43</v>
      </c>
      <c r="DO92" s="0" t="n">
        <v>25</v>
      </c>
      <c r="DP92" s="0" t="n">
        <v>3</v>
      </c>
      <c r="DQ92" s="0" t="n">
        <v>8</v>
      </c>
      <c r="DR92" s="0" t="n">
        <v>5</v>
      </c>
      <c r="DS92" s="0" t="n">
        <v>6</v>
      </c>
      <c r="DT92" s="0" t="n">
        <v>0</v>
      </c>
      <c r="DU92" s="0" t="n">
        <f aca="false">IF($A92="","",IF(R92="Y",10,0))</f>
        <v>0</v>
      </c>
      <c r="DV92" s="0" t="n">
        <v>-4</v>
      </c>
      <c r="DW92" s="0" t="s">
        <v>7929</v>
      </c>
      <c r="DX92" s="0" t="s">
        <v>5691</v>
      </c>
      <c r="DY92" s="0" t="s">
        <v>7930</v>
      </c>
      <c r="DZ92" s="0" t="s">
        <v>7931</v>
      </c>
      <c r="EA92" s="0" t="s">
        <v>7932</v>
      </c>
      <c r="EV92" s="0" t="str">
        <f aca="false">IF($A92="","",IF(ISNUMBER(MATCH(U92,{"queued","contacted","replied","call_booked","call_done","yes_in_principle","materials_sent"},0)),"Y","N"))</f>
        <v>N</v>
      </c>
      <c r="EW92" s="0" t="str">
        <f aca="false">IF($A92="","",IF(OR(T92="Y",U92="do_not_contact",AQ92&amp;""&lt;&gt;""),"Y","N"))</f>
        <v>N</v>
      </c>
      <c r="EX92" s="0" t="str">
        <f aca="false">IF($A92="","",IF(AN92&amp;""&lt;&gt;"",AN92&amp;"",$A92))</f>
        <v>AB-112</v>
      </c>
      <c r="EY92" s="0" t="str">
        <f aca="false">IF($A92="","",IF(COUNTIFS($EX$2:$EX$1000,EX92,$EV$2:$EV$1000,"Y")+COUNTIFS($EX$2:$EX$1000,EX92,$EW$2:$EW$1000,"Y")&gt;0,"Y","N"))</f>
        <v>N</v>
      </c>
      <c r="EZ92" s="0" t="str">
        <f aca="false">IF($A92="","",IF(AND(U92="new",T92="N",EW92="N",AR92="Y",EY92="N"),"Y","N"))</f>
        <v>N</v>
      </c>
      <c r="FA92" s="0" t="str">
        <f aca="false">IF($A92="","",IF(EZ92&lt;&gt;"Y","N",IF(COUNTIFS($EX$2:$EX$1000,EX92,$EZ$2:$EZ$1000,"Y",$J$2:$J$1000,"&gt;"&amp;J92)+COUNTIFS($EX$2:$EX$1000,EX92,$EZ$2:$EZ$1000,"Y",$J$2:$J$1000,J92,$FG$2:$FG$1000,"&lt;"&amp;FG92)=0,"Y","N")))</f>
        <v>N</v>
      </c>
      <c r="FB92" s="0" t="str">
        <f aca="false">IF($A92="","",IF(AND(EZ92="Y",FA92="Y",Y92&amp;""&lt;&gt;""),IF(Y92&lt;=10,"Y","N"),"N"))</f>
        <v>N</v>
      </c>
      <c r="FC92" s="0" t="str">
        <f aca="false">IF(FB92="Y",Y92,"")</f>
        <v/>
      </c>
      <c r="FD92" s="0" t="str">
        <f aca="false">IF($A92="","",IF(AND(CK92="pass",AU92="Y",AV92&lt;&gt;"Y",U92="new",EW92="N"),"Y","N"))</f>
        <v>N</v>
      </c>
      <c r="FE92" s="0" t="str">
        <f aca="false">IF(FD92&lt;&gt;"Y","",IF(COUNTIFS($FD$2:$FD$1000,"Y",$J$2:$J$1000,"&gt;"&amp;J92)+COUNTIFS($FD$2:$FD$1000,"Y",$J$2:$J$1000,J92,$FG$2:$FG$1000,"&lt;"&amp;FG92)+1&lt;=30,COUNTIFS($FD$2:$FD$1000,"Y",$J$2:$J$1000,"&gt;"&amp;J92)+COUNTIFS($FD$2:$FD$1000,"Y",$J$2:$J$1000,J92,$FG$2:$FG$1000,"&lt;"&amp;FG92)+1,""))</f>
        <v/>
      </c>
      <c r="FF92" s="0" t="str">
        <f aca="false">IF(AND(_xlfn.ISFORMULA(C92),_xlfn.ISFORMULA(J92)),"Y","N")</f>
        <v>Y</v>
      </c>
      <c r="FG92" s="0" t="n">
        <f aca="false">ROW()-1</f>
        <v>91</v>
      </c>
    </row>
    <row r="93" customFormat="false" ht="15" hidden="false" customHeight="false" outlineLevel="0" collapsed="false">
      <c r="A93" s="0" t="s">
        <v>7933</v>
      </c>
      <c r="B93" s="0" t="s">
        <v>7934</v>
      </c>
      <c r="C93" s="0" t="str">
        <f aca="false">IF($A93="","",IF(AT93="Y",BL93&amp;"",AY93&amp;""))</f>
        <v>Trish</v>
      </c>
      <c r="D93" s="0" t="str">
        <f aca="false">IF($A93="","",IF(AT93="Y",BM93&amp;"",AZ93&amp;""))</f>
        <v>Thomas</v>
      </c>
      <c r="E93" s="0" t="str">
        <f aca="false">IF($A93="","",IF(AT93="Y",BN93&amp;"",BA93&amp;""))</f>
        <v>Co-founder</v>
      </c>
      <c r="F93" s="0" t="str">
        <f aca="false">IF($A93="","",IF(AT93="Y",BO93&amp;"",BB93&amp;""))</f>
        <v/>
      </c>
      <c r="G93" s="0" t="str">
        <f aca="false">IF($A93="","",IF(AT93="Y",BP93&amp;"",BC93&amp;""))</f>
        <v/>
      </c>
      <c r="H93" s="0" t="str">
        <f aca="false">IF($A93="","",IF(AT93="Y",BQ93&amp;"",BD93&amp;""))</f>
        <v>none</v>
      </c>
      <c r="I93" s="0" t="str">
        <f aca="false">IF($A93="","",IF(R93="Y","warm-intro",IF(H93="verified","email",IF(C93&lt;&gt;"","linkedin",CA93&amp;""))))</f>
        <v>linkedin</v>
      </c>
      <c r="J93" s="0" t="n">
        <f aca="false">IF($A93="","",IF(CK93="pass",ROUND(N(DO93)+N(DP93)+N(DQ93)+N(DR93)+N(DS93)+N(DT93)+N(DU93)+N(DV93),0),0))</f>
        <v>42</v>
      </c>
      <c r="K93" s="0" t="str">
        <f aca="false">IF($A93="","",IF(CK93&lt;&gt;"pass",BY93&amp;"",BY93&amp;", "&amp;IF(AT93="Y",BX93&amp;"",BK93&amp;"")&amp;BZ93&amp;IF(R93="Y","; known to the founder (+10)","")&amp;"."))</f>
        <v>Brand based outside the Northeast, store page shows Whole Foods Market NoMad inside the cluster, no dated why-now in the last 12 months, revenue unknown, contact named; founder review: format.</v>
      </c>
      <c r="M93" s="0" t="s">
        <v>5572</v>
      </c>
      <c r="N93" s="0" t="s">
        <v>5573</v>
      </c>
      <c r="R93" s="5" t="s">
        <v>189</v>
      </c>
      <c r="S93" s="0" t="s">
        <v>209</v>
      </c>
      <c r="T93" s="5" t="s">
        <v>189</v>
      </c>
      <c r="U93" s="5" t="s">
        <v>3896</v>
      </c>
      <c r="V93" s="0" t="s">
        <v>7935</v>
      </c>
      <c r="W93" s="0" t="s">
        <v>263</v>
      </c>
      <c r="X93" s="0" t="s">
        <v>5578</v>
      </c>
      <c r="Y93" s="0" t="str">
        <f aca="false">IF(FA93&lt;&gt;"Y","",COUNTIFS($FA$2:$FA$1000,"Y",$J$2:$J$1000,"&gt;"&amp;J93)+COUNTIFS($FA$2:$FA$1000,"Y",$J$2:$J$1000,J93,$FG$2:$FG$1000,"&lt;"&amp;FG93)+1)</f>
        <v/>
      </c>
      <c r="Z93" s="0" t="n">
        <v>92</v>
      </c>
      <c r="AA93" s="0" t="s">
        <v>189</v>
      </c>
      <c r="AB93" s="0" t="str">
        <f aca="false">IF($A93="","",IF(AT93="Y",BW93&amp;"",BJ93&amp;""))</f>
        <v>find Trish Thomas at Every Body Eat on LinkedIn and paste the profile URL into primary_linkedin_url; use the Whole Foods Market NoMad line only if retailer_checked_date is this week's Friday check</v>
      </c>
      <c r="AC93" s="0" t="str">
        <f aca="false">IF($A93="","",IF(AT93="Y",BR93&amp;"",BE93&amp;""))</f>
        <v>founder</v>
      </c>
      <c r="AD93" s="0" t="str">
        <f aca="false">IF($A93="","",IF(AT93="Y",BS93&amp;"",BF93&amp;""))</f>
        <v>verified-page</v>
      </c>
      <c r="AE93" s="0" t="str">
        <f aca="false">IF($A93="","",IF(AT93="Y",BT93&amp;"",BG93&amp;""))</f>
        <v>employer's own site</v>
      </c>
      <c r="AF93" s="0" t="str">
        <f aca="false">IF($A93="","",IF(AT93="Y",BU93&amp;"",BH93&amp;""))</f>
        <v>https://everybodyeating.com/</v>
      </c>
      <c r="AG93" s="0" t="str">
        <f aca="false">IF($A93="","",IF(AT93="Y",BV93&amp;"",BI93&amp;""))</f>
        <v>2026-10-23</v>
      </c>
      <c r="AH93" s="0" t="s">
        <v>7936</v>
      </c>
      <c r="AI93" s="0" t="s">
        <v>5630</v>
      </c>
      <c r="AJ93" s="0" t="s">
        <v>7937</v>
      </c>
      <c r="AK93" s="0" t="s">
        <v>7938</v>
      </c>
      <c r="AL93" s="0" t="s">
        <v>164</v>
      </c>
      <c r="AM93" s="0" t="s">
        <v>7939</v>
      </c>
      <c r="AN93" s="0" t="s">
        <v>7933</v>
      </c>
      <c r="AO93" s="5" t="s">
        <v>189</v>
      </c>
      <c r="AR93" s="0" t="str">
        <f aca="false">IF($A93="","",IF(AND(CK93="pass",AO93&lt;&gt;"Y",C93&lt;&gt;"",OR(AU93&lt;&gt;"Y",AV93="Y")),"Y","N"))</f>
        <v>N</v>
      </c>
      <c r="AS93" s="0" t="str">
        <f aca="false">IF($A93="","",_xlfn.TEXTJOIN("; ",TRUE(),IF(CK93&lt;&gt;"pass","gated out",""),IF(AO93="Y","on hold: "&amp;AP93,""),IF(C93="","no contact named on an opened page",""),IF(AND(AU93="Y",AV93&lt;&gt;"Y"),"founder review pending (Founder review tab)","")))</f>
        <v>founder review pending (Founder review tab)</v>
      </c>
      <c r="AU93" s="0" t="s">
        <v>164</v>
      </c>
      <c r="AX93" s="0" t="s">
        <v>7940</v>
      </c>
      <c r="AY93" s="0" t="s">
        <v>7941</v>
      </c>
      <c r="AZ93" s="0" t="s">
        <v>1067</v>
      </c>
      <c r="BA93" s="0" t="s">
        <v>5636</v>
      </c>
      <c r="BC93" s="0" t="str">
        <f aca="false">IF($A93="","",IFERROR(INDEX(Enrichment!$A$2:$GZ$2000,MATCH($A93,INDEX(Enrichment!$A$2:$GZ$2000,0,MATCH("row_id",Enrichment!$A$1:$GZ$1,0)),0),MATCH("work_email",Enrichment!$A$1:$GZ$1,0))&amp;"",""))</f>
        <v/>
      </c>
      <c r="BD93" s="0" t="str">
        <f aca="false">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none</v>
      </c>
      <c r="BE93" s="0" t="s">
        <v>5589</v>
      </c>
      <c r="BF93" s="0" t="s">
        <v>169</v>
      </c>
      <c r="BG93" s="0" t="s">
        <v>170</v>
      </c>
      <c r="BH93" s="0" t="s">
        <v>7942</v>
      </c>
      <c r="BI93" s="0" t="s">
        <v>263</v>
      </c>
      <c r="BJ93" s="0" t="s">
        <v>7943</v>
      </c>
      <c r="BK93" s="0" t="s">
        <v>5643</v>
      </c>
      <c r="BL93" s="0" t="s">
        <v>7944</v>
      </c>
      <c r="BM93" s="0" t="s">
        <v>7945</v>
      </c>
      <c r="BN93" s="0" t="s">
        <v>5636</v>
      </c>
      <c r="BP93" s="0" t="str">
        <f aca="false">IF($A93="","",IFERROR(INDEX(Enrichment!$A$2:$GZ$2000,MATCH($A93,INDEX(Enrichment!$A$2:$GZ$2000,0,MATCH("row_id",Enrichment!$A$1:$GZ$1,0)),0),MATCH("backup_work_email",Enrichment!$A$1:$GZ$1,0))&amp;"",""))</f>
        <v/>
      </c>
      <c r="BQ93" s="0" t="str">
        <f aca="false">IF($A93="","",IF(BP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none</v>
      </c>
      <c r="BR93" s="0" t="s">
        <v>7748</v>
      </c>
      <c r="BS93" s="0" t="s">
        <v>169</v>
      </c>
      <c r="BT93" s="0" t="s">
        <v>170</v>
      </c>
      <c r="BU93" s="0" t="s">
        <v>7942</v>
      </c>
      <c r="BV93" s="0" t="s">
        <v>263</v>
      </c>
      <c r="BW93" s="0" t="s">
        <v>7946</v>
      </c>
      <c r="BX93" s="0" t="s">
        <v>5643</v>
      </c>
      <c r="BY93" s="0" t="s">
        <v>7209</v>
      </c>
      <c r="BZ93" s="0" t="s">
        <v>5802</v>
      </c>
      <c r="CB93" s="0" t="s">
        <v>7947</v>
      </c>
      <c r="CF93" s="0" t="s">
        <v>7948</v>
      </c>
      <c r="CJ93" s="0" t="s">
        <v>7088</v>
      </c>
      <c r="CK93" s="0" t="s">
        <v>200</v>
      </c>
      <c r="CM93" s="0" t="s">
        <v>201</v>
      </c>
      <c r="CN93" s="0" t="s">
        <v>5808</v>
      </c>
      <c r="CO93" s="0" t="s">
        <v>7938</v>
      </c>
      <c r="CP93" s="0" t="s">
        <v>6263</v>
      </c>
      <c r="CQ93" s="0" t="s">
        <v>6198</v>
      </c>
      <c r="CR93" s="0" t="s">
        <v>209</v>
      </c>
      <c r="CT93" s="0" t="s">
        <v>164</v>
      </c>
      <c r="CU93" s="0" t="s">
        <v>7949</v>
      </c>
      <c r="CV93" s="0" t="s">
        <v>189</v>
      </c>
      <c r="CW93" s="0" t="s">
        <v>164</v>
      </c>
      <c r="CX93" s="0" t="s">
        <v>209</v>
      </c>
      <c r="CZ93" s="0" t="s">
        <v>209</v>
      </c>
      <c r="DA93" s="0" t="s">
        <v>189</v>
      </c>
      <c r="DB93" s="0" t="s">
        <v>189</v>
      </c>
      <c r="DD93" s="0" t="n">
        <v>0</v>
      </c>
      <c r="DE93" s="0" t="s">
        <v>164</v>
      </c>
      <c r="DF93" s="0" t="n">
        <v>2</v>
      </c>
      <c r="DG93" s="0" t="s">
        <v>5746</v>
      </c>
      <c r="DI93" s="0" t="s">
        <v>6054</v>
      </c>
      <c r="DJ93" s="0" t="s">
        <v>7950</v>
      </c>
      <c r="DK93" s="0" t="s">
        <v>380</v>
      </c>
      <c r="DN93" s="0" t="n">
        <v>42</v>
      </c>
      <c r="DO93" s="0" t="n">
        <v>25</v>
      </c>
      <c r="DP93" s="0" t="n">
        <v>3</v>
      </c>
      <c r="DQ93" s="0" t="n">
        <v>0</v>
      </c>
      <c r="DR93" s="0" t="n">
        <v>5</v>
      </c>
      <c r="DS93" s="0" t="n">
        <v>7</v>
      </c>
      <c r="DT93" s="0" t="n">
        <v>6</v>
      </c>
      <c r="DU93" s="0" t="n">
        <f aca="false">IF($A93="","",IF(R93="Y",10,0))</f>
        <v>0</v>
      </c>
      <c r="DV93" s="0" t="n">
        <v>-4</v>
      </c>
      <c r="DW93" s="0" t="s">
        <v>209</v>
      </c>
      <c r="DX93" s="0" t="s">
        <v>5814</v>
      </c>
      <c r="DY93" s="0" t="s">
        <v>7951</v>
      </c>
      <c r="DZ93" s="0" t="s">
        <v>7952</v>
      </c>
      <c r="EA93" s="0" t="s">
        <v>7953</v>
      </c>
      <c r="EV93" s="0" t="str">
        <f aca="false">IF($A93="","",IF(ISNUMBER(MATCH(U93,{"queued","contacted","replied","call_booked","call_done","yes_in_principle","materials_sent"},0)),"Y","N"))</f>
        <v>N</v>
      </c>
      <c r="EW93" s="0" t="str">
        <f aca="false">IF($A93="","",IF(OR(T93="Y",U93="do_not_contact",AQ93&amp;""&lt;&gt;""),"Y","N"))</f>
        <v>N</v>
      </c>
      <c r="EX93" s="0" t="str">
        <f aca="false">IF($A93="","",IF(AN93&amp;""&lt;&gt;"",AN93&amp;"",$A93))</f>
        <v>AB-057</v>
      </c>
      <c r="EY93" s="0" t="str">
        <f aca="false">IF($A93="","",IF(COUNTIFS($EX$2:$EX$1000,EX93,$EV$2:$EV$1000,"Y")+COUNTIFS($EX$2:$EX$1000,EX93,$EW$2:$EW$1000,"Y")&gt;0,"Y","N"))</f>
        <v>N</v>
      </c>
      <c r="EZ93" s="0" t="str">
        <f aca="false">IF($A93="","",IF(AND(U93="new",T93="N",EW93="N",AR93="Y",EY93="N"),"Y","N"))</f>
        <v>N</v>
      </c>
      <c r="FA93" s="0" t="str">
        <f aca="false">IF($A93="","",IF(EZ93&lt;&gt;"Y","N",IF(COUNTIFS($EX$2:$EX$1000,EX93,$EZ$2:$EZ$1000,"Y",$J$2:$J$1000,"&gt;"&amp;J93)+COUNTIFS($EX$2:$EX$1000,EX93,$EZ$2:$EZ$1000,"Y",$J$2:$J$1000,J93,$FG$2:$FG$1000,"&lt;"&amp;FG93)=0,"Y","N")))</f>
        <v>N</v>
      </c>
      <c r="FB93" s="0" t="str">
        <f aca="false">IF($A93="","",IF(AND(EZ93="Y",FA93="Y",Y93&amp;""&lt;&gt;""),IF(Y93&lt;=10,"Y","N"),"N"))</f>
        <v>N</v>
      </c>
      <c r="FC93" s="0" t="str">
        <f aca="false">IF(FB93="Y",Y93,"")</f>
        <v/>
      </c>
      <c r="FD93" s="0" t="str">
        <f aca="false">IF($A93="","",IF(AND(CK93="pass",AU93="Y",AV93&lt;&gt;"Y",U93="new",EW93="N"),"Y","N"))</f>
        <v>Y</v>
      </c>
      <c r="FE93" s="0" t="str">
        <f aca="false">IF(FD93&lt;&gt;"Y","",IF(COUNTIFS($FD$2:$FD$1000,"Y",$J$2:$J$1000,"&gt;"&amp;J93)+COUNTIFS($FD$2:$FD$1000,"Y",$J$2:$J$1000,J93,$FG$2:$FG$1000,"&lt;"&amp;FG93)+1&lt;=30,COUNTIFS($FD$2:$FD$1000,"Y",$J$2:$J$1000,"&gt;"&amp;J93)+COUNTIFS($FD$2:$FD$1000,"Y",$J$2:$J$1000,J93,$FG$2:$FG$1000,"&lt;"&amp;FG93)+1,""))</f>
        <v/>
      </c>
      <c r="FF93" s="0" t="str">
        <f aca="false">IF(AND(_xlfn.ISFORMULA(C93),_xlfn.ISFORMULA(J93)),"Y","N")</f>
        <v>Y</v>
      </c>
      <c r="FG93" s="0" t="n">
        <f aca="false">ROW()-1</f>
        <v>92</v>
      </c>
    </row>
    <row r="94" customFormat="false" ht="15" hidden="false" customHeight="false" outlineLevel="0" collapsed="false">
      <c r="A94" s="0" t="s">
        <v>7954</v>
      </c>
      <c r="B94" s="0" t="s">
        <v>7955</v>
      </c>
      <c r="C94" s="0" t="str">
        <f aca="false">IF($A94="","",IF(AT94="Y",BL94&amp;"",AY94&amp;""))</f>
        <v>Nicole</v>
      </c>
      <c r="D94" s="0" t="str">
        <f aca="false">IF($A94="","",IF(AT94="Y",BM94&amp;"",AZ94&amp;""))</f>
        <v>Schlesinger</v>
      </c>
      <c r="E94" s="0" t="str">
        <f aca="false">IF($A94="","",IF(AT94="Y",BN94&amp;"",BA94&amp;""))</f>
        <v>Founder</v>
      </c>
      <c r="F94" s="0" t="str">
        <f aca="false">IF($A94="","",IF(AT94="Y",BO94&amp;"",BB94&amp;""))</f>
        <v/>
      </c>
      <c r="G94" s="0" t="str">
        <f aca="false">IF($A94="","",IF(AT94="Y",BP94&amp;"",BC94&amp;""))</f>
        <v/>
      </c>
      <c r="H94" s="0" t="str">
        <f aca="false">IF($A94="","",IF(AT94="Y",BQ94&amp;"",BD94&amp;""))</f>
        <v>none</v>
      </c>
      <c r="I94" s="0" t="str">
        <f aca="false">IF($A94="","",IF(R94="Y","warm-intro",IF(H94="verified","email",IF(C94&lt;&gt;"","linkedin",CA94&amp;""))))</f>
        <v>linkedin</v>
      </c>
      <c r="J94" s="0" t="n">
        <f aca="false">IF($A94="","",IF(CK94="pass",ROUND(N(DO94)+N(DP94)+N(DQ94)+N(DR94)+N(DS94)+N(DT94)+N(DU94)+N(DV94),0),0))</f>
        <v>42</v>
      </c>
      <c r="K94" s="0" t="str">
        <f aca="false">IF($A94="","",IF(CK94&lt;&gt;"pass",BY94&amp;"",BY94&amp;", "&amp;IF(AT94="Y",BX94&amp;"",BK94&amp;"")&amp;BZ94&amp;IF(R94="Y","; known to the founder (+10)","")&amp;"."))</f>
        <v>New York City brand, no graded store within ten blocks, online store only, no dated why-now in the last 12 months, revenue unknown, contact named; founder review: under-floor, nutrient-claim.</v>
      </c>
      <c r="M94" s="0" t="s">
        <v>6144</v>
      </c>
      <c r="N94" s="0" t="s">
        <v>740</v>
      </c>
      <c r="R94" s="5" t="s">
        <v>189</v>
      </c>
      <c r="S94" s="0" t="s">
        <v>164</v>
      </c>
      <c r="T94" s="5" t="s">
        <v>189</v>
      </c>
      <c r="U94" s="5" t="s">
        <v>3896</v>
      </c>
      <c r="V94" s="0" t="s">
        <v>7956</v>
      </c>
      <c r="W94" s="0" t="s">
        <v>263</v>
      </c>
      <c r="X94" s="0" t="s">
        <v>5578</v>
      </c>
      <c r="Y94" s="0" t="n">
        <f aca="false">IF(FA94&lt;&gt;"Y","",COUNTIFS($FA$2:$FA$1000,"Y",$J$2:$J$1000,"&gt;"&amp;J94)+COUNTIFS($FA$2:$FA$1000,"Y",$J$2:$J$1000,J94,$FG$2:$FG$1000,"&lt;"&amp;FG94)+1)</f>
        <v>46</v>
      </c>
      <c r="Z94" s="0" t="n">
        <v>93</v>
      </c>
      <c r="AA94" s="0" t="s">
        <v>189</v>
      </c>
      <c r="AB94" s="0" t="str">
        <f aca="false">IF($A94="","",IF(AT94="Y",BW94&amp;"",BJ94&amp;""))</f>
        <v>find Nicole Schlesinger at Strip Jerky on LinkedIn and paste the profile URL into primary_linkedin_url</v>
      </c>
      <c r="AC94" s="0" t="str">
        <f aca="false">IF($A94="","",IF(AT94="Y",BR94&amp;"",BE94&amp;""))</f>
        <v>founder</v>
      </c>
      <c r="AD94" s="0" t="str">
        <f aca="false">IF($A94="","",IF(AT94="Y",BS94&amp;"",BF94&amp;""))</f>
        <v>verified-page</v>
      </c>
      <c r="AE94" s="0" t="str">
        <f aca="false">IF($A94="","",IF(AT94="Y",BT94&amp;"",BG94&amp;""))</f>
        <v>press, event or podcast page</v>
      </c>
      <c r="AF94" s="0" t="str">
        <f aca="false">IF($A94="","",IF(AT94="Y",BU94&amp;"",BH94&amp;""))</f>
        <v>https://www.entrepreneur.com/building-a-business/at-age-25-shes-turning-the-business-that-started-in-her-apartment-into-over-200k-a-year</v>
      </c>
      <c r="AG94" s="0" t="str">
        <f aca="false">IF($A94="","",IF(AT94="Y",BV94&amp;"",BI94&amp;""))</f>
        <v>2026-10-23</v>
      </c>
      <c r="AH94" s="0" t="s">
        <v>7957</v>
      </c>
      <c r="AI94" s="0" t="s">
        <v>6306</v>
      </c>
      <c r="AJ94" s="0" t="s">
        <v>259</v>
      </c>
      <c r="AK94" s="0" t="s">
        <v>7958</v>
      </c>
      <c r="AL94" s="0" t="s">
        <v>164</v>
      </c>
      <c r="AM94" s="0" t="s">
        <v>7959</v>
      </c>
      <c r="AN94" s="0" t="s">
        <v>7954</v>
      </c>
      <c r="AO94" s="5" t="s">
        <v>189</v>
      </c>
      <c r="AR94" s="0" t="str">
        <f aca="false">IF($A94="","",IF(AND(CK94="pass",AO94&lt;&gt;"Y",C94&lt;&gt;"",OR(AU94&lt;&gt;"Y",AV94="Y")),"Y","N"))</f>
        <v>Y</v>
      </c>
      <c r="AS94" s="0" t="str">
        <f aca="false">IF($A94="","",_xlfn.TEXTJOIN("; ",TRUE(),IF(CK94&lt;&gt;"pass","gated out",""),IF(AO94="Y","on hold: "&amp;AP94,""),IF(C94="","no contact named on an opened page",""),IF(AND(AU94="Y",AV94&lt;&gt;"Y"),"founder review pending (Founder review tab)","")))</f>
        <v/>
      </c>
      <c r="AU94" s="0" t="s">
        <v>189</v>
      </c>
      <c r="AY94" s="0" t="s">
        <v>7960</v>
      </c>
      <c r="AZ94" s="0" t="s">
        <v>7961</v>
      </c>
      <c r="BA94" s="0" t="s">
        <v>5739</v>
      </c>
      <c r="BC94" s="0" t="str">
        <f aca="false">IF($A94="","",IFERROR(INDEX(Enrichment!$A$2:$GZ$2000,MATCH($A94,INDEX(Enrichment!$A$2:$GZ$2000,0,MATCH("row_id",Enrichment!$A$1:$GZ$1,0)),0),MATCH("work_email",Enrichment!$A$1:$GZ$1,0))&amp;"",""))</f>
        <v/>
      </c>
      <c r="BD94" s="0" t="str">
        <f aca="false">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none</v>
      </c>
      <c r="BE94" s="0" t="s">
        <v>5589</v>
      </c>
      <c r="BF94" s="0" t="s">
        <v>169</v>
      </c>
      <c r="BG94" s="0" t="s">
        <v>1252</v>
      </c>
      <c r="BH94" s="0" t="s">
        <v>7962</v>
      </c>
      <c r="BI94" s="0" t="s">
        <v>263</v>
      </c>
      <c r="BJ94" s="0" t="s">
        <v>7963</v>
      </c>
      <c r="BK94" s="0" t="s">
        <v>5643</v>
      </c>
      <c r="BP94" s="0" t="str">
        <f aca="false">IF($A94="","",IFERROR(INDEX(Enrichment!$A$2:$GZ$2000,MATCH($A94,INDEX(Enrichment!$A$2:$GZ$2000,0,MATCH("row_id",Enrichment!$A$1:$GZ$1,0)),0),MATCH("backup_work_email",Enrichment!$A$1:$GZ$1,0))&amp;"",""))</f>
        <v/>
      </c>
      <c r="BQ94" s="0" t="str">
        <f aca="false">IF($A94="","",IF(BP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none</v>
      </c>
      <c r="BS94" s="0" t="s">
        <v>380</v>
      </c>
      <c r="BW94" s="0" t="s">
        <v>387</v>
      </c>
      <c r="BX94" s="0" t="s">
        <v>388</v>
      </c>
      <c r="BY94" s="0" t="s">
        <v>7496</v>
      </c>
      <c r="BZ94" s="0" t="s">
        <v>7727</v>
      </c>
      <c r="CB94" s="0" t="s">
        <v>7964</v>
      </c>
      <c r="CJ94" s="0" t="s">
        <v>7088</v>
      </c>
      <c r="CK94" s="0" t="s">
        <v>200</v>
      </c>
      <c r="CM94" s="0" t="s">
        <v>201</v>
      </c>
      <c r="CN94" s="0" t="s">
        <v>7729</v>
      </c>
      <c r="CO94" s="0" t="s">
        <v>7958</v>
      </c>
      <c r="CP94" s="0" t="s">
        <v>5608</v>
      </c>
      <c r="CQ94" s="0" t="s">
        <v>5609</v>
      </c>
      <c r="CR94" s="0" t="s">
        <v>7965</v>
      </c>
      <c r="CS94" s="0" t="s">
        <v>7962</v>
      </c>
      <c r="CT94" s="0" t="s">
        <v>164</v>
      </c>
      <c r="CU94" s="0" t="s">
        <v>7966</v>
      </c>
      <c r="CV94" s="0" t="s">
        <v>164</v>
      </c>
      <c r="CW94" s="0" t="s">
        <v>164</v>
      </c>
      <c r="CX94" s="0" t="s">
        <v>209</v>
      </c>
      <c r="CZ94" s="0" t="s">
        <v>7967</v>
      </c>
      <c r="DA94" s="0" t="s">
        <v>189</v>
      </c>
      <c r="DB94" s="0" t="s">
        <v>189</v>
      </c>
      <c r="DE94" s="0" t="s">
        <v>189</v>
      </c>
      <c r="DF94" s="0" t="n">
        <v>0</v>
      </c>
      <c r="DH94" s="0" t="s">
        <v>7473</v>
      </c>
      <c r="DI94" s="0" t="s">
        <v>7968</v>
      </c>
      <c r="DJ94" s="0" t="s">
        <v>7969</v>
      </c>
      <c r="DK94" s="0" t="s">
        <v>380</v>
      </c>
      <c r="DM94" s="0" t="s">
        <v>7962</v>
      </c>
      <c r="DN94" s="0" t="n">
        <v>42</v>
      </c>
      <c r="DO94" s="0" t="n">
        <v>6</v>
      </c>
      <c r="DP94" s="0" t="n">
        <v>20</v>
      </c>
      <c r="DQ94" s="0" t="n">
        <v>0</v>
      </c>
      <c r="DR94" s="0" t="n">
        <v>5</v>
      </c>
      <c r="DS94" s="0" t="n">
        <v>10</v>
      </c>
      <c r="DT94" s="0" t="n">
        <v>6</v>
      </c>
      <c r="DU94" s="0" t="n">
        <f aca="false">IF($A94="","",IF(R94="Y",10,0))</f>
        <v>0</v>
      </c>
      <c r="DV94" s="0" t="n">
        <v>-5</v>
      </c>
      <c r="DW94" s="0" t="s">
        <v>7970</v>
      </c>
      <c r="DX94" s="0" t="s">
        <v>5814</v>
      </c>
      <c r="DY94" s="0" t="s">
        <v>7971</v>
      </c>
      <c r="DZ94" s="0" t="s">
        <v>7972</v>
      </c>
      <c r="EA94" s="0" t="s">
        <v>7973</v>
      </c>
      <c r="EV94" s="0" t="str">
        <f aca="false">IF($A94="","",IF(ISNUMBER(MATCH(U94,{"queued","contacted","replied","call_booked","call_done","yes_in_principle","materials_sent"},0)),"Y","N"))</f>
        <v>N</v>
      </c>
      <c r="EW94" s="0" t="str">
        <f aca="false">IF($A94="","",IF(OR(T94="Y",U94="do_not_contact",AQ94&amp;""&lt;&gt;""),"Y","N"))</f>
        <v>N</v>
      </c>
      <c r="EX94" s="0" t="str">
        <f aca="false">IF($A94="","",IF(AN94&amp;""&lt;&gt;"",AN94&amp;"",$A94))</f>
        <v>AB-006</v>
      </c>
      <c r="EY94" s="0" t="str">
        <f aca="false">IF($A94="","",IF(COUNTIFS($EX$2:$EX$1000,EX94,$EV$2:$EV$1000,"Y")+COUNTIFS($EX$2:$EX$1000,EX94,$EW$2:$EW$1000,"Y")&gt;0,"Y","N"))</f>
        <v>N</v>
      </c>
      <c r="EZ94" s="0" t="str">
        <f aca="false">IF($A94="","",IF(AND(U94="new",T94="N",EW94="N",AR94="Y",EY94="N"),"Y","N"))</f>
        <v>Y</v>
      </c>
      <c r="FA94" s="0" t="str">
        <f aca="false">IF($A94="","",IF(EZ94&lt;&gt;"Y","N",IF(COUNTIFS($EX$2:$EX$1000,EX94,$EZ$2:$EZ$1000,"Y",$J$2:$J$1000,"&gt;"&amp;J94)+COUNTIFS($EX$2:$EX$1000,EX94,$EZ$2:$EZ$1000,"Y",$J$2:$J$1000,J94,$FG$2:$FG$1000,"&lt;"&amp;FG94)=0,"Y","N")))</f>
        <v>Y</v>
      </c>
      <c r="FB94" s="0" t="str">
        <f aca="false">IF($A94="","",IF(AND(EZ94="Y",FA94="Y",Y94&amp;""&lt;&gt;""),IF(Y94&lt;=10,"Y","N"),"N"))</f>
        <v>N</v>
      </c>
      <c r="FC94" s="0" t="str">
        <f aca="false">IF(FB94="Y",Y94,"")</f>
        <v/>
      </c>
      <c r="FD94" s="0" t="str">
        <f aca="false">IF($A94="","",IF(AND(CK94="pass",AU94="Y",AV94&lt;&gt;"Y",U94="new",EW94="N"),"Y","N"))</f>
        <v>N</v>
      </c>
      <c r="FE94" s="0" t="str">
        <f aca="false">IF(FD94&lt;&gt;"Y","",IF(COUNTIFS($FD$2:$FD$1000,"Y",$J$2:$J$1000,"&gt;"&amp;J94)+COUNTIFS($FD$2:$FD$1000,"Y",$J$2:$J$1000,J94,$FG$2:$FG$1000,"&lt;"&amp;FG94)+1&lt;=30,COUNTIFS($FD$2:$FD$1000,"Y",$J$2:$J$1000,"&gt;"&amp;J94)+COUNTIFS($FD$2:$FD$1000,"Y",$J$2:$J$1000,J94,$FG$2:$FG$1000,"&lt;"&amp;FG94)+1,""))</f>
        <v/>
      </c>
      <c r="FF94" s="0" t="str">
        <f aca="false">IF(AND(_xlfn.ISFORMULA(C94),_xlfn.ISFORMULA(J94)),"Y","N")</f>
        <v>Y</v>
      </c>
      <c r="FG94" s="0" t="n">
        <f aca="false">ROW()-1</f>
        <v>93</v>
      </c>
    </row>
    <row r="95" customFormat="false" ht="15" hidden="false" customHeight="false" outlineLevel="0" collapsed="false">
      <c r="A95" s="0" t="s">
        <v>7974</v>
      </c>
      <c r="B95" s="0" t="s">
        <v>7975</v>
      </c>
      <c r="C95" s="0" t="str">
        <f aca="false">IF($A95="","",IF(AT95="Y",BL95&amp;"",AY95&amp;""))</f>
        <v/>
      </c>
      <c r="D95" s="0" t="str">
        <f aca="false">IF($A95="","",IF(AT95="Y",BM95&amp;"",AZ95&amp;""))</f>
        <v/>
      </c>
      <c r="E95" s="0" t="str">
        <f aca="false">IF($A95="","",IF(AT95="Y",BN95&amp;"",BA95&amp;""))</f>
        <v/>
      </c>
      <c r="F95" s="0" t="str">
        <f aca="false">IF($A95="","",IF(AT95="Y",BO95&amp;"",BB95&amp;""))</f>
        <v/>
      </c>
      <c r="G95" s="0" t="str">
        <f aca="false">IF($A95="","",IF(AT95="Y",BP95&amp;"",BC95&amp;""))</f>
        <v/>
      </c>
      <c r="H95" s="0" t="str">
        <f aca="false">IF($A95="","",IF(AT95="Y",BQ95&amp;"",BD95&amp;""))</f>
        <v>none</v>
      </c>
      <c r="I95" s="0" t="str">
        <f aca="false">IF($A95="","",IF(R95="Y","warm-intro",IF(H95="verified","email",IF(C95&lt;&gt;"","linkedin",CA95&amp;""))))</f>
        <v/>
      </c>
      <c r="J95" s="0" t="n">
        <f aca="false">IF($A95="","",IF(CK95="pass",ROUND(N(DO95)+N(DP95)+N(DQ95)+N(DR95)+N(DS95)+N(DT95)+N(DU95)+N(DV95),0),0))</f>
        <v>42</v>
      </c>
      <c r="K95" s="0" t="str">
        <f aca="false">IF($A95="","",IF(CK95&lt;&gt;"pass",BY95&amp;"",BY95&amp;", "&amp;IF(AT95="Y",BX95&amp;"",BK95&amp;"")&amp;BZ95&amp;IF(R95="Y","; known to the founder (+10)","")&amp;"."))</f>
        <v>Northeast brand, store page shows Whole Foods Market NoMad inside the cluster, no dated why-now in the last 12 months, revenue unknown, contact seen only in a snippet; founder review: other, format-unconfirmed.</v>
      </c>
      <c r="M95" s="0" t="s">
        <v>5572</v>
      </c>
      <c r="N95" s="0" t="s">
        <v>5573</v>
      </c>
      <c r="R95" s="5" t="s">
        <v>189</v>
      </c>
      <c r="S95" s="0" t="s">
        <v>209</v>
      </c>
      <c r="T95" s="5" t="s">
        <v>189</v>
      </c>
      <c r="U95" s="5" t="s">
        <v>3896</v>
      </c>
      <c r="V95" s="0" t="s">
        <v>7976</v>
      </c>
      <c r="W95" s="0" t="s">
        <v>263</v>
      </c>
      <c r="X95" s="0" t="s">
        <v>5578</v>
      </c>
      <c r="Y95" s="0" t="str">
        <f aca="false">IF(FA95&lt;&gt;"Y","",COUNTIFS($FA$2:$FA$1000,"Y",$J$2:$J$1000,"&gt;"&amp;J95)+COUNTIFS($FA$2:$FA$1000,"Y",$J$2:$J$1000,J95,$FG$2:$FG$1000,"&lt;"&amp;FG95)+1)</f>
        <v/>
      </c>
      <c r="Z95" s="0" t="n">
        <v>94</v>
      </c>
      <c r="AA95" s="0" t="s">
        <v>189</v>
      </c>
      <c r="AB95" s="0" t="str">
        <f aca="false">IF($A95="","",IF(AT95="Y",BW95&amp;"",BJ95&amp;""))</f>
        <v>no person named on an opened page: not ready; use the Whole Foods Market NoMad line only if retailer_checked_date is this week's Friday check</v>
      </c>
      <c r="AC95" s="0" t="str">
        <f aca="false">IF($A95="","",IF(AT95="Y",BR95&amp;"",BE95&amp;""))</f>
        <v>founder</v>
      </c>
      <c r="AD95" s="0" t="str">
        <f aca="false">IF($A95="","",IF(AT95="Y",BS95&amp;"",BF95&amp;""))</f>
        <v>unverified</v>
      </c>
      <c r="AE95" s="0" t="str">
        <f aca="false">IF($A95="","",IF(AT95="Y",BT95&amp;"",BG95&amp;""))</f>
        <v>unknown</v>
      </c>
      <c r="AF95" s="0" t="str">
        <f aca="false">IF($A95="","",IF(AT95="Y",BU95&amp;"",BH95&amp;""))</f>
        <v/>
      </c>
      <c r="AG95" s="0" t="str">
        <f aca="false">IF($A95="","",IF(AT95="Y",BV95&amp;"",BI95&amp;""))</f>
        <v>2026-10-23</v>
      </c>
      <c r="AH95" s="0" t="s">
        <v>7977</v>
      </c>
      <c r="AI95" s="0" t="s">
        <v>5702</v>
      </c>
      <c r="AJ95" s="0" t="s">
        <v>7978</v>
      </c>
      <c r="AL95" s="0" t="s">
        <v>164</v>
      </c>
      <c r="AM95" s="0" t="s">
        <v>7979</v>
      </c>
      <c r="AN95" s="0" t="s">
        <v>7974</v>
      </c>
      <c r="AO95" s="5" t="s">
        <v>189</v>
      </c>
      <c r="AR95" s="0" t="str">
        <f aca="false">IF($A95="","",IF(AND(CK95="pass",AO95&lt;&gt;"Y",C95&lt;&gt;"",OR(AU95&lt;&gt;"Y",AV95="Y")),"Y","N"))</f>
        <v>N</v>
      </c>
      <c r="AS95" s="0" t="str">
        <f aca="false">IF($A95="","",_xlfn.TEXTJOIN("; ",TRUE(),IF(CK95&lt;&gt;"pass","gated out",""),IF(AO95="Y","on hold: "&amp;AP95,""),IF(C95="","no contact named on an opened page",""),IF(AND(AU95="Y",AV95&lt;&gt;"Y"),"founder review pending (Founder review tab)","")))</f>
        <v>no contact named on an opened page</v>
      </c>
      <c r="AU95" s="0" t="s">
        <v>189</v>
      </c>
      <c r="AX95" s="0" t="s">
        <v>7980</v>
      </c>
      <c r="BC95" s="0" t="str">
        <f aca="false">IF($A95="","",IFERROR(INDEX(Enrichment!$A$2:$GZ$2000,MATCH($A95,INDEX(Enrichment!$A$2:$GZ$2000,0,MATCH("row_id",Enrichment!$A$1:$GZ$1,0)),0),MATCH("work_email",Enrichment!$A$1:$GZ$1,0))&amp;"",""))</f>
        <v/>
      </c>
      <c r="BD95" s="0" t="str">
        <f aca="false">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none</v>
      </c>
      <c r="BE95" s="0" t="s">
        <v>5589</v>
      </c>
      <c r="BF95" s="0" t="s">
        <v>740</v>
      </c>
      <c r="BG95" s="0" t="s">
        <v>209</v>
      </c>
      <c r="BI95" s="0" t="s">
        <v>263</v>
      </c>
      <c r="BJ95" s="0" t="s">
        <v>6047</v>
      </c>
      <c r="BK95" s="0" t="s">
        <v>5834</v>
      </c>
      <c r="BP95" s="0" t="str">
        <f aca="false">IF($A95="","",IFERROR(INDEX(Enrichment!$A$2:$GZ$2000,MATCH($A95,INDEX(Enrichment!$A$2:$GZ$2000,0,MATCH("row_id",Enrichment!$A$1:$GZ$1,0)),0),MATCH("backup_work_email",Enrichment!$A$1:$GZ$1,0))&amp;"",""))</f>
        <v/>
      </c>
      <c r="BQ95" s="0" t="str">
        <f aca="false">IF($A95="","",IF(BP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none</v>
      </c>
      <c r="BS95" s="0" t="s">
        <v>380</v>
      </c>
      <c r="BW95" s="0" t="s">
        <v>5741</v>
      </c>
      <c r="BX95" s="0" t="s">
        <v>388</v>
      </c>
      <c r="BY95" s="0" t="s">
        <v>6844</v>
      </c>
      <c r="BZ95" s="0" t="s">
        <v>7168</v>
      </c>
      <c r="CB95" s="0" t="s">
        <v>7981</v>
      </c>
      <c r="CD95" s="0" t="s">
        <v>7905</v>
      </c>
      <c r="CJ95" s="0" t="s">
        <v>7088</v>
      </c>
      <c r="CK95" s="0" t="s">
        <v>200</v>
      </c>
      <c r="CM95" s="0" t="s">
        <v>201</v>
      </c>
      <c r="CN95" s="0" t="s">
        <v>7171</v>
      </c>
      <c r="CO95" s="0" t="s">
        <v>7982</v>
      </c>
      <c r="CP95" s="0" t="s">
        <v>5840</v>
      </c>
      <c r="CQ95" s="0" t="s">
        <v>6084</v>
      </c>
      <c r="CR95" s="0" t="s">
        <v>209</v>
      </c>
      <c r="CT95" s="0" t="s">
        <v>209</v>
      </c>
      <c r="CU95" s="0" t="s">
        <v>7983</v>
      </c>
      <c r="CV95" s="0" t="s">
        <v>209</v>
      </c>
      <c r="CW95" s="0" t="s">
        <v>209</v>
      </c>
      <c r="CX95" s="0" t="s">
        <v>209</v>
      </c>
      <c r="CZ95" s="0" t="s">
        <v>209</v>
      </c>
      <c r="DA95" s="0" t="s">
        <v>189</v>
      </c>
      <c r="DB95" s="0" t="s">
        <v>189</v>
      </c>
      <c r="DD95" s="0" t="n">
        <v>0</v>
      </c>
      <c r="DE95" s="0" t="s">
        <v>164</v>
      </c>
      <c r="DF95" s="0" t="n">
        <v>1</v>
      </c>
      <c r="DG95" s="0" t="s">
        <v>6053</v>
      </c>
      <c r="DH95" s="0" t="s">
        <v>5969</v>
      </c>
      <c r="DI95" s="0" t="s">
        <v>7984</v>
      </c>
      <c r="DJ95" s="0" t="s">
        <v>7985</v>
      </c>
      <c r="DK95" s="0" t="s">
        <v>380</v>
      </c>
      <c r="DN95" s="0" t="n">
        <v>42</v>
      </c>
      <c r="DO95" s="0" t="n">
        <v>25</v>
      </c>
      <c r="DP95" s="0" t="n">
        <v>8</v>
      </c>
      <c r="DQ95" s="0" t="n">
        <v>0</v>
      </c>
      <c r="DR95" s="0" t="n">
        <v>5</v>
      </c>
      <c r="DS95" s="0" t="n">
        <v>3</v>
      </c>
      <c r="DT95" s="0" t="n">
        <v>3</v>
      </c>
      <c r="DU95" s="0" t="n">
        <f aca="false">IF($A95="","",IF(R95="Y",10,0))</f>
        <v>0</v>
      </c>
      <c r="DV95" s="0" t="n">
        <v>-2</v>
      </c>
      <c r="DX95" s="0" t="s">
        <v>5619</v>
      </c>
      <c r="DY95" s="0" t="s">
        <v>7986</v>
      </c>
      <c r="DZ95" s="0" t="s">
        <v>7987</v>
      </c>
      <c r="EA95" s="0" t="s">
        <v>7988</v>
      </c>
      <c r="EV95" s="0" t="str">
        <f aca="false">IF($A95="","",IF(ISNUMBER(MATCH(U95,{"queued","contacted","replied","call_booked","call_done","yes_in_principle","materials_sent"},0)),"Y","N"))</f>
        <v>N</v>
      </c>
      <c r="EW95" s="0" t="str">
        <f aca="false">IF($A95="","",IF(OR(T95="Y",U95="do_not_contact",AQ95&amp;""&lt;&gt;""),"Y","N"))</f>
        <v>N</v>
      </c>
      <c r="EX95" s="0" t="str">
        <f aca="false">IF($A95="","",IF(AN95&amp;""&lt;&gt;"",AN95&amp;"",$A95))</f>
        <v>AB-246</v>
      </c>
      <c r="EY95" s="0" t="str">
        <f aca="false">IF($A95="","",IF(COUNTIFS($EX$2:$EX$1000,EX95,$EV$2:$EV$1000,"Y")+COUNTIFS($EX$2:$EX$1000,EX95,$EW$2:$EW$1000,"Y")&gt;0,"Y","N"))</f>
        <v>N</v>
      </c>
      <c r="EZ95" s="0" t="str">
        <f aca="false">IF($A95="","",IF(AND(U95="new",T95="N",EW95="N",AR95="Y",EY95="N"),"Y","N"))</f>
        <v>N</v>
      </c>
      <c r="FA95" s="0" t="str">
        <f aca="false">IF($A95="","",IF(EZ95&lt;&gt;"Y","N",IF(COUNTIFS($EX$2:$EX$1000,EX95,$EZ$2:$EZ$1000,"Y",$J$2:$J$1000,"&gt;"&amp;J95)+COUNTIFS($EX$2:$EX$1000,EX95,$EZ$2:$EZ$1000,"Y",$J$2:$J$1000,J95,$FG$2:$FG$1000,"&lt;"&amp;FG95)=0,"Y","N")))</f>
        <v>N</v>
      </c>
      <c r="FB95" s="0" t="str">
        <f aca="false">IF($A95="","",IF(AND(EZ95="Y",FA95="Y",Y95&amp;""&lt;&gt;""),IF(Y95&lt;=10,"Y","N"),"N"))</f>
        <v>N</v>
      </c>
      <c r="FC95" s="0" t="str">
        <f aca="false">IF(FB95="Y",Y95,"")</f>
        <v/>
      </c>
      <c r="FD95" s="0" t="str">
        <f aca="false">IF($A95="","",IF(AND(CK95="pass",AU95="Y",AV95&lt;&gt;"Y",U95="new",EW95="N"),"Y","N"))</f>
        <v>N</v>
      </c>
      <c r="FE95" s="0" t="str">
        <f aca="false">IF(FD95&lt;&gt;"Y","",IF(COUNTIFS($FD$2:$FD$1000,"Y",$J$2:$J$1000,"&gt;"&amp;J95)+COUNTIFS($FD$2:$FD$1000,"Y",$J$2:$J$1000,J95,$FG$2:$FG$1000,"&lt;"&amp;FG95)+1&lt;=30,COUNTIFS($FD$2:$FD$1000,"Y",$J$2:$J$1000,"&gt;"&amp;J95)+COUNTIFS($FD$2:$FD$1000,"Y",$J$2:$J$1000,J95,$FG$2:$FG$1000,"&lt;"&amp;FG95)+1,""))</f>
        <v/>
      </c>
      <c r="FF95" s="0" t="str">
        <f aca="false">IF(AND(_xlfn.ISFORMULA(C95),_xlfn.ISFORMULA(J95)),"Y","N")</f>
        <v>Y</v>
      </c>
      <c r="FG95" s="0" t="n">
        <f aca="false">ROW()-1</f>
        <v>94</v>
      </c>
    </row>
    <row r="96" customFormat="false" ht="15" hidden="false" customHeight="false" outlineLevel="0" collapsed="false">
      <c r="A96" s="0" t="s">
        <v>7989</v>
      </c>
      <c r="B96" s="0" t="s">
        <v>7990</v>
      </c>
      <c r="C96" s="0" t="str">
        <f aca="false">IF($A96="","",IF(AT96="Y",BL96&amp;"",AY96&amp;""))</f>
        <v/>
      </c>
      <c r="D96" s="0" t="str">
        <f aca="false">IF($A96="","",IF(AT96="Y",BM96&amp;"",AZ96&amp;""))</f>
        <v/>
      </c>
      <c r="E96" s="0" t="str">
        <f aca="false">IF($A96="","",IF(AT96="Y",BN96&amp;"",BA96&amp;""))</f>
        <v/>
      </c>
      <c r="F96" s="0" t="str">
        <f aca="false">IF($A96="","",IF(AT96="Y",BO96&amp;"",BB96&amp;""))</f>
        <v>https://www.linkedin.com/in/maria-vepa/</v>
      </c>
      <c r="G96" s="0" t="str">
        <f aca="false">IF($A96="","",IF(AT96="Y",BP96&amp;"",BC96&amp;""))</f>
        <v/>
      </c>
      <c r="H96" s="0" t="str">
        <f aca="false">IF($A96="","",IF(AT96="Y",BQ96&amp;"",BD96&amp;""))</f>
        <v>none</v>
      </c>
      <c r="I96" s="0" t="str">
        <f aca="false">IF($A96="","",IF(R96="Y","warm-intro",IF(H96="verified","email",IF(C96&lt;&gt;"","linkedin",CA96&amp;""))))</f>
        <v/>
      </c>
      <c r="J96" s="0" t="n">
        <f aca="false">IF($A96="","",IF(CK96="pass",ROUND(N(DO96)+N(DP96)+N(DQ96)+N(DR96)+N(DS96)+N(DT96)+N(DU96)+N(DV96),0),0))</f>
        <v>42</v>
      </c>
      <c r="K96" s="0" t="str">
        <f aca="false">IF($A96="","",IF(CK96&lt;&gt;"pass",BY96&amp;"",BY96&amp;", "&amp;IF(AT96="Y",BX96&amp;"",BK96&amp;"")&amp;BZ96&amp;IF(R96="Y","; known to the founder (+10)","")&amp;"."))</f>
        <v>Northeast brand, no graded store within ten blocks, online store only, news 61 days ago, revenue unknown, contact seen only in a snippet; founder review: under-floor, nutrient-claim.</v>
      </c>
      <c r="M96" s="0" t="s">
        <v>6144</v>
      </c>
      <c r="N96" s="0" t="s">
        <v>740</v>
      </c>
      <c r="O96" s="0" t="s">
        <v>7991</v>
      </c>
      <c r="P96" s="0" t="s">
        <v>7389</v>
      </c>
      <c r="Q96" s="0" t="s">
        <v>7390</v>
      </c>
      <c r="R96" s="5" t="s">
        <v>189</v>
      </c>
      <c r="S96" s="0" t="s">
        <v>164</v>
      </c>
      <c r="T96" s="5" t="s">
        <v>189</v>
      </c>
      <c r="U96" s="5" t="s">
        <v>3896</v>
      </c>
      <c r="V96" s="0" t="s">
        <v>7992</v>
      </c>
      <c r="W96" s="0" t="s">
        <v>263</v>
      </c>
      <c r="X96" s="0" t="s">
        <v>5578</v>
      </c>
      <c r="Y96" s="0" t="str">
        <f aca="false">IF(FA96&lt;&gt;"Y","",COUNTIFS($FA$2:$FA$1000,"Y",$J$2:$J$1000,"&gt;"&amp;J96)+COUNTIFS($FA$2:$FA$1000,"Y",$J$2:$J$1000,J96,$FG$2:$FG$1000,"&lt;"&amp;FG96)+1)</f>
        <v/>
      </c>
      <c r="Z96" s="0" t="n">
        <v>95</v>
      </c>
      <c r="AA96" s="0" t="s">
        <v>189</v>
      </c>
      <c r="AB96" s="0" t="str">
        <f aca="false">IF($A96="","",IF(AT96="Y",BW96&amp;"",BJ96&amp;""))</f>
        <v>no person named on an opened page: not ready</v>
      </c>
      <c r="AC96" s="0" t="str">
        <f aca="false">IF($A96="","",IF(AT96="Y",BR96&amp;"",BE96&amp;""))</f>
        <v>founder</v>
      </c>
      <c r="AD96" s="0" t="str">
        <f aca="false">IF($A96="","",IF(AT96="Y",BS96&amp;"",BF96&amp;""))</f>
        <v>unverified</v>
      </c>
      <c r="AE96" s="0" t="str">
        <f aca="false">IF($A96="","",IF(AT96="Y",BT96&amp;"",BG96&amp;""))</f>
        <v>unknown</v>
      </c>
      <c r="AF96" s="0" t="str">
        <f aca="false">IF($A96="","",IF(AT96="Y",BU96&amp;"",BH96&amp;""))</f>
        <v/>
      </c>
      <c r="AG96" s="0" t="str">
        <f aca="false">IF($A96="","",IF(AT96="Y",BV96&amp;"",BI96&amp;""))</f>
        <v>2026-10-23</v>
      </c>
      <c r="AH96" s="0" t="s">
        <v>7993</v>
      </c>
      <c r="AI96" s="0" t="s">
        <v>6621</v>
      </c>
      <c r="AJ96" s="0" t="s">
        <v>7994</v>
      </c>
      <c r="AK96" s="0" t="s">
        <v>7995</v>
      </c>
      <c r="AL96" s="0" t="s">
        <v>164</v>
      </c>
      <c r="AM96" s="0" t="s">
        <v>7996</v>
      </c>
      <c r="AN96" s="0" t="s">
        <v>7989</v>
      </c>
      <c r="AO96" s="5" t="s">
        <v>189</v>
      </c>
      <c r="AR96" s="0" t="str">
        <f aca="false">IF($A96="","",IF(AND(CK96="pass",AO96&lt;&gt;"Y",C96&lt;&gt;"",OR(AU96&lt;&gt;"Y",AV96="Y")),"Y","N"))</f>
        <v>N</v>
      </c>
      <c r="AS96" s="0" t="str">
        <f aca="false">IF($A96="","",_xlfn.TEXTJOIN("; ",TRUE(),IF(CK96&lt;&gt;"pass","gated out",""),IF(AO96="Y","on hold: "&amp;AP96,""),IF(C96="","no contact named on an opened page",""),IF(AND(AU96="Y",AV96&lt;&gt;"Y"),"founder review pending (Founder review tab)","")))</f>
        <v>no contact named on an opened page</v>
      </c>
      <c r="AU96" s="0" t="s">
        <v>189</v>
      </c>
      <c r="BB96" s="0" t="s">
        <v>7997</v>
      </c>
      <c r="BC96" s="0" t="str">
        <f aca="false">IF($A96="","",IFERROR(INDEX(Enrichment!$A$2:$GZ$2000,MATCH($A96,INDEX(Enrichment!$A$2:$GZ$2000,0,MATCH("row_id",Enrichment!$A$1:$GZ$1,0)),0),MATCH("work_email",Enrichment!$A$1:$GZ$1,0))&amp;"",""))</f>
        <v/>
      </c>
      <c r="BD96" s="0" t="str">
        <f aca="false">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none</v>
      </c>
      <c r="BE96" s="0" t="s">
        <v>5589</v>
      </c>
      <c r="BF96" s="0" t="s">
        <v>740</v>
      </c>
      <c r="BG96" s="0" t="s">
        <v>209</v>
      </c>
      <c r="BI96" s="0" t="s">
        <v>263</v>
      </c>
      <c r="BJ96" s="0" t="s">
        <v>7105</v>
      </c>
      <c r="BK96" s="0" t="s">
        <v>5834</v>
      </c>
      <c r="BP96" s="0" t="str">
        <f aca="false">IF($A96="","",IFERROR(INDEX(Enrichment!$A$2:$GZ$2000,MATCH($A96,INDEX(Enrichment!$A$2:$GZ$2000,0,MATCH("row_id",Enrichment!$A$1:$GZ$1,0)),0),MATCH("backup_work_email",Enrichment!$A$1:$GZ$1,0))&amp;"",""))</f>
        <v/>
      </c>
      <c r="BQ96" s="0" t="str">
        <f aca="false">IF($A96="","",IF(BP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none</v>
      </c>
      <c r="BS96" s="0" t="s">
        <v>380</v>
      </c>
      <c r="BW96" s="0" t="s">
        <v>387</v>
      </c>
      <c r="BX96" s="0" t="s">
        <v>388</v>
      </c>
      <c r="BY96" s="0" t="s">
        <v>7998</v>
      </c>
      <c r="BZ96" s="0" t="s">
        <v>7727</v>
      </c>
      <c r="CB96" s="0" t="s">
        <v>7999</v>
      </c>
      <c r="CE96" s="0" t="s">
        <v>8000</v>
      </c>
      <c r="CJ96" s="0" t="s">
        <v>7088</v>
      </c>
      <c r="CK96" s="0" t="s">
        <v>200</v>
      </c>
      <c r="CM96" s="0" t="s">
        <v>201</v>
      </c>
      <c r="CN96" s="0" t="s">
        <v>7729</v>
      </c>
      <c r="CO96" s="0" t="s">
        <v>7995</v>
      </c>
      <c r="CP96" s="0" t="s">
        <v>7450</v>
      </c>
      <c r="CQ96" s="0" t="s">
        <v>6084</v>
      </c>
      <c r="CR96" s="0" t="s">
        <v>8001</v>
      </c>
      <c r="CS96" s="0" t="s">
        <v>7992</v>
      </c>
      <c r="CT96" s="0" t="s">
        <v>164</v>
      </c>
      <c r="CU96" s="0" t="s">
        <v>8002</v>
      </c>
      <c r="CV96" s="0" t="s">
        <v>164</v>
      </c>
      <c r="CW96" s="0" t="s">
        <v>164</v>
      </c>
      <c r="CX96" s="0" t="s">
        <v>209</v>
      </c>
      <c r="CZ96" s="0" t="s">
        <v>8003</v>
      </c>
      <c r="DA96" s="0" t="s">
        <v>189</v>
      </c>
      <c r="DB96" s="0" t="s">
        <v>189</v>
      </c>
      <c r="DE96" s="0" t="s">
        <v>189</v>
      </c>
      <c r="DF96" s="0" t="n">
        <v>0</v>
      </c>
      <c r="DI96" s="0" t="s">
        <v>8004</v>
      </c>
      <c r="DK96" s="0" t="s">
        <v>5617</v>
      </c>
      <c r="DL96" s="0" t="n">
        <v>61</v>
      </c>
      <c r="DM96" s="0" t="s">
        <v>6470</v>
      </c>
      <c r="DN96" s="0" t="n">
        <v>42</v>
      </c>
      <c r="DO96" s="0" t="n">
        <v>6</v>
      </c>
      <c r="DP96" s="0" t="n">
        <v>8</v>
      </c>
      <c r="DQ96" s="0" t="n">
        <v>15</v>
      </c>
      <c r="DR96" s="0" t="n">
        <v>5</v>
      </c>
      <c r="DS96" s="0" t="n">
        <v>10</v>
      </c>
      <c r="DT96" s="0" t="n">
        <v>3</v>
      </c>
      <c r="DU96" s="0" t="n">
        <f aca="false">IF($A96="","",IF(R96="Y",10,0))</f>
        <v>0</v>
      </c>
      <c r="DV96" s="0" t="n">
        <v>-5</v>
      </c>
      <c r="DX96" s="0" t="s">
        <v>5619</v>
      </c>
      <c r="DY96" s="0" t="s">
        <v>8005</v>
      </c>
      <c r="DZ96" s="0" t="s">
        <v>8006</v>
      </c>
      <c r="EA96" s="0" t="s">
        <v>8007</v>
      </c>
      <c r="EV96" s="0" t="str">
        <f aca="false">IF($A96="","",IF(ISNUMBER(MATCH(U96,{"queued","contacted","replied","call_booked","call_done","yes_in_principle","materials_sent"},0)),"Y","N"))</f>
        <v>N</v>
      </c>
      <c r="EW96" s="0" t="str">
        <f aca="false">IF($A96="","",IF(OR(T96="Y",U96="do_not_contact",AQ96&amp;""&lt;&gt;""),"Y","N"))</f>
        <v>N</v>
      </c>
      <c r="EX96" s="0" t="str">
        <f aca="false">IF($A96="","",IF(AN96&amp;""&lt;&gt;"",AN96&amp;"",$A96))</f>
        <v>AB-223</v>
      </c>
      <c r="EY96" s="0" t="str">
        <f aca="false">IF($A96="","",IF(COUNTIFS($EX$2:$EX$1000,EX96,$EV$2:$EV$1000,"Y")+COUNTIFS($EX$2:$EX$1000,EX96,$EW$2:$EW$1000,"Y")&gt;0,"Y","N"))</f>
        <v>N</v>
      </c>
      <c r="EZ96" s="0" t="str">
        <f aca="false">IF($A96="","",IF(AND(U96="new",T96="N",EW96="N",AR96="Y",EY96="N"),"Y","N"))</f>
        <v>N</v>
      </c>
      <c r="FA96" s="0" t="str">
        <f aca="false">IF($A96="","",IF(EZ96&lt;&gt;"Y","N",IF(COUNTIFS($EX$2:$EX$1000,EX96,$EZ$2:$EZ$1000,"Y",$J$2:$J$1000,"&gt;"&amp;J96)+COUNTIFS($EX$2:$EX$1000,EX96,$EZ$2:$EZ$1000,"Y",$J$2:$J$1000,J96,$FG$2:$FG$1000,"&lt;"&amp;FG96)=0,"Y","N")))</f>
        <v>N</v>
      </c>
      <c r="FB96" s="0" t="str">
        <f aca="false">IF($A96="","",IF(AND(EZ96="Y",FA96="Y",Y96&amp;""&lt;&gt;""),IF(Y96&lt;=10,"Y","N"),"N"))</f>
        <v>N</v>
      </c>
      <c r="FC96" s="0" t="str">
        <f aca="false">IF(FB96="Y",Y96,"")</f>
        <v/>
      </c>
      <c r="FD96" s="0" t="str">
        <f aca="false">IF($A96="","",IF(AND(CK96="pass",AU96="Y",AV96&lt;&gt;"Y",U96="new",EW96="N"),"Y","N"))</f>
        <v>N</v>
      </c>
      <c r="FE96" s="0" t="str">
        <f aca="false">IF(FD96&lt;&gt;"Y","",IF(COUNTIFS($FD$2:$FD$1000,"Y",$J$2:$J$1000,"&gt;"&amp;J96)+COUNTIFS($FD$2:$FD$1000,"Y",$J$2:$J$1000,J96,$FG$2:$FG$1000,"&lt;"&amp;FG96)+1&lt;=30,COUNTIFS($FD$2:$FD$1000,"Y",$J$2:$J$1000,"&gt;"&amp;J96)+COUNTIFS($FD$2:$FD$1000,"Y",$J$2:$J$1000,J96,$FG$2:$FG$1000,"&lt;"&amp;FG96)+1,""))</f>
        <v/>
      </c>
      <c r="FF96" s="0" t="str">
        <f aca="false">IF(AND(_xlfn.ISFORMULA(C96),_xlfn.ISFORMULA(J96)),"Y","N")</f>
        <v>Y</v>
      </c>
      <c r="FG96" s="0" t="n">
        <f aca="false">ROW()-1</f>
        <v>95</v>
      </c>
    </row>
    <row r="97" customFormat="false" ht="15" hidden="false" customHeight="false" outlineLevel="0" collapsed="false">
      <c r="A97" s="0" t="s">
        <v>8008</v>
      </c>
      <c r="B97" s="0" t="s">
        <v>8009</v>
      </c>
      <c r="C97" s="0" t="str">
        <f aca="false">IF($A97="","",IF(AT97="Y",BL97&amp;"",AY97&amp;""))</f>
        <v/>
      </c>
      <c r="D97" s="0" t="str">
        <f aca="false">IF($A97="","",IF(AT97="Y",BM97&amp;"",AZ97&amp;""))</f>
        <v/>
      </c>
      <c r="E97" s="0" t="str">
        <f aca="false">IF($A97="","",IF(AT97="Y",BN97&amp;"",BA97&amp;""))</f>
        <v/>
      </c>
      <c r="F97" s="0" t="str">
        <f aca="false">IF($A97="","",IF(AT97="Y",BO97&amp;"",BB97&amp;""))</f>
        <v/>
      </c>
      <c r="G97" s="0" t="str">
        <f aca="false">IF($A97="","",IF(AT97="Y",BP97&amp;"",BC97&amp;""))</f>
        <v/>
      </c>
      <c r="H97" s="0" t="str">
        <f aca="false">IF($A97="","",IF(AT97="Y",BQ97&amp;"",BD97&amp;""))</f>
        <v>none</v>
      </c>
      <c r="I97" s="0" t="str">
        <f aca="false">IF($A97="","",IF(R97="Y","warm-intro",IF(H97="verified","email",IF(C97&lt;&gt;"","linkedin",CA97&amp;""))))</f>
        <v/>
      </c>
      <c r="J97" s="0" t="n">
        <f aca="false">IF($A97="","",IF(CK97="pass",ROUND(N(DO97)+N(DP97)+N(DQ97)+N(DR97)+N(DS97)+N(DT97)+N(DU97)+N(DV97),0),0))</f>
        <v>42</v>
      </c>
      <c r="K97" s="0" t="str">
        <f aca="false">IF($A97="","",IF(CK97&lt;&gt;"pass",BY97&amp;"",BY97&amp;", "&amp;IF(AT97="Y",BX97&amp;"",BK97&amp;"")&amp;BZ97&amp;IF(R97="Y","; known to the founder (+10)","")&amp;"."))</f>
        <v>Northeast brand, no graded store within ten blocks, online store only, news 5 days ago, revenue unknown, no contact named; founder review: other.</v>
      </c>
      <c r="M97" s="0" t="s">
        <v>6144</v>
      </c>
      <c r="N97" s="0" t="s">
        <v>740</v>
      </c>
      <c r="O97" s="0" t="s">
        <v>8010</v>
      </c>
      <c r="P97" s="0" t="s">
        <v>6499</v>
      </c>
      <c r="Q97" s="0" t="s">
        <v>2985</v>
      </c>
      <c r="R97" s="5" t="s">
        <v>189</v>
      </c>
      <c r="S97" s="0" t="s">
        <v>209</v>
      </c>
      <c r="T97" s="5" t="s">
        <v>189</v>
      </c>
      <c r="U97" s="5" t="s">
        <v>3896</v>
      </c>
      <c r="V97" s="0" t="s">
        <v>6499</v>
      </c>
      <c r="W97" s="0" t="s">
        <v>172</v>
      </c>
      <c r="X97" s="0" t="s">
        <v>5578</v>
      </c>
      <c r="Y97" s="0" t="str">
        <f aca="false">IF(FA97&lt;&gt;"Y","",COUNTIFS($FA$2:$FA$1000,"Y",$J$2:$J$1000,"&gt;"&amp;J97)+COUNTIFS($FA$2:$FA$1000,"Y",$J$2:$J$1000,J97,$FG$2:$FG$1000,"&lt;"&amp;FG97)+1)</f>
        <v/>
      </c>
      <c r="Z97" s="0" t="n">
        <v>96</v>
      </c>
      <c r="AA97" s="0" t="s">
        <v>189</v>
      </c>
      <c r="AB97" s="0" t="str">
        <f aca="false">IF($A97="","",IF(AT97="Y",BW97&amp;"",BJ97&amp;""))</f>
        <v>no person named on an opened page: not ready</v>
      </c>
      <c r="AC97" s="0" t="str">
        <f aca="false">IF($A97="","",IF(AT97="Y",BR97&amp;"",BE97&amp;""))</f>
        <v/>
      </c>
      <c r="AD97" s="0" t="str">
        <f aca="false">IF($A97="","",IF(AT97="Y",BS97&amp;"",BF97&amp;""))</f>
        <v>none</v>
      </c>
      <c r="AE97" s="0" t="str">
        <f aca="false">IF($A97="","",IF(AT97="Y",BT97&amp;"",BG97&amp;""))</f>
        <v/>
      </c>
      <c r="AF97" s="0" t="str">
        <f aca="false">IF($A97="","",IF(AT97="Y",BU97&amp;"",BH97&amp;""))</f>
        <v/>
      </c>
      <c r="AG97" s="0" t="str">
        <f aca="false">IF($A97="","",IF(AT97="Y",BV97&amp;"",BI97&amp;""))</f>
        <v/>
      </c>
      <c r="AH97" s="0" t="s">
        <v>8011</v>
      </c>
      <c r="AI97" s="0" t="s">
        <v>5664</v>
      </c>
      <c r="AJ97" s="0" t="s">
        <v>8012</v>
      </c>
      <c r="AK97" s="0" t="s">
        <v>8013</v>
      </c>
      <c r="AL97" s="0" t="s">
        <v>164</v>
      </c>
      <c r="AM97" s="0" t="s">
        <v>8014</v>
      </c>
      <c r="AN97" s="0" t="s">
        <v>8008</v>
      </c>
      <c r="AO97" s="5" t="s">
        <v>189</v>
      </c>
      <c r="AR97" s="0" t="str">
        <f aca="false">IF($A97="","",IF(AND(CK97="pass",AO97&lt;&gt;"Y",C97&lt;&gt;"",OR(AU97&lt;&gt;"Y",AV97="Y")),"Y","N"))</f>
        <v>N</v>
      </c>
      <c r="AS97" s="0" t="str">
        <f aca="false">IF($A97="","",_xlfn.TEXTJOIN("; ",TRUE(),IF(CK97&lt;&gt;"pass","gated out",""),IF(AO97="Y","on hold: "&amp;AP97,""),IF(C97="","no contact named on an opened page",""),IF(AND(AU97="Y",AV97&lt;&gt;"Y"),"founder review pending (Founder review tab)","")))</f>
        <v>no contact named on an opened page</v>
      </c>
      <c r="AU97" s="0" t="s">
        <v>189</v>
      </c>
      <c r="BC97" s="0" t="str">
        <f aca="false">IF($A97="","",IFERROR(INDEX(Enrichment!$A$2:$GZ$2000,MATCH($A97,INDEX(Enrichment!$A$2:$GZ$2000,0,MATCH("row_id",Enrichment!$A$1:$GZ$1,0)),0),MATCH("work_email",Enrichment!$A$1:$GZ$1,0))&amp;"",""))</f>
        <v/>
      </c>
      <c r="BD97" s="0" t="str">
        <f aca="false">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none</v>
      </c>
      <c r="BF97" s="0" t="s">
        <v>380</v>
      </c>
      <c r="BJ97" s="0" t="s">
        <v>7105</v>
      </c>
      <c r="BK97" s="0" t="s">
        <v>6048</v>
      </c>
      <c r="BP97" s="0" t="str">
        <f aca="false">IF($A97="","",IFERROR(INDEX(Enrichment!$A$2:$GZ$2000,MATCH($A97,INDEX(Enrichment!$A$2:$GZ$2000,0,MATCH("row_id",Enrichment!$A$1:$GZ$1,0)),0),MATCH("backup_work_email",Enrichment!$A$1:$GZ$1,0))&amp;"",""))</f>
        <v/>
      </c>
      <c r="BQ97" s="0" t="str">
        <f aca="false">IF($A97="","",IF(BP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none</v>
      </c>
      <c r="BS97" s="0" t="s">
        <v>380</v>
      </c>
      <c r="BW97" s="0" t="s">
        <v>387</v>
      </c>
      <c r="BX97" s="0" t="s">
        <v>388</v>
      </c>
      <c r="BY97" s="0" t="s">
        <v>8015</v>
      </c>
      <c r="BZ97" s="0" t="s">
        <v>5960</v>
      </c>
      <c r="CJ97" s="0" t="s">
        <v>7088</v>
      </c>
      <c r="CK97" s="0" t="s">
        <v>200</v>
      </c>
      <c r="CM97" s="0" t="s">
        <v>201</v>
      </c>
      <c r="CN97" s="0" t="s">
        <v>443</v>
      </c>
      <c r="CO97" s="0" t="s">
        <v>8013</v>
      </c>
      <c r="CP97" s="0" t="s">
        <v>6828</v>
      </c>
      <c r="CQ97" s="0" t="s">
        <v>6084</v>
      </c>
      <c r="CR97" s="0" t="s">
        <v>209</v>
      </c>
      <c r="CT97" s="0" t="s">
        <v>164</v>
      </c>
      <c r="CU97" s="0" t="s">
        <v>8016</v>
      </c>
      <c r="CV97" s="0" t="s">
        <v>164</v>
      </c>
      <c r="CW97" s="0" t="s">
        <v>164</v>
      </c>
      <c r="CX97" s="0" t="s">
        <v>209</v>
      </c>
      <c r="CZ97" s="0" t="s">
        <v>5993</v>
      </c>
      <c r="DA97" s="0" t="s">
        <v>189</v>
      </c>
      <c r="DB97" s="0" t="s">
        <v>189</v>
      </c>
      <c r="DE97" s="0" t="s">
        <v>189</v>
      </c>
      <c r="DF97" s="0" t="n">
        <v>0</v>
      </c>
      <c r="DI97" s="0" t="s">
        <v>209</v>
      </c>
      <c r="DK97" s="0" t="s">
        <v>5617</v>
      </c>
      <c r="DL97" s="0" t="n">
        <v>5</v>
      </c>
      <c r="DN97" s="0" t="n">
        <v>42</v>
      </c>
      <c r="DO97" s="0" t="n">
        <v>6</v>
      </c>
      <c r="DP97" s="0" t="n">
        <v>8</v>
      </c>
      <c r="DQ97" s="0" t="n">
        <v>15</v>
      </c>
      <c r="DR97" s="0" t="n">
        <v>5</v>
      </c>
      <c r="DS97" s="0" t="n">
        <v>10</v>
      </c>
      <c r="DT97" s="0" t="n">
        <v>0</v>
      </c>
      <c r="DU97" s="0" t="n">
        <f aca="false">IF($A97="","",IF(R97="Y",10,0))</f>
        <v>0</v>
      </c>
      <c r="DV97" s="0" t="n">
        <v>-2</v>
      </c>
      <c r="DW97" s="0" t="s">
        <v>8017</v>
      </c>
      <c r="DX97" s="0" t="s">
        <v>5998</v>
      </c>
      <c r="DY97" s="0" t="s">
        <v>8018</v>
      </c>
      <c r="DZ97" s="0" t="s">
        <v>8019</v>
      </c>
      <c r="EV97" s="0" t="str">
        <f aca="false">IF($A97="","",IF(ISNUMBER(MATCH(U97,{"queued","contacted","replied","call_booked","call_done","yes_in_principle","materials_sent"},0)),"Y","N"))</f>
        <v>N</v>
      </c>
      <c r="EW97" s="0" t="str">
        <f aca="false">IF($A97="","",IF(OR(T97="Y",U97="do_not_contact",AQ97&amp;""&lt;&gt;""),"Y","N"))</f>
        <v>N</v>
      </c>
      <c r="EX97" s="0" t="str">
        <f aca="false">IF($A97="","",IF(AN97&amp;""&lt;&gt;"",AN97&amp;"",$A97))</f>
        <v>AB-290</v>
      </c>
      <c r="EY97" s="0" t="str">
        <f aca="false">IF($A97="","",IF(COUNTIFS($EX$2:$EX$1000,EX97,$EV$2:$EV$1000,"Y")+COUNTIFS($EX$2:$EX$1000,EX97,$EW$2:$EW$1000,"Y")&gt;0,"Y","N"))</f>
        <v>N</v>
      </c>
      <c r="EZ97" s="0" t="str">
        <f aca="false">IF($A97="","",IF(AND(U97="new",T97="N",EW97="N",AR97="Y",EY97="N"),"Y","N"))</f>
        <v>N</v>
      </c>
      <c r="FA97" s="0" t="str">
        <f aca="false">IF($A97="","",IF(EZ97&lt;&gt;"Y","N",IF(COUNTIFS($EX$2:$EX$1000,EX97,$EZ$2:$EZ$1000,"Y",$J$2:$J$1000,"&gt;"&amp;J97)+COUNTIFS($EX$2:$EX$1000,EX97,$EZ$2:$EZ$1000,"Y",$J$2:$J$1000,J97,$FG$2:$FG$1000,"&lt;"&amp;FG97)=0,"Y","N")))</f>
        <v>N</v>
      </c>
      <c r="FB97" s="0" t="str">
        <f aca="false">IF($A97="","",IF(AND(EZ97="Y",FA97="Y",Y97&amp;""&lt;&gt;""),IF(Y97&lt;=10,"Y","N"),"N"))</f>
        <v>N</v>
      </c>
      <c r="FC97" s="0" t="str">
        <f aca="false">IF(FB97="Y",Y97,"")</f>
        <v/>
      </c>
      <c r="FD97" s="0" t="str">
        <f aca="false">IF($A97="","",IF(AND(CK97="pass",AU97="Y",AV97&lt;&gt;"Y",U97="new",EW97="N"),"Y","N"))</f>
        <v>N</v>
      </c>
      <c r="FE97" s="0" t="str">
        <f aca="false">IF(FD97&lt;&gt;"Y","",IF(COUNTIFS($FD$2:$FD$1000,"Y",$J$2:$J$1000,"&gt;"&amp;J97)+COUNTIFS($FD$2:$FD$1000,"Y",$J$2:$J$1000,J97,$FG$2:$FG$1000,"&lt;"&amp;FG97)+1&lt;=30,COUNTIFS($FD$2:$FD$1000,"Y",$J$2:$J$1000,"&gt;"&amp;J97)+COUNTIFS($FD$2:$FD$1000,"Y",$J$2:$J$1000,J97,$FG$2:$FG$1000,"&lt;"&amp;FG97)+1,""))</f>
        <v/>
      </c>
      <c r="FF97" s="0" t="str">
        <f aca="false">IF(AND(_xlfn.ISFORMULA(C97),_xlfn.ISFORMULA(J97)),"Y","N")</f>
        <v>Y</v>
      </c>
      <c r="FG97" s="0" t="n">
        <f aca="false">ROW()-1</f>
        <v>96</v>
      </c>
    </row>
    <row r="98" customFormat="false" ht="15" hidden="false" customHeight="false" outlineLevel="0" collapsed="false">
      <c r="A98" s="0" t="s">
        <v>8020</v>
      </c>
      <c r="B98" s="0" t="s">
        <v>8021</v>
      </c>
      <c r="C98" s="0" t="str">
        <f aca="false">IF($A98="","",IF(AT98="Y",BL98&amp;"",AY98&amp;""))</f>
        <v/>
      </c>
      <c r="D98" s="0" t="str">
        <f aca="false">IF($A98="","",IF(AT98="Y",BM98&amp;"",AZ98&amp;""))</f>
        <v/>
      </c>
      <c r="E98" s="0" t="str">
        <f aca="false">IF($A98="","",IF(AT98="Y",BN98&amp;"",BA98&amp;""))</f>
        <v/>
      </c>
      <c r="F98" s="0" t="str">
        <f aca="false">IF($A98="","",IF(AT98="Y",BO98&amp;"",BB98&amp;""))</f>
        <v/>
      </c>
      <c r="G98" s="0" t="str">
        <f aca="false">IF($A98="","",IF(AT98="Y",BP98&amp;"",BC98&amp;""))</f>
        <v/>
      </c>
      <c r="H98" s="0" t="str">
        <f aca="false">IF($A98="","",IF(AT98="Y",BQ98&amp;"",BD98&amp;""))</f>
        <v>none</v>
      </c>
      <c r="I98" s="0" t="str">
        <f aca="false">IF($A98="","",IF(R98="Y","warm-intro",IF(H98="verified","email",IF(C98&lt;&gt;"","linkedin",CA98&amp;""))))</f>
        <v/>
      </c>
      <c r="J98" s="0" t="n">
        <f aca="false">IF($A98="","",IF(CK98="pass",ROUND(N(DO98)+N(DP98)+N(DQ98)+N(DR98)+N(DS98)+N(DT98)+N(DU98)+N(DV98),0),0))</f>
        <v>42</v>
      </c>
      <c r="K98" s="0" t="str">
        <f aca="false">IF($A98="","",IF(CK98&lt;&gt;"pass",BY98&amp;"",BY98&amp;", "&amp;IF(AT98="Y",BX98&amp;"",BK98&amp;"")&amp;BZ98&amp;IF(R98="Y","; known to the founder (+10)","")&amp;"."))</f>
        <v>New York City brand, no graded store within ten blocks, online store only, a new store listing 45 days ago, revenue unknown, no contact named; founder review: other, format-unconfirmed.</v>
      </c>
      <c r="M98" s="0" t="s">
        <v>6144</v>
      </c>
      <c r="N98" s="0" t="s">
        <v>740</v>
      </c>
      <c r="O98" s="0" t="s">
        <v>8022</v>
      </c>
      <c r="P98" s="0" t="s">
        <v>8023</v>
      </c>
      <c r="Q98" s="0" t="s">
        <v>1239</v>
      </c>
      <c r="R98" s="5" t="s">
        <v>189</v>
      </c>
      <c r="S98" s="0" t="s">
        <v>209</v>
      </c>
      <c r="T98" s="5" t="s">
        <v>189</v>
      </c>
      <c r="U98" s="5" t="s">
        <v>3896</v>
      </c>
      <c r="V98" s="0" t="s">
        <v>8024</v>
      </c>
      <c r="W98" s="0" t="s">
        <v>263</v>
      </c>
      <c r="X98" s="0" t="s">
        <v>5578</v>
      </c>
      <c r="Y98" s="0" t="str">
        <f aca="false">IF(FA98&lt;&gt;"Y","",COUNTIFS($FA$2:$FA$1000,"Y",$J$2:$J$1000,"&gt;"&amp;J98)+COUNTIFS($FA$2:$FA$1000,"Y",$J$2:$J$1000,J98,$FG$2:$FG$1000,"&lt;"&amp;FG98)+1)</f>
        <v/>
      </c>
      <c r="Z98" s="0" t="n">
        <v>97</v>
      </c>
      <c r="AA98" s="0" t="s">
        <v>189</v>
      </c>
      <c r="AB98" s="0" t="str">
        <f aca="false">IF($A98="","",IF(AT98="Y",BW98&amp;"",BJ98&amp;""))</f>
        <v>no person named on an opened page: not ready</v>
      </c>
      <c r="AC98" s="0" t="str">
        <f aca="false">IF($A98="","",IF(AT98="Y",BR98&amp;"",BE98&amp;""))</f>
        <v/>
      </c>
      <c r="AD98" s="0" t="str">
        <f aca="false">IF($A98="","",IF(AT98="Y",BS98&amp;"",BF98&amp;""))</f>
        <v>none</v>
      </c>
      <c r="AE98" s="0" t="str">
        <f aca="false">IF($A98="","",IF(AT98="Y",BT98&amp;"",BG98&amp;""))</f>
        <v/>
      </c>
      <c r="AF98" s="0" t="str">
        <f aca="false">IF($A98="","",IF(AT98="Y",BU98&amp;"",BH98&amp;""))</f>
        <v/>
      </c>
      <c r="AG98" s="0" t="str">
        <f aca="false">IF($A98="","",IF(AT98="Y",BV98&amp;"",BI98&amp;""))</f>
        <v/>
      </c>
      <c r="AH98" s="0" t="s">
        <v>8025</v>
      </c>
      <c r="AI98" s="0" t="s">
        <v>5702</v>
      </c>
      <c r="AJ98" s="0" t="s">
        <v>8026</v>
      </c>
      <c r="AK98" s="0" t="s">
        <v>8027</v>
      </c>
      <c r="AL98" s="0" t="s">
        <v>164</v>
      </c>
      <c r="AM98" s="0" t="s">
        <v>8028</v>
      </c>
      <c r="AN98" s="0" t="s">
        <v>8020</v>
      </c>
      <c r="AO98" s="5" t="s">
        <v>189</v>
      </c>
      <c r="AR98" s="0" t="str">
        <f aca="false">IF($A98="","",IF(AND(CK98="pass",AO98&lt;&gt;"Y",C98&lt;&gt;"",OR(AU98&lt;&gt;"Y",AV98="Y")),"Y","N"))</f>
        <v>N</v>
      </c>
      <c r="AS98" s="0" t="str">
        <f aca="false">IF($A98="","",_xlfn.TEXTJOIN("; ",TRUE(),IF(CK98&lt;&gt;"pass","gated out",""),IF(AO98="Y","on hold: "&amp;AP98,""),IF(C98="","no contact named on an opened page",""),IF(AND(AU98="Y",AV98&lt;&gt;"Y"),"founder review pending (Founder review tab)","")))</f>
        <v>no contact named on an opened page</v>
      </c>
      <c r="AU98" s="0" t="s">
        <v>189</v>
      </c>
      <c r="BC98" s="0" t="str">
        <f aca="false">IF($A98="","",IFERROR(INDEX(Enrichment!$A$2:$GZ$2000,MATCH($A98,INDEX(Enrichment!$A$2:$GZ$2000,0,MATCH("row_id",Enrichment!$A$1:$GZ$1,0)),0),MATCH("work_email",Enrichment!$A$1:$GZ$1,0))&amp;"",""))</f>
        <v/>
      </c>
      <c r="BD98" s="0" t="str">
        <f aca="false">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none</v>
      </c>
      <c r="BF98" s="0" t="s">
        <v>380</v>
      </c>
      <c r="BJ98" s="0" t="s">
        <v>7105</v>
      </c>
      <c r="BK98" s="0" t="s">
        <v>6048</v>
      </c>
      <c r="BP98" s="0" t="str">
        <f aca="false">IF($A98="","",IFERROR(INDEX(Enrichment!$A$2:$GZ$2000,MATCH($A98,INDEX(Enrichment!$A$2:$GZ$2000,0,MATCH("row_id",Enrichment!$A$1:$GZ$1,0)),0),MATCH("backup_work_email",Enrichment!$A$1:$GZ$1,0))&amp;"",""))</f>
        <v/>
      </c>
      <c r="BQ98" s="0" t="str">
        <f aca="false">IF($A98="","",IF(BP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none</v>
      </c>
      <c r="BS98" s="0" t="s">
        <v>380</v>
      </c>
      <c r="BW98" s="0" t="s">
        <v>387</v>
      </c>
      <c r="BX98" s="0" t="s">
        <v>388</v>
      </c>
      <c r="BY98" s="0" t="s">
        <v>8029</v>
      </c>
      <c r="BZ98" s="0" t="s">
        <v>7168</v>
      </c>
      <c r="CJ98" s="0" t="s">
        <v>7088</v>
      </c>
      <c r="CK98" s="0" t="s">
        <v>200</v>
      </c>
      <c r="CM98" s="0" t="s">
        <v>201</v>
      </c>
      <c r="CN98" s="0" t="s">
        <v>7171</v>
      </c>
      <c r="CO98" s="0" t="s">
        <v>8027</v>
      </c>
      <c r="CP98" s="0" t="s">
        <v>5608</v>
      </c>
      <c r="CQ98" s="0" t="s">
        <v>5609</v>
      </c>
      <c r="CR98" s="0" t="s">
        <v>209</v>
      </c>
      <c r="CT98" s="0" t="s">
        <v>209</v>
      </c>
      <c r="CU98" s="0" t="s">
        <v>8030</v>
      </c>
      <c r="CV98" s="0" t="s">
        <v>209</v>
      </c>
      <c r="CW98" s="0" t="s">
        <v>164</v>
      </c>
      <c r="CX98" s="0" t="s">
        <v>209</v>
      </c>
      <c r="CZ98" s="0" t="s">
        <v>209</v>
      </c>
      <c r="DA98" s="0" t="s">
        <v>189</v>
      </c>
      <c r="DB98" s="0" t="s">
        <v>189</v>
      </c>
      <c r="DE98" s="0" t="s">
        <v>189</v>
      </c>
      <c r="DF98" s="0" t="n">
        <v>0</v>
      </c>
      <c r="DJ98" s="0" t="s">
        <v>8031</v>
      </c>
      <c r="DK98" s="0" t="s">
        <v>5689</v>
      </c>
      <c r="DL98" s="0" t="n">
        <v>45</v>
      </c>
      <c r="DN98" s="0" t="n">
        <v>42</v>
      </c>
      <c r="DO98" s="0" t="n">
        <v>6</v>
      </c>
      <c r="DP98" s="0" t="n">
        <v>20</v>
      </c>
      <c r="DQ98" s="0" t="n">
        <v>8</v>
      </c>
      <c r="DR98" s="0" t="n">
        <v>5</v>
      </c>
      <c r="DS98" s="0" t="n">
        <v>5</v>
      </c>
      <c r="DT98" s="0" t="n">
        <v>0</v>
      </c>
      <c r="DU98" s="0" t="n">
        <f aca="false">IF($A98="","",IF(R98="Y",10,0))</f>
        <v>0</v>
      </c>
      <c r="DV98" s="0" t="n">
        <v>-2</v>
      </c>
      <c r="DW98" s="0" t="s">
        <v>8032</v>
      </c>
      <c r="DX98" s="0" t="s">
        <v>5691</v>
      </c>
      <c r="DY98" s="0" t="s">
        <v>8033</v>
      </c>
      <c r="DZ98" s="0" t="s">
        <v>8034</v>
      </c>
      <c r="EA98" s="0" t="s">
        <v>8035</v>
      </c>
      <c r="EV98" s="0" t="str">
        <f aca="false">IF($A98="","",IF(ISNUMBER(MATCH(U98,{"queued","contacted","replied","call_booked","call_done","yes_in_principle","materials_sent"},0)),"Y","N"))</f>
        <v>N</v>
      </c>
      <c r="EW98" s="0" t="str">
        <f aca="false">IF($A98="","",IF(OR(T98="Y",U98="do_not_contact",AQ98&amp;""&lt;&gt;""),"Y","N"))</f>
        <v>N</v>
      </c>
      <c r="EX98" s="0" t="str">
        <f aca="false">IF($A98="","",IF(AN98&amp;""&lt;&gt;"",AN98&amp;"",$A98))</f>
        <v>AB-074</v>
      </c>
      <c r="EY98" s="0" t="str">
        <f aca="false">IF($A98="","",IF(COUNTIFS($EX$2:$EX$1000,EX98,$EV$2:$EV$1000,"Y")+COUNTIFS($EX$2:$EX$1000,EX98,$EW$2:$EW$1000,"Y")&gt;0,"Y","N"))</f>
        <v>N</v>
      </c>
      <c r="EZ98" s="0" t="str">
        <f aca="false">IF($A98="","",IF(AND(U98="new",T98="N",EW98="N",AR98="Y",EY98="N"),"Y","N"))</f>
        <v>N</v>
      </c>
      <c r="FA98" s="0" t="str">
        <f aca="false">IF($A98="","",IF(EZ98&lt;&gt;"Y","N",IF(COUNTIFS($EX$2:$EX$1000,EX98,$EZ$2:$EZ$1000,"Y",$J$2:$J$1000,"&gt;"&amp;J98)+COUNTIFS($EX$2:$EX$1000,EX98,$EZ$2:$EZ$1000,"Y",$J$2:$J$1000,J98,$FG$2:$FG$1000,"&lt;"&amp;FG98)=0,"Y","N")))</f>
        <v>N</v>
      </c>
      <c r="FB98" s="0" t="str">
        <f aca="false">IF($A98="","",IF(AND(EZ98="Y",FA98="Y",Y98&amp;""&lt;&gt;""),IF(Y98&lt;=10,"Y","N"),"N"))</f>
        <v>N</v>
      </c>
      <c r="FC98" s="0" t="str">
        <f aca="false">IF(FB98="Y",Y98,"")</f>
        <v/>
      </c>
      <c r="FD98" s="0" t="str">
        <f aca="false">IF($A98="","",IF(AND(CK98="pass",AU98="Y",AV98&lt;&gt;"Y",U98="new",EW98="N"),"Y","N"))</f>
        <v>N</v>
      </c>
      <c r="FE98" s="0" t="str">
        <f aca="false">IF(FD98&lt;&gt;"Y","",IF(COUNTIFS($FD$2:$FD$1000,"Y",$J$2:$J$1000,"&gt;"&amp;J98)+COUNTIFS($FD$2:$FD$1000,"Y",$J$2:$J$1000,J98,$FG$2:$FG$1000,"&lt;"&amp;FG98)+1&lt;=30,COUNTIFS($FD$2:$FD$1000,"Y",$J$2:$J$1000,"&gt;"&amp;J98)+COUNTIFS($FD$2:$FD$1000,"Y",$J$2:$J$1000,J98,$FG$2:$FG$1000,"&lt;"&amp;FG98)+1,""))</f>
        <v/>
      </c>
      <c r="FF98" s="0" t="str">
        <f aca="false">IF(AND(_xlfn.ISFORMULA(C98),_xlfn.ISFORMULA(J98)),"Y","N")</f>
        <v>Y</v>
      </c>
      <c r="FG98" s="0" t="n">
        <f aca="false">ROW()-1</f>
        <v>97</v>
      </c>
    </row>
    <row r="99" customFormat="false" ht="15" hidden="false" customHeight="false" outlineLevel="0" collapsed="false">
      <c r="A99" s="0" t="s">
        <v>8036</v>
      </c>
      <c r="B99" s="0" t="s">
        <v>8037</v>
      </c>
      <c r="C99" s="0" t="str">
        <f aca="false">IF($A99="","",IF(AT99="Y",BL99&amp;"",AY99&amp;""))</f>
        <v/>
      </c>
      <c r="D99" s="0" t="str">
        <f aca="false">IF($A99="","",IF(AT99="Y",BM99&amp;"",AZ99&amp;""))</f>
        <v/>
      </c>
      <c r="E99" s="0" t="str">
        <f aca="false">IF($A99="","",IF(AT99="Y",BN99&amp;"",BA99&amp;""))</f>
        <v/>
      </c>
      <c r="F99" s="0" t="str">
        <f aca="false">IF($A99="","",IF(AT99="Y",BO99&amp;"",BB99&amp;""))</f>
        <v/>
      </c>
      <c r="G99" s="0" t="str">
        <f aca="false">IF($A99="","",IF(AT99="Y",BP99&amp;"",BC99&amp;""))</f>
        <v/>
      </c>
      <c r="H99" s="0" t="str">
        <f aca="false">IF($A99="","",IF(AT99="Y",BQ99&amp;"",BD99&amp;""))</f>
        <v>none</v>
      </c>
      <c r="I99" s="0" t="str">
        <f aca="false">IF($A99="","",IF(R99="Y","warm-intro",IF(H99="verified","email",IF(C99&lt;&gt;"","linkedin",CA99&amp;""))))</f>
        <v/>
      </c>
      <c r="J99" s="0" t="n">
        <f aca="false">IF($A99="","",IF(CK99="pass",ROUND(N(DO99)+N(DP99)+N(DQ99)+N(DR99)+N(DS99)+N(DT99)+N(DU99)+N(DV99),0),0))</f>
        <v>42</v>
      </c>
      <c r="K99" s="0" t="str">
        <f aca="false">IF($A99="","",IF(CK99&lt;&gt;"pass",BY99&amp;"",BY99&amp;", "&amp;IF(AT99="Y",BX99&amp;"",BK99&amp;"")&amp;BZ99&amp;IF(R99="Y","; known to the founder (+10)","")&amp;"."))</f>
        <v>New York City brand, no graded store within ten blocks, online store only, a new store listing 20 days ago, revenue unknown, no contact named; founder review: under-floor, nutrient-claim, format-unconfirmed.</v>
      </c>
      <c r="M99" s="0" t="s">
        <v>6144</v>
      </c>
      <c r="N99" s="0" t="s">
        <v>740</v>
      </c>
      <c r="O99" s="0" t="s">
        <v>8038</v>
      </c>
      <c r="P99" s="0" t="s">
        <v>8039</v>
      </c>
      <c r="Q99" s="0" t="s">
        <v>8040</v>
      </c>
      <c r="R99" s="5" t="s">
        <v>189</v>
      </c>
      <c r="S99" s="0" t="s">
        <v>209</v>
      </c>
      <c r="T99" s="5" t="s">
        <v>189</v>
      </c>
      <c r="U99" s="5" t="s">
        <v>3896</v>
      </c>
      <c r="V99" s="0" t="s">
        <v>7335</v>
      </c>
      <c r="W99" s="0" t="s">
        <v>172</v>
      </c>
      <c r="X99" s="0" t="s">
        <v>5578</v>
      </c>
      <c r="Y99" s="0" t="str">
        <f aca="false">IF(FA99&lt;&gt;"Y","",COUNTIFS($FA$2:$FA$1000,"Y",$J$2:$J$1000,"&gt;"&amp;J99)+COUNTIFS($FA$2:$FA$1000,"Y",$J$2:$J$1000,J99,$FG$2:$FG$1000,"&lt;"&amp;FG99)+1)</f>
        <v/>
      </c>
      <c r="Z99" s="0" t="n">
        <v>98</v>
      </c>
      <c r="AA99" s="0" t="s">
        <v>189</v>
      </c>
      <c r="AB99" s="0" t="str">
        <f aca="false">IF($A99="","",IF(AT99="Y",BW99&amp;"",BJ99&amp;""))</f>
        <v>no person named on an opened page: not ready</v>
      </c>
      <c r="AC99" s="0" t="str">
        <f aca="false">IF($A99="","",IF(AT99="Y",BR99&amp;"",BE99&amp;""))</f>
        <v/>
      </c>
      <c r="AD99" s="0" t="str">
        <f aca="false">IF($A99="","",IF(AT99="Y",BS99&amp;"",BF99&amp;""))</f>
        <v>none</v>
      </c>
      <c r="AE99" s="0" t="str">
        <f aca="false">IF($A99="","",IF(AT99="Y",BT99&amp;"",BG99&amp;""))</f>
        <v/>
      </c>
      <c r="AF99" s="0" t="str">
        <f aca="false">IF($A99="","",IF(AT99="Y",BU99&amp;"",BH99&amp;""))</f>
        <v/>
      </c>
      <c r="AG99" s="0" t="str">
        <f aca="false">IF($A99="","",IF(AT99="Y",BV99&amp;"",BI99&amp;""))</f>
        <v/>
      </c>
      <c r="AH99" s="0" t="s">
        <v>8041</v>
      </c>
      <c r="AI99" s="0" t="s">
        <v>5664</v>
      </c>
      <c r="AJ99" s="0" t="s">
        <v>5631</v>
      </c>
      <c r="AK99" s="0" t="s">
        <v>8042</v>
      </c>
      <c r="AL99" s="0" t="s">
        <v>164</v>
      </c>
      <c r="AM99" s="0" t="s">
        <v>8043</v>
      </c>
      <c r="AN99" s="0" t="s">
        <v>8036</v>
      </c>
      <c r="AO99" s="5" t="s">
        <v>189</v>
      </c>
      <c r="AR99" s="0" t="str">
        <f aca="false">IF($A99="","",IF(AND(CK99="pass",AO99&lt;&gt;"Y",C99&lt;&gt;"",OR(AU99&lt;&gt;"Y",AV99="Y")),"Y","N"))</f>
        <v>N</v>
      </c>
      <c r="AS99" s="0" t="str">
        <f aca="false">IF($A99="","",_xlfn.TEXTJOIN("; ",TRUE(),IF(CK99&lt;&gt;"pass","gated out",""),IF(AO99="Y","on hold: "&amp;AP99,""),IF(C99="","no contact named on an opened page",""),IF(AND(AU99="Y",AV99&lt;&gt;"Y"),"founder review pending (Founder review tab)","")))</f>
        <v>no contact named on an opened page</v>
      </c>
      <c r="AU99" s="0" t="s">
        <v>189</v>
      </c>
      <c r="BC99" s="0" t="str">
        <f aca="false">IF($A99="","",IFERROR(INDEX(Enrichment!$A$2:$GZ$2000,MATCH($A99,INDEX(Enrichment!$A$2:$GZ$2000,0,MATCH("row_id",Enrichment!$A$1:$GZ$1,0)),0),MATCH("work_email",Enrichment!$A$1:$GZ$1,0))&amp;"",""))</f>
        <v/>
      </c>
      <c r="BD99" s="0" t="str">
        <f aca="false">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none</v>
      </c>
      <c r="BF99" s="0" t="s">
        <v>380</v>
      </c>
      <c r="BJ99" s="0" t="s">
        <v>7105</v>
      </c>
      <c r="BK99" s="0" t="s">
        <v>6048</v>
      </c>
      <c r="BP99" s="0" t="str">
        <f aca="false">IF($A99="","",IFERROR(INDEX(Enrichment!$A$2:$GZ$2000,MATCH($A99,INDEX(Enrichment!$A$2:$GZ$2000,0,MATCH("row_id",Enrichment!$A$1:$GZ$1,0)),0),MATCH("backup_work_email",Enrichment!$A$1:$GZ$1,0))&amp;"",""))</f>
        <v/>
      </c>
      <c r="BQ99" s="0" t="str">
        <f aca="false">IF($A99="","",IF(BP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none</v>
      </c>
      <c r="BS99" s="0" t="s">
        <v>380</v>
      </c>
      <c r="BW99" s="0" t="s">
        <v>387</v>
      </c>
      <c r="BX99" s="0" t="s">
        <v>388</v>
      </c>
      <c r="BY99" s="0" t="s">
        <v>8044</v>
      </c>
      <c r="BZ99" s="0" t="s">
        <v>8045</v>
      </c>
      <c r="CJ99" s="0" t="s">
        <v>7088</v>
      </c>
      <c r="CK99" s="0" t="s">
        <v>200</v>
      </c>
      <c r="CM99" s="0" t="s">
        <v>201</v>
      </c>
      <c r="CN99" s="0" t="s">
        <v>8046</v>
      </c>
      <c r="CO99" s="0" t="s">
        <v>8042</v>
      </c>
      <c r="CP99" s="0" t="s">
        <v>5608</v>
      </c>
      <c r="CQ99" s="0" t="s">
        <v>5609</v>
      </c>
      <c r="CR99" s="0" t="s">
        <v>209</v>
      </c>
      <c r="CT99" s="0" t="s">
        <v>164</v>
      </c>
      <c r="CU99" s="0" t="s">
        <v>8047</v>
      </c>
      <c r="CV99" s="0" t="s">
        <v>209</v>
      </c>
      <c r="CW99" s="0" t="s">
        <v>164</v>
      </c>
      <c r="CX99" s="0" t="s">
        <v>209</v>
      </c>
      <c r="CZ99" s="0" t="s">
        <v>5993</v>
      </c>
      <c r="DA99" s="0" t="s">
        <v>189</v>
      </c>
      <c r="DB99" s="0" t="s">
        <v>189</v>
      </c>
      <c r="DE99" s="0" t="s">
        <v>189</v>
      </c>
      <c r="DF99" s="0" t="n">
        <v>0</v>
      </c>
      <c r="DI99" s="0" t="s">
        <v>209</v>
      </c>
      <c r="DK99" s="0" t="s">
        <v>5689</v>
      </c>
      <c r="DL99" s="0" t="n">
        <v>20</v>
      </c>
      <c r="DN99" s="0" t="n">
        <v>42</v>
      </c>
      <c r="DO99" s="0" t="n">
        <v>6</v>
      </c>
      <c r="DP99" s="0" t="n">
        <v>20</v>
      </c>
      <c r="DQ99" s="0" t="n">
        <v>8</v>
      </c>
      <c r="DR99" s="0" t="n">
        <v>5</v>
      </c>
      <c r="DS99" s="0" t="n">
        <v>8</v>
      </c>
      <c r="DT99" s="0" t="n">
        <v>0</v>
      </c>
      <c r="DU99" s="0" t="n">
        <f aca="false">IF($A99="","",IF(R99="Y",10,0))</f>
        <v>0</v>
      </c>
      <c r="DV99" s="0" t="n">
        <v>-5</v>
      </c>
      <c r="DW99" s="0" t="s">
        <v>8048</v>
      </c>
      <c r="DX99" s="0" t="s">
        <v>5998</v>
      </c>
      <c r="DY99" s="0" t="s">
        <v>8049</v>
      </c>
      <c r="DZ99" s="0" t="s">
        <v>8050</v>
      </c>
      <c r="EV99" s="0" t="str">
        <f aca="false">IF($A99="","",IF(ISNUMBER(MATCH(U99,{"queued","contacted","replied","call_booked","call_done","yes_in_principle","materials_sent"},0)),"Y","N"))</f>
        <v>N</v>
      </c>
      <c r="EW99" s="0" t="str">
        <f aca="false">IF($A99="","",IF(OR(T99="Y",U99="do_not_contact",AQ99&amp;""&lt;&gt;""),"Y","N"))</f>
        <v>N</v>
      </c>
      <c r="EX99" s="0" t="str">
        <f aca="false">IF($A99="","",IF(AN99&amp;""&lt;&gt;"",AN99&amp;"",$A99))</f>
        <v>AB-277</v>
      </c>
      <c r="EY99" s="0" t="str">
        <f aca="false">IF($A99="","",IF(COUNTIFS($EX$2:$EX$1000,EX99,$EV$2:$EV$1000,"Y")+COUNTIFS($EX$2:$EX$1000,EX99,$EW$2:$EW$1000,"Y")&gt;0,"Y","N"))</f>
        <v>N</v>
      </c>
      <c r="EZ99" s="0" t="str">
        <f aca="false">IF($A99="","",IF(AND(U99="new",T99="N",EW99="N",AR99="Y",EY99="N"),"Y","N"))</f>
        <v>N</v>
      </c>
      <c r="FA99" s="0" t="str">
        <f aca="false">IF($A99="","",IF(EZ99&lt;&gt;"Y","N",IF(COUNTIFS($EX$2:$EX$1000,EX99,$EZ$2:$EZ$1000,"Y",$J$2:$J$1000,"&gt;"&amp;J99)+COUNTIFS($EX$2:$EX$1000,EX99,$EZ$2:$EZ$1000,"Y",$J$2:$J$1000,J99,$FG$2:$FG$1000,"&lt;"&amp;FG99)=0,"Y","N")))</f>
        <v>N</v>
      </c>
      <c r="FB99" s="0" t="str">
        <f aca="false">IF($A99="","",IF(AND(EZ99="Y",FA99="Y",Y99&amp;""&lt;&gt;""),IF(Y99&lt;=10,"Y","N"),"N"))</f>
        <v>N</v>
      </c>
      <c r="FC99" s="0" t="str">
        <f aca="false">IF(FB99="Y",Y99,"")</f>
        <v/>
      </c>
      <c r="FD99" s="0" t="str">
        <f aca="false">IF($A99="","",IF(AND(CK99="pass",AU99="Y",AV99&lt;&gt;"Y",U99="new",EW99="N"),"Y","N"))</f>
        <v>N</v>
      </c>
      <c r="FE99" s="0" t="str">
        <f aca="false">IF(FD99&lt;&gt;"Y","",IF(COUNTIFS($FD$2:$FD$1000,"Y",$J$2:$J$1000,"&gt;"&amp;J99)+COUNTIFS($FD$2:$FD$1000,"Y",$J$2:$J$1000,J99,$FG$2:$FG$1000,"&lt;"&amp;FG99)+1&lt;=30,COUNTIFS($FD$2:$FD$1000,"Y",$J$2:$J$1000,"&gt;"&amp;J99)+COUNTIFS($FD$2:$FD$1000,"Y",$J$2:$J$1000,J99,$FG$2:$FG$1000,"&lt;"&amp;FG99)+1,""))</f>
        <v/>
      </c>
      <c r="FF99" s="0" t="str">
        <f aca="false">IF(AND(_xlfn.ISFORMULA(C99),_xlfn.ISFORMULA(J99)),"Y","N")</f>
        <v>Y</v>
      </c>
      <c r="FG99" s="0" t="n">
        <f aca="false">ROW()-1</f>
        <v>98</v>
      </c>
    </row>
    <row r="100" customFormat="false" ht="15" hidden="false" customHeight="false" outlineLevel="0" collapsed="false">
      <c r="A100" s="0" t="s">
        <v>8051</v>
      </c>
      <c r="B100" s="0" t="s">
        <v>8052</v>
      </c>
      <c r="C100" s="0" t="str">
        <f aca="false">IF($A100="","",IF(AT100="Y",BL100&amp;"",AY100&amp;""))</f>
        <v/>
      </c>
      <c r="D100" s="0" t="str">
        <f aca="false">IF($A100="","",IF(AT100="Y",BM100&amp;"",AZ100&amp;""))</f>
        <v/>
      </c>
      <c r="E100" s="0" t="str">
        <f aca="false">IF($A100="","",IF(AT100="Y",BN100&amp;"",BA100&amp;""))</f>
        <v/>
      </c>
      <c r="F100" s="0" t="str">
        <f aca="false">IF($A100="","",IF(AT100="Y",BO100&amp;"",BB100&amp;""))</f>
        <v/>
      </c>
      <c r="G100" s="0" t="str">
        <f aca="false">IF($A100="","",IF(AT100="Y",BP100&amp;"",BC100&amp;""))</f>
        <v/>
      </c>
      <c r="H100" s="0" t="str">
        <f aca="false">IF($A100="","",IF(AT100="Y",BQ100&amp;"",BD100&amp;""))</f>
        <v>none</v>
      </c>
      <c r="I100" s="0" t="str">
        <f aca="false">IF($A100="","",IF(R100="Y","warm-intro",IF(H100="verified","email",IF(C100&lt;&gt;"","linkedin",CA100&amp;""))))</f>
        <v/>
      </c>
      <c r="J100" s="0" t="n">
        <f aca="false">IF($A100="","",IF(CK100="pass",ROUND(N(DO100)+N(DP100)+N(DQ100)+N(DR100)+N(DS100)+N(DT100)+N(DU100)+N(DV100),0),0))</f>
        <v>42</v>
      </c>
      <c r="K100" s="0" t="str">
        <f aca="false">IF($A100="","",IF(CK100&lt;&gt;"pass",BY100&amp;"",BY100&amp;", "&amp;IF(AT100="Y",BX100&amp;"",BK100&amp;"")&amp;BZ100&amp;IF(R100="Y","; known to the founder (+10)","")&amp;"."))</f>
        <v>New York City brand, no graded store within ten blocks, online store only, a new store listing 26 days ago, revenue unknown, no contact named; founder review: claim-functional, nutrient-claim.</v>
      </c>
      <c r="M100" s="0" t="s">
        <v>6144</v>
      </c>
      <c r="N100" s="0" t="s">
        <v>740</v>
      </c>
      <c r="O100" s="0" t="s">
        <v>8053</v>
      </c>
      <c r="P100" s="0" t="s">
        <v>8054</v>
      </c>
      <c r="Q100" s="0" t="s">
        <v>6603</v>
      </c>
      <c r="R100" s="5" t="s">
        <v>189</v>
      </c>
      <c r="S100" s="0" t="s">
        <v>209</v>
      </c>
      <c r="T100" s="5" t="s">
        <v>189</v>
      </c>
      <c r="U100" s="5" t="s">
        <v>3896</v>
      </c>
      <c r="V100" s="0" t="s">
        <v>8055</v>
      </c>
      <c r="W100" s="0" t="s">
        <v>263</v>
      </c>
      <c r="X100" s="0" t="s">
        <v>5578</v>
      </c>
      <c r="Y100" s="0" t="str">
        <f aca="false">IF(FA100&lt;&gt;"Y","",COUNTIFS($FA$2:$FA$1000,"Y",$J$2:$J$1000,"&gt;"&amp;J100)+COUNTIFS($FA$2:$FA$1000,"Y",$J$2:$J$1000,J100,$FG$2:$FG$1000,"&lt;"&amp;FG100)+1)</f>
        <v/>
      </c>
      <c r="Z100" s="0" t="n">
        <v>99</v>
      </c>
      <c r="AA100" s="0" t="s">
        <v>189</v>
      </c>
      <c r="AB100" s="0" t="str">
        <f aca="false">IF($A100="","",IF(AT100="Y",BW100&amp;"",BJ100&amp;""))</f>
        <v>no person named on an opened page: not ready</v>
      </c>
      <c r="AC100" s="0" t="str">
        <f aca="false">IF($A100="","",IF(AT100="Y",BR100&amp;"",BE100&amp;""))</f>
        <v/>
      </c>
      <c r="AD100" s="0" t="str">
        <f aca="false">IF($A100="","",IF(AT100="Y",BS100&amp;"",BF100&amp;""))</f>
        <v>none</v>
      </c>
      <c r="AE100" s="0" t="str">
        <f aca="false">IF($A100="","",IF(AT100="Y",BT100&amp;"",BG100&amp;""))</f>
        <v/>
      </c>
      <c r="AF100" s="0" t="str">
        <f aca="false">IF($A100="","",IF(AT100="Y",BU100&amp;"",BH100&amp;""))</f>
        <v/>
      </c>
      <c r="AG100" s="0" t="str">
        <f aca="false">IF($A100="","",IF(AT100="Y",BV100&amp;"",BI100&amp;""))</f>
        <v/>
      </c>
      <c r="AH100" s="0" t="s">
        <v>8056</v>
      </c>
      <c r="AI100" s="0" t="s">
        <v>6621</v>
      </c>
      <c r="AJ100" s="0" t="s">
        <v>259</v>
      </c>
      <c r="AK100" s="0" t="s">
        <v>8055</v>
      </c>
      <c r="AL100" s="0" t="s">
        <v>164</v>
      </c>
      <c r="AM100" s="0" t="s">
        <v>8057</v>
      </c>
      <c r="AN100" s="0" t="s">
        <v>8051</v>
      </c>
      <c r="AO100" s="5" t="s">
        <v>189</v>
      </c>
      <c r="AR100" s="0" t="str">
        <f aca="false">IF($A100="","",IF(AND(CK100="pass",AO100&lt;&gt;"Y",C100&lt;&gt;"",OR(AU100&lt;&gt;"Y",AV100="Y")),"Y","N"))</f>
        <v>N</v>
      </c>
      <c r="AS100" s="0" t="str">
        <f aca="false">IF($A100="","",_xlfn.TEXTJOIN("; ",TRUE(),IF(CK100&lt;&gt;"pass","gated out",""),IF(AO100="Y","on hold: "&amp;AP100,""),IF(C100="","no contact named on an opened page",""),IF(AND(AU100="Y",AV100&lt;&gt;"Y"),"founder review pending (Founder review tab)","")))</f>
        <v>no contact named on an opened page; founder review pending (Founder review tab)</v>
      </c>
      <c r="AU100" s="0" t="s">
        <v>164</v>
      </c>
      <c r="BC100" s="0" t="str">
        <f aca="false">IF($A100="","",IFERROR(INDEX(Enrichment!$A$2:$GZ$2000,MATCH($A100,INDEX(Enrichment!$A$2:$GZ$2000,0,MATCH("row_id",Enrichment!$A$1:$GZ$1,0)),0),MATCH("work_email",Enrichment!$A$1:$GZ$1,0))&amp;"",""))</f>
        <v/>
      </c>
      <c r="BD100" s="0" t="str">
        <f aca="false">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none</v>
      </c>
      <c r="BF100" s="0" t="s">
        <v>380</v>
      </c>
      <c r="BJ100" s="0" t="s">
        <v>7105</v>
      </c>
      <c r="BK100" s="0" t="s">
        <v>6048</v>
      </c>
      <c r="BP100" s="0" t="str">
        <f aca="false">IF($A100="","",IFERROR(INDEX(Enrichment!$A$2:$GZ$2000,MATCH($A100,INDEX(Enrichment!$A$2:$GZ$2000,0,MATCH("row_id",Enrichment!$A$1:$GZ$1,0)),0),MATCH("backup_work_email",Enrichment!$A$1:$GZ$1,0))&amp;"",""))</f>
        <v/>
      </c>
      <c r="BQ100" s="0" t="str">
        <f aca="false">IF($A100="","",IF(BP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none</v>
      </c>
      <c r="BS100" s="0" t="s">
        <v>380</v>
      </c>
      <c r="BW100" s="0" t="s">
        <v>387</v>
      </c>
      <c r="BX100" s="0" t="s">
        <v>388</v>
      </c>
      <c r="BY100" s="0" t="s">
        <v>8058</v>
      </c>
      <c r="BZ100" s="0" t="s">
        <v>6050</v>
      </c>
      <c r="CJ100" s="0" t="s">
        <v>7088</v>
      </c>
      <c r="CK100" s="0" t="s">
        <v>200</v>
      </c>
      <c r="CM100" s="0" t="s">
        <v>201</v>
      </c>
      <c r="CN100" s="0" t="s">
        <v>6051</v>
      </c>
      <c r="CO100" s="0" t="s">
        <v>8055</v>
      </c>
      <c r="CP100" s="0" t="s">
        <v>5608</v>
      </c>
      <c r="CQ100" s="0" t="s">
        <v>5609</v>
      </c>
      <c r="CR100" s="0" t="s">
        <v>209</v>
      </c>
      <c r="CT100" s="0" t="s">
        <v>209</v>
      </c>
      <c r="CU100" s="0" t="s">
        <v>6710</v>
      </c>
      <c r="CV100" s="0" t="s">
        <v>164</v>
      </c>
      <c r="CW100" s="0" t="s">
        <v>164</v>
      </c>
      <c r="CX100" s="0" t="s">
        <v>209</v>
      </c>
      <c r="CZ100" s="0" t="s">
        <v>6456</v>
      </c>
      <c r="DA100" s="0" t="s">
        <v>189</v>
      </c>
      <c r="DB100" s="0" t="s">
        <v>189</v>
      </c>
      <c r="DE100" s="0" t="s">
        <v>189</v>
      </c>
      <c r="DF100" s="0" t="n">
        <v>0</v>
      </c>
      <c r="DI100" s="0" t="s">
        <v>7906</v>
      </c>
      <c r="DJ100" s="0" t="s">
        <v>8059</v>
      </c>
      <c r="DK100" s="0" t="s">
        <v>5689</v>
      </c>
      <c r="DL100" s="0" t="n">
        <v>26</v>
      </c>
      <c r="DN100" s="0" t="n">
        <v>42</v>
      </c>
      <c r="DO100" s="0" t="n">
        <v>6</v>
      </c>
      <c r="DP100" s="0" t="n">
        <v>20</v>
      </c>
      <c r="DQ100" s="0" t="n">
        <v>8</v>
      </c>
      <c r="DR100" s="0" t="n">
        <v>5</v>
      </c>
      <c r="DS100" s="0" t="n">
        <v>7</v>
      </c>
      <c r="DT100" s="0" t="n">
        <v>0</v>
      </c>
      <c r="DU100" s="0" t="n">
        <f aca="false">IF($A100="","",IF(R100="Y",10,0))</f>
        <v>0</v>
      </c>
      <c r="DV100" s="0" t="n">
        <v>-4</v>
      </c>
      <c r="DW100" s="0" t="s">
        <v>209</v>
      </c>
      <c r="DX100" s="0" t="s">
        <v>6462</v>
      </c>
      <c r="DY100" s="0" t="s">
        <v>8060</v>
      </c>
      <c r="DZ100" s="0" t="s">
        <v>8061</v>
      </c>
      <c r="EA100" s="0" t="s">
        <v>8062</v>
      </c>
      <c r="EV100" s="0" t="str">
        <f aca="false">IF($A100="","",IF(ISNUMBER(MATCH(U100,{"queued","contacted","replied","call_booked","call_done","yes_in_principle","materials_sent"},0)),"Y","N"))</f>
        <v>N</v>
      </c>
      <c r="EW100" s="0" t="str">
        <f aca="false">IF($A100="","",IF(OR(T100="Y",U100="do_not_contact",AQ100&amp;""&lt;&gt;""),"Y","N"))</f>
        <v>N</v>
      </c>
      <c r="EX100" s="0" t="str">
        <f aca="false">IF($A100="","",IF(AN100&amp;""&lt;&gt;"",AN100&amp;"",$A100))</f>
        <v>AB-183</v>
      </c>
      <c r="EY100" s="0" t="str">
        <f aca="false">IF($A100="","",IF(COUNTIFS($EX$2:$EX$1000,EX100,$EV$2:$EV$1000,"Y")+COUNTIFS($EX$2:$EX$1000,EX100,$EW$2:$EW$1000,"Y")&gt;0,"Y","N"))</f>
        <v>N</v>
      </c>
      <c r="EZ100" s="0" t="str">
        <f aca="false">IF($A100="","",IF(AND(U100="new",T100="N",EW100="N",AR100="Y",EY100="N"),"Y","N"))</f>
        <v>N</v>
      </c>
      <c r="FA100" s="0" t="str">
        <f aca="false">IF($A100="","",IF(EZ100&lt;&gt;"Y","N",IF(COUNTIFS($EX$2:$EX$1000,EX100,$EZ$2:$EZ$1000,"Y",$J$2:$J$1000,"&gt;"&amp;J100)+COUNTIFS($EX$2:$EX$1000,EX100,$EZ$2:$EZ$1000,"Y",$J$2:$J$1000,J100,$FG$2:$FG$1000,"&lt;"&amp;FG100)=0,"Y","N")))</f>
        <v>N</v>
      </c>
      <c r="FB100" s="0" t="str">
        <f aca="false">IF($A100="","",IF(AND(EZ100="Y",FA100="Y",Y100&amp;""&lt;&gt;""),IF(Y100&lt;=10,"Y","N"),"N"))</f>
        <v>N</v>
      </c>
      <c r="FC100" s="0" t="str">
        <f aca="false">IF(FB100="Y",Y100,"")</f>
        <v/>
      </c>
      <c r="FD100" s="0" t="str">
        <f aca="false">IF($A100="","",IF(AND(CK100="pass",AU100="Y",AV100&lt;&gt;"Y",U100="new",EW100="N"),"Y","N"))</f>
        <v>Y</v>
      </c>
      <c r="FE100" s="0" t="str">
        <f aca="false">IF(FD100&lt;&gt;"Y","",IF(COUNTIFS($FD$2:$FD$1000,"Y",$J$2:$J$1000,"&gt;"&amp;J100)+COUNTIFS($FD$2:$FD$1000,"Y",$J$2:$J$1000,J100,$FG$2:$FG$1000,"&lt;"&amp;FG100)+1&lt;=30,COUNTIFS($FD$2:$FD$1000,"Y",$J$2:$J$1000,"&gt;"&amp;J100)+COUNTIFS($FD$2:$FD$1000,"Y",$J$2:$J$1000,J100,$FG$2:$FG$1000,"&lt;"&amp;FG100)+1,""))</f>
        <v/>
      </c>
      <c r="FF100" s="0" t="str">
        <f aca="false">IF(AND(_xlfn.ISFORMULA(C100),_xlfn.ISFORMULA(J100)),"Y","N")</f>
        <v>Y</v>
      </c>
      <c r="FG100" s="0" t="n">
        <f aca="false">ROW()-1</f>
        <v>99</v>
      </c>
    </row>
    <row r="101" customFormat="false" ht="15" hidden="false" customHeight="false" outlineLevel="0" collapsed="false">
      <c r="A101" s="0" t="s">
        <v>8063</v>
      </c>
      <c r="B101" s="0" t="s">
        <v>8064</v>
      </c>
      <c r="C101" s="0" t="str">
        <f aca="false">IF($A101="","",IF(AT101="Y",BL101&amp;"",AY101&amp;""))</f>
        <v>Jessica</v>
      </c>
      <c r="D101" s="0" t="str">
        <f aca="false">IF($A101="","",IF(AT101="Y",BM101&amp;"",AZ101&amp;""))</f>
        <v>Karp</v>
      </c>
      <c r="E101" s="0" t="str">
        <f aca="false">IF($A101="","",IF(AT101="Y",BN101&amp;"",BA101&amp;""))</f>
        <v>Co-founder</v>
      </c>
      <c r="F101" s="0" t="str">
        <f aca="false">IF($A101="","",IF(AT101="Y",BO101&amp;"",BB101&amp;""))</f>
        <v/>
      </c>
      <c r="G101" s="0" t="str">
        <f aca="false">IF($A101="","",IF(AT101="Y",BP101&amp;"",BC101&amp;""))</f>
        <v/>
      </c>
      <c r="H101" s="0" t="str">
        <f aca="false">IF($A101="","",IF(AT101="Y",BQ101&amp;"",BD101&amp;""))</f>
        <v>none</v>
      </c>
      <c r="I101" s="0" t="str">
        <f aca="false">IF($A101="","",IF(R101="Y","warm-intro",IF(H101="verified","email",IF(C101&lt;&gt;"","linkedin",CA101&amp;""))))</f>
        <v>linkedin</v>
      </c>
      <c r="J101" s="0" t="n">
        <f aca="false">IF($A101="","",IF(CK101="pass",ROUND(N(DO101)+N(DP101)+N(DQ101)+N(DR101)+N(DS101)+N(DT101)+N(DU101)+N(DV101),0),0))</f>
        <v>41</v>
      </c>
      <c r="K101" s="0" t="str">
        <f aca="false">IF($A101="","",IF(CK101&lt;&gt;"pass",BY101&amp;"",BY101&amp;", "&amp;IF(AT101="Y",BX101&amp;"",BK101&amp;"")&amp;BZ101&amp;IF(R101="Y","; known to the founder (+10)","")&amp;"."))</f>
        <v>New York City brand, store page shows Whole Foods Market NoMad inside the cluster, no dated why-now in the last 12 months, revenue unknown, contact named; founder review: owner, scale.</v>
      </c>
      <c r="M101" s="0" t="s">
        <v>5572</v>
      </c>
      <c r="N101" s="0" t="s">
        <v>5573</v>
      </c>
      <c r="R101" s="5" t="s">
        <v>189</v>
      </c>
      <c r="S101" s="0" t="s">
        <v>209</v>
      </c>
      <c r="T101" s="5" t="s">
        <v>189</v>
      </c>
      <c r="U101" s="5" t="s">
        <v>3896</v>
      </c>
      <c r="V101" s="0" t="s">
        <v>8065</v>
      </c>
      <c r="W101" s="0" t="s">
        <v>263</v>
      </c>
      <c r="X101" s="0" t="s">
        <v>5578</v>
      </c>
      <c r="Y101" s="0" t="str">
        <f aca="false">IF(FA101&lt;&gt;"Y","",COUNTIFS($FA$2:$FA$1000,"Y",$J$2:$J$1000,"&gt;"&amp;J101)+COUNTIFS($FA$2:$FA$1000,"Y",$J$2:$J$1000,J101,$FG$2:$FG$1000,"&lt;"&amp;FG101)+1)</f>
        <v/>
      </c>
      <c r="Z101" s="0" t="n">
        <v>100</v>
      </c>
      <c r="AA101" s="0" t="s">
        <v>189</v>
      </c>
      <c r="AB101" s="0" t="str">
        <f aca="false">IF($A101="","",IF(AT101="Y",BW101&amp;"",BJ101&amp;""))</f>
        <v>find Jessica Karp at Hu Kitchen on LinkedIn and paste the profile URL into primary_linkedin_url; use the Whole Foods Market NoMad line only if retailer_checked_date is this week's Friday check</v>
      </c>
      <c r="AC101" s="0" t="str">
        <f aca="false">IF($A101="","",IF(AT101="Y",BR101&amp;"",BE101&amp;""))</f>
        <v>founder</v>
      </c>
      <c r="AD101" s="0" t="str">
        <f aca="false">IF($A101="","",IF(AT101="Y",BS101&amp;"",BF101&amp;""))</f>
        <v>verified-page</v>
      </c>
      <c r="AE101" s="0" t="str">
        <f aca="false">IF($A101="","",IF(AT101="Y",BT101&amp;"",BG101&amp;""))</f>
        <v>employer's own site</v>
      </c>
      <c r="AF101" s="0" t="str">
        <f aca="false">IF($A101="","",IF(AT101="Y",BU101&amp;"",BH101&amp;""))</f>
        <v>https://hukitchen.com/pages/about-us</v>
      </c>
      <c r="AG101" s="0" t="str">
        <f aca="false">IF($A101="","",IF(AT101="Y",BV101&amp;"",BI101&amp;""))</f>
        <v>2026-10-23</v>
      </c>
      <c r="AH101" s="0" t="s">
        <v>8066</v>
      </c>
      <c r="AI101" s="0" t="s">
        <v>5664</v>
      </c>
      <c r="AJ101" s="0" t="s">
        <v>8067</v>
      </c>
      <c r="AK101" s="0" t="s">
        <v>8068</v>
      </c>
      <c r="AL101" s="0" t="s">
        <v>164</v>
      </c>
      <c r="AM101" s="0" t="s">
        <v>8069</v>
      </c>
      <c r="AN101" s="0" t="s">
        <v>8063</v>
      </c>
      <c r="AO101" s="5" t="s">
        <v>189</v>
      </c>
      <c r="AR101" s="0" t="str">
        <f aca="false">IF($A101="","",IF(AND(CK101="pass",AO101&lt;&gt;"Y",C101&lt;&gt;"",OR(AU101&lt;&gt;"Y",AV101="Y")),"Y","N"))</f>
        <v>N</v>
      </c>
      <c r="AS101" s="0" t="str">
        <f aca="false">IF($A101="","",_xlfn.TEXTJOIN("; ",TRUE(),IF(CK101&lt;&gt;"pass","gated out",""),IF(AO101="Y","on hold: "&amp;AP101,""),IF(C101="","no contact named on an opened page",""),IF(AND(AU101="Y",AV101&lt;&gt;"Y"),"founder review pending (Founder review tab)","")))</f>
        <v>founder review pending (Founder review tab)</v>
      </c>
      <c r="AU101" s="0" t="s">
        <v>164</v>
      </c>
      <c r="AX101" s="0" t="s">
        <v>8070</v>
      </c>
      <c r="AY101" s="0" t="s">
        <v>860</v>
      </c>
      <c r="AZ101" s="0" t="s">
        <v>8071</v>
      </c>
      <c r="BA101" s="0" t="s">
        <v>5636</v>
      </c>
      <c r="BC101" s="0" t="str">
        <f aca="false">IF($A101="","",IFERROR(INDEX(Enrichment!$A$2:$GZ$2000,MATCH($A101,INDEX(Enrichment!$A$2:$GZ$2000,0,MATCH("row_id",Enrichment!$A$1:$GZ$1,0)),0),MATCH("work_email",Enrichment!$A$1:$GZ$1,0))&amp;"",""))</f>
        <v/>
      </c>
      <c r="BD101" s="0" t="str">
        <f aca="false">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none</v>
      </c>
      <c r="BE101" s="0" t="s">
        <v>5589</v>
      </c>
      <c r="BF101" s="0" t="s">
        <v>169</v>
      </c>
      <c r="BG101" s="0" t="s">
        <v>170</v>
      </c>
      <c r="BH101" s="0" t="s">
        <v>8065</v>
      </c>
      <c r="BI101" s="0" t="s">
        <v>263</v>
      </c>
      <c r="BJ101" s="0" t="s">
        <v>8072</v>
      </c>
      <c r="BK101" s="0" t="s">
        <v>5643</v>
      </c>
      <c r="BP101" s="0" t="str">
        <f aca="false">IF($A101="","",IFERROR(INDEX(Enrichment!$A$2:$GZ$2000,MATCH($A101,INDEX(Enrichment!$A$2:$GZ$2000,0,MATCH("row_id",Enrichment!$A$1:$GZ$1,0)),0),MATCH("backup_work_email",Enrichment!$A$1:$GZ$1,0))&amp;"",""))</f>
        <v/>
      </c>
      <c r="BQ101" s="0" t="str">
        <f aca="false">IF($A101="","",IF(BP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none</v>
      </c>
      <c r="BS101" s="0" t="s">
        <v>380</v>
      </c>
      <c r="BW101" s="0" t="s">
        <v>5741</v>
      </c>
      <c r="BX101" s="0" t="s">
        <v>388</v>
      </c>
      <c r="BY101" s="0" t="s">
        <v>5959</v>
      </c>
      <c r="BZ101" s="0" t="s">
        <v>8073</v>
      </c>
      <c r="CB101" s="0" t="s">
        <v>8074</v>
      </c>
      <c r="CJ101" s="0" t="s">
        <v>7088</v>
      </c>
      <c r="CK101" s="0" t="s">
        <v>200</v>
      </c>
      <c r="CM101" s="0" t="s">
        <v>201</v>
      </c>
      <c r="CN101" s="0" t="s">
        <v>8075</v>
      </c>
      <c r="CO101" s="0" t="s">
        <v>8068</v>
      </c>
      <c r="CP101" s="0" t="s">
        <v>5608</v>
      </c>
      <c r="CQ101" s="0" t="s">
        <v>5609</v>
      </c>
      <c r="CR101" s="0" t="s">
        <v>8076</v>
      </c>
      <c r="CT101" s="0" t="s">
        <v>164</v>
      </c>
      <c r="CU101" s="0" t="s">
        <v>8077</v>
      </c>
      <c r="CV101" s="0" t="s">
        <v>164</v>
      </c>
      <c r="CW101" s="0" t="s">
        <v>164</v>
      </c>
      <c r="CX101" s="0" t="s">
        <v>209</v>
      </c>
      <c r="CZ101" s="0" t="s">
        <v>209</v>
      </c>
      <c r="DA101" s="0" t="s">
        <v>189</v>
      </c>
      <c r="DB101" s="0" t="s">
        <v>189</v>
      </c>
      <c r="DD101" s="0" t="n">
        <v>0</v>
      </c>
      <c r="DE101" s="0" t="s">
        <v>164</v>
      </c>
      <c r="DF101" s="0" t="n">
        <v>3</v>
      </c>
      <c r="DG101" s="0" t="s">
        <v>5686</v>
      </c>
      <c r="DH101" s="0" t="s">
        <v>5969</v>
      </c>
      <c r="DI101" s="0" t="s">
        <v>8078</v>
      </c>
      <c r="DJ101" s="0" t="s">
        <v>8079</v>
      </c>
      <c r="DK101" s="0" t="s">
        <v>380</v>
      </c>
      <c r="DN101" s="0" t="n">
        <v>41</v>
      </c>
      <c r="DO101" s="0" t="n">
        <v>25</v>
      </c>
      <c r="DP101" s="0" t="n">
        <v>20</v>
      </c>
      <c r="DQ101" s="0" t="n">
        <v>0</v>
      </c>
      <c r="DR101" s="0" t="n">
        <v>5</v>
      </c>
      <c r="DS101" s="0" t="n">
        <v>10</v>
      </c>
      <c r="DT101" s="0" t="n">
        <v>6</v>
      </c>
      <c r="DU101" s="0" t="n">
        <f aca="false">IF($A101="","",IF(R101="Y",10,0))</f>
        <v>0</v>
      </c>
      <c r="DV101" s="0" t="n">
        <v>-25</v>
      </c>
      <c r="DX101" s="0" t="s">
        <v>5619</v>
      </c>
      <c r="DY101" s="0" t="s">
        <v>8080</v>
      </c>
      <c r="DZ101" s="0" t="s">
        <v>8081</v>
      </c>
      <c r="EA101" s="0" t="s">
        <v>8082</v>
      </c>
      <c r="EV101" s="0" t="str">
        <f aca="false">IF($A101="","",IF(ISNUMBER(MATCH(U101,{"queued","contacted","replied","call_booked","call_done","yes_in_principle","materials_sent"},0)),"Y","N"))</f>
        <v>N</v>
      </c>
      <c r="EW101" s="0" t="str">
        <f aca="false">IF($A101="","",IF(OR(T101="Y",U101="do_not_contact",AQ101&amp;""&lt;&gt;""),"Y","N"))</f>
        <v>N</v>
      </c>
      <c r="EX101" s="0" t="str">
        <f aca="false">IF($A101="","",IF(AN101&amp;""&lt;&gt;"",AN101&amp;"",$A101))</f>
        <v>AB-264</v>
      </c>
      <c r="EY101" s="0" t="str">
        <f aca="false">IF($A101="","",IF(COUNTIFS($EX$2:$EX$1000,EX101,$EV$2:$EV$1000,"Y")+COUNTIFS($EX$2:$EX$1000,EX101,$EW$2:$EW$1000,"Y")&gt;0,"Y","N"))</f>
        <v>N</v>
      </c>
      <c r="EZ101" s="0" t="str">
        <f aca="false">IF($A101="","",IF(AND(U101="new",T101="N",EW101="N",AR101="Y",EY101="N"),"Y","N"))</f>
        <v>N</v>
      </c>
      <c r="FA101" s="0" t="str">
        <f aca="false">IF($A101="","",IF(EZ101&lt;&gt;"Y","N",IF(COUNTIFS($EX$2:$EX$1000,EX101,$EZ$2:$EZ$1000,"Y",$J$2:$J$1000,"&gt;"&amp;J101)+COUNTIFS($EX$2:$EX$1000,EX101,$EZ$2:$EZ$1000,"Y",$J$2:$J$1000,J101,$FG$2:$FG$1000,"&lt;"&amp;FG101)=0,"Y","N")))</f>
        <v>N</v>
      </c>
      <c r="FB101" s="0" t="str">
        <f aca="false">IF($A101="","",IF(AND(EZ101="Y",FA101="Y",Y101&amp;""&lt;&gt;""),IF(Y101&lt;=10,"Y","N"),"N"))</f>
        <v>N</v>
      </c>
      <c r="FC101" s="0" t="str">
        <f aca="false">IF(FB101="Y",Y101,"")</f>
        <v/>
      </c>
      <c r="FD101" s="0" t="str">
        <f aca="false">IF($A101="","",IF(AND(CK101="pass",AU101="Y",AV101&lt;&gt;"Y",U101="new",EW101="N"),"Y","N"))</f>
        <v>Y</v>
      </c>
      <c r="FE101" s="0" t="str">
        <f aca="false">IF(FD101&lt;&gt;"Y","",IF(COUNTIFS($FD$2:$FD$1000,"Y",$J$2:$J$1000,"&gt;"&amp;J101)+COUNTIFS($FD$2:$FD$1000,"Y",$J$2:$J$1000,J101,$FG$2:$FG$1000,"&lt;"&amp;FG101)+1&lt;=30,COUNTIFS($FD$2:$FD$1000,"Y",$J$2:$J$1000,"&gt;"&amp;J101)+COUNTIFS($FD$2:$FD$1000,"Y",$J$2:$J$1000,J101,$FG$2:$FG$1000,"&lt;"&amp;FG101)+1,""))</f>
        <v/>
      </c>
      <c r="FF101" s="0" t="str">
        <f aca="false">IF(AND(_xlfn.ISFORMULA(C101),_xlfn.ISFORMULA(J101)),"Y","N")</f>
        <v>Y</v>
      </c>
      <c r="FG101" s="0" t="n">
        <f aca="false">ROW()-1</f>
        <v>100</v>
      </c>
    </row>
    <row r="102" customFormat="false" ht="15" hidden="false" customHeight="false" outlineLevel="0" collapsed="false">
      <c r="A102" s="0" t="s">
        <v>8083</v>
      </c>
      <c r="B102" s="0" t="s">
        <v>8084</v>
      </c>
      <c r="C102" s="0" t="str">
        <f aca="false">IF($A102="","",IF(AT102="Y",BL102&amp;"",AY102&amp;""))</f>
        <v>Lucas</v>
      </c>
      <c r="D102" s="0" t="str">
        <f aca="false">IF($A102="","",IF(AT102="Y",BM102&amp;"",AZ102&amp;""))</f>
        <v>Prado</v>
      </c>
      <c r="E102" s="0" t="str">
        <f aca="false">IF($A102="","",IF(AT102="Y",BN102&amp;"",BA102&amp;""))</f>
        <v>Co-founder</v>
      </c>
      <c r="F102" s="0" t="str">
        <f aca="false">IF($A102="","",IF(AT102="Y",BO102&amp;"",BB102&amp;""))</f>
        <v/>
      </c>
      <c r="G102" s="0" t="str">
        <f aca="false">IF($A102="","",IF(AT102="Y",BP102&amp;"",BC102&amp;""))</f>
        <v/>
      </c>
      <c r="H102" s="0" t="str">
        <f aca="false">IF($A102="","",IF(AT102="Y",BQ102&amp;"",BD102&amp;""))</f>
        <v>none</v>
      </c>
      <c r="I102" s="0" t="str">
        <f aca="false">IF($A102="","",IF(R102="Y","warm-intro",IF(H102="verified","email",IF(C102&lt;&gt;"","linkedin",CA102&amp;""))))</f>
        <v>linkedin</v>
      </c>
      <c r="J102" s="0" t="n">
        <f aca="false">IF($A102="","",IF(CK102="pass",ROUND(N(DO102)+N(DP102)+N(DQ102)+N(DR102)+N(DS102)+N(DT102)+N(DU102)+N(DV102),0),0))</f>
        <v>41</v>
      </c>
      <c r="K102" s="0" t="str">
        <f aca="false">IF($A102="","",IF(CK102&lt;&gt;"pass",BY102&amp;"",BY102&amp;", "&amp;IF(AT102="Y",BX102&amp;"",BK102&amp;"")&amp;BZ102&amp;IF(R102="Y","; known to the founder (+10)","")&amp;"."))</f>
        <v>Brand based outside the Northeast, no graded store within ten blocks, online store only, news 87 days ago, revenue unknown, contact named; founder review: nutrient-claim.</v>
      </c>
      <c r="M102" s="0" t="s">
        <v>6144</v>
      </c>
      <c r="N102" s="0" t="s">
        <v>740</v>
      </c>
      <c r="O102" s="0" t="s">
        <v>8085</v>
      </c>
      <c r="P102" s="0" t="s">
        <v>8086</v>
      </c>
      <c r="Q102" s="0" t="s">
        <v>8087</v>
      </c>
      <c r="R102" s="5" t="s">
        <v>189</v>
      </c>
      <c r="S102" s="0" t="s">
        <v>164</v>
      </c>
      <c r="T102" s="5" t="s">
        <v>189</v>
      </c>
      <c r="U102" s="5" t="s">
        <v>3896</v>
      </c>
      <c r="V102" s="0" t="s">
        <v>8088</v>
      </c>
      <c r="W102" s="0" t="s">
        <v>263</v>
      </c>
      <c r="X102" s="0" t="s">
        <v>5578</v>
      </c>
      <c r="Y102" s="0" t="n">
        <f aca="false">IF(FA102&lt;&gt;"Y","",COUNTIFS($FA$2:$FA$1000,"Y",$J$2:$J$1000,"&gt;"&amp;J102)+COUNTIFS($FA$2:$FA$1000,"Y",$J$2:$J$1000,J102,$FG$2:$FG$1000,"&lt;"&amp;FG102)+1)</f>
        <v>47</v>
      </c>
      <c r="Z102" s="0" t="n">
        <v>101</v>
      </c>
      <c r="AA102" s="0" t="s">
        <v>189</v>
      </c>
      <c r="AB102" s="0" t="str">
        <f aca="false">IF($A102="","",IF(AT102="Y",BW102&amp;"",BJ102&amp;""))</f>
        <v>find Lucas Prado at BEEST Snacks on LinkedIn and paste the profile URL into primary_linkedin_url</v>
      </c>
      <c r="AC102" s="0" t="str">
        <f aca="false">IF($A102="","",IF(AT102="Y",BR102&amp;"",BE102&amp;""))</f>
        <v>founder</v>
      </c>
      <c r="AD102" s="0" t="str">
        <f aca="false">IF($A102="","",IF(AT102="Y",BS102&amp;"",BF102&amp;""))</f>
        <v>verified-page</v>
      </c>
      <c r="AE102" s="0" t="str">
        <f aca="false">IF($A102="","",IF(AT102="Y",BT102&amp;"",BG102&amp;""))</f>
        <v>employer's own site</v>
      </c>
      <c r="AF102" s="0" t="str">
        <f aca="false">IF($A102="","",IF(AT102="Y",BU102&amp;"",BH102&amp;""))</f>
        <v>https://www.beestsnacks.com/pages/about-us</v>
      </c>
      <c r="AG102" s="0" t="str">
        <f aca="false">IF($A102="","",IF(AT102="Y",BV102&amp;"",BI102&amp;""))</f>
        <v>2026-10-23</v>
      </c>
      <c r="AH102" s="0" t="s">
        <v>8089</v>
      </c>
      <c r="AI102" s="0" t="s">
        <v>6306</v>
      </c>
      <c r="AJ102" s="0" t="s">
        <v>6210</v>
      </c>
      <c r="AK102" s="0" t="s">
        <v>8090</v>
      </c>
      <c r="AL102" s="0" t="s">
        <v>164</v>
      </c>
      <c r="AM102" s="0" t="s">
        <v>8091</v>
      </c>
      <c r="AN102" s="0" t="s">
        <v>8083</v>
      </c>
      <c r="AO102" s="5" t="s">
        <v>189</v>
      </c>
      <c r="AR102" s="0" t="str">
        <f aca="false">IF($A102="","",IF(AND(CK102="pass",AO102&lt;&gt;"Y",C102&lt;&gt;"",OR(AU102&lt;&gt;"Y",AV102="Y")),"Y","N"))</f>
        <v>Y</v>
      </c>
      <c r="AS102" s="0" t="str">
        <f aca="false">IF($A102="","",_xlfn.TEXTJOIN("; ",TRUE(),IF(CK102&lt;&gt;"pass","gated out",""),IF(AO102="Y","on hold: "&amp;AP102,""),IF(C102="","no contact named on an opened page",""),IF(AND(AU102="Y",AV102&lt;&gt;"Y"),"founder review pending (Founder review tab)","")))</f>
        <v/>
      </c>
      <c r="AU102" s="0" t="s">
        <v>189</v>
      </c>
      <c r="AY102" s="0" t="s">
        <v>8092</v>
      </c>
      <c r="AZ102" s="0" t="s">
        <v>8093</v>
      </c>
      <c r="BA102" s="0" t="s">
        <v>5636</v>
      </c>
      <c r="BC102" s="0" t="str">
        <f aca="false">IF($A102="","",IFERROR(INDEX(Enrichment!$A$2:$GZ$2000,MATCH($A102,INDEX(Enrichment!$A$2:$GZ$2000,0,MATCH("row_id",Enrichment!$A$1:$GZ$1,0)),0),MATCH("work_email",Enrichment!$A$1:$GZ$1,0))&amp;"",""))</f>
        <v/>
      </c>
      <c r="BD102" s="0" t="str">
        <f aca="false">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none</v>
      </c>
      <c r="BE102" s="0" t="s">
        <v>5589</v>
      </c>
      <c r="BF102" s="0" t="s">
        <v>169</v>
      </c>
      <c r="BG102" s="0" t="s">
        <v>170</v>
      </c>
      <c r="BH102" s="0" t="s">
        <v>8088</v>
      </c>
      <c r="BI102" s="0" t="s">
        <v>263</v>
      </c>
      <c r="BJ102" s="0" t="s">
        <v>8094</v>
      </c>
      <c r="BK102" s="0" t="s">
        <v>5643</v>
      </c>
      <c r="BL102" s="0" t="s">
        <v>7960</v>
      </c>
      <c r="BM102" s="0" t="s">
        <v>209</v>
      </c>
      <c r="BN102" s="0" t="s">
        <v>5636</v>
      </c>
      <c r="BP102" s="0" t="str">
        <f aca="false">IF($A102="","",IFERROR(INDEX(Enrichment!$A$2:$GZ$2000,MATCH($A102,INDEX(Enrichment!$A$2:$GZ$2000,0,MATCH("row_id",Enrichment!$A$1:$GZ$1,0)),0),MATCH("backup_work_email",Enrichment!$A$1:$GZ$1,0))&amp;"",""))</f>
        <v/>
      </c>
      <c r="BQ102" s="0" t="str">
        <f aca="false">IF($A102="","",IF(BP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none</v>
      </c>
      <c r="BR102" s="0" t="s">
        <v>7748</v>
      </c>
      <c r="BS102" s="0" t="s">
        <v>5896</v>
      </c>
      <c r="BT102" s="0" t="s">
        <v>170</v>
      </c>
      <c r="BU102" s="0" t="s">
        <v>8088</v>
      </c>
      <c r="BV102" s="0" t="s">
        <v>263</v>
      </c>
      <c r="BW102" s="0" t="s">
        <v>8095</v>
      </c>
      <c r="BX102" s="0" t="s">
        <v>5898</v>
      </c>
      <c r="BY102" s="0" t="s">
        <v>8096</v>
      </c>
      <c r="BZ102" s="0" t="s">
        <v>5601</v>
      </c>
      <c r="CB102" s="0" t="s">
        <v>8097</v>
      </c>
      <c r="CD102" s="0" t="s">
        <v>8098</v>
      </c>
      <c r="CF102" s="0" t="s">
        <v>7960</v>
      </c>
      <c r="CH102" s="0" t="s">
        <v>8098</v>
      </c>
      <c r="CJ102" s="0" t="s">
        <v>7088</v>
      </c>
      <c r="CK102" s="0" t="s">
        <v>200</v>
      </c>
      <c r="CM102" s="0" t="s">
        <v>201</v>
      </c>
      <c r="CN102" s="0" t="s">
        <v>5607</v>
      </c>
      <c r="CO102" s="0" t="s">
        <v>8090</v>
      </c>
      <c r="CP102" s="0" t="s">
        <v>6226</v>
      </c>
      <c r="CQ102" s="0" t="s">
        <v>6198</v>
      </c>
      <c r="CR102" s="0" t="s">
        <v>209</v>
      </c>
      <c r="CT102" s="0" t="s">
        <v>164</v>
      </c>
      <c r="CU102" s="0" t="s">
        <v>8099</v>
      </c>
      <c r="CV102" s="0" t="s">
        <v>164</v>
      </c>
      <c r="CW102" s="0" t="s">
        <v>164</v>
      </c>
      <c r="CX102" s="0" t="s">
        <v>209</v>
      </c>
      <c r="CZ102" s="0" t="s">
        <v>209</v>
      </c>
      <c r="DA102" s="0" t="s">
        <v>189</v>
      </c>
      <c r="DB102" s="0" t="s">
        <v>189</v>
      </c>
      <c r="DE102" s="0" t="s">
        <v>189</v>
      </c>
      <c r="DF102" s="0" t="n">
        <v>0</v>
      </c>
      <c r="DI102" s="0" t="s">
        <v>8100</v>
      </c>
      <c r="DJ102" s="0" t="s">
        <v>8101</v>
      </c>
      <c r="DK102" s="0" t="s">
        <v>5617</v>
      </c>
      <c r="DL102" s="0" t="n">
        <v>87</v>
      </c>
      <c r="DM102" s="0" t="s">
        <v>8086</v>
      </c>
      <c r="DN102" s="0" t="n">
        <v>41</v>
      </c>
      <c r="DO102" s="0" t="n">
        <v>6</v>
      </c>
      <c r="DP102" s="0" t="n">
        <v>3</v>
      </c>
      <c r="DQ102" s="0" t="n">
        <v>15</v>
      </c>
      <c r="DR102" s="0" t="n">
        <v>5</v>
      </c>
      <c r="DS102" s="0" t="n">
        <v>10</v>
      </c>
      <c r="DT102" s="0" t="n">
        <v>6</v>
      </c>
      <c r="DU102" s="0" t="n">
        <f aca="false">IF($A102="","",IF(R102="Y",10,0))</f>
        <v>0</v>
      </c>
      <c r="DV102" s="0" t="n">
        <v>-4</v>
      </c>
      <c r="DW102" s="0" t="s">
        <v>209</v>
      </c>
      <c r="DX102" s="0" t="s">
        <v>5814</v>
      </c>
      <c r="DY102" s="0" t="s">
        <v>8102</v>
      </c>
      <c r="DZ102" s="0" t="s">
        <v>8103</v>
      </c>
      <c r="EA102" s="0" t="s">
        <v>8104</v>
      </c>
      <c r="EV102" s="0" t="str">
        <f aca="false">IF($A102="","",IF(ISNUMBER(MATCH(U102,{"queued","contacted","replied","call_booked","call_done","yes_in_principle","materials_sent"},0)),"Y","N"))</f>
        <v>N</v>
      </c>
      <c r="EW102" s="0" t="str">
        <f aca="false">IF($A102="","",IF(OR(T102="Y",U102="do_not_contact",AQ102&amp;""&lt;&gt;""),"Y","N"))</f>
        <v>N</v>
      </c>
      <c r="EX102" s="0" t="str">
        <f aca="false">IF($A102="","",IF(AN102&amp;""&lt;&gt;"",AN102&amp;"",$A102))</f>
        <v>AB-041</v>
      </c>
      <c r="EY102" s="0" t="str">
        <f aca="false">IF($A102="","",IF(COUNTIFS($EX$2:$EX$1000,EX102,$EV$2:$EV$1000,"Y")+COUNTIFS($EX$2:$EX$1000,EX102,$EW$2:$EW$1000,"Y")&gt;0,"Y","N"))</f>
        <v>N</v>
      </c>
      <c r="EZ102" s="0" t="str">
        <f aca="false">IF($A102="","",IF(AND(U102="new",T102="N",EW102="N",AR102="Y",EY102="N"),"Y","N"))</f>
        <v>Y</v>
      </c>
      <c r="FA102" s="0" t="str">
        <f aca="false">IF($A102="","",IF(EZ102&lt;&gt;"Y","N",IF(COUNTIFS($EX$2:$EX$1000,EX102,$EZ$2:$EZ$1000,"Y",$J$2:$J$1000,"&gt;"&amp;J102)+COUNTIFS($EX$2:$EX$1000,EX102,$EZ$2:$EZ$1000,"Y",$J$2:$J$1000,J102,$FG$2:$FG$1000,"&lt;"&amp;FG102)=0,"Y","N")))</f>
        <v>Y</v>
      </c>
      <c r="FB102" s="0" t="str">
        <f aca="false">IF($A102="","",IF(AND(EZ102="Y",FA102="Y",Y102&amp;""&lt;&gt;""),IF(Y102&lt;=10,"Y","N"),"N"))</f>
        <v>N</v>
      </c>
      <c r="FC102" s="0" t="str">
        <f aca="false">IF(FB102="Y",Y102,"")</f>
        <v/>
      </c>
      <c r="FD102" s="0" t="str">
        <f aca="false">IF($A102="","",IF(AND(CK102="pass",AU102="Y",AV102&lt;&gt;"Y",U102="new",EW102="N"),"Y","N"))</f>
        <v>N</v>
      </c>
      <c r="FE102" s="0" t="str">
        <f aca="false">IF(FD102&lt;&gt;"Y","",IF(COUNTIFS($FD$2:$FD$1000,"Y",$J$2:$J$1000,"&gt;"&amp;J102)+COUNTIFS($FD$2:$FD$1000,"Y",$J$2:$J$1000,J102,$FG$2:$FG$1000,"&lt;"&amp;FG102)+1&lt;=30,COUNTIFS($FD$2:$FD$1000,"Y",$J$2:$J$1000,"&gt;"&amp;J102)+COUNTIFS($FD$2:$FD$1000,"Y",$J$2:$J$1000,J102,$FG$2:$FG$1000,"&lt;"&amp;FG102)+1,""))</f>
        <v/>
      </c>
      <c r="FF102" s="0" t="str">
        <f aca="false">IF(AND(_xlfn.ISFORMULA(C102),_xlfn.ISFORMULA(J102)),"Y","N")</f>
        <v>Y</v>
      </c>
      <c r="FG102" s="0" t="n">
        <f aca="false">ROW()-1</f>
        <v>101</v>
      </c>
    </row>
    <row r="103" customFormat="false" ht="15" hidden="false" customHeight="false" outlineLevel="0" collapsed="false">
      <c r="A103" s="0" t="s">
        <v>8105</v>
      </c>
      <c r="B103" s="0" t="s">
        <v>8106</v>
      </c>
      <c r="C103" s="0" t="str">
        <f aca="false">IF($A103="","",IF(AT103="Y",BL103&amp;"",AY103&amp;""))</f>
        <v>Isabel</v>
      </c>
      <c r="D103" s="0" t="str">
        <f aca="false">IF($A103="","",IF(AT103="Y",BM103&amp;"",AZ103&amp;""))</f>
        <v>Washington</v>
      </c>
      <c r="E103" s="0" t="str">
        <f aca="false">IF($A103="","",IF(AT103="Y",BN103&amp;"",BA103&amp;""))</f>
        <v>Founder</v>
      </c>
      <c r="F103" s="0" t="str">
        <f aca="false">IF($A103="","",IF(AT103="Y",BO103&amp;"",BB103&amp;""))</f>
        <v/>
      </c>
      <c r="G103" s="0" t="str">
        <f aca="false">IF($A103="","",IF(AT103="Y",BP103&amp;"",BC103&amp;""))</f>
        <v/>
      </c>
      <c r="H103" s="0" t="str">
        <f aca="false">IF($A103="","",IF(AT103="Y",BQ103&amp;"",BD103&amp;""))</f>
        <v>none</v>
      </c>
      <c r="I103" s="0" t="str">
        <f aca="false">IF($A103="","",IF(R103="Y","warm-intro",IF(H103="verified","email",IF(C103&lt;&gt;"","linkedin",CA103&amp;""))))</f>
        <v>linkedin</v>
      </c>
      <c r="J103" s="0" t="n">
        <f aca="false">IF($A103="","",IF(CK103="pass",ROUND(N(DO103)+N(DP103)+N(DQ103)+N(DR103)+N(DS103)+N(DT103)+N(DU103)+N(DV103),0),0))</f>
        <v>41</v>
      </c>
      <c r="K103" s="0" t="str">
        <f aca="false">IF($A103="","",IF(CK103&lt;&gt;"pass",BY103&amp;"",BY103&amp;", "&amp;IF(AT103="Y",BX103&amp;"",BK103&amp;"")&amp;BZ103&amp;IF(R103="Y","; known to the founder (+10)","")&amp;"."))</f>
        <v>Brand based outside the Northeast, no graded store within ten blocks, online store only, news 137 days ago, revenue unknown, contact named; founder review: claim-functional, nutrient-claim.</v>
      </c>
      <c r="M103" s="0" t="s">
        <v>6144</v>
      </c>
      <c r="N103" s="0" t="s">
        <v>740</v>
      </c>
      <c r="O103" s="0" t="s">
        <v>8107</v>
      </c>
      <c r="P103" s="0" t="s">
        <v>8108</v>
      </c>
      <c r="Q103" s="0" t="s">
        <v>4307</v>
      </c>
      <c r="R103" s="5" t="s">
        <v>189</v>
      </c>
      <c r="S103" s="0" t="s">
        <v>209</v>
      </c>
      <c r="T103" s="5" t="s">
        <v>189</v>
      </c>
      <c r="U103" s="5" t="s">
        <v>3896</v>
      </c>
      <c r="V103" s="0" t="s">
        <v>8109</v>
      </c>
      <c r="W103" s="0" t="s">
        <v>263</v>
      </c>
      <c r="X103" s="0" t="s">
        <v>5578</v>
      </c>
      <c r="Y103" s="0" t="str">
        <f aca="false">IF(FA103&lt;&gt;"Y","",COUNTIFS($FA$2:$FA$1000,"Y",$J$2:$J$1000,"&gt;"&amp;J103)+COUNTIFS($FA$2:$FA$1000,"Y",$J$2:$J$1000,J103,$FG$2:$FG$1000,"&lt;"&amp;FG103)+1)</f>
        <v/>
      </c>
      <c r="Z103" s="0" t="n">
        <v>102</v>
      </c>
      <c r="AA103" s="0" t="s">
        <v>189</v>
      </c>
      <c r="AB103" s="0" t="str">
        <f aca="false">IF($A103="","",IF(AT103="Y",BW103&amp;"",BJ103&amp;""))</f>
        <v>find Isabel Washington at Laurel's on LinkedIn and paste the profile URL into primary_linkedin_url</v>
      </c>
      <c r="AC103" s="0" t="str">
        <f aca="false">IF($A103="","",IF(AT103="Y",BR103&amp;"",BE103&amp;""))</f>
        <v>founder</v>
      </c>
      <c r="AD103" s="0" t="str">
        <f aca="false">IF($A103="","",IF(AT103="Y",BS103&amp;"",BF103&amp;""))</f>
        <v>verified-page</v>
      </c>
      <c r="AE103" s="0" t="str">
        <f aca="false">IF($A103="","",IF(AT103="Y",BT103&amp;"",BG103&amp;""))</f>
        <v>press, event or podcast page</v>
      </c>
      <c r="AF103" s="0" t="str">
        <f aca="false">IF($A103="","",IF(AT103="Y",BU103&amp;"",BH103&amp;""))</f>
        <v>https://citrusdiaries.substack.com/p/isabel-washington-of-laurels</v>
      </c>
      <c r="AG103" s="0" t="str">
        <f aca="false">IF($A103="","",IF(AT103="Y",BV103&amp;"",BI103&amp;""))</f>
        <v>2026-10-23</v>
      </c>
      <c r="AH103" s="0" t="s">
        <v>8110</v>
      </c>
      <c r="AI103" s="0" t="s">
        <v>6473</v>
      </c>
      <c r="AJ103" s="0" t="s">
        <v>3538</v>
      </c>
      <c r="AK103" s="0" t="s">
        <v>8111</v>
      </c>
      <c r="AL103" s="0" t="s">
        <v>164</v>
      </c>
      <c r="AM103" s="0" t="s">
        <v>8112</v>
      </c>
      <c r="AN103" s="0" t="s">
        <v>8105</v>
      </c>
      <c r="AO103" s="5" t="s">
        <v>189</v>
      </c>
      <c r="AR103" s="0" t="str">
        <f aca="false">IF($A103="","",IF(AND(CK103="pass",AO103&lt;&gt;"Y",C103&lt;&gt;"",OR(AU103&lt;&gt;"Y",AV103="Y")),"Y","N"))</f>
        <v>N</v>
      </c>
      <c r="AS103" s="0" t="str">
        <f aca="false">IF($A103="","",_xlfn.TEXTJOIN("; ",TRUE(),IF(CK103&lt;&gt;"pass","gated out",""),IF(AO103="Y","on hold: "&amp;AP103,""),IF(C103="","no contact named on an opened page",""),IF(AND(AU103="Y",AV103&lt;&gt;"Y"),"founder review pending (Founder review tab)","")))</f>
        <v>founder review pending (Founder review tab)</v>
      </c>
      <c r="AU103" s="0" t="s">
        <v>164</v>
      </c>
      <c r="AY103" s="0" t="s">
        <v>8113</v>
      </c>
      <c r="AZ103" s="0" t="s">
        <v>2982</v>
      </c>
      <c r="BA103" s="0" t="s">
        <v>5739</v>
      </c>
      <c r="BC103" s="0" t="str">
        <f aca="false">IF($A103="","",IFERROR(INDEX(Enrichment!$A$2:$GZ$2000,MATCH($A103,INDEX(Enrichment!$A$2:$GZ$2000,0,MATCH("row_id",Enrichment!$A$1:$GZ$1,0)),0),MATCH("work_email",Enrichment!$A$1:$GZ$1,0))&amp;"",""))</f>
        <v/>
      </c>
      <c r="BD103" s="0" t="str">
        <f aca="false">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none</v>
      </c>
      <c r="BE103" s="0" t="s">
        <v>5589</v>
      </c>
      <c r="BF103" s="0" t="s">
        <v>169</v>
      </c>
      <c r="BG103" s="0" t="s">
        <v>1252</v>
      </c>
      <c r="BH103" s="0" t="s">
        <v>8114</v>
      </c>
      <c r="BI103" s="0" t="s">
        <v>263</v>
      </c>
      <c r="BJ103" s="0" t="s">
        <v>8115</v>
      </c>
      <c r="BK103" s="0" t="s">
        <v>5643</v>
      </c>
      <c r="BP103" s="0" t="str">
        <f aca="false">IF($A103="","",IFERROR(INDEX(Enrichment!$A$2:$GZ$2000,MATCH($A103,INDEX(Enrichment!$A$2:$GZ$2000,0,MATCH("row_id",Enrichment!$A$1:$GZ$1,0)),0),MATCH("backup_work_email",Enrichment!$A$1:$GZ$1,0))&amp;"",""))</f>
        <v/>
      </c>
      <c r="BQ103" s="0" t="str">
        <f aca="false">IF($A103="","",IF(BP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none</v>
      </c>
      <c r="BS103" s="0" t="s">
        <v>380</v>
      </c>
      <c r="BW103" s="0" t="s">
        <v>387</v>
      </c>
      <c r="BX103" s="0" t="s">
        <v>388</v>
      </c>
      <c r="BY103" s="0" t="s">
        <v>8116</v>
      </c>
      <c r="BZ103" s="0" t="s">
        <v>6050</v>
      </c>
      <c r="CB103" s="0" t="s">
        <v>8117</v>
      </c>
      <c r="CJ103" s="0" t="s">
        <v>7088</v>
      </c>
      <c r="CK103" s="0" t="s">
        <v>200</v>
      </c>
      <c r="CM103" s="0" t="s">
        <v>201</v>
      </c>
      <c r="CN103" s="0" t="s">
        <v>6051</v>
      </c>
      <c r="CO103" s="0" t="s">
        <v>8111</v>
      </c>
      <c r="CP103" s="0" t="s">
        <v>6550</v>
      </c>
      <c r="CQ103" s="0" t="s">
        <v>6198</v>
      </c>
      <c r="CR103" s="0" t="s">
        <v>209</v>
      </c>
      <c r="CT103" s="0" t="s">
        <v>164</v>
      </c>
      <c r="CU103" s="0" t="s">
        <v>8118</v>
      </c>
      <c r="CV103" s="0" t="s">
        <v>164</v>
      </c>
      <c r="CW103" s="0" t="s">
        <v>164</v>
      </c>
      <c r="CX103" s="0" t="s">
        <v>209</v>
      </c>
      <c r="CZ103" s="0" t="s">
        <v>6456</v>
      </c>
      <c r="DA103" s="0" t="s">
        <v>189</v>
      </c>
      <c r="DB103" s="0" t="s">
        <v>189</v>
      </c>
      <c r="DE103" s="0" t="s">
        <v>189</v>
      </c>
      <c r="DF103" s="0" t="n">
        <v>0</v>
      </c>
      <c r="DI103" s="0" t="s">
        <v>8119</v>
      </c>
      <c r="DJ103" s="0" t="s">
        <v>8120</v>
      </c>
      <c r="DK103" s="0" t="s">
        <v>5617</v>
      </c>
      <c r="DL103" s="0" t="n">
        <v>137</v>
      </c>
      <c r="DN103" s="0" t="n">
        <v>41</v>
      </c>
      <c r="DO103" s="0" t="n">
        <v>6</v>
      </c>
      <c r="DP103" s="0" t="n">
        <v>3</v>
      </c>
      <c r="DQ103" s="0" t="n">
        <v>15</v>
      </c>
      <c r="DR103" s="0" t="n">
        <v>5</v>
      </c>
      <c r="DS103" s="0" t="n">
        <v>10</v>
      </c>
      <c r="DT103" s="0" t="n">
        <v>6</v>
      </c>
      <c r="DU103" s="0" t="n">
        <f aca="false">IF($A103="","",IF(R103="Y",10,0))</f>
        <v>0</v>
      </c>
      <c r="DV103" s="0" t="n">
        <v>-4</v>
      </c>
      <c r="DW103" s="0" t="s">
        <v>8121</v>
      </c>
      <c r="DX103" s="0" t="s">
        <v>6462</v>
      </c>
      <c r="DY103" s="0" t="s">
        <v>8122</v>
      </c>
      <c r="DZ103" s="0" t="s">
        <v>8123</v>
      </c>
      <c r="EA103" s="0" t="s">
        <v>8124</v>
      </c>
      <c r="EV103" s="0" t="str">
        <f aca="false">IF($A103="","",IF(ISNUMBER(MATCH(U103,{"queued","contacted","replied","call_booked","call_done","yes_in_principle","materials_sent"},0)),"Y","N"))</f>
        <v>N</v>
      </c>
      <c r="EW103" s="0" t="str">
        <f aca="false">IF($A103="","",IF(OR(T103="Y",U103="do_not_contact",AQ103&amp;""&lt;&gt;""),"Y","N"))</f>
        <v>N</v>
      </c>
      <c r="EX103" s="0" t="str">
        <f aca="false">IF($A103="","",IF(AN103&amp;""&lt;&gt;"",AN103&amp;"",$A103))</f>
        <v>AB-186</v>
      </c>
      <c r="EY103" s="0" t="str">
        <f aca="false">IF($A103="","",IF(COUNTIFS($EX$2:$EX$1000,EX103,$EV$2:$EV$1000,"Y")+COUNTIFS($EX$2:$EX$1000,EX103,$EW$2:$EW$1000,"Y")&gt;0,"Y","N"))</f>
        <v>N</v>
      </c>
      <c r="EZ103" s="0" t="str">
        <f aca="false">IF($A103="","",IF(AND(U103="new",T103="N",EW103="N",AR103="Y",EY103="N"),"Y","N"))</f>
        <v>N</v>
      </c>
      <c r="FA103" s="0" t="str">
        <f aca="false">IF($A103="","",IF(EZ103&lt;&gt;"Y","N",IF(COUNTIFS($EX$2:$EX$1000,EX103,$EZ$2:$EZ$1000,"Y",$J$2:$J$1000,"&gt;"&amp;J103)+COUNTIFS($EX$2:$EX$1000,EX103,$EZ$2:$EZ$1000,"Y",$J$2:$J$1000,J103,$FG$2:$FG$1000,"&lt;"&amp;FG103)=0,"Y","N")))</f>
        <v>N</v>
      </c>
      <c r="FB103" s="0" t="str">
        <f aca="false">IF($A103="","",IF(AND(EZ103="Y",FA103="Y",Y103&amp;""&lt;&gt;""),IF(Y103&lt;=10,"Y","N"),"N"))</f>
        <v>N</v>
      </c>
      <c r="FC103" s="0" t="str">
        <f aca="false">IF(FB103="Y",Y103,"")</f>
        <v/>
      </c>
      <c r="FD103" s="0" t="str">
        <f aca="false">IF($A103="","",IF(AND(CK103="pass",AU103="Y",AV103&lt;&gt;"Y",U103="new",EW103="N"),"Y","N"))</f>
        <v>Y</v>
      </c>
      <c r="FE103" s="0" t="str">
        <f aca="false">IF(FD103&lt;&gt;"Y","",IF(COUNTIFS($FD$2:$FD$1000,"Y",$J$2:$J$1000,"&gt;"&amp;J103)+COUNTIFS($FD$2:$FD$1000,"Y",$J$2:$J$1000,J103,$FG$2:$FG$1000,"&lt;"&amp;FG103)+1&lt;=30,COUNTIFS($FD$2:$FD$1000,"Y",$J$2:$J$1000,"&gt;"&amp;J103)+COUNTIFS($FD$2:$FD$1000,"Y",$J$2:$J$1000,J103,$FG$2:$FG$1000,"&lt;"&amp;FG103)+1,""))</f>
        <v/>
      </c>
      <c r="FF103" s="0" t="str">
        <f aca="false">IF(AND(_xlfn.ISFORMULA(C103),_xlfn.ISFORMULA(J103)),"Y","N")</f>
        <v>Y</v>
      </c>
      <c r="FG103" s="0" t="n">
        <f aca="false">ROW()-1</f>
        <v>102</v>
      </c>
    </row>
    <row r="104" customFormat="false" ht="15" hidden="false" customHeight="false" outlineLevel="0" collapsed="false">
      <c r="A104" s="0" t="s">
        <v>8125</v>
      </c>
      <c r="B104" s="0" t="s">
        <v>8126</v>
      </c>
      <c r="C104" s="0" t="str">
        <f aca="false">IF($A104="","",IF(AT104="Y",BL104&amp;"",AY104&amp;""))</f>
        <v>Kate</v>
      </c>
      <c r="D104" s="0" t="str">
        <f aca="false">IF($A104="","",IF(AT104="Y",BM104&amp;"",AZ104&amp;""))</f>
        <v>McAleer</v>
      </c>
      <c r="E104" s="0" t="str">
        <f aca="false">IF($A104="","",IF(AT104="Y",BN104&amp;"",BA104&amp;""))</f>
        <v>Founder</v>
      </c>
      <c r="F104" s="0" t="str">
        <f aca="false">IF($A104="","",IF(AT104="Y",BO104&amp;"",BB104&amp;""))</f>
        <v/>
      </c>
      <c r="G104" s="0" t="str">
        <f aca="false">IF($A104="","",IF(AT104="Y",BP104&amp;"",BC104&amp;""))</f>
        <v/>
      </c>
      <c r="H104" s="0" t="str">
        <f aca="false">IF($A104="","",IF(AT104="Y",BQ104&amp;"",BD104&amp;""))</f>
        <v>none</v>
      </c>
      <c r="I104" s="0" t="str">
        <f aca="false">IF($A104="","",IF(R104="Y","warm-intro",IF(H104="verified","email",IF(C104&lt;&gt;"","linkedin",CA104&amp;""))))</f>
        <v>linkedin</v>
      </c>
      <c r="J104" s="0" t="n">
        <f aca="false">IF($A104="","",IF(CK104="pass",ROUND(N(DO104)+N(DP104)+N(DQ104)+N(DR104)+N(DS104)+N(DT104)+N(DU104)+N(DV104),0),0))</f>
        <v>41</v>
      </c>
      <c r="K104" s="0" t="str">
        <f aca="false">IF($A104="","",IF(CK104&lt;&gt;"pass",BY104&amp;"",BY104&amp;", "&amp;IF(AT104="Y",BX104&amp;"",BK104&amp;"")&amp;BZ104&amp;IF(R104="Y","; known to the founder (+10)","")&amp;"."))</f>
        <v>Northeast brand, no graded store within ten blocks, online store only, a new store listing 14 days ago, revenue unknown, contact named; founder review: other.</v>
      </c>
      <c r="M104" s="0" t="s">
        <v>6144</v>
      </c>
      <c r="N104" s="0" t="s">
        <v>740</v>
      </c>
      <c r="O104" s="0" t="s">
        <v>8127</v>
      </c>
      <c r="P104" s="0" t="s">
        <v>8128</v>
      </c>
      <c r="Q104" s="0" t="s">
        <v>8129</v>
      </c>
      <c r="R104" s="5" t="s">
        <v>189</v>
      </c>
      <c r="S104" s="0" t="s">
        <v>209</v>
      </c>
      <c r="T104" s="5" t="s">
        <v>189</v>
      </c>
      <c r="U104" s="5" t="s">
        <v>3896</v>
      </c>
      <c r="V104" s="0" t="s">
        <v>8130</v>
      </c>
      <c r="W104" s="0" t="s">
        <v>172</v>
      </c>
      <c r="X104" s="0" t="s">
        <v>5578</v>
      </c>
      <c r="Y104" s="0" t="n">
        <f aca="false">IF(FA104&lt;&gt;"Y","",COUNTIFS($FA$2:$FA$1000,"Y",$J$2:$J$1000,"&gt;"&amp;J104)+COUNTIFS($FA$2:$FA$1000,"Y",$J$2:$J$1000,J104,$FG$2:$FG$1000,"&lt;"&amp;FG104)+1)</f>
        <v>48</v>
      </c>
      <c r="Z104" s="0" t="n">
        <v>103</v>
      </c>
      <c r="AA104" s="0" t="s">
        <v>189</v>
      </c>
      <c r="AB104" s="0" t="str">
        <f aca="false">IF($A104="","",IF(AT104="Y",BW104&amp;"",BJ104&amp;""))</f>
        <v>find Kate McAleer at Bixby Chocolate on LinkedIn and paste the profile URL into primary_linkedin_url</v>
      </c>
      <c r="AC104" s="0" t="str">
        <f aca="false">IF($A104="","",IF(AT104="Y",BR104&amp;"",BE104&amp;""))</f>
        <v>founder</v>
      </c>
      <c r="AD104" s="0" t="str">
        <f aca="false">IF($A104="","",IF(AT104="Y",BS104&amp;"",BF104&amp;""))</f>
        <v>verified-page</v>
      </c>
      <c r="AE104" s="0" t="str">
        <f aca="false">IF($A104="","",IF(AT104="Y",BT104&amp;"",BG104&amp;""))</f>
        <v>press, event or podcast page</v>
      </c>
      <c r="AF104" s="0" t="str">
        <f aca="false">IF($A104="","",IF(AT104="Y",BU104&amp;"",BH104&amp;""))</f>
        <v>https://events.specialtyfood.com/event/2026-summer-fancy-food-show/exhibitor/RXhoaWJpdG9yXzIzNjU0MDI=</v>
      </c>
      <c r="AG104" s="0" t="str">
        <f aca="false">IF($A104="","",IF(AT104="Y",BV104&amp;"",BI104&amp;""))</f>
        <v>2026-10-24</v>
      </c>
      <c r="AH104" s="0" t="s">
        <v>8131</v>
      </c>
      <c r="AI104" s="0" t="s">
        <v>5664</v>
      </c>
      <c r="AJ104" s="0" t="s">
        <v>8132</v>
      </c>
      <c r="AK104" s="0" t="s">
        <v>8133</v>
      </c>
      <c r="AL104" s="0" t="s">
        <v>164</v>
      </c>
      <c r="AM104" s="0" t="s">
        <v>8134</v>
      </c>
      <c r="AN104" s="0" t="s">
        <v>8125</v>
      </c>
      <c r="AO104" s="5" t="s">
        <v>189</v>
      </c>
      <c r="AR104" s="0" t="str">
        <f aca="false">IF($A104="","",IF(AND(CK104="pass",AO104&lt;&gt;"Y",C104&lt;&gt;"",OR(AU104&lt;&gt;"Y",AV104="Y")),"Y","N"))</f>
        <v>Y</v>
      </c>
      <c r="AS104" s="0" t="str">
        <f aca="false">IF($A104="","",_xlfn.TEXTJOIN("; ",TRUE(),IF(CK104&lt;&gt;"pass","gated out",""),IF(AO104="Y","on hold: "&amp;AP104,""),IF(C104="","no contact named on an opened page",""),IF(AND(AU104="Y",AV104&lt;&gt;"Y"),"founder review pending (Founder review tab)","")))</f>
        <v/>
      </c>
      <c r="AU104" s="0" t="s">
        <v>189</v>
      </c>
      <c r="AY104" s="0" t="s">
        <v>5796</v>
      </c>
      <c r="AZ104" s="0" t="s">
        <v>8135</v>
      </c>
      <c r="BA104" s="0" t="s">
        <v>5739</v>
      </c>
      <c r="BC104" s="0" t="str">
        <f aca="false">IF($A104="","",IFERROR(INDEX(Enrichment!$A$2:$GZ$2000,MATCH($A104,INDEX(Enrichment!$A$2:$GZ$2000,0,MATCH("row_id",Enrichment!$A$1:$GZ$1,0)),0),MATCH("work_email",Enrichment!$A$1:$GZ$1,0))&amp;"",""))</f>
        <v/>
      </c>
      <c r="BD104" s="0" t="str">
        <f aca="false">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none</v>
      </c>
      <c r="BE104" s="0" t="s">
        <v>5589</v>
      </c>
      <c r="BF104" s="0" t="s">
        <v>169</v>
      </c>
      <c r="BG104" s="0" t="s">
        <v>1252</v>
      </c>
      <c r="BH104" s="0" t="s">
        <v>8130</v>
      </c>
      <c r="BI104" s="0" t="s">
        <v>172</v>
      </c>
      <c r="BJ104" s="0" t="s">
        <v>8136</v>
      </c>
      <c r="BK104" s="0" t="s">
        <v>5643</v>
      </c>
      <c r="BL104" s="0" t="s">
        <v>8137</v>
      </c>
      <c r="BM104" s="0" t="s">
        <v>8135</v>
      </c>
      <c r="BN104" s="0" t="s">
        <v>5739</v>
      </c>
      <c r="BP104" s="0" t="str">
        <f aca="false">IF($A104="","",IFERROR(INDEX(Enrichment!$A$2:$GZ$2000,MATCH($A104,INDEX(Enrichment!$A$2:$GZ$2000,0,MATCH("row_id",Enrichment!$A$1:$GZ$1,0)),0),MATCH("backup_work_email",Enrichment!$A$1:$GZ$1,0))&amp;"",""))</f>
        <v/>
      </c>
      <c r="BQ104" s="0" t="str">
        <f aca="false">IF($A104="","",IF(BP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none</v>
      </c>
      <c r="BR104" s="0" t="s">
        <v>7748</v>
      </c>
      <c r="BS104" s="0" t="s">
        <v>169</v>
      </c>
      <c r="BT104" s="0" t="s">
        <v>1252</v>
      </c>
      <c r="BU104" s="0" t="s">
        <v>8130</v>
      </c>
      <c r="BV104" s="0" t="s">
        <v>172</v>
      </c>
      <c r="BW104" s="0" t="s">
        <v>8138</v>
      </c>
      <c r="BX104" s="0" t="s">
        <v>5643</v>
      </c>
      <c r="BY104" s="0" t="s">
        <v>8139</v>
      </c>
      <c r="BZ104" s="0" t="s">
        <v>5960</v>
      </c>
      <c r="CB104" s="0" t="s">
        <v>8140</v>
      </c>
      <c r="CF104" s="0" t="s">
        <v>8141</v>
      </c>
      <c r="CJ104" s="0" t="s">
        <v>7088</v>
      </c>
      <c r="CK104" s="0" t="s">
        <v>200</v>
      </c>
      <c r="CM104" s="0" t="s">
        <v>201</v>
      </c>
      <c r="CN104" s="0" t="s">
        <v>443</v>
      </c>
      <c r="CO104" s="0" t="s">
        <v>8133</v>
      </c>
      <c r="CP104" s="0" t="s">
        <v>8142</v>
      </c>
      <c r="CQ104" s="0" t="s">
        <v>6084</v>
      </c>
      <c r="CR104" s="0" t="s">
        <v>209</v>
      </c>
      <c r="CT104" s="0" t="s">
        <v>164</v>
      </c>
      <c r="CU104" s="0" t="s">
        <v>8143</v>
      </c>
      <c r="CV104" s="0" t="s">
        <v>164</v>
      </c>
      <c r="CW104" s="0" t="s">
        <v>164</v>
      </c>
      <c r="CX104" s="0" t="s">
        <v>209</v>
      </c>
      <c r="CZ104" s="0" t="s">
        <v>5993</v>
      </c>
      <c r="DA104" s="0" t="s">
        <v>189</v>
      </c>
      <c r="DB104" s="0" t="s">
        <v>189</v>
      </c>
      <c r="DE104" s="0" t="s">
        <v>189</v>
      </c>
      <c r="DF104" s="0" t="n">
        <v>0</v>
      </c>
      <c r="DH104" s="0" t="s">
        <v>8144</v>
      </c>
      <c r="DI104" s="0" t="s">
        <v>8145</v>
      </c>
      <c r="DJ104" s="0" t="s">
        <v>8146</v>
      </c>
      <c r="DK104" s="0" t="s">
        <v>5689</v>
      </c>
      <c r="DL104" s="0" t="n">
        <v>14</v>
      </c>
      <c r="DN104" s="0" t="n">
        <v>41</v>
      </c>
      <c r="DO104" s="0" t="n">
        <v>6</v>
      </c>
      <c r="DP104" s="0" t="n">
        <v>8</v>
      </c>
      <c r="DQ104" s="0" t="n">
        <v>8</v>
      </c>
      <c r="DR104" s="0" t="n">
        <v>5</v>
      </c>
      <c r="DS104" s="0" t="n">
        <v>10</v>
      </c>
      <c r="DT104" s="0" t="n">
        <v>6</v>
      </c>
      <c r="DU104" s="0" t="n">
        <f aca="false">IF($A104="","",IF(R104="Y",10,0))</f>
        <v>0</v>
      </c>
      <c r="DV104" s="0" t="n">
        <v>-2</v>
      </c>
      <c r="DW104" s="0" t="s">
        <v>8147</v>
      </c>
      <c r="DX104" s="0" t="s">
        <v>5998</v>
      </c>
      <c r="DY104" s="0" t="s">
        <v>8148</v>
      </c>
      <c r="DZ104" s="0" t="s">
        <v>8149</v>
      </c>
      <c r="EV104" s="0" t="str">
        <f aca="false">IF($A104="","",IF(ISNUMBER(MATCH(U104,{"queued","contacted","replied","call_booked","call_done","yes_in_principle","materials_sent"},0)),"Y","N"))</f>
        <v>N</v>
      </c>
      <c r="EW104" s="0" t="str">
        <f aca="false">IF($A104="","",IF(OR(T104="Y",U104="do_not_contact",AQ104&amp;""&lt;&gt;""),"Y","N"))</f>
        <v>N</v>
      </c>
      <c r="EX104" s="0" t="str">
        <f aca="false">IF($A104="","",IF(AN104&amp;""&lt;&gt;"",AN104&amp;"",$A104))</f>
        <v>AB-291</v>
      </c>
      <c r="EY104" s="0" t="str">
        <f aca="false">IF($A104="","",IF(COUNTIFS($EX$2:$EX$1000,EX104,$EV$2:$EV$1000,"Y")+COUNTIFS($EX$2:$EX$1000,EX104,$EW$2:$EW$1000,"Y")&gt;0,"Y","N"))</f>
        <v>N</v>
      </c>
      <c r="EZ104" s="0" t="str">
        <f aca="false">IF($A104="","",IF(AND(U104="new",T104="N",EW104="N",AR104="Y",EY104="N"),"Y","N"))</f>
        <v>Y</v>
      </c>
      <c r="FA104" s="0" t="str">
        <f aca="false">IF($A104="","",IF(EZ104&lt;&gt;"Y","N",IF(COUNTIFS($EX$2:$EX$1000,EX104,$EZ$2:$EZ$1000,"Y",$J$2:$J$1000,"&gt;"&amp;J104)+COUNTIFS($EX$2:$EX$1000,EX104,$EZ$2:$EZ$1000,"Y",$J$2:$J$1000,J104,$FG$2:$FG$1000,"&lt;"&amp;FG104)=0,"Y","N")))</f>
        <v>Y</v>
      </c>
      <c r="FB104" s="0" t="str">
        <f aca="false">IF($A104="","",IF(AND(EZ104="Y",FA104="Y",Y104&amp;""&lt;&gt;""),IF(Y104&lt;=10,"Y","N"),"N"))</f>
        <v>N</v>
      </c>
      <c r="FC104" s="0" t="str">
        <f aca="false">IF(FB104="Y",Y104,"")</f>
        <v/>
      </c>
      <c r="FD104" s="0" t="str">
        <f aca="false">IF($A104="","",IF(AND(CK104="pass",AU104="Y",AV104&lt;&gt;"Y",U104="new",EW104="N"),"Y","N"))</f>
        <v>N</v>
      </c>
      <c r="FE104" s="0" t="str">
        <f aca="false">IF(FD104&lt;&gt;"Y","",IF(COUNTIFS($FD$2:$FD$1000,"Y",$J$2:$J$1000,"&gt;"&amp;J104)+COUNTIFS($FD$2:$FD$1000,"Y",$J$2:$J$1000,J104,$FG$2:$FG$1000,"&lt;"&amp;FG104)+1&lt;=30,COUNTIFS($FD$2:$FD$1000,"Y",$J$2:$J$1000,"&gt;"&amp;J104)+COUNTIFS($FD$2:$FD$1000,"Y",$J$2:$J$1000,J104,$FG$2:$FG$1000,"&lt;"&amp;FG104)+1,""))</f>
        <v/>
      </c>
      <c r="FF104" s="0" t="str">
        <f aca="false">IF(AND(_xlfn.ISFORMULA(C104),_xlfn.ISFORMULA(J104)),"Y","N")</f>
        <v>Y</v>
      </c>
      <c r="FG104" s="0" t="n">
        <f aca="false">ROW()-1</f>
        <v>103</v>
      </c>
    </row>
    <row r="105" customFormat="false" ht="15" hidden="false" customHeight="false" outlineLevel="0" collapsed="false">
      <c r="A105" s="0" t="s">
        <v>8150</v>
      </c>
      <c r="B105" s="0" t="s">
        <v>8151</v>
      </c>
      <c r="C105" s="0" t="str">
        <f aca="false">IF($A105="","",IF(AT105="Y",BL105&amp;"",AY105&amp;""))</f>
        <v>Jacques</v>
      </c>
      <c r="D105" s="0" t="str">
        <f aca="false">IF($A105="","",IF(AT105="Y",BM105&amp;"",AZ105&amp;""))</f>
        <v>Torres</v>
      </c>
      <c r="E105" s="0" t="str">
        <f aca="false">IF($A105="","",IF(AT105="Y",BN105&amp;"",BA105&amp;""))</f>
        <v>Proprietor</v>
      </c>
      <c r="F105" s="0" t="str">
        <f aca="false">IF($A105="","",IF(AT105="Y",BO105&amp;"",BB105&amp;""))</f>
        <v/>
      </c>
      <c r="G105" s="0" t="str">
        <f aca="false">IF($A105="","",IF(AT105="Y",BP105&amp;"",BC105&amp;""))</f>
        <v/>
      </c>
      <c r="H105" s="0" t="str">
        <f aca="false">IF($A105="","",IF(AT105="Y",BQ105&amp;"",BD105&amp;""))</f>
        <v>none</v>
      </c>
      <c r="I105" s="0" t="str">
        <f aca="false">IF($A105="","",IF(R105="Y","warm-intro",IF(H105="verified","email",IF(C105&lt;&gt;"","linkedin",CA105&amp;""))))</f>
        <v>linkedin</v>
      </c>
      <c r="J105" s="0" t="n">
        <f aca="false">IF($A105="","",IF(CK105="pass",ROUND(N(DO105)+N(DP105)+N(DQ105)+N(DR105)+N(DS105)+N(DT105)+N(DU105)+N(DV105),0),0))</f>
        <v>41</v>
      </c>
      <c r="K105" s="0" t="str">
        <f aca="false">IF($A105="","",IF(CK105&lt;&gt;"pass",BY105&amp;"",BY105&amp;", "&amp;IF(AT105="Y",BX105&amp;"",BK105&amp;"")&amp;BZ105&amp;IF(R105="Y","; known to the founder (+10)","")&amp;"."))</f>
        <v>New York City brand, no graded store within ten blocks, online store only, a new store listing 37 days ago, revenue unknown, contact named; founder review: not-emerging, format.</v>
      </c>
      <c r="M105" s="0" t="s">
        <v>6144</v>
      </c>
      <c r="N105" s="0" t="s">
        <v>740</v>
      </c>
      <c r="O105" s="0" t="s">
        <v>8152</v>
      </c>
      <c r="P105" s="0" t="s">
        <v>8153</v>
      </c>
      <c r="Q105" s="0" t="s">
        <v>4494</v>
      </c>
      <c r="R105" s="5" t="s">
        <v>189</v>
      </c>
      <c r="S105" s="0" t="s">
        <v>209</v>
      </c>
      <c r="T105" s="5" t="s">
        <v>189</v>
      </c>
      <c r="U105" s="5" t="s">
        <v>3896</v>
      </c>
      <c r="V105" s="0" t="s">
        <v>8154</v>
      </c>
      <c r="W105" s="0" t="s">
        <v>263</v>
      </c>
      <c r="X105" s="0" t="s">
        <v>5578</v>
      </c>
      <c r="Y105" s="0" t="str">
        <f aca="false">IF(FA105&lt;&gt;"Y","",COUNTIFS($FA$2:$FA$1000,"Y",$J$2:$J$1000,"&gt;"&amp;J105)+COUNTIFS($FA$2:$FA$1000,"Y",$J$2:$J$1000,J105,$FG$2:$FG$1000,"&lt;"&amp;FG105)+1)</f>
        <v/>
      </c>
      <c r="Z105" s="0" t="n">
        <v>104</v>
      </c>
      <c r="AA105" s="0" t="s">
        <v>189</v>
      </c>
      <c r="AB105" s="0" t="str">
        <f aca="false">IF($A105="","",IF(AT105="Y",BW105&amp;"",BJ105&amp;""))</f>
        <v>find Jacques Torres at Jacques Torres Chocolate on LinkedIn and paste the profile URL into primary_linkedin_url</v>
      </c>
      <c r="AC105" s="0" t="str">
        <f aca="false">IF($A105="","",IF(AT105="Y",BR105&amp;"",BE105&amp;""))</f>
        <v>founder</v>
      </c>
      <c r="AD105" s="0" t="str">
        <f aca="false">IF($A105="","",IF(AT105="Y",BS105&amp;"",BF105&amp;""))</f>
        <v>verified-page</v>
      </c>
      <c r="AE105" s="0" t="str">
        <f aca="false">IF($A105="","",IF(AT105="Y",BT105&amp;"",BG105&amp;""))</f>
        <v>press, event or podcast page</v>
      </c>
      <c r="AF105" s="0" t="str">
        <f aca="false">IF($A105="","",IF(AT105="Y",BU105&amp;"",BH105&amp;""))</f>
        <v>https://jacquestorres.com/about/</v>
      </c>
      <c r="AG105" s="0" t="str">
        <f aca="false">IF($A105="","",IF(AT105="Y",BV105&amp;"",BI105&amp;""))</f>
        <v>2026-10-23</v>
      </c>
      <c r="AH105" s="0" t="s">
        <v>8155</v>
      </c>
      <c r="AI105" s="0" t="s">
        <v>5664</v>
      </c>
      <c r="AJ105" s="0" t="s">
        <v>8156</v>
      </c>
      <c r="AK105" s="0" t="s">
        <v>8157</v>
      </c>
      <c r="AL105" s="0" t="s">
        <v>164</v>
      </c>
      <c r="AM105" s="0" t="s">
        <v>8158</v>
      </c>
      <c r="AN105" s="0" t="s">
        <v>8150</v>
      </c>
      <c r="AO105" s="5" t="s">
        <v>189</v>
      </c>
      <c r="AR105" s="0" t="str">
        <f aca="false">IF($A105="","",IF(AND(CK105="pass",AO105&lt;&gt;"Y",C105&lt;&gt;"",OR(AU105&lt;&gt;"Y",AV105="Y")),"Y","N"))</f>
        <v>N</v>
      </c>
      <c r="AS105" s="0" t="str">
        <f aca="false">IF($A105="","",_xlfn.TEXTJOIN("; ",TRUE(),IF(CK105&lt;&gt;"pass","gated out",""),IF(AO105="Y","on hold: "&amp;AP105,""),IF(C105="","no contact named on an opened page",""),IF(AND(AU105="Y",AV105&lt;&gt;"Y"),"founder review pending (Founder review tab)","")))</f>
        <v>founder review pending (Founder review tab)</v>
      </c>
      <c r="AU105" s="0" t="s">
        <v>164</v>
      </c>
      <c r="AY105" s="0" t="s">
        <v>8159</v>
      </c>
      <c r="AZ105" s="0" t="s">
        <v>8160</v>
      </c>
      <c r="BA105" s="0" t="s">
        <v>8161</v>
      </c>
      <c r="BC105" s="0" t="str">
        <f aca="false">IF($A105="","",IFERROR(INDEX(Enrichment!$A$2:$GZ$2000,MATCH($A105,INDEX(Enrichment!$A$2:$GZ$2000,0,MATCH("row_id",Enrichment!$A$1:$GZ$1,0)),0),MATCH("work_email",Enrichment!$A$1:$GZ$1,0))&amp;"",""))</f>
        <v/>
      </c>
      <c r="BD105" s="0" t="str">
        <f aca="false">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none</v>
      </c>
      <c r="BE105" s="0" t="s">
        <v>5589</v>
      </c>
      <c r="BF105" s="0" t="s">
        <v>169</v>
      </c>
      <c r="BG105" s="0" t="s">
        <v>1252</v>
      </c>
      <c r="BH105" s="0" t="s">
        <v>8162</v>
      </c>
      <c r="BI105" s="0" t="s">
        <v>263</v>
      </c>
      <c r="BJ105" s="0" t="s">
        <v>8163</v>
      </c>
      <c r="BK105" s="0" t="s">
        <v>5643</v>
      </c>
      <c r="BP105" s="0" t="str">
        <f aca="false">IF($A105="","",IFERROR(INDEX(Enrichment!$A$2:$GZ$2000,MATCH($A105,INDEX(Enrichment!$A$2:$GZ$2000,0,MATCH("row_id",Enrichment!$A$1:$GZ$1,0)),0),MATCH("backup_work_email",Enrichment!$A$1:$GZ$1,0))&amp;"",""))</f>
        <v/>
      </c>
      <c r="BQ105" s="0" t="str">
        <f aca="false">IF($A105="","",IF(BP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none</v>
      </c>
      <c r="BS105" s="0" t="s">
        <v>380</v>
      </c>
      <c r="BW105" s="0" t="s">
        <v>387</v>
      </c>
      <c r="BX105" s="0" t="s">
        <v>388</v>
      </c>
      <c r="BY105" s="0" t="s">
        <v>6680</v>
      </c>
      <c r="BZ105" s="0" t="s">
        <v>8164</v>
      </c>
      <c r="CB105" s="0" t="s">
        <v>8165</v>
      </c>
      <c r="CJ105" s="0" t="s">
        <v>7088</v>
      </c>
      <c r="CK105" s="0" t="s">
        <v>200</v>
      </c>
      <c r="CM105" s="0" t="s">
        <v>201</v>
      </c>
      <c r="CN105" s="0" t="s">
        <v>8166</v>
      </c>
      <c r="CO105" s="0" t="s">
        <v>8157</v>
      </c>
      <c r="CP105" s="0" t="s">
        <v>5608</v>
      </c>
      <c r="CQ105" s="0" t="s">
        <v>5609</v>
      </c>
      <c r="CR105" s="0" t="s">
        <v>209</v>
      </c>
      <c r="CT105" s="0" t="s">
        <v>352</v>
      </c>
      <c r="CU105" s="0" t="s">
        <v>8167</v>
      </c>
      <c r="CV105" s="0" t="s">
        <v>209</v>
      </c>
      <c r="CW105" s="0" t="s">
        <v>164</v>
      </c>
      <c r="CX105" s="0" t="s">
        <v>209</v>
      </c>
      <c r="CZ105" s="0" t="s">
        <v>209</v>
      </c>
      <c r="DA105" s="0" t="s">
        <v>189</v>
      </c>
      <c r="DB105" s="0" t="s">
        <v>189</v>
      </c>
      <c r="DE105" s="0" t="s">
        <v>189</v>
      </c>
      <c r="DF105" s="0" t="n">
        <v>0</v>
      </c>
      <c r="DI105" s="0" t="s">
        <v>8168</v>
      </c>
      <c r="DJ105" s="0" t="s">
        <v>8169</v>
      </c>
      <c r="DK105" s="0" t="s">
        <v>5689</v>
      </c>
      <c r="DL105" s="0" t="n">
        <v>37</v>
      </c>
      <c r="DN105" s="0" t="n">
        <v>41</v>
      </c>
      <c r="DO105" s="0" t="n">
        <v>6</v>
      </c>
      <c r="DP105" s="0" t="n">
        <v>20</v>
      </c>
      <c r="DQ105" s="0" t="n">
        <v>8</v>
      </c>
      <c r="DR105" s="0" t="n">
        <v>5</v>
      </c>
      <c r="DS105" s="0" t="n">
        <v>6</v>
      </c>
      <c r="DT105" s="0" t="n">
        <v>6</v>
      </c>
      <c r="DU105" s="0" t="n">
        <f aca="false">IF($A105="","",IF(R105="Y",10,0))</f>
        <v>0</v>
      </c>
      <c r="DV105" s="0" t="n">
        <v>-10</v>
      </c>
      <c r="DW105" s="0" t="s">
        <v>8170</v>
      </c>
      <c r="DX105" s="0" t="s">
        <v>5691</v>
      </c>
      <c r="DY105" s="0" t="s">
        <v>8171</v>
      </c>
      <c r="DZ105" s="0" t="s">
        <v>8172</v>
      </c>
      <c r="EA105" s="0" t="s">
        <v>8173</v>
      </c>
      <c r="EV105" s="0" t="str">
        <f aca="false">IF($A105="","",IF(ISNUMBER(MATCH(U105,{"queued","contacted","replied","call_booked","call_done","yes_in_principle","materials_sent"},0)),"Y","N"))</f>
        <v>N</v>
      </c>
      <c r="EW105" s="0" t="str">
        <f aca="false">IF($A105="","",IF(OR(T105="Y",U105="do_not_contact",AQ105&amp;""&lt;&gt;""),"Y","N"))</f>
        <v>N</v>
      </c>
      <c r="EX105" s="0" t="str">
        <f aca="false">IF($A105="","",IF(AN105&amp;""&lt;&gt;"",AN105&amp;"",$A105))</f>
        <v>AB-098</v>
      </c>
      <c r="EY105" s="0" t="str">
        <f aca="false">IF($A105="","",IF(COUNTIFS($EX$2:$EX$1000,EX105,$EV$2:$EV$1000,"Y")+COUNTIFS($EX$2:$EX$1000,EX105,$EW$2:$EW$1000,"Y")&gt;0,"Y","N"))</f>
        <v>N</v>
      </c>
      <c r="EZ105" s="0" t="str">
        <f aca="false">IF($A105="","",IF(AND(U105="new",T105="N",EW105="N",AR105="Y",EY105="N"),"Y","N"))</f>
        <v>N</v>
      </c>
      <c r="FA105" s="0" t="str">
        <f aca="false">IF($A105="","",IF(EZ105&lt;&gt;"Y","N",IF(COUNTIFS($EX$2:$EX$1000,EX105,$EZ$2:$EZ$1000,"Y",$J$2:$J$1000,"&gt;"&amp;J105)+COUNTIFS($EX$2:$EX$1000,EX105,$EZ$2:$EZ$1000,"Y",$J$2:$J$1000,J105,$FG$2:$FG$1000,"&lt;"&amp;FG105)=0,"Y","N")))</f>
        <v>N</v>
      </c>
      <c r="FB105" s="0" t="str">
        <f aca="false">IF($A105="","",IF(AND(EZ105="Y",FA105="Y",Y105&amp;""&lt;&gt;""),IF(Y105&lt;=10,"Y","N"),"N"))</f>
        <v>N</v>
      </c>
      <c r="FC105" s="0" t="str">
        <f aca="false">IF(FB105="Y",Y105,"")</f>
        <v/>
      </c>
      <c r="FD105" s="0" t="str">
        <f aca="false">IF($A105="","",IF(AND(CK105="pass",AU105="Y",AV105&lt;&gt;"Y",U105="new",EW105="N"),"Y","N"))</f>
        <v>Y</v>
      </c>
      <c r="FE105" s="0" t="str">
        <f aca="false">IF(FD105&lt;&gt;"Y","",IF(COUNTIFS($FD$2:$FD$1000,"Y",$J$2:$J$1000,"&gt;"&amp;J105)+COUNTIFS($FD$2:$FD$1000,"Y",$J$2:$J$1000,J105,$FG$2:$FG$1000,"&lt;"&amp;FG105)+1&lt;=30,COUNTIFS($FD$2:$FD$1000,"Y",$J$2:$J$1000,"&gt;"&amp;J105)+COUNTIFS($FD$2:$FD$1000,"Y",$J$2:$J$1000,J105,$FG$2:$FG$1000,"&lt;"&amp;FG105)+1,""))</f>
        <v/>
      </c>
      <c r="FF105" s="0" t="str">
        <f aca="false">IF(AND(_xlfn.ISFORMULA(C105),_xlfn.ISFORMULA(J105)),"Y","N")</f>
        <v>Y</v>
      </c>
      <c r="FG105" s="0" t="n">
        <f aca="false">ROW()-1</f>
        <v>104</v>
      </c>
    </row>
    <row r="106" customFormat="false" ht="15" hidden="false" customHeight="false" outlineLevel="0" collapsed="false">
      <c r="A106" s="0" t="s">
        <v>8174</v>
      </c>
      <c r="B106" s="0" t="s">
        <v>8175</v>
      </c>
      <c r="C106" s="0" t="str">
        <f aca="false">IF($A106="","",IF(AT106="Y",BL106&amp;"",AY106&amp;""))</f>
        <v>Ishan</v>
      </c>
      <c r="D106" s="0" t="str">
        <f aca="false">IF($A106="","",IF(AT106="Y",BM106&amp;"",AZ106&amp;""))</f>
        <v>Tigunait</v>
      </c>
      <c r="E106" s="0" t="str">
        <f aca="false">IF($A106="","",IF(AT106="Y",BN106&amp;"",BA106&amp;""))</f>
        <v>Co-founder</v>
      </c>
      <c r="F106" s="0" t="str">
        <f aca="false">IF($A106="","",IF(AT106="Y",BO106&amp;"",BB106&amp;""))</f>
        <v/>
      </c>
      <c r="G106" s="0" t="str">
        <f aca="false">IF($A106="","",IF(AT106="Y",BP106&amp;"",BC106&amp;""))</f>
        <v/>
      </c>
      <c r="H106" s="0" t="str">
        <f aca="false">IF($A106="","",IF(AT106="Y",BQ106&amp;"",BD106&amp;""))</f>
        <v>none</v>
      </c>
      <c r="I106" s="0" t="str">
        <f aca="false">IF($A106="","",IF(R106="Y","warm-intro",IF(H106="verified","email",IF(C106&lt;&gt;"","linkedin",CA106&amp;""))))</f>
        <v>linkedin</v>
      </c>
      <c r="J106" s="0" t="n">
        <f aca="false">IF($A106="","",IF(CK106="pass",ROUND(N(DO106)+N(DP106)+N(DQ106)+N(DR106)+N(DS106)+N(DT106)+N(DU106)+N(DV106),0),0))</f>
        <v>41</v>
      </c>
      <c r="K106" s="0" t="str">
        <f aca="false">IF($A106="","",IF(CK106&lt;&gt;"pass",BY106&amp;"",BY106&amp;", "&amp;IF(AT106="Y",BX106&amp;"",BK106&amp;"")&amp;BZ106&amp;IF(R106="Y","; known to the founder (+10)","")&amp;"."))</f>
        <v>Northeast brand, no graded store within ten blocks, online store only, a new store listing 12 days ago, revenue unknown, contact named; founder review: other.</v>
      </c>
      <c r="M106" s="0" t="s">
        <v>6144</v>
      </c>
      <c r="N106" s="0" t="s">
        <v>740</v>
      </c>
      <c r="O106" s="0" t="s">
        <v>8176</v>
      </c>
      <c r="P106" s="0" t="s">
        <v>8177</v>
      </c>
      <c r="Q106" s="0" t="s">
        <v>5786</v>
      </c>
      <c r="R106" s="5" t="s">
        <v>189</v>
      </c>
      <c r="S106" s="0" t="s">
        <v>209</v>
      </c>
      <c r="T106" s="5" t="s">
        <v>189</v>
      </c>
      <c r="U106" s="5" t="s">
        <v>3896</v>
      </c>
      <c r="V106" s="0" t="s">
        <v>8178</v>
      </c>
      <c r="W106" s="0" t="s">
        <v>172</v>
      </c>
      <c r="X106" s="0" t="s">
        <v>5578</v>
      </c>
      <c r="Y106" s="0" t="n">
        <f aca="false">IF(FA106&lt;&gt;"Y","",COUNTIFS($FA$2:$FA$1000,"Y",$J$2:$J$1000,"&gt;"&amp;J106)+COUNTIFS($FA$2:$FA$1000,"Y",$J$2:$J$1000,J106,$FG$2:$FG$1000,"&lt;"&amp;FG106)+1)</f>
        <v>49</v>
      </c>
      <c r="Z106" s="0" t="n">
        <v>105</v>
      </c>
      <c r="AA106" s="0" t="s">
        <v>189</v>
      </c>
      <c r="AB106" s="0" t="str">
        <f aca="false">IF($A106="","",IF(AT106="Y",BW106&amp;"",BJ106&amp;""))</f>
        <v>find Ishan Tigunait at Moka Origins on LinkedIn and paste the profile URL into primary_linkedin_url</v>
      </c>
      <c r="AC106" s="0" t="str">
        <f aca="false">IF($A106="","",IF(AT106="Y",BR106&amp;"",BE106&amp;""))</f>
        <v>founder</v>
      </c>
      <c r="AD106" s="0" t="str">
        <f aca="false">IF($A106="","",IF(AT106="Y",BS106&amp;"",BF106&amp;""))</f>
        <v>verified-page</v>
      </c>
      <c r="AE106" s="0" t="str">
        <f aca="false">IF($A106="","",IF(AT106="Y",BT106&amp;"",BG106&amp;""))</f>
        <v>employer's own site</v>
      </c>
      <c r="AF106" s="0" t="str">
        <f aca="false">IF($A106="","",IF(AT106="Y",BU106&amp;"",BH106&amp;""))</f>
        <v>https://mokaorigins.com/pages/our-story</v>
      </c>
      <c r="AG106" s="0" t="str">
        <f aca="false">IF($A106="","",IF(AT106="Y",BV106&amp;"",BI106&amp;""))</f>
        <v>2026-10-24</v>
      </c>
      <c r="AH106" s="0" t="s">
        <v>8179</v>
      </c>
      <c r="AI106" s="0" t="s">
        <v>5664</v>
      </c>
      <c r="AJ106" s="0" t="s">
        <v>8180</v>
      </c>
      <c r="AK106" s="0" t="s">
        <v>8181</v>
      </c>
      <c r="AL106" s="0" t="s">
        <v>164</v>
      </c>
      <c r="AM106" s="0" t="s">
        <v>8182</v>
      </c>
      <c r="AN106" s="0" t="s">
        <v>8174</v>
      </c>
      <c r="AO106" s="5" t="s">
        <v>189</v>
      </c>
      <c r="AR106" s="0" t="str">
        <f aca="false">IF($A106="","",IF(AND(CK106="pass",AO106&lt;&gt;"Y",C106&lt;&gt;"",OR(AU106&lt;&gt;"Y",AV106="Y")),"Y","N"))</f>
        <v>Y</v>
      </c>
      <c r="AS106" s="0" t="str">
        <f aca="false">IF($A106="","",_xlfn.TEXTJOIN("; ",TRUE(),IF(CK106&lt;&gt;"pass","gated out",""),IF(AO106="Y","on hold: "&amp;AP106,""),IF(C106="","no contact named on an opened page",""),IF(AND(AU106="Y",AV106&lt;&gt;"Y"),"founder review pending (Founder review tab)","")))</f>
        <v/>
      </c>
      <c r="AU106" s="0" t="s">
        <v>189</v>
      </c>
      <c r="AY106" s="0" t="s">
        <v>8183</v>
      </c>
      <c r="AZ106" s="0" t="s">
        <v>8184</v>
      </c>
      <c r="BA106" s="0" t="s">
        <v>5636</v>
      </c>
      <c r="BC106" s="0" t="str">
        <f aca="false">IF($A106="","",IFERROR(INDEX(Enrichment!$A$2:$GZ$2000,MATCH($A106,INDEX(Enrichment!$A$2:$GZ$2000,0,MATCH("row_id",Enrichment!$A$1:$GZ$1,0)),0),MATCH("work_email",Enrichment!$A$1:$GZ$1,0))&amp;"",""))</f>
        <v/>
      </c>
      <c r="BD106" s="0" t="str">
        <f aca="false">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none</v>
      </c>
      <c r="BE106" s="0" t="s">
        <v>5589</v>
      </c>
      <c r="BF106" s="0" t="s">
        <v>169</v>
      </c>
      <c r="BG106" s="0" t="s">
        <v>170</v>
      </c>
      <c r="BH106" s="0" t="s">
        <v>8185</v>
      </c>
      <c r="BI106" s="0" t="s">
        <v>172</v>
      </c>
      <c r="BJ106" s="0" t="s">
        <v>8186</v>
      </c>
      <c r="BK106" s="0" t="s">
        <v>5643</v>
      </c>
      <c r="BL106" s="0" t="s">
        <v>8187</v>
      </c>
      <c r="BM106" s="0" t="s">
        <v>8188</v>
      </c>
      <c r="BN106" s="0" t="s">
        <v>5636</v>
      </c>
      <c r="BP106" s="0" t="str">
        <f aca="false">IF($A106="","",IFERROR(INDEX(Enrichment!$A$2:$GZ$2000,MATCH($A106,INDEX(Enrichment!$A$2:$GZ$2000,0,MATCH("row_id",Enrichment!$A$1:$GZ$1,0)),0),MATCH("backup_work_email",Enrichment!$A$1:$GZ$1,0))&amp;"",""))</f>
        <v/>
      </c>
      <c r="BQ106" s="0" t="str">
        <f aca="false">IF($A106="","",IF(BP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none</v>
      </c>
      <c r="BR106" s="0" t="s">
        <v>7748</v>
      </c>
      <c r="BS106" s="0" t="s">
        <v>169</v>
      </c>
      <c r="BT106" s="0" t="s">
        <v>170</v>
      </c>
      <c r="BU106" s="0" t="s">
        <v>8185</v>
      </c>
      <c r="BV106" s="0" t="s">
        <v>172</v>
      </c>
      <c r="BW106" s="0" t="s">
        <v>8189</v>
      </c>
      <c r="BX106" s="0" t="s">
        <v>5643</v>
      </c>
      <c r="BY106" s="0" t="s">
        <v>8190</v>
      </c>
      <c r="BZ106" s="0" t="s">
        <v>5960</v>
      </c>
      <c r="CB106" s="0" t="s">
        <v>8191</v>
      </c>
      <c r="CF106" s="0" t="s">
        <v>8192</v>
      </c>
      <c r="CJ106" s="0" t="s">
        <v>7088</v>
      </c>
      <c r="CK106" s="0" t="s">
        <v>200</v>
      </c>
      <c r="CM106" s="0" t="s">
        <v>201</v>
      </c>
      <c r="CN106" s="0" t="s">
        <v>443</v>
      </c>
      <c r="CO106" s="0" t="s">
        <v>8181</v>
      </c>
      <c r="CP106" s="0" t="s">
        <v>7376</v>
      </c>
      <c r="CQ106" s="0" t="s">
        <v>6084</v>
      </c>
      <c r="CR106" s="0" t="s">
        <v>209</v>
      </c>
      <c r="CT106" s="0" t="s">
        <v>164</v>
      </c>
      <c r="CU106" s="0" t="s">
        <v>8193</v>
      </c>
      <c r="CV106" s="0" t="s">
        <v>164</v>
      </c>
      <c r="CW106" s="0" t="s">
        <v>164</v>
      </c>
      <c r="CX106" s="0" t="s">
        <v>209</v>
      </c>
      <c r="CZ106" s="0" t="s">
        <v>5993</v>
      </c>
      <c r="DA106" s="0" t="s">
        <v>189</v>
      </c>
      <c r="DB106" s="0" t="s">
        <v>189</v>
      </c>
      <c r="DE106" s="0" t="s">
        <v>189</v>
      </c>
      <c r="DF106" s="0" t="n">
        <v>0</v>
      </c>
      <c r="DI106" s="0" t="s">
        <v>209</v>
      </c>
      <c r="DK106" s="0" t="s">
        <v>5689</v>
      </c>
      <c r="DL106" s="0" t="n">
        <v>12</v>
      </c>
      <c r="DN106" s="0" t="n">
        <v>41</v>
      </c>
      <c r="DO106" s="0" t="n">
        <v>6</v>
      </c>
      <c r="DP106" s="0" t="n">
        <v>8</v>
      </c>
      <c r="DQ106" s="0" t="n">
        <v>8</v>
      </c>
      <c r="DR106" s="0" t="n">
        <v>5</v>
      </c>
      <c r="DS106" s="0" t="n">
        <v>10</v>
      </c>
      <c r="DT106" s="0" t="n">
        <v>6</v>
      </c>
      <c r="DU106" s="0" t="n">
        <f aca="false">IF($A106="","",IF(R106="Y",10,0))</f>
        <v>0</v>
      </c>
      <c r="DV106" s="0" t="n">
        <v>-2</v>
      </c>
      <c r="DW106" s="0" t="s">
        <v>8194</v>
      </c>
      <c r="DX106" s="0" t="s">
        <v>5998</v>
      </c>
      <c r="DY106" s="0" t="s">
        <v>8195</v>
      </c>
      <c r="DZ106" s="0" t="s">
        <v>8196</v>
      </c>
      <c r="EV106" s="0" t="str">
        <f aca="false">IF($A106="","",IF(ISNUMBER(MATCH(U106,{"queued","contacted","replied","call_booked","call_done","yes_in_principle","materials_sent"},0)),"Y","N"))</f>
        <v>N</v>
      </c>
      <c r="EW106" s="0" t="str">
        <f aca="false">IF($A106="","",IF(OR(T106="Y",U106="do_not_contact",AQ106&amp;""&lt;&gt;""),"Y","N"))</f>
        <v>N</v>
      </c>
      <c r="EX106" s="0" t="str">
        <f aca="false">IF($A106="","",IF(AN106&amp;""&lt;&gt;"",AN106&amp;"",$A106))</f>
        <v>AB-292</v>
      </c>
      <c r="EY106" s="0" t="str">
        <f aca="false">IF($A106="","",IF(COUNTIFS($EX$2:$EX$1000,EX106,$EV$2:$EV$1000,"Y")+COUNTIFS($EX$2:$EX$1000,EX106,$EW$2:$EW$1000,"Y")&gt;0,"Y","N"))</f>
        <v>N</v>
      </c>
      <c r="EZ106" s="0" t="str">
        <f aca="false">IF($A106="","",IF(AND(U106="new",T106="N",EW106="N",AR106="Y",EY106="N"),"Y","N"))</f>
        <v>Y</v>
      </c>
      <c r="FA106" s="0" t="str">
        <f aca="false">IF($A106="","",IF(EZ106&lt;&gt;"Y","N",IF(COUNTIFS($EX$2:$EX$1000,EX106,$EZ$2:$EZ$1000,"Y",$J$2:$J$1000,"&gt;"&amp;J106)+COUNTIFS($EX$2:$EX$1000,EX106,$EZ$2:$EZ$1000,"Y",$J$2:$J$1000,J106,$FG$2:$FG$1000,"&lt;"&amp;FG106)=0,"Y","N")))</f>
        <v>Y</v>
      </c>
      <c r="FB106" s="0" t="str">
        <f aca="false">IF($A106="","",IF(AND(EZ106="Y",FA106="Y",Y106&amp;""&lt;&gt;""),IF(Y106&lt;=10,"Y","N"),"N"))</f>
        <v>N</v>
      </c>
      <c r="FC106" s="0" t="str">
        <f aca="false">IF(FB106="Y",Y106,"")</f>
        <v/>
      </c>
      <c r="FD106" s="0" t="str">
        <f aca="false">IF($A106="","",IF(AND(CK106="pass",AU106="Y",AV106&lt;&gt;"Y",U106="new",EW106="N"),"Y","N"))</f>
        <v>N</v>
      </c>
      <c r="FE106" s="0" t="str">
        <f aca="false">IF(FD106&lt;&gt;"Y","",IF(COUNTIFS($FD$2:$FD$1000,"Y",$J$2:$J$1000,"&gt;"&amp;J106)+COUNTIFS($FD$2:$FD$1000,"Y",$J$2:$J$1000,J106,$FG$2:$FG$1000,"&lt;"&amp;FG106)+1&lt;=30,COUNTIFS($FD$2:$FD$1000,"Y",$J$2:$J$1000,"&gt;"&amp;J106)+COUNTIFS($FD$2:$FD$1000,"Y",$J$2:$J$1000,J106,$FG$2:$FG$1000,"&lt;"&amp;FG106)+1,""))</f>
        <v/>
      </c>
      <c r="FF106" s="0" t="str">
        <f aca="false">IF(AND(_xlfn.ISFORMULA(C106),_xlfn.ISFORMULA(J106)),"Y","N")</f>
        <v>Y</v>
      </c>
      <c r="FG106" s="0" t="n">
        <f aca="false">ROW()-1</f>
        <v>105</v>
      </c>
    </row>
    <row r="107" customFormat="false" ht="15" hidden="false" customHeight="false" outlineLevel="0" collapsed="false">
      <c r="A107" s="0" t="s">
        <v>8197</v>
      </c>
      <c r="B107" s="0" t="s">
        <v>8198</v>
      </c>
      <c r="C107" s="0" t="str">
        <f aca="false">IF($A107="","",IF(AT107="Y",BL107&amp;"",AY107&amp;""))</f>
        <v>Nicole</v>
      </c>
      <c r="D107" s="0" t="str">
        <f aca="false">IF($A107="","",IF(AT107="Y",BM107&amp;"",AZ107&amp;""))</f>
        <v>Bernard Dawes</v>
      </c>
      <c r="E107" s="0" t="str">
        <f aca="false">IF($A107="","",IF(AT107="Y",BN107&amp;"",BA107&amp;""))</f>
        <v>Founder</v>
      </c>
      <c r="F107" s="0" t="str">
        <f aca="false">IF($A107="","",IF(AT107="Y",BO107&amp;"",BB107&amp;""))</f>
        <v/>
      </c>
      <c r="G107" s="0" t="str">
        <f aca="false">IF($A107="","",IF(AT107="Y",BP107&amp;"",BC107&amp;""))</f>
        <v/>
      </c>
      <c r="H107" s="0" t="str">
        <f aca="false">IF($A107="","",IF(AT107="Y",BQ107&amp;"",BD107&amp;""))</f>
        <v>none</v>
      </c>
      <c r="I107" s="0" t="str">
        <f aca="false">IF($A107="","",IF(R107="Y","warm-intro",IF(H107="verified","email",IF(C107&lt;&gt;"","linkedin",CA107&amp;""))))</f>
        <v>linkedin</v>
      </c>
      <c r="J107" s="0" t="n">
        <f aca="false">IF($A107="","",IF(CK107="pass",ROUND(N(DO107)+N(DP107)+N(DQ107)+N(DR107)+N(DS107)+N(DT107)+N(DU107)+N(DV107),0),0))</f>
        <v>41</v>
      </c>
      <c r="K107" s="0" t="str">
        <f aca="false">IF($A107="","",IF(CK107&lt;&gt;"pass",BY107&amp;"",BY107&amp;", "&amp;IF(AT107="Y",BX107&amp;"",BK107&amp;"")&amp;BZ107&amp;IF(R107="Y","; known to the founder (+10)","")&amp;"."))</f>
        <v>Northeast brand, no graded store within ten blocks, online store only, a new store listing 241 days ago, revenue unknown, contact named; founder review: other.</v>
      </c>
      <c r="M107" s="0" t="s">
        <v>6144</v>
      </c>
      <c r="N107" s="0" t="s">
        <v>740</v>
      </c>
      <c r="O107" s="0" t="s">
        <v>8199</v>
      </c>
      <c r="P107" s="0" t="s">
        <v>8200</v>
      </c>
      <c r="Q107" s="0" t="s">
        <v>8201</v>
      </c>
      <c r="R107" s="5" t="s">
        <v>189</v>
      </c>
      <c r="S107" s="0" t="s">
        <v>209</v>
      </c>
      <c r="T107" s="5" t="s">
        <v>189</v>
      </c>
      <c r="U107" s="5" t="s">
        <v>3896</v>
      </c>
      <c r="V107" s="0" t="s">
        <v>8202</v>
      </c>
      <c r="W107" s="0" t="s">
        <v>263</v>
      </c>
      <c r="X107" s="0" t="s">
        <v>5578</v>
      </c>
      <c r="Y107" s="0" t="n">
        <f aca="false">IF(FA107&lt;&gt;"Y","",COUNTIFS($FA$2:$FA$1000,"Y",$J$2:$J$1000,"&gt;"&amp;J107)+COUNTIFS($FA$2:$FA$1000,"Y",$J$2:$J$1000,J107,$FG$2:$FG$1000,"&lt;"&amp;FG107)+1)</f>
        <v>50</v>
      </c>
      <c r="Z107" s="0" t="n">
        <v>106</v>
      </c>
      <c r="AA107" s="0" t="s">
        <v>189</v>
      </c>
      <c r="AB107" s="0" t="str">
        <f aca="false">IF($A107="","",IF(AT107="Y",BW107&amp;"",BJ107&amp;""))</f>
        <v>find Nicole Bernard Dawes at Nixie Sparkling Water on LinkedIn and paste the profile URL into primary_linkedin_url</v>
      </c>
      <c r="AC107" s="0" t="str">
        <f aca="false">IF($A107="","",IF(AT107="Y",BR107&amp;"",BE107&amp;""))</f>
        <v>founder</v>
      </c>
      <c r="AD107" s="0" t="str">
        <f aca="false">IF($A107="","",IF(AT107="Y",BS107&amp;"",BF107&amp;""))</f>
        <v>verified-page</v>
      </c>
      <c r="AE107" s="0" t="str">
        <f aca="false">IF($A107="","",IF(AT107="Y",BT107&amp;"",BG107&amp;""))</f>
        <v>press, event or podcast page</v>
      </c>
      <c r="AF107" s="0" t="str">
        <f aca="false">IF($A107="","",IF(AT107="Y",BU107&amp;"",BH107&amp;""))</f>
        <v>https://entreprenista.com/nicole-bernard-dawes-of-nixie-sparkling-water-on-proving-that-certified-organic-products-can-be-category-leaders</v>
      </c>
      <c r="AG107" s="0" t="str">
        <f aca="false">IF($A107="","",IF(AT107="Y",BV107&amp;"",BI107&amp;""))</f>
        <v>2026-10-23</v>
      </c>
      <c r="AH107" s="0" t="s">
        <v>8203</v>
      </c>
      <c r="AI107" s="0" t="s">
        <v>5580</v>
      </c>
      <c r="AJ107" s="0" t="s">
        <v>8204</v>
      </c>
      <c r="AK107" s="0" t="s">
        <v>8205</v>
      </c>
      <c r="AL107" s="0" t="s">
        <v>164</v>
      </c>
      <c r="AM107" s="0" t="s">
        <v>8206</v>
      </c>
      <c r="AN107" s="0" t="s">
        <v>8197</v>
      </c>
      <c r="AO107" s="5" t="s">
        <v>189</v>
      </c>
      <c r="AR107" s="0" t="str">
        <f aca="false">IF($A107="","",IF(AND(CK107="pass",AO107&lt;&gt;"Y",C107&lt;&gt;"",OR(AU107&lt;&gt;"Y",AV107="Y")),"Y","N"))</f>
        <v>Y</v>
      </c>
      <c r="AS107" s="0" t="str">
        <f aca="false">IF($A107="","",_xlfn.TEXTJOIN("; ",TRUE(),IF(CK107&lt;&gt;"pass","gated out",""),IF(AO107="Y","on hold: "&amp;AP107,""),IF(C107="","no contact named on an opened page",""),IF(AND(AU107="Y",AV107&lt;&gt;"Y"),"founder review pending (Founder review tab)","")))</f>
        <v/>
      </c>
      <c r="AU107" s="0" t="s">
        <v>189</v>
      </c>
      <c r="AY107" s="0" t="s">
        <v>7960</v>
      </c>
      <c r="AZ107" s="0" t="s">
        <v>8207</v>
      </c>
      <c r="BA107" s="0" t="s">
        <v>5739</v>
      </c>
      <c r="BC107" s="0" t="str">
        <f aca="false">IF($A107="","",IFERROR(INDEX(Enrichment!$A$2:$GZ$2000,MATCH($A107,INDEX(Enrichment!$A$2:$GZ$2000,0,MATCH("row_id",Enrichment!$A$1:$GZ$1,0)),0),MATCH("work_email",Enrichment!$A$1:$GZ$1,0))&amp;"",""))</f>
        <v/>
      </c>
      <c r="BD107" s="0" t="str">
        <f aca="false">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none</v>
      </c>
      <c r="BE107" s="0" t="s">
        <v>5589</v>
      </c>
      <c r="BF107" s="0" t="s">
        <v>169</v>
      </c>
      <c r="BG107" s="0" t="s">
        <v>1252</v>
      </c>
      <c r="BH107" s="0" t="s">
        <v>8208</v>
      </c>
      <c r="BI107" s="0" t="s">
        <v>263</v>
      </c>
      <c r="BJ107" s="0" t="s">
        <v>8209</v>
      </c>
      <c r="BK107" s="0" t="s">
        <v>5643</v>
      </c>
      <c r="BL107" s="0" t="s">
        <v>7252</v>
      </c>
      <c r="BM107" s="0" t="s">
        <v>8210</v>
      </c>
      <c r="BN107" s="0" t="s">
        <v>8211</v>
      </c>
      <c r="BP107" s="0" t="str">
        <f aca="false">IF($A107="","",IFERROR(INDEX(Enrichment!$A$2:$GZ$2000,MATCH($A107,INDEX(Enrichment!$A$2:$GZ$2000,0,MATCH("row_id",Enrichment!$A$1:$GZ$1,0)),0),MATCH("backup_work_email",Enrichment!$A$1:$GZ$1,0))&amp;"",""))</f>
        <v/>
      </c>
      <c r="BQ107" s="0" t="str">
        <f aca="false">IF($A107="","",IF(BP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none</v>
      </c>
      <c r="BR107" s="0" t="s">
        <v>7494</v>
      </c>
      <c r="BS107" s="0" t="s">
        <v>169</v>
      </c>
      <c r="BT107" s="0" t="s">
        <v>1252</v>
      </c>
      <c r="BU107" s="0" t="s">
        <v>8212</v>
      </c>
      <c r="BV107" s="0" t="s">
        <v>263</v>
      </c>
      <c r="BW107" s="0" t="s">
        <v>8213</v>
      </c>
      <c r="BX107" s="0" t="s">
        <v>5643</v>
      </c>
      <c r="BY107" s="0" t="s">
        <v>8214</v>
      </c>
      <c r="BZ107" s="0" t="s">
        <v>5960</v>
      </c>
      <c r="CB107" s="0" t="s">
        <v>8215</v>
      </c>
      <c r="CF107" s="0" t="s">
        <v>8216</v>
      </c>
      <c r="CJ107" s="0" t="s">
        <v>7088</v>
      </c>
      <c r="CK107" s="0" t="s">
        <v>200</v>
      </c>
      <c r="CM107" s="0" t="s">
        <v>201</v>
      </c>
      <c r="CN107" s="0" t="s">
        <v>443</v>
      </c>
      <c r="CO107" s="0" t="s">
        <v>8205</v>
      </c>
      <c r="CP107" s="0" t="s">
        <v>6083</v>
      </c>
      <c r="CQ107" s="0" t="s">
        <v>6084</v>
      </c>
      <c r="CR107" s="0" t="s">
        <v>209</v>
      </c>
      <c r="CT107" s="0" t="s">
        <v>164</v>
      </c>
      <c r="CU107" s="0" t="s">
        <v>8217</v>
      </c>
      <c r="CV107" s="0" t="s">
        <v>164</v>
      </c>
      <c r="CW107" s="0" t="s">
        <v>164</v>
      </c>
      <c r="CX107" s="0" t="s">
        <v>209</v>
      </c>
      <c r="CZ107" s="0" t="s">
        <v>6456</v>
      </c>
      <c r="DA107" s="0" t="s">
        <v>189</v>
      </c>
      <c r="DB107" s="0" t="s">
        <v>189</v>
      </c>
      <c r="DE107" s="0" t="s">
        <v>189</v>
      </c>
      <c r="DF107" s="0" t="n">
        <v>0</v>
      </c>
      <c r="DI107" s="0" t="s">
        <v>7412</v>
      </c>
      <c r="DK107" s="0" t="s">
        <v>5689</v>
      </c>
      <c r="DL107" s="0" t="n">
        <v>241</v>
      </c>
      <c r="DN107" s="0" t="n">
        <v>41</v>
      </c>
      <c r="DO107" s="0" t="n">
        <v>6</v>
      </c>
      <c r="DP107" s="0" t="n">
        <v>8</v>
      </c>
      <c r="DQ107" s="0" t="n">
        <v>4</v>
      </c>
      <c r="DR107" s="0" t="n">
        <v>5</v>
      </c>
      <c r="DS107" s="0" t="n">
        <v>10</v>
      </c>
      <c r="DT107" s="0" t="n">
        <v>10</v>
      </c>
      <c r="DU107" s="0" t="n">
        <f aca="false">IF($A107="","",IF(R107="Y",10,0))</f>
        <v>0</v>
      </c>
      <c r="DV107" s="0" t="n">
        <v>-2</v>
      </c>
      <c r="DW107" s="0" t="s">
        <v>8218</v>
      </c>
      <c r="DX107" s="0" t="s">
        <v>6462</v>
      </c>
      <c r="DY107" s="0" t="s">
        <v>8219</v>
      </c>
      <c r="DZ107" s="0" t="s">
        <v>8220</v>
      </c>
      <c r="EA107" s="0" t="s">
        <v>8221</v>
      </c>
      <c r="EV107" s="0" t="str">
        <f aca="false">IF($A107="","",IF(ISNUMBER(MATCH(U107,{"queued","contacted","replied","call_booked","call_done","yes_in_principle","materials_sent"},0)),"Y","N"))</f>
        <v>N</v>
      </c>
      <c r="EW107" s="0" t="str">
        <f aca="false">IF($A107="","",IF(OR(T107="Y",U107="do_not_contact",AQ107&amp;""&lt;&gt;""),"Y","N"))</f>
        <v>N</v>
      </c>
      <c r="EX107" s="0" t="str">
        <f aca="false">IF($A107="","",IF(AN107&amp;""&lt;&gt;"",AN107&amp;"",$A107))</f>
        <v>AB-160</v>
      </c>
      <c r="EY107" s="0" t="str">
        <f aca="false">IF($A107="","",IF(COUNTIFS($EX$2:$EX$1000,EX107,$EV$2:$EV$1000,"Y")+COUNTIFS($EX$2:$EX$1000,EX107,$EW$2:$EW$1000,"Y")&gt;0,"Y","N"))</f>
        <v>N</v>
      </c>
      <c r="EZ107" s="0" t="str">
        <f aca="false">IF($A107="","",IF(AND(U107="new",T107="N",EW107="N",AR107="Y",EY107="N"),"Y","N"))</f>
        <v>Y</v>
      </c>
      <c r="FA107" s="0" t="str">
        <f aca="false">IF($A107="","",IF(EZ107&lt;&gt;"Y","N",IF(COUNTIFS($EX$2:$EX$1000,EX107,$EZ$2:$EZ$1000,"Y",$J$2:$J$1000,"&gt;"&amp;J107)+COUNTIFS($EX$2:$EX$1000,EX107,$EZ$2:$EZ$1000,"Y",$J$2:$J$1000,J107,$FG$2:$FG$1000,"&lt;"&amp;FG107)=0,"Y","N")))</f>
        <v>Y</v>
      </c>
      <c r="FB107" s="0" t="str">
        <f aca="false">IF($A107="","",IF(AND(EZ107="Y",FA107="Y",Y107&amp;""&lt;&gt;""),IF(Y107&lt;=10,"Y","N"),"N"))</f>
        <v>N</v>
      </c>
      <c r="FC107" s="0" t="str">
        <f aca="false">IF(FB107="Y",Y107,"")</f>
        <v/>
      </c>
      <c r="FD107" s="0" t="str">
        <f aca="false">IF($A107="","",IF(AND(CK107="pass",AU107="Y",AV107&lt;&gt;"Y",U107="new",EW107="N"),"Y","N"))</f>
        <v>N</v>
      </c>
      <c r="FE107" s="0" t="str">
        <f aca="false">IF(FD107&lt;&gt;"Y","",IF(COUNTIFS($FD$2:$FD$1000,"Y",$J$2:$J$1000,"&gt;"&amp;J107)+COUNTIFS($FD$2:$FD$1000,"Y",$J$2:$J$1000,J107,$FG$2:$FG$1000,"&lt;"&amp;FG107)+1&lt;=30,COUNTIFS($FD$2:$FD$1000,"Y",$J$2:$J$1000,"&gt;"&amp;J107)+COUNTIFS($FD$2:$FD$1000,"Y",$J$2:$J$1000,J107,$FG$2:$FG$1000,"&lt;"&amp;FG107)+1,""))</f>
        <v/>
      </c>
      <c r="FF107" s="0" t="str">
        <f aca="false">IF(AND(_xlfn.ISFORMULA(C107),_xlfn.ISFORMULA(J107)),"Y","N")</f>
        <v>Y</v>
      </c>
      <c r="FG107" s="0" t="n">
        <f aca="false">ROW()-1</f>
        <v>106</v>
      </c>
    </row>
    <row r="108" customFormat="false" ht="15" hidden="false" customHeight="false" outlineLevel="0" collapsed="false">
      <c r="A108" s="0" t="s">
        <v>8222</v>
      </c>
      <c r="B108" s="0" t="s">
        <v>8223</v>
      </c>
      <c r="C108" s="0" t="str">
        <f aca="false">IF($A108="","",IF(AT108="Y",BL108&amp;"",AY108&amp;""))</f>
        <v>Richard</v>
      </c>
      <c r="D108" s="0" t="str">
        <f aca="false">IF($A108="","",IF(AT108="Y",BM108&amp;"",AZ108&amp;""))</f>
        <v>Radutzky</v>
      </c>
      <c r="E108" s="0" t="str">
        <f aca="false">IF($A108="","",IF(AT108="Y",BN108&amp;"",BA108&amp;""))</f>
        <v>Third- and fourth-generation owners/operators</v>
      </c>
      <c r="F108" s="0" t="str">
        <f aca="false">IF($A108="","",IF(AT108="Y",BO108&amp;"",BB108&amp;""))</f>
        <v/>
      </c>
      <c r="G108" s="0" t="str">
        <f aca="false">IF($A108="","",IF(AT108="Y",BP108&amp;"",BC108&amp;""))</f>
        <v/>
      </c>
      <c r="H108" s="0" t="str">
        <f aca="false">IF($A108="","",IF(AT108="Y",BQ108&amp;"",BD108&amp;""))</f>
        <v>none</v>
      </c>
      <c r="I108" s="0" t="str">
        <f aca="false">IF($A108="","",IF(R108="Y","warm-intro",IF(H108="verified","email",IF(C108&lt;&gt;"","linkedin",CA108&amp;""))))</f>
        <v>linkedin</v>
      </c>
      <c r="J108" s="0" t="n">
        <f aca="false">IF($A108="","",IF(CK108="pass",ROUND(N(DO108)+N(DP108)+N(DQ108)+N(DR108)+N(DS108)+N(DT108)+N(DU108)+N(DV108),0),0))</f>
        <v>41</v>
      </c>
      <c r="K108" s="0" t="str">
        <f aca="false">IF($A108="","",IF(CK108&lt;&gt;"pass",BY108&amp;"",BY108&amp;", "&amp;IF(AT108="Y",BX108&amp;"",BK108&amp;"")&amp;BZ108&amp;IF(R108="Y","; known to the founder (+10)","")&amp;"."))</f>
        <v>New York City brand, no graded store within ten blocks, online store only, no dated why-now in the last 12 months, revenue unknown, contact named; founder review: not-emerging.</v>
      </c>
      <c r="M108" s="0" t="s">
        <v>6144</v>
      </c>
      <c r="N108" s="0" t="s">
        <v>740</v>
      </c>
      <c r="R108" s="5" t="s">
        <v>189</v>
      </c>
      <c r="S108" s="0" t="s">
        <v>209</v>
      </c>
      <c r="T108" s="5" t="s">
        <v>189</v>
      </c>
      <c r="U108" s="5" t="s">
        <v>3896</v>
      </c>
      <c r="V108" s="0" t="s">
        <v>8224</v>
      </c>
      <c r="W108" s="0" t="s">
        <v>263</v>
      </c>
      <c r="X108" s="0" t="s">
        <v>5578</v>
      </c>
      <c r="Y108" s="0" t="str">
        <f aca="false">IF(FA108&lt;&gt;"Y","",COUNTIFS($FA$2:$FA$1000,"Y",$J$2:$J$1000,"&gt;"&amp;J108)+COUNTIFS($FA$2:$FA$1000,"Y",$J$2:$J$1000,J108,$FG$2:$FG$1000,"&lt;"&amp;FG108)+1)</f>
        <v/>
      </c>
      <c r="Z108" s="0" t="n">
        <v>107</v>
      </c>
      <c r="AA108" s="0" t="s">
        <v>189</v>
      </c>
      <c r="AB108" s="0" t="str">
        <f aca="false">IF($A108="","",IF(AT108="Y",BW108&amp;"",BJ108&amp;""))</f>
        <v>find Richard Radutzky at Joyva on LinkedIn and paste the profile URL into primary_linkedin_url</v>
      </c>
      <c r="AC108" s="0" t="str">
        <f aca="false">IF($A108="","",IF(AT108="Y",BR108&amp;"",BE108&amp;""))</f>
        <v>founder</v>
      </c>
      <c r="AD108" s="0" t="str">
        <f aca="false">IF($A108="","",IF(AT108="Y",BS108&amp;"",BF108&amp;""))</f>
        <v>verified-page</v>
      </c>
      <c r="AE108" s="0" t="str">
        <f aca="false">IF($A108="","",IF(AT108="Y",BT108&amp;"",BG108&amp;""))</f>
        <v>employer's own site</v>
      </c>
      <c r="AF108" s="0" t="str">
        <f aca="false">IF($A108="","",IF(AT108="Y",BU108&amp;"",BH108&amp;""))</f>
        <v>https://joyva.com/pages/our-story</v>
      </c>
      <c r="AG108" s="0" t="str">
        <f aca="false">IF($A108="","",IF(AT108="Y",BV108&amp;"",BI108&amp;""))</f>
        <v>2026-10-23</v>
      </c>
      <c r="AH108" s="0" t="s">
        <v>8225</v>
      </c>
      <c r="AI108" s="0" t="s">
        <v>5664</v>
      </c>
      <c r="AJ108" s="0" t="s">
        <v>5631</v>
      </c>
      <c r="AK108" s="0" t="s">
        <v>8226</v>
      </c>
      <c r="AL108" s="0" t="s">
        <v>164</v>
      </c>
      <c r="AM108" s="0" t="s">
        <v>8227</v>
      </c>
      <c r="AN108" s="0" t="s">
        <v>8222</v>
      </c>
      <c r="AO108" s="5" t="s">
        <v>189</v>
      </c>
      <c r="AR108" s="0" t="str">
        <f aca="false">IF($A108="","",IF(AND(CK108="pass",AO108&lt;&gt;"Y",C108&lt;&gt;"",OR(AU108&lt;&gt;"Y",AV108="Y")),"Y","N"))</f>
        <v>N</v>
      </c>
      <c r="AS108" s="0" t="str">
        <f aca="false">IF($A108="","",_xlfn.TEXTJOIN("; ",TRUE(),IF(CK108&lt;&gt;"pass","gated out",""),IF(AO108="Y","on hold: "&amp;AP108,""),IF(C108="","no contact named on an opened page",""),IF(AND(AU108="Y",AV108&lt;&gt;"Y"),"founder review pending (Founder review tab)","")))</f>
        <v>founder review pending (Founder review tab)</v>
      </c>
      <c r="AU108" s="0" t="s">
        <v>164</v>
      </c>
      <c r="AY108" s="0" t="s">
        <v>8228</v>
      </c>
      <c r="AZ108" s="0" t="s">
        <v>8229</v>
      </c>
      <c r="BA108" s="0" t="s">
        <v>8230</v>
      </c>
      <c r="BC108" s="0" t="str">
        <f aca="false">IF($A108="","",IFERROR(INDEX(Enrichment!$A$2:$GZ$2000,MATCH($A108,INDEX(Enrichment!$A$2:$GZ$2000,0,MATCH("row_id",Enrichment!$A$1:$GZ$1,0)),0),MATCH("work_email",Enrichment!$A$1:$GZ$1,0))&amp;"",""))</f>
        <v/>
      </c>
      <c r="BD108" s="0" t="str">
        <f aca="false">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none</v>
      </c>
      <c r="BE108" s="0" t="s">
        <v>5589</v>
      </c>
      <c r="BF108" s="0" t="s">
        <v>169</v>
      </c>
      <c r="BG108" s="0" t="s">
        <v>170</v>
      </c>
      <c r="BH108" s="0" t="s">
        <v>8231</v>
      </c>
      <c r="BI108" s="0" t="s">
        <v>263</v>
      </c>
      <c r="BJ108" s="0" t="s">
        <v>8232</v>
      </c>
      <c r="BK108" s="0" t="s">
        <v>5643</v>
      </c>
      <c r="BL108" s="0" t="s">
        <v>8233</v>
      </c>
      <c r="BM108" s="0" t="s">
        <v>8234</v>
      </c>
      <c r="BN108" s="0" t="s">
        <v>6187</v>
      </c>
      <c r="BP108" s="0" t="str">
        <f aca="false">IF($A108="","",IFERROR(INDEX(Enrichment!$A$2:$GZ$2000,MATCH($A108,INDEX(Enrichment!$A$2:$GZ$2000,0,MATCH("row_id",Enrichment!$A$1:$GZ$1,0)),0),MATCH("backup_work_email",Enrichment!$A$1:$GZ$1,0))&amp;"",""))</f>
        <v/>
      </c>
      <c r="BQ108" s="0" t="str">
        <f aca="false">IF($A108="","",IF(BP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none</v>
      </c>
      <c r="BR108" s="0" t="s">
        <v>7494</v>
      </c>
      <c r="BS108" s="0" t="s">
        <v>169</v>
      </c>
      <c r="BT108" s="0" t="s">
        <v>170</v>
      </c>
      <c r="BU108" s="0" t="s">
        <v>8231</v>
      </c>
      <c r="BV108" s="0" t="s">
        <v>263</v>
      </c>
      <c r="BW108" s="0" t="s">
        <v>8235</v>
      </c>
      <c r="BX108" s="0" t="s">
        <v>5643</v>
      </c>
      <c r="BY108" s="0" t="s">
        <v>7496</v>
      </c>
      <c r="BZ108" s="0" t="s">
        <v>6822</v>
      </c>
      <c r="CB108" s="0" t="s">
        <v>8236</v>
      </c>
      <c r="CF108" s="0" t="s">
        <v>8237</v>
      </c>
      <c r="CJ108" s="0" t="s">
        <v>7088</v>
      </c>
      <c r="CK108" s="0" t="s">
        <v>200</v>
      </c>
      <c r="CM108" s="0" t="s">
        <v>201</v>
      </c>
      <c r="CN108" s="0" t="s">
        <v>6827</v>
      </c>
      <c r="CO108" s="0" t="s">
        <v>8226</v>
      </c>
      <c r="CP108" s="0" t="s">
        <v>5608</v>
      </c>
      <c r="CQ108" s="0" t="s">
        <v>5609</v>
      </c>
      <c r="CR108" s="0" t="s">
        <v>8238</v>
      </c>
      <c r="CS108" s="0" t="s">
        <v>8224</v>
      </c>
      <c r="CT108" s="0" t="s">
        <v>164</v>
      </c>
      <c r="CU108" s="0" t="s">
        <v>8239</v>
      </c>
      <c r="CV108" s="0" t="s">
        <v>164</v>
      </c>
      <c r="CW108" s="0" t="s">
        <v>164</v>
      </c>
      <c r="CX108" s="0" t="s">
        <v>209</v>
      </c>
      <c r="CZ108" s="0" t="s">
        <v>209</v>
      </c>
      <c r="DA108" s="0" t="s">
        <v>189</v>
      </c>
      <c r="DB108" s="0" t="s">
        <v>189</v>
      </c>
      <c r="DE108" s="0" t="s">
        <v>189</v>
      </c>
      <c r="DF108" s="0" t="n">
        <v>0</v>
      </c>
      <c r="DI108" s="0" t="s">
        <v>8240</v>
      </c>
      <c r="DJ108" s="0" t="s">
        <v>8241</v>
      </c>
      <c r="DK108" s="0" t="s">
        <v>380</v>
      </c>
      <c r="DN108" s="0" t="n">
        <v>41</v>
      </c>
      <c r="DO108" s="0" t="n">
        <v>6</v>
      </c>
      <c r="DP108" s="0" t="n">
        <v>20</v>
      </c>
      <c r="DQ108" s="0" t="n">
        <v>0</v>
      </c>
      <c r="DR108" s="0" t="n">
        <v>5</v>
      </c>
      <c r="DS108" s="0" t="n">
        <v>10</v>
      </c>
      <c r="DT108" s="0" t="n">
        <v>10</v>
      </c>
      <c r="DU108" s="0" t="n">
        <f aca="false">IF($A108="","",IF(R108="Y",10,0))</f>
        <v>0</v>
      </c>
      <c r="DV108" s="0" t="n">
        <v>-10</v>
      </c>
      <c r="DW108" s="0" t="s">
        <v>8242</v>
      </c>
      <c r="DX108" s="0" t="s">
        <v>5691</v>
      </c>
      <c r="DY108" s="0" t="s">
        <v>8243</v>
      </c>
      <c r="DZ108" s="0" t="s">
        <v>8244</v>
      </c>
      <c r="EA108" s="0" t="s">
        <v>8245</v>
      </c>
      <c r="EV108" s="0" t="str">
        <f aca="false">IF($A108="","",IF(ISNUMBER(MATCH(U108,{"queued","contacted","replied","call_booked","call_done","yes_in_principle","materials_sent"},0)),"Y","N"))</f>
        <v>N</v>
      </c>
      <c r="EW108" s="0" t="str">
        <f aca="false">IF($A108="","",IF(OR(T108="Y",U108="do_not_contact",AQ108&amp;""&lt;&gt;""),"Y","N"))</f>
        <v>N</v>
      </c>
      <c r="EX108" s="0" t="str">
        <f aca="false">IF($A108="","",IF(AN108&amp;""&lt;&gt;"",AN108&amp;"",$A108))</f>
        <v>AB-095</v>
      </c>
      <c r="EY108" s="0" t="str">
        <f aca="false">IF($A108="","",IF(COUNTIFS($EX$2:$EX$1000,EX108,$EV$2:$EV$1000,"Y")+COUNTIFS($EX$2:$EX$1000,EX108,$EW$2:$EW$1000,"Y")&gt;0,"Y","N"))</f>
        <v>N</v>
      </c>
      <c r="EZ108" s="0" t="str">
        <f aca="false">IF($A108="","",IF(AND(U108="new",T108="N",EW108="N",AR108="Y",EY108="N"),"Y","N"))</f>
        <v>N</v>
      </c>
      <c r="FA108" s="0" t="str">
        <f aca="false">IF($A108="","",IF(EZ108&lt;&gt;"Y","N",IF(COUNTIFS($EX$2:$EX$1000,EX108,$EZ$2:$EZ$1000,"Y",$J$2:$J$1000,"&gt;"&amp;J108)+COUNTIFS($EX$2:$EX$1000,EX108,$EZ$2:$EZ$1000,"Y",$J$2:$J$1000,J108,$FG$2:$FG$1000,"&lt;"&amp;FG108)=0,"Y","N")))</f>
        <v>N</v>
      </c>
      <c r="FB108" s="0" t="str">
        <f aca="false">IF($A108="","",IF(AND(EZ108="Y",FA108="Y",Y108&amp;""&lt;&gt;""),IF(Y108&lt;=10,"Y","N"),"N"))</f>
        <v>N</v>
      </c>
      <c r="FC108" s="0" t="str">
        <f aca="false">IF(FB108="Y",Y108,"")</f>
        <v/>
      </c>
      <c r="FD108" s="0" t="str">
        <f aca="false">IF($A108="","",IF(AND(CK108="pass",AU108="Y",AV108&lt;&gt;"Y",U108="new",EW108="N"),"Y","N"))</f>
        <v>Y</v>
      </c>
      <c r="FE108" s="0" t="str">
        <f aca="false">IF(FD108&lt;&gt;"Y","",IF(COUNTIFS($FD$2:$FD$1000,"Y",$J$2:$J$1000,"&gt;"&amp;J108)+COUNTIFS($FD$2:$FD$1000,"Y",$J$2:$J$1000,J108,$FG$2:$FG$1000,"&lt;"&amp;FG108)+1&lt;=30,COUNTIFS($FD$2:$FD$1000,"Y",$J$2:$J$1000,"&gt;"&amp;J108)+COUNTIFS($FD$2:$FD$1000,"Y",$J$2:$J$1000,J108,$FG$2:$FG$1000,"&lt;"&amp;FG108)+1,""))</f>
        <v/>
      </c>
      <c r="FF108" s="0" t="str">
        <f aca="false">IF(AND(_xlfn.ISFORMULA(C108),_xlfn.ISFORMULA(J108)),"Y","N")</f>
        <v>Y</v>
      </c>
      <c r="FG108" s="0" t="n">
        <f aca="false">ROW()-1</f>
        <v>107</v>
      </c>
    </row>
    <row r="109" customFormat="false" ht="15" hidden="false" customHeight="false" outlineLevel="0" collapsed="false">
      <c r="A109" s="0" t="s">
        <v>8246</v>
      </c>
      <c r="B109" s="0" t="s">
        <v>8247</v>
      </c>
      <c r="C109" s="0" t="str">
        <f aca="false">IF($A109="","",IF(AT109="Y",BL109&amp;"",AY109&amp;""))</f>
        <v>Helene</v>
      </c>
      <c r="D109" s="0" t="str">
        <f aca="false">IF($A109="","",IF(AT109="Y",BM109&amp;"",AZ109&amp;""))</f>
        <v>unknown</v>
      </c>
      <c r="E109" s="0" t="str">
        <f aca="false">IF($A109="","",IF(AT109="Y",BN109&amp;"",BA109&amp;""))</f>
        <v>Founder</v>
      </c>
      <c r="F109" s="0" t="str">
        <f aca="false">IF($A109="","",IF(AT109="Y",BO109&amp;"",BB109&amp;""))</f>
        <v/>
      </c>
      <c r="G109" s="0" t="str">
        <f aca="false">IF($A109="","",IF(AT109="Y",BP109&amp;"",BC109&amp;""))</f>
        <v/>
      </c>
      <c r="H109" s="0" t="str">
        <f aca="false">IF($A109="","",IF(AT109="Y",BQ109&amp;"",BD109&amp;""))</f>
        <v>none</v>
      </c>
      <c r="I109" s="0" t="str">
        <f aca="false">IF($A109="","",IF(R109="Y","warm-intro",IF(H109="verified","email",IF(C109&lt;&gt;"","linkedin",CA109&amp;""))))</f>
        <v>linkedin</v>
      </c>
      <c r="J109" s="0" t="n">
        <f aca="false">IF($A109="","",IF(CK109="pass",ROUND(N(DO109)+N(DP109)+N(DQ109)+N(DR109)+N(DS109)+N(DT109)+N(DU109)+N(DV109),0),0))</f>
        <v>41</v>
      </c>
      <c r="K109" s="0" t="str">
        <f aca="false">IF($A109="","",IF(CK109&lt;&gt;"pass",BY109&amp;"",BY109&amp;", "&amp;IF(AT109="Y",BX109&amp;"",BK109&amp;"")&amp;BZ109&amp;IF(R109="Y","; known to the founder (+10)","")&amp;"."))</f>
        <v>New York State brand, store page shows Whole Foods Market Union Square inside the cluster, no dated why-now in the last 12 months, revenue unknown, contact named (first name only); founder review: perishable-risk, format-unconfirmed.</v>
      </c>
      <c r="M109" s="0" t="s">
        <v>5625</v>
      </c>
      <c r="N109" s="0" t="s">
        <v>5573</v>
      </c>
      <c r="R109" s="5" t="s">
        <v>189</v>
      </c>
      <c r="S109" s="0" t="s">
        <v>209</v>
      </c>
      <c r="T109" s="5" t="s">
        <v>189</v>
      </c>
      <c r="U109" s="5" t="s">
        <v>3896</v>
      </c>
      <c r="V109" s="0" t="s">
        <v>8248</v>
      </c>
      <c r="W109" s="0" t="s">
        <v>263</v>
      </c>
      <c r="X109" s="0" t="s">
        <v>5578</v>
      </c>
      <c r="Y109" s="0" t="str">
        <f aca="false">IF(FA109&lt;&gt;"Y","",COUNTIFS($FA$2:$FA$1000,"Y",$J$2:$J$1000,"&gt;"&amp;J109)+COUNTIFS($FA$2:$FA$1000,"Y",$J$2:$J$1000,J109,$FG$2:$FG$1000,"&lt;"&amp;FG109)+1)</f>
        <v/>
      </c>
      <c r="Z109" s="0" t="n">
        <v>108</v>
      </c>
      <c r="AA109" s="0" t="s">
        <v>189</v>
      </c>
      <c r="AB109" s="0" t="str">
        <f aca="false">IF($A109="","",IF(AT109="Y",BW109&amp;"",BJ109&amp;""))</f>
        <v>find Helene at By the Way Bakery on LinkedIn and paste the profile URL into primary_linkedin_url; surname not public: take it from LinkedIn; use the Whole Foods Market Union Square line only if retailer_checked_date is this week's Friday check</v>
      </c>
      <c r="AC109" s="0" t="str">
        <f aca="false">IF($A109="","",IF(AT109="Y",BR109&amp;"",BE109&amp;""))</f>
        <v>founder</v>
      </c>
      <c r="AD109" s="0" t="str">
        <f aca="false">IF($A109="","",IF(AT109="Y",BS109&amp;"",BF109&amp;""))</f>
        <v>first-name-only</v>
      </c>
      <c r="AE109" s="0" t="str">
        <f aca="false">IF($A109="","",IF(AT109="Y",BT109&amp;"",BG109&amp;""))</f>
        <v>employer's own site</v>
      </c>
      <c r="AF109" s="0" t="str">
        <f aca="false">IF($A109="","",IF(AT109="Y",BU109&amp;"",BH109&amp;""))</f>
        <v>https://www.btwbakery.com/our-story</v>
      </c>
      <c r="AG109" s="0" t="str">
        <f aca="false">IF($A109="","",IF(AT109="Y",BV109&amp;"",BI109&amp;""))</f>
        <v>2026-10-23</v>
      </c>
      <c r="AH109" s="0" t="s">
        <v>8249</v>
      </c>
      <c r="AI109" s="0" t="s">
        <v>5702</v>
      </c>
      <c r="AJ109" s="0" t="s">
        <v>8250</v>
      </c>
      <c r="AL109" s="0" t="s">
        <v>164</v>
      </c>
      <c r="AM109" s="0" t="s">
        <v>8251</v>
      </c>
      <c r="AN109" s="0" t="s">
        <v>8246</v>
      </c>
      <c r="AO109" s="5" t="s">
        <v>189</v>
      </c>
      <c r="AR109" s="0" t="str">
        <f aca="false">IF($A109="","",IF(AND(CK109="pass",AO109&lt;&gt;"Y",C109&lt;&gt;"",OR(AU109&lt;&gt;"Y",AV109="Y")),"Y","N"))</f>
        <v>N</v>
      </c>
      <c r="AS109" s="0" t="str">
        <f aca="false">IF($A109="","",_xlfn.TEXTJOIN("; ",TRUE(),IF(CK109&lt;&gt;"pass","gated out",""),IF(AO109="Y","on hold: "&amp;AP109,""),IF(C109="","no contact named on an opened page",""),IF(AND(AU109="Y",AV109&lt;&gt;"Y"),"founder review pending (Founder review tab)","")))</f>
        <v>founder review pending (Founder review tab)</v>
      </c>
      <c r="AU109" s="0" t="s">
        <v>164</v>
      </c>
      <c r="AX109" s="0" t="s">
        <v>8252</v>
      </c>
      <c r="AY109" s="0" t="s">
        <v>8253</v>
      </c>
      <c r="AZ109" s="0" t="s">
        <v>209</v>
      </c>
      <c r="BA109" s="0" t="s">
        <v>5739</v>
      </c>
      <c r="BC109" s="0" t="str">
        <f aca="false">IF($A109="","",IFERROR(INDEX(Enrichment!$A$2:$GZ$2000,MATCH($A109,INDEX(Enrichment!$A$2:$GZ$2000,0,MATCH("row_id",Enrichment!$A$1:$GZ$1,0)),0),MATCH("work_email",Enrichment!$A$1:$GZ$1,0))&amp;"",""))</f>
        <v/>
      </c>
      <c r="BD109" s="0" t="str">
        <f aca="false">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none</v>
      </c>
      <c r="BE109" s="0" t="s">
        <v>5589</v>
      </c>
      <c r="BF109" s="0" t="s">
        <v>5896</v>
      </c>
      <c r="BG109" s="0" t="s">
        <v>170</v>
      </c>
      <c r="BH109" s="0" t="s">
        <v>8248</v>
      </c>
      <c r="BI109" s="0" t="s">
        <v>263</v>
      </c>
      <c r="BJ109" s="0" t="s">
        <v>8254</v>
      </c>
      <c r="BK109" s="0" t="s">
        <v>5898</v>
      </c>
      <c r="BP109" s="0" t="str">
        <f aca="false">IF($A109="","",IFERROR(INDEX(Enrichment!$A$2:$GZ$2000,MATCH($A109,INDEX(Enrichment!$A$2:$GZ$2000,0,MATCH("row_id",Enrichment!$A$1:$GZ$1,0)),0),MATCH("backup_work_email",Enrichment!$A$1:$GZ$1,0))&amp;"",""))</f>
        <v/>
      </c>
      <c r="BQ109" s="0" t="str">
        <f aca="false">IF($A109="","",IF(BP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none</v>
      </c>
      <c r="BS109" s="0" t="s">
        <v>380</v>
      </c>
      <c r="BW109" s="0" t="s">
        <v>8255</v>
      </c>
      <c r="BX109" s="0" t="s">
        <v>388</v>
      </c>
      <c r="BY109" s="0" t="s">
        <v>8256</v>
      </c>
      <c r="BZ109" s="0" t="s">
        <v>8257</v>
      </c>
      <c r="CB109" s="0" t="s">
        <v>8253</v>
      </c>
      <c r="CD109" s="0" t="s">
        <v>8258</v>
      </c>
      <c r="CJ109" s="0" t="s">
        <v>7088</v>
      </c>
      <c r="CK109" s="0" t="s">
        <v>200</v>
      </c>
      <c r="CM109" s="0" t="s">
        <v>201</v>
      </c>
      <c r="CN109" s="0" t="s">
        <v>8259</v>
      </c>
      <c r="CO109" s="0" t="s">
        <v>8260</v>
      </c>
      <c r="CP109" s="0" t="s">
        <v>5608</v>
      </c>
      <c r="CQ109" s="0" t="s">
        <v>5870</v>
      </c>
      <c r="CR109" s="0" t="s">
        <v>209</v>
      </c>
      <c r="CT109" s="0" t="s">
        <v>209</v>
      </c>
      <c r="CU109" s="0" t="s">
        <v>8261</v>
      </c>
      <c r="CV109" s="0" t="s">
        <v>209</v>
      </c>
      <c r="CW109" s="0" t="s">
        <v>209</v>
      </c>
      <c r="CX109" s="0" t="s">
        <v>209</v>
      </c>
      <c r="CZ109" s="0" t="s">
        <v>209</v>
      </c>
      <c r="DA109" s="0" t="s">
        <v>189</v>
      </c>
      <c r="DB109" s="0" t="s">
        <v>189</v>
      </c>
      <c r="DD109" s="0" t="n">
        <v>0</v>
      </c>
      <c r="DE109" s="0" t="s">
        <v>164</v>
      </c>
      <c r="DF109" s="0" t="n">
        <v>1</v>
      </c>
      <c r="DG109" s="0" t="s">
        <v>5650</v>
      </c>
      <c r="DI109" s="0" t="s">
        <v>8262</v>
      </c>
      <c r="DJ109" s="0" t="s">
        <v>8252</v>
      </c>
      <c r="DK109" s="0" t="s">
        <v>380</v>
      </c>
      <c r="DN109" s="0" t="n">
        <v>41</v>
      </c>
      <c r="DO109" s="0" t="n">
        <v>25</v>
      </c>
      <c r="DP109" s="0" t="n">
        <v>13</v>
      </c>
      <c r="DQ109" s="0" t="n">
        <v>0</v>
      </c>
      <c r="DR109" s="0" t="n">
        <v>5</v>
      </c>
      <c r="DS109" s="0" t="n">
        <v>3</v>
      </c>
      <c r="DT109" s="0" t="n">
        <v>3</v>
      </c>
      <c r="DU109" s="0" t="n">
        <f aca="false">IF($A109="","",IF(R109="Y",10,0))</f>
        <v>0</v>
      </c>
      <c r="DV109" s="0" t="n">
        <v>-8</v>
      </c>
      <c r="DW109" s="0" t="s">
        <v>8263</v>
      </c>
      <c r="DX109" s="0" t="s">
        <v>5691</v>
      </c>
      <c r="DY109" s="0" t="s">
        <v>8264</v>
      </c>
      <c r="DZ109" s="0" t="s">
        <v>8265</v>
      </c>
      <c r="EV109" s="0" t="str">
        <f aca="false">IF($A109="","",IF(ISNUMBER(MATCH(U109,{"queued","contacted","replied","call_booked","call_done","yes_in_principle","materials_sent"},0)),"Y","N"))</f>
        <v>N</v>
      </c>
      <c r="EW109" s="0" t="str">
        <f aca="false">IF($A109="","",IF(OR(T109="Y",U109="do_not_contact",AQ109&amp;""&lt;&gt;""),"Y","N"))</f>
        <v>N</v>
      </c>
      <c r="EX109" s="0" t="str">
        <f aca="false">IF($A109="","",IF(AN109&amp;""&lt;&gt;"",AN109&amp;"",$A109))</f>
        <v>AB-099</v>
      </c>
      <c r="EY109" s="0" t="str">
        <f aca="false">IF($A109="","",IF(COUNTIFS($EX$2:$EX$1000,EX109,$EV$2:$EV$1000,"Y")+COUNTIFS($EX$2:$EX$1000,EX109,$EW$2:$EW$1000,"Y")&gt;0,"Y","N"))</f>
        <v>N</v>
      </c>
      <c r="EZ109" s="0" t="str">
        <f aca="false">IF($A109="","",IF(AND(U109="new",T109="N",EW109="N",AR109="Y",EY109="N"),"Y","N"))</f>
        <v>N</v>
      </c>
      <c r="FA109" s="0" t="str">
        <f aca="false">IF($A109="","",IF(EZ109&lt;&gt;"Y","N",IF(COUNTIFS($EX$2:$EX$1000,EX109,$EZ$2:$EZ$1000,"Y",$J$2:$J$1000,"&gt;"&amp;J109)+COUNTIFS($EX$2:$EX$1000,EX109,$EZ$2:$EZ$1000,"Y",$J$2:$J$1000,J109,$FG$2:$FG$1000,"&lt;"&amp;FG109)=0,"Y","N")))</f>
        <v>N</v>
      </c>
      <c r="FB109" s="0" t="str">
        <f aca="false">IF($A109="","",IF(AND(EZ109="Y",FA109="Y",Y109&amp;""&lt;&gt;""),IF(Y109&lt;=10,"Y","N"),"N"))</f>
        <v>N</v>
      </c>
      <c r="FC109" s="0" t="str">
        <f aca="false">IF(FB109="Y",Y109,"")</f>
        <v/>
      </c>
      <c r="FD109" s="0" t="str">
        <f aca="false">IF($A109="","",IF(AND(CK109="pass",AU109="Y",AV109&lt;&gt;"Y",U109="new",EW109="N"),"Y","N"))</f>
        <v>Y</v>
      </c>
      <c r="FE109" s="0" t="str">
        <f aca="false">IF(FD109&lt;&gt;"Y","",IF(COUNTIFS($FD$2:$FD$1000,"Y",$J$2:$J$1000,"&gt;"&amp;J109)+COUNTIFS($FD$2:$FD$1000,"Y",$J$2:$J$1000,J109,$FG$2:$FG$1000,"&lt;"&amp;FG109)+1&lt;=30,COUNTIFS($FD$2:$FD$1000,"Y",$J$2:$J$1000,"&gt;"&amp;J109)+COUNTIFS($FD$2:$FD$1000,"Y",$J$2:$J$1000,J109,$FG$2:$FG$1000,"&lt;"&amp;FG109)+1,""))</f>
        <v/>
      </c>
      <c r="FF109" s="0" t="str">
        <f aca="false">IF(AND(_xlfn.ISFORMULA(C109),_xlfn.ISFORMULA(J109)),"Y","N")</f>
        <v>Y</v>
      </c>
      <c r="FG109" s="0" t="n">
        <f aca="false">ROW()-1</f>
        <v>108</v>
      </c>
    </row>
    <row r="110" customFormat="false" ht="15" hidden="false" customHeight="false" outlineLevel="0" collapsed="false">
      <c r="A110" s="0" t="s">
        <v>8266</v>
      </c>
      <c r="B110" s="0" t="s">
        <v>8267</v>
      </c>
      <c r="C110" s="0" t="str">
        <f aca="false">IF($A110="","",IF(AT110="Y",BL110&amp;"",AY110&amp;""))</f>
        <v/>
      </c>
      <c r="D110" s="0" t="str">
        <f aca="false">IF($A110="","",IF(AT110="Y",BM110&amp;"",AZ110&amp;""))</f>
        <v/>
      </c>
      <c r="E110" s="0" t="str">
        <f aca="false">IF($A110="","",IF(AT110="Y",BN110&amp;"",BA110&amp;""))</f>
        <v/>
      </c>
      <c r="F110" s="0" t="str">
        <f aca="false">IF($A110="","",IF(AT110="Y",BO110&amp;"",BB110&amp;""))</f>
        <v/>
      </c>
      <c r="G110" s="0" t="str">
        <f aca="false">IF($A110="","",IF(AT110="Y",BP110&amp;"",BC110&amp;""))</f>
        <v/>
      </c>
      <c r="H110" s="0" t="str">
        <f aca="false">IF($A110="","",IF(AT110="Y",BQ110&amp;"",BD110&amp;""))</f>
        <v>none</v>
      </c>
      <c r="I110" s="0" t="str">
        <f aca="false">IF($A110="","",IF(R110="Y","warm-intro",IF(H110="verified","email",IF(C110&lt;&gt;"","linkedin",CA110&amp;""))))</f>
        <v/>
      </c>
      <c r="J110" s="0" t="n">
        <f aca="false">IF($A110="","",IF(CK110="pass",ROUND(N(DO110)+N(DP110)+N(DQ110)+N(DR110)+N(DS110)+N(DT110)+N(DU110)+N(DV110),0),0))</f>
        <v>41</v>
      </c>
      <c r="K110" s="0" t="str">
        <f aca="false">IF($A110="","",IF(CK110&lt;&gt;"pass",BY110&amp;"",BY110&amp;", "&amp;IF(AT110="Y",BX110&amp;"",BK110&amp;"")&amp;BZ110&amp;IF(R110="Y","; known to the founder (+10)","")&amp;"."))</f>
        <v>New York City brand, no graded store within ten blocks, online store only, a new store listing 170 days ago, revenue unknown, contact seen only in a snippet; founder review: perishable-risk.</v>
      </c>
      <c r="M110" s="0" t="s">
        <v>6144</v>
      </c>
      <c r="N110" s="0" t="s">
        <v>740</v>
      </c>
      <c r="O110" s="0" t="s">
        <v>8268</v>
      </c>
      <c r="P110" s="0" t="s">
        <v>8269</v>
      </c>
      <c r="Q110" s="0" t="s">
        <v>8270</v>
      </c>
      <c r="R110" s="5" t="s">
        <v>189</v>
      </c>
      <c r="S110" s="0" t="s">
        <v>209</v>
      </c>
      <c r="T110" s="5" t="s">
        <v>189</v>
      </c>
      <c r="U110" s="5" t="s">
        <v>3896</v>
      </c>
      <c r="V110" s="0" t="s">
        <v>8271</v>
      </c>
      <c r="W110" s="0" t="s">
        <v>172</v>
      </c>
      <c r="X110" s="0" t="s">
        <v>5578</v>
      </c>
      <c r="Y110" s="0" t="str">
        <f aca="false">IF(FA110&lt;&gt;"Y","",COUNTIFS($FA$2:$FA$1000,"Y",$J$2:$J$1000,"&gt;"&amp;J110)+COUNTIFS($FA$2:$FA$1000,"Y",$J$2:$J$1000,J110,$FG$2:$FG$1000,"&lt;"&amp;FG110)+1)</f>
        <v/>
      </c>
      <c r="Z110" s="0" t="n">
        <v>109</v>
      </c>
      <c r="AA110" s="0" t="s">
        <v>189</v>
      </c>
      <c r="AB110" s="0" t="str">
        <f aca="false">IF($A110="","",IF(AT110="Y",BW110&amp;"",BJ110&amp;""))</f>
        <v>no person named on an opened page: not ready</v>
      </c>
      <c r="AC110" s="0" t="str">
        <f aca="false">IF($A110="","",IF(AT110="Y",BR110&amp;"",BE110&amp;""))</f>
        <v>founder</v>
      </c>
      <c r="AD110" s="0" t="str">
        <f aca="false">IF($A110="","",IF(AT110="Y",BS110&amp;"",BF110&amp;""))</f>
        <v>unverified</v>
      </c>
      <c r="AE110" s="0" t="str">
        <f aca="false">IF($A110="","",IF(AT110="Y",BT110&amp;"",BG110&amp;""))</f>
        <v>employer's own site</v>
      </c>
      <c r="AF110" s="0" t="str">
        <f aca="false">IF($A110="","",IF(AT110="Y",BU110&amp;"",BH110&amp;""))</f>
        <v>https://milenejardine.com</v>
      </c>
      <c r="AG110" s="0" t="str">
        <f aca="false">IF($A110="","",IF(AT110="Y",BV110&amp;"",BI110&amp;""))</f>
        <v>2026-10-24</v>
      </c>
      <c r="AH110" s="0" t="s">
        <v>8272</v>
      </c>
      <c r="AI110" s="0" t="s">
        <v>5664</v>
      </c>
      <c r="AJ110" s="0" t="s">
        <v>8273</v>
      </c>
      <c r="AK110" s="0" t="s">
        <v>8274</v>
      </c>
      <c r="AL110" s="0" t="s">
        <v>164</v>
      </c>
      <c r="AM110" s="0" t="s">
        <v>8275</v>
      </c>
      <c r="AN110" s="0" t="s">
        <v>8266</v>
      </c>
      <c r="AO110" s="5" t="s">
        <v>189</v>
      </c>
      <c r="AR110" s="0" t="str">
        <f aca="false">IF($A110="","",IF(AND(CK110="pass",AO110&lt;&gt;"Y",C110&lt;&gt;"",OR(AU110&lt;&gt;"Y",AV110="Y")),"Y","N"))</f>
        <v>N</v>
      </c>
      <c r="AS110" s="0" t="str">
        <f aca="false">IF($A110="","",_xlfn.TEXTJOIN("; ",TRUE(),IF(CK110&lt;&gt;"pass","gated out",""),IF(AO110="Y","on hold: "&amp;AP110,""),IF(C110="","no contact named on an opened page",""),IF(AND(AU110="Y",AV110&lt;&gt;"Y"),"founder review pending (Founder review tab)","")))</f>
        <v>no contact named on an opened page; founder review pending (Founder review tab)</v>
      </c>
      <c r="AU110" s="0" t="s">
        <v>164</v>
      </c>
      <c r="BC110" s="0" t="str">
        <f aca="false">IF($A110="","",IFERROR(INDEX(Enrichment!$A$2:$GZ$2000,MATCH($A110,INDEX(Enrichment!$A$2:$GZ$2000,0,MATCH("row_id",Enrichment!$A$1:$GZ$1,0)),0),MATCH("work_email",Enrichment!$A$1:$GZ$1,0))&amp;"",""))</f>
        <v/>
      </c>
      <c r="BD110" s="0" t="str">
        <f aca="false">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none</v>
      </c>
      <c r="BE110" s="0" t="s">
        <v>5589</v>
      </c>
      <c r="BF110" s="0" t="s">
        <v>740</v>
      </c>
      <c r="BG110" s="0" t="s">
        <v>170</v>
      </c>
      <c r="BH110" s="0" t="s">
        <v>8274</v>
      </c>
      <c r="BI110" s="0" t="s">
        <v>172</v>
      </c>
      <c r="BJ110" s="0" t="s">
        <v>7105</v>
      </c>
      <c r="BK110" s="0" t="s">
        <v>5834</v>
      </c>
      <c r="BP110" s="0" t="str">
        <f aca="false">IF($A110="","",IFERROR(INDEX(Enrichment!$A$2:$GZ$2000,MATCH($A110,INDEX(Enrichment!$A$2:$GZ$2000,0,MATCH("row_id",Enrichment!$A$1:$GZ$1,0)),0),MATCH("backup_work_email",Enrichment!$A$1:$GZ$1,0))&amp;"",""))</f>
        <v/>
      </c>
      <c r="BQ110" s="0" t="str">
        <f aca="false">IF($A110="","",IF(BP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none</v>
      </c>
      <c r="BS110" s="0" t="s">
        <v>380</v>
      </c>
      <c r="BW110" s="0" t="s">
        <v>387</v>
      </c>
      <c r="BX110" s="0" t="s">
        <v>388</v>
      </c>
      <c r="BY110" s="0" t="s">
        <v>8276</v>
      </c>
      <c r="BZ110" s="0" t="s">
        <v>8277</v>
      </c>
      <c r="CB110" s="0" t="s">
        <v>8278</v>
      </c>
      <c r="CD110" s="0" t="s">
        <v>8279</v>
      </c>
      <c r="CJ110" s="0" t="s">
        <v>7088</v>
      </c>
      <c r="CK110" s="0" t="s">
        <v>200</v>
      </c>
      <c r="CM110" s="0" t="s">
        <v>201</v>
      </c>
      <c r="CN110" s="0" t="s">
        <v>8280</v>
      </c>
      <c r="CO110" s="0" t="s">
        <v>8274</v>
      </c>
      <c r="CP110" s="0" t="s">
        <v>5608</v>
      </c>
      <c r="CQ110" s="0" t="s">
        <v>5609</v>
      </c>
      <c r="CR110" s="0" t="s">
        <v>209</v>
      </c>
      <c r="CT110" s="0" t="s">
        <v>209</v>
      </c>
      <c r="CU110" s="0" t="s">
        <v>8281</v>
      </c>
      <c r="CV110" s="0" t="s">
        <v>164</v>
      </c>
      <c r="CW110" s="0" t="s">
        <v>164</v>
      </c>
      <c r="CX110" s="0" t="s">
        <v>209</v>
      </c>
      <c r="CZ110" s="0" t="s">
        <v>5993</v>
      </c>
      <c r="DA110" s="0" t="s">
        <v>189</v>
      </c>
      <c r="DB110" s="0" t="s">
        <v>189</v>
      </c>
      <c r="DE110" s="0" t="s">
        <v>189</v>
      </c>
      <c r="DF110" s="0" t="n">
        <v>0</v>
      </c>
      <c r="DI110" s="0" t="s">
        <v>209</v>
      </c>
      <c r="DK110" s="0" t="s">
        <v>5689</v>
      </c>
      <c r="DL110" s="0" t="n">
        <v>170</v>
      </c>
      <c r="DN110" s="0" t="n">
        <v>41</v>
      </c>
      <c r="DO110" s="0" t="n">
        <v>6</v>
      </c>
      <c r="DP110" s="0" t="n">
        <v>20</v>
      </c>
      <c r="DQ110" s="0" t="n">
        <v>8</v>
      </c>
      <c r="DR110" s="0" t="n">
        <v>5</v>
      </c>
      <c r="DS110" s="0" t="n">
        <v>7</v>
      </c>
      <c r="DT110" s="0" t="n">
        <v>3</v>
      </c>
      <c r="DU110" s="0" t="n">
        <f aca="false">IF($A110="","",IF(R110="Y",10,0))</f>
        <v>0</v>
      </c>
      <c r="DV110" s="0" t="n">
        <v>-8</v>
      </c>
      <c r="DW110" s="0" t="s">
        <v>8282</v>
      </c>
      <c r="DX110" s="0" t="s">
        <v>5998</v>
      </c>
      <c r="DY110" s="0" t="s">
        <v>8283</v>
      </c>
      <c r="DZ110" s="0" t="s">
        <v>8284</v>
      </c>
      <c r="EV110" s="0" t="str">
        <f aca="false">IF($A110="","",IF(ISNUMBER(MATCH(U110,{"queued","contacted","replied","call_booked","call_done","yes_in_principle","materials_sent"},0)),"Y","N"))</f>
        <v>N</v>
      </c>
      <c r="EW110" s="0" t="str">
        <f aca="false">IF($A110="","",IF(OR(T110="Y",U110="do_not_contact",AQ110&amp;""&lt;&gt;""),"Y","N"))</f>
        <v>N</v>
      </c>
      <c r="EX110" s="0" t="str">
        <f aca="false">IF($A110="","",IF(AN110&amp;""&lt;&gt;"",AN110&amp;"",$A110))</f>
        <v>AB-307</v>
      </c>
      <c r="EY110" s="0" t="str">
        <f aca="false">IF($A110="","",IF(COUNTIFS($EX$2:$EX$1000,EX110,$EV$2:$EV$1000,"Y")+COUNTIFS($EX$2:$EX$1000,EX110,$EW$2:$EW$1000,"Y")&gt;0,"Y","N"))</f>
        <v>N</v>
      </c>
      <c r="EZ110" s="0" t="str">
        <f aca="false">IF($A110="","",IF(AND(U110="new",T110="N",EW110="N",AR110="Y",EY110="N"),"Y","N"))</f>
        <v>N</v>
      </c>
      <c r="FA110" s="0" t="str">
        <f aca="false">IF($A110="","",IF(EZ110&lt;&gt;"Y","N",IF(COUNTIFS($EX$2:$EX$1000,EX110,$EZ$2:$EZ$1000,"Y",$J$2:$J$1000,"&gt;"&amp;J110)+COUNTIFS($EX$2:$EX$1000,EX110,$EZ$2:$EZ$1000,"Y",$J$2:$J$1000,J110,$FG$2:$FG$1000,"&lt;"&amp;FG110)=0,"Y","N")))</f>
        <v>N</v>
      </c>
      <c r="FB110" s="0" t="str">
        <f aca="false">IF($A110="","",IF(AND(EZ110="Y",FA110="Y",Y110&amp;""&lt;&gt;""),IF(Y110&lt;=10,"Y","N"),"N"))</f>
        <v>N</v>
      </c>
      <c r="FC110" s="0" t="str">
        <f aca="false">IF(FB110="Y",Y110,"")</f>
        <v/>
      </c>
      <c r="FD110" s="0" t="str">
        <f aca="false">IF($A110="","",IF(AND(CK110="pass",AU110="Y",AV110&lt;&gt;"Y",U110="new",EW110="N"),"Y","N"))</f>
        <v>Y</v>
      </c>
      <c r="FE110" s="0" t="str">
        <f aca="false">IF(FD110&lt;&gt;"Y","",IF(COUNTIFS($FD$2:$FD$1000,"Y",$J$2:$J$1000,"&gt;"&amp;J110)+COUNTIFS($FD$2:$FD$1000,"Y",$J$2:$J$1000,J110,$FG$2:$FG$1000,"&lt;"&amp;FG110)+1&lt;=30,COUNTIFS($FD$2:$FD$1000,"Y",$J$2:$J$1000,"&gt;"&amp;J110)+COUNTIFS($FD$2:$FD$1000,"Y",$J$2:$J$1000,J110,$FG$2:$FG$1000,"&lt;"&amp;FG110)+1,""))</f>
        <v/>
      </c>
      <c r="FF110" s="0" t="str">
        <f aca="false">IF(AND(_xlfn.ISFORMULA(C110),_xlfn.ISFORMULA(J110)),"Y","N")</f>
        <v>Y</v>
      </c>
      <c r="FG110" s="0" t="n">
        <f aca="false">ROW()-1</f>
        <v>109</v>
      </c>
    </row>
    <row r="111" customFormat="false" ht="15" hidden="false" customHeight="false" outlineLevel="0" collapsed="false">
      <c r="A111" s="0" t="s">
        <v>8285</v>
      </c>
      <c r="B111" s="0" t="s">
        <v>8286</v>
      </c>
      <c r="C111" s="0" t="str">
        <f aca="false">IF($A111="","",IF(AT111="Y",BL111&amp;"",AY111&amp;""))</f>
        <v/>
      </c>
      <c r="D111" s="0" t="str">
        <f aca="false">IF($A111="","",IF(AT111="Y",BM111&amp;"",AZ111&amp;""))</f>
        <v/>
      </c>
      <c r="E111" s="0" t="str">
        <f aca="false">IF($A111="","",IF(AT111="Y",BN111&amp;"",BA111&amp;""))</f>
        <v/>
      </c>
      <c r="F111" s="0" t="str">
        <f aca="false">IF($A111="","",IF(AT111="Y",BO111&amp;"",BB111&amp;""))</f>
        <v/>
      </c>
      <c r="G111" s="0" t="str">
        <f aca="false">IF($A111="","",IF(AT111="Y",BP111&amp;"",BC111&amp;""))</f>
        <v/>
      </c>
      <c r="H111" s="0" t="str">
        <f aca="false">IF($A111="","",IF(AT111="Y",BQ111&amp;"",BD111&amp;""))</f>
        <v>none</v>
      </c>
      <c r="I111" s="0" t="str">
        <f aca="false">IF($A111="","",IF(R111="Y","warm-intro",IF(H111="verified","email",IF(C111&lt;&gt;"","linkedin",CA111&amp;""))))</f>
        <v/>
      </c>
      <c r="J111" s="0" t="n">
        <f aca="false">IF($A111="","",IF(CK111="pass",ROUND(N(DO111)+N(DP111)+N(DQ111)+N(DR111)+N(DS111)+N(DT111)+N(DU111)+N(DV111),0),0))</f>
        <v>41</v>
      </c>
      <c r="K111" s="0" t="str">
        <f aca="false">IF($A111="","",IF(CK111&lt;&gt;"pass",BY111&amp;"",BY111&amp;", "&amp;IF(AT111="Y",BX111&amp;"",BK111&amp;"")&amp;BZ111&amp;IF(R111="Y","; known to the founder (+10)","")&amp;"."))</f>
        <v>Northeast brand, store page shows Whole Foods Market Union Square inside the cluster, a new store listing 8 days ago, revenue unknown, no contact named; founder review: scale, format, claim-functional, nutrient-claim.</v>
      </c>
      <c r="M111" s="0" t="s">
        <v>5625</v>
      </c>
      <c r="N111" s="0" t="s">
        <v>5573</v>
      </c>
      <c r="O111" s="0" t="s">
        <v>8287</v>
      </c>
      <c r="P111" s="0" t="s">
        <v>8288</v>
      </c>
      <c r="Q111" s="0" t="s">
        <v>6641</v>
      </c>
      <c r="R111" s="5" t="s">
        <v>189</v>
      </c>
      <c r="S111" s="0" t="s">
        <v>209</v>
      </c>
      <c r="T111" s="5" t="s">
        <v>189</v>
      </c>
      <c r="U111" s="5" t="s">
        <v>3896</v>
      </c>
      <c r="V111" s="0" t="s">
        <v>8289</v>
      </c>
      <c r="W111" s="0" t="s">
        <v>263</v>
      </c>
      <c r="X111" s="0" t="s">
        <v>5578</v>
      </c>
      <c r="Y111" s="0" t="str">
        <f aca="false">IF(FA111&lt;&gt;"Y","",COUNTIFS($FA$2:$FA$1000,"Y",$J$2:$J$1000,"&gt;"&amp;J111)+COUNTIFS($FA$2:$FA$1000,"Y",$J$2:$J$1000,J111,$FG$2:$FG$1000,"&lt;"&amp;FG111)+1)</f>
        <v/>
      </c>
      <c r="Z111" s="0" t="n">
        <v>110</v>
      </c>
      <c r="AA111" s="0" t="s">
        <v>189</v>
      </c>
      <c r="AB111" s="0" t="str">
        <f aca="false">IF($A111="","",IF(AT111="Y",BW111&amp;"",BJ111&amp;""))</f>
        <v>no person named on an opened page: not ready; use the Whole Foods Market Union Square line only if retailer_checked_date is this week's Friday check</v>
      </c>
      <c r="AC111" s="0" t="str">
        <f aca="false">IF($A111="","",IF(AT111="Y",BR111&amp;"",BE111&amp;""))</f>
        <v/>
      </c>
      <c r="AD111" s="0" t="str">
        <f aca="false">IF($A111="","",IF(AT111="Y",BS111&amp;"",BF111&amp;""))</f>
        <v>none</v>
      </c>
      <c r="AE111" s="0" t="str">
        <f aca="false">IF($A111="","",IF(AT111="Y",BT111&amp;"",BG111&amp;""))</f>
        <v/>
      </c>
      <c r="AF111" s="0" t="str">
        <f aca="false">IF($A111="","",IF(AT111="Y",BU111&amp;"",BH111&amp;""))</f>
        <v/>
      </c>
      <c r="AG111" s="0" t="str">
        <f aca="false">IF($A111="","",IF(AT111="Y",BV111&amp;"",BI111&amp;""))</f>
        <v/>
      </c>
      <c r="AH111" s="0" t="s">
        <v>8290</v>
      </c>
      <c r="AI111" s="0" t="s">
        <v>5630</v>
      </c>
      <c r="AJ111" s="0" t="s">
        <v>8291</v>
      </c>
      <c r="AK111" s="0" t="s">
        <v>8292</v>
      </c>
      <c r="AL111" s="0" t="s">
        <v>164</v>
      </c>
      <c r="AM111" s="0" t="s">
        <v>8293</v>
      </c>
      <c r="AN111" s="0" t="s">
        <v>8285</v>
      </c>
      <c r="AO111" s="5" t="s">
        <v>189</v>
      </c>
      <c r="AR111" s="0" t="str">
        <f aca="false">IF($A111="","",IF(AND(CK111="pass",AO111&lt;&gt;"Y",C111&lt;&gt;"",OR(AU111&lt;&gt;"Y",AV111="Y")),"Y","N"))</f>
        <v>N</v>
      </c>
      <c r="AS111" s="0" t="str">
        <f aca="false">IF($A111="","",_xlfn.TEXTJOIN("; ",TRUE(),IF(CK111&lt;&gt;"pass","gated out",""),IF(AO111="Y","on hold: "&amp;AP111,""),IF(C111="","no contact named on an opened page",""),IF(AND(AU111="Y",AV111&lt;&gt;"Y"),"founder review pending (Founder review tab)","")))</f>
        <v>no contact named on an opened page; founder review pending (Founder review tab)</v>
      </c>
      <c r="AU111" s="0" t="s">
        <v>164</v>
      </c>
      <c r="AX111" s="0" t="s">
        <v>8294</v>
      </c>
      <c r="BC111" s="0" t="str">
        <f aca="false">IF($A111="","",IFERROR(INDEX(Enrichment!$A$2:$GZ$2000,MATCH($A111,INDEX(Enrichment!$A$2:$GZ$2000,0,MATCH("row_id",Enrichment!$A$1:$GZ$1,0)),0),MATCH("work_email",Enrichment!$A$1:$GZ$1,0))&amp;"",""))</f>
        <v/>
      </c>
      <c r="BD111" s="0" t="str">
        <f aca="false">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none</v>
      </c>
      <c r="BF111" s="0" t="s">
        <v>380</v>
      </c>
      <c r="BJ111" s="0" t="s">
        <v>8295</v>
      </c>
      <c r="BK111" s="0" t="s">
        <v>6048</v>
      </c>
      <c r="BP111" s="0" t="str">
        <f aca="false">IF($A111="","",IFERROR(INDEX(Enrichment!$A$2:$GZ$2000,MATCH($A111,INDEX(Enrichment!$A$2:$GZ$2000,0,MATCH("row_id",Enrichment!$A$1:$GZ$1,0)),0),MATCH("backup_work_email",Enrichment!$A$1:$GZ$1,0))&amp;"",""))</f>
        <v/>
      </c>
      <c r="BQ111" s="0" t="str">
        <f aca="false">IF($A111="","",IF(BP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none</v>
      </c>
      <c r="BS111" s="0" t="s">
        <v>380</v>
      </c>
      <c r="BW111" s="0" t="s">
        <v>8255</v>
      </c>
      <c r="BX111" s="0" t="s">
        <v>388</v>
      </c>
      <c r="BY111" s="0" t="s">
        <v>8296</v>
      </c>
      <c r="BZ111" s="0" t="s">
        <v>8297</v>
      </c>
      <c r="CJ111" s="0" t="s">
        <v>7088</v>
      </c>
      <c r="CK111" s="0" t="s">
        <v>200</v>
      </c>
      <c r="CM111" s="0" t="s">
        <v>201</v>
      </c>
      <c r="CN111" s="0" t="s">
        <v>8298</v>
      </c>
      <c r="CO111" s="0" t="s">
        <v>8292</v>
      </c>
      <c r="CP111" s="0" t="s">
        <v>7376</v>
      </c>
      <c r="CQ111" s="0" t="s">
        <v>6084</v>
      </c>
      <c r="CR111" s="0" t="s">
        <v>8299</v>
      </c>
      <c r="CT111" s="0" t="s">
        <v>164</v>
      </c>
      <c r="CU111" s="0" t="s">
        <v>8300</v>
      </c>
      <c r="CV111" s="0" t="s">
        <v>189</v>
      </c>
      <c r="CW111" s="0" t="s">
        <v>164</v>
      </c>
      <c r="CX111" s="0" t="s">
        <v>209</v>
      </c>
      <c r="CZ111" s="0" t="s">
        <v>209</v>
      </c>
      <c r="DA111" s="0" t="s">
        <v>189</v>
      </c>
      <c r="DB111" s="0" t="s">
        <v>189</v>
      </c>
      <c r="DD111" s="0" t="n">
        <v>0</v>
      </c>
      <c r="DE111" s="0" t="s">
        <v>164</v>
      </c>
      <c r="DF111" s="0" t="n">
        <v>1</v>
      </c>
      <c r="DG111" s="0" t="s">
        <v>5650</v>
      </c>
      <c r="DI111" s="0" t="s">
        <v>8301</v>
      </c>
      <c r="DJ111" s="0" t="s">
        <v>8302</v>
      </c>
      <c r="DK111" s="0" t="s">
        <v>5689</v>
      </c>
      <c r="DL111" s="0" t="n">
        <v>8</v>
      </c>
      <c r="DN111" s="0" t="n">
        <v>41</v>
      </c>
      <c r="DO111" s="0" t="n">
        <v>25</v>
      </c>
      <c r="DP111" s="0" t="n">
        <v>8</v>
      </c>
      <c r="DQ111" s="0" t="n">
        <v>8</v>
      </c>
      <c r="DR111" s="0" t="n">
        <v>5</v>
      </c>
      <c r="DS111" s="0" t="n">
        <v>7</v>
      </c>
      <c r="DT111" s="0" t="n">
        <v>0</v>
      </c>
      <c r="DU111" s="0" t="n">
        <f aca="false">IF($A111="","",IF(R111="Y",10,0))</f>
        <v>0</v>
      </c>
      <c r="DV111" s="0" t="n">
        <v>-12</v>
      </c>
      <c r="DW111" s="0" t="s">
        <v>209</v>
      </c>
      <c r="DX111" s="0" t="s">
        <v>5814</v>
      </c>
      <c r="DY111" s="0" t="s">
        <v>8303</v>
      </c>
      <c r="DZ111" s="0" t="s">
        <v>8304</v>
      </c>
      <c r="EA111" s="0" t="s">
        <v>8305</v>
      </c>
      <c r="EV111" s="0" t="str">
        <f aca="false">IF($A111="","",IF(ISNUMBER(MATCH(U111,{"queued","contacted","replied","call_booked","call_done","yes_in_principle","materials_sent"},0)),"Y","N"))</f>
        <v>N</v>
      </c>
      <c r="EW111" s="0" t="str">
        <f aca="false">IF($A111="","",IF(OR(T111="Y",U111="do_not_contact",AQ111&amp;""&lt;&gt;""),"Y","N"))</f>
        <v>N</v>
      </c>
      <c r="EX111" s="0" t="str">
        <f aca="false">IF($A111="","",IF(AN111&amp;""&lt;&gt;"",AN111&amp;"",$A111))</f>
        <v>AB-043</v>
      </c>
      <c r="EY111" s="0" t="str">
        <f aca="false">IF($A111="","",IF(COUNTIFS($EX$2:$EX$1000,EX111,$EV$2:$EV$1000,"Y")+COUNTIFS($EX$2:$EX$1000,EX111,$EW$2:$EW$1000,"Y")&gt;0,"Y","N"))</f>
        <v>N</v>
      </c>
      <c r="EZ111" s="0" t="str">
        <f aca="false">IF($A111="","",IF(AND(U111="new",T111="N",EW111="N",AR111="Y",EY111="N"),"Y","N"))</f>
        <v>N</v>
      </c>
      <c r="FA111" s="0" t="str">
        <f aca="false">IF($A111="","",IF(EZ111&lt;&gt;"Y","N",IF(COUNTIFS($EX$2:$EX$1000,EX111,$EZ$2:$EZ$1000,"Y",$J$2:$J$1000,"&gt;"&amp;J111)+COUNTIFS($EX$2:$EX$1000,EX111,$EZ$2:$EZ$1000,"Y",$J$2:$J$1000,J111,$FG$2:$FG$1000,"&lt;"&amp;FG111)=0,"Y","N")))</f>
        <v>N</v>
      </c>
      <c r="FB111" s="0" t="str">
        <f aca="false">IF($A111="","",IF(AND(EZ111="Y",FA111="Y",Y111&amp;""&lt;&gt;""),IF(Y111&lt;=10,"Y","N"),"N"))</f>
        <v>N</v>
      </c>
      <c r="FC111" s="0" t="str">
        <f aca="false">IF(FB111="Y",Y111,"")</f>
        <v/>
      </c>
      <c r="FD111" s="0" t="str">
        <f aca="false">IF($A111="","",IF(AND(CK111="pass",AU111="Y",AV111&lt;&gt;"Y",U111="new",EW111="N"),"Y","N"))</f>
        <v>Y</v>
      </c>
      <c r="FE111" s="0" t="str">
        <f aca="false">IF(FD111&lt;&gt;"Y","",IF(COUNTIFS($FD$2:$FD$1000,"Y",$J$2:$J$1000,"&gt;"&amp;J111)+COUNTIFS($FD$2:$FD$1000,"Y",$J$2:$J$1000,J111,$FG$2:$FG$1000,"&lt;"&amp;FG111)+1&lt;=30,COUNTIFS($FD$2:$FD$1000,"Y",$J$2:$J$1000,"&gt;"&amp;J111)+COUNTIFS($FD$2:$FD$1000,"Y",$J$2:$J$1000,J111,$FG$2:$FG$1000,"&lt;"&amp;FG111)+1,""))</f>
        <v/>
      </c>
      <c r="FF111" s="0" t="str">
        <f aca="false">IF(AND(_xlfn.ISFORMULA(C111),_xlfn.ISFORMULA(J111)),"Y","N")</f>
        <v>Y</v>
      </c>
      <c r="FG111" s="0" t="n">
        <f aca="false">ROW()-1</f>
        <v>110</v>
      </c>
    </row>
    <row r="112" customFormat="false" ht="15" hidden="false" customHeight="false" outlineLevel="0" collapsed="false">
      <c r="A112" s="0" t="s">
        <v>8306</v>
      </c>
      <c r="B112" s="0" t="s">
        <v>8307</v>
      </c>
      <c r="C112" s="0" t="str">
        <f aca="false">IF($A112="","",IF(AT112="Y",BL112&amp;"",AY112&amp;""))</f>
        <v>Caue</v>
      </c>
      <c r="D112" s="0" t="str">
        <f aca="false">IF($A112="","",IF(AT112="Y",BM112&amp;"",AZ112&amp;""))</f>
        <v>Suplicy</v>
      </c>
      <c r="E112" s="0" t="str">
        <f aca="false">IF($A112="","",IF(AT112="Y",BN112&amp;"",BA112&amp;""))</f>
        <v>Founder</v>
      </c>
      <c r="F112" s="0" t="str">
        <f aca="false">IF($A112="","",IF(AT112="Y",BO112&amp;"",BB112&amp;""))</f>
        <v/>
      </c>
      <c r="G112" s="0" t="str">
        <f aca="false">IF($A112="","",IF(AT112="Y",BP112&amp;"",BC112&amp;""))</f>
        <v/>
      </c>
      <c r="H112" s="0" t="str">
        <f aca="false">IF($A112="","",IF(AT112="Y",BQ112&amp;"",BD112&amp;""))</f>
        <v>none</v>
      </c>
      <c r="I112" s="0" t="str">
        <f aca="false">IF($A112="","",IF(R112="Y","warm-intro",IF(H112="verified","email",IF(C112&lt;&gt;"","linkedin",CA112&amp;""))))</f>
        <v>linkedin</v>
      </c>
      <c r="J112" s="0" t="n">
        <f aca="false">IF($A112="","",IF(CK112="pass",ROUND(N(DO112)+N(DP112)+N(DQ112)+N(DR112)+N(DS112)+N(DT112)+N(DU112)+N(DV112),0),0))</f>
        <v>40</v>
      </c>
      <c r="K112" s="0" t="str">
        <f aca="false">IF($A112="","",IF(CK112&lt;&gt;"pass",BY112&amp;"",BY112&amp;", "&amp;IF(AT112="Y",BX112&amp;"",BK112&amp;"")&amp;BZ112&amp;IF(R112="Y","; known to the founder (+10)","")&amp;"."))</f>
        <v>Brand based outside the Northeast, store page shows Whole Foods Market Union Square inside the cluster, a new store listing 327 days ago, revenue unknown, contact named; founder review: not-emerging, format.</v>
      </c>
      <c r="M112" s="0" t="s">
        <v>5625</v>
      </c>
      <c r="N112" s="0" t="s">
        <v>5573</v>
      </c>
      <c r="O112" s="0" t="s">
        <v>8308</v>
      </c>
      <c r="P112" s="0" t="s">
        <v>8309</v>
      </c>
      <c r="Q112" s="0" t="s">
        <v>8310</v>
      </c>
      <c r="R112" s="5" t="s">
        <v>189</v>
      </c>
      <c r="S112" s="0" t="s">
        <v>209</v>
      </c>
      <c r="T112" s="5" t="s">
        <v>189</v>
      </c>
      <c r="U112" s="5" t="s">
        <v>3896</v>
      </c>
      <c r="V112" s="0" t="s">
        <v>8311</v>
      </c>
      <c r="W112" s="0" t="s">
        <v>263</v>
      </c>
      <c r="X112" s="0" t="s">
        <v>5578</v>
      </c>
      <c r="Y112" s="0" t="str">
        <f aca="false">IF(FA112&lt;&gt;"Y","",COUNTIFS($FA$2:$FA$1000,"Y",$J$2:$J$1000,"&gt;"&amp;J112)+COUNTIFS($FA$2:$FA$1000,"Y",$J$2:$J$1000,J112,$FG$2:$FG$1000,"&lt;"&amp;FG112)+1)</f>
        <v/>
      </c>
      <c r="Z112" s="0" t="n">
        <v>111</v>
      </c>
      <c r="AA112" s="0" t="s">
        <v>189</v>
      </c>
      <c r="AB112" s="0" t="str">
        <f aca="false">IF($A112="","",IF(AT112="Y",BW112&amp;"",BJ112&amp;""))</f>
        <v>find Caue Suplicy at Barnana on LinkedIn and paste the profile URL into primary_linkedin_url; use the Whole Foods Market Union Square line only if retailer_checked_date is this week's Friday check</v>
      </c>
      <c r="AC112" s="0" t="str">
        <f aca="false">IF($A112="","",IF(AT112="Y",BR112&amp;"",BE112&amp;""))</f>
        <v>founder</v>
      </c>
      <c r="AD112" s="0" t="str">
        <f aca="false">IF($A112="","",IF(AT112="Y",BS112&amp;"",BF112&amp;""))</f>
        <v>verified-page</v>
      </c>
      <c r="AE112" s="0" t="str">
        <f aca="false">IF($A112="","",IF(AT112="Y",BT112&amp;"",BG112&amp;""))</f>
        <v>employer's own site</v>
      </c>
      <c r="AF112" s="0" t="str">
        <f aca="false">IF($A112="","",IF(AT112="Y",BU112&amp;"",BH112&amp;""))</f>
        <v>https://barnana.com/pages/story</v>
      </c>
      <c r="AG112" s="0" t="str">
        <f aca="false">IF($A112="","",IF(AT112="Y",BV112&amp;"",BI112&amp;""))</f>
        <v>2026-10-23</v>
      </c>
      <c r="AH112" s="0" t="s">
        <v>8312</v>
      </c>
      <c r="AI112" s="0" t="s">
        <v>5789</v>
      </c>
      <c r="AJ112" s="0" t="s">
        <v>3503</v>
      </c>
      <c r="AK112" s="0" t="s">
        <v>8313</v>
      </c>
      <c r="AL112" s="0" t="s">
        <v>164</v>
      </c>
      <c r="AM112" s="0" t="s">
        <v>8314</v>
      </c>
      <c r="AN112" s="0" t="s">
        <v>8306</v>
      </c>
      <c r="AO112" s="5" t="s">
        <v>189</v>
      </c>
      <c r="AR112" s="0" t="str">
        <f aca="false">IF($A112="","",IF(AND(CK112="pass",AO112&lt;&gt;"Y",C112&lt;&gt;"",OR(AU112&lt;&gt;"Y",AV112="Y")),"Y","N"))</f>
        <v>N</v>
      </c>
      <c r="AS112" s="0" t="str">
        <f aca="false">IF($A112="","",_xlfn.TEXTJOIN("; ",TRUE(),IF(CK112&lt;&gt;"pass","gated out",""),IF(AO112="Y","on hold: "&amp;AP112,""),IF(C112="","no contact named on an opened page",""),IF(AND(AU112="Y",AV112&lt;&gt;"Y"),"founder review pending (Founder review tab)","")))</f>
        <v>founder review pending (Founder review tab)</v>
      </c>
      <c r="AU112" s="0" t="s">
        <v>164</v>
      </c>
      <c r="AX112" s="0" t="s">
        <v>8315</v>
      </c>
      <c r="AY112" s="0" t="s">
        <v>8316</v>
      </c>
      <c r="AZ112" s="0" t="s">
        <v>8317</v>
      </c>
      <c r="BA112" s="0" t="s">
        <v>5739</v>
      </c>
      <c r="BC112" s="0" t="str">
        <f aca="false">IF($A112="","",IFERROR(INDEX(Enrichment!$A$2:$GZ$2000,MATCH($A112,INDEX(Enrichment!$A$2:$GZ$2000,0,MATCH("row_id",Enrichment!$A$1:$GZ$1,0)),0),MATCH("work_email",Enrichment!$A$1:$GZ$1,0))&amp;"",""))</f>
        <v/>
      </c>
      <c r="BD112" s="0" t="str">
        <f aca="false">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none</v>
      </c>
      <c r="BE112" s="0" t="s">
        <v>5589</v>
      </c>
      <c r="BF112" s="0" t="s">
        <v>169</v>
      </c>
      <c r="BG112" s="0" t="s">
        <v>170</v>
      </c>
      <c r="BH112" s="0" t="s">
        <v>8311</v>
      </c>
      <c r="BI112" s="0" t="s">
        <v>263</v>
      </c>
      <c r="BJ112" s="0" t="s">
        <v>8318</v>
      </c>
      <c r="BK112" s="0" t="s">
        <v>5643</v>
      </c>
      <c r="BL112" s="0" t="s">
        <v>8319</v>
      </c>
      <c r="BM112" s="0" t="s">
        <v>8320</v>
      </c>
      <c r="BN112" s="0" t="s">
        <v>5739</v>
      </c>
      <c r="BP112" s="0" t="str">
        <f aca="false">IF($A112="","",IFERROR(INDEX(Enrichment!$A$2:$GZ$2000,MATCH($A112,INDEX(Enrichment!$A$2:$GZ$2000,0,MATCH("row_id",Enrichment!$A$1:$GZ$1,0)),0),MATCH("backup_work_email",Enrichment!$A$1:$GZ$1,0))&amp;"",""))</f>
        <v/>
      </c>
      <c r="BQ112" s="0" t="str">
        <f aca="false">IF($A112="","",IF(BP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none</v>
      </c>
      <c r="BR112" s="0" t="s">
        <v>7748</v>
      </c>
      <c r="BS112" s="0" t="s">
        <v>169</v>
      </c>
      <c r="BT112" s="0" t="s">
        <v>170</v>
      </c>
      <c r="BU112" s="0" t="s">
        <v>8311</v>
      </c>
      <c r="BV112" s="0" t="s">
        <v>263</v>
      </c>
      <c r="BW112" s="0" t="s">
        <v>8321</v>
      </c>
      <c r="BX112" s="0" t="s">
        <v>5643</v>
      </c>
      <c r="BY112" s="0" t="s">
        <v>8322</v>
      </c>
      <c r="BZ112" s="0" t="s">
        <v>8164</v>
      </c>
      <c r="CB112" s="0" t="s">
        <v>8323</v>
      </c>
      <c r="CF112" s="0" t="s">
        <v>8324</v>
      </c>
      <c r="CJ112" s="0" t="s">
        <v>7088</v>
      </c>
      <c r="CK112" s="0" t="s">
        <v>200</v>
      </c>
      <c r="CM112" s="0" t="s">
        <v>201</v>
      </c>
      <c r="CN112" s="0" t="s">
        <v>8166</v>
      </c>
      <c r="CO112" s="0" t="s">
        <v>8313</v>
      </c>
      <c r="CP112" s="0" t="s">
        <v>6550</v>
      </c>
      <c r="CQ112" s="0" t="s">
        <v>6198</v>
      </c>
      <c r="CR112" s="0" t="s">
        <v>209</v>
      </c>
      <c r="CT112" s="0" t="s">
        <v>164</v>
      </c>
      <c r="CU112" s="0" t="s">
        <v>8325</v>
      </c>
      <c r="CV112" s="0" t="s">
        <v>189</v>
      </c>
      <c r="CW112" s="0" t="s">
        <v>164</v>
      </c>
      <c r="CX112" s="0" t="s">
        <v>209</v>
      </c>
      <c r="CZ112" s="0" t="s">
        <v>209</v>
      </c>
      <c r="DA112" s="0" t="s">
        <v>189</v>
      </c>
      <c r="DB112" s="0" t="s">
        <v>189</v>
      </c>
      <c r="DD112" s="0" t="n">
        <v>0</v>
      </c>
      <c r="DE112" s="0" t="s">
        <v>164</v>
      </c>
      <c r="DF112" s="0" t="n">
        <v>1</v>
      </c>
      <c r="DG112" s="0" t="s">
        <v>5650</v>
      </c>
      <c r="DI112" s="0" t="s">
        <v>8326</v>
      </c>
      <c r="DJ112" s="0" t="s">
        <v>8327</v>
      </c>
      <c r="DK112" s="0" t="s">
        <v>5689</v>
      </c>
      <c r="DL112" s="0" t="n">
        <v>327</v>
      </c>
      <c r="DN112" s="0" t="n">
        <v>40</v>
      </c>
      <c r="DO112" s="0" t="n">
        <v>25</v>
      </c>
      <c r="DP112" s="0" t="n">
        <v>3</v>
      </c>
      <c r="DQ112" s="0" t="n">
        <v>4</v>
      </c>
      <c r="DR112" s="0" t="n">
        <v>5</v>
      </c>
      <c r="DS112" s="0" t="n">
        <v>7</v>
      </c>
      <c r="DT112" s="0" t="n">
        <v>6</v>
      </c>
      <c r="DU112" s="0" t="n">
        <f aca="false">IF($A112="","",IF(R112="Y",10,0))</f>
        <v>0</v>
      </c>
      <c r="DV112" s="0" t="n">
        <v>-10</v>
      </c>
      <c r="DW112" s="0" t="s">
        <v>209</v>
      </c>
      <c r="DX112" s="0" t="s">
        <v>5814</v>
      </c>
      <c r="DY112" s="0" t="s">
        <v>8328</v>
      </c>
      <c r="DZ112" s="0" t="s">
        <v>8329</v>
      </c>
      <c r="EA112" s="0" t="s">
        <v>8330</v>
      </c>
      <c r="EV112" s="0" t="str">
        <f aca="false">IF($A112="","",IF(ISNUMBER(MATCH(U112,{"queued","contacted","replied","call_booked","call_done","yes_in_principle","materials_sent"},0)),"Y","N"))</f>
        <v>N</v>
      </c>
      <c r="EW112" s="0" t="str">
        <f aca="false">IF($A112="","",IF(OR(T112="Y",U112="do_not_contact",AQ112&amp;""&lt;&gt;""),"Y","N"))</f>
        <v>N</v>
      </c>
      <c r="EX112" s="0" t="str">
        <f aca="false">IF($A112="","",IF(AN112&amp;""&lt;&gt;"",AN112&amp;"",$A112))</f>
        <v>AB-049</v>
      </c>
      <c r="EY112" s="0" t="str">
        <f aca="false">IF($A112="","",IF(COUNTIFS($EX$2:$EX$1000,EX112,$EV$2:$EV$1000,"Y")+COUNTIFS($EX$2:$EX$1000,EX112,$EW$2:$EW$1000,"Y")&gt;0,"Y","N"))</f>
        <v>N</v>
      </c>
      <c r="EZ112" s="0" t="str">
        <f aca="false">IF($A112="","",IF(AND(U112="new",T112="N",EW112="N",AR112="Y",EY112="N"),"Y","N"))</f>
        <v>N</v>
      </c>
      <c r="FA112" s="0" t="str">
        <f aca="false">IF($A112="","",IF(EZ112&lt;&gt;"Y","N",IF(COUNTIFS($EX$2:$EX$1000,EX112,$EZ$2:$EZ$1000,"Y",$J$2:$J$1000,"&gt;"&amp;J112)+COUNTIFS($EX$2:$EX$1000,EX112,$EZ$2:$EZ$1000,"Y",$J$2:$J$1000,J112,$FG$2:$FG$1000,"&lt;"&amp;FG112)=0,"Y","N")))</f>
        <v>N</v>
      </c>
      <c r="FB112" s="0" t="str">
        <f aca="false">IF($A112="","",IF(AND(EZ112="Y",FA112="Y",Y112&amp;""&lt;&gt;""),IF(Y112&lt;=10,"Y","N"),"N"))</f>
        <v>N</v>
      </c>
      <c r="FC112" s="0" t="str">
        <f aca="false">IF(FB112="Y",Y112,"")</f>
        <v/>
      </c>
      <c r="FD112" s="0" t="str">
        <f aca="false">IF($A112="","",IF(AND(CK112="pass",AU112="Y",AV112&lt;&gt;"Y",U112="new",EW112="N"),"Y","N"))</f>
        <v>Y</v>
      </c>
      <c r="FE112" s="0" t="str">
        <f aca="false">IF(FD112&lt;&gt;"Y","",IF(COUNTIFS($FD$2:$FD$1000,"Y",$J$2:$J$1000,"&gt;"&amp;J112)+COUNTIFS($FD$2:$FD$1000,"Y",$J$2:$J$1000,J112,$FG$2:$FG$1000,"&lt;"&amp;FG112)+1&lt;=30,COUNTIFS($FD$2:$FD$1000,"Y",$J$2:$J$1000,"&gt;"&amp;J112)+COUNTIFS($FD$2:$FD$1000,"Y",$J$2:$J$1000,J112,$FG$2:$FG$1000,"&lt;"&amp;FG112)+1,""))</f>
        <v/>
      </c>
      <c r="FF112" s="0" t="str">
        <f aca="false">IF(AND(_xlfn.ISFORMULA(C112),_xlfn.ISFORMULA(J112)),"Y","N")</f>
        <v>Y</v>
      </c>
      <c r="FG112" s="0" t="n">
        <f aca="false">ROW()-1</f>
        <v>111</v>
      </c>
    </row>
    <row r="113" customFormat="false" ht="15" hidden="false" customHeight="false" outlineLevel="0" collapsed="false">
      <c r="A113" s="0" t="s">
        <v>8331</v>
      </c>
      <c r="B113" s="0" t="s">
        <v>8332</v>
      </c>
      <c r="C113" s="0" t="str">
        <f aca="false">IF($A113="","",IF(AT113="Y",BL113&amp;"",AY113&amp;""))</f>
        <v>Christiana</v>
      </c>
      <c r="D113" s="0" t="str">
        <f aca="false">IF($A113="","",IF(AT113="Y",BM113&amp;"",AZ113&amp;""))</f>
        <v>Trapani</v>
      </c>
      <c r="E113" s="0" t="str">
        <f aca="false">IF($A113="","",IF(AT113="Y",BN113&amp;"",BA113&amp;""))</f>
        <v>Co-Founder</v>
      </c>
      <c r="F113" s="0" t="str">
        <f aca="false">IF($A113="","",IF(AT113="Y",BO113&amp;"",BB113&amp;""))</f>
        <v/>
      </c>
      <c r="G113" s="0" t="str">
        <f aca="false">IF($A113="","",IF(AT113="Y",BP113&amp;"",BC113&amp;""))</f>
        <v/>
      </c>
      <c r="H113" s="0" t="str">
        <f aca="false">IF($A113="","",IF(AT113="Y",BQ113&amp;"",BD113&amp;""))</f>
        <v>none</v>
      </c>
      <c r="I113" s="0" t="str">
        <f aca="false">IF($A113="","",IF(R113="Y","warm-intro",IF(H113="verified","email",IF(C113&lt;&gt;"","linkedin",CA113&amp;""))))</f>
        <v>linkedin</v>
      </c>
      <c r="J113" s="0" t="n">
        <f aca="false">IF($A113="","",IF(CK113="pass",ROUND(N(DO113)+N(DP113)+N(DQ113)+N(DR113)+N(DS113)+N(DT113)+N(DU113)+N(DV113),0),0))</f>
        <v>40</v>
      </c>
      <c r="K113" s="0" t="str">
        <f aca="false">IF($A113="","",IF(CK113&lt;&gt;"pass",BY113&amp;"",BY113&amp;", "&amp;IF(AT113="Y",BX113&amp;"",BK113&amp;"")&amp;BZ113&amp;IF(R113="Y","; known to the founder (+10)","")&amp;"."))</f>
        <v>Brand based outside the Northeast, no graded store within ten blocks, online store only, news 60 days ago, revenue unknown, contact named; founder review: alcohol-adjacent.</v>
      </c>
      <c r="M113" s="0" t="s">
        <v>6144</v>
      </c>
      <c r="N113" s="0" t="s">
        <v>740</v>
      </c>
      <c r="O113" s="0" t="s">
        <v>8333</v>
      </c>
      <c r="P113" s="0" t="s">
        <v>8334</v>
      </c>
      <c r="Q113" s="0" t="s">
        <v>7420</v>
      </c>
      <c r="R113" s="5" t="s">
        <v>189</v>
      </c>
      <c r="S113" s="0" t="s">
        <v>164</v>
      </c>
      <c r="T113" s="5" t="s">
        <v>189</v>
      </c>
      <c r="U113" s="5" t="s">
        <v>3896</v>
      </c>
      <c r="V113" s="0" t="s">
        <v>8335</v>
      </c>
      <c r="W113" s="0" t="s">
        <v>263</v>
      </c>
      <c r="X113" s="0" t="s">
        <v>5578</v>
      </c>
      <c r="Y113" s="0" t="str">
        <f aca="false">IF(FA113&lt;&gt;"Y","",COUNTIFS($FA$2:$FA$1000,"Y",$J$2:$J$1000,"&gt;"&amp;J113)+COUNTIFS($FA$2:$FA$1000,"Y",$J$2:$J$1000,J113,$FG$2:$FG$1000,"&lt;"&amp;FG113)+1)</f>
        <v/>
      </c>
      <c r="Z113" s="0" t="n">
        <v>112</v>
      </c>
      <c r="AA113" s="0" t="s">
        <v>189</v>
      </c>
      <c r="AB113" s="0" t="str">
        <f aca="false">IF($A113="","",IF(AT113="Y",BW113&amp;"",BJ113&amp;""))</f>
        <v>find Christiana Trapani at Luba Libations on LinkedIn and paste the profile URL into primary_linkedin_url</v>
      </c>
      <c r="AC113" s="0" t="str">
        <f aca="false">IF($A113="","",IF(AT113="Y",BR113&amp;"",BE113&amp;""))</f>
        <v>founder</v>
      </c>
      <c r="AD113" s="0" t="str">
        <f aca="false">IF($A113="","",IF(AT113="Y",BS113&amp;"",BF113&amp;""))</f>
        <v>verified-page</v>
      </c>
      <c r="AE113" s="0" t="str">
        <f aca="false">IF($A113="","",IF(AT113="Y",BT113&amp;"",BG113&amp;""))</f>
        <v>press, event or podcast page</v>
      </c>
      <c r="AF113" s="0" t="str">
        <f aca="false">IF($A113="","",IF(AT113="Y",BU113&amp;"",BH113&amp;""))</f>
        <v>https://startupcpg.com/startup-cpg-newswire-luba-libations-selected-as-emerging-brand-for-2026-nourishing-change-conference/</v>
      </c>
      <c r="AG113" s="0" t="str">
        <f aca="false">IF($A113="","",IF(AT113="Y",BV113&amp;"",BI113&amp;""))</f>
        <v>2026-10-23</v>
      </c>
      <c r="AH113" s="0" t="s">
        <v>8336</v>
      </c>
      <c r="AI113" s="0" t="s">
        <v>6699</v>
      </c>
      <c r="AJ113" s="0" t="s">
        <v>8337</v>
      </c>
      <c r="AK113" s="0" t="s">
        <v>8338</v>
      </c>
      <c r="AL113" s="0" t="s">
        <v>164</v>
      </c>
      <c r="AM113" s="0" t="s">
        <v>8339</v>
      </c>
      <c r="AN113" s="0" t="s">
        <v>8331</v>
      </c>
      <c r="AO113" s="5" t="s">
        <v>189</v>
      </c>
      <c r="AR113" s="0" t="str">
        <f aca="false">IF($A113="","",IF(AND(CK113="pass",AO113&lt;&gt;"Y",C113&lt;&gt;"",OR(AU113&lt;&gt;"Y",AV113="Y")),"Y","N"))</f>
        <v>N</v>
      </c>
      <c r="AS113" s="0" t="str">
        <f aca="false">IF($A113="","",_xlfn.TEXTJOIN("; ",TRUE(),IF(CK113&lt;&gt;"pass","gated out",""),IF(AO113="Y","on hold: "&amp;AP113,""),IF(C113="","no contact named on an opened page",""),IF(AND(AU113="Y",AV113&lt;&gt;"Y"),"founder review pending (Founder review tab)","")))</f>
        <v>founder review pending (Founder review tab)</v>
      </c>
      <c r="AU113" s="0" t="s">
        <v>164</v>
      </c>
      <c r="AY113" s="0" t="s">
        <v>8340</v>
      </c>
      <c r="AZ113" s="0" t="s">
        <v>8341</v>
      </c>
      <c r="BA113" s="0" t="s">
        <v>8342</v>
      </c>
      <c r="BC113" s="0" t="str">
        <f aca="false">IF($A113="","",IFERROR(INDEX(Enrichment!$A$2:$GZ$2000,MATCH($A113,INDEX(Enrichment!$A$2:$GZ$2000,0,MATCH("row_id",Enrichment!$A$1:$GZ$1,0)),0),MATCH("work_email",Enrichment!$A$1:$GZ$1,0))&amp;"",""))</f>
        <v/>
      </c>
      <c r="BD113" s="0" t="str">
        <f aca="false">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none</v>
      </c>
      <c r="BE113" s="0" t="s">
        <v>5589</v>
      </c>
      <c r="BF113" s="0" t="s">
        <v>169</v>
      </c>
      <c r="BG113" s="0" t="s">
        <v>1252</v>
      </c>
      <c r="BH113" s="0" t="s">
        <v>8343</v>
      </c>
      <c r="BI113" s="0" t="s">
        <v>263</v>
      </c>
      <c r="BJ113" s="0" t="s">
        <v>8344</v>
      </c>
      <c r="BK113" s="0" t="s">
        <v>5643</v>
      </c>
      <c r="BL113" s="0" t="s">
        <v>8345</v>
      </c>
      <c r="BM113" s="0" t="s">
        <v>8341</v>
      </c>
      <c r="BN113" s="0" t="s">
        <v>8346</v>
      </c>
      <c r="BP113" s="0" t="str">
        <f aca="false">IF($A113="","",IFERROR(INDEX(Enrichment!$A$2:$GZ$2000,MATCH($A113,INDEX(Enrichment!$A$2:$GZ$2000,0,MATCH("row_id",Enrichment!$A$1:$GZ$1,0)),0),MATCH("backup_work_email",Enrichment!$A$1:$GZ$1,0))&amp;"",""))</f>
        <v/>
      </c>
      <c r="BQ113" s="0" t="str">
        <f aca="false">IF($A113="","",IF(BP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none</v>
      </c>
      <c r="BR113" s="0" t="s">
        <v>7748</v>
      </c>
      <c r="BS113" s="0" t="s">
        <v>169</v>
      </c>
      <c r="BT113" s="0" t="s">
        <v>1252</v>
      </c>
      <c r="BU113" s="0" t="s">
        <v>8343</v>
      </c>
      <c r="BV113" s="0" t="s">
        <v>263</v>
      </c>
      <c r="BW113" s="0" t="s">
        <v>8347</v>
      </c>
      <c r="BX113" s="0" t="s">
        <v>5643</v>
      </c>
      <c r="BY113" s="0" t="s">
        <v>8348</v>
      </c>
      <c r="BZ113" s="0" t="s">
        <v>6706</v>
      </c>
      <c r="CB113" s="0" t="s">
        <v>8349</v>
      </c>
      <c r="CF113" s="0" t="s">
        <v>8350</v>
      </c>
      <c r="CJ113" s="0" t="s">
        <v>7088</v>
      </c>
      <c r="CK113" s="0" t="s">
        <v>200</v>
      </c>
      <c r="CM113" s="0" t="s">
        <v>201</v>
      </c>
      <c r="CN113" s="0" t="s">
        <v>6709</v>
      </c>
      <c r="CO113" s="0" t="s">
        <v>8338</v>
      </c>
      <c r="CP113" s="0" t="s">
        <v>6606</v>
      </c>
      <c r="CQ113" s="0" t="s">
        <v>6198</v>
      </c>
      <c r="CR113" s="0" t="s">
        <v>209</v>
      </c>
      <c r="CT113" s="0" t="s">
        <v>164</v>
      </c>
      <c r="CU113" s="0" t="s">
        <v>8351</v>
      </c>
      <c r="CV113" s="0" t="s">
        <v>164</v>
      </c>
      <c r="CW113" s="0" t="s">
        <v>164</v>
      </c>
      <c r="CX113" s="0" t="s">
        <v>209</v>
      </c>
      <c r="CZ113" s="0" t="s">
        <v>6456</v>
      </c>
      <c r="DA113" s="0" t="s">
        <v>189</v>
      </c>
      <c r="DB113" s="0" t="s">
        <v>189</v>
      </c>
      <c r="DE113" s="0" t="s">
        <v>189</v>
      </c>
      <c r="DF113" s="0" t="n">
        <v>0</v>
      </c>
      <c r="DI113" s="0" t="s">
        <v>7906</v>
      </c>
      <c r="DJ113" s="0" t="s">
        <v>8352</v>
      </c>
      <c r="DK113" s="0" t="s">
        <v>5617</v>
      </c>
      <c r="DL113" s="0" t="n">
        <v>60</v>
      </c>
      <c r="DM113" s="0" t="s">
        <v>8343</v>
      </c>
      <c r="DN113" s="0" t="n">
        <v>40</v>
      </c>
      <c r="DO113" s="0" t="n">
        <v>6</v>
      </c>
      <c r="DP113" s="0" t="n">
        <v>3</v>
      </c>
      <c r="DQ113" s="0" t="n">
        <v>15</v>
      </c>
      <c r="DR113" s="0" t="n">
        <v>5</v>
      </c>
      <c r="DS113" s="0" t="n">
        <v>10</v>
      </c>
      <c r="DT113" s="0" t="n">
        <v>6</v>
      </c>
      <c r="DU113" s="0" t="n">
        <f aca="false">IF($A113="","",IF(R113="Y",10,0))</f>
        <v>0</v>
      </c>
      <c r="DV113" s="0" t="n">
        <v>-5</v>
      </c>
      <c r="DW113" s="0" t="s">
        <v>209</v>
      </c>
      <c r="DX113" s="0" t="s">
        <v>6462</v>
      </c>
      <c r="DY113" s="0" t="s">
        <v>8353</v>
      </c>
      <c r="DZ113" s="0" t="s">
        <v>8354</v>
      </c>
      <c r="EA113" s="0" t="s">
        <v>8355</v>
      </c>
      <c r="EV113" s="0" t="str">
        <f aca="false">IF($A113="","",IF(ISNUMBER(MATCH(U113,{"queued","contacted","replied","call_booked","call_done","yes_in_principle","materials_sent"},0)),"Y","N"))</f>
        <v>N</v>
      </c>
      <c r="EW113" s="0" t="str">
        <f aca="false">IF($A113="","",IF(OR(T113="Y",U113="do_not_contact",AQ113&amp;""&lt;&gt;""),"Y","N"))</f>
        <v>N</v>
      </c>
      <c r="EX113" s="0" t="str">
        <f aca="false">IF($A113="","",IF(AN113&amp;""&lt;&gt;"",AN113&amp;"",$A113))</f>
        <v>AB-164</v>
      </c>
      <c r="EY113" s="0" t="str">
        <f aca="false">IF($A113="","",IF(COUNTIFS($EX$2:$EX$1000,EX113,$EV$2:$EV$1000,"Y")+COUNTIFS($EX$2:$EX$1000,EX113,$EW$2:$EW$1000,"Y")&gt;0,"Y","N"))</f>
        <v>N</v>
      </c>
      <c r="EZ113" s="0" t="str">
        <f aca="false">IF($A113="","",IF(AND(U113="new",T113="N",EW113="N",AR113="Y",EY113="N"),"Y","N"))</f>
        <v>N</v>
      </c>
      <c r="FA113" s="0" t="str">
        <f aca="false">IF($A113="","",IF(EZ113&lt;&gt;"Y","N",IF(COUNTIFS($EX$2:$EX$1000,EX113,$EZ$2:$EZ$1000,"Y",$J$2:$J$1000,"&gt;"&amp;J113)+COUNTIFS($EX$2:$EX$1000,EX113,$EZ$2:$EZ$1000,"Y",$J$2:$J$1000,J113,$FG$2:$FG$1000,"&lt;"&amp;FG113)=0,"Y","N")))</f>
        <v>N</v>
      </c>
      <c r="FB113" s="0" t="str">
        <f aca="false">IF($A113="","",IF(AND(EZ113="Y",FA113="Y",Y113&amp;""&lt;&gt;""),IF(Y113&lt;=10,"Y","N"),"N"))</f>
        <v>N</v>
      </c>
      <c r="FC113" s="0" t="str">
        <f aca="false">IF(FB113="Y",Y113,"")</f>
        <v/>
      </c>
      <c r="FD113" s="0" t="str">
        <f aca="false">IF($A113="","",IF(AND(CK113="pass",AU113="Y",AV113&lt;&gt;"Y",U113="new",EW113="N"),"Y","N"))</f>
        <v>Y</v>
      </c>
      <c r="FE113" s="0" t="str">
        <f aca="false">IF(FD113&lt;&gt;"Y","",IF(COUNTIFS($FD$2:$FD$1000,"Y",$J$2:$J$1000,"&gt;"&amp;J113)+COUNTIFS($FD$2:$FD$1000,"Y",$J$2:$J$1000,J113,$FG$2:$FG$1000,"&lt;"&amp;FG113)+1&lt;=30,COUNTIFS($FD$2:$FD$1000,"Y",$J$2:$J$1000,"&gt;"&amp;J113)+COUNTIFS($FD$2:$FD$1000,"Y",$J$2:$J$1000,J113,$FG$2:$FG$1000,"&lt;"&amp;FG113)+1,""))</f>
        <v/>
      </c>
      <c r="FF113" s="0" t="str">
        <f aca="false">IF(AND(_xlfn.ISFORMULA(C113),_xlfn.ISFORMULA(J113)),"Y","N")</f>
        <v>Y</v>
      </c>
      <c r="FG113" s="0" t="n">
        <f aca="false">ROW()-1</f>
        <v>112</v>
      </c>
    </row>
    <row r="114" customFormat="false" ht="15" hidden="false" customHeight="false" outlineLevel="0" collapsed="false">
      <c r="A114" s="0" t="s">
        <v>8356</v>
      </c>
      <c r="B114" s="0" t="s">
        <v>8357</v>
      </c>
      <c r="C114" s="0" t="str">
        <f aca="false">IF($A114="","",IF(AT114="Y",BL114&amp;"",AY114&amp;""))</f>
        <v>Bridget</v>
      </c>
      <c r="D114" s="0" t="str">
        <f aca="false">IF($A114="","",IF(AT114="Y",BM114&amp;"",AZ114&amp;""))</f>
        <v>Firtle</v>
      </c>
      <c r="E114" s="0" t="str">
        <f aca="false">IF($A114="","",IF(AT114="Y",BN114&amp;"",BA114&amp;""))</f>
        <v>Founder</v>
      </c>
      <c r="F114" s="0" t="str">
        <f aca="false">IF($A114="","",IF(AT114="Y",BO114&amp;"",BB114&amp;""))</f>
        <v/>
      </c>
      <c r="G114" s="0" t="str">
        <f aca="false">IF($A114="","",IF(AT114="Y",BP114&amp;"",BC114&amp;""))</f>
        <v/>
      </c>
      <c r="H114" s="0" t="str">
        <f aca="false">IF($A114="","",IF(AT114="Y",BQ114&amp;"",BD114&amp;""))</f>
        <v>none</v>
      </c>
      <c r="I114" s="0" t="str">
        <f aca="false">IF($A114="","",IF(R114="Y","warm-intro",IF(H114="verified","email",IF(C114&lt;&gt;"","linkedin",CA114&amp;""))))</f>
        <v>linkedin</v>
      </c>
      <c r="J114" s="0" t="n">
        <f aca="false">IF($A114="","",IF(CK114="pass",ROUND(N(DO114)+N(DP114)+N(DQ114)+N(DR114)+N(DS114)+N(DT114)+N(DU114)+N(DV114),0),0))</f>
        <v>40</v>
      </c>
      <c r="K114" s="0" t="str">
        <f aca="false">IF($A114="","",IF(CK114&lt;&gt;"pass",BY114&amp;"",BY114&amp;", "&amp;IF(AT114="Y",BX114&amp;"",BK114&amp;"")&amp;BZ114&amp;IF(R114="Y","; known to the founder (+10)","")&amp;"."))</f>
        <v>New York City brand, no graded store within ten blocks, online store only, no dated why-now in the last 12 months, revenue unknown, contact named; founder review: claim-functional, nutrient-claim.</v>
      </c>
      <c r="M114" s="0" t="s">
        <v>6144</v>
      </c>
      <c r="N114" s="0" t="s">
        <v>740</v>
      </c>
      <c r="R114" s="5" t="s">
        <v>189</v>
      </c>
      <c r="S114" s="0" t="s">
        <v>209</v>
      </c>
      <c r="T114" s="5" t="s">
        <v>189</v>
      </c>
      <c r="U114" s="5" t="s">
        <v>3896</v>
      </c>
      <c r="V114" s="0" t="s">
        <v>8358</v>
      </c>
      <c r="W114" s="0" t="s">
        <v>263</v>
      </c>
      <c r="X114" s="0" t="s">
        <v>5578</v>
      </c>
      <c r="Y114" s="0" t="str">
        <f aca="false">IF(FA114&lt;&gt;"Y","",COUNTIFS($FA$2:$FA$1000,"Y",$J$2:$J$1000,"&gt;"&amp;J114)+COUNTIFS($FA$2:$FA$1000,"Y",$J$2:$J$1000,J114,$FG$2:$FG$1000,"&lt;"&amp;FG114)+1)</f>
        <v/>
      </c>
      <c r="Z114" s="0" t="n">
        <v>113</v>
      </c>
      <c r="AA114" s="0" t="s">
        <v>189</v>
      </c>
      <c r="AB114" s="0" t="str">
        <f aca="false">IF($A114="","",IF(AT114="Y",BW114&amp;"",BJ114&amp;""))</f>
        <v>find Bridget Firtle at Rockaway Soda on LinkedIn and paste the profile URL into primary_linkedin_url</v>
      </c>
      <c r="AC114" s="0" t="str">
        <f aca="false">IF($A114="","",IF(AT114="Y",BR114&amp;"",BE114&amp;""))</f>
        <v>founder</v>
      </c>
      <c r="AD114" s="0" t="str">
        <f aca="false">IF($A114="","",IF(AT114="Y",BS114&amp;"",BF114&amp;""))</f>
        <v>verified-page</v>
      </c>
      <c r="AE114" s="0" t="str">
        <f aca="false">IF($A114="","",IF(AT114="Y",BT114&amp;"",BG114&amp;""))</f>
        <v>press, event or podcast page</v>
      </c>
      <c r="AF114" s="0" t="str">
        <f aca="false">IF($A114="","",IF(AT114="Y",BU114&amp;"",BH114&amp;""))</f>
        <v>https://amny.com/news/queens-entrepreneur-rockaway-sparkling-water-company</v>
      </c>
      <c r="AG114" s="0" t="str">
        <f aca="false">IF($A114="","",IF(AT114="Y",BV114&amp;"",BI114&amp;""))</f>
        <v>2026-10-23</v>
      </c>
      <c r="AH114" s="0" t="s">
        <v>8359</v>
      </c>
      <c r="AI114" s="0" t="s">
        <v>5580</v>
      </c>
      <c r="AJ114" s="0" t="s">
        <v>8360</v>
      </c>
      <c r="AK114" s="0" t="s">
        <v>8361</v>
      </c>
      <c r="AL114" s="0" t="s">
        <v>164</v>
      </c>
      <c r="AM114" s="0" t="s">
        <v>8362</v>
      </c>
      <c r="AN114" s="0" t="s">
        <v>8356</v>
      </c>
      <c r="AO114" s="5" t="s">
        <v>189</v>
      </c>
      <c r="AR114" s="0" t="str">
        <f aca="false">IF($A114="","",IF(AND(CK114="pass",AO114&lt;&gt;"Y",C114&lt;&gt;"",OR(AU114&lt;&gt;"Y",AV114="Y")),"Y","N"))</f>
        <v>N</v>
      </c>
      <c r="AS114" s="0" t="str">
        <f aca="false">IF($A114="","",_xlfn.TEXTJOIN("; ",TRUE(),IF(CK114&lt;&gt;"pass","gated out",""),IF(AO114="Y","on hold: "&amp;AP114,""),IF(C114="","no contact named on an opened page",""),IF(AND(AU114="Y",AV114&lt;&gt;"Y"),"founder review pending (Founder review tab)","")))</f>
        <v>founder review pending (Founder review tab)</v>
      </c>
      <c r="AU114" s="0" t="s">
        <v>164</v>
      </c>
      <c r="AY114" s="0" t="s">
        <v>8363</v>
      </c>
      <c r="AZ114" s="0" t="s">
        <v>8364</v>
      </c>
      <c r="BA114" s="0" t="s">
        <v>5739</v>
      </c>
      <c r="BC114" s="0" t="str">
        <f aca="false">IF($A114="","",IFERROR(INDEX(Enrichment!$A$2:$GZ$2000,MATCH($A114,INDEX(Enrichment!$A$2:$GZ$2000,0,MATCH("row_id",Enrichment!$A$1:$GZ$1,0)),0),MATCH("work_email",Enrichment!$A$1:$GZ$1,0))&amp;"",""))</f>
        <v/>
      </c>
      <c r="BD114" s="0" t="str">
        <f aca="false">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none</v>
      </c>
      <c r="BE114" s="0" t="s">
        <v>5589</v>
      </c>
      <c r="BF114" s="0" t="s">
        <v>169</v>
      </c>
      <c r="BG114" s="0" t="s">
        <v>1252</v>
      </c>
      <c r="BH114" s="0" t="s">
        <v>8365</v>
      </c>
      <c r="BI114" s="0" t="s">
        <v>263</v>
      </c>
      <c r="BJ114" s="0" t="s">
        <v>8366</v>
      </c>
      <c r="BK114" s="0" t="s">
        <v>5643</v>
      </c>
      <c r="BP114" s="0" t="str">
        <f aca="false">IF($A114="","",IFERROR(INDEX(Enrichment!$A$2:$GZ$2000,MATCH($A114,INDEX(Enrichment!$A$2:$GZ$2000,0,MATCH("row_id",Enrichment!$A$1:$GZ$1,0)),0),MATCH("backup_work_email",Enrichment!$A$1:$GZ$1,0))&amp;"",""))</f>
        <v/>
      </c>
      <c r="BQ114" s="0" t="str">
        <f aca="false">IF($A114="","",IF(BP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none</v>
      </c>
      <c r="BS114" s="0" t="s">
        <v>380</v>
      </c>
      <c r="BW114" s="0" t="s">
        <v>387</v>
      </c>
      <c r="BX114" s="0" t="s">
        <v>388</v>
      </c>
      <c r="BY114" s="0" t="s">
        <v>7496</v>
      </c>
      <c r="BZ114" s="0" t="s">
        <v>6050</v>
      </c>
      <c r="CB114" s="0" t="s">
        <v>8367</v>
      </c>
      <c r="CJ114" s="0" t="s">
        <v>7088</v>
      </c>
      <c r="CK114" s="0" t="s">
        <v>200</v>
      </c>
      <c r="CM114" s="0" t="s">
        <v>201</v>
      </c>
      <c r="CN114" s="0" t="s">
        <v>6051</v>
      </c>
      <c r="CO114" s="0" t="s">
        <v>8361</v>
      </c>
      <c r="CP114" s="0" t="s">
        <v>5608</v>
      </c>
      <c r="CQ114" s="0" t="s">
        <v>5609</v>
      </c>
      <c r="CR114" s="0" t="s">
        <v>8368</v>
      </c>
      <c r="CS114" s="0" t="s">
        <v>8358</v>
      </c>
      <c r="CT114" s="0" t="s">
        <v>209</v>
      </c>
      <c r="CU114" s="0" t="s">
        <v>6710</v>
      </c>
      <c r="CV114" s="0" t="s">
        <v>164</v>
      </c>
      <c r="CW114" s="0" t="s">
        <v>164</v>
      </c>
      <c r="CX114" s="0" t="s">
        <v>209</v>
      </c>
      <c r="CZ114" s="0" t="s">
        <v>6456</v>
      </c>
      <c r="DA114" s="0" t="s">
        <v>189</v>
      </c>
      <c r="DB114" s="0" t="s">
        <v>189</v>
      </c>
      <c r="DE114" s="0" t="s">
        <v>189</v>
      </c>
      <c r="DF114" s="0" t="n">
        <v>0</v>
      </c>
      <c r="DI114" s="0" t="s">
        <v>7906</v>
      </c>
      <c r="DJ114" s="0" t="s">
        <v>8369</v>
      </c>
      <c r="DK114" s="0" t="s">
        <v>380</v>
      </c>
      <c r="DN114" s="0" t="n">
        <v>40</v>
      </c>
      <c r="DO114" s="0" t="n">
        <v>6</v>
      </c>
      <c r="DP114" s="0" t="n">
        <v>20</v>
      </c>
      <c r="DQ114" s="0" t="n">
        <v>0</v>
      </c>
      <c r="DR114" s="0" t="n">
        <v>5</v>
      </c>
      <c r="DS114" s="0" t="n">
        <v>7</v>
      </c>
      <c r="DT114" s="0" t="n">
        <v>6</v>
      </c>
      <c r="DU114" s="0" t="n">
        <f aca="false">IF($A114="","",IF(R114="Y",10,0))</f>
        <v>0</v>
      </c>
      <c r="DV114" s="0" t="n">
        <v>-4</v>
      </c>
      <c r="DW114" s="0" t="s">
        <v>8370</v>
      </c>
      <c r="DX114" s="0" t="s">
        <v>6462</v>
      </c>
      <c r="DY114" s="0" t="s">
        <v>8371</v>
      </c>
      <c r="DZ114" s="0" t="s">
        <v>8372</v>
      </c>
      <c r="EA114" s="0" t="s">
        <v>8373</v>
      </c>
      <c r="EV114" s="0" t="str">
        <f aca="false">IF($A114="","",IF(ISNUMBER(MATCH(U114,{"queued","contacted","replied","call_booked","call_done","yes_in_principle","materials_sent"},0)),"Y","N"))</f>
        <v>N</v>
      </c>
      <c r="EW114" s="0" t="str">
        <f aca="false">IF($A114="","",IF(OR(T114="Y",U114="do_not_contact",AQ114&amp;""&lt;&gt;""),"Y","N"))</f>
        <v>N</v>
      </c>
      <c r="EX114" s="0" t="str">
        <f aca="false">IF($A114="","",IF(AN114&amp;""&lt;&gt;"",AN114&amp;"",$A114))</f>
        <v>AB-178</v>
      </c>
      <c r="EY114" s="0" t="str">
        <f aca="false">IF($A114="","",IF(COUNTIFS($EX$2:$EX$1000,EX114,$EV$2:$EV$1000,"Y")+COUNTIFS($EX$2:$EX$1000,EX114,$EW$2:$EW$1000,"Y")&gt;0,"Y","N"))</f>
        <v>N</v>
      </c>
      <c r="EZ114" s="0" t="str">
        <f aca="false">IF($A114="","",IF(AND(U114="new",T114="N",EW114="N",AR114="Y",EY114="N"),"Y","N"))</f>
        <v>N</v>
      </c>
      <c r="FA114" s="0" t="str">
        <f aca="false">IF($A114="","",IF(EZ114&lt;&gt;"Y","N",IF(COUNTIFS($EX$2:$EX$1000,EX114,$EZ$2:$EZ$1000,"Y",$J$2:$J$1000,"&gt;"&amp;J114)+COUNTIFS($EX$2:$EX$1000,EX114,$EZ$2:$EZ$1000,"Y",$J$2:$J$1000,J114,$FG$2:$FG$1000,"&lt;"&amp;FG114)=0,"Y","N")))</f>
        <v>N</v>
      </c>
      <c r="FB114" s="0" t="str">
        <f aca="false">IF($A114="","",IF(AND(EZ114="Y",FA114="Y",Y114&amp;""&lt;&gt;""),IF(Y114&lt;=10,"Y","N"),"N"))</f>
        <v>N</v>
      </c>
      <c r="FC114" s="0" t="str">
        <f aca="false">IF(FB114="Y",Y114,"")</f>
        <v/>
      </c>
      <c r="FD114" s="0" t="str">
        <f aca="false">IF($A114="","",IF(AND(CK114="pass",AU114="Y",AV114&lt;&gt;"Y",U114="new",EW114="N"),"Y","N"))</f>
        <v>Y</v>
      </c>
      <c r="FE114" s="0" t="str">
        <f aca="false">IF(FD114&lt;&gt;"Y","",IF(COUNTIFS($FD$2:$FD$1000,"Y",$J$2:$J$1000,"&gt;"&amp;J114)+COUNTIFS($FD$2:$FD$1000,"Y",$J$2:$J$1000,J114,$FG$2:$FG$1000,"&lt;"&amp;FG114)+1&lt;=30,COUNTIFS($FD$2:$FD$1000,"Y",$J$2:$J$1000,"&gt;"&amp;J114)+COUNTIFS($FD$2:$FD$1000,"Y",$J$2:$J$1000,J114,$FG$2:$FG$1000,"&lt;"&amp;FG114)+1,""))</f>
        <v/>
      </c>
      <c r="FF114" s="0" t="str">
        <f aca="false">IF(AND(_xlfn.ISFORMULA(C114),_xlfn.ISFORMULA(J114)),"Y","N")</f>
        <v>Y</v>
      </c>
      <c r="FG114" s="0" t="n">
        <f aca="false">ROW()-1</f>
        <v>113</v>
      </c>
    </row>
    <row r="115" customFormat="false" ht="15" hidden="false" customHeight="false" outlineLevel="0" collapsed="false">
      <c r="A115" s="0" t="s">
        <v>8374</v>
      </c>
      <c r="B115" s="0" t="s">
        <v>8375</v>
      </c>
      <c r="C115" s="0" t="str">
        <f aca="false">IF($A115="","",IF(AT115="Y",BL115&amp;"",AY115&amp;""))</f>
        <v/>
      </c>
      <c r="D115" s="0" t="str">
        <f aca="false">IF($A115="","",IF(AT115="Y",BM115&amp;"",AZ115&amp;""))</f>
        <v/>
      </c>
      <c r="E115" s="0" t="str">
        <f aca="false">IF($A115="","",IF(AT115="Y",BN115&amp;"",BA115&amp;""))</f>
        <v/>
      </c>
      <c r="F115" s="0" t="str">
        <f aca="false">IF($A115="","",IF(AT115="Y",BO115&amp;"",BB115&amp;""))</f>
        <v/>
      </c>
      <c r="G115" s="0" t="str">
        <f aca="false">IF($A115="","",IF(AT115="Y",BP115&amp;"",BC115&amp;""))</f>
        <v/>
      </c>
      <c r="H115" s="0" t="str">
        <f aca="false">IF($A115="","",IF(AT115="Y",BQ115&amp;"",BD115&amp;""))</f>
        <v>none</v>
      </c>
      <c r="I115" s="0" t="str">
        <f aca="false">IF($A115="","",IF(R115="Y","warm-intro",IF(H115="verified","email",IF(C115&lt;&gt;"","linkedin",CA115&amp;""))))</f>
        <v/>
      </c>
      <c r="J115" s="0" t="n">
        <f aca="false">IF($A115="","",IF(CK115="pass",ROUND(N(DO115)+N(DP115)+N(DQ115)+N(DR115)+N(DS115)+N(DT115)+N(DU115)+N(DV115),0),0))</f>
        <v>40</v>
      </c>
      <c r="K115" s="0" t="str">
        <f aca="false">IF($A115="","",IF(CK115&lt;&gt;"pass",BY115&amp;"",BY115&amp;", "&amp;IF(AT115="Y",BX115&amp;"",BK115&amp;"")&amp;BZ115&amp;IF(R115="Y","; known to the founder (+10)","")&amp;"."))</f>
        <v>New York State brand, no graded store within ten blocks, online store only, a new store listing 7 days ago, revenue unknown, contact seen only in a snippet; founder review: other.</v>
      </c>
      <c r="M115" s="0" t="s">
        <v>6144</v>
      </c>
      <c r="N115" s="0" t="s">
        <v>740</v>
      </c>
      <c r="O115" s="0" t="s">
        <v>8376</v>
      </c>
      <c r="P115" s="0" t="s">
        <v>8377</v>
      </c>
      <c r="Q115" s="0" t="s">
        <v>8378</v>
      </c>
      <c r="R115" s="5" t="s">
        <v>189</v>
      </c>
      <c r="S115" s="0" t="s">
        <v>209</v>
      </c>
      <c r="T115" s="5" t="s">
        <v>189</v>
      </c>
      <c r="U115" s="5" t="s">
        <v>3896</v>
      </c>
      <c r="V115" s="0" t="s">
        <v>8379</v>
      </c>
      <c r="W115" s="0" t="s">
        <v>263</v>
      </c>
      <c r="X115" s="0" t="s">
        <v>5578</v>
      </c>
      <c r="Y115" s="0" t="str">
        <f aca="false">IF(FA115&lt;&gt;"Y","",COUNTIFS($FA$2:$FA$1000,"Y",$J$2:$J$1000,"&gt;"&amp;J115)+COUNTIFS($FA$2:$FA$1000,"Y",$J$2:$J$1000,J115,$FG$2:$FG$1000,"&lt;"&amp;FG115)+1)</f>
        <v/>
      </c>
      <c r="Z115" s="0" t="n">
        <v>114</v>
      </c>
      <c r="AA115" s="0" t="s">
        <v>189</v>
      </c>
      <c r="AB115" s="0" t="str">
        <f aca="false">IF($A115="","",IF(AT115="Y",BW115&amp;"",BJ115&amp;""))</f>
        <v>no person named on an opened page: not ready</v>
      </c>
      <c r="AC115" s="0" t="str">
        <f aca="false">IF($A115="","",IF(AT115="Y",BR115&amp;"",BE115&amp;""))</f>
        <v>founder</v>
      </c>
      <c r="AD115" s="0" t="str">
        <f aca="false">IF($A115="","",IF(AT115="Y",BS115&amp;"",BF115&amp;""))</f>
        <v>unverified</v>
      </c>
      <c r="AE115" s="0" t="str">
        <f aca="false">IF($A115="","",IF(AT115="Y",BT115&amp;"",BG115&amp;""))</f>
        <v>employer's own site</v>
      </c>
      <c r="AF115" s="0" t="str">
        <f aca="false">IF($A115="","",IF(AT115="Y",BU115&amp;"",BH115&amp;""))</f>
        <v>https://lagustasluscious.com/pages/press</v>
      </c>
      <c r="AG115" s="0" t="str">
        <f aca="false">IF($A115="","",IF(AT115="Y",BV115&amp;"",BI115&amp;""))</f>
        <v>2026-10-23</v>
      </c>
      <c r="AH115" s="0" t="s">
        <v>8380</v>
      </c>
      <c r="AI115" s="0" t="s">
        <v>5664</v>
      </c>
      <c r="AJ115" s="0" t="s">
        <v>8381</v>
      </c>
      <c r="AK115" s="0" t="s">
        <v>8382</v>
      </c>
      <c r="AL115" s="0" t="s">
        <v>164</v>
      </c>
      <c r="AM115" s="0" t="s">
        <v>8383</v>
      </c>
      <c r="AN115" s="0" t="s">
        <v>8374</v>
      </c>
      <c r="AO115" s="5" t="s">
        <v>189</v>
      </c>
      <c r="AR115" s="0" t="str">
        <f aca="false">IF($A115="","",IF(AND(CK115="pass",AO115&lt;&gt;"Y",C115&lt;&gt;"",OR(AU115&lt;&gt;"Y",AV115="Y")),"Y","N"))</f>
        <v>N</v>
      </c>
      <c r="AS115" s="0" t="str">
        <f aca="false">IF($A115="","",_xlfn.TEXTJOIN("; ",TRUE(),IF(CK115&lt;&gt;"pass","gated out",""),IF(AO115="Y","on hold: "&amp;AP115,""),IF(C115="","no contact named on an opened page",""),IF(AND(AU115="Y",AV115&lt;&gt;"Y"),"founder review pending (Founder review tab)","")))</f>
        <v>no contact named on an opened page</v>
      </c>
      <c r="AU115" s="0" t="s">
        <v>189</v>
      </c>
      <c r="BC115" s="0" t="str">
        <f aca="false">IF($A115="","",IFERROR(INDEX(Enrichment!$A$2:$GZ$2000,MATCH($A115,INDEX(Enrichment!$A$2:$GZ$2000,0,MATCH("row_id",Enrichment!$A$1:$GZ$1,0)),0),MATCH("work_email",Enrichment!$A$1:$GZ$1,0))&amp;"",""))</f>
        <v/>
      </c>
      <c r="BD115" s="0" t="str">
        <f aca="false">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none</v>
      </c>
      <c r="BE115" s="0" t="s">
        <v>5589</v>
      </c>
      <c r="BF115" s="0" t="s">
        <v>740</v>
      </c>
      <c r="BG115" s="0" t="s">
        <v>170</v>
      </c>
      <c r="BH115" s="0" t="s">
        <v>8384</v>
      </c>
      <c r="BI115" s="0" t="s">
        <v>263</v>
      </c>
      <c r="BJ115" s="0" t="s">
        <v>7105</v>
      </c>
      <c r="BK115" s="0" t="s">
        <v>5834</v>
      </c>
      <c r="BP115" s="0" t="str">
        <f aca="false">IF($A115="","",IFERROR(INDEX(Enrichment!$A$2:$GZ$2000,MATCH($A115,INDEX(Enrichment!$A$2:$GZ$2000,0,MATCH("row_id",Enrichment!$A$1:$GZ$1,0)),0),MATCH("backup_work_email",Enrichment!$A$1:$GZ$1,0))&amp;"",""))</f>
        <v/>
      </c>
      <c r="BQ115" s="0" t="str">
        <f aca="false">IF($A115="","",IF(BP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none</v>
      </c>
      <c r="BS115" s="0" t="s">
        <v>380</v>
      </c>
      <c r="BW115" s="0" t="s">
        <v>387</v>
      </c>
      <c r="BX115" s="0" t="s">
        <v>388</v>
      </c>
      <c r="BY115" s="0" t="s">
        <v>8385</v>
      </c>
      <c r="BZ115" s="0" t="s">
        <v>5960</v>
      </c>
      <c r="CB115" s="0" t="s">
        <v>8386</v>
      </c>
      <c r="CD115" s="0" t="s">
        <v>8387</v>
      </c>
      <c r="CJ115" s="0" t="s">
        <v>7088</v>
      </c>
      <c r="CK115" s="0" t="s">
        <v>200</v>
      </c>
      <c r="CM115" s="0" t="s">
        <v>201</v>
      </c>
      <c r="CN115" s="0" t="s">
        <v>443</v>
      </c>
      <c r="CO115" s="0" t="s">
        <v>8382</v>
      </c>
      <c r="CP115" s="0" t="s">
        <v>5608</v>
      </c>
      <c r="CQ115" s="0" t="s">
        <v>5870</v>
      </c>
      <c r="CR115" s="0" t="s">
        <v>209</v>
      </c>
      <c r="CT115" s="0" t="s">
        <v>209</v>
      </c>
      <c r="CU115" s="0" t="s">
        <v>8388</v>
      </c>
      <c r="CV115" s="0" t="s">
        <v>164</v>
      </c>
      <c r="CW115" s="0" t="s">
        <v>164</v>
      </c>
      <c r="CX115" s="0" t="s">
        <v>209</v>
      </c>
      <c r="CZ115" s="0" t="s">
        <v>209</v>
      </c>
      <c r="DA115" s="0" t="s">
        <v>189</v>
      </c>
      <c r="DB115" s="0" t="s">
        <v>189</v>
      </c>
      <c r="DE115" s="0" t="s">
        <v>189</v>
      </c>
      <c r="DF115" s="0" t="n">
        <v>0</v>
      </c>
      <c r="DI115" s="0" t="s">
        <v>8389</v>
      </c>
      <c r="DK115" s="0" t="s">
        <v>5689</v>
      </c>
      <c r="DL115" s="0" t="n">
        <v>7</v>
      </c>
      <c r="DN115" s="0" t="n">
        <v>40</v>
      </c>
      <c r="DO115" s="0" t="n">
        <v>6</v>
      </c>
      <c r="DP115" s="0" t="n">
        <v>13</v>
      </c>
      <c r="DQ115" s="0" t="n">
        <v>8</v>
      </c>
      <c r="DR115" s="0" t="n">
        <v>5</v>
      </c>
      <c r="DS115" s="0" t="n">
        <v>7</v>
      </c>
      <c r="DT115" s="0" t="n">
        <v>3</v>
      </c>
      <c r="DU115" s="0" t="n">
        <f aca="false">IF($A115="","",IF(R115="Y",10,0))</f>
        <v>0</v>
      </c>
      <c r="DV115" s="0" t="n">
        <v>-2</v>
      </c>
      <c r="DW115" s="0" t="s">
        <v>8390</v>
      </c>
      <c r="DX115" s="0" t="s">
        <v>5691</v>
      </c>
      <c r="DY115" s="0" t="s">
        <v>8391</v>
      </c>
      <c r="DZ115" s="0" t="s">
        <v>8392</v>
      </c>
      <c r="EA115" s="0" t="s">
        <v>8393</v>
      </c>
      <c r="EV115" s="0" t="str">
        <f aca="false">IF($A115="","",IF(ISNUMBER(MATCH(U115,{"queued","contacted","replied","call_booked","call_done","yes_in_principle","materials_sent"},0)),"Y","N"))</f>
        <v>N</v>
      </c>
      <c r="EW115" s="0" t="str">
        <f aca="false">IF($A115="","",IF(OR(T115="Y",U115="do_not_contact",AQ115&amp;""&lt;&gt;""),"Y","N"))</f>
        <v>N</v>
      </c>
      <c r="EX115" s="0" t="str">
        <f aca="false">IF($A115="","",IF(AN115&amp;""&lt;&gt;"",AN115&amp;"",$A115))</f>
        <v>AB-094</v>
      </c>
      <c r="EY115" s="0" t="str">
        <f aca="false">IF($A115="","",IF(COUNTIFS($EX$2:$EX$1000,EX115,$EV$2:$EV$1000,"Y")+COUNTIFS($EX$2:$EX$1000,EX115,$EW$2:$EW$1000,"Y")&gt;0,"Y","N"))</f>
        <v>N</v>
      </c>
      <c r="EZ115" s="0" t="str">
        <f aca="false">IF($A115="","",IF(AND(U115="new",T115="N",EW115="N",AR115="Y",EY115="N"),"Y","N"))</f>
        <v>N</v>
      </c>
      <c r="FA115" s="0" t="str">
        <f aca="false">IF($A115="","",IF(EZ115&lt;&gt;"Y","N",IF(COUNTIFS($EX$2:$EX$1000,EX115,$EZ$2:$EZ$1000,"Y",$J$2:$J$1000,"&gt;"&amp;J115)+COUNTIFS($EX$2:$EX$1000,EX115,$EZ$2:$EZ$1000,"Y",$J$2:$J$1000,J115,$FG$2:$FG$1000,"&lt;"&amp;FG115)=0,"Y","N")))</f>
        <v>N</v>
      </c>
      <c r="FB115" s="0" t="str">
        <f aca="false">IF($A115="","",IF(AND(EZ115="Y",FA115="Y",Y115&amp;""&lt;&gt;""),IF(Y115&lt;=10,"Y","N"),"N"))</f>
        <v>N</v>
      </c>
      <c r="FC115" s="0" t="str">
        <f aca="false">IF(FB115="Y",Y115,"")</f>
        <v/>
      </c>
      <c r="FD115" s="0" t="str">
        <f aca="false">IF($A115="","",IF(AND(CK115="pass",AU115="Y",AV115&lt;&gt;"Y",U115="new",EW115="N"),"Y","N"))</f>
        <v>N</v>
      </c>
      <c r="FE115" s="0" t="str">
        <f aca="false">IF(FD115&lt;&gt;"Y","",IF(COUNTIFS($FD$2:$FD$1000,"Y",$J$2:$J$1000,"&gt;"&amp;J115)+COUNTIFS($FD$2:$FD$1000,"Y",$J$2:$J$1000,J115,$FG$2:$FG$1000,"&lt;"&amp;FG115)+1&lt;=30,COUNTIFS($FD$2:$FD$1000,"Y",$J$2:$J$1000,"&gt;"&amp;J115)+COUNTIFS($FD$2:$FD$1000,"Y",$J$2:$J$1000,J115,$FG$2:$FG$1000,"&lt;"&amp;FG115)+1,""))</f>
        <v/>
      </c>
      <c r="FF115" s="0" t="str">
        <f aca="false">IF(AND(_xlfn.ISFORMULA(C115),_xlfn.ISFORMULA(J115)),"Y","N")</f>
        <v>Y</v>
      </c>
      <c r="FG115" s="0" t="n">
        <f aca="false">ROW()-1</f>
        <v>114</v>
      </c>
    </row>
    <row r="116" customFormat="false" ht="15" hidden="false" customHeight="false" outlineLevel="0" collapsed="false">
      <c r="A116" s="0" t="s">
        <v>8394</v>
      </c>
      <c r="B116" s="0" t="s">
        <v>8395</v>
      </c>
      <c r="C116" s="0" t="str">
        <f aca="false">IF($A116="","",IF(AT116="Y",BL116&amp;"",AY116&amp;""))</f>
        <v/>
      </c>
      <c r="D116" s="0" t="str">
        <f aca="false">IF($A116="","",IF(AT116="Y",BM116&amp;"",AZ116&amp;""))</f>
        <v/>
      </c>
      <c r="E116" s="0" t="str">
        <f aca="false">IF($A116="","",IF(AT116="Y",BN116&amp;"",BA116&amp;""))</f>
        <v/>
      </c>
      <c r="F116" s="0" t="str">
        <f aca="false">IF($A116="","",IF(AT116="Y",BO116&amp;"",BB116&amp;""))</f>
        <v/>
      </c>
      <c r="G116" s="0" t="str">
        <f aca="false">IF($A116="","",IF(AT116="Y",BP116&amp;"",BC116&amp;""))</f>
        <v/>
      </c>
      <c r="H116" s="0" t="str">
        <f aca="false">IF($A116="","",IF(AT116="Y",BQ116&amp;"",BD116&amp;""))</f>
        <v>none</v>
      </c>
      <c r="I116" s="0" t="str">
        <f aca="false">IF($A116="","",IF(R116="Y","warm-intro",IF(H116="verified","email",IF(C116&lt;&gt;"","linkedin",CA116&amp;""))))</f>
        <v/>
      </c>
      <c r="J116" s="0" t="n">
        <f aca="false">IF($A116="","",IF(CK116="pass",ROUND(N(DO116)+N(DP116)+N(DQ116)+N(DR116)+N(DS116)+N(DT116)+N(DU116)+N(DV116),0),0))</f>
        <v>40</v>
      </c>
      <c r="K116" s="0" t="str">
        <f aca="false">IF($A116="","",IF(CK116&lt;&gt;"pass",BY116&amp;"",BY116&amp;", "&amp;IF(AT116="Y",BX116&amp;"",BK116&amp;"")&amp;BZ116&amp;IF(R116="Y","; known to the founder (+10)","")&amp;"."))</f>
        <v>Northeast brand, no graded store within ten blocks, online store only, news 118 days ago, revenue unknown, no contact named; founder review: claim-functional, nutrient-claim.</v>
      </c>
      <c r="M116" s="0" t="s">
        <v>6144</v>
      </c>
      <c r="N116" s="0" t="s">
        <v>740</v>
      </c>
      <c r="O116" s="0" t="s">
        <v>8396</v>
      </c>
      <c r="P116" s="0" t="s">
        <v>5979</v>
      </c>
      <c r="Q116" s="0" t="s">
        <v>5980</v>
      </c>
      <c r="R116" s="5" t="s">
        <v>189</v>
      </c>
      <c r="S116" s="0" t="s">
        <v>164</v>
      </c>
      <c r="T116" s="5" t="s">
        <v>189</v>
      </c>
      <c r="U116" s="5" t="s">
        <v>3896</v>
      </c>
      <c r="V116" s="0" t="s">
        <v>8397</v>
      </c>
      <c r="W116" s="0" t="s">
        <v>172</v>
      </c>
      <c r="X116" s="0" t="s">
        <v>5578</v>
      </c>
      <c r="Y116" s="0" t="str">
        <f aca="false">IF(FA116&lt;&gt;"Y","",COUNTIFS($FA$2:$FA$1000,"Y",$J$2:$J$1000,"&gt;"&amp;J116)+COUNTIFS($FA$2:$FA$1000,"Y",$J$2:$J$1000,J116,$FG$2:$FG$1000,"&lt;"&amp;FG116)+1)</f>
        <v/>
      </c>
      <c r="Z116" s="0" t="n">
        <v>115</v>
      </c>
      <c r="AA116" s="0" t="s">
        <v>189</v>
      </c>
      <c r="AB116" s="0" t="str">
        <f aca="false">IF($A116="","",IF(AT116="Y",BW116&amp;"",BJ116&amp;""))</f>
        <v>no person named on an opened page: not ready</v>
      </c>
      <c r="AC116" s="0" t="str">
        <f aca="false">IF($A116="","",IF(AT116="Y",BR116&amp;"",BE116&amp;""))</f>
        <v/>
      </c>
      <c r="AD116" s="0" t="str">
        <f aca="false">IF($A116="","",IF(AT116="Y",BS116&amp;"",BF116&amp;""))</f>
        <v>none</v>
      </c>
      <c r="AE116" s="0" t="str">
        <f aca="false">IF($A116="","",IF(AT116="Y",BT116&amp;"",BG116&amp;""))</f>
        <v/>
      </c>
      <c r="AF116" s="0" t="str">
        <f aca="false">IF($A116="","",IF(AT116="Y",BU116&amp;"",BH116&amp;""))</f>
        <v/>
      </c>
      <c r="AG116" s="0" t="str">
        <f aca="false">IF($A116="","",IF(AT116="Y",BV116&amp;"",BI116&amp;""))</f>
        <v/>
      </c>
      <c r="AH116" s="0" t="s">
        <v>8398</v>
      </c>
      <c r="AI116" s="0" t="s">
        <v>6240</v>
      </c>
      <c r="AJ116" s="0" t="s">
        <v>209</v>
      </c>
      <c r="AK116" s="0" t="s">
        <v>8399</v>
      </c>
      <c r="AL116" s="0" t="s">
        <v>164</v>
      </c>
      <c r="AM116" s="0" t="s">
        <v>8400</v>
      </c>
      <c r="AN116" s="0" t="s">
        <v>8394</v>
      </c>
      <c r="AO116" s="5" t="s">
        <v>189</v>
      </c>
      <c r="AR116" s="0" t="str">
        <f aca="false">IF($A116="","",IF(AND(CK116="pass",AO116&lt;&gt;"Y",C116&lt;&gt;"",OR(AU116&lt;&gt;"Y",AV116="Y")),"Y","N"))</f>
        <v>N</v>
      </c>
      <c r="AS116" s="0" t="str">
        <f aca="false">IF($A116="","",_xlfn.TEXTJOIN("; ",TRUE(),IF(CK116&lt;&gt;"pass","gated out",""),IF(AO116="Y","on hold: "&amp;AP116,""),IF(C116="","no contact named on an opened page",""),IF(AND(AU116="Y",AV116&lt;&gt;"Y"),"founder review pending (Founder review tab)","")))</f>
        <v>no contact named on an opened page; founder review pending (Founder review tab)</v>
      </c>
      <c r="AU116" s="0" t="s">
        <v>164</v>
      </c>
      <c r="BC116" s="0" t="str">
        <f aca="false">IF($A116="","",IFERROR(INDEX(Enrichment!$A$2:$GZ$2000,MATCH($A116,INDEX(Enrichment!$A$2:$GZ$2000,0,MATCH("row_id",Enrichment!$A$1:$GZ$1,0)),0),MATCH("work_email",Enrichment!$A$1:$GZ$1,0))&amp;"",""))</f>
        <v/>
      </c>
      <c r="BD116" s="0" t="str">
        <f aca="false">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none</v>
      </c>
      <c r="BF116" s="0" t="s">
        <v>380</v>
      </c>
      <c r="BJ116" s="0" t="s">
        <v>7105</v>
      </c>
      <c r="BK116" s="0" t="s">
        <v>6048</v>
      </c>
      <c r="BP116" s="0" t="str">
        <f aca="false">IF($A116="","",IFERROR(INDEX(Enrichment!$A$2:$GZ$2000,MATCH($A116,INDEX(Enrichment!$A$2:$GZ$2000,0,MATCH("row_id",Enrichment!$A$1:$GZ$1,0)),0),MATCH("backup_work_email",Enrichment!$A$1:$GZ$1,0))&amp;"",""))</f>
        <v/>
      </c>
      <c r="BQ116" s="0" t="str">
        <f aca="false">IF($A116="","",IF(BP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none</v>
      </c>
      <c r="BS116" s="0" t="s">
        <v>380</v>
      </c>
      <c r="BW116" s="0" t="s">
        <v>387</v>
      </c>
      <c r="BX116" s="0" t="s">
        <v>388</v>
      </c>
      <c r="BY116" s="0" t="s">
        <v>7679</v>
      </c>
      <c r="BZ116" s="0" t="s">
        <v>6050</v>
      </c>
      <c r="CJ116" s="0" t="s">
        <v>7088</v>
      </c>
      <c r="CK116" s="0" t="s">
        <v>200</v>
      </c>
      <c r="CM116" s="0" t="s">
        <v>201</v>
      </c>
      <c r="CN116" s="0" t="s">
        <v>6051</v>
      </c>
      <c r="CO116" s="0" t="s">
        <v>8401</v>
      </c>
      <c r="CP116" s="0" t="s">
        <v>6083</v>
      </c>
      <c r="CQ116" s="0" t="s">
        <v>6084</v>
      </c>
      <c r="CR116" s="0" t="s">
        <v>209</v>
      </c>
      <c r="CT116" s="0" t="s">
        <v>164</v>
      </c>
      <c r="CU116" s="0" t="s">
        <v>8402</v>
      </c>
      <c r="CV116" s="0" t="s">
        <v>164</v>
      </c>
      <c r="CW116" s="0" t="s">
        <v>164</v>
      </c>
      <c r="CX116" s="0" t="s">
        <v>209</v>
      </c>
      <c r="CZ116" s="0" t="s">
        <v>5993</v>
      </c>
      <c r="DA116" s="0" t="s">
        <v>189</v>
      </c>
      <c r="DB116" s="0" t="s">
        <v>189</v>
      </c>
      <c r="DE116" s="0" t="s">
        <v>189</v>
      </c>
      <c r="DF116" s="0" t="n">
        <v>0</v>
      </c>
      <c r="DI116" s="0" t="s">
        <v>209</v>
      </c>
      <c r="DK116" s="0" t="s">
        <v>5617</v>
      </c>
      <c r="DL116" s="0" t="n">
        <v>118</v>
      </c>
      <c r="DM116" s="0" t="s">
        <v>5979</v>
      </c>
      <c r="DN116" s="0" t="n">
        <v>40</v>
      </c>
      <c r="DO116" s="0" t="n">
        <v>6</v>
      </c>
      <c r="DP116" s="0" t="n">
        <v>8</v>
      </c>
      <c r="DQ116" s="0" t="n">
        <v>15</v>
      </c>
      <c r="DR116" s="0" t="n">
        <v>5</v>
      </c>
      <c r="DS116" s="0" t="n">
        <v>10</v>
      </c>
      <c r="DT116" s="0" t="n">
        <v>0</v>
      </c>
      <c r="DU116" s="0" t="n">
        <f aca="false">IF($A116="","",IF(R116="Y",10,0))</f>
        <v>0</v>
      </c>
      <c r="DV116" s="0" t="n">
        <v>-4</v>
      </c>
      <c r="DW116" s="0" t="s">
        <v>8403</v>
      </c>
      <c r="DX116" s="0" t="s">
        <v>5998</v>
      </c>
      <c r="DY116" s="0" t="s">
        <v>8404</v>
      </c>
      <c r="DZ116" s="0" t="s">
        <v>8405</v>
      </c>
      <c r="EA116" s="0" t="s">
        <v>8406</v>
      </c>
      <c r="EV116" s="0" t="str">
        <f aca="false">IF($A116="","",IF(ISNUMBER(MATCH(U116,{"queued","contacted","replied","call_booked","call_done","yes_in_principle","materials_sent"},0)),"Y","N"))</f>
        <v>N</v>
      </c>
      <c r="EW116" s="0" t="str">
        <f aca="false">IF($A116="","",IF(OR(T116="Y",U116="do_not_contact",AQ116&amp;""&lt;&gt;""),"Y","N"))</f>
        <v>N</v>
      </c>
      <c r="EX116" s="0" t="str">
        <f aca="false">IF($A116="","",IF(AN116&amp;""&lt;&gt;"",AN116&amp;"",$A116))</f>
        <v>AB-309</v>
      </c>
      <c r="EY116" s="0" t="str">
        <f aca="false">IF($A116="","",IF(COUNTIFS($EX$2:$EX$1000,EX116,$EV$2:$EV$1000,"Y")+COUNTIFS($EX$2:$EX$1000,EX116,$EW$2:$EW$1000,"Y")&gt;0,"Y","N"))</f>
        <v>N</v>
      </c>
      <c r="EZ116" s="0" t="str">
        <f aca="false">IF($A116="","",IF(AND(U116="new",T116="N",EW116="N",AR116="Y",EY116="N"),"Y","N"))</f>
        <v>N</v>
      </c>
      <c r="FA116" s="0" t="str">
        <f aca="false">IF($A116="","",IF(EZ116&lt;&gt;"Y","N",IF(COUNTIFS($EX$2:$EX$1000,EX116,$EZ$2:$EZ$1000,"Y",$J$2:$J$1000,"&gt;"&amp;J116)+COUNTIFS($EX$2:$EX$1000,EX116,$EZ$2:$EZ$1000,"Y",$J$2:$J$1000,J116,$FG$2:$FG$1000,"&lt;"&amp;FG116)=0,"Y","N")))</f>
        <v>N</v>
      </c>
      <c r="FB116" s="0" t="str">
        <f aca="false">IF($A116="","",IF(AND(EZ116="Y",FA116="Y",Y116&amp;""&lt;&gt;""),IF(Y116&lt;=10,"Y","N"),"N"))</f>
        <v>N</v>
      </c>
      <c r="FC116" s="0" t="str">
        <f aca="false">IF(FB116="Y",Y116,"")</f>
        <v/>
      </c>
      <c r="FD116" s="0" t="str">
        <f aca="false">IF($A116="","",IF(AND(CK116="pass",AU116="Y",AV116&lt;&gt;"Y",U116="new",EW116="N"),"Y","N"))</f>
        <v>Y</v>
      </c>
      <c r="FE116" s="0" t="str">
        <f aca="false">IF(FD116&lt;&gt;"Y","",IF(COUNTIFS($FD$2:$FD$1000,"Y",$J$2:$J$1000,"&gt;"&amp;J116)+COUNTIFS($FD$2:$FD$1000,"Y",$J$2:$J$1000,J116,$FG$2:$FG$1000,"&lt;"&amp;FG116)+1&lt;=30,COUNTIFS($FD$2:$FD$1000,"Y",$J$2:$J$1000,"&gt;"&amp;J116)+COUNTIFS($FD$2:$FD$1000,"Y",$J$2:$J$1000,J116,$FG$2:$FG$1000,"&lt;"&amp;FG116)+1,""))</f>
        <v/>
      </c>
      <c r="FF116" s="0" t="str">
        <f aca="false">IF(AND(_xlfn.ISFORMULA(C116),_xlfn.ISFORMULA(J116)),"Y","N")</f>
        <v>Y</v>
      </c>
      <c r="FG116" s="0" t="n">
        <f aca="false">ROW()-1</f>
        <v>115</v>
      </c>
    </row>
    <row r="117" customFormat="false" ht="15" hidden="false" customHeight="false" outlineLevel="0" collapsed="false">
      <c r="A117" s="0" t="s">
        <v>8407</v>
      </c>
      <c r="B117" s="0" t="s">
        <v>8408</v>
      </c>
      <c r="C117" s="0" t="str">
        <f aca="false">IF($A117="","",IF(AT117="Y",BL117&amp;"",AY117&amp;""))</f>
        <v/>
      </c>
      <c r="D117" s="0" t="str">
        <f aca="false">IF($A117="","",IF(AT117="Y",BM117&amp;"",AZ117&amp;""))</f>
        <v/>
      </c>
      <c r="E117" s="0" t="str">
        <f aca="false">IF($A117="","",IF(AT117="Y",BN117&amp;"",BA117&amp;""))</f>
        <v/>
      </c>
      <c r="F117" s="0" t="str">
        <f aca="false">IF($A117="","",IF(AT117="Y",BO117&amp;"",BB117&amp;""))</f>
        <v/>
      </c>
      <c r="G117" s="0" t="str">
        <f aca="false">IF($A117="","",IF(AT117="Y",BP117&amp;"",BC117&amp;""))</f>
        <v/>
      </c>
      <c r="H117" s="0" t="str">
        <f aca="false">IF($A117="","",IF(AT117="Y",BQ117&amp;"",BD117&amp;""))</f>
        <v>none</v>
      </c>
      <c r="I117" s="0" t="str">
        <f aca="false">IF($A117="","",IF(R117="Y","warm-intro",IF(H117="verified","email",IF(C117&lt;&gt;"","linkedin",CA117&amp;""))))</f>
        <v/>
      </c>
      <c r="J117" s="0" t="n">
        <f aca="false">IF($A117="","",IF(CK117="pass",ROUND(N(DO117)+N(DP117)+N(DQ117)+N(DR117)+N(DS117)+N(DT117)+N(DU117)+N(DV117),0),0))</f>
        <v>40</v>
      </c>
      <c r="K117" s="0" t="str">
        <f aca="false">IF($A117="","",IF(CK117&lt;&gt;"pass",BY117&amp;"",BY117&amp;", "&amp;IF(AT117="Y",BX117&amp;"",BK117&amp;"")&amp;BZ117&amp;IF(R117="Y","; known to the founder (+10)","")&amp;"."))</f>
        <v>Northeast brand, no graded store within ten blocks, online store only, news 118 days ago, revenue unknown, no contact named; founder review: nutrient-claim.</v>
      </c>
      <c r="M117" s="0" t="s">
        <v>6144</v>
      </c>
      <c r="N117" s="0" t="s">
        <v>740</v>
      </c>
      <c r="O117" s="0" t="s">
        <v>8409</v>
      </c>
      <c r="P117" s="0" t="s">
        <v>8410</v>
      </c>
      <c r="Q117" s="0" t="s">
        <v>5980</v>
      </c>
      <c r="R117" s="5" t="s">
        <v>189</v>
      </c>
      <c r="S117" s="0" t="s">
        <v>209</v>
      </c>
      <c r="T117" s="5" t="s">
        <v>189</v>
      </c>
      <c r="U117" s="5" t="s">
        <v>3896</v>
      </c>
      <c r="V117" s="0" t="s">
        <v>8410</v>
      </c>
      <c r="W117" s="0" t="s">
        <v>172</v>
      </c>
      <c r="X117" s="0" t="s">
        <v>5578</v>
      </c>
      <c r="Y117" s="0" t="str">
        <f aca="false">IF(FA117&lt;&gt;"Y","",COUNTIFS($FA$2:$FA$1000,"Y",$J$2:$J$1000,"&gt;"&amp;J117)+COUNTIFS($FA$2:$FA$1000,"Y",$J$2:$J$1000,J117,$FG$2:$FG$1000,"&lt;"&amp;FG117)+1)</f>
        <v/>
      </c>
      <c r="Z117" s="0" t="n">
        <v>116</v>
      </c>
      <c r="AA117" s="0" t="s">
        <v>189</v>
      </c>
      <c r="AB117" s="0" t="str">
        <f aca="false">IF($A117="","",IF(AT117="Y",BW117&amp;"",BJ117&amp;""))</f>
        <v>no person named on an opened page: not ready</v>
      </c>
      <c r="AC117" s="0" t="str">
        <f aca="false">IF($A117="","",IF(AT117="Y",BR117&amp;"",BE117&amp;""))</f>
        <v/>
      </c>
      <c r="AD117" s="0" t="str">
        <f aca="false">IF($A117="","",IF(AT117="Y",BS117&amp;"",BF117&amp;""))</f>
        <v>none</v>
      </c>
      <c r="AE117" s="0" t="str">
        <f aca="false">IF($A117="","",IF(AT117="Y",BT117&amp;"",BG117&amp;""))</f>
        <v/>
      </c>
      <c r="AF117" s="0" t="str">
        <f aca="false">IF($A117="","",IF(AT117="Y",BU117&amp;"",BH117&amp;""))</f>
        <v/>
      </c>
      <c r="AG117" s="0" t="str">
        <f aca="false">IF($A117="","",IF(AT117="Y",BV117&amp;"",BI117&amp;""))</f>
        <v/>
      </c>
      <c r="AH117" s="0" t="s">
        <v>8411</v>
      </c>
      <c r="AI117" s="0" t="s">
        <v>5789</v>
      </c>
      <c r="AJ117" s="0" t="s">
        <v>209</v>
      </c>
      <c r="AK117" s="0" t="s">
        <v>8412</v>
      </c>
      <c r="AL117" s="0" t="s">
        <v>164</v>
      </c>
      <c r="AM117" s="0" t="s">
        <v>8413</v>
      </c>
      <c r="AN117" s="0" t="s">
        <v>8407</v>
      </c>
      <c r="AO117" s="5" t="s">
        <v>189</v>
      </c>
      <c r="AR117" s="0" t="str">
        <f aca="false">IF($A117="","",IF(AND(CK117="pass",AO117&lt;&gt;"Y",C117&lt;&gt;"",OR(AU117&lt;&gt;"Y",AV117="Y")),"Y","N"))</f>
        <v>N</v>
      </c>
      <c r="AS117" s="0" t="str">
        <f aca="false">IF($A117="","",_xlfn.TEXTJOIN("; ",TRUE(),IF(CK117&lt;&gt;"pass","gated out",""),IF(AO117="Y","on hold: "&amp;AP117,""),IF(C117="","no contact named on an opened page",""),IF(AND(AU117="Y",AV117&lt;&gt;"Y"),"founder review pending (Founder review tab)","")))</f>
        <v>no contact named on an opened page</v>
      </c>
      <c r="AU117" s="0" t="s">
        <v>189</v>
      </c>
      <c r="BC117" s="0" t="str">
        <f aca="false">IF($A117="","",IFERROR(INDEX(Enrichment!$A$2:$GZ$2000,MATCH($A117,INDEX(Enrichment!$A$2:$GZ$2000,0,MATCH("row_id",Enrichment!$A$1:$GZ$1,0)),0),MATCH("work_email",Enrichment!$A$1:$GZ$1,0))&amp;"",""))</f>
        <v/>
      </c>
      <c r="BD117" s="0" t="str">
        <f aca="false">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none</v>
      </c>
      <c r="BF117" s="0" t="s">
        <v>380</v>
      </c>
      <c r="BJ117" s="0" t="s">
        <v>7105</v>
      </c>
      <c r="BK117" s="0" t="s">
        <v>6048</v>
      </c>
      <c r="BP117" s="0" t="str">
        <f aca="false">IF($A117="","",IFERROR(INDEX(Enrichment!$A$2:$GZ$2000,MATCH($A117,INDEX(Enrichment!$A$2:$GZ$2000,0,MATCH("row_id",Enrichment!$A$1:$GZ$1,0)),0),MATCH("backup_work_email",Enrichment!$A$1:$GZ$1,0))&amp;"",""))</f>
        <v/>
      </c>
      <c r="BQ117" s="0" t="str">
        <f aca="false">IF($A117="","",IF(BP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none</v>
      </c>
      <c r="BS117" s="0" t="s">
        <v>380</v>
      </c>
      <c r="BW117" s="0" t="s">
        <v>387</v>
      </c>
      <c r="BX117" s="0" t="s">
        <v>388</v>
      </c>
      <c r="BY117" s="0" t="s">
        <v>7679</v>
      </c>
      <c r="BZ117" s="0" t="s">
        <v>5601</v>
      </c>
      <c r="CJ117" s="0" t="s">
        <v>7088</v>
      </c>
      <c r="CK117" s="0" t="s">
        <v>200</v>
      </c>
      <c r="CM117" s="0" t="s">
        <v>201</v>
      </c>
      <c r="CN117" s="0" t="s">
        <v>5607</v>
      </c>
      <c r="CO117" s="0" t="s">
        <v>8414</v>
      </c>
      <c r="CP117" s="0" t="s">
        <v>5840</v>
      </c>
      <c r="CQ117" s="0" t="s">
        <v>6084</v>
      </c>
      <c r="CR117" s="0" t="s">
        <v>209</v>
      </c>
      <c r="CT117" s="0" t="s">
        <v>164</v>
      </c>
      <c r="CU117" s="0" t="s">
        <v>8415</v>
      </c>
      <c r="CV117" s="0" t="s">
        <v>164</v>
      </c>
      <c r="CW117" s="0" t="s">
        <v>164</v>
      </c>
      <c r="CX117" s="0" t="s">
        <v>209</v>
      </c>
      <c r="CZ117" s="0" t="s">
        <v>5993</v>
      </c>
      <c r="DA117" s="0" t="s">
        <v>189</v>
      </c>
      <c r="DB117" s="0" t="s">
        <v>189</v>
      </c>
      <c r="DE117" s="0" t="s">
        <v>189</v>
      </c>
      <c r="DF117" s="0" t="n">
        <v>0</v>
      </c>
      <c r="DI117" s="0" t="s">
        <v>8416</v>
      </c>
      <c r="DK117" s="0" t="s">
        <v>5617</v>
      </c>
      <c r="DL117" s="0" t="n">
        <v>118</v>
      </c>
      <c r="DN117" s="0" t="n">
        <v>40</v>
      </c>
      <c r="DO117" s="0" t="n">
        <v>6</v>
      </c>
      <c r="DP117" s="0" t="n">
        <v>8</v>
      </c>
      <c r="DQ117" s="0" t="n">
        <v>15</v>
      </c>
      <c r="DR117" s="0" t="n">
        <v>5</v>
      </c>
      <c r="DS117" s="0" t="n">
        <v>10</v>
      </c>
      <c r="DT117" s="0" t="n">
        <v>0</v>
      </c>
      <c r="DU117" s="0" t="n">
        <f aca="false">IF($A117="","",IF(R117="Y",10,0))</f>
        <v>0</v>
      </c>
      <c r="DV117" s="0" t="n">
        <v>-4</v>
      </c>
      <c r="DW117" s="0" t="s">
        <v>8417</v>
      </c>
      <c r="DX117" s="0" t="s">
        <v>5998</v>
      </c>
      <c r="DY117" s="0" t="s">
        <v>8418</v>
      </c>
      <c r="DZ117" s="0" t="s">
        <v>8419</v>
      </c>
      <c r="EV117" s="0" t="str">
        <f aca="false">IF($A117="","",IF(ISNUMBER(MATCH(U117,{"queued","contacted","replied","call_booked","call_done","yes_in_principle","materials_sent"},0)),"Y","N"))</f>
        <v>N</v>
      </c>
      <c r="EW117" s="0" t="str">
        <f aca="false">IF($A117="","",IF(OR(T117="Y",U117="do_not_contact",AQ117&amp;""&lt;&gt;""),"Y","N"))</f>
        <v>N</v>
      </c>
      <c r="EX117" s="0" t="str">
        <f aca="false">IF($A117="","",IF(AN117&amp;""&lt;&gt;"",AN117&amp;"",$A117))</f>
        <v>AB-294</v>
      </c>
      <c r="EY117" s="0" t="str">
        <f aca="false">IF($A117="","",IF(COUNTIFS($EX$2:$EX$1000,EX117,$EV$2:$EV$1000,"Y")+COUNTIFS($EX$2:$EX$1000,EX117,$EW$2:$EW$1000,"Y")&gt;0,"Y","N"))</f>
        <v>N</v>
      </c>
      <c r="EZ117" s="0" t="str">
        <f aca="false">IF($A117="","",IF(AND(U117="new",T117="N",EW117="N",AR117="Y",EY117="N"),"Y","N"))</f>
        <v>N</v>
      </c>
      <c r="FA117" s="0" t="str">
        <f aca="false">IF($A117="","",IF(EZ117&lt;&gt;"Y","N",IF(COUNTIFS($EX$2:$EX$1000,EX117,$EZ$2:$EZ$1000,"Y",$J$2:$J$1000,"&gt;"&amp;J117)+COUNTIFS($EX$2:$EX$1000,EX117,$EZ$2:$EZ$1000,"Y",$J$2:$J$1000,J117,$FG$2:$FG$1000,"&lt;"&amp;FG117)=0,"Y","N")))</f>
        <v>N</v>
      </c>
      <c r="FB117" s="0" t="str">
        <f aca="false">IF($A117="","",IF(AND(EZ117="Y",FA117="Y",Y117&amp;""&lt;&gt;""),IF(Y117&lt;=10,"Y","N"),"N"))</f>
        <v>N</v>
      </c>
      <c r="FC117" s="0" t="str">
        <f aca="false">IF(FB117="Y",Y117,"")</f>
        <v/>
      </c>
      <c r="FD117" s="0" t="str">
        <f aca="false">IF($A117="","",IF(AND(CK117="pass",AU117="Y",AV117&lt;&gt;"Y",U117="new",EW117="N"),"Y","N"))</f>
        <v>N</v>
      </c>
      <c r="FE117" s="0" t="str">
        <f aca="false">IF(FD117&lt;&gt;"Y","",IF(COUNTIFS($FD$2:$FD$1000,"Y",$J$2:$J$1000,"&gt;"&amp;J117)+COUNTIFS($FD$2:$FD$1000,"Y",$J$2:$J$1000,J117,$FG$2:$FG$1000,"&lt;"&amp;FG117)+1&lt;=30,COUNTIFS($FD$2:$FD$1000,"Y",$J$2:$J$1000,"&gt;"&amp;J117)+COUNTIFS($FD$2:$FD$1000,"Y",$J$2:$J$1000,J117,$FG$2:$FG$1000,"&lt;"&amp;FG117)+1,""))</f>
        <v/>
      </c>
      <c r="FF117" s="0" t="str">
        <f aca="false">IF(AND(_xlfn.ISFORMULA(C117),_xlfn.ISFORMULA(J117)),"Y","N")</f>
        <v>Y</v>
      </c>
      <c r="FG117" s="0" t="n">
        <f aca="false">ROW()-1</f>
        <v>116</v>
      </c>
    </row>
    <row r="118" customFormat="false" ht="15" hidden="false" customHeight="false" outlineLevel="0" collapsed="false">
      <c r="A118" s="0" t="s">
        <v>8420</v>
      </c>
      <c r="B118" s="0" t="s">
        <v>8421</v>
      </c>
      <c r="C118" s="0" t="str">
        <f aca="false">IF($A118="","",IF(AT118="Y",BL118&amp;"",AY118&amp;""))</f>
        <v/>
      </c>
      <c r="D118" s="0" t="str">
        <f aca="false">IF($A118="","",IF(AT118="Y",BM118&amp;"",AZ118&amp;""))</f>
        <v/>
      </c>
      <c r="E118" s="0" t="str">
        <f aca="false">IF($A118="","",IF(AT118="Y",BN118&amp;"",BA118&amp;""))</f>
        <v/>
      </c>
      <c r="F118" s="0" t="str">
        <f aca="false">IF($A118="","",IF(AT118="Y",BO118&amp;"",BB118&amp;""))</f>
        <v/>
      </c>
      <c r="G118" s="0" t="str">
        <f aca="false">IF($A118="","",IF(AT118="Y",BP118&amp;"",BC118&amp;""))</f>
        <v/>
      </c>
      <c r="H118" s="0" t="str">
        <f aca="false">IF($A118="","",IF(AT118="Y",BQ118&amp;"",BD118&amp;""))</f>
        <v>none</v>
      </c>
      <c r="I118" s="0" t="str">
        <f aca="false">IF($A118="","",IF(R118="Y","warm-intro",IF(H118="verified","email",IF(C118&lt;&gt;"","linkedin",CA118&amp;""))))</f>
        <v/>
      </c>
      <c r="J118" s="0" t="n">
        <f aca="false">IF($A118="","",IF(CK118="pass",ROUND(N(DO118)+N(DP118)+N(DQ118)+N(DR118)+N(DS118)+N(DT118)+N(DU118)+N(DV118),0),0))</f>
        <v>40</v>
      </c>
      <c r="K118" s="0" t="str">
        <f aca="false">IF($A118="","",IF(CK118&lt;&gt;"pass",BY118&amp;"",BY118&amp;", "&amp;IF(AT118="Y",BX118&amp;"",BK118&amp;"")&amp;BZ118&amp;IF(R118="Y","; known to the founder (+10)","")&amp;"."))</f>
        <v>New York State brand, no graded store within ten blocks, online store only, news 185 days ago, revenue unknown, no contact named; founder review: other.</v>
      </c>
      <c r="M118" s="0" t="s">
        <v>6144</v>
      </c>
      <c r="N118" s="0" t="s">
        <v>740</v>
      </c>
      <c r="O118" s="0" t="s">
        <v>8422</v>
      </c>
      <c r="P118" s="0" t="s">
        <v>8423</v>
      </c>
      <c r="Q118" s="0" t="s">
        <v>8424</v>
      </c>
      <c r="R118" s="5" t="s">
        <v>189</v>
      </c>
      <c r="S118" s="0" t="s">
        <v>209</v>
      </c>
      <c r="T118" s="5" t="s">
        <v>189</v>
      </c>
      <c r="U118" s="5" t="s">
        <v>3896</v>
      </c>
      <c r="V118" s="0" t="s">
        <v>8425</v>
      </c>
      <c r="W118" s="0" t="s">
        <v>263</v>
      </c>
      <c r="X118" s="0" t="s">
        <v>5578</v>
      </c>
      <c r="Y118" s="0" t="str">
        <f aca="false">IF(FA118&lt;&gt;"Y","",COUNTIFS($FA$2:$FA$1000,"Y",$J$2:$J$1000,"&gt;"&amp;J118)+COUNTIFS($FA$2:$FA$1000,"Y",$J$2:$J$1000,J118,$FG$2:$FG$1000,"&lt;"&amp;FG118)+1)</f>
        <v/>
      </c>
      <c r="Z118" s="0" t="n">
        <v>117</v>
      </c>
      <c r="AA118" s="0" t="s">
        <v>189</v>
      </c>
      <c r="AB118" s="0" t="str">
        <f aca="false">IF($A118="","",IF(AT118="Y",BW118&amp;"",BJ118&amp;""))</f>
        <v>no person named on an opened page: not ready</v>
      </c>
      <c r="AC118" s="0" t="str">
        <f aca="false">IF($A118="","",IF(AT118="Y",BR118&amp;"",BE118&amp;""))</f>
        <v/>
      </c>
      <c r="AD118" s="0" t="str">
        <f aca="false">IF($A118="","",IF(AT118="Y",BS118&amp;"",BF118&amp;""))</f>
        <v>none</v>
      </c>
      <c r="AE118" s="0" t="str">
        <f aca="false">IF($A118="","",IF(AT118="Y",BT118&amp;"",BG118&amp;""))</f>
        <v/>
      </c>
      <c r="AF118" s="0" t="str">
        <f aca="false">IF($A118="","",IF(AT118="Y",BU118&amp;"",BH118&amp;""))</f>
        <v/>
      </c>
      <c r="AG118" s="0" t="str">
        <f aca="false">IF($A118="","",IF(AT118="Y",BV118&amp;"",BI118&amp;""))</f>
        <v/>
      </c>
      <c r="AH118" s="0" t="s">
        <v>8426</v>
      </c>
      <c r="AI118" s="0" t="s">
        <v>6532</v>
      </c>
      <c r="AJ118" s="0" t="s">
        <v>8427</v>
      </c>
      <c r="AK118" s="0" t="s">
        <v>8428</v>
      </c>
      <c r="AL118" s="0" t="s">
        <v>164</v>
      </c>
      <c r="AM118" s="0" t="s">
        <v>8429</v>
      </c>
      <c r="AN118" s="0" t="s">
        <v>8420</v>
      </c>
      <c r="AO118" s="5" t="s">
        <v>189</v>
      </c>
      <c r="AR118" s="0" t="str">
        <f aca="false">IF($A118="","",IF(AND(CK118="pass",AO118&lt;&gt;"Y",C118&lt;&gt;"",OR(AU118&lt;&gt;"Y",AV118="Y")),"Y","N"))</f>
        <v>N</v>
      </c>
      <c r="AS118" s="0" t="str">
        <f aca="false">IF($A118="","",_xlfn.TEXTJOIN("; ",TRUE(),IF(CK118&lt;&gt;"pass","gated out",""),IF(AO118="Y","on hold: "&amp;AP118,""),IF(C118="","no contact named on an opened page",""),IF(AND(AU118="Y",AV118&lt;&gt;"Y"),"founder review pending (Founder review tab)","")))</f>
        <v>no contact named on an opened page</v>
      </c>
      <c r="AU118" s="0" t="s">
        <v>189</v>
      </c>
      <c r="BC118" s="0" t="str">
        <f aca="false">IF($A118="","",IFERROR(INDEX(Enrichment!$A$2:$GZ$2000,MATCH($A118,INDEX(Enrichment!$A$2:$GZ$2000,0,MATCH("row_id",Enrichment!$A$1:$GZ$1,0)),0),MATCH("work_email",Enrichment!$A$1:$GZ$1,0))&amp;"",""))</f>
        <v/>
      </c>
      <c r="BD118" s="0" t="str">
        <f aca="false">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none</v>
      </c>
      <c r="BF118" s="0" t="s">
        <v>380</v>
      </c>
      <c r="BJ118" s="0" t="s">
        <v>7105</v>
      </c>
      <c r="BK118" s="0" t="s">
        <v>6048</v>
      </c>
      <c r="BP118" s="0" t="str">
        <f aca="false">IF($A118="","",IFERROR(INDEX(Enrichment!$A$2:$GZ$2000,MATCH($A118,INDEX(Enrichment!$A$2:$GZ$2000,0,MATCH("row_id",Enrichment!$A$1:$GZ$1,0)),0),MATCH("backup_work_email",Enrichment!$A$1:$GZ$1,0))&amp;"",""))</f>
        <v/>
      </c>
      <c r="BQ118" s="0" t="str">
        <f aca="false">IF($A118="","",IF(BP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none</v>
      </c>
      <c r="BS118" s="0" t="s">
        <v>380</v>
      </c>
      <c r="BW118" s="0" t="s">
        <v>387</v>
      </c>
      <c r="BX118" s="0" t="s">
        <v>388</v>
      </c>
      <c r="BY118" s="0" t="s">
        <v>8430</v>
      </c>
      <c r="BZ118" s="0" t="s">
        <v>5960</v>
      </c>
      <c r="CJ118" s="0" t="s">
        <v>7088</v>
      </c>
      <c r="CK118" s="0" t="s">
        <v>200</v>
      </c>
      <c r="CM118" s="0" t="s">
        <v>201</v>
      </c>
      <c r="CN118" s="0" t="s">
        <v>443</v>
      </c>
      <c r="CO118" s="0" t="s">
        <v>8428</v>
      </c>
      <c r="CP118" s="0" t="s">
        <v>5608</v>
      </c>
      <c r="CQ118" s="0" t="s">
        <v>5870</v>
      </c>
      <c r="CR118" s="0" t="s">
        <v>209</v>
      </c>
      <c r="CT118" s="0" t="s">
        <v>164</v>
      </c>
      <c r="CU118" s="0" t="s">
        <v>8431</v>
      </c>
      <c r="CV118" s="0" t="s">
        <v>164</v>
      </c>
      <c r="CW118" s="0" t="s">
        <v>164</v>
      </c>
      <c r="CX118" s="0" t="s">
        <v>209</v>
      </c>
      <c r="CZ118" s="0" t="s">
        <v>209</v>
      </c>
      <c r="DA118" s="0" t="s">
        <v>189</v>
      </c>
      <c r="DB118" s="0" t="s">
        <v>189</v>
      </c>
      <c r="DE118" s="0" t="s">
        <v>189</v>
      </c>
      <c r="DF118" s="0" t="n">
        <v>0</v>
      </c>
      <c r="DI118" s="0" t="s">
        <v>8432</v>
      </c>
      <c r="DJ118" s="0" t="s">
        <v>8433</v>
      </c>
      <c r="DK118" s="0" t="s">
        <v>5617</v>
      </c>
      <c r="DL118" s="0" t="n">
        <v>185</v>
      </c>
      <c r="DN118" s="0" t="n">
        <v>40</v>
      </c>
      <c r="DO118" s="0" t="n">
        <v>6</v>
      </c>
      <c r="DP118" s="0" t="n">
        <v>13</v>
      </c>
      <c r="DQ118" s="0" t="n">
        <v>8</v>
      </c>
      <c r="DR118" s="0" t="n">
        <v>5</v>
      </c>
      <c r="DS118" s="0" t="n">
        <v>10</v>
      </c>
      <c r="DT118" s="0" t="n">
        <v>0</v>
      </c>
      <c r="DU118" s="0" t="n">
        <f aca="false">IF($A118="","",IF(R118="Y",10,0))</f>
        <v>0</v>
      </c>
      <c r="DV118" s="0" t="n">
        <v>-2</v>
      </c>
      <c r="DW118" s="0" t="s">
        <v>8434</v>
      </c>
      <c r="DX118" s="0" t="s">
        <v>5619</v>
      </c>
      <c r="DY118" s="0" t="s">
        <v>8435</v>
      </c>
      <c r="DZ118" s="0" t="s">
        <v>8436</v>
      </c>
      <c r="EA118" s="0" t="s">
        <v>8437</v>
      </c>
      <c r="EV118" s="0" t="str">
        <f aca="false">IF($A118="","",IF(ISNUMBER(MATCH(U118,{"queued","contacted","replied","call_booked","call_done","yes_in_principle","materials_sent"},0)),"Y","N"))</f>
        <v>N</v>
      </c>
      <c r="EW118" s="0" t="str">
        <f aca="false">IF($A118="","",IF(OR(T118="Y",U118="do_not_contact",AQ118&amp;""&lt;&gt;""),"Y","N"))</f>
        <v>N</v>
      </c>
      <c r="EX118" s="0" t="str">
        <f aca="false">IF($A118="","",IF(AN118&amp;""&lt;&gt;"",AN118&amp;"",$A118))</f>
        <v>AB-214</v>
      </c>
      <c r="EY118" s="0" t="str">
        <f aca="false">IF($A118="","",IF(COUNTIFS($EX$2:$EX$1000,EX118,$EV$2:$EV$1000,"Y")+COUNTIFS($EX$2:$EX$1000,EX118,$EW$2:$EW$1000,"Y")&gt;0,"Y","N"))</f>
        <v>N</v>
      </c>
      <c r="EZ118" s="0" t="str">
        <f aca="false">IF($A118="","",IF(AND(U118="new",T118="N",EW118="N",AR118="Y",EY118="N"),"Y","N"))</f>
        <v>N</v>
      </c>
      <c r="FA118" s="0" t="str">
        <f aca="false">IF($A118="","",IF(EZ118&lt;&gt;"Y","N",IF(COUNTIFS($EX$2:$EX$1000,EX118,$EZ$2:$EZ$1000,"Y",$J$2:$J$1000,"&gt;"&amp;J118)+COUNTIFS($EX$2:$EX$1000,EX118,$EZ$2:$EZ$1000,"Y",$J$2:$J$1000,J118,$FG$2:$FG$1000,"&lt;"&amp;FG118)=0,"Y","N")))</f>
        <v>N</v>
      </c>
      <c r="FB118" s="0" t="str">
        <f aca="false">IF($A118="","",IF(AND(EZ118="Y",FA118="Y",Y118&amp;""&lt;&gt;""),IF(Y118&lt;=10,"Y","N"),"N"))</f>
        <v>N</v>
      </c>
      <c r="FC118" s="0" t="str">
        <f aca="false">IF(FB118="Y",Y118,"")</f>
        <v/>
      </c>
      <c r="FD118" s="0" t="str">
        <f aca="false">IF($A118="","",IF(AND(CK118="pass",AU118="Y",AV118&lt;&gt;"Y",U118="new",EW118="N"),"Y","N"))</f>
        <v>N</v>
      </c>
      <c r="FE118" s="0" t="str">
        <f aca="false">IF(FD118&lt;&gt;"Y","",IF(COUNTIFS($FD$2:$FD$1000,"Y",$J$2:$J$1000,"&gt;"&amp;J118)+COUNTIFS($FD$2:$FD$1000,"Y",$J$2:$J$1000,J118,$FG$2:$FG$1000,"&lt;"&amp;FG118)+1&lt;=30,COUNTIFS($FD$2:$FD$1000,"Y",$J$2:$J$1000,"&gt;"&amp;J118)+COUNTIFS($FD$2:$FD$1000,"Y",$J$2:$J$1000,J118,$FG$2:$FG$1000,"&lt;"&amp;FG118)+1,""))</f>
        <v/>
      </c>
      <c r="FF118" s="0" t="str">
        <f aca="false">IF(AND(_xlfn.ISFORMULA(C118),_xlfn.ISFORMULA(J118)),"Y","N")</f>
        <v>Y</v>
      </c>
      <c r="FG118" s="0" t="n">
        <f aca="false">ROW()-1</f>
        <v>117</v>
      </c>
    </row>
    <row r="119" customFormat="false" ht="15" hidden="false" customHeight="false" outlineLevel="0" collapsed="false">
      <c r="A119" s="0" t="s">
        <v>8438</v>
      </c>
      <c r="B119" s="0" t="s">
        <v>8439</v>
      </c>
      <c r="C119" s="0" t="str">
        <f aca="false">IF($A119="","",IF(AT119="Y",BL119&amp;"",AY119&amp;""))</f>
        <v>Fritz</v>
      </c>
      <c r="D119" s="0" t="str">
        <f aca="false">IF($A119="","",IF(AT119="Y",BM119&amp;"",AZ119&amp;""))</f>
        <v>Knipschildt</v>
      </c>
      <c r="E119" s="0" t="str">
        <f aca="false">IF($A119="","",IF(AT119="Y",BN119&amp;"",BA119&amp;""))</f>
        <v>Founder</v>
      </c>
      <c r="F119" s="0" t="str">
        <f aca="false">IF($A119="","",IF(AT119="Y",BO119&amp;"",BB119&amp;""))</f>
        <v/>
      </c>
      <c r="G119" s="0" t="str">
        <f aca="false">IF($A119="","",IF(AT119="Y",BP119&amp;"",BC119&amp;""))</f>
        <v/>
      </c>
      <c r="H119" s="0" t="str">
        <f aca="false">IF($A119="","",IF(AT119="Y",BQ119&amp;"",BD119&amp;""))</f>
        <v>none</v>
      </c>
      <c r="I119" s="0" t="str">
        <f aca="false">IF($A119="","",IF(R119="Y","warm-intro",IF(H119="verified","email",IF(C119&lt;&gt;"","linkedin",CA119&amp;""))))</f>
        <v>linkedin</v>
      </c>
      <c r="J119" s="0" t="n">
        <f aca="false">IF($A119="","",IF(CK119="pass",ROUND(N(DO119)+N(DP119)+N(DQ119)+N(DR119)+N(DS119)+N(DT119)+N(DU119)+N(DV119),0),0))</f>
        <v>39</v>
      </c>
      <c r="K119" s="0" t="str">
        <f aca="false">IF($A119="","",IF(CK119&lt;&gt;"pass",BY119&amp;"",BY119&amp;", "&amp;IF(AT119="Y",BX119&amp;"",BK119&amp;"")&amp;BZ119&amp;IF(R119="Y","; known to the founder (+10)","")&amp;"."))</f>
        <v>Northeast brand, store page shows Whole Foods Market NoMad inside the cluster, no dated why-now in the last 12 months, revenue unknown, contact named; founder review: not-emerging, perishable-risk, alcohol-adjacent, format-unconfirmed.</v>
      </c>
      <c r="M119" s="0" t="s">
        <v>5572</v>
      </c>
      <c r="N119" s="0" t="s">
        <v>5573</v>
      </c>
      <c r="R119" s="5" t="s">
        <v>189</v>
      </c>
      <c r="S119" s="0" t="s">
        <v>209</v>
      </c>
      <c r="T119" s="5" t="s">
        <v>189</v>
      </c>
      <c r="U119" s="5" t="s">
        <v>3896</v>
      </c>
      <c r="V119" s="0" t="s">
        <v>8440</v>
      </c>
      <c r="W119" s="0" t="s">
        <v>263</v>
      </c>
      <c r="X119" s="0" t="s">
        <v>5578</v>
      </c>
      <c r="Y119" s="0" t="str">
        <f aca="false">IF(FA119&lt;&gt;"Y","",COUNTIFS($FA$2:$FA$1000,"Y",$J$2:$J$1000,"&gt;"&amp;J119)+COUNTIFS($FA$2:$FA$1000,"Y",$J$2:$J$1000,J119,$FG$2:$FG$1000,"&lt;"&amp;FG119)+1)</f>
        <v/>
      </c>
      <c r="Z119" s="0" t="n">
        <v>118</v>
      </c>
      <c r="AA119" s="0" t="s">
        <v>189</v>
      </c>
      <c r="AB119" s="0" t="str">
        <f aca="false">IF($A119="","",IF(AT119="Y",BW119&amp;"",BJ119&amp;""))</f>
        <v>find Fritz Knipschildt at Knipschildt Chocolatier on LinkedIn and paste the profile URL into primary_linkedin_url; use the Whole Foods Market NoMad line only if retailer_checked_date is this week's Friday check</v>
      </c>
      <c r="AC119" s="0" t="str">
        <f aca="false">IF($A119="","",IF(AT119="Y",BR119&amp;"",BE119&amp;""))</f>
        <v>founder</v>
      </c>
      <c r="AD119" s="0" t="str">
        <f aca="false">IF($A119="","",IF(AT119="Y",BS119&amp;"",BF119&amp;""))</f>
        <v>verified-page</v>
      </c>
      <c r="AE119" s="0" t="str">
        <f aca="false">IF($A119="","",IF(AT119="Y",BT119&amp;"",BG119&amp;""))</f>
        <v>employer's own site</v>
      </c>
      <c r="AF119" s="0" t="str">
        <f aca="false">IF($A119="","",IF(AT119="Y",BU119&amp;"",BH119&amp;""))</f>
        <v>https://chocopologie.com/</v>
      </c>
      <c r="AG119" s="0" t="str">
        <f aca="false">IF($A119="","",IF(AT119="Y",BV119&amp;"",BI119&amp;""))</f>
        <v>2026-10-23</v>
      </c>
      <c r="AH119" s="0" t="s">
        <v>8441</v>
      </c>
      <c r="AI119" s="0" t="s">
        <v>5664</v>
      </c>
      <c r="AJ119" s="0" t="s">
        <v>8442</v>
      </c>
      <c r="AK119" s="0" t="s">
        <v>8443</v>
      </c>
      <c r="AL119" s="0" t="s">
        <v>164</v>
      </c>
      <c r="AM119" s="0" t="s">
        <v>8444</v>
      </c>
      <c r="AN119" s="0" t="s">
        <v>8438</v>
      </c>
      <c r="AO119" s="5" t="s">
        <v>189</v>
      </c>
      <c r="AR119" s="0" t="str">
        <f aca="false">IF($A119="","",IF(AND(CK119="pass",AO119&lt;&gt;"Y",C119&lt;&gt;"",OR(AU119&lt;&gt;"Y",AV119="Y")),"Y","N"))</f>
        <v>N</v>
      </c>
      <c r="AS119" s="0" t="str">
        <f aca="false">IF($A119="","",_xlfn.TEXTJOIN("; ",TRUE(),IF(CK119&lt;&gt;"pass","gated out",""),IF(AO119="Y","on hold: "&amp;AP119,""),IF(C119="","no contact named on an opened page",""),IF(AND(AU119="Y",AV119&lt;&gt;"Y"),"founder review pending (Founder review tab)","")))</f>
        <v>founder review pending (Founder review tab)</v>
      </c>
      <c r="AU119" s="0" t="s">
        <v>164</v>
      </c>
      <c r="AX119" s="0" t="s">
        <v>8445</v>
      </c>
      <c r="AY119" s="0" t="s">
        <v>8446</v>
      </c>
      <c r="AZ119" s="0" t="s">
        <v>8447</v>
      </c>
      <c r="BA119" s="0" t="s">
        <v>5739</v>
      </c>
      <c r="BC119" s="0" t="str">
        <f aca="false">IF($A119="","",IFERROR(INDEX(Enrichment!$A$2:$GZ$2000,MATCH($A119,INDEX(Enrichment!$A$2:$GZ$2000,0,MATCH("row_id",Enrichment!$A$1:$GZ$1,0)),0),MATCH("work_email",Enrichment!$A$1:$GZ$1,0))&amp;"",""))</f>
        <v/>
      </c>
      <c r="BD119" s="0" t="str">
        <f aca="false">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none</v>
      </c>
      <c r="BE119" s="0" t="s">
        <v>5589</v>
      </c>
      <c r="BF119" s="0" t="s">
        <v>169</v>
      </c>
      <c r="BG119" s="0" t="s">
        <v>170</v>
      </c>
      <c r="BH119" s="0" t="s">
        <v>8448</v>
      </c>
      <c r="BI119" s="0" t="s">
        <v>263</v>
      </c>
      <c r="BJ119" s="0" t="s">
        <v>8449</v>
      </c>
      <c r="BK119" s="0" t="s">
        <v>5643</v>
      </c>
      <c r="BP119" s="0" t="str">
        <f aca="false">IF($A119="","",IFERROR(INDEX(Enrichment!$A$2:$GZ$2000,MATCH($A119,INDEX(Enrichment!$A$2:$GZ$2000,0,MATCH("row_id",Enrichment!$A$1:$GZ$1,0)),0),MATCH("backup_work_email",Enrichment!$A$1:$GZ$1,0))&amp;"",""))</f>
        <v/>
      </c>
      <c r="BQ119" s="0" t="str">
        <f aca="false">IF($A119="","",IF(BP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none</v>
      </c>
      <c r="BS119" s="0" t="s">
        <v>380</v>
      </c>
      <c r="BW119" s="0" t="s">
        <v>5741</v>
      </c>
      <c r="BX119" s="0" t="s">
        <v>388</v>
      </c>
      <c r="BY119" s="0" t="s">
        <v>6844</v>
      </c>
      <c r="BZ119" s="0" t="s">
        <v>8450</v>
      </c>
      <c r="CB119" s="0" t="s">
        <v>8451</v>
      </c>
      <c r="CJ119" s="0" t="s">
        <v>7088</v>
      </c>
      <c r="CK119" s="0" t="s">
        <v>200</v>
      </c>
      <c r="CM119" s="0" t="s">
        <v>201</v>
      </c>
      <c r="CN119" s="0" t="s">
        <v>8452</v>
      </c>
      <c r="CO119" s="0" t="s">
        <v>8443</v>
      </c>
      <c r="CP119" s="0" t="s">
        <v>7450</v>
      </c>
      <c r="CQ119" s="0" t="s">
        <v>6084</v>
      </c>
      <c r="CR119" s="0" t="s">
        <v>209</v>
      </c>
      <c r="CT119" s="0" t="s">
        <v>209</v>
      </c>
      <c r="CU119" s="0" t="s">
        <v>8453</v>
      </c>
      <c r="CV119" s="0" t="s">
        <v>209</v>
      </c>
      <c r="CW119" s="0" t="s">
        <v>164</v>
      </c>
      <c r="CX119" s="0" t="s">
        <v>209</v>
      </c>
      <c r="CZ119" s="0" t="s">
        <v>209</v>
      </c>
      <c r="DA119" s="0" t="s">
        <v>189</v>
      </c>
      <c r="DB119" s="0" t="s">
        <v>189</v>
      </c>
      <c r="DD119" s="0" t="n">
        <v>0</v>
      </c>
      <c r="DE119" s="0" t="s">
        <v>164</v>
      </c>
      <c r="DF119" s="0" t="n">
        <v>3</v>
      </c>
      <c r="DG119" s="0" t="s">
        <v>5686</v>
      </c>
      <c r="DI119" s="0" t="s">
        <v>5687</v>
      </c>
      <c r="DJ119" s="0" t="s">
        <v>8454</v>
      </c>
      <c r="DK119" s="0" t="s">
        <v>380</v>
      </c>
      <c r="DN119" s="0" t="n">
        <v>39</v>
      </c>
      <c r="DO119" s="0" t="n">
        <v>25</v>
      </c>
      <c r="DP119" s="0" t="n">
        <v>8</v>
      </c>
      <c r="DQ119" s="0" t="n">
        <v>0</v>
      </c>
      <c r="DR119" s="0" t="n">
        <v>5</v>
      </c>
      <c r="DS119" s="0" t="n">
        <v>5</v>
      </c>
      <c r="DT119" s="0" t="n">
        <v>6</v>
      </c>
      <c r="DU119" s="0" t="n">
        <f aca="false">IF($A119="","",IF(R119="Y",10,0))</f>
        <v>0</v>
      </c>
      <c r="DV119" s="0" t="n">
        <v>-10</v>
      </c>
      <c r="DW119" s="0" t="s">
        <v>8455</v>
      </c>
      <c r="DX119" s="0" t="s">
        <v>5691</v>
      </c>
      <c r="DY119" s="0" t="s">
        <v>8456</v>
      </c>
      <c r="DZ119" s="0" t="s">
        <v>8457</v>
      </c>
      <c r="EA119" s="0" t="s">
        <v>8458</v>
      </c>
      <c r="EV119" s="0" t="str">
        <f aca="false">IF($A119="","",IF(ISNUMBER(MATCH(U119,{"queued","contacted","replied","call_booked","call_done","yes_in_principle","materials_sent"},0)),"Y","N"))</f>
        <v>N</v>
      </c>
      <c r="EW119" s="0" t="str">
        <f aca="false">IF($A119="","",IF(OR(T119="Y",U119="do_not_contact",AQ119&amp;""&lt;&gt;""),"Y","N"))</f>
        <v>N</v>
      </c>
      <c r="EX119" s="0" t="str">
        <f aca="false">IF($A119="","",IF(AN119&amp;""&lt;&gt;"",AN119&amp;"",$A119))</f>
        <v>AB-114</v>
      </c>
      <c r="EY119" s="0" t="str">
        <f aca="false">IF($A119="","",IF(COUNTIFS($EX$2:$EX$1000,EX119,$EV$2:$EV$1000,"Y")+COUNTIFS($EX$2:$EX$1000,EX119,$EW$2:$EW$1000,"Y")&gt;0,"Y","N"))</f>
        <v>N</v>
      </c>
      <c r="EZ119" s="0" t="str">
        <f aca="false">IF($A119="","",IF(AND(U119="new",T119="N",EW119="N",AR119="Y",EY119="N"),"Y","N"))</f>
        <v>N</v>
      </c>
      <c r="FA119" s="0" t="str">
        <f aca="false">IF($A119="","",IF(EZ119&lt;&gt;"Y","N",IF(COUNTIFS($EX$2:$EX$1000,EX119,$EZ$2:$EZ$1000,"Y",$J$2:$J$1000,"&gt;"&amp;J119)+COUNTIFS($EX$2:$EX$1000,EX119,$EZ$2:$EZ$1000,"Y",$J$2:$J$1000,J119,$FG$2:$FG$1000,"&lt;"&amp;FG119)=0,"Y","N")))</f>
        <v>N</v>
      </c>
      <c r="FB119" s="0" t="str">
        <f aca="false">IF($A119="","",IF(AND(EZ119="Y",FA119="Y",Y119&amp;""&lt;&gt;""),IF(Y119&lt;=10,"Y","N"),"N"))</f>
        <v>N</v>
      </c>
      <c r="FC119" s="0" t="str">
        <f aca="false">IF(FB119="Y",Y119,"")</f>
        <v/>
      </c>
      <c r="FD119" s="0" t="str">
        <f aca="false">IF($A119="","",IF(AND(CK119="pass",AU119="Y",AV119&lt;&gt;"Y",U119="new",EW119="N"),"Y","N"))</f>
        <v>Y</v>
      </c>
      <c r="FE119" s="0" t="str">
        <f aca="false">IF(FD119&lt;&gt;"Y","",IF(COUNTIFS($FD$2:$FD$1000,"Y",$J$2:$J$1000,"&gt;"&amp;J119)+COUNTIFS($FD$2:$FD$1000,"Y",$J$2:$J$1000,J119,$FG$2:$FG$1000,"&lt;"&amp;FG119)+1&lt;=30,COUNTIFS($FD$2:$FD$1000,"Y",$J$2:$J$1000,"&gt;"&amp;J119)+COUNTIFS($FD$2:$FD$1000,"Y",$J$2:$J$1000,J119,$FG$2:$FG$1000,"&lt;"&amp;FG119)+1,""))</f>
        <v/>
      </c>
      <c r="FF119" s="0" t="str">
        <f aca="false">IF(AND(_xlfn.ISFORMULA(C119),_xlfn.ISFORMULA(J119)),"Y","N")</f>
        <v>Y</v>
      </c>
      <c r="FG119" s="0" t="n">
        <f aca="false">ROW()-1</f>
        <v>118</v>
      </c>
    </row>
    <row r="120" customFormat="false" ht="15" hidden="false" customHeight="false" outlineLevel="0" collapsed="false">
      <c r="A120" s="0" t="s">
        <v>8459</v>
      </c>
      <c r="B120" s="0" t="s">
        <v>8460</v>
      </c>
      <c r="C120" s="0" t="str">
        <f aca="false">IF($A120="","",IF(AT120="Y",BL120&amp;"",AY120&amp;""))</f>
        <v>Elizabeth</v>
      </c>
      <c r="D120" s="0" t="str">
        <f aca="false">IF($A120="","",IF(AT120="Y",BM120&amp;"",AZ120&amp;""))</f>
        <v>Brauser</v>
      </c>
      <c r="E120" s="0" t="str">
        <f aca="false">IF($A120="","",IF(AT120="Y",BN120&amp;"",BA120&amp;""))</f>
        <v>Co-founder, Sidari Artisan Brands</v>
      </c>
      <c r="F120" s="0" t="str">
        <f aca="false">IF($A120="","",IF(AT120="Y",BO120&amp;"",BB120&amp;""))</f>
        <v/>
      </c>
      <c r="G120" s="0" t="str">
        <f aca="false">IF($A120="","",IF(AT120="Y",BP120&amp;"",BC120&amp;""))</f>
        <v/>
      </c>
      <c r="H120" s="0" t="str">
        <f aca="false">IF($A120="","",IF(AT120="Y",BQ120&amp;"",BD120&amp;""))</f>
        <v>none</v>
      </c>
      <c r="I120" s="0" t="str">
        <f aca="false">IF($A120="","",IF(R120="Y","warm-intro",IF(H120="verified","email",IF(C120&lt;&gt;"","linkedin",CA120&amp;""))))</f>
        <v>linkedin</v>
      </c>
      <c r="J120" s="0" t="n">
        <f aca="false">IF($A120="","",IF(CK120="pass",ROUND(N(DO120)+N(DP120)+N(DQ120)+N(DR120)+N(DS120)+N(DT120)+N(DU120)+N(DV120),0),0))</f>
        <v>39</v>
      </c>
      <c r="K120" s="0" t="str">
        <f aca="false">IF($A120="","",IF(CK120&lt;&gt;"pass",BY120&amp;"",BY120&amp;", "&amp;IF(AT120="Y",BX120&amp;"",BK120&amp;"")&amp;BZ120&amp;IF(R120="Y","; known to the founder (+10)","")&amp;"."))</f>
        <v>Brand based outside the Northeast, no graded store within ten blocks, online store only, news 32 days ago, revenue unknown, contact named; founder review: alcohol-adjacent, format-unconfirmed.</v>
      </c>
      <c r="M120" s="0" t="s">
        <v>6144</v>
      </c>
      <c r="N120" s="0" t="s">
        <v>740</v>
      </c>
      <c r="O120" s="0" t="s">
        <v>8461</v>
      </c>
      <c r="P120" s="0" t="s">
        <v>8462</v>
      </c>
      <c r="Q120" s="0" t="s">
        <v>2751</v>
      </c>
      <c r="R120" s="5" t="s">
        <v>189</v>
      </c>
      <c r="S120" s="0" t="s">
        <v>164</v>
      </c>
      <c r="T120" s="5" t="s">
        <v>189</v>
      </c>
      <c r="U120" s="5" t="s">
        <v>3896</v>
      </c>
      <c r="V120" s="0" t="s">
        <v>8463</v>
      </c>
      <c r="W120" s="0" t="s">
        <v>263</v>
      </c>
      <c r="X120" s="0" t="s">
        <v>5578</v>
      </c>
      <c r="Y120" s="0" t="str">
        <f aca="false">IF(FA120&lt;&gt;"Y","",COUNTIFS($FA$2:$FA$1000,"Y",$J$2:$J$1000,"&gt;"&amp;J120)+COUNTIFS($FA$2:$FA$1000,"Y",$J$2:$J$1000,J120,$FG$2:$FG$1000,"&lt;"&amp;FG120)+1)</f>
        <v/>
      </c>
      <c r="Z120" s="0" t="n">
        <v>119</v>
      </c>
      <c r="AA120" s="0" t="s">
        <v>189</v>
      </c>
      <c r="AB120" s="0" t="str">
        <f aca="false">IF($A120="","",IF(AT120="Y",BW120&amp;"",BJ120&amp;""))</f>
        <v>find Elizabeth Brauser at Guinness Steak Cuts on LinkedIn and paste the profile URL into primary_linkedin_url</v>
      </c>
      <c r="AC120" s="0" t="str">
        <f aca="false">IF($A120="","",IF(AT120="Y",BR120&amp;"",BE120&amp;""))</f>
        <v>founder</v>
      </c>
      <c r="AD120" s="0" t="str">
        <f aca="false">IF($A120="","",IF(AT120="Y",BS120&amp;"",BF120&amp;""))</f>
        <v>verified-page</v>
      </c>
      <c r="AE120" s="0" t="str">
        <f aca="false">IF($A120="","",IF(AT120="Y",BT120&amp;"",BG120&amp;""))</f>
        <v>press, event or podcast page</v>
      </c>
      <c r="AF120" s="0" t="str">
        <f aca="false">IF($A120="","",IF(AT120="Y",BU120&amp;"",BH120&amp;""))</f>
        <v>https://startupcpg.com/startup-cpg-newswire-steak-not-jerky-sidari-artisan-brands-partners-with-guinness-to-bring-the-steakhouse-to-the-snack-aisle/</v>
      </c>
      <c r="AG120" s="0" t="str">
        <f aca="false">IF($A120="","",IF(AT120="Y",BV120&amp;"",BI120&amp;""))</f>
        <v>2026-10-23</v>
      </c>
      <c r="AH120" s="0" t="s">
        <v>8464</v>
      </c>
      <c r="AI120" s="0" t="s">
        <v>6306</v>
      </c>
      <c r="AJ120" s="0" t="s">
        <v>8465</v>
      </c>
      <c r="AK120" s="0" t="s">
        <v>8466</v>
      </c>
      <c r="AL120" s="0" t="s">
        <v>164</v>
      </c>
      <c r="AM120" s="0" t="s">
        <v>8467</v>
      </c>
      <c r="AN120" s="0" t="s">
        <v>8459</v>
      </c>
      <c r="AO120" s="5" t="s">
        <v>189</v>
      </c>
      <c r="AR120" s="0" t="str">
        <f aca="false">IF($A120="","",IF(AND(CK120="pass",AO120&lt;&gt;"Y",C120&lt;&gt;"",OR(AU120&lt;&gt;"Y",AV120="Y")),"Y","N"))</f>
        <v>N</v>
      </c>
      <c r="AS120" s="0" t="str">
        <f aca="false">IF($A120="","",_xlfn.TEXTJOIN("; ",TRUE(),IF(CK120&lt;&gt;"pass","gated out",""),IF(AO120="Y","on hold: "&amp;AP120,""),IF(C120="","no contact named on an opened page",""),IF(AND(AU120="Y",AV120&lt;&gt;"Y"),"founder review pending (Founder review tab)","")))</f>
        <v>founder review pending (Founder review tab)</v>
      </c>
      <c r="AU120" s="0" t="s">
        <v>164</v>
      </c>
      <c r="AY120" s="0" t="s">
        <v>8468</v>
      </c>
      <c r="AZ120" s="0" t="s">
        <v>8469</v>
      </c>
      <c r="BA120" s="0" t="s">
        <v>8470</v>
      </c>
      <c r="BC120" s="0" t="str">
        <f aca="false">IF($A120="","",IFERROR(INDEX(Enrichment!$A$2:$GZ$2000,MATCH($A120,INDEX(Enrichment!$A$2:$GZ$2000,0,MATCH("row_id",Enrichment!$A$1:$GZ$1,0)),0),MATCH("work_email",Enrichment!$A$1:$GZ$1,0))&amp;"",""))</f>
        <v/>
      </c>
      <c r="BD120" s="0" t="str">
        <f aca="false">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none</v>
      </c>
      <c r="BE120" s="0" t="s">
        <v>5589</v>
      </c>
      <c r="BF120" s="0" t="s">
        <v>169</v>
      </c>
      <c r="BG120" s="0" t="s">
        <v>1252</v>
      </c>
      <c r="BH120" s="0" t="s">
        <v>8463</v>
      </c>
      <c r="BI120" s="0" t="s">
        <v>263</v>
      </c>
      <c r="BJ120" s="0" t="s">
        <v>8471</v>
      </c>
      <c r="BK120" s="0" t="s">
        <v>5643</v>
      </c>
      <c r="BL120" s="0" t="s">
        <v>8472</v>
      </c>
      <c r="BM120" s="0" t="s">
        <v>8473</v>
      </c>
      <c r="BN120" s="0" t="s">
        <v>7724</v>
      </c>
      <c r="BP120" s="0" t="str">
        <f aca="false">IF($A120="","",IFERROR(INDEX(Enrichment!$A$2:$GZ$2000,MATCH($A120,INDEX(Enrichment!$A$2:$GZ$2000,0,MATCH("row_id",Enrichment!$A$1:$GZ$1,0)),0),MATCH("backup_work_email",Enrichment!$A$1:$GZ$1,0))&amp;"",""))</f>
        <v/>
      </c>
      <c r="BQ120" s="0" t="str">
        <f aca="false">IF($A120="","",IF(BP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none</v>
      </c>
      <c r="BR120" s="0" t="s">
        <v>7494</v>
      </c>
      <c r="BS120" s="0" t="s">
        <v>169</v>
      </c>
      <c r="BT120" s="0" t="s">
        <v>1252</v>
      </c>
      <c r="BU120" s="0" t="s">
        <v>8463</v>
      </c>
      <c r="BV120" s="0" t="s">
        <v>263</v>
      </c>
      <c r="BW120" s="0" t="s">
        <v>8474</v>
      </c>
      <c r="BX120" s="0" t="s">
        <v>5643</v>
      </c>
      <c r="BY120" s="0" t="s">
        <v>8475</v>
      </c>
      <c r="BZ120" s="0" t="s">
        <v>8476</v>
      </c>
      <c r="CB120" s="0" t="s">
        <v>8477</v>
      </c>
      <c r="CF120" s="0" t="s">
        <v>8478</v>
      </c>
      <c r="CJ120" s="0" t="s">
        <v>7088</v>
      </c>
      <c r="CK120" s="0" t="s">
        <v>200</v>
      </c>
      <c r="CM120" s="0" t="s">
        <v>201</v>
      </c>
      <c r="CN120" s="0" t="s">
        <v>8479</v>
      </c>
      <c r="CO120" s="0" t="s">
        <v>8480</v>
      </c>
      <c r="CP120" s="0" t="s">
        <v>8481</v>
      </c>
      <c r="CQ120" s="0" t="s">
        <v>6198</v>
      </c>
      <c r="CR120" s="0" t="s">
        <v>209</v>
      </c>
      <c r="CT120" s="0" t="s">
        <v>209</v>
      </c>
      <c r="CU120" s="0" t="s">
        <v>8482</v>
      </c>
      <c r="CV120" s="0" t="s">
        <v>209</v>
      </c>
      <c r="CW120" s="0" t="s">
        <v>164</v>
      </c>
      <c r="CX120" s="0" t="s">
        <v>209</v>
      </c>
      <c r="CZ120" s="0" t="s">
        <v>209</v>
      </c>
      <c r="DA120" s="0" t="s">
        <v>189</v>
      </c>
      <c r="DB120" s="0" t="s">
        <v>189</v>
      </c>
      <c r="DE120" s="0" t="s">
        <v>189</v>
      </c>
      <c r="DF120" s="0" t="n">
        <v>0</v>
      </c>
      <c r="DI120" s="0" t="s">
        <v>8483</v>
      </c>
      <c r="DJ120" s="0" t="s">
        <v>8484</v>
      </c>
      <c r="DK120" s="0" t="s">
        <v>5617</v>
      </c>
      <c r="DL120" s="0" t="n">
        <v>32</v>
      </c>
      <c r="DM120" s="0" t="s">
        <v>8463</v>
      </c>
      <c r="DN120" s="0" t="n">
        <v>39</v>
      </c>
      <c r="DO120" s="0" t="n">
        <v>6</v>
      </c>
      <c r="DP120" s="0" t="n">
        <v>3</v>
      </c>
      <c r="DQ120" s="0" t="n">
        <v>15</v>
      </c>
      <c r="DR120" s="0" t="n">
        <v>5</v>
      </c>
      <c r="DS120" s="0" t="n">
        <v>5</v>
      </c>
      <c r="DT120" s="0" t="n">
        <v>10</v>
      </c>
      <c r="DU120" s="0" t="n">
        <f aca="false">IF($A120="","",IF(R120="Y",10,0))</f>
        <v>0</v>
      </c>
      <c r="DV120" s="0" t="n">
        <v>-5</v>
      </c>
      <c r="DW120" s="0" t="s">
        <v>209</v>
      </c>
      <c r="DX120" s="0" t="s">
        <v>5814</v>
      </c>
      <c r="DY120" s="0" t="s">
        <v>8485</v>
      </c>
      <c r="DZ120" s="0" t="s">
        <v>8486</v>
      </c>
      <c r="EA120" s="0" t="s">
        <v>8487</v>
      </c>
      <c r="EV120" s="0" t="str">
        <f aca="false">IF($A120="","",IF(ISNUMBER(MATCH(U120,{"queued","contacted","replied","call_booked","call_done","yes_in_principle","materials_sent"},0)),"Y","N"))</f>
        <v>N</v>
      </c>
      <c r="EW120" s="0" t="str">
        <f aca="false">IF($A120="","",IF(OR(T120="Y",U120="do_not_contact",AQ120&amp;""&lt;&gt;""),"Y","N"))</f>
        <v>N</v>
      </c>
      <c r="EX120" s="0" t="str">
        <f aca="false">IF($A120="","",IF(AN120&amp;""&lt;&gt;"",AN120&amp;"",$A120))</f>
        <v>AB-064</v>
      </c>
      <c r="EY120" s="0" t="str">
        <f aca="false">IF($A120="","",IF(COUNTIFS($EX$2:$EX$1000,EX120,$EV$2:$EV$1000,"Y")+COUNTIFS($EX$2:$EX$1000,EX120,$EW$2:$EW$1000,"Y")&gt;0,"Y","N"))</f>
        <v>N</v>
      </c>
      <c r="EZ120" s="0" t="str">
        <f aca="false">IF($A120="","",IF(AND(U120="new",T120="N",EW120="N",AR120="Y",EY120="N"),"Y","N"))</f>
        <v>N</v>
      </c>
      <c r="FA120" s="0" t="str">
        <f aca="false">IF($A120="","",IF(EZ120&lt;&gt;"Y","N",IF(COUNTIFS($EX$2:$EX$1000,EX120,$EZ$2:$EZ$1000,"Y",$J$2:$J$1000,"&gt;"&amp;J120)+COUNTIFS($EX$2:$EX$1000,EX120,$EZ$2:$EZ$1000,"Y",$J$2:$J$1000,J120,$FG$2:$FG$1000,"&lt;"&amp;FG120)=0,"Y","N")))</f>
        <v>N</v>
      </c>
      <c r="FB120" s="0" t="str">
        <f aca="false">IF($A120="","",IF(AND(EZ120="Y",FA120="Y",Y120&amp;""&lt;&gt;""),IF(Y120&lt;=10,"Y","N"),"N"))</f>
        <v>N</v>
      </c>
      <c r="FC120" s="0" t="str">
        <f aca="false">IF(FB120="Y",Y120,"")</f>
        <v/>
      </c>
      <c r="FD120" s="0" t="str">
        <f aca="false">IF($A120="","",IF(AND(CK120="pass",AU120="Y",AV120&lt;&gt;"Y",U120="new",EW120="N"),"Y","N"))</f>
        <v>Y</v>
      </c>
      <c r="FE120" s="0" t="str">
        <f aca="false">IF(FD120&lt;&gt;"Y","",IF(COUNTIFS($FD$2:$FD$1000,"Y",$J$2:$J$1000,"&gt;"&amp;J120)+COUNTIFS($FD$2:$FD$1000,"Y",$J$2:$J$1000,J120,$FG$2:$FG$1000,"&lt;"&amp;FG120)+1&lt;=30,COUNTIFS($FD$2:$FD$1000,"Y",$J$2:$J$1000,"&gt;"&amp;J120)+COUNTIFS($FD$2:$FD$1000,"Y",$J$2:$J$1000,J120,$FG$2:$FG$1000,"&lt;"&amp;FG120)+1,""))</f>
        <v/>
      </c>
      <c r="FF120" s="0" t="str">
        <f aca="false">IF(AND(_xlfn.ISFORMULA(C120),_xlfn.ISFORMULA(J120)),"Y","N")</f>
        <v>Y</v>
      </c>
      <c r="FG120" s="0" t="n">
        <f aca="false">ROW()-1</f>
        <v>119</v>
      </c>
    </row>
    <row r="121" customFormat="false" ht="15" hidden="false" customHeight="false" outlineLevel="0" collapsed="false">
      <c r="A121" s="0" t="s">
        <v>8488</v>
      </c>
      <c r="B121" s="0" t="s">
        <v>8489</v>
      </c>
      <c r="C121" s="0" t="str">
        <f aca="false">IF($A121="","",IF(AT121="Y",BL121&amp;"",AY121&amp;""))</f>
        <v>Noah</v>
      </c>
      <c r="D121" s="0" t="str">
        <f aca="false">IF($A121="","",IF(AT121="Y",BM121&amp;"",AZ121&amp;""))</f>
        <v>Fischman</v>
      </c>
      <c r="E121" s="0" t="str">
        <f aca="false">IF($A121="","",IF(AT121="Y",BN121&amp;"",BA121&amp;""))</f>
        <v>Founder</v>
      </c>
      <c r="F121" s="0" t="str">
        <f aca="false">IF($A121="","",IF(AT121="Y",BO121&amp;"",BB121&amp;""))</f>
        <v/>
      </c>
      <c r="G121" s="0" t="str">
        <f aca="false">IF($A121="","",IF(AT121="Y",BP121&amp;"",BC121&amp;""))</f>
        <v/>
      </c>
      <c r="H121" s="0" t="str">
        <f aca="false">IF($A121="","",IF(AT121="Y",BQ121&amp;"",BD121&amp;""))</f>
        <v>none</v>
      </c>
      <c r="I121" s="0" t="str">
        <f aca="false">IF($A121="","",IF(R121="Y","warm-intro",IF(H121="verified","email",IF(C121&lt;&gt;"","linkedin",CA121&amp;""))))</f>
        <v>linkedin</v>
      </c>
      <c r="J121" s="0" t="n">
        <f aca="false">IF($A121="","",IF(CK121="pass",ROUND(N(DO121)+N(DP121)+N(DQ121)+N(DR121)+N(DS121)+N(DT121)+N(DU121)+N(DV121),0),0))</f>
        <v>39</v>
      </c>
      <c r="K121" s="0" t="str">
        <f aca="false">IF($A121="","",IF(CK121&lt;&gt;"pass",BY121&amp;"",BY121&amp;", "&amp;IF(AT121="Y",BX121&amp;"",BK121&amp;"")&amp;BZ121&amp;IF(R121="Y","; known to the founder (+10)","")&amp;"."))</f>
        <v>Northeast brand, no graded store within ten blocks, online store only, a new store listing 115 days ago, revenue unknown, contact named; founder review: claim-functional, nutrient-claim.</v>
      </c>
      <c r="M121" s="0" t="s">
        <v>6144</v>
      </c>
      <c r="N121" s="0" t="s">
        <v>740</v>
      </c>
      <c r="O121" s="0" t="s">
        <v>8490</v>
      </c>
      <c r="P121" s="0" t="s">
        <v>8491</v>
      </c>
      <c r="Q121" s="0" t="s">
        <v>8492</v>
      </c>
      <c r="R121" s="5" t="s">
        <v>189</v>
      </c>
      <c r="S121" s="0" t="s">
        <v>209</v>
      </c>
      <c r="T121" s="5" t="s">
        <v>189</v>
      </c>
      <c r="U121" s="5" t="s">
        <v>3896</v>
      </c>
      <c r="V121" s="0" t="s">
        <v>8493</v>
      </c>
      <c r="W121" s="0" t="s">
        <v>263</v>
      </c>
      <c r="X121" s="0" t="s">
        <v>5578</v>
      </c>
      <c r="Y121" s="0" t="str">
        <f aca="false">IF(FA121&lt;&gt;"Y","",COUNTIFS($FA$2:$FA$1000,"Y",$J$2:$J$1000,"&gt;"&amp;J121)+COUNTIFS($FA$2:$FA$1000,"Y",$J$2:$J$1000,J121,$FG$2:$FG$1000,"&lt;"&amp;FG121)+1)</f>
        <v/>
      </c>
      <c r="Z121" s="0" t="n">
        <v>120</v>
      </c>
      <c r="AA121" s="0" t="s">
        <v>189</v>
      </c>
      <c r="AB121" s="0" t="str">
        <f aca="false">IF($A121="","",IF(AT121="Y",BW121&amp;"",BJ121&amp;""))</f>
        <v>find Noah Fischman at Ample Hydration on LinkedIn and paste the profile URL into primary_linkedin_url</v>
      </c>
      <c r="AC121" s="0" t="str">
        <f aca="false">IF($A121="","",IF(AT121="Y",BR121&amp;"",BE121&amp;""))</f>
        <v>founder</v>
      </c>
      <c r="AD121" s="0" t="str">
        <f aca="false">IF($A121="","",IF(AT121="Y",BS121&amp;"",BF121&amp;""))</f>
        <v>verified-page</v>
      </c>
      <c r="AE121" s="0" t="str">
        <f aca="false">IF($A121="","",IF(AT121="Y",BT121&amp;"",BG121&amp;""))</f>
        <v>employer's own site</v>
      </c>
      <c r="AF121" s="0" t="str">
        <f aca="false">IF($A121="","",IF(AT121="Y",BU121&amp;"",BH121&amp;""))</f>
        <v>https://drinkample.com/pages/our-story</v>
      </c>
      <c r="AG121" s="0" t="str">
        <f aca="false">IF($A121="","",IF(AT121="Y",BV121&amp;"",BI121&amp;""))</f>
        <v>2026-10-23</v>
      </c>
      <c r="AH121" s="0" t="s">
        <v>8494</v>
      </c>
      <c r="AI121" s="0" t="s">
        <v>6621</v>
      </c>
      <c r="AJ121" s="0" t="s">
        <v>8495</v>
      </c>
      <c r="AK121" s="0" t="s">
        <v>8496</v>
      </c>
      <c r="AL121" s="0" t="s">
        <v>164</v>
      </c>
      <c r="AM121" s="0" t="s">
        <v>8497</v>
      </c>
      <c r="AN121" s="0" t="s">
        <v>8488</v>
      </c>
      <c r="AO121" s="5" t="s">
        <v>189</v>
      </c>
      <c r="AR121" s="0" t="str">
        <f aca="false">IF($A121="","",IF(AND(CK121="pass",AO121&lt;&gt;"Y",C121&lt;&gt;"",OR(AU121&lt;&gt;"Y",AV121="Y")),"Y","N"))</f>
        <v>N</v>
      </c>
      <c r="AS121" s="0" t="str">
        <f aca="false">IF($A121="","",_xlfn.TEXTJOIN("; ",TRUE(),IF(CK121&lt;&gt;"pass","gated out",""),IF(AO121="Y","on hold: "&amp;AP121,""),IF(C121="","no contact named on an opened page",""),IF(AND(AU121="Y",AV121&lt;&gt;"Y"),"founder review pending (Founder review tab)","")))</f>
        <v>founder review pending (Founder review tab)</v>
      </c>
      <c r="AU121" s="0" t="s">
        <v>164</v>
      </c>
      <c r="AY121" s="0" t="s">
        <v>8498</v>
      </c>
      <c r="AZ121" s="0" t="s">
        <v>8499</v>
      </c>
      <c r="BA121" s="0" t="s">
        <v>5739</v>
      </c>
      <c r="BC121" s="0" t="str">
        <f aca="false">IF($A121="","",IFERROR(INDEX(Enrichment!$A$2:$GZ$2000,MATCH($A121,INDEX(Enrichment!$A$2:$GZ$2000,0,MATCH("row_id",Enrichment!$A$1:$GZ$1,0)),0),MATCH("work_email",Enrichment!$A$1:$GZ$1,0))&amp;"",""))</f>
        <v/>
      </c>
      <c r="BD121" s="0" t="str">
        <f aca="false">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none</v>
      </c>
      <c r="BE121" s="0" t="s">
        <v>5589</v>
      </c>
      <c r="BF121" s="0" t="s">
        <v>169</v>
      </c>
      <c r="BG121" s="0" t="s">
        <v>170</v>
      </c>
      <c r="BH121" s="0" t="s">
        <v>8500</v>
      </c>
      <c r="BI121" s="0" t="s">
        <v>263</v>
      </c>
      <c r="BJ121" s="0" t="s">
        <v>8501</v>
      </c>
      <c r="BK121" s="0" t="s">
        <v>5643</v>
      </c>
      <c r="BP121" s="0" t="str">
        <f aca="false">IF($A121="","",IFERROR(INDEX(Enrichment!$A$2:$GZ$2000,MATCH($A121,INDEX(Enrichment!$A$2:$GZ$2000,0,MATCH("row_id",Enrichment!$A$1:$GZ$1,0)),0),MATCH("backup_work_email",Enrichment!$A$1:$GZ$1,0))&amp;"",""))</f>
        <v/>
      </c>
      <c r="BQ121" s="0" t="str">
        <f aca="false">IF($A121="","",IF(BP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none</v>
      </c>
      <c r="BS121" s="0" t="s">
        <v>380</v>
      </c>
      <c r="BW121" s="0" t="s">
        <v>387</v>
      </c>
      <c r="BX121" s="0" t="s">
        <v>388</v>
      </c>
      <c r="BY121" s="0" t="s">
        <v>8502</v>
      </c>
      <c r="BZ121" s="0" t="s">
        <v>6050</v>
      </c>
      <c r="CB121" s="0" t="s">
        <v>8503</v>
      </c>
      <c r="CJ121" s="0" t="s">
        <v>7088</v>
      </c>
      <c r="CK121" s="0" t="s">
        <v>200</v>
      </c>
      <c r="CM121" s="0" t="s">
        <v>201</v>
      </c>
      <c r="CN121" s="0" t="s">
        <v>6051</v>
      </c>
      <c r="CO121" s="0" t="s">
        <v>8496</v>
      </c>
      <c r="CP121" s="0" t="s">
        <v>5840</v>
      </c>
      <c r="CQ121" s="0" t="s">
        <v>6084</v>
      </c>
      <c r="CR121" s="0" t="s">
        <v>209</v>
      </c>
      <c r="CT121" s="0" t="s">
        <v>164</v>
      </c>
      <c r="CU121" s="0" t="s">
        <v>8504</v>
      </c>
      <c r="CV121" s="0" t="s">
        <v>164</v>
      </c>
      <c r="CW121" s="0" t="s">
        <v>164</v>
      </c>
      <c r="CX121" s="0" t="s">
        <v>209</v>
      </c>
      <c r="CZ121" s="0" t="s">
        <v>6456</v>
      </c>
      <c r="DA121" s="0" t="s">
        <v>189</v>
      </c>
      <c r="DB121" s="0" t="s">
        <v>189</v>
      </c>
      <c r="DE121" s="0" t="s">
        <v>189</v>
      </c>
      <c r="DF121" s="0" t="n">
        <v>0</v>
      </c>
      <c r="DH121" s="0" t="s">
        <v>8505</v>
      </c>
      <c r="DI121" s="0" t="s">
        <v>8506</v>
      </c>
      <c r="DJ121" s="0" t="s">
        <v>8491</v>
      </c>
      <c r="DK121" s="0" t="s">
        <v>5689</v>
      </c>
      <c r="DL121" s="0" t="n">
        <v>115</v>
      </c>
      <c r="DN121" s="0" t="n">
        <v>39</v>
      </c>
      <c r="DO121" s="0" t="n">
        <v>6</v>
      </c>
      <c r="DP121" s="0" t="n">
        <v>8</v>
      </c>
      <c r="DQ121" s="0" t="n">
        <v>8</v>
      </c>
      <c r="DR121" s="0" t="n">
        <v>5</v>
      </c>
      <c r="DS121" s="0" t="n">
        <v>10</v>
      </c>
      <c r="DT121" s="0" t="n">
        <v>6</v>
      </c>
      <c r="DU121" s="0" t="n">
        <f aca="false">IF($A121="","",IF(R121="Y",10,0))</f>
        <v>0</v>
      </c>
      <c r="DV121" s="0" t="n">
        <v>-4</v>
      </c>
      <c r="DW121" s="0" t="s">
        <v>209</v>
      </c>
      <c r="DX121" s="0" t="s">
        <v>6462</v>
      </c>
      <c r="DY121" s="0" t="s">
        <v>8507</v>
      </c>
      <c r="DZ121" s="0" t="s">
        <v>8508</v>
      </c>
      <c r="EA121" s="0" t="s">
        <v>8509</v>
      </c>
      <c r="EV121" s="0" t="str">
        <f aca="false">IF($A121="","",IF(ISNUMBER(MATCH(U121,{"queued","contacted","replied","call_booked","call_done","yes_in_principle","materials_sent"},0)),"Y","N"))</f>
        <v>N</v>
      </c>
      <c r="EW121" s="0" t="str">
        <f aca="false">IF($A121="","",IF(OR(T121="Y",U121="do_not_contact",AQ121&amp;""&lt;&gt;""),"Y","N"))</f>
        <v>N</v>
      </c>
      <c r="EX121" s="0" t="str">
        <f aca="false">IF($A121="","",IF(AN121&amp;""&lt;&gt;"",AN121&amp;"",$A121))</f>
        <v>AB-179</v>
      </c>
      <c r="EY121" s="0" t="str">
        <f aca="false">IF($A121="","",IF(COUNTIFS($EX$2:$EX$1000,EX121,$EV$2:$EV$1000,"Y")+COUNTIFS($EX$2:$EX$1000,EX121,$EW$2:$EW$1000,"Y")&gt;0,"Y","N"))</f>
        <v>N</v>
      </c>
      <c r="EZ121" s="0" t="str">
        <f aca="false">IF($A121="","",IF(AND(U121="new",T121="N",EW121="N",AR121="Y",EY121="N"),"Y","N"))</f>
        <v>N</v>
      </c>
      <c r="FA121" s="0" t="str">
        <f aca="false">IF($A121="","",IF(EZ121&lt;&gt;"Y","N",IF(COUNTIFS($EX$2:$EX$1000,EX121,$EZ$2:$EZ$1000,"Y",$J$2:$J$1000,"&gt;"&amp;J121)+COUNTIFS($EX$2:$EX$1000,EX121,$EZ$2:$EZ$1000,"Y",$J$2:$J$1000,J121,$FG$2:$FG$1000,"&lt;"&amp;FG121)=0,"Y","N")))</f>
        <v>N</v>
      </c>
      <c r="FB121" s="0" t="str">
        <f aca="false">IF($A121="","",IF(AND(EZ121="Y",FA121="Y",Y121&amp;""&lt;&gt;""),IF(Y121&lt;=10,"Y","N"),"N"))</f>
        <v>N</v>
      </c>
      <c r="FC121" s="0" t="str">
        <f aca="false">IF(FB121="Y",Y121,"")</f>
        <v/>
      </c>
      <c r="FD121" s="0" t="str">
        <f aca="false">IF($A121="","",IF(AND(CK121="pass",AU121="Y",AV121&lt;&gt;"Y",U121="new",EW121="N"),"Y","N"))</f>
        <v>Y</v>
      </c>
      <c r="FE121" s="0" t="str">
        <f aca="false">IF(FD121&lt;&gt;"Y","",IF(COUNTIFS($FD$2:$FD$1000,"Y",$J$2:$J$1000,"&gt;"&amp;J121)+COUNTIFS($FD$2:$FD$1000,"Y",$J$2:$J$1000,J121,$FG$2:$FG$1000,"&lt;"&amp;FG121)+1&lt;=30,COUNTIFS($FD$2:$FD$1000,"Y",$J$2:$J$1000,"&gt;"&amp;J121)+COUNTIFS($FD$2:$FD$1000,"Y",$J$2:$J$1000,J121,$FG$2:$FG$1000,"&lt;"&amp;FG121)+1,""))</f>
        <v/>
      </c>
      <c r="FF121" s="0" t="str">
        <f aca="false">IF(AND(_xlfn.ISFORMULA(C121),_xlfn.ISFORMULA(J121)),"Y","N")</f>
        <v>Y</v>
      </c>
      <c r="FG121" s="0" t="n">
        <f aca="false">ROW()-1</f>
        <v>120</v>
      </c>
    </row>
    <row r="122" customFormat="false" ht="15" hidden="false" customHeight="false" outlineLevel="0" collapsed="false">
      <c r="A122" s="0" t="s">
        <v>8510</v>
      </c>
      <c r="B122" s="0" t="s">
        <v>8511</v>
      </c>
      <c r="C122" s="0" t="str">
        <f aca="false">IF($A122="","",IF(AT122="Y",BL122&amp;"",AY122&amp;""))</f>
        <v>Ujwal</v>
      </c>
      <c r="D122" s="0" t="str">
        <f aca="false">IF($A122="","",IF(AT122="Y",BM122&amp;"",AZ122&amp;""))</f>
        <v>Trivedi</v>
      </c>
      <c r="E122" s="0" t="str">
        <f aca="false">IF($A122="","",IF(AT122="Y",BN122&amp;"",BA122&amp;""))</f>
        <v>Founder</v>
      </c>
      <c r="F122" s="0" t="str">
        <f aca="false">IF($A122="","",IF(AT122="Y",BO122&amp;"",BB122&amp;""))</f>
        <v/>
      </c>
      <c r="G122" s="0" t="str">
        <f aca="false">IF($A122="","",IF(AT122="Y",BP122&amp;"",BC122&amp;""))</f>
        <v/>
      </c>
      <c r="H122" s="0" t="str">
        <f aca="false">IF($A122="","",IF(AT122="Y",BQ122&amp;"",BD122&amp;""))</f>
        <v>none</v>
      </c>
      <c r="I122" s="0" t="str">
        <f aca="false">IF($A122="","",IF(R122="Y","warm-intro",IF(H122="verified","email",IF(C122&lt;&gt;"","linkedin",CA122&amp;""))))</f>
        <v>linkedin</v>
      </c>
      <c r="J122" s="0" t="n">
        <f aca="false">IF($A122="","",IF(CK122="pass",ROUND(N(DO122)+N(DP122)+N(DQ122)+N(DR122)+N(DS122)+N(DT122)+N(DU122)+N(DV122),0),0))</f>
        <v>39</v>
      </c>
      <c r="K122" s="0" t="str">
        <f aca="false">IF($A122="","",IF(CK122&lt;&gt;"pass",BY122&amp;"",BY122&amp;", "&amp;IF(AT122="Y",BX122&amp;"",BK122&amp;"")&amp;BZ122&amp;IF(R122="Y","; known to the founder (+10)","")&amp;"."))</f>
        <v>Northeast brand, no graded store within ten blocks, online store only, news 219 days ago, revenue unknown, contact named; founder review: nutrient-claim.</v>
      </c>
      <c r="M122" s="0" t="s">
        <v>6144</v>
      </c>
      <c r="N122" s="0" t="s">
        <v>740</v>
      </c>
      <c r="O122" s="0" t="s">
        <v>8512</v>
      </c>
      <c r="P122" s="0" t="s">
        <v>8513</v>
      </c>
      <c r="Q122" s="0" t="s">
        <v>8514</v>
      </c>
      <c r="R122" s="5" t="s">
        <v>189</v>
      </c>
      <c r="S122" s="0" t="s">
        <v>164</v>
      </c>
      <c r="T122" s="5" t="s">
        <v>189</v>
      </c>
      <c r="U122" s="5" t="s">
        <v>3896</v>
      </c>
      <c r="V122" s="0" t="s">
        <v>8513</v>
      </c>
      <c r="W122" s="0" t="s">
        <v>263</v>
      </c>
      <c r="X122" s="0" t="s">
        <v>5578</v>
      </c>
      <c r="Y122" s="0" t="n">
        <f aca="false">IF(FA122&lt;&gt;"Y","",COUNTIFS($FA$2:$FA$1000,"Y",$J$2:$J$1000,"&gt;"&amp;J122)+COUNTIFS($FA$2:$FA$1000,"Y",$J$2:$J$1000,J122,$FG$2:$FG$1000,"&lt;"&amp;FG122)+1)</f>
        <v>51</v>
      </c>
      <c r="Z122" s="0" t="n">
        <v>121</v>
      </c>
      <c r="AA122" s="0" t="s">
        <v>189</v>
      </c>
      <c r="AB122" s="0" t="str">
        <f aca="false">IF($A122="","",IF(AT122="Y",BW122&amp;"",BJ122&amp;""))</f>
        <v>find Ujwal Trivedi at Whey Water on LinkedIn and paste the profile URL into primary_linkedin_url</v>
      </c>
      <c r="AC122" s="0" t="str">
        <f aca="false">IF($A122="","",IF(AT122="Y",BR122&amp;"",BE122&amp;""))</f>
        <v>founder</v>
      </c>
      <c r="AD122" s="0" t="str">
        <f aca="false">IF($A122="","",IF(AT122="Y",BS122&amp;"",BF122&amp;""))</f>
        <v>verified-page</v>
      </c>
      <c r="AE122" s="0" t="str">
        <f aca="false">IF($A122="","",IF(AT122="Y",BT122&amp;"",BG122&amp;""))</f>
        <v>press, event or podcast page</v>
      </c>
      <c r="AF122" s="0" t="str">
        <f aca="false">IF($A122="","",IF(AT122="Y",BU122&amp;"",BH122&amp;""))</f>
        <v>https://startupcpg.com/startup-cpg-newswire-whey-water-announces-may-2026-launch-of-sparkling-protein-beverage/</v>
      </c>
      <c r="AG122" s="0" t="str">
        <f aca="false">IF($A122="","",IF(AT122="Y",BV122&amp;"",BI122&amp;""))</f>
        <v>2026-10-23</v>
      </c>
      <c r="AH122" s="0" t="s">
        <v>8515</v>
      </c>
      <c r="AI122" s="0" t="s">
        <v>6699</v>
      </c>
      <c r="AJ122" s="0" t="s">
        <v>8516</v>
      </c>
      <c r="AK122" s="0" t="s">
        <v>8517</v>
      </c>
      <c r="AL122" s="0" t="s">
        <v>164</v>
      </c>
      <c r="AM122" s="0" t="s">
        <v>8518</v>
      </c>
      <c r="AN122" s="0" t="s">
        <v>8510</v>
      </c>
      <c r="AO122" s="5" t="s">
        <v>189</v>
      </c>
      <c r="AR122" s="0" t="str">
        <f aca="false">IF($A122="","",IF(AND(CK122="pass",AO122&lt;&gt;"Y",C122&lt;&gt;"",OR(AU122&lt;&gt;"Y",AV122="Y")),"Y","N"))</f>
        <v>Y</v>
      </c>
      <c r="AS122" s="0" t="str">
        <f aca="false">IF($A122="","",_xlfn.TEXTJOIN("; ",TRUE(),IF(CK122&lt;&gt;"pass","gated out",""),IF(AO122="Y","on hold: "&amp;AP122,""),IF(C122="","no contact named on an opened page",""),IF(AND(AU122="Y",AV122&lt;&gt;"Y"),"founder review pending (Founder review tab)","")))</f>
        <v/>
      </c>
      <c r="AU122" s="0" t="s">
        <v>189</v>
      </c>
      <c r="AY122" s="0" t="s">
        <v>8519</v>
      </c>
      <c r="AZ122" s="0" t="s">
        <v>8520</v>
      </c>
      <c r="BA122" s="0" t="s">
        <v>5739</v>
      </c>
      <c r="BC122" s="0" t="str">
        <f aca="false">IF($A122="","",IFERROR(INDEX(Enrichment!$A$2:$GZ$2000,MATCH($A122,INDEX(Enrichment!$A$2:$GZ$2000,0,MATCH("row_id",Enrichment!$A$1:$GZ$1,0)),0),MATCH("work_email",Enrichment!$A$1:$GZ$1,0))&amp;"",""))</f>
        <v/>
      </c>
      <c r="BD122" s="0" t="str">
        <f aca="false">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none</v>
      </c>
      <c r="BE122" s="0" t="s">
        <v>5589</v>
      </c>
      <c r="BF122" s="0" t="s">
        <v>169</v>
      </c>
      <c r="BG122" s="0" t="s">
        <v>1252</v>
      </c>
      <c r="BH122" s="0" t="s">
        <v>8513</v>
      </c>
      <c r="BI122" s="0" t="s">
        <v>263</v>
      </c>
      <c r="BJ122" s="0" t="s">
        <v>8521</v>
      </c>
      <c r="BK122" s="0" t="s">
        <v>5643</v>
      </c>
      <c r="BP122" s="0" t="str">
        <f aca="false">IF($A122="","",IFERROR(INDEX(Enrichment!$A$2:$GZ$2000,MATCH($A122,INDEX(Enrichment!$A$2:$GZ$2000,0,MATCH("row_id",Enrichment!$A$1:$GZ$1,0)),0),MATCH("backup_work_email",Enrichment!$A$1:$GZ$1,0))&amp;"",""))</f>
        <v/>
      </c>
      <c r="BQ122" s="0" t="str">
        <f aca="false">IF($A122="","",IF(BP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none</v>
      </c>
      <c r="BS122" s="0" t="s">
        <v>380</v>
      </c>
      <c r="BW122" s="0" t="s">
        <v>387</v>
      </c>
      <c r="BX122" s="0" t="s">
        <v>388</v>
      </c>
      <c r="BY122" s="0" t="s">
        <v>8522</v>
      </c>
      <c r="BZ122" s="0" t="s">
        <v>5601</v>
      </c>
      <c r="CB122" s="0" t="s">
        <v>8523</v>
      </c>
      <c r="CJ122" s="0" t="s">
        <v>7088</v>
      </c>
      <c r="CK122" s="0" t="s">
        <v>200</v>
      </c>
      <c r="CM122" s="0" t="s">
        <v>201</v>
      </c>
      <c r="CN122" s="0" t="s">
        <v>5607</v>
      </c>
      <c r="CO122" s="0" t="s">
        <v>8517</v>
      </c>
      <c r="CP122" s="0" t="s">
        <v>5840</v>
      </c>
      <c r="CQ122" s="0" t="s">
        <v>6084</v>
      </c>
      <c r="CR122" s="0" t="s">
        <v>209</v>
      </c>
      <c r="CT122" s="0" t="s">
        <v>164</v>
      </c>
      <c r="CU122" s="0" t="s">
        <v>8524</v>
      </c>
      <c r="CV122" s="0" t="s">
        <v>164</v>
      </c>
      <c r="CW122" s="0" t="s">
        <v>164</v>
      </c>
      <c r="CX122" s="0" t="s">
        <v>209</v>
      </c>
      <c r="CZ122" s="0" t="s">
        <v>8525</v>
      </c>
      <c r="DA122" s="0" t="s">
        <v>189</v>
      </c>
      <c r="DB122" s="0" t="s">
        <v>189</v>
      </c>
      <c r="DE122" s="0" t="s">
        <v>189</v>
      </c>
      <c r="DF122" s="0" t="n">
        <v>0</v>
      </c>
      <c r="DI122" s="0" t="s">
        <v>8526</v>
      </c>
      <c r="DK122" s="0" t="s">
        <v>5617</v>
      </c>
      <c r="DL122" s="0" t="n">
        <v>219</v>
      </c>
      <c r="DM122" s="0" t="s">
        <v>8513</v>
      </c>
      <c r="DN122" s="0" t="n">
        <v>39</v>
      </c>
      <c r="DO122" s="0" t="n">
        <v>6</v>
      </c>
      <c r="DP122" s="0" t="n">
        <v>8</v>
      </c>
      <c r="DQ122" s="0" t="n">
        <v>8</v>
      </c>
      <c r="DR122" s="0" t="n">
        <v>5</v>
      </c>
      <c r="DS122" s="0" t="n">
        <v>10</v>
      </c>
      <c r="DT122" s="0" t="n">
        <v>6</v>
      </c>
      <c r="DU122" s="0" t="n">
        <f aca="false">IF($A122="","",IF(R122="Y",10,0))</f>
        <v>0</v>
      </c>
      <c r="DV122" s="0" t="n">
        <v>-4</v>
      </c>
      <c r="DX122" s="0" t="s">
        <v>5619</v>
      </c>
      <c r="DY122" s="0" t="s">
        <v>8527</v>
      </c>
      <c r="DZ122" s="0" t="s">
        <v>8528</v>
      </c>
      <c r="EA122" s="0" t="s">
        <v>8529</v>
      </c>
      <c r="EV122" s="0" t="str">
        <f aca="false">IF($A122="","",IF(ISNUMBER(MATCH(U122,{"queued","contacted","replied","call_booked","call_done","yes_in_principle","materials_sent"},0)),"Y","N"))</f>
        <v>N</v>
      </c>
      <c r="EW122" s="0" t="str">
        <f aca="false">IF($A122="","",IF(OR(T122="Y",U122="do_not_contact",AQ122&amp;""&lt;&gt;""),"Y","N"))</f>
        <v>N</v>
      </c>
      <c r="EX122" s="0" t="str">
        <f aca="false">IF($A122="","",IF(AN122&amp;""&lt;&gt;"",AN122&amp;"",$A122))</f>
        <v>AB-252</v>
      </c>
      <c r="EY122" s="0" t="str">
        <f aca="false">IF($A122="","",IF(COUNTIFS($EX$2:$EX$1000,EX122,$EV$2:$EV$1000,"Y")+COUNTIFS($EX$2:$EX$1000,EX122,$EW$2:$EW$1000,"Y")&gt;0,"Y","N"))</f>
        <v>N</v>
      </c>
      <c r="EZ122" s="0" t="str">
        <f aca="false">IF($A122="","",IF(AND(U122="new",T122="N",EW122="N",AR122="Y",EY122="N"),"Y","N"))</f>
        <v>Y</v>
      </c>
      <c r="FA122" s="0" t="str">
        <f aca="false">IF($A122="","",IF(EZ122&lt;&gt;"Y","N",IF(COUNTIFS($EX$2:$EX$1000,EX122,$EZ$2:$EZ$1000,"Y",$J$2:$J$1000,"&gt;"&amp;J122)+COUNTIFS($EX$2:$EX$1000,EX122,$EZ$2:$EZ$1000,"Y",$J$2:$J$1000,J122,$FG$2:$FG$1000,"&lt;"&amp;FG122)=0,"Y","N")))</f>
        <v>Y</v>
      </c>
      <c r="FB122" s="0" t="str">
        <f aca="false">IF($A122="","",IF(AND(EZ122="Y",FA122="Y",Y122&amp;""&lt;&gt;""),IF(Y122&lt;=10,"Y","N"),"N"))</f>
        <v>N</v>
      </c>
      <c r="FC122" s="0" t="str">
        <f aca="false">IF(FB122="Y",Y122,"")</f>
        <v/>
      </c>
      <c r="FD122" s="0" t="str">
        <f aca="false">IF($A122="","",IF(AND(CK122="pass",AU122="Y",AV122&lt;&gt;"Y",U122="new",EW122="N"),"Y","N"))</f>
        <v>N</v>
      </c>
      <c r="FE122" s="0" t="str">
        <f aca="false">IF(FD122&lt;&gt;"Y","",IF(COUNTIFS($FD$2:$FD$1000,"Y",$J$2:$J$1000,"&gt;"&amp;J122)+COUNTIFS($FD$2:$FD$1000,"Y",$J$2:$J$1000,J122,$FG$2:$FG$1000,"&lt;"&amp;FG122)+1&lt;=30,COUNTIFS($FD$2:$FD$1000,"Y",$J$2:$J$1000,"&gt;"&amp;J122)+COUNTIFS($FD$2:$FD$1000,"Y",$J$2:$J$1000,J122,$FG$2:$FG$1000,"&lt;"&amp;FG122)+1,""))</f>
        <v/>
      </c>
      <c r="FF122" s="0" t="str">
        <f aca="false">IF(AND(_xlfn.ISFORMULA(C122),_xlfn.ISFORMULA(J122)),"Y","N")</f>
        <v>Y</v>
      </c>
      <c r="FG122" s="0" t="n">
        <f aca="false">ROW()-1</f>
        <v>121</v>
      </c>
    </row>
    <row r="123" customFormat="false" ht="15" hidden="false" customHeight="false" outlineLevel="0" collapsed="false">
      <c r="A123" s="0" t="s">
        <v>8530</v>
      </c>
      <c r="B123" s="0" t="s">
        <v>8531</v>
      </c>
      <c r="C123" s="0" t="str">
        <f aca="false">IF($A123="","",IF(AT123="Y",BL123&amp;"",AY123&amp;""))</f>
        <v>Sahra</v>
      </c>
      <c r="D123" s="0" t="str">
        <f aca="false">IF($A123="","",IF(AT123="Y",BM123&amp;"",AZ123&amp;""))</f>
        <v>Nguyen</v>
      </c>
      <c r="E123" s="0" t="str">
        <f aca="false">IF($A123="","",IF(AT123="Y",BN123&amp;"",BA123&amp;""))</f>
        <v>Founder</v>
      </c>
      <c r="F123" s="0" t="str">
        <f aca="false">IF($A123="","",IF(AT123="Y",BO123&amp;"",BB123&amp;""))</f>
        <v/>
      </c>
      <c r="G123" s="0" t="str">
        <f aca="false">IF($A123="","",IF(AT123="Y",BP123&amp;"",BC123&amp;""))</f>
        <v/>
      </c>
      <c r="H123" s="0" t="str">
        <f aca="false">IF($A123="","",IF(AT123="Y",BQ123&amp;"",BD123&amp;""))</f>
        <v>none</v>
      </c>
      <c r="I123" s="0" t="str">
        <f aca="false">IF($A123="","",IF(R123="Y","warm-intro",IF(H123="verified","email",IF(C123&lt;&gt;"","linkedin",CA123&amp;""))))</f>
        <v>linkedin</v>
      </c>
      <c r="J123" s="0" t="n">
        <f aca="false">IF($A123="","",IF(CK123="pass",ROUND(N(DO123)+N(DP123)+N(DQ123)+N(DR123)+N(DS123)+N(DT123)+N(DU123)+N(DV123),0),0))</f>
        <v>39</v>
      </c>
      <c r="K123" s="0" t="str">
        <f aca="false">IF($A123="","",IF(CK123&lt;&gt;"pass",BY123&amp;"",BY123&amp;", "&amp;IF(AT123="Y",BX123&amp;"",BK123&amp;"")&amp;BZ123&amp;IF(R123="Y","; known to the founder (+10)","")&amp;"."))</f>
        <v>New York City brand, no graded store within ten blocks, online store only, a new store listing 221 days ago, revenue unknown, contact named; founder review: dormant, claim-functional, nutrient-claim.</v>
      </c>
      <c r="M123" s="0" t="s">
        <v>6144</v>
      </c>
      <c r="N123" s="0" t="s">
        <v>740</v>
      </c>
      <c r="O123" s="0" t="s">
        <v>8532</v>
      </c>
      <c r="P123" s="0" t="s">
        <v>8533</v>
      </c>
      <c r="Q123" s="0" t="s">
        <v>5338</v>
      </c>
      <c r="R123" s="5" t="s">
        <v>189</v>
      </c>
      <c r="S123" s="0" t="s">
        <v>209</v>
      </c>
      <c r="T123" s="5" t="s">
        <v>189</v>
      </c>
      <c r="U123" s="5" t="s">
        <v>3896</v>
      </c>
      <c r="V123" s="0" t="s">
        <v>8534</v>
      </c>
      <c r="W123" s="0" t="s">
        <v>263</v>
      </c>
      <c r="X123" s="0" t="s">
        <v>5578</v>
      </c>
      <c r="Y123" s="0" t="str">
        <f aca="false">IF(FA123&lt;&gt;"Y","",COUNTIFS($FA$2:$FA$1000,"Y",$J$2:$J$1000,"&gt;"&amp;J123)+COUNTIFS($FA$2:$FA$1000,"Y",$J$2:$J$1000,J123,$FG$2:$FG$1000,"&lt;"&amp;FG123)+1)</f>
        <v/>
      </c>
      <c r="Z123" s="0" t="n">
        <v>122</v>
      </c>
      <c r="AA123" s="0" t="s">
        <v>189</v>
      </c>
      <c r="AB123" s="0" t="str">
        <f aca="false">IF($A123="","",IF(AT123="Y",BW123&amp;"",BJ123&amp;""))</f>
        <v>find Sahra Nguyen at Nguyen Coffee Supply on LinkedIn and paste the profile URL into primary_linkedin_url</v>
      </c>
      <c r="AC123" s="0" t="str">
        <f aca="false">IF($A123="","",IF(AT123="Y",BR123&amp;"",BE123&amp;""))</f>
        <v>founder</v>
      </c>
      <c r="AD123" s="0" t="str">
        <f aca="false">IF($A123="","",IF(AT123="Y",BS123&amp;"",BF123&amp;""))</f>
        <v>verified-page</v>
      </c>
      <c r="AE123" s="0" t="str">
        <f aca="false">IF($A123="","",IF(AT123="Y",BT123&amp;"",BG123&amp;""))</f>
        <v>employer's own site</v>
      </c>
      <c r="AF123" s="0" t="str">
        <f aca="false">IF($A123="","",IF(AT123="Y",BU123&amp;"",BH123&amp;""))</f>
        <v>https://nguyencoffeesupply.com/pages/about-us</v>
      </c>
      <c r="AG123" s="0" t="str">
        <f aca="false">IF($A123="","",IF(AT123="Y",BV123&amp;"",BI123&amp;""))</f>
        <v>2026-10-23</v>
      </c>
      <c r="AH123" s="0" t="s">
        <v>8535</v>
      </c>
      <c r="AI123" s="0" t="s">
        <v>6473</v>
      </c>
      <c r="AJ123" s="0" t="s">
        <v>5631</v>
      </c>
      <c r="AK123" s="0" t="s">
        <v>8536</v>
      </c>
      <c r="AL123" s="0" t="s">
        <v>164</v>
      </c>
      <c r="AM123" s="0" t="s">
        <v>8537</v>
      </c>
      <c r="AN123" s="0" t="s">
        <v>8530</v>
      </c>
      <c r="AO123" s="5" t="s">
        <v>189</v>
      </c>
      <c r="AR123" s="0" t="str">
        <f aca="false">IF($A123="","",IF(AND(CK123="pass",AO123&lt;&gt;"Y",C123&lt;&gt;"",OR(AU123&lt;&gt;"Y",AV123="Y")),"Y","N"))</f>
        <v>N</v>
      </c>
      <c r="AS123" s="0" t="str">
        <f aca="false">IF($A123="","",_xlfn.TEXTJOIN("; ",TRUE(),IF(CK123&lt;&gt;"pass","gated out",""),IF(AO123="Y","on hold: "&amp;AP123,""),IF(C123="","no contact named on an opened page",""),IF(AND(AU123="Y",AV123&lt;&gt;"Y"),"founder review pending (Founder review tab)","")))</f>
        <v>founder review pending (Founder review tab)</v>
      </c>
      <c r="AU123" s="0" t="s">
        <v>164</v>
      </c>
      <c r="AY123" s="0" t="s">
        <v>8538</v>
      </c>
      <c r="AZ123" s="0" t="s">
        <v>5594</v>
      </c>
      <c r="BA123" s="0" t="s">
        <v>5739</v>
      </c>
      <c r="BC123" s="0" t="str">
        <f aca="false">IF($A123="","",IFERROR(INDEX(Enrichment!$A$2:$GZ$2000,MATCH($A123,INDEX(Enrichment!$A$2:$GZ$2000,0,MATCH("row_id",Enrichment!$A$1:$GZ$1,0)),0),MATCH("work_email",Enrichment!$A$1:$GZ$1,0))&amp;"",""))</f>
        <v/>
      </c>
      <c r="BD123" s="0" t="str">
        <f aca="false">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none</v>
      </c>
      <c r="BE123" s="0" t="s">
        <v>5589</v>
      </c>
      <c r="BF123" s="0" t="s">
        <v>169</v>
      </c>
      <c r="BG123" s="0" t="s">
        <v>170</v>
      </c>
      <c r="BH123" s="0" t="s">
        <v>8534</v>
      </c>
      <c r="BI123" s="0" t="s">
        <v>263</v>
      </c>
      <c r="BJ123" s="0" t="s">
        <v>8539</v>
      </c>
      <c r="BK123" s="0" t="s">
        <v>5643</v>
      </c>
      <c r="BP123" s="0" t="str">
        <f aca="false">IF($A123="","",IFERROR(INDEX(Enrichment!$A$2:$GZ$2000,MATCH($A123,INDEX(Enrichment!$A$2:$GZ$2000,0,MATCH("row_id",Enrichment!$A$1:$GZ$1,0)),0),MATCH("backup_work_email",Enrichment!$A$1:$GZ$1,0))&amp;"",""))</f>
        <v/>
      </c>
      <c r="BQ123" s="0" t="str">
        <f aca="false">IF($A123="","",IF(BP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none</v>
      </c>
      <c r="BS123" s="0" t="s">
        <v>380</v>
      </c>
      <c r="BW123" s="0" t="s">
        <v>387</v>
      </c>
      <c r="BX123" s="0" t="s">
        <v>388</v>
      </c>
      <c r="BY123" s="0" t="s">
        <v>8540</v>
      </c>
      <c r="BZ123" s="0" t="s">
        <v>8541</v>
      </c>
      <c r="CB123" s="0" t="s">
        <v>8542</v>
      </c>
      <c r="CJ123" s="0" t="s">
        <v>7088</v>
      </c>
      <c r="CK123" s="0" t="s">
        <v>200</v>
      </c>
      <c r="CM123" s="0" t="s">
        <v>201</v>
      </c>
      <c r="CN123" s="0" t="s">
        <v>8543</v>
      </c>
      <c r="CO123" s="0" t="s">
        <v>8544</v>
      </c>
      <c r="CP123" s="0" t="s">
        <v>5608</v>
      </c>
      <c r="CQ123" s="0" t="s">
        <v>5609</v>
      </c>
      <c r="CR123" s="0" t="s">
        <v>209</v>
      </c>
      <c r="CT123" s="0" t="s">
        <v>164</v>
      </c>
      <c r="CU123" s="0" t="s">
        <v>8545</v>
      </c>
      <c r="CV123" s="0" t="s">
        <v>164</v>
      </c>
      <c r="CW123" s="0" t="s">
        <v>164</v>
      </c>
      <c r="CX123" s="0" t="s">
        <v>209</v>
      </c>
      <c r="CZ123" s="0" t="s">
        <v>8546</v>
      </c>
      <c r="DA123" s="0" t="s">
        <v>189</v>
      </c>
      <c r="DB123" s="0" t="s">
        <v>189</v>
      </c>
      <c r="DE123" s="0" t="s">
        <v>189</v>
      </c>
      <c r="DF123" s="0" t="n">
        <v>0</v>
      </c>
      <c r="DI123" s="0" t="s">
        <v>209</v>
      </c>
      <c r="DK123" s="0" t="s">
        <v>5689</v>
      </c>
      <c r="DL123" s="0" t="n">
        <v>221</v>
      </c>
      <c r="DN123" s="0" t="n">
        <v>39</v>
      </c>
      <c r="DO123" s="0" t="n">
        <v>6</v>
      </c>
      <c r="DP123" s="0" t="n">
        <v>20</v>
      </c>
      <c r="DQ123" s="0" t="n">
        <v>4</v>
      </c>
      <c r="DR123" s="0" t="n">
        <v>5</v>
      </c>
      <c r="DS123" s="0" t="n">
        <v>10</v>
      </c>
      <c r="DT123" s="0" t="n">
        <v>6</v>
      </c>
      <c r="DU123" s="0" t="n">
        <f aca="false">IF($A123="","",IF(R123="Y",10,0))</f>
        <v>0</v>
      </c>
      <c r="DV123" s="0" t="n">
        <v>-12</v>
      </c>
      <c r="DW123" s="0" t="s">
        <v>8547</v>
      </c>
      <c r="DX123" s="0" t="s">
        <v>6462</v>
      </c>
      <c r="DY123" s="0" t="s">
        <v>8548</v>
      </c>
      <c r="DZ123" s="0" t="s">
        <v>8549</v>
      </c>
      <c r="EA123" s="0" t="s">
        <v>8550</v>
      </c>
      <c r="EV123" s="0" t="str">
        <f aca="false">IF($A123="","",IF(ISNUMBER(MATCH(U123,{"queued","contacted","replied","call_booked","call_done","yes_in_principle","materials_sent"},0)),"Y","N"))</f>
        <v>N</v>
      </c>
      <c r="EW123" s="0" t="str">
        <f aca="false">IF($A123="","",IF(OR(T123="Y",U123="do_not_contact",AQ123&amp;""&lt;&gt;""),"Y","N"))</f>
        <v>N</v>
      </c>
      <c r="EX123" s="0" t="str">
        <f aca="false">IF($A123="","",IF(AN123&amp;""&lt;&gt;"",AN123&amp;"",$A123))</f>
        <v>AB-140</v>
      </c>
      <c r="EY123" s="0" t="str">
        <f aca="false">IF($A123="","",IF(COUNTIFS($EX$2:$EX$1000,EX123,$EV$2:$EV$1000,"Y")+COUNTIFS($EX$2:$EX$1000,EX123,$EW$2:$EW$1000,"Y")&gt;0,"Y","N"))</f>
        <v>N</v>
      </c>
      <c r="EZ123" s="0" t="str">
        <f aca="false">IF($A123="","",IF(AND(U123="new",T123="N",EW123="N",AR123="Y",EY123="N"),"Y","N"))</f>
        <v>N</v>
      </c>
      <c r="FA123" s="0" t="str">
        <f aca="false">IF($A123="","",IF(EZ123&lt;&gt;"Y","N",IF(COUNTIFS($EX$2:$EX$1000,EX123,$EZ$2:$EZ$1000,"Y",$J$2:$J$1000,"&gt;"&amp;J123)+COUNTIFS($EX$2:$EX$1000,EX123,$EZ$2:$EZ$1000,"Y",$J$2:$J$1000,J123,$FG$2:$FG$1000,"&lt;"&amp;FG123)=0,"Y","N")))</f>
        <v>N</v>
      </c>
      <c r="FB123" s="0" t="str">
        <f aca="false">IF($A123="","",IF(AND(EZ123="Y",FA123="Y",Y123&amp;""&lt;&gt;""),IF(Y123&lt;=10,"Y","N"),"N"))</f>
        <v>N</v>
      </c>
      <c r="FC123" s="0" t="str">
        <f aca="false">IF(FB123="Y",Y123,"")</f>
        <v/>
      </c>
      <c r="FD123" s="0" t="str">
        <f aca="false">IF($A123="","",IF(AND(CK123="pass",AU123="Y",AV123&lt;&gt;"Y",U123="new",EW123="N"),"Y","N"))</f>
        <v>Y</v>
      </c>
      <c r="FE123" s="0" t="str">
        <f aca="false">IF(FD123&lt;&gt;"Y","",IF(COUNTIFS($FD$2:$FD$1000,"Y",$J$2:$J$1000,"&gt;"&amp;J123)+COUNTIFS($FD$2:$FD$1000,"Y",$J$2:$J$1000,J123,$FG$2:$FG$1000,"&lt;"&amp;FG123)+1&lt;=30,COUNTIFS($FD$2:$FD$1000,"Y",$J$2:$J$1000,"&gt;"&amp;J123)+COUNTIFS($FD$2:$FD$1000,"Y",$J$2:$J$1000,J123,$FG$2:$FG$1000,"&lt;"&amp;FG123)+1,""))</f>
        <v/>
      </c>
      <c r="FF123" s="0" t="str">
        <f aca="false">IF(AND(_xlfn.ISFORMULA(C123),_xlfn.ISFORMULA(J123)),"Y","N")</f>
        <v>Y</v>
      </c>
      <c r="FG123" s="0" t="n">
        <f aca="false">ROW()-1</f>
        <v>122</v>
      </c>
    </row>
    <row r="124" customFormat="false" ht="15" hidden="false" customHeight="false" outlineLevel="0" collapsed="false">
      <c r="A124" s="0" t="s">
        <v>8551</v>
      </c>
      <c r="B124" s="0" t="s">
        <v>8552</v>
      </c>
      <c r="C124" s="0" t="str">
        <f aca="false">IF($A124="","",IF(AT124="Y",BL124&amp;"",AY124&amp;""))</f>
        <v>Sandro</v>
      </c>
      <c r="D124" s="0" t="str">
        <f aca="false">IF($A124="","",IF(AT124="Y",BM124&amp;"",AZ124&amp;""))</f>
        <v>Roco</v>
      </c>
      <c r="E124" s="0" t="str">
        <f aca="false">IF($A124="","",IF(AT124="Y",BN124&amp;"",BA124&amp;""))</f>
        <v>Founder and CEO</v>
      </c>
      <c r="F124" s="0" t="str">
        <f aca="false">IF($A124="","",IF(AT124="Y",BO124&amp;"",BB124&amp;""))</f>
        <v/>
      </c>
      <c r="G124" s="0" t="str">
        <f aca="false">IF($A124="","",IF(AT124="Y",BP124&amp;"",BC124&amp;""))</f>
        <v/>
      </c>
      <c r="H124" s="0" t="str">
        <f aca="false">IF($A124="","",IF(AT124="Y",BQ124&amp;"",BD124&amp;""))</f>
        <v>none</v>
      </c>
      <c r="I124" s="0" t="str">
        <f aca="false">IF($A124="","",IF(R124="Y","warm-intro",IF(H124="verified","email",IF(C124&lt;&gt;"","linkedin",CA124&amp;""))))</f>
        <v>linkedin</v>
      </c>
      <c r="J124" s="0" t="n">
        <f aca="false">IF($A124="","",IF(CK124="pass",ROUND(N(DO124)+N(DP124)+N(DQ124)+N(DR124)+N(DS124)+N(DT124)+N(DU124)+N(DV124),0),0))</f>
        <v>39</v>
      </c>
      <c r="K124" s="0" t="str">
        <f aca="false">IF($A124="","",IF(CK124&lt;&gt;"pass",BY124&amp;"",BY124&amp;", "&amp;IF(AT124="Y",BX124&amp;"",BK124&amp;"")&amp;BZ124&amp;IF(R124="Y","; known to the founder (+10)","")&amp;"."))</f>
        <v>New York City brand, no graded store within ten blocks, online store only, no dated why-now in the last 12 months, revenue unknown, contact named; founder review: scale.</v>
      </c>
      <c r="M124" s="0" t="s">
        <v>6144</v>
      </c>
      <c r="N124" s="0" t="s">
        <v>740</v>
      </c>
      <c r="R124" s="5" t="s">
        <v>189</v>
      </c>
      <c r="S124" s="0" t="s">
        <v>209</v>
      </c>
      <c r="T124" s="5" t="s">
        <v>189</v>
      </c>
      <c r="U124" s="5" t="s">
        <v>3896</v>
      </c>
      <c r="V124" s="0" t="s">
        <v>8553</v>
      </c>
      <c r="W124" s="0" t="s">
        <v>263</v>
      </c>
      <c r="X124" s="0" t="s">
        <v>5578</v>
      </c>
      <c r="Y124" s="0" t="str">
        <f aca="false">IF(FA124&lt;&gt;"Y","",COUNTIFS($FA$2:$FA$1000,"Y",$J$2:$J$1000,"&gt;"&amp;J124)+COUNTIFS($FA$2:$FA$1000,"Y",$J$2:$J$1000,J124,$FG$2:$FG$1000,"&lt;"&amp;FG124)+1)</f>
        <v/>
      </c>
      <c r="Z124" s="0" t="n">
        <v>123</v>
      </c>
      <c r="AA124" s="0" t="s">
        <v>189</v>
      </c>
      <c r="AB124" s="0" t="str">
        <f aca="false">IF($A124="","",IF(AT124="Y",BW124&amp;"",BJ124&amp;""))</f>
        <v>find Sandro Roco at Sanzo on LinkedIn and paste the profile URL into primary_linkedin_url</v>
      </c>
      <c r="AC124" s="0" t="str">
        <f aca="false">IF($A124="","",IF(AT124="Y",BR124&amp;"",BE124&amp;""))</f>
        <v>founder</v>
      </c>
      <c r="AD124" s="0" t="str">
        <f aca="false">IF($A124="","",IF(AT124="Y",BS124&amp;"",BF124&amp;""))</f>
        <v>verified-page</v>
      </c>
      <c r="AE124" s="0" t="str">
        <f aca="false">IF($A124="","",IF(AT124="Y",BT124&amp;"",BG124&amp;""))</f>
        <v>employer's own site</v>
      </c>
      <c r="AF124" s="0" t="str">
        <f aca="false">IF($A124="","",IF(AT124="Y",BU124&amp;"",BH124&amp;""))</f>
        <v>https://drinksanzo.com/pages/about</v>
      </c>
      <c r="AG124" s="0" t="str">
        <f aca="false">IF($A124="","",IF(AT124="Y",BV124&amp;"",BI124&amp;""))</f>
        <v>2026-10-23</v>
      </c>
      <c r="AH124" s="0" t="s">
        <v>8554</v>
      </c>
      <c r="AI124" s="0" t="s">
        <v>5580</v>
      </c>
      <c r="AJ124" s="0" t="s">
        <v>259</v>
      </c>
      <c r="AK124" s="0" t="s">
        <v>8555</v>
      </c>
      <c r="AL124" s="0" t="s">
        <v>164</v>
      </c>
      <c r="AM124" s="0" t="s">
        <v>8556</v>
      </c>
      <c r="AN124" s="0" t="s">
        <v>8551</v>
      </c>
      <c r="AO124" s="5" t="s">
        <v>189</v>
      </c>
      <c r="AR124" s="0" t="str">
        <f aca="false">IF($A124="","",IF(AND(CK124="pass",AO124&lt;&gt;"Y",C124&lt;&gt;"",OR(AU124&lt;&gt;"Y",AV124="Y")),"Y","N"))</f>
        <v>N</v>
      </c>
      <c r="AS124" s="0" t="str">
        <f aca="false">IF($A124="","",_xlfn.TEXTJOIN("; ",TRUE(),IF(CK124&lt;&gt;"pass","gated out",""),IF(AO124="Y","on hold: "&amp;AP124,""),IF(C124="","no contact named on an opened page",""),IF(AND(AU124="Y",AV124&lt;&gt;"Y"),"founder review pending (Founder review tab)","")))</f>
        <v>founder review pending (Founder review tab)</v>
      </c>
      <c r="AU124" s="0" t="s">
        <v>164</v>
      </c>
      <c r="AY124" s="0" t="s">
        <v>8557</v>
      </c>
      <c r="AZ124" s="0" t="s">
        <v>8558</v>
      </c>
      <c r="BA124" s="0" t="s">
        <v>5670</v>
      </c>
      <c r="BC124" s="0" t="str">
        <f aca="false">IF($A124="","",IFERROR(INDEX(Enrichment!$A$2:$GZ$2000,MATCH($A124,INDEX(Enrichment!$A$2:$GZ$2000,0,MATCH("row_id",Enrichment!$A$1:$GZ$1,0)),0),MATCH("work_email",Enrichment!$A$1:$GZ$1,0))&amp;"",""))</f>
        <v/>
      </c>
      <c r="BD124" s="0" t="str">
        <f aca="false">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none</v>
      </c>
      <c r="BE124" s="0" t="s">
        <v>5589</v>
      </c>
      <c r="BF124" s="0" t="s">
        <v>169</v>
      </c>
      <c r="BG124" s="0" t="s">
        <v>170</v>
      </c>
      <c r="BH124" s="0" t="s">
        <v>8553</v>
      </c>
      <c r="BI124" s="0" t="s">
        <v>263</v>
      </c>
      <c r="BJ124" s="0" t="s">
        <v>8559</v>
      </c>
      <c r="BK124" s="0" t="s">
        <v>5643</v>
      </c>
      <c r="BL124" s="0" t="s">
        <v>6250</v>
      </c>
      <c r="BM124" s="0" t="s">
        <v>6727</v>
      </c>
      <c r="BN124" s="0" t="s">
        <v>8560</v>
      </c>
      <c r="BP124" s="0" t="str">
        <f aca="false">IF($A124="","",IFERROR(INDEX(Enrichment!$A$2:$GZ$2000,MATCH($A124,INDEX(Enrichment!$A$2:$GZ$2000,0,MATCH("row_id",Enrichment!$A$1:$GZ$1,0)),0),MATCH("backup_work_email",Enrichment!$A$1:$GZ$1,0))&amp;"",""))</f>
        <v/>
      </c>
      <c r="BQ124" s="0" t="str">
        <f aca="false">IF($A124="","",IF(BP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none</v>
      </c>
      <c r="BR124" s="0" t="s">
        <v>7494</v>
      </c>
      <c r="BS124" s="0" t="s">
        <v>169</v>
      </c>
      <c r="BT124" s="0" t="s">
        <v>1252</v>
      </c>
      <c r="BU124" s="0" t="s">
        <v>8561</v>
      </c>
      <c r="BV124" s="0" t="s">
        <v>263</v>
      </c>
      <c r="BW124" s="0" t="s">
        <v>8562</v>
      </c>
      <c r="BX124" s="0" t="s">
        <v>5643</v>
      </c>
      <c r="BY124" s="0" t="s">
        <v>7496</v>
      </c>
      <c r="BZ124" s="0" t="s">
        <v>6512</v>
      </c>
      <c r="CB124" s="0" t="s">
        <v>8563</v>
      </c>
      <c r="CF124" s="0" t="s">
        <v>8564</v>
      </c>
      <c r="CJ124" s="0" t="s">
        <v>7088</v>
      </c>
      <c r="CK124" s="0" t="s">
        <v>200</v>
      </c>
      <c r="CM124" s="0" t="s">
        <v>201</v>
      </c>
      <c r="CN124" s="0" t="s">
        <v>6516</v>
      </c>
      <c r="CO124" s="0" t="s">
        <v>8555</v>
      </c>
      <c r="CP124" s="0" t="s">
        <v>5608</v>
      </c>
      <c r="CQ124" s="0" t="s">
        <v>5609</v>
      </c>
      <c r="CR124" s="0" t="s">
        <v>8565</v>
      </c>
      <c r="CS124" s="0" t="s">
        <v>8566</v>
      </c>
      <c r="CT124" s="0" t="s">
        <v>164</v>
      </c>
      <c r="CU124" s="0" t="s">
        <v>8567</v>
      </c>
      <c r="CV124" s="0" t="s">
        <v>164</v>
      </c>
      <c r="CW124" s="0" t="s">
        <v>164</v>
      </c>
      <c r="CX124" s="0" t="s">
        <v>209</v>
      </c>
      <c r="CZ124" s="0" t="s">
        <v>8568</v>
      </c>
      <c r="DA124" s="0" t="s">
        <v>189</v>
      </c>
      <c r="DB124" s="0" t="s">
        <v>189</v>
      </c>
      <c r="DE124" s="0" t="s">
        <v>189</v>
      </c>
      <c r="DF124" s="0" t="n">
        <v>0</v>
      </c>
      <c r="DI124" s="0" t="s">
        <v>8569</v>
      </c>
      <c r="DJ124" s="0" t="s">
        <v>8566</v>
      </c>
      <c r="DK124" s="0" t="s">
        <v>380</v>
      </c>
      <c r="DN124" s="0" t="n">
        <v>39</v>
      </c>
      <c r="DO124" s="0" t="n">
        <v>6</v>
      </c>
      <c r="DP124" s="0" t="n">
        <v>20</v>
      </c>
      <c r="DQ124" s="0" t="n">
        <v>0</v>
      </c>
      <c r="DR124" s="0" t="n">
        <v>5</v>
      </c>
      <c r="DS124" s="0" t="n">
        <v>10</v>
      </c>
      <c r="DT124" s="0" t="n">
        <v>10</v>
      </c>
      <c r="DU124" s="0" t="n">
        <f aca="false">IF($A124="","",IF(R124="Y",10,0))</f>
        <v>0</v>
      </c>
      <c r="DV124" s="0" t="n">
        <v>-12</v>
      </c>
      <c r="DW124" s="0" t="s">
        <v>8570</v>
      </c>
      <c r="DX124" s="0" t="s">
        <v>6462</v>
      </c>
      <c r="DY124" s="0" t="s">
        <v>8571</v>
      </c>
      <c r="DZ124" s="0" t="s">
        <v>8572</v>
      </c>
      <c r="EA124" s="0" t="s">
        <v>8573</v>
      </c>
      <c r="EV124" s="0" t="str">
        <f aca="false">IF($A124="","",IF(ISNUMBER(MATCH(U124,{"queued","contacted","replied","call_booked","call_done","yes_in_principle","materials_sent"},0)),"Y","N"))</f>
        <v>N</v>
      </c>
      <c r="EW124" s="0" t="str">
        <f aca="false">IF($A124="","",IF(OR(T124="Y",U124="do_not_contact",AQ124&amp;""&lt;&gt;""),"Y","N"))</f>
        <v>N</v>
      </c>
      <c r="EX124" s="0" t="str">
        <f aca="false">IF($A124="","",IF(AN124&amp;""&lt;&gt;"",AN124&amp;"",$A124))</f>
        <v>AB-128</v>
      </c>
      <c r="EY124" s="0" t="str">
        <f aca="false">IF($A124="","",IF(COUNTIFS($EX$2:$EX$1000,EX124,$EV$2:$EV$1000,"Y")+COUNTIFS($EX$2:$EX$1000,EX124,$EW$2:$EW$1000,"Y")&gt;0,"Y","N"))</f>
        <v>N</v>
      </c>
      <c r="EZ124" s="0" t="str">
        <f aca="false">IF($A124="","",IF(AND(U124="new",T124="N",EW124="N",AR124="Y",EY124="N"),"Y","N"))</f>
        <v>N</v>
      </c>
      <c r="FA124" s="0" t="str">
        <f aca="false">IF($A124="","",IF(EZ124&lt;&gt;"Y","N",IF(COUNTIFS($EX$2:$EX$1000,EX124,$EZ$2:$EZ$1000,"Y",$J$2:$J$1000,"&gt;"&amp;J124)+COUNTIFS($EX$2:$EX$1000,EX124,$EZ$2:$EZ$1000,"Y",$J$2:$J$1000,J124,$FG$2:$FG$1000,"&lt;"&amp;FG124)=0,"Y","N")))</f>
        <v>N</v>
      </c>
      <c r="FB124" s="0" t="str">
        <f aca="false">IF($A124="","",IF(AND(EZ124="Y",FA124="Y",Y124&amp;""&lt;&gt;""),IF(Y124&lt;=10,"Y","N"),"N"))</f>
        <v>N</v>
      </c>
      <c r="FC124" s="0" t="str">
        <f aca="false">IF(FB124="Y",Y124,"")</f>
        <v/>
      </c>
      <c r="FD124" s="0" t="str">
        <f aca="false">IF($A124="","",IF(AND(CK124="pass",AU124="Y",AV124&lt;&gt;"Y",U124="new",EW124="N"),"Y","N"))</f>
        <v>Y</v>
      </c>
      <c r="FE124" s="0" t="str">
        <f aca="false">IF(FD124&lt;&gt;"Y","",IF(COUNTIFS($FD$2:$FD$1000,"Y",$J$2:$J$1000,"&gt;"&amp;J124)+COUNTIFS($FD$2:$FD$1000,"Y",$J$2:$J$1000,J124,$FG$2:$FG$1000,"&lt;"&amp;FG124)+1&lt;=30,COUNTIFS($FD$2:$FD$1000,"Y",$J$2:$J$1000,"&gt;"&amp;J124)+COUNTIFS($FD$2:$FD$1000,"Y",$J$2:$J$1000,J124,$FG$2:$FG$1000,"&lt;"&amp;FG124)+1,""))</f>
        <v/>
      </c>
      <c r="FF124" s="0" t="str">
        <f aca="false">IF(AND(_xlfn.ISFORMULA(C124),_xlfn.ISFORMULA(J124)),"Y","N")</f>
        <v>Y</v>
      </c>
      <c r="FG124" s="0" t="n">
        <f aca="false">ROW()-1</f>
        <v>123</v>
      </c>
    </row>
    <row r="125" customFormat="false" ht="15" hidden="false" customHeight="false" outlineLevel="0" collapsed="false">
      <c r="A125" s="0" t="s">
        <v>8574</v>
      </c>
      <c r="B125" s="0" t="s">
        <v>8575</v>
      </c>
      <c r="C125" s="0" t="str">
        <f aca="false">IF($A125="","",IF(AT125="Y",BL125&amp;"",AY125&amp;""))</f>
        <v>Michael</v>
      </c>
      <c r="D125" s="0" t="str">
        <f aca="false">IF($A125="","",IF(AT125="Y",BM125&amp;"",AZ125&amp;""))</f>
        <v>Kirban</v>
      </c>
      <c r="E125" s="0" t="str">
        <f aca="false">IF($A125="","",IF(AT125="Y",BN125&amp;"",BA125&amp;""))</f>
        <v>CEO per an older press headline quoted on the our-story page</v>
      </c>
      <c r="F125" s="0" t="str">
        <f aca="false">IF($A125="","",IF(AT125="Y",BO125&amp;"",BB125&amp;""))</f>
        <v/>
      </c>
      <c r="G125" s="0" t="str">
        <f aca="false">IF($A125="","",IF(AT125="Y",BP125&amp;"",BC125&amp;""))</f>
        <v/>
      </c>
      <c r="H125" s="0" t="str">
        <f aca="false">IF($A125="","",IF(AT125="Y",BQ125&amp;"",BD125&amp;""))</f>
        <v>none</v>
      </c>
      <c r="I125" s="0" t="str">
        <f aca="false">IF($A125="","",IF(R125="Y","warm-intro",IF(H125="verified","email",IF(C125&lt;&gt;"","linkedin",CA125&amp;""))))</f>
        <v>linkedin</v>
      </c>
      <c r="J125" s="0" t="n">
        <f aca="false">IF($A125="","",IF(CK125="pass",ROUND(N(DO125)+N(DP125)+N(DQ125)+N(DR125)+N(DS125)+N(DT125)+N(DU125)+N(DV125),0),0))</f>
        <v>39</v>
      </c>
      <c r="K125" s="0" t="str">
        <f aca="false">IF($A125="","",IF(CK125&lt;&gt;"pass",BY125&amp;"",BY125&amp;", "&amp;IF(AT125="Y",BX125&amp;"",BK125&amp;"")&amp;BZ125&amp;IF(R125="Y","; known to the founder (+10)","")&amp;"."))</f>
        <v>New York City brand, no graded store within ten blocks, online store only, no dated why-now in the last 12 months, revenue unknown, contact named; founder review: scale.</v>
      </c>
      <c r="M125" s="0" t="s">
        <v>6144</v>
      </c>
      <c r="N125" s="0" t="s">
        <v>740</v>
      </c>
      <c r="R125" s="5" t="s">
        <v>189</v>
      </c>
      <c r="S125" s="0" t="s">
        <v>209</v>
      </c>
      <c r="T125" s="5" t="s">
        <v>189</v>
      </c>
      <c r="U125" s="5" t="s">
        <v>3896</v>
      </c>
      <c r="V125" s="0" t="s">
        <v>8576</v>
      </c>
      <c r="W125" s="0" t="s">
        <v>263</v>
      </c>
      <c r="X125" s="0" t="s">
        <v>5578</v>
      </c>
      <c r="Y125" s="0" t="str">
        <f aca="false">IF(FA125&lt;&gt;"Y","",COUNTIFS($FA$2:$FA$1000,"Y",$J$2:$J$1000,"&gt;"&amp;J125)+COUNTIFS($FA$2:$FA$1000,"Y",$J$2:$J$1000,J125,$FG$2:$FG$1000,"&lt;"&amp;FG125)+1)</f>
        <v/>
      </c>
      <c r="Z125" s="0" t="n">
        <v>124</v>
      </c>
      <c r="AA125" s="0" t="s">
        <v>189</v>
      </c>
      <c r="AB125" s="0" t="str">
        <f aca="false">IF($A125="","",IF(AT125="Y",BW125&amp;"",BJ125&amp;""))</f>
        <v>find Michael Kirban at Vita Coco on LinkedIn and paste the profile URL into primary_linkedin_url</v>
      </c>
      <c r="AC125" s="0" t="str">
        <f aca="false">IF($A125="","",IF(AT125="Y",BR125&amp;"",BE125&amp;""))</f>
        <v>founder</v>
      </c>
      <c r="AD125" s="0" t="str">
        <f aca="false">IF($A125="","",IF(AT125="Y",BS125&amp;"",BF125&amp;""))</f>
        <v>verified-page</v>
      </c>
      <c r="AE125" s="0" t="str">
        <f aca="false">IF($A125="","",IF(AT125="Y",BT125&amp;"",BG125&amp;""))</f>
        <v>employer's own site</v>
      </c>
      <c r="AF125" s="0" t="str">
        <f aca="false">IF($A125="","",IF(AT125="Y",BU125&amp;"",BH125&amp;""))</f>
        <v>https://vitacoco.com/pages/our-story</v>
      </c>
      <c r="AG125" s="0" t="str">
        <f aca="false">IF($A125="","",IF(AT125="Y",BV125&amp;"",BI125&amp;""))</f>
        <v>2026-10-23</v>
      </c>
      <c r="AH125" s="0" t="s">
        <v>8577</v>
      </c>
      <c r="AI125" s="0" t="s">
        <v>6621</v>
      </c>
      <c r="AJ125" s="0" t="s">
        <v>259</v>
      </c>
      <c r="AK125" s="0" t="s">
        <v>8578</v>
      </c>
      <c r="AL125" s="0" t="s">
        <v>164</v>
      </c>
      <c r="AM125" s="0" t="s">
        <v>8579</v>
      </c>
      <c r="AN125" s="0" t="s">
        <v>8574</v>
      </c>
      <c r="AO125" s="5" t="s">
        <v>189</v>
      </c>
      <c r="AR125" s="0" t="str">
        <f aca="false">IF($A125="","",IF(AND(CK125="pass",AO125&lt;&gt;"Y",C125&lt;&gt;"",OR(AU125&lt;&gt;"Y",AV125="Y")),"Y","N"))</f>
        <v>N</v>
      </c>
      <c r="AS125" s="0" t="str">
        <f aca="false">IF($A125="","",_xlfn.TEXTJOIN("; ",TRUE(),IF(CK125&lt;&gt;"pass","gated out",""),IF(AO125="Y","on hold: "&amp;AP125,""),IF(C125="","no contact named on an opened page",""),IF(AND(AU125="Y",AV125&lt;&gt;"Y"),"founder review pending (Founder review tab)","")))</f>
        <v>founder review pending (Founder review tab)</v>
      </c>
      <c r="AU125" s="0" t="s">
        <v>164</v>
      </c>
      <c r="AY125" s="0" t="s">
        <v>6480</v>
      </c>
      <c r="AZ125" s="0" t="s">
        <v>8580</v>
      </c>
      <c r="BA125" s="0" t="s">
        <v>8581</v>
      </c>
      <c r="BC125" s="0" t="str">
        <f aca="false">IF($A125="","",IFERROR(INDEX(Enrichment!$A$2:$GZ$2000,MATCH($A125,INDEX(Enrichment!$A$2:$GZ$2000,0,MATCH("row_id",Enrichment!$A$1:$GZ$1,0)),0),MATCH("work_email",Enrichment!$A$1:$GZ$1,0))&amp;"",""))</f>
        <v/>
      </c>
      <c r="BD125" s="0" t="str">
        <f aca="false">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none</v>
      </c>
      <c r="BE125" s="0" t="s">
        <v>5589</v>
      </c>
      <c r="BF125" s="0" t="s">
        <v>169</v>
      </c>
      <c r="BG125" s="0" t="s">
        <v>170</v>
      </c>
      <c r="BH125" s="0" t="s">
        <v>8576</v>
      </c>
      <c r="BI125" s="0" t="s">
        <v>263</v>
      </c>
      <c r="BJ125" s="0" t="s">
        <v>8582</v>
      </c>
      <c r="BK125" s="0" t="s">
        <v>5643</v>
      </c>
      <c r="BL125" s="0" t="s">
        <v>8583</v>
      </c>
      <c r="BM125" s="0" t="s">
        <v>8584</v>
      </c>
      <c r="BN125" s="0" t="s">
        <v>8585</v>
      </c>
      <c r="BP125" s="0" t="str">
        <f aca="false">IF($A125="","",IFERROR(INDEX(Enrichment!$A$2:$GZ$2000,MATCH($A125,INDEX(Enrichment!$A$2:$GZ$2000,0,MATCH("row_id",Enrichment!$A$1:$GZ$1,0)),0),MATCH("backup_work_email",Enrichment!$A$1:$GZ$1,0))&amp;"",""))</f>
        <v/>
      </c>
      <c r="BQ125" s="0" t="str">
        <f aca="false">IF($A125="","",IF(BP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none</v>
      </c>
      <c r="BR125" s="0" t="s">
        <v>7494</v>
      </c>
      <c r="BS125" s="0" t="s">
        <v>169</v>
      </c>
      <c r="BT125" s="0" t="s">
        <v>1252</v>
      </c>
      <c r="BU125" s="0" t="s">
        <v>8586</v>
      </c>
      <c r="BV125" s="0" t="s">
        <v>263</v>
      </c>
      <c r="BW125" s="0" t="s">
        <v>8587</v>
      </c>
      <c r="BX125" s="0" t="s">
        <v>5643</v>
      </c>
      <c r="BY125" s="0" t="s">
        <v>7496</v>
      </c>
      <c r="BZ125" s="0" t="s">
        <v>6512</v>
      </c>
      <c r="CB125" s="0" t="s">
        <v>8588</v>
      </c>
      <c r="CF125" s="0" t="s">
        <v>8589</v>
      </c>
      <c r="CJ125" s="0" t="s">
        <v>7088</v>
      </c>
      <c r="CK125" s="0" t="s">
        <v>200</v>
      </c>
      <c r="CM125" s="0" t="s">
        <v>201</v>
      </c>
      <c r="CN125" s="0" t="s">
        <v>6516</v>
      </c>
      <c r="CO125" s="0" t="s">
        <v>8578</v>
      </c>
      <c r="CP125" s="0" t="s">
        <v>5608</v>
      </c>
      <c r="CQ125" s="0" t="s">
        <v>5609</v>
      </c>
      <c r="CR125" s="0" t="s">
        <v>209</v>
      </c>
      <c r="CT125" s="0" t="s">
        <v>164</v>
      </c>
      <c r="CU125" s="0" t="s">
        <v>8590</v>
      </c>
      <c r="CV125" s="0" t="s">
        <v>164</v>
      </c>
      <c r="CW125" s="0" t="s">
        <v>164</v>
      </c>
      <c r="CX125" s="0" t="s">
        <v>209</v>
      </c>
      <c r="CZ125" s="0" t="s">
        <v>8591</v>
      </c>
      <c r="DA125" s="0" t="s">
        <v>189</v>
      </c>
      <c r="DB125" s="0" t="s">
        <v>189</v>
      </c>
      <c r="DE125" s="0" t="s">
        <v>189</v>
      </c>
      <c r="DF125" s="0" t="n">
        <v>0</v>
      </c>
      <c r="DI125" s="0" t="s">
        <v>8592</v>
      </c>
      <c r="DK125" s="0" t="s">
        <v>380</v>
      </c>
      <c r="DN125" s="0" t="n">
        <v>39</v>
      </c>
      <c r="DO125" s="0" t="n">
        <v>6</v>
      </c>
      <c r="DP125" s="0" t="n">
        <v>20</v>
      </c>
      <c r="DQ125" s="0" t="n">
        <v>0</v>
      </c>
      <c r="DR125" s="0" t="n">
        <v>5</v>
      </c>
      <c r="DS125" s="0" t="n">
        <v>10</v>
      </c>
      <c r="DT125" s="0" t="n">
        <v>10</v>
      </c>
      <c r="DU125" s="0" t="n">
        <f aca="false">IF($A125="","",IF(R125="Y",10,0))</f>
        <v>0</v>
      </c>
      <c r="DV125" s="0" t="n">
        <v>-12</v>
      </c>
      <c r="DW125" s="0" t="s">
        <v>8593</v>
      </c>
      <c r="DX125" s="0" t="s">
        <v>6462</v>
      </c>
      <c r="DY125" s="0" t="s">
        <v>8594</v>
      </c>
      <c r="DZ125" s="0" t="s">
        <v>8595</v>
      </c>
      <c r="EA125" s="0" t="s">
        <v>8596</v>
      </c>
      <c r="EV125" s="0" t="str">
        <f aca="false">IF($A125="","",IF(ISNUMBER(MATCH(U125,{"queued","contacted","replied","call_booked","call_done","yes_in_principle","materials_sent"},0)),"Y","N"))</f>
        <v>N</v>
      </c>
      <c r="EW125" s="0" t="str">
        <f aca="false">IF($A125="","",IF(OR(T125="Y",U125="do_not_contact",AQ125&amp;""&lt;&gt;""),"Y","N"))</f>
        <v>N</v>
      </c>
      <c r="EX125" s="0" t="str">
        <f aca="false">IF($A125="","",IF(AN125&amp;""&lt;&gt;"",AN125&amp;"",$A125))</f>
        <v>AB-158</v>
      </c>
      <c r="EY125" s="0" t="str">
        <f aca="false">IF($A125="","",IF(COUNTIFS($EX$2:$EX$1000,EX125,$EV$2:$EV$1000,"Y")+COUNTIFS($EX$2:$EX$1000,EX125,$EW$2:$EW$1000,"Y")&gt;0,"Y","N"))</f>
        <v>N</v>
      </c>
      <c r="EZ125" s="0" t="str">
        <f aca="false">IF($A125="","",IF(AND(U125="new",T125="N",EW125="N",AR125="Y",EY125="N"),"Y","N"))</f>
        <v>N</v>
      </c>
      <c r="FA125" s="0" t="str">
        <f aca="false">IF($A125="","",IF(EZ125&lt;&gt;"Y","N",IF(COUNTIFS($EX$2:$EX$1000,EX125,$EZ$2:$EZ$1000,"Y",$J$2:$J$1000,"&gt;"&amp;J125)+COUNTIFS($EX$2:$EX$1000,EX125,$EZ$2:$EZ$1000,"Y",$J$2:$J$1000,J125,$FG$2:$FG$1000,"&lt;"&amp;FG125)=0,"Y","N")))</f>
        <v>N</v>
      </c>
      <c r="FB125" s="0" t="str">
        <f aca="false">IF($A125="","",IF(AND(EZ125="Y",FA125="Y",Y125&amp;""&lt;&gt;""),IF(Y125&lt;=10,"Y","N"),"N"))</f>
        <v>N</v>
      </c>
      <c r="FC125" s="0" t="str">
        <f aca="false">IF(FB125="Y",Y125,"")</f>
        <v/>
      </c>
      <c r="FD125" s="0" t="str">
        <f aca="false">IF($A125="","",IF(AND(CK125="pass",AU125="Y",AV125&lt;&gt;"Y",U125="new",EW125="N"),"Y","N"))</f>
        <v>Y</v>
      </c>
      <c r="FE125" s="0" t="str">
        <f aca="false">IF(FD125&lt;&gt;"Y","",IF(COUNTIFS($FD$2:$FD$1000,"Y",$J$2:$J$1000,"&gt;"&amp;J125)+COUNTIFS($FD$2:$FD$1000,"Y",$J$2:$J$1000,J125,$FG$2:$FG$1000,"&lt;"&amp;FG125)+1&lt;=30,COUNTIFS($FD$2:$FD$1000,"Y",$J$2:$J$1000,"&gt;"&amp;J125)+COUNTIFS($FD$2:$FD$1000,"Y",$J$2:$J$1000,J125,$FG$2:$FG$1000,"&lt;"&amp;FG125)+1,""))</f>
        <v/>
      </c>
      <c r="FF125" s="0" t="str">
        <f aca="false">IF(AND(_xlfn.ISFORMULA(C125),_xlfn.ISFORMULA(J125)),"Y","N")</f>
        <v>Y</v>
      </c>
      <c r="FG125" s="0" t="n">
        <f aca="false">ROW()-1</f>
        <v>124</v>
      </c>
    </row>
    <row r="126" customFormat="false" ht="15" hidden="false" customHeight="false" outlineLevel="0" collapsed="false">
      <c r="A126" s="0" t="s">
        <v>8597</v>
      </c>
      <c r="B126" s="0" t="s">
        <v>8598</v>
      </c>
      <c r="C126" s="0" t="str">
        <f aca="false">IF($A126="","",IF(AT126="Y",BL126&amp;"",AY126&amp;""))</f>
        <v>Claudio</v>
      </c>
      <c r="D126" s="0" t="str">
        <f aca="false">IF($A126="","",IF(AT126="Y",BM126&amp;"",AZ126&amp;""))</f>
        <v>unknown</v>
      </c>
      <c r="E126" s="0" t="str">
        <f aca="false">IF($A126="","",IF(AT126="Y",BN126&amp;"",BA126&amp;""))</f>
        <v>Founder</v>
      </c>
      <c r="F126" s="0" t="str">
        <f aca="false">IF($A126="","",IF(AT126="Y",BO126&amp;"",BB126&amp;""))</f>
        <v/>
      </c>
      <c r="G126" s="0" t="str">
        <f aca="false">IF($A126="","",IF(AT126="Y",BP126&amp;"",BC126&amp;""))</f>
        <v/>
      </c>
      <c r="H126" s="0" t="str">
        <f aca="false">IF($A126="","",IF(AT126="Y",BQ126&amp;"",BD126&amp;""))</f>
        <v>none</v>
      </c>
      <c r="I126" s="0" t="str">
        <f aca="false">IF($A126="","",IF(R126="Y","warm-intro",IF(H126="verified","email",IF(C126&lt;&gt;"","linkedin",CA126&amp;""))))</f>
        <v>linkedin</v>
      </c>
      <c r="J126" s="0" t="n">
        <f aca="false">IF($A126="","",IF(CK126="pass",ROUND(N(DO126)+N(DP126)+N(DQ126)+N(DR126)+N(DS126)+N(DT126)+N(DU126)+N(DV126),0),0))</f>
        <v>39</v>
      </c>
      <c r="K126" s="0" t="str">
        <f aca="false">IF($A126="","",IF(CK126&lt;&gt;"pass",BY126&amp;"",BY126&amp;", "&amp;IF(AT126="Y",BX126&amp;"",BK126&amp;"")&amp;BZ126&amp;IF(R126="Y","; known to the founder (+10)","")&amp;"."))</f>
        <v>New York City brand, no graded store within ten blocks, online store only, a new store listing 53 days ago, revenue unknown, contact named (first name only); founder review: perishable-risk, format-unconfirmed.</v>
      </c>
      <c r="M126" s="0" t="s">
        <v>6144</v>
      </c>
      <c r="N126" s="0" t="s">
        <v>740</v>
      </c>
      <c r="O126" s="0" t="s">
        <v>8599</v>
      </c>
      <c r="P126" s="0" t="s">
        <v>8600</v>
      </c>
      <c r="Q126" s="0" t="s">
        <v>1907</v>
      </c>
      <c r="R126" s="5" t="s">
        <v>189</v>
      </c>
      <c r="S126" s="0" t="s">
        <v>209</v>
      </c>
      <c r="T126" s="5" t="s">
        <v>189</v>
      </c>
      <c r="U126" s="5" t="s">
        <v>3896</v>
      </c>
      <c r="V126" s="0" t="s">
        <v>8601</v>
      </c>
      <c r="W126" s="0" t="s">
        <v>172</v>
      </c>
      <c r="X126" s="0" t="s">
        <v>5578</v>
      </c>
      <c r="Y126" s="0" t="str">
        <f aca="false">IF(FA126&lt;&gt;"Y","",COUNTIFS($FA$2:$FA$1000,"Y",$J$2:$J$1000,"&gt;"&amp;J126)+COUNTIFS($FA$2:$FA$1000,"Y",$J$2:$J$1000,J126,$FG$2:$FG$1000,"&lt;"&amp;FG126)+1)</f>
        <v/>
      </c>
      <c r="Z126" s="0" t="n">
        <v>125</v>
      </c>
      <c r="AA126" s="0" t="s">
        <v>189</v>
      </c>
      <c r="AB126" s="0" t="str">
        <f aca="false">IF($A126="","",IF(AT126="Y",BW126&amp;"",BJ126&amp;""))</f>
        <v>find Claudio at Claudio's Kitchen on LinkedIn and paste the profile URL into primary_linkedin_url; surname not public: take it from LinkedIn</v>
      </c>
      <c r="AC126" s="0" t="str">
        <f aca="false">IF($A126="","",IF(AT126="Y",BR126&amp;"",BE126&amp;""))</f>
        <v>founder</v>
      </c>
      <c r="AD126" s="0" t="str">
        <f aca="false">IF($A126="","",IF(AT126="Y",BS126&amp;"",BF126&amp;""))</f>
        <v>first-name-only</v>
      </c>
      <c r="AE126" s="0" t="str">
        <f aca="false">IF($A126="","",IF(AT126="Y",BT126&amp;"",BG126&amp;""))</f>
        <v>employer's own site</v>
      </c>
      <c r="AF126" s="0" t="str">
        <f aca="false">IF($A126="","",IF(AT126="Y",BU126&amp;"",BH126&amp;""))</f>
        <v>https://claudioskitchennyc.com</v>
      </c>
      <c r="AG126" s="0" t="str">
        <f aca="false">IF($A126="","",IF(AT126="Y",BV126&amp;"",BI126&amp;""))</f>
        <v>2026-10-24</v>
      </c>
      <c r="AH126" s="0" t="s">
        <v>8602</v>
      </c>
      <c r="AI126" s="0" t="s">
        <v>5702</v>
      </c>
      <c r="AJ126" s="0" t="s">
        <v>8603</v>
      </c>
      <c r="AK126" s="0" t="s">
        <v>8604</v>
      </c>
      <c r="AL126" s="0" t="s">
        <v>164</v>
      </c>
      <c r="AM126" s="0" t="s">
        <v>8605</v>
      </c>
      <c r="AN126" s="0" t="s">
        <v>8597</v>
      </c>
      <c r="AO126" s="5" t="s">
        <v>189</v>
      </c>
      <c r="AR126" s="0" t="str">
        <f aca="false">IF($A126="","",IF(AND(CK126="pass",AO126&lt;&gt;"Y",C126&lt;&gt;"",OR(AU126&lt;&gt;"Y",AV126="Y")),"Y","N"))</f>
        <v>N</v>
      </c>
      <c r="AS126" s="0" t="str">
        <f aca="false">IF($A126="","",_xlfn.TEXTJOIN("; ",TRUE(),IF(CK126&lt;&gt;"pass","gated out",""),IF(AO126="Y","on hold: "&amp;AP126,""),IF(C126="","no contact named on an opened page",""),IF(AND(AU126="Y",AV126&lt;&gt;"Y"),"founder review pending (Founder review tab)","")))</f>
        <v>founder review pending (Founder review tab)</v>
      </c>
      <c r="AU126" s="0" t="s">
        <v>164</v>
      </c>
      <c r="AY126" s="0" t="s">
        <v>8606</v>
      </c>
      <c r="AZ126" s="0" t="s">
        <v>209</v>
      </c>
      <c r="BA126" s="0" t="s">
        <v>5739</v>
      </c>
      <c r="BC126" s="0" t="str">
        <f aca="false">IF($A126="","",IFERROR(INDEX(Enrichment!$A$2:$GZ$2000,MATCH($A126,INDEX(Enrichment!$A$2:$GZ$2000,0,MATCH("row_id",Enrichment!$A$1:$GZ$1,0)),0),MATCH("work_email",Enrichment!$A$1:$GZ$1,0))&amp;"",""))</f>
        <v/>
      </c>
      <c r="BD126" s="0" t="str">
        <f aca="false">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none</v>
      </c>
      <c r="BE126" s="0" t="s">
        <v>5589</v>
      </c>
      <c r="BF126" s="0" t="s">
        <v>5896</v>
      </c>
      <c r="BG126" s="0" t="s">
        <v>170</v>
      </c>
      <c r="BH126" s="0" t="s">
        <v>8604</v>
      </c>
      <c r="BI126" s="0" t="s">
        <v>172</v>
      </c>
      <c r="BJ126" s="0" t="s">
        <v>8607</v>
      </c>
      <c r="BK126" s="0" t="s">
        <v>5898</v>
      </c>
      <c r="BP126" s="0" t="str">
        <f aca="false">IF($A126="","",IFERROR(INDEX(Enrichment!$A$2:$GZ$2000,MATCH($A126,INDEX(Enrichment!$A$2:$GZ$2000,0,MATCH("row_id",Enrichment!$A$1:$GZ$1,0)),0),MATCH("backup_work_email",Enrichment!$A$1:$GZ$1,0))&amp;"",""))</f>
        <v/>
      </c>
      <c r="BQ126" s="0" t="str">
        <f aca="false">IF($A126="","",IF(BP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none</v>
      </c>
      <c r="BS126" s="0" t="s">
        <v>380</v>
      </c>
      <c r="BW126" s="0" t="s">
        <v>387</v>
      </c>
      <c r="BX126" s="0" t="s">
        <v>388</v>
      </c>
      <c r="BY126" s="0" t="s">
        <v>7341</v>
      </c>
      <c r="BZ126" s="0" t="s">
        <v>8257</v>
      </c>
      <c r="CB126" s="0" t="s">
        <v>8606</v>
      </c>
      <c r="CD126" s="0" t="s">
        <v>7628</v>
      </c>
      <c r="CJ126" s="0" t="s">
        <v>7088</v>
      </c>
      <c r="CK126" s="0" t="s">
        <v>200</v>
      </c>
      <c r="CM126" s="0" t="s">
        <v>201</v>
      </c>
      <c r="CN126" s="0" t="s">
        <v>8259</v>
      </c>
      <c r="CO126" s="0" t="s">
        <v>8604</v>
      </c>
      <c r="CP126" s="0" t="s">
        <v>5608</v>
      </c>
      <c r="CQ126" s="0" t="s">
        <v>5609</v>
      </c>
      <c r="CR126" s="0" t="s">
        <v>209</v>
      </c>
      <c r="CT126" s="0" t="s">
        <v>209</v>
      </c>
      <c r="CU126" s="0" t="s">
        <v>8608</v>
      </c>
      <c r="CV126" s="0" t="s">
        <v>209</v>
      </c>
      <c r="CW126" s="0" t="s">
        <v>164</v>
      </c>
      <c r="CX126" s="0" t="s">
        <v>209</v>
      </c>
      <c r="CZ126" s="0" t="s">
        <v>5993</v>
      </c>
      <c r="DA126" s="0" t="s">
        <v>189</v>
      </c>
      <c r="DB126" s="0" t="s">
        <v>189</v>
      </c>
      <c r="DE126" s="0" t="s">
        <v>189</v>
      </c>
      <c r="DF126" s="0" t="n">
        <v>0</v>
      </c>
      <c r="DH126" s="0" t="s">
        <v>8609</v>
      </c>
      <c r="DI126" s="0" t="s">
        <v>8610</v>
      </c>
      <c r="DK126" s="0" t="s">
        <v>5689</v>
      </c>
      <c r="DL126" s="0" t="n">
        <v>53</v>
      </c>
      <c r="DN126" s="0" t="n">
        <v>39</v>
      </c>
      <c r="DO126" s="0" t="n">
        <v>6</v>
      </c>
      <c r="DP126" s="0" t="n">
        <v>20</v>
      </c>
      <c r="DQ126" s="0" t="n">
        <v>8</v>
      </c>
      <c r="DR126" s="0" t="n">
        <v>5</v>
      </c>
      <c r="DS126" s="0" t="n">
        <v>5</v>
      </c>
      <c r="DT126" s="0" t="n">
        <v>3</v>
      </c>
      <c r="DU126" s="0" t="n">
        <f aca="false">IF($A126="","",IF(R126="Y",10,0))</f>
        <v>0</v>
      </c>
      <c r="DV126" s="0" t="n">
        <v>-8</v>
      </c>
      <c r="DW126" s="0" t="s">
        <v>8611</v>
      </c>
      <c r="DX126" s="0" t="s">
        <v>5998</v>
      </c>
      <c r="DY126" s="0" t="s">
        <v>8612</v>
      </c>
      <c r="DZ126" s="0" t="s">
        <v>8613</v>
      </c>
      <c r="EV126" s="0" t="str">
        <f aca="false">IF($A126="","",IF(ISNUMBER(MATCH(U126,{"queued","contacted","replied","call_booked","call_done","yes_in_principle","materials_sent"},0)),"Y","N"))</f>
        <v>N</v>
      </c>
      <c r="EW126" s="0" t="str">
        <f aca="false">IF($A126="","",IF(OR(T126="Y",U126="do_not_contact",AQ126&amp;""&lt;&gt;""),"Y","N"))</f>
        <v>N</v>
      </c>
      <c r="EX126" s="0" t="str">
        <f aca="false">IF($A126="","",IF(AN126&amp;""&lt;&gt;"",AN126&amp;"",$A126))</f>
        <v>AB-274</v>
      </c>
      <c r="EY126" s="0" t="str">
        <f aca="false">IF($A126="","",IF(COUNTIFS($EX$2:$EX$1000,EX126,$EV$2:$EV$1000,"Y")+COUNTIFS($EX$2:$EX$1000,EX126,$EW$2:$EW$1000,"Y")&gt;0,"Y","N"))</f>
        <v>N</v>
      </c>
      <c r="EZ126" s="0" t="str">
        <f aca="false">IF($A126="","",IF(AND(U126="new",T126="N",EW126="N",AR126="Y",EY126="N"),"Y","N"))</f>
        <v>N</v>
      </c>
      <c r="FA126" s="0" t="str">
        <f aca="false">IF($A126="","",IF(EZ126&lt;&gt;"Y","N",IF(COUNTIFS($EX$2:$EX$1000,EX126,$EZ$2:$EZ$1000,"Y",$J$2:$J$1000,"&gt;"&amp;J126)+COUNTIFS($EX$2:$EX$1000,EX126,$EZ$2:$EZ$1000,"Y",$J$2:$J$1000,J126,$FG$2:$FG$1000,"&lt;"&amp;FG126)=0,"Y","N")))</f>
        <v>N</v>
      </c>
      <c r="FB126" s="0" t="str">
        <f aca="false">IF($A126="","",IF(AND(EZ126="Y",FA126="Y",Y126&amp;""&lt;&gt;""),IF(Y126&lt;=10,"Y","N"),"N"))</f>
        <v>N</v>
      </c>
      <c r="FC126" s="0" t="str">
        <f aca="false">IF(FB126="Y",Y126,"")</f>
        <v/>
      </c>
      <c r="FD126" s="0" t="str">
        <f aca="false">IF($A126="","",IF(AND(CK126="pass",AU126="Y",AV126&lt;&gt;"Y",U126="new",EW126="N"),"Y","N"))</f>
        <v>Y</v>
      </c>
      <c r="FE126" s="0" t="str">
        <f aca="false">IF(FD126&lt;&gt;"Y","",IF(COUNTIFS($FD$2:$FD$1000,"Y",$J$2:$J$1000,"&gt;"&amp;J126)+COUNTIFS($FD$2:$FD$1000,"Y",$J$2:$J$1000,J126,$FG$2:$FG$1000,"&lt;"&amp;FG126)+1&lt;=30,COUNTIFS($FD$2:$FD$1000,"Y",$J$2:$J$1000,"&gt;"&amp;J126)+COUNTIFS($FD$2:$FD$1000,"Y",$J$2:$J$1000,J126,$FG$2:$FG$1000,"&lt;"&amp;FG126)+1,""))</f>
        <v/>
      </c>
      <c r="FF126" s="0" t="str">
        <f aca="false">IF(AND(_xlfn.ISFORMULA(C126),_xlfn.ISFORMULA(J126)),"Y","N")</f>
        <v>Y</v>
      </c>
      <c r="FG126" s="0" t="n">
        <f aca="false">ROW()-1</f>
        <v>125</v>
      </c>
    </row>
    <row r="127" customFormat="false" ht="15" hidden="false" customHeight="false" outlineLevel="0" collapsed="false">
      <c r="A127" s="0" t="s">
        <v>8614</v>
      </c>
      <c r="B127" s="0" t="s">
        <v>8615</v>
      </c>
      <c r="C127" s="0" t="str">
        <f aca="false">IF($A127="","",IF(AT127="Y",BL127&amp;"",AY127&amp;""))</f>
        <v>Pat</v>
      </c>
      <c r="D127" s="0" t="str">
        <f aca="false">IF($A127="","",IF(AT127="Y",BM127&amp;"",AZ127&amp;""))</f>
        <v>unknown</v>
      </c>
      <c r="E127" s="0" t="str">
        <f aca="false">IF($A127="","",IF(AT127="Y",BN127&amp;"",BA127&amp;""))</f>
        <v>Co-founder</v>
      </c>
      <c r="F127" s="0" t="str">
        <f aca="false">IF($A127="","",IF(AT127="Y",BO127&amp;"",BB127&amp;""))</f>
        <v/>
      </c>
      <c r="G127" s="0" t="str">
        <f aca="false">IF($A127="","",IF(AT127="Y",BP127&amp;"",BC127&amp;""))</f>
        <v/>
      </c>
      <c r="H127" s="0" t="str">
        <f aca="false">IF($A127="","",IF(AT127="Y",BQ127&amp;"",BD127&amp;""))</f>
        <v>none</v>
      </c>
      <c r="I127" s="0" t="str">
        <f aca="false">IF($A127="","",IF(R127="Y","warm-intro",IF(H127="verified","email",IF(C127&lt;&gt;"","linkedin",CA127&amp;""))))</f>
        <v>linkedin</v>
      </c>
      <c r="J127" s="0" t="n">
        <f aca="false">IF($A127="","",IF(CK127="pass",ROUND(N(DO127)+N(DP127)+N(DQ127)+N(DR127)+N(DS127)+N(DT127)+N(DU127)+N(DV127),0),0))</f>
        <v>39</v>
      </c>
      <c r="K127" s="0" t="str">
        <f aca="false">IF($A127="","",IF(CK127&lt;&gt;"pass",BY127&amp;"",BY127&amp;", "&amp;IF(AT127="Y",BX127&amp;"",BK127&amp;"")&amp;BZ127&amp;IF(R127="Y","; known to the founder (+10)","")&amp;"."))</f>
        <v>New York State brand, no graded store within ten blocks, online store only, a new store listing 63 days ago, revenue unknown, contact named (first name only); founder review: format, claim-functional, nutrient-claim.</v>
      </c>
      <c r="M127" s="0" t="s">
        <v>6144</v>
      </c>
      <c r="N127" s="0" t="s">
        <v>740</v>
      </c>
      <c r="O127" s="0" t="s">
        <v>8616</v>
      </c>
      <c r="P127" s="0" t="s">
        <v>8617</v>
      </c>
      <c r="Q127" s="0" t="s">
        <v>8618</v>
      </c>
      <c r="R127" s="5" t="s">
        <v>189</v>
      </c>
      <c r="S127" s="0" t="s">
        <v>209</v>
      </c>
      <c r="T127" s="5" t="s">
        <v>189</v>
      </c>
      <c r="U127" s="5" t="s">
        <v>3896</v>
      </c>
      <c r="V127" s="0" t="s">
        <v>8619</v>
      </c>
      <c r="W127" s="0" t="s">
        <v>172</v>
      </c>
      <c r="X127" s="0" t="s">
        <v>5578</v>
      </c>
      <c r="Y127" s="0" t="str">
        <f aca="false">IF(FA127&lt;&gt;"Y","",COUNTIFS($FA$2:$FA$1000,"Y",$J$2:$J$1000,"&gt;"&amp;J127)+COUNTIFS($FA$2:$FA$1000,"Y",$J$2:$J$1000,J127,$FG$2:$FG$1000,"&lt;"&amp;FG127)+1)</f>
        <v/>
      </c>
      <c r="Z127" s="0" t="n">
        <v>126</v>
      </c>
      <c r="AA127" s="0" t="s">
        <v>189</v>
      </c>
      <c r="AB127" s="0" t="str">
        <f aca="false">IF($A127="","",IF(AT127="Y",BW127&amp;"",BJ127&amp;""))</f>
        <v>find Pat at Skinny Earth on LinkedIn and paste the profile URL into primary_linkedin_url; surname not public: take it from LinkedIn</v>
      </c>
      <c r="AC127" s="0" t="str">
        <f aca="false">IF($A127="","",IF(AT127="Y",BR127&amp;"",BE127&amp;""))</f>
        <v>founder</v>
      </c>
      <c r="AD127" s="0" t="str">
        <f aca="false">IF($A127="","",IF(AT127="Y",BS127&amp;"",BF127&amp;""))</f>
        <v>first-name-only</v>
      </c>
      <c r="AE127" s="0" t="str">
        <f aca="false">IF($A127="","",IF(AT127="Y",BT127&amp;"",BG127&amp;""))</f>
        <v>press, event or podcast page</v>
      </c>
      <c r="AF127" s="0" t="str">
        <f aca="false">IF($A127="","",IF(AT127="Y",BU127&amp;"",BH127&amp;""))</f>
        <v>https://events.specialtyfood.com/event/2026-summer-fancy-food-show/exhibitor/RXhoaWJpdG9yXzI0NjQ3ODM=</v>
      </c>
      <c r="AG127" s="0" t="str">
        <f aca="false">IF($A127="","",IF(AT127="Y",BV127&amp;"",BI127&amp;""))</f>
        <v>2026-10-24</v>
      </c>
      <c r="AH127" s="0" t="s">
        <v>8620</v>
      </c>
      <c r="AI127" s="0" t="s">
        <v>5789</v>
      </c>
      <c r="AJ127" s="0" t="s">
        <v>8621</v>
      </c>
      <c r="AK127" s="0" t="s">
        <v>8622</v>
      </c>
      <c r="AL127" s="0" t="s">
        <v>164</v>
      </c>
      <c r="AM127" s="0" t="s">
        <v>8623</v>
      </c>
      <c r="AN127" s="0" t="s">
        <v>8614</v>
      </c>
      <c r="AO127" s="5" t="s">
        <v>189</v>
      </c>
      <c r="AR127" s="0" t="str">
        <f aca="false">IF($A127="","",IF(AND(CK127="pass",AO127&lt;&gt;"Y",C127&lt;&gt;"",OR(AU127&lt;&gt;"Y",AV127="Y")),"Y","N"))</f>
        <v>N</v>
      </c>
      <c r="AS127" s="0" t="str">
        <f aca="false">IF($A127="","",_xlfn.TEXTJOIN("; ",TRUE(),IF(CK127&lt;&gt;"pass","gated out",""),IF(AO127="Y","on hold: "&amp;AP127,""),IF(C127="","no contact named on an opened page",""),IF(AND(AU127="Y",AV127&lt;&gt;"Y"),"founder review pending (Founder review tab)","")))</f>
        <v>founder review pending (Founder review tab)</v>
      </c>
      <c r="AU127" s="0" t="s">
        <v>164</v>
      </c>
      <c r="AY127" s="0" t="s">
        <v>8624</v>
      </c>
      <c r="AZ127" s="0" t="s">
        <v>209</v>
      </c>
      <c r="BA127" s="0" t="s">
        <v>5636</v>
      </c>
      <c r="BC127" s="0" t="str">
        <f aca="false">IF($A127="","",IFERROR(INDEX(Enrichment!$A$2:$GZ$2000,MATCH($A127,INDEX(Enrichment!$A$2:$GZ$2000,0,MATCH("row_id",Enrichment!$A$1:$GZ$1,0)),0),MATCH("work_email",Enrichment!$A$1:$GZ$1,0))&amp;"",""))</f>
        <v/>
      </c>
      <c r="BD127" s="0" t="str">
        <f aca="false">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none</v>
      </c>
      <c r="BE127" s="0" t="s">
        <v>5589</v>
      </c>
      <c r="BF127" s="0" t="s">
        <v>5896</v>
      </c>
      <c r="BG127" s="0" t="s">
        <v>1252</v>
      </c>
      <c r="BH127" s="0" t="s">
        <v>8619</v>
      </c>
      <c r="BI127" s="0" t="s">
        <v>172</v>
      </c>
      <c r="BJ127" s="0" t="s">
        <v>8625</v>
      </c>
      <c r="BK127" s="0" t="s">
        <v>5898</v>
      </c>
      <c r="BL127" s="0" t="s">
        <v>8626</v>
      </c>
      <c r="BM127" s="0" t="s">
        <v>209</v>
      </c>
      <c r="BN127" s="0" t="s">
        <v>5636</v>
      </c>
      <c r="BP127" s="0" t="str">
        <f aca="false">IF($A127="","",IFERROR(INDEX(Enrichment!$A$2:$GZ$2000,MATCH($A127,INDEX(Enrichment!$A$2:$GZ$2000,0,MATCH("row_id",Enrichment!$A$1:$GZ$1,0)),0),MATCH("backup_work_email",Enrichment!$A$1:$GZ$1,0))&amp;"",""))</f>
        <v/>
      </c>
      <c r="BQ127" s="0" t="str">
        <f aca="false">IF($A127="","",IF(BP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none</v>
      </c>
      <c r="BR127" s="0" t="s">
        <v>7748</v>
      </c>
      <c r="BS127" s="0" t="s">
        <v>5896</v>
      </c>
      <c r="BT127" s="0" t="s">
        <v>1252</v>
      </c>
      <c r="BU127" s="0" t="s">
        <v>8619</v>
      </c>
      <c r="BV127" s="0" t="s">
        <v>172</v>
      </c>
      <c r="BW127" s="0" t="s">
        <v>8627</v>
      </c>
      <c r="BX127" s="0" t="s">
        <v>5898</v>
      </c>
      <c r="BY127" s="0" t="s">
        <v>8628</v>
      </c>
      <c r="BZ127" s="0" t="s">
        <v>8629</v>
      </c>
      <c r="CB127" s="0" t="s">
        <v>8624</v>
      </c>
      <c r="CD127" s="0" t="s">
        <v>7751</v>
      </c>
      <c r="CF127" s="0" t="s">
        <v>8626</v>
      </c>
      <c r="CH127" s="0" t="s">
        <v>7751</v>
      </c>
      <c r="CJ127" s="0" t="s">
        <v>7088</v>
      </c>
      <c r="CK127" s="0" t="s">
        <v>200</v>
      </c>
      <c r="CM127" s="0" t="s">
        <v>201</v>
      </c>
      <c r="CN127" s="0" t="s">
        <v>8630</v>
      </c>
      <c r="CO127" s="0" t="s">
        <v>8622</v>
      </c>
      <c r="CP127" s="0" t="s">
        <v>5608</v>
      </c>
      <c r="CQ127" s="0" t="s">
        <v>5870</v>
      </c>
      <c r="CR127" s="0" t="s">
        <v>209</v>
      </c>
      <c r="CT127" s="0" t="s">
        <v>164</v>
      </c>
      <c r="CU127" s="0" t="s">
        <v>8631</v>
      </c>
      <c r="CV127" s="0" t="s">
        <v>209</v>
      </c>
      <c r="CW127" s="0" t="s">
        <v>164</v>
      </c>
      <c r="CX127" s="0" t="s">
        <v>209</v>
      </c>
      <c r="CZ127" s="0" t="s">
        <v>5993</v>
      </c>
      <c r="DA127" s="0" t="s">
        <v>189</v>
      </c>
      <c r="DB127" s="0" t="s">
        <v>189</v>
      </c>
      <c r="DE127" s="0" t="s">
        <v>189</v>
      </c>
      <c r="DF127" s="0" t="n">
        <v>0</v>
      </c>
      <c r="DI127" s="0" t="s">
        <v>8632</v>
      </c>
      <c r="DK127" s="0" t="s">
        <v>5689</v>
      </c>
      <c r="DL127" s="0" t="n">
        <v>63</v>
      </c>
      <c r="DN127" s="0" t="n">
        <v>39</v>
      </c>
      <c r="DO127" s="0" t="n">
        <v>6</v>
      </c>
      <c r="DP127" s="0" t="n">
        <v>13</v>
      </c>
      <c r="DQ127" s="0" t="n">
        <v>8</v>
      </c>
      <c r="DR127" s="0" t="n">
        <v>5</v>
      </c>
      <c r="DS127" s="0" t="n">
        <v>8</v>
      </c>
      <c r="DT127" s="0" t="n">
        <v>3</v>
      </c>
      <c r="DU127" s="0" t="n">
        <f aca="false">IF($A127="","",IF(R127="Y",10,0))</f>
        <v>0</v>
      </c>
      <c r="DV127" s="0" t="n">
        <v>-4</v>
      </c>
      <c r="DW127" s="0" t="s">
        <v>8633</v>
      </c>
      <c r="DX127" s="0" t="s">
        <v>5998</v>
      </c>
      <c r="DY127" s="0" t="s">
        <v>8634</v>
      </c>
      <c r="DZ127" s="0" t="s">
        <v>8635</v>
      </c>
      <c r="EA127" s="0" t="s">
        <v>8636</v>
      </c>
      <c r="EV127" s="0" t="str">
        <f aca="false">IF($A127="","",IF(ISNUMBER(MATCH(U127,{"queued","contacted","replied","call_booked","call_done","yes_in_principle","materials_sent"},0)),"Y","N"))</f>
        <v>N</v>
      </c>
      <c r="EW127" s="0" t="str">
        <f aca="false">IF($A127="","",IF(OR(T127="Y",U127="do_not_contact",AQ127&amp;""&lt;&gt;""),"Y","N"))</f>
        <v>N</v>
      </c>
      <c r="EX127" s="0" t="str">
        <f aca="false">IF($A127="","",IF(AN127&amp;""&lt;&gt;"",AN127&amp;"",$A127))</f>
        <v>AB-269</v>
      </c>
      <c r="EY127" s="0" t="str">
        <f aca="false">IF($A127="","",IF(COUNTIFS($EX$2:$EX$1000,EX127,$EV$2:$EV$1000,"Y")+COUNTIFS($EX$2:$EX$1000,EX127,$EW$2:$EW$1000,"Y")&gt;0,"Y","N"))</f>
        <v>N</v>
      </c>
      <c r="EZ127" s="0" t="str">
        <f aca="false">IF($A127="","",IF(AND(U127="new",T127="N",EW127="N",AR127="Y",EY127="N"),"Y","N"))</f>
        <v>N</v>
      </c>
      <c r="FA127" s="0" t="str">
        <f aca="false">IF($A127="","",IF(EZ127&lt;&gt;"Y","N",IF(COUNTIFS($EX$2:$EX$1000,EX127,$EZ$2:$EZ$1000,"Y",$J$2:$J$1000,"&gt;"&amp;J127)+COUNTIFS($EX$2:$EX$1000,EX127,$EZ$2:$EZ$1000,"Y",$J$2:$J$1000,J127,$FG$2:$FG$1000,"&lt;"&amp;FG127)=0,"Y","N")))</f>
        <v>N</v>
      </c>
      <c r="FB127" s="0" t="str">
        <f aca="false">IF($A127="","",IF(AND(EZ127="Y",FA127="Y",Y127&amp;""&lt;&gt;""),IF(Y127&lt;=10,"Y","N"),"N"))</f>
        <v>N</v>
      </c>
      <c r="FC127" s="0" t="str">
        <f aca="false">IF(FB127="Y",Y127,"")</f>
        <v/>
      </c>
      <c r="FD127" s="0" t="str">
        <f aca="false">IF($A127="","",IF(AND(CK127="pass",AU127="Y",AV127&lt;&gt;"Y",U127="new",EW127="N"),"Y","N"))</f>
        <v>Y</v>
      </c>
      <c r="FE127" s="0" t="str">
        <f aca="false">IF(FD127&lt;&gt;"Y","",IF(COUNTIFS($FD$2:$FD$1000,"Y",$J$2:$J$1000,"&gt;"&amp;J127)+COUNTIFS($FD$2:$FD$1000,"Y",$J$2:$J$1000,J127,$FG$2:$FG$1000,"&lt;"&amp;FG127)+1&lt;=30,COUNTIFS($FD$2:$FD$1000,"Y",$J$2:$J$1000,"&gt;"&amp;J127)+COUNTIFS($FD$2:$FD$1000,"Y",$J$2:$J$1000,J127,$FG$2:$FG$1000,"&lt;"&amp;FG127)+1,""))</f>
        <v/>
      </c>
      <c r="FF127" s="0" t="str">
        <f aca="false">IF(AND(_xlfn.ISFORMULA(C127),_xlfn.ISFORMULA(J127)),"Y","N")</f>
        <v>Y</v>
      </c>
      <c r="FG127" s="0" t="n">
        <f aca="false">ROW()-1</f>
        <v>126</v>
      </c>
    </row>
    <row r="128" customFormat="false" ht="15" hidden="false" customHeight="false" outlineLevel="0" collapsed="false">
      <c r="A128" s="0" t="s">
        <v>8637</v>
      </c>
      <c r="B128" s="0" t="s">
        <v>8638</v>
      </c>
      <c r="C128" s="0" t="str">
        <f aca="false">IF($A128="","",IF(AT128="Y",BL128&amp;"",AY128&amp;""))</f>
        <v/>
      </c>
      <c r="D128" s="0" t="str">
        <f aca="false">IF($A128="","",IF(AT128="Y",BM128&amp;"",AZ128&amp;""))</f>
        <v/>
      </c>
      <c r="E128" s="0" t="str">
        <f aca="false">IF($A128="","",IF(AT128="Y",BN128&amp;"",BA128&amp;""))</f>
        <v/>
      </c>
      <c r="F128" s="0" t="str">
        <f aca="false">IF($A128="","",IF(AT128="Y",BO128&amp;"",BB128&amp;""))</f>
        <v/>
      </c>
      <c r="G128" s="0" t="str">
        <f aca="false">IF($A128="","",IF(AT128="Y",BP128&amp;"",BC128&amp;""))</f>
        <v/>
      </c>
      <c r="H128" s="0" t="str">
        <f aca="false">IF($A128="","",IF(AT128="Y",BQ128&amp;"",BD128&amp;""))</f>
        <v>none</v>
      </c>
      <c r="I128" s="0" t="str">
        <f aca="false">IF($A128="","",IF(R128="Y","warm-intro",IF(H128="verified","email",IF(C128&lt;&gt;"","linkedin",CA128&amp;""))))</f>
        <v/>
      </c>
      <c r="J128" s="0" t="n">
        <f aca="false">IF($A128="","",IF(CK128="pass",ROUND(N(DO128)+N(DP128)+N(DQ128)+N(DR128)+N(DS128)+N(DT128)+N(DU128)+N(DV128),0),0))</f>
        <v>39</v>
      </c>
      <c r="K128" s="0" t="str">
        <f aca="false">IF($A128="","",IF(CK128&lt;&gt;"pass",BY128&amp;"",BY128&amp;", "&amp;IF(AT128="Y",BX128&amp;"",BK128&amp;"")&amp;BZ128&amp;IF(R128="Y","; known to the founder (+10)","")&amp;"."))</f>
        <v>Northeast brand, store page shows Whole Foods Market NoMad inside the cluster, no dated why-now in the last 12 months, revenue unknown, contact seen only in a snippet; founder review: scale.</v>
      </c>
      <c r="M128" s="0" t="s">
        <v>5572</v>
      </c>
      <c r="N128" s="0" t="s">
        <v>5573</v>
      </c>
      <c r="R128" s="5" t="s">
        <v>189</v>
      </c>
      <c r="S128" s="0" t="s">
        <v>209</v>
      </c>
      <c r="T128" s="5" t="s">
        <v>189</v>
      </c>
      <c r="U128" s="5" t="s">
        <v>3896</v>
      </c>
      <c r="V128" s="0" t="s">
        <v>8639</v>
      </c>
      <c r="W128" s="0" t="s">
        <v>263</v>
      </c>
      <c r="X128" s="0" t="s">
        <v>5578</v>
      </c>
      <c r="Y128" s="0" t="str">
        <f aca="false">IF(FA128&lt;&gt;"Y","",COUNTIFS($FA$2:$FA$1000,"Y",$J$2:$J$1000,"&gt;"&amp;J128)+COUNTIFS($FA$2:$FA$1000,"Y",$J$2:$J$1000,J128,$FG$2:$FG$1000,"&lt;"&amp;FG128)+1)</f>
        <v/>
      </c>
      <c r="Z128" s="0" t="n">
        <v>127</v>
      </c>
      <c r="AA128" s="0" t="s">
        <v>189</v>
      </c>
      <c r="AB128" s="0" t="str">
        <f aca="false">IF($A128="","",IF(AT128="Y",BW128&amp;"",BJ128&amp;""))</f>
        <v>no person named on an opened page: not ready; use the Whole Foods Market NoMad line only if retailer_checked_date is this week's Friday check</v>
      </c>
      <c r="AC128" s="0" t="str">
        <f aca="false">IF($A128="","",IF(AT128="Y",BR128&amp;"",BE128&amp;""))</f>
        <v>founder</v>
      </c>
      <c r="AD128" s="0" t="str">
        <f aca="false">IF($A128="","",IF(AT128="Y",BS128&amp;"",BF128&amp;""))</f>
        <v>unverified</v>
      </c>
      <c r="AE128" s="0" t="str">
        <f aca="false">IF($A128="","",IF(AT128="Y",BT128&amp;"",BG128&amp;""))</f>
        <v>unknown</v>
      </c>
      <c r="AF128" s="0" t="str">
        <f aca="false">IF($A128="","",IF(AT128="Y",BU128&amp;"",BH128&amp;""))</f>
        <v/>
      </c>
      <c r="AG128" s="0" t="str">
        <f aca="false">IF($A128="","",IF(AT128="Y",BV128&amp;"",BI128&amp;""))</f>
        <v>2026-10-23</v>
      </c>
      <c r="AH128" s="0" t="s">
        <v>8640</v>
      </c>
      <c r="AI128" s="0" t="s">
        <v>6042</v>
      </c>
      <c r="AJ128" s="0" t="s">
        <v>8641</v>
      </c>
      <c r="AK128" s="0" t="s">
        <v>8639</v>
      </c>
      <c r="AL128" s="0" t="s">
        <v>164</v>
      </c>
      <c r="AM128" s="0" t="s">
        <v>8642</v>
      </c>
      <c r="AN128" s="0" t="s">
        <v>8637</v>
      </c>
      <c r="AO128" s="5" t="s">
        <v>189</v>
      </c>
      <c r="AR128" s="0" t="str">
        <f aca="false">IF($A128="","",IF(AND(CK128="pass",AO128&lt;&gt;"Y",C128&lt;&gt;"",OR(AU128&lt;&gt;"Y",AV128="Y")),"Y","N"))</f>
        <v>N</v>
      </c>
      <c r="AS128" s="0" t="str">
        <f aca="false">IF($A128="","",_xlfn.TEXTJOIN("; ",TRUE(),IF(CK128&lt;&gt;"pass","gated out",""),IF(AO128="Y","on hold: "&amp;AP128,""),IF(C128="","no contact named on an opened page",""),IF(AND(AU128="Y",AV128&lt;&gt;"Y"),"founder review pending (Founder review tab)","")))</f>
        <v>no contact named on an opened page; founder review pending (Founder review tab)</v>
      </c>
      <c r="AU128" s="0" t="s">
        <v>164</v>
      </c>
      <c r="AX128" s="0" t="s">
        <v>8643</v>
      </c>
      <c r="BC128" s="0" t="str">
        <f aca="false">IF($A128="","",IFERROR(INDEX(Enrichment!$A$2:$GZ$2000,MATCH($A128,INDEX(Enrichment!$A$2:$GZ$2000,0,MATCH("row_id",Enrichment!$A$1:$GZ$1,0)),0),MATCH("work_email",Enrichment!$A$1:$GZ$1,0))&amp;"",""))</f>
        <v/>
      </c>
      <c r="BD128" s="0" t="str">
        <f aca="false">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none</v>
      </c>
      <c r="BE128" s="0" t="s">
        <v>5589</v>
      </c>
      <c r="BF128" s="0" t="s">
        <v>740</v>
      </c>
      <c r="BG128" s="0" t="s">
        <v>209</v>
      </c>
      <c r="BI128" s="0" t="s">
        <v>263</v>
      </c>
      <c r="BJ128" s="0" t="s">
        <v>6047</v>
      </c>
      <c r="BK128" s="0" t="s">
        <v>5834</v>
      </c>
      <c r="BP128" s="0" t="str">
        <f aca="false">IF($A128="","",IFERROR(INDEX(Enrichment!$A$2:$GZ$2000,MATCH($A128,INDEX(Enrichment!$A$2:$GZ$2000,0,MATCH("row_id",Enrichment!$A$1:$GZ$1,0)),0),MATCH("backup_work_email",Enrichment!$A$1:$GZ$1,0))&amp;"",""))</f>
        <v/>
      </c>
      <c r="BQ128" s="0" t="str">
        <f aca="false">IF($A128="","",IF(BP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none</v>
      </c>
      <c r="BR128" s="0" t="s">
        <v>7748</v>
      </c>
      <c r="BS128" s="0" t="s">
        <v>740</v>
      </c>
      <c r="BT128" s="0" t="s">
        <v>209</v>
      </c>
      <c r="BV128" s="0" t="s">
        <v>263</v>
      </c>
      <c r="BW128" s="0" t="s">
        <v>5741</v>
      </c>
      <c r="BX128" s="0" t="s">
        <v>5834</v>
      </c>
      <c r="BY128" s="0" t="s">
        <v>6844</v>
      </c>
      <c r="BZ128" s="0" t="s">
        <v>6512</v>
      </c>
      <c r="CB128" s="0" t="s">
        <v>8644</v>
      </c>
      <c r="CD128" s="0" t="s">
        <v>8645</v>
      </c>
      <c r="CF128" s="0" t="s">
        <v>8646</v>
      </c>
      <c r="CH128" s="0" t="s">
        <v>8645</v>
      </c>
      <c r="CJ128" s="0" t="s">
        <v>7088</v>
      </c>
      <c r="CK128" s="0" t="s">
        <v>200</v>
      </c>
      <c r="CM128" s="0" t="s">
        <v>201</v>
      </c>
      <c r="CN128" s="0" t="s">
        <v>6516</v>
      </c>
      <c r="CO128" s="0" t="s">
        <v>8639</v>
      </c>
      <c r="CP128" s="0" t="s">
        <v>5840</v>
      </c>
      <c r="CQ128" s="0" t="s">
        <v>6084</v>
      </c>
      <c r="CR128" s="0" t="s">
        <v>209</v>
      </c>
      <c r="CT128" s="0" t="s">
        <v>164</v>
      </c>
      <c r="CU128" s="0" t="s">
        <v>8647</v>
      </c>
      <c r="CV128" s="0" t="s">
        <v>164</v>
      </c>
      <c r="CW128" s="0" t="s">
        <v>164</v>
      </c>
      <c r="CX128" s="0" t="s">
        <v>209</v>
      </c>
      <c r="CZ128" s="0" t="s">
        <v>209</v>
      </c>
      <c r="DA128" s="0" t="s">
        <v>189</v>
      </c>
      <c r="DB128" s="0" t="s">
        <v>189</v>
      </c>
      <c r="DD128" s="0" t="n">
        <v>0</v>
      </c>
      <c r="DE128" s="0" t="s">
        <v>164</v>
      </c>
      <c r="DF128" s="0" t="n">
        <v>3</v>
      </c>
      <c r="DG128" s="0" t="s">
        <v>5686</v>
      </c>
      <c r="DI128" s="0" t="s">
        <v>8648</v>
      </c>
      <c r="DJ128" s="0" t="s">
        <v>8649</v>
      </c>
      <c r="DK128" s="0" t="s">
        <v>380</v>
      </c>
      <c r="DN128" s="0" t="n">
        <v>39</v>
      </c>
      <c r="DO128" s="0" t="n">
        <v>25</v>
      </c>
      <c r="DP128" s="0" t="n">
        <v>8</v>
      </c>
      <c r="DQ128" s="0" t="n">
        <v>0</v>
      </c>
      <c r="DR128" s="0" t="n">
        <v>5</v>
      </c>
      <c r="DS128" s="0" t="n">
        <v>10</v>
      </c>
      <c r="DT128" s="0" t="n">
        <v>3</v>
      </c>
      <c r="DU128" s="0" t="n">
        <f aca="false">IF($A128="","",IF(R128="Y",10,0))</f>
        <v>0</v>
      </c>
      <c r="DV128" s="0" t="n">
        <v>-12</v>
      </c>
      <c r="DW128" s="0" t="s">
        <v>8650</v>
      </c>
      <c r="DX128" s="0" t="s">
        <v>5814</v>
      </c>
      <c r="DY128" s="0" t="s">
        <v>8651</v>
      </c>
      <c r="DZ128" s="0" t="s">
        <v>8652</v>
      </c>
      <c r="EA128" s="0" t="s">
        <v>8653</v>
      </c>
      <c r="EV128" s="0" t="str">
        <f aca="false">IF($A128="","",IF(ISNUMBER(MATCH(U128,{"queued","contacted","replied","call_booked","call_done","yes_in_principle","materials_sent"},0)),"Y","N"))</f>
        <v>N</v>
      </c>
      <c r="EW128" s="0" t="str">
        <f aca="false">IF($A128="","",IF(OR(T128="Y",U128="do_not_contact",AQ128&amp;""&lt;&gt;""),"Y","N"))</f>
        <v>N</v>
      </c>
      <c r="EX128" s="0" t="str">
        <f aca="false">IF($A128="","",IF(AN128&amp;""&lt;&gt;"",AN128&amp;"",$A128))</f>
        <v>AB-031</v>
      </c>
      <c r="EY128" s="0" t="str">
        <f aca="false">IF($A128="","",IF(COUNTIFS($EX$2:$EX$1000,EX128,$EV$2:$EV$1000,"Y")+COUNTIFS($EX$2:$EX$1000,EX128,$EW$2:$EW$1000,"Y")&gt;0,"Y","N"))</f>
        <v>N</v>
      </c>
      <c r="EZ128" s="0" t="str">
        <f aca="false">IF($A128="","",IF(AND(U128="new",T128="N",EW128="N",AR128="Y",EY128="N"),"Y","N"))</f>
        <v>N</v>
      </c>
      <c r="FA128" s="0" t="str">
        <f aca="false">IF($A128="","",IF(EZ128&lt;&gt;"Y","N",IF(COUNTIFS($EX$2:$EX$1000,EX128,$EZ$2:$EZ$1000,"Y",$J$2:$J$1000,"&gt;"&amp;J128)+COUNTIFS($EX$2:$EX$1000,EX128,$EZ$2:$EZ$1000,"Y",$J$2:$J$1000,J128,$FG$2:$FG$1000,"&lt;"&amp;FG128)=0,"Y","N")))</f>
        <v>N</v>
      </c>
      <c r="FB128" s="0" t="str">
        <f aca="false">IF($A128="","",IF(AND(EZ128="Y",FA128="Y",Y128&amp;""&lt;&gt;""),IF(Y128&lt;=10,"Y","N"),"N"))</f>
        <v>N</v>
      </c>
      <c r="FC128" s="0" t="str">
        <f aca="false">IF(FB128="Y",Y128,"")</f>
        <v/>
      </c>
      <c r="FD128" s="0" t="str">
        <f aca="false">IF($A128="","",IF(AND(CK128="pass",AU128="Y",AV128&lt;&gt;"Y",U128="new",EW128="N"),"Y","N"))</f>
        <v>Y</v>
      </c>
      <c r="FE128" s="0" t="str">
        <f aca="false">IF(FD128&lt;&gt;"Y","",IF(COUNTIFS($FD$2:$FD$1000,"Y",$J$2:$J$1000,"&gt;"&amp;J128)+COUNTIFS($FD$2:$FD$1000,"Y",$J$2:$J$1000,J128,$FG$2:$FG$1000,"&lt;"&amp;FG128)+1&lt;=30,COUNTIFS($FD$2:$FD$1000,"Y",$J$2:$J$1000,"&gt;"&amp;J128)+COUNTIFS($FD$2:$FD$1000,"Y",$J$2:$J$1000,J128,$FG$2:$FG$1000,"&lt;"&amp;FG128)+1,""))</f>
        <v/>
      </c>
      <c r="FF128" s="0" t="str">
        <f aca="false">IF(AND(_xlfn.ISFORMULA(C128),_xlfn.ISFORMULA(J128)),"Y","N")</f>
        <v>Y</v>
      </c>
      <c r="FG128" s="0" t="n">
        <f aca="false">ROW()-1</f>
        <v>127</v>
      </c>
    </row>
    <row r="129" customFormat="false" ht="15" hidden="false" customHeight="false" outlineLevel="0" collapsed="false">
      <c r="A129" s="0" t="s">
        <v>8654</v>
      </c>
      <c r="B129" s="0" t="s">
        <v>8655</v>
      </c>
      <c r="C129" s="0" t="str">
        <f aca="false">IF($A129="","",IF(AT129="Y",BL129&amp;"",AY129&amp;""))</f>
        <v/>
      </c>
      <c r="D129" s="0" t="str">
        <f aca="false">IF($A129="","",IF(AT129="Y",BM129&amp;"",AZ129&amp;""))</f>
        <v/>
      </c>
      <c r="E129" s="0" t="str">
        <f aca="false">IF($A129="","",IF(AT129="Y",BN129&amp;"",BA129&amp;""))</f>
        <v/>
      </c>
      <c r="F129" s="0" t="str">
        <f aca="false">IF($A129="","",IF(AT129="Y",BO129&amp;"",BB129&amp;""))</f>
        <v/>
      </c>
      <c r="G129" s="0" t="str">
        <f aca="false">IF($A129="","",IF(AT129="Y",BP129&amp;"",BC129&amp;""))</f>
        <v/>
      </c>
      <c r="H129" s="0" t="str">
        <f aca="false">IF($A129="","",IF(AT129="Y",BQ129&amp;"",BD129&amp;""))</f>
        <v>none</v>
      </c>
      <c r="I129" s="0" t="str">
        <f aca="false">IF($A129="","",IF(R129="Y","warm-intro",IF(H129="verified","email",IF(C129&lt;&gt;"","linkedin",CA129&amp;""))))</f>
        <v/>
      </c>
      <c r="J129" s="0" t="n">
        <f aca="false">IF($A129="","",IF(CK129="pass",ROUND(N(DO129)+N(DP129)+N(DQ129)+N(DR129)+N(DS129)+N(DT129)+N(DU129)+N(DV129),0),0))</f>
        <v>39</v>
      </c>
      <c r="K129" s="0" t="str">
        <f aca="false">IF($A129="","",IF(CK129&lt;&gt;"pass",BY129&amp;"",BY129&amp;", "&amp;IF(AT129="Y",BX129&amp;"",BK129&amp;"")&amp;BZ129&amp;IF(R129="Y","; known to the founder (+10)","")&amp;"."))</f>
        <v>Brand based outside the Northeast, store page shows Whole Foods Market NoMad inside the cluster, no dated why-now in the last 12 months, revenue unknown, contact seen only in a snippet; founder review: format.</v>
      </c>
      <c r="M129" s="0" t="s">
        <v>5572</v>
      </c>
      <c r="N129" s="0" t="s">
        <v>5573</v>
      </c>
      <c r="R129" s="5" t="s">
        <v>189</v>
      </c>
      <c r="S129" s="0" t="s">
        <v>209</v>
      </c>
      <c r="T129" s="5" t="s">
        <v>189</v>
      </c>
      <c r="U129" s="5" t="s">
        <v>3896</v>
      </c>
      <c r="V129" s="0" t="s">
        <v>8656</v>
      </c>
      <c r="W129" s="0" t="s">
        <v>263</v>
      </c>
      <c r="X129" s="0" t="s">
        <v>5578</v>
      </c>
      <c r="Y129" s="0" t="str">
        <f aca="false">IF(FA129&lt;&gt;"Y","",COUNTIFS($FA$2:$FA$1000,"Y",$J$2:$J$1000,"&gt;"&amp;J129)+COUNTIFS($FA$2:$FA$1000,"Y",$J$2:$J$1000,J129,$FG$2:$FG$1000,"&lt;"&amp;FG129)+1)</f>
        <v/>
      </c>
      <c r="Z129" s="0" t="n">
        <v>128</v>
      </c>
      <c r="AA129" s="0" t="s">
        <v>189</v>
      </c>
      <c r="AB129" s="0" t="str">
        <f aca="false">IF($A129="","",IF(AT129="Y",BW129&amp;"",BJ129&amp;""))</f>
        <v>no person named on an opened page: not ready; use the Whole Foods Market NoMad line only if retailer_checked_date is this week's Friday check</v>
      </c>
      <c r="AC129" s="0" t="str">
        <f aca="false">IF($A129="","",IF(AT129="Y",BR129&amp;"",BE129&amp;""))</f>
        <v>founder</v>
      </c>
      <c r="AD129" s="0" t="str">
        <f aca="false">IF($A129="","",IF(AT129="Y",BS129&amp;"",BF129&amp;""))</f>
        <v>unverified</v>
      </c>
      <c r="AE129" s="0" t="str">
        <f aca="false">IF($A129="","",IF(AT129="Y",BT129&amp;"",BG129&amp;""))</f>
        <v>unknown</v>
      </c>
      <c r="AF129" s="0" t="str">
        <f aca="false">IF($A129="","",IF(AT129="Y",BU129&amp;"",BH129&amp;""))</f>
        <v/>
      </c>
      <c r="AG129" s="0" t="str">
        <f aca="false">IF($A129="","",IF(AT129="Y",BV129&amp;"",BI129&amp;""))</f>
        <v>2026-10-23</v>
      </c>
      <c r="AH129" s="0" t="s">
        <v>8657</v>
      </c>
      <c r="AI129" s="0" t="s">
        <v>5789</v>
      </c>
      <c r="AJ129" s="0" t="s">
        <v>1823</v>
      </c>
      <c r="AK129" s="0" t="s">
        <v>8658</v>
      </c>
      <c r="AL129" s="0" t="s">
        <v>164</v>
      </c>
      <c r="AM129" s="0" t="s">
        <v>8659</v>
      </c>
      <c r="AN129" s="0" t="s">
        <v>8654</v>
      </c>
      <c r="AO129" s="5" t="s">
        <v>189</v>
      </c>
      <c r="AR129" s="0" t="str">
        <f aca="false">IF($A129="","",IF(AND(CK129="pass",AO129&lt;&gt;"Y",C129&lt;&gt;"",OR(AU129&lt;&gt;"Y",AV129="Y")),"Y","N"))</f>
        <v>N</v>
      </c>
      <c r="AS129" s="0" t="str">
        <f aca="false">IF($A129="","",_xlfn.TEXTJOIN("; ",TRUE(),IF(CK129&lt;&gt;"pass","gated out",""),IF(AO129="Y","on hold: "&amp;AP129,""),IF(C129="","no contact named on an opened page",""),IF(AND(AU129="Y",AV129&lt;&gt;"Y"),"founder review pending (Founder review tab)","")))</f>
        <v>no contact named on an opened page; founder review pending (Founder review tab)</v>
      </c>
      <c r="AU129" s="0" t="s">
        <v>164</v>
      </c>
      <c r="AX129" s="0" t="s">
        <v>8660</v>
      </c>
      <c r="BC129" s="0" t="str">
        <f aca="false">IF($A129="","",IFERROR(INDEX(Enrichment!$A$2:$GZ$2000,MATCH($A129,INDEX(Enrichment!$A$2:$GZ$2000,0,MATCH("row_id",Enrichment!$A$1:$GZ$1,0)),0),MATCH("work_email",Enrichment!$A$1:$GZ$1,0))&amp;"",""))</f>
        <v/>
      </c>
      <c r="BD129" s="0" t="str">
        <f aca="false">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none</v>
      </c>
      <c r="BE129" s="0" t="s">
        <v>5589</v>
      </c>
      <c r="BF129" s="0" t="s">
        <v>740</v>
      </c>
      <c r="BG129" s="0" t="s">
        <v>209</v>
      </c>
      <c r="BI129" s="0" t="s">
        <v>263</v>
      </c>
      <c r="BJ129" s="0" t="s">
        <v>6047</v>
      </c>
      <c r="BK129" s="0" t="s">
        <v>5834</v>
      </c>
      <c r="BP129" s="0" t="str">
        <f aca="false">IF($A129="","",IFERROR(INDEX(Enrichment!$A$2:$GZ$2000,MATCH($A129,INDEX(Enrichment!$A$2:$GZ$2000,0,MATCH("row_id",Enrichment!$A$1:$GZ$1,0)),0),MATCH("backup_work_email",Enrichment!$A$1:$GZ$1,0))&amp;"",""))</f>
        <v/>
      </c>
      <c r="BQ129" s="0" t="str">
        <f aca="false">IF($A129="","",IF(BP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none</v>
      </c>
      <c r="BS129" s="0" t="s">
        <v>380</v>
      </c>
      <c r="BW129" s="0" t="s">
        <v>5741</v>
      </c>
      <c r="BX129" s="0" t="s">
        <v>388</v>
      </c>
      <c r="BY129" s="0" t="s">
        <v>7209</v>
      </c>
      <c r="BZ129" s="0" t="s">
        <v>5802</v>
      </c>
      <c r="CB129" s="0" t="s">
        <v>8661</v>
      </c>
      <c r="CD129" s="0" t="s">
        <v>8662</v>
      </c>
      <c r="CJ129" s="0" t="s">
        <v>7088</v>
      </c>
      <c r="CK129" s="0" t="s">
        <v>200</v>
      </c>
      <c r="CM129" s="0" t="s">
        <v>201</v>
      </c>
      <c r="CN129" s="0" t="s">
        <v>5808</v>
      </c>
      <c r="CO129" s="0" t="s">
        <v>8663</v>
      </c>
      <c r="CP129" s="0" t="s">
        <v>6226</v>
      </c>
      <c r="CQ129" s="0" t="s">
        <v>6198</v>
      </c>
      <c r="CR129" s="0" t="s">
        <v>209</v>
      </c>
      <c r="CT129" s="0" t="s">
        <v>164</v>
      </c>
      <c r="CU129" s="0" t="s">
        <v>8664</v>
      </c>
      <c r="CV129" s="0" t="s">
        <v>189</v>
      </c>
      <c r="CW129" s="0" t="s">
        <v>164</v>
      </c>
      <c r="CX129" s="0" t="s">
        <v>209</v>
      </c>
      <c r="CZ129" s="0" t="s">
        <v>209</v>
      </c>
      <c r="DA129" s="0" t="s">
        <v>189</v>
      </c>
      <c r="DB129" s="0" t="s">
        <v>189</v>
      </c>
      <c r="DD129" s="0" t="n">
        <v>0</v>
      </c>
      <c r="DE129" s="0" t="s">
        <v>164</v>
      </c>
      <c r="DF129" s="0" t="n">
        <v>3</v>
      </c>
      <c r="DG129" s="0" t="s">
        <v>5686</v>
      </c>
      <c r="DI129" s="0" t="s">
        <v>6054</v>
      </c>
      <c r="DJ129" s="0" t="s">
        <v>8665</v>
      </c>
      <c r="DK129" s="0" t="s">
        <v>380</v>
      </c>
      <c r="DN129" s="0" t="n">
        <v>39</v>
      </c>
      <c r="DO129" s="0" t="n">
        <v>25</v>
      </c>
      <c r="DP129" s="0" t="n">
        <v>3</v>
      </c>
      <c r="DQ129" s="0" t="n">
        <v>0</v>
      </c>
      <c r="DR129" s="0" t="n">
        <v>5</v>
      </c>
      <c r="DS129" s="0" t="n">
        <v>7</v>
      </c>
      <c r="DT129" s="0" t="n">
        <v>3</v>
      </c>
      <c r="DU129" s="0" t="n">
        <f aca="false">IF($A129="","",IF(R129="Y",10,0))</f>
        <v>0</v>
      </c>
      <c r="DV129" s="0" t="n">
        <v>-4</v>
      </c>
      <c r="DW129" s="0" t="s">
        <v>209</v>
      </c>
      <c r="DX129" s="0" t="s">
        <v>5814</v>
      </c>
      <c r="DY129" s="0" t="s">
        <v>8666</v>
      </c>
      <c r="DZ129" s="0" t="s">
        <v>8667</v>
      </c>
      <c r="EA129" s="0" t="s">
        <v>8668</v>
      </c>
      <c r="EV129" s="0" t="str">
        <f aca="false">IF($A129="","",IF(ISNUMBER(MATCH(U129,{"queued","contacted","replied","call_booked","call_done","yes_in_principle","materials_sent"},0)),"Y","N"))</f>
        <v>N</v>
      </c>
      <c r="EW129" s="0" t="str">
        <f aca="false">IF($A129="","",IF(OR(T129="Y",U129="do_not_contact",AQ129&amp;""&lt;&gt;""),"Y","N"))</f>
        <v>N</v>
      </c>
      <c r="EX129" s="0" t="str">
        <f aca="false">IF($A129="","",IF(AN129&amp;""&lt;&gt;"",AN129&amp;"",$A129))</f>
        <v>AB-046</v>
      </c>
      <c r="EY129" s="0" t="str">
        <f aca="false">IF($A129="","",IF(COUNTIFS($EX$2:$EX$1000,EX129,$EV$2:$EV$1000,"Y")+COUNTIFS($EX$2:$EX$1000,EX129,$EW$2:$EW$1000,"Y")&gt;0,"Y","N"))</f>
        <v>N</v>
      </c>
      <c r="EZ129" s="0" t="str">
        <f aca="false">IF($A129="","",IF(AND(U129="new",T129="N",EW129="N",AR129="Y",EY129="N"),"Y","N"))</f>
        <v>N</v>
      </c>
      <c r="FA129" s="0" t="str">
        <f aca="false">IF($A129="","",IF(EZ129&lt;&gt;"Y","N",IF(COUNTIFS($EX$2:$EX$1000,EX129,$EZ$2:$EZ$1000,"Y",$J$2:$J$1000,"&gt;"&amp;J129)+COUNTIFS($EX$2:$EX$1000,EX129,$EZ$2:$EZ$1000,"Y",$J$2:$J$1000,J129,$FG$2:$FG$1000,"&lt;"&amp;FG129)=0,"Y","N")))</f>
        <v>N</v>
      </c>
      <c r="FB129" s="0" t="str">
        <f aca="false">IF($A129="","",IF(AND(EZ129="Y",FA129="Y",Y129&amp;""&lt;&gt;""),IF(Y129&lt;=10,"Y","N"),"N"))</f>
        <v>N</v>
      </c>
      <c r="FC129" s="0" t="str">
        <f aca="false">IF(FB129="Y",Y129,"")</f>
        <v/>
      </c>
      <c r="FD129" s="0" t="str">
        <f aca="false">IF($A129="","",IF(AND(CK129="pass",AU129="Y",AV129&lt;&gt;"Y",U129="new",EW129="N"),"Y","N"))</f>
        <v>Y</v>
      </c>
      <c r="FE129" s="0" t="str">
        <f aca="false">IF(FD129&lt;&gt;"Y","",IF(COUNTIFS($FD$2:$FD$1000,"Y",$J$2:$J$1000,"&gt;"&amp;J129)+COUNTIFS($FD$2:$FD$1000,"Y",$J$2:$J$1000,J129,$FG$2:$FG$1000,"&lt;"&amp;FG129)+1&lt;=30,COUNTIFS($FD$2:$FD$1000,"Y",$J$2:$J$1000,"&gt;"&amp;J129)+COUNTIFS($FD$2:$FD$1000,"Y",$J$2:$J$1000,J129,$FG$2:$FG$1000,"&lt;"&amp;FG129)+1,""))</f>
        <v/>
      </c>
      <c r="FF129" s="0" t="str">
        <f aca="false">IF(AND(_xlfn.ISFORMULA(C129),_xlfn.ISFORMULA(J129)),"Y","N")</f>
        <v>Y</v>
      </c>
      <c r="FG129" s="0" t="n">
        <f aca="false">ROW()-1</f>
        <v>128</v>
      </c>
    </row>
    <row r="130" customFormat="false" ht="15" hidden="false" customHeight="false" outlineLevel="0" collapsed="false">
      <c r="A130" s="0" t="s">
        <v>8669</v>
      </c>
      <c r="B130" s="0" t="s">
        <v>8670</v>
      </c>
      <c r="C130" s="0" t="str">
        <f aca="false">IF($A130="","",IF(AT130="Y",BL130&amp;"",AY130&amp;""))</f>
        <v/>
      </c>
      <c r="D130" s="0" t="str">
        <f aca="false">IF($A130="","",IF(AT130="Y",BM130&amp;"",AZ130&amp;""))</f>
        <v/>
      </c>
      <c r="E130" s="0" t="str">
        <f aca="false">IF($A130="","",IF(AT130="Y",BN130&amp;"",BA130&amp;""))</f>
        <v/>
      </c>
      <c r="F130" s="0" t="str">
        <f aca="false">IF($A130="","",IF(AT130="Y",BO130&amp;"",BB130&amp;""))</f>
        <v/>
      </c>
      <c r="G130" s="0" t="str">
        <f aca="false">IF($A130="","",IF(AT130="Y",BP130&amp;"",BC130&amp;""))</f>
        <v/>
      </c>
      <c r="H130" s="0" t="str">
        <f aca="false">IF($A130="","",IF(AT130="Y",BQ130&amp;"",BD130&amp;""))</f>
        <v>none</v>
      </c>
      <c r="I130" s="0" t="str">
        <f aca="false">IF($A130="","",IF(R130="Y","warm-intro",IF(H130="verified","email",IF(C130&lt;&gt;"","linkedin",CA130&amp;""))))</f>
        <v/>
      </c>
      <c r="J130" s="0" t="n">
        <f aca="false">IF($A130="","",IF(CK130="pass",ROUND(N(DO130)+N(DP130)+N(DQ130)+N(DR130)+N(DS130)+N(DT130)+N(DU130)+N(DV130),0),0))</f>
        <v>39</v>
      </c>
      <c r="K130" s="0" t="str">
        <f aca="false">IF($A130="","",IF(CK130&lt;&gt;"pass",BY130&amp;"",BY130&amp;", "&amp;IF(AT130="Y",BX130&amp;"",BK130&amp;"")&amp;BZ130&amp;IF(R130="Y","; known to the founder (+10)","")&amp;"."))</f>
        <v>New York City brand, no graded store within ten blocks, online store only, no dated why-now in the last 12 months, revenue unknown, no contact named; founder review: other.</v>
      </c>
      <c r="M130" s="0" t="s">
        <v>6144</v>
      </c>
      <c r="N130" s="0" t="s">
        <v>740</v>
      </c>
      <c r="R130" s="5" t="s">
        <v>189</v>
      </c>
      <c r="S130" s="0" t="s">
        <v>209</v>
      </c>
      <c r="T130" s="5" t="s">
        <v>189</v>
      </c>
      <c r="U130" s="5" t="s">
        <v>3896</v>
      </c>
      <c r="V130" s="0" t="s">
        <v>6642</v>
      </c>
      <c r="W130" s="0" t="s">
        <v>172</v>
      </c>
      <c r="X130" s="0" t="s">
        <v>5578</v>
      </c>
      <c r="Y130" s="0" t="str">
        <f aca="false">IF(FA130&lt;&gt;"Y","",COUNTIFS($FA$2:$FA$1000,"Y",$J$2:$J$1000,"&gt;"&amp;J130)+COUNTIFS($FA$2:$FA$1000,"Y",$J$2:$J$1000,J130,$FG$2:$FG$1000,"&lt;"&amp;FG130)+1)</f>
        <v/>
      </c>
      <c r="Z130" s="0" t="n">
        <v>129</v>
      </c>
      <c r="AA130" s="0" t="s">
        <v>189</v>
      </c>
      <c r="AB130" s="0" t="str">
        <f aca="false">IF($A130="","",IF(AT130="Y",BW130&amp;"",BJ130&amp;""))</f>
        <v>no person named on an opened page: not ready</v>
      </c>
      <c r="AC130" s="0" t="str">
        <f aca="false">IF($A130="","",IF(AT130="Y",BR130&amp;"",BE130&amp;""))</f>
        <v/>
      </c>
      <c r="AD130" s="0" t="str">
        <f aca="false">IF($A130="","",IF(AT130="Y",BS130&amp;"",BF130&amp;""))</f>
        <v>none</v>
      </c>
      <c r="AE130" s="0" t="str">
        <f aca="false">IF($A130="","",IF(AT130="Y",BT130&amp;"",BG130&amp;""))</f>
        <v/>
      </c>
      <c r="AF130" s="0" t="str">
        <f aca="false">IF($A130="","",IF(AT130="Y",BU130&amp;"",BH130&amp;""))</f>
        <v/>
      </c>
      <c r="AG130" s="0" t="str">
        <f aca="false">IF($A130="","",IF(AT130="Y",BV130&amp;"",BI130&amp;""))</f>
        <v/>
      </c>
      <c r="AH130" s="0" t="s">
        <v>8671</v>
      </c>
      <c r="AI130" s="0" t="s">
        <v>5702</v>
      </c>
      <c r="AJ130" s="0" t="s">
        <v>6644</v>
      </c>
      <c r="AK130" s="0" t="s">
        <v>8672</v>
      </c>
      <c r="AL130" s="0" t="s">
        <v>164</v>
      </c>
      <c r="AM130" s="0" t="s">
        <v>8673</v>
      </c>
      <c r="AN130" s="0" t="s">
        <v>8669</v>
      </c>
      <c r="AO130" s="5" t="s">
        <v>189</v>
      </c>
      <c r="AR130" s="0" t="str">
        <f aca="false">IF($A130="","",IF(AND(CK130="pass",AO130&lt;&gt;"Y",C130&lt;&gt;"",OR(AU130&lt;&gt;"Y",AV130="Y")),"Y","N"))</f>
        <v>N</v>
      </c>
      <c r="AS130" s="0" t="str">
        <f aca="false">IF($A130="","",_xlfn.TEXTJOIN("; ",TRUE(),IF(CK130&lt;&gt;"pass","gated out",""),IF(AO130="Y","on hold: "&amp;AP130,""),IF(C130="","no contact named on an opened page",""),IF(AND(AU130="Y",AV130&lt;&gt;"Y"),"founder review pending (Founder review tab)","")))</f>
        <v>no contact named on an opened page</v>
      </c>
      <c r="AU130" s="0" t="s">
        <v>189</v>
      </c>
      <c r="BC130" s="0" t="str">
        <f aca="false">IF($A130="","",IFERROR(INDEX(Enrichment!$A$2:$GZ$2000,MATCH($A130,INDEX(Enrichment!$A$2:$GZ$2000,0,MATCH("row_id",Enrichment!$A$1:$GZ$1,0)),0),MATCH("work_email",Enrichment!$A$1:$GZ$1,0))&amp;"",""))</f>
        <v/>
      </c>
      <c r="BD130" s="0" t="str">
        <f aca="false">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none</v>
      </c>
      <c r="BF130" s="0" t="s">
        <v>380</v>
      </c>
      <c r="BJ130" s="0" t="s">
        <v>7105</v>
      </c>
      <c r="BK130" s="0" t="s">
        <v>6048</v>
      </c>
      <c r="BP130" s="0" t="str">
        <f aca="false">IF($A130="","",IFERROR(INDEX(Enrichment!$A$2:$GZ$2000,MATCH($A130,INDEX(Enrichment!$A$2:$GZ$2000,0,MATCH("row_id",Enrichment!$A$1:$GZ$1,0)),0),MATCH("backup_work_email",Enrichment!$A$1:$GZ$1,0))&amp;"",""))</f>
        <v/>
      </c>
      <c r="BQ130" s="0" t="str">
        <f aca="false">IF($A130="","",IF(BP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none</v>
      </c>
      <c r="BS130" s="0" t="s">
        <v>380</v>
      </c>
      <c r="BW130" s="0" t="s">
        <v>387</v>
      </c>
      <c r="BX130" s="0" t="s">
        <v>388</v>
      </c>
      <c r="BY130" s="0" t="s">
        <v>7496</v>
      </c>
      <c r="BZ130" s="0" t="s">
        <v>5960</v>
      </c>
      <c r="CJ130" s="0" t="s">
        <v>7088</v>
      </c>
      <c r="CK130" s="0" t="s">
        <v>200</v>
      </c>
      <c r="CM130" s="0" t="s">
        <v>201</v>
      </c>
      <c r="CN130" s="0" t="s">
        <v>443</v>
      </c>
      <c r="CO130" s="0" t="s">
        <v>8672</v>
      </c>
      <c r="CP130" s="0" t="s">
        <v>5608</v>
      </c>
      <c r="CQ130" s="0" t="s">
        <v>5609</v>
      </c>
      <c r="CR130" s="0" t="s">
        <v>209</v>
      </c>
      <c r="CT130" s="0" t="s">
        <v>164</v>
      </c>
      <c r="CU130" s="0" t="s">
        <v>8674</v>
      </c>
      <c r="CV130" s="0" t="s">
        <v>164</v>
      </c>
      <c r="CW130" s="0" t="s">
        <v>164</v>
      </c>
      <c r="CX130" s="0" t="s">
        <v>209</v>
      </c>
      <c r="CZ130" s="0" t="s">
        <v>5993</v>
      </c>
      <c r="DA130" s="0" t="s">
        <v>189</v>
      </c>
      <c r="DB130" s="0" t="s">
        <v>189</v>
      </c>
      <c r="DE130" s="0" t="s">
        <v>189</v>
      </c>
      <c r="DF130" s="0" t="n">
        <v>0</v>
      </c>
      <c r="DI130" s="0" t="s">
        <v>8675</v>
      </c>
      <c r="DK130" s="0" t="s">
        <v>380</v>
      </c>
      <c r="DN130" s="0" t="n">
        <v>39</v>
      </c>
      <c r="DO130" s="0" t="n">
        <v>6</v>
      </c>
      <c r="DP130" s="0" t="n">
        <v>20</v>
      </c>
      <c r="DQ130" s="0" t="n">
        <v>0</v>
      </c>
      <c r="DR130" s="0" t="n">
        <v>5</v>
      </c>
      <c r="DS130" s="0" t="n">
        <v>10</v>
      </c>
      <c r="DT130" s="0" t="n">
        <v>0</v>
      </c>
      <c r="DU130" s="0" t="n">
        <f aca="false">IF($A130="","",IF(R130="Y",10,0))</f>
        <v>0</v>
      </c>
      <c r="DV130" s="0" t="n">
        <v>-2</v>
      </c>
      <c r="DW130" s="0" t="s">
        <v>8676</v>
      </c>
      <c r="DX130" s="0" t="s">
        <v>5998</v>
      </c>
      <c r="DY130" s="0" t="s">
        <v>8677</v>
      </c>
      <c r="DZ130" s="0" t="s">
        <v>8678</v>
      </c>
      <c r="EV130" s="0" t="str">
        <f aca="false">IF($A130="","",IF(ISNUMBER(MATCH(U130,{"queued","contacted","replied","call_booked","call_done","yes_in_principle","materials_sent"},0)),"Y","N"))</f>
        <v>N</v>
      </c>
      <c r="EW130" s="0" t="str">
        <f aca="false">IF($A130="","",IF(OR(T130="Y",U130="do_not_contact",AQ130&amp;""&lt;&gt;""),"Y","N"))</f>
        <v>N</v>
      </c>
      <c r="EX130" s="0" t="str">
        <f aca="false">IF($A130="","",IF(AN130&amp;""&lt;&gt;"",AN130&amp;"",$A130))</f>
        <v>AB-279</v>
      </c>
      <c r="EY130" s="0" t="str">
        <f aca="false">IF($A130="","",IF(COUNTIFS($EX$2:$EX$1000,EX130,$EV$2:$EV$1000,"Y")+COUNTIFS($EX$2:$EX$1000,EX130,$EW$2:$EW$1000,"Y")&gt;0,"Y","N"))</f>
        <v>N</v>
      </c>
      <c r="EZ130" s="0" t="str">
        <f aca="false">IF($A130="","",IF(AND(U130="new",T130="N",EW130="N",AR130="Y",EY130="N"),"Y","N"))</f>
        <v>N</v>
      </c>
      <c r="FA130" s="0" t="str">
        <f aca="false">IF($A130="","",IF(EZ130&lt;&gt;"Y","N",IF(COUNTIFS($EX$2:$EX$1000,EX130,$EZ$2:$EZ$1000,"Y",$J$2:$J$1000,"&gt;"&amp;J130)+COUNTIFS($EX$2:$EX$1000,EX130,$EZ$2:$EZ$1000,"Y",$J$2:$J$1000,J130,$FG$2:$FG$1000,"&lt;"&amp;FG130)=0,"Y","N")))</f>
        <v>N</v>
      </c>
      <c r="FB130" s="0" t="str">
        <f aca="false">IF($A130="","",IF(AND(EZ130="Y",FA130="Y",Y130&amp;""&lt;&gt;""),IF(Y130&lt;=10,"Y","N"),"N"))</f>
        <v>N</v>
      </c>
      <c r="FC130" s="0" t="str">
        <f aca="false">IF(FB130="Y",Y130,"")</f>
        <v/>
      </c>
      <c r="FD130" s="0" t="str">
        <f aca="false">IF($A130="","",IF(AND(CK130="pass",AU130="Y",AV130&lt;&gt;"Y",U130="new",EW130="N"),"Y","N"))</f>
        <v>N</v>
      </c>
      <c r="FE130" s="0" t="str">
        <f aca="false">IF(FD130&lt;&gt;"Y","",IF(COUNTIFS($FD$2:$FD$1000,"Y",$J$2:$J$1000,"&gt;"&amp;J130)+COUNTIFS($FD$2:$FD$1000,"Y",$J$2:$J$1000,J130,$FG$2:$FG$1000,"&lt;"&amp;FG130)+1&lt;=30,COUNTIFS($FD$2:$FD$1000,"Y",$J$2:$J$1000,"&gt;"&amp;J130)+COUNTIFS($FD$2:$FD$1000,"Y",$J$2:$J$1000,J130,$FG$2:$FG$1000,"&lt;"&amp;FG130)+1,""))</f>
        <v/>
      </c>
      <c r="FF130" s="0" t="str">
        <f aca="false">IF(AND(_xlfn.ISFORMULA(C130),_xlfn.ISFORMULA(J130)),"Y","N")</f>
        <v>Y</v>
      </c>
      <c r="FG130" s="0" t="n">
        <f aca="false">ROW()-1</f>
        <v>129</v>
      </c>
    </row>
    <row r="131" customFormat="false" ht="15" hidden="false" customHeight="false" outlineLevel="0" collapsed="false">
      <c r="A131" s="0" t="s">
        <v>8679</v>
      </c>
      <c r="B131" s="0" t="s">
        <v>8680</v>
      </c>
      <c r="C131" s="0" t="str">
        <f aca="false">IF($A131="","",IF(AT131="Y",BL131&amp;"",AY131&amp;""))</f>
        <v>Henry</v>
      </c>
      <c r="D131" s="0" t="str">
        <f aca="false">IF($A131="","",IF(AT131="Y",BM131&amp;"",AZ131&amp;""))</f>
        <v>Schwartz</v>
      </c>
      <c r="E131" s="0" t="str">
        <f aca="false">IF($A131="","",IF(AT131="Y",BN131&amp;"",BA131&amp;""))</f>
        <v>Founder</v>
      </c>
      <c r="F131" s="0" t="str">
        <f aca="false">IF($A131="","",IF(AT131="Y",BO131&amp;"",BB131&amp;""))</f>
        <v/>
      </c>
      <c r="G131" s="0" t="str">
        <f aca="false">IF($A131="","",IF(AT131="Y",BP131&amp;"",BC131&amp;""))</f>
        <v/>
      </c>
      <c r="H131" s="0" t="str">
        <f aca="false">IF($A131="","",IF(AT131="Y",BQ131&amp;"",BD131&amp;""))</f>
        <v>none</v>
      </c>
      <c r="I131" s="0" t="str">
        <f aca="false">IF($A131="","",IF(R131="Y","warm-intro",IF(H131="verified","email",IF(C131&lt;&gt;"","linkedin",CA131&amp;""))))</f>
        <v>linkedin</v>
      </c>
      <c r="J131" s="0" t="n">
        <f aca="false">IF($A131="","",IF(CK131="pass",ROUND(N(DO131)+N(DP131)+N(DQ131)+N(DR131)+N(DS131)+N(DT131)+N(DU131)+N(DV131),0),0))</f>
        <v>38</v>
      </c>
      <c r="K131" s="0" t="str">
        <f aca="false">IF($A131="","",IF(CK131&lt;&gt;"pass",BY131&amp;"",BY131&amp;", "&amp;IF(AT131="Y",BX131&amp;"",BK131&amp;"")&amp;BZ131&amp;IF(R131="Y","; known to the founder (+10)","")&amp;"."))</f>
        <v>New York State brand, no graded store within ten blocks, online store only, a new store listing 130 days ago, revenue unknown, contact named; founder review: scale, claim-functional, nutrient-claim, format-unconfirmed.</v>
      </c>
      <c r="M131" s="0" t="s">
        <v>6144</v>
      </c>
      <c r="N131" s="0" t="s">
        <v>740</v>
      </c>
      <c r="O131" s="0" t="s">
        <v>8681</v>
      </c>
      <c r="P131" s="0" t="s">
        <v>8682</v>
      </c>
      <c r="Q131" s="0" t="s">
        <v>4788</v>
      </c>
      <c r="R131" s="5" t="s">
        <v>189</v>
      </c>
      <c r="S131" s="0" t="s">
        <v>209</v>
      </c>
      <c r="T131" s="5" t="s">
        <v>189</v>
      </c>
      <c r="U131" s="5" t="s">
        <v>3896</v>
      </c>
      <c r="V131" s="0" t="s">
        <v>8683</v>
      </c>
      <c r="W131" s="0" t="s">
        <v>263</v>
      </c>
      <c r="X131" s="0" t="s">
        <v>5578</v>
      </c>
      <c r="Y131" s="0" t="str">
        <f aca="false">IF(FA131&lt;&gt;"Y","",COUNTIFS($FA$2:$FA$1000,"Y",$J$2:$J$1000,"&gt;"&amp;J131)+COUNTIFS($FA$2:$FA$1000,"Y",$J$2:$J$1000,J131,$FG$2:$FG$1000,"&lt;"&amp;FG131)+1)</f>
        <v/>
      </c>
      <c r="Z131" s="0" t="n">
        <v>130</v>
      </c>
      <c r="AA131" s="0" t="s">
        <v>189</v>
      </c>
      <c r="AB131" s="0" t="str">
        <f aca="false">IF($A131="","",IF(AT131="Y",BW131&amp;"",BJ131&amp;""))</f>
        <v>find Henry Schwartz at Elmhurst 1925 on LinkedIn and paste the profile URL into primary_linkedin_url</v>
      </c>
      <c r="AC131" s="0" t="str">
        <f aca="false">IF($A131="","",IF(AT131="Y",BR131&amp;"",BE131&amp;""))</f>
        <v>founder</v>
      </c>
      <c r="AD131" s="0" t="str">
        <f aca="false">IF($A131="","",IF(AT131="Y",BS131&amp;"",BF131&amp;""))</f>
        <v>verified-page</v>
      </c>
      <c r="AE131" s="0" t="str">
        <f aca="false">IF($A131="","",IF(AT131="Y",BT131&amp;"",BG131&amp;""))</f>
        <v>employer's own site</v>
      </c>
      <c r="AF131" s="0" t="str">
        <f aca="false">IF($A131="","",IF(AT131="Y",BU131&amp;"",BH131&amp;""))</f>
        <v>https://elmhurst1925.com/pages/our-story</v>
      </c>
      <c r="AG131" s="0" t="str">
        <f aca="false">IF($A131="","",IF(AT131="Y",BV131&amp;"",BI131&amp;""))</f>
        <v>2026-10-23</v>
      </c>
      <c r="AH131" s="0" t="s">
        <v>8684</v>
      </c>
      <c r="AI131" s="0" t="s">
        <v>6699</v>
      </c>
      <c r="AJ131" s="0" t="s">
        <v>8685</v>
      </c>
      <c r="AK131" s="0" t="s">
        <v>8686</v>
      </c>
      <c r="AL131" s="0" t="s">
        <v>164</v>
      </c>
      <c r="AM131" s="0" t="s">
        <v>8687</v>
      </c>
      <c r="AN131" s="0" t="s">
        <v>8679</v>
      </c>
      <c r="AO131" s="5" t="s">
        <v>189</v>
      </c>
      <c r="AR131" s="0" t="str">
        <f aca="false">IF($A131="","",IF(AND(CK131="pass",AO131&lt;&gt;"Y",C131&lt;&gt;"",OR(AU131&lt;&gt;"Y",AV131="Y")),"Y","N"))</f>
        <v>N</v>
      </c>
      <c r="AS131" s="0" t="str">
        <f aca="false">IF($A131="","",_xlfn.TEXTJOIN("; ",TRUE(),IF(CK131&lt;&gt;"pass","gated out",""),IF(AO131="Y","on hold: "&amp;AP131,""),IF(C131="","no contact named on an opened page",""),IF(AND(AU131="Y",AV131&lt;&gt;"Y"),"founder review pending (Founder review tab)","")))</f>
        <v>founder review pending (Founder review tab)</v>
      </c>
      <c r="AU131" s="0" t="s">
        <v>164</v>
      </c>
      <c r="AY131" s="0" t="s">
        <v>8688</v>
      </c>
      <c r="AZ131" s="0" t="s">
        <v>8689</v>
      </c>
      <c r="BA131" s="0" t="s">
        <v>5739</v>
      </c>
      <c r="BC131" s="0" t="str">
        <f aca="false">IF($A131="","",IFERROR(INDEX(Enrichment!$A$2:$GZ$2000,MATCH($A131,INDEX(Enrichment!$A$2:$GZ$2000,0,MATCH("row_id",Enrichment!$A$1:$GZ$1,0)),0),MATCH("work_email",Enrichment!$A$1:$GZ$1,0))&amp;"",""))</f>
        <v/>
      </c>
      <c r="BD131" s="0" t="str">
        <f aca="false">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none</v>
      </c>
      <c r="BE131" s="0" t="s">
        <v>5589</v>
      </c>
      <c r="BF131" s="0" t="s">
        <v>169</v>
      </c>
      <c r="BG131" s="0" t="s">
        <v>170</v>
      </c>
      <c r="BH131" s="0" t="s">
        <v>8683</v>
      </c>
      <c r="BI131" s="0" t="s">
        <v>263</v>
      </c>
      <c r="BJ131" s="0" t="s">
        <v>8690</v>
      </c>
      <c r="BK131" s="0" t="s">
        <v>5643</v>
      </c>
      <c r="BL131" s="0" t="s">
        <v>8691</v>
      </c>
      <c r="BM131" s="0" t="s">
        <v>8692</v>
      </c>
      <c r="BN131" s="0" t="s">
        <v>8693</v>
      </c>
      <c r="BP131" s="0" t="str">
        <f aca="false">IF($A131="","",IFERROR(INDEX(Enrichment!$A$2:$GZ$2000,MATCH($A131,INDEX(Enrichment!$A$2:$GZ$2000,0,MATCH("row_id",Enrichment!$A$1:$GZ$1,0)),0),MATCH("backup_work_email",Enrichment!$A$1:$GZ$1,0))&amp;"",""))</f>
        <v/>
      </c>
      <c r="BQ131" s="0" t="str">
        <f aca="false">IF($A131="","",IF(BP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none</v>
      </c>
      <c r="BR131" s="0" t="s">
        <v>7494</v>
      </c>
      <c r="BS131" s="0" t="s">
        <v>169</v>
      </c>
      <c r="BT131" s="0" t="s">
        <v>1252</v>
      </c>
      <c r="BU131" s="0" t="s">
        <v>8694</v>
      </c>
      <c r="BV131" s="0" t="s">
        <v>263</v>
      </c>
      <c r="BW131" s="0" t="s">
        <v>8695</v>
      </c>
      <c r="BX131" s="0" t="s">
        <v>5643</v>
      </c>
      <c r="BY131" s="0" t="s">
        <v>8696</v>
      </c>
      <c r="BZ131" s="0" t="s">
        <v>6366</v>
      </c>
      <c r="CB131" s="0" t="s">
        <v>8697</v>
      </c>
      <c r="CF131" s="0" t="s">
        <v>8698</v>
      </c>
      <c r="CJ131" s="0" t="s">
        <v>7088</v>
      </c>
      <c r="CK131" s="0" t="s">
        <v>200</v>
      </c>
      <c r="CM131" s="0" t="s">
        <v>201</v>
      </c>
      <c r="CN131" s="0" t="s">
        <v>6371</v>
      </c>
      <c r="CO131" s="0" t="s">
        <v>8686</v>
      </c>
      <c r="CP131" s="0" t="s">
        <v>5608</v>
      </c>
      <c r="CQ131" s="0" t="s">
        <v>5870</v>
      </c>
      <c r="CR131" s="0" t="s">
        <v>209</v>
      </c>
      <c r="CT131" s="0" t="s">
        <v>164</v>
      </c>
      <c r="CU131" s="0" t="s">
        <v>8699</v>
      </c>
      <c r="CV131" s="0" t="s">
        <v>209</v>
      </c>
      <c r="CW131" s="0" t="s">
        <v>164</v>
      </c>
      <c r="CX131" s="0" t="s">
        <v>209</v>
      </c>
      <c r="CZ131" s="0" t="s">
        <v>6456</v>
      </c>
      <c r="DA131" s="0" t="s">
        <v>189</v>
      </c>
      <c r="DB131" s="0" t="s">
        <v>189</v>
      </c>
      <c r="DE131" s="0" t="s">
        <v>189</v>
      </c>
      <c r="DF131" s="0" t="n">
        <v>0</v>
      </c>
      <c r="DH131" s="0" t="s">
        <v>8505</v>
      </c>
      <c r="DI131" s="0" t="s">
        <v>8700</v>
      </c>
      <c r="DJ131" s="0" t="s">
        <v>8701</v>
      </c>
      <c r="DK131" s="0" t="s">
        <v>5689</v>
      </c>
      <c r="DL131" s="0" t="n">
        <v>130</v>
      </c>
      <c r="DN131" s="0" t="n">
        <v>38</v>
      </c>
      <c r="DO131" s="0" t="n">
        <v>6</v>
      </c>
      <c r="DP131" s="0" t="n">
        <v>13</v>
      </c>
      <c r="DQ131" s="0" t="n">
        <v>8</v>
      </c>
      <c r="DR131" s="0" t="n">
        <v>5</v>
      </c>
      <c r="DS131" s="0" t="n">
        <v>8</v>
      </c>
      <c r="DT131" s="0" t="n">
        <v>10</v>
      </c>
      <c r="DU131" s="0" t="n">
        <f aca="false">IF($A131="","",IF(R131="Y",10,0))</f>
        <v>0</v>
      </c>
      <c r="DV131" s="0" t="n">
        <v>-12</v>
      </c>
      <c r="DW131" s="0" t="s">
        <v>8702</v>
      </c>
      <c r="DX131" s="0" t="s">
        <v>6462</v>
      </c>
      <c r="DY131" s="0" t="s">
        <v>8703</v>
      </c>
      <c r="DZ131" s="0" t="s">
        <v>8704</v>
      </c>
      <c r="EA131" s="0" t="s">
        <v>8705</v>
      </c>
      <c r="EV131" s="0" t="str">
        <f aca="false">IF($A131="","",IF(ISNUMBER(MATCH(U131,{"queued","contacted","replied","call_booked","call_done","yes_in_principle","materials_sent"},0)),"Y","N"))</f>
        <v>N</v>
      </c>
      <c r="EW131" s="0" t="str">
        <f aca="false">IF($A131="","",IF(OR(T131="Y",U131="do_not_contact",AQ131&amp;""&lt;&gt;""),"Y","N"))</f>
        <v>N</v>
      </c>
      <c r="EX131" s="0" t="str">
        <f aca="false">IF($A131="","",IF(AN131&amp;""&lt;&gt;"",AN131&amp;"",$A131))</f>
        <v>AB-165</v>
      </c>
      <c r="EY131" s="0" t="str">
        <f aca="false">IF($A131="","",IF(COUNTIFS($EX$2:$EX$1000,EX131,$EV$2:$EV$1000,"Y")+COUNTIFS($EX$2:$EX$1000,EX131,$EW$2:$EW$1000,"Y")&gt;0,"Y","N"))</f>
        <v>N</v>
      </c>
      <c r="EZ131" s="0" t="str">
        <f aca="false">IF($A131="","",IF(AND(U131="new",T131="N",EW131="N",AR131="Y",EY131="N"),"Y","N"))</f>
        <v>N</v>
      </c>
      <c r="FA131" s="0" t="str">
        <f aca="false">IF($A131="","",IF(EZ131&lt;&gt;"Y","N",IF(COUNTIFS($EX$2:$EX$1000,EX131,$EZ$2:$EZ$1000,"Y",$J$2:$J$1000,"&gt;"&amp;J131)+COUNTIFS($EX$2:$EX$1000,EX131,$EZ$2:$EZ$1000,"Y",$J$2:$J$1000,J131,$FG$2:$FG$1000,"&lt;"&amp;FG131)=0,"Y","N")))</f>
        <v>N</v>
      </c>
      <c r="FB131" s="0" t="str">
        <f aca="false">IF($A131="","",IF(AND(EZ131="Y",FA131="Y",Y131&amp;""&lt;&gt;""),IF(Y131&lt;=10,"Y","N"),"N"))</f>
        <v>N</v>
      </c>
      <c r="FC131" s="0" t="str">
        <f aca="false">IF(FB131="Y",Y131,"")</f>
        <v/>
      </c>
      <c r="FD131" s="0" t="str">
        <f aca="false">IF($A131="","",IF(AND(CK131="pass",AU131="Y",AV131&lt;&gt;"Y",U131="new",EW131="N"),"Y","N"))</f>
        <v>Y</v>
      </c>
      <c r="FE131" s="0" t="str">
        <f aca="false">IF(FD131&lt;&gt;"Y","",IF(COUNTIFS($FD$2:$FD$1000,"Y",$J$2:$J$1000,"&gt;"&amp;J131)+COUNTIFS($FD$2:$FD$1000,"Y",$J$2:$J$1000,J131,$FG$2:$FG$1000,"&lt;"&amp;FG131)+1&lt;=30,COUNTIFS($FD$2:$FD$1000,"Y",$J$2:$J$1000,"&gt;"&amp;J131)+COUNTIFS($FD$2:$FD$1000,"Y",$J$2:$J$1000,J131,$FG$2:$FG$1000,"&lt;"&amp;FG131)+1,""))</f>
        <v/>
      </c>
      <c r="FF131" s="0" t="str">
        <f aca="false">IF(AND(_xlfn.ISFORMULA(C131),_xlfn.ISFORMULA(J131)),"Y","N")</f>
        <v>Y</v>
      </c>
      <c r="FG131" s="0" t="n">
        <f aca="false">ROW()-1</f>
        <v>130</v>
      </c>
    </row>
    <row r="132" customFormat="false" ht="15" hidden="false" customHeight="false" outlineLevel="0" collapsed="false">
      <c r="A132" s="0" t="s">
        <v>8706</v>
      </c>
      <c r="B132" s="0" t="s">
        <v>8707</v>
      </c>
      <c r="C132" s="0" t="str">
        <f aca="false">IF($A132="","",IF(AT132="Y",BL132&amp;"",AY132&amp;""))</f>
        <v>Grace</v>
      </c>
      <c r="D132" s="0" t="str">
        <f aca="false">IF($A132="","",IF(AT132="Y",BM132&amp;"",AZ132&amp;""))</f>
        <v>Hachigian</v>
      </c>
      <c r="E132" s="0" t="str">
        <f aca="false">IF($A132="","",IF(AT132="Y",BN132&amp;"",BA132&amp;""))</f>
        <v>Co-founder</v>
      </c>
      <c r="F132" s="0" t="str">
        <f aca="false">IF($A132="","",IF(AT132="Y",BO132&amp;"",BB132&amp;""))</f>
        <v/>
      </c>
      <c r="G132" s="0" t="str">
        <f aca="false">IF($A132="","",IF(AT132="Y",BP132&amp;"",BC132&amp;""))</f>
        <v/>
      </c>
      <c r="H132" s="0" t="str">
        <f aca="false">IF($A132="","",IF(AT132="Y",BQ132&amp;"",BD132&amp;""))</f>
        <v>none</v>
      </c>
      <c r="I132" s="0" t="str">
        <f aca="false">IF($A132="","",IF(R132="Y","warm-intro",IF(H132="verified","email",IF(C132&lt;&gt;"","linkedin",CA132&amp;""))))</f>
        <v>linkedin</v>
      </c>
      <c r="J132" s="0" t="n">
        <f aca="false">IF($A132="","",IF(CK132="pass",ROUND(N(DO132)+N(DP132)+N(DQ132)+N(DR132)+N(DS132)+N(DT132)+N(DU132)+N(DV132),0),0))</f>
        <v>38</v>
      </c>
      <c r="K132" s="0" t="str">
        <f aca="false">IF($A132="","",IF(CK132&lt;&gt;"pass",BY132&amp;"",BY132&amp;", "&amp;IF(AT132="Y",BX132&amp;"",BK132&amp;"")&amp;BZ132&amp;IF(R132="Y","; known to the founder (+10)","")&amp;"."))</f>
        <v>Brand based outside the Northeast, no graded store within ten blocks, online store only, a new store listing 16 days ago, revenue in band, contact named; founder review: other.</v>
      </c>
      <c r="M132" s="0" t="s">
        <v>6144</v>
      </c>
      <c r="N132" s="0" t="s">
        <v>740</v>
      </c>
      <c r="O132" s="0" t="s">
        <v>8708</v>
      </c>
      <c r="P132" s="0" t="s">
        <v>8709</v>
      </c>
      <c r="Q132" s="0" t="s">
        <v>2895</v>
      </c>
      <c r="R132" s="5" t="s">
        <v>189</v>
      </c>
      <c r="S132" s="0" t="s">
        <v>209</v>
      </c>
      <c r="T132" s="5" t="s">
        <v>189</v>
      </c>
      <c r="U132" s="5" t="s">
        <v>3896</v>
      </c>
      <c r="V132" s="0" t="s">
        <v>8710</v>
      </c>
      <c r="W132" s="0" t="s">
        <v>263</v>
      </c>
      <c r="X132" s="0" t="s">
        <v>5578</v>
      </c>
      <c r="Y132" s="0" t="n">
        <f aca="false">IF(FA132&lt;&gt;"Y","",COUNTIFS($FA$2:$FA$1000,"Y",$J$2:$J$1000,"&gt;"&amp;J132)+COUNTIFS($FA$2:$FA$1000,"Y",$J$2:$J$1000,J132,$FG$2:$FG$1000,"&lt;"&amp;FG132)+1)</f>
        <v>52</v>
      </c>
      <c r="Z132" s="0" t="n">
        <v>131</v>
      </c>
      <c r="AA132" s="0" t="s">
        <v>189</v>
      </c>
      <c r="AB132" s="0" t="str">
        <f aca="false">IF($A132="","",IF(AT132="Y",BW132&amp;"",BJ132&amp;""))</f>
        <v>find Grace Hachigian at MODA Mocktails on LinkedIn and paste the profile URL into primary_linkedin_url</v>
      </c>
      <c r="AC132" s="0" t="str">
        <f aca="false">IF($A132="","",IF(AT132="Y",BR132&amp;"",BE132&amp;""))</f>
        <v>founder</v>
      </c>
      <c r="AD132" s="0" t="str">
        <f aca="false">IF($A132="","",IF(AT132="Y",BS132&amp;"",BF132&amp;""))</f>
        <v>verified-page</v>
      </c>
      <c r="AE132" s="0" t="str">
        <f aca="false">IF($A132="","",IF(AT132="Y",BT132&amp;"",BG132&amp;""))</f>
        <v>press, event or podcast page</v>
      </c>
      <c r="AF132" s="0" t="str">
        <f aca="false">IF($A132="","",IF(AT132="Y",BU132&amp;"",BH132&amp;""))</f>
        <v>https://www.entrepreneur.com/building-a-business/this-mother-daughter-duo-started-a-sparkling-side-hustle-that-made-500000-in-less-than-a-year</v>
      </c>
      <c r="AG132" s="0" t="str">
        <f aca="false">IF($A132="","",IF(AT132="Y",BV132&amp;"",BI132&amp;""))</f>
        <v>2026-10-23</v>
      </c>
      <c r="AH132" s="0" t="s">
        <v>8711</v>
      </c>
      <c r="AI132" s="0" t="s">
        <v>6699</v>
      </c>
      <c r="AJ132" s="0" t="s">
        <v>8712</v>
      </c>
      <c r="AK132" s="0" t="s">
        <v>8713</v>
      </c>
      <c r="AL132" s="0" t="s">
        <v>164</v>
      </c>
      <c r="AM132" s="0" t="s">
        <v>8714</v>
      </c>
      <c r="AN132" s="0" t="s">
        <v>8706</v>
      </c>
      <c r="AO132" s="5" t="s">
        <v>189</v>
      </c>
      <c r="AR132" s="0" t="str">
        <f aca="false">IF($A132="","",IF(AND(CK132="pass",AO132&lt;&gt;"Y",C132&lt;&gt;"",OR(AU132&lt;&gt;"Y",AV132="Y")),"Y","N"))</f>
        <v>Y</v>
      </c>
      <c r="AS132" s="0" t="str">
        <f aca="false">IF($A132="","",_xlfn.TEXTJOIN("; ",TRUE(),IF(CK132&lt;&gt;"pass","gated out",""),IF(AO132="Y","on hold: "&amp;AP132,""),IF(C132="","no contact named on an opened page",""),IF(AND(AU132="Y",AV132&lt;&gt;"Y"),"founder review pending (Founder review tab)","")))</f>
        <v/>
      </c>
      <c r="AU132" s="0" t="s">
        <v>189</v>
      </c>
      <c r="AY132" s="0" t="s">
        <v>1490</v>
      </c>
      <c r="AZ132" s="0" t="s">
        <v>8715</v>
      </c>
      <c r="BA132" s="0" t="s">
        <v>5636</v>
      </c>
      <c r="BC132" s="0" t="str">
        <f aca="false">IF($A132="","",IFERROR(INDEX(Enrichment!$A$2:$GZ$2000,MATCH($A132,INDEX(Enrichment!$A$2:$GZ$2000,0,MATCH("row_id",Enrichment!$A$1:$GZ$1,0)),0),MATCH("work_email",Enrichment!$A$1:$GZ$1,0))&amp;"",""))</f>
        <v/>
      </c>
      <c r="BD132" s="0" t="str">
        <f aca="false">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none</v>
      </c>
      <c r="BE132" s="0" t="s">
        <v>5589</v>
      </c>
      <c r="BF132" s="0" t="s">
        <v>169</v>
      </c>
      <c r="BG132" s="0" t="s">
        <v>1252</v>
      </c>
      <c r="BH132" s="0" t="s">
        <v>8709</v>
      </c>
      <c r="BI132" s="0" t="s">
        <v>263</v>
      </c>
      <c r="BJ132" s="0" t="s">
        <v>8716</v>
      </c>
      <c r="BK132" s="0" t="s">
        <v>5643</v>
      </c>
      <c r="BL132" s="0" t="s">
        <v>8717</v>
      </c>
      <c r="BM132" s="0" t="s">
        <v>8715</v>
      </c>
      <c r="BN132" s="0" t="s">
        <v>5636</v>
      </c>
      <c r="BP132" s="0" t="str">
        <f aca="false">IF($A132="","",IFERROR(INDEX(Enrichment!$A$2:$GZ$2000,MATCH($A132,INDEX(Enrichment!$A$2:$GZ$2000,0,MATCH("row_id",Enrichment!$A$1:$GZ$1,0)),0),MATCH("backup_work_email",Enrichment!$A$1:$GZ$1,0))&amp;"",""))</f>
        <v/>
      </c>
      <c r="BQ132" s="0" t="str">
        <f aca="false">IF($A132="","",IF(BP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none</v>
      </c>
      <c r="BR132" s="0" t="s">
        <v>7748</v>
      </c>
      <c r="BS132" s="0" t="s">
        <v>169</v>
      </c>
      <c r="BT132" s="0" t="s">
        <v>1252</v>
      </c>
      <c r="BU132" s="0" t="s">
        <v>8709</v>
      </c>
      <c r="BV132" s="0" t="s">
        <v>263</v>
      </c>
      <c r="BW132" s="0" t="s">
        <v>8718</v>
      </c>
      <c r="BX132" s="0" t="s">
        <v>5643</v>
      </c>
      <c r="BY132" s="0" t="s">
        <v>8719</v>
      </c>
      <c r="BZ132" s="0" t="s">
        <v>5960</v>
      </c>
      <c r="CB132" s="0" t="s">
        <v>8720</v>
      </c>
      <c r="CF132" s="0" t="s">
        <v>8721</v>
      </c>
      <c r="CJ132" s="0" t="s">
        <v>7088</v>
      </c>
      <c r="CK132" s="0" t="s">
        <v>200</v>
      </c>
      <c r="CM132" s="0" t="s">
        <v>201</v>
      </c>
      <c r="CN132" s="0" t="s">
        <v>443</v>
      </c>
      <c r="CO132" s="0" t="s">
        <v>8722</v>
      </c>
      <c r="CP132" s="0" t="s">
        <v>6550</v>
      </c>
      <c r="CQ132" s="0" t="s">
        <v>6198</v>
      </c>
      <c r="CR132" s="0" t="s">
        <v>209</v>
      </c>
      <c r="CT132" s="0" t="s">
        <v>209</v>
      </c>
      <c r="CU132" s="0" t="s">
        <v>7146</v>
      </c>
      <c r="CV132" s="0" t="s">
        <v>164</v>
      </c>
      <c r="CW132" s="0" t="s">
        <v>164</v>
      </c>
      <c r="CX132" s="0" t="s">
        <v>7409</v>
      </c>
      <c r="CY132" s="0" t="s">
        <v>8723</v>
      </c>
      <c r="CZ132" s="0" t="s">
        <v>8724</v>
      </c>
      <c r="DA132" s="0" t="s">
        <v>189</v>
      </c>
      <c r="DB132" s="0" t="s">
        <v>189</v>
      </c>
      <c r="DE132" s="0" t="s">
        <v>189</v>
      </c>
      <c r="DF132" s="0" t="n">
        <v>0</v>
      </c>
      <c r="DH132" s="0" t="s">
        <v>8505</v>
      </c>
      <c r="DI132" s="0" t="s">
        <v>8725</v>
      </c>
      <c r="DJ132" s="0" t="s">
        <v>8726</v>
      </c>
      <c r="DK132" s="0" t="s">
        <v>5689</v>
      </c>
      <c r="DL132" s="0" t="n">
        <v>16</v>
      </c>
      <c r="DN132" s="0" t="n">
        <v>38</v>
      </c>
      <c r="DO132" s="0" t="n">
        <v>6</v>
      </c>
      <c r="DP132" s="0" t="n">
        <v>3</v>
      </c>
      <c r="DQ132" s="0" t="n">
        <v>8</v>
      </c>
      <c r="DR132" s="0" t="n">
        <v>10</v>
      </c>
      <c r="DS132" s="0" t="n">
        <v>7</v>
      </c>
      <c r="DT132" s="0" t="n">
        <v>6</v>
      </c>
      <c r="DU132" s="0" t="n">
        <f aca="false">IF($A132="","",IF(R132="Y",10,0))</f>
        <v>0</v>
      </c>
      <c r="DV132" s="0" t="n">
        <v>-2</v>
      </c>
      <c r="DW132" s="0" t="s">
        <v>209</v>
      </c>
      <c r="DX132" s="0" t="s">
        <v>6462</v>
      </c>
      <c r="DY132" s="0" t="s">
        <v>8727</v>
      </c>
      <c r="DZ132" s="0" t="s">
        <v>8728</v>
      </c>
      <c r="EA132" s="0" t="s">
        <v>8729</v>
      </c>
      <c r="EV132" s="0" t="str">
        <f aca="false">IF($A132="","",IF(ISNUMBER(MATCH(U132,{"queued","contacted","replied","call_booked","call_done","yes_in_principle","materials_sent"},0)),"Y","N"))</f>
        <v>N</v>
      </c>
      <c r="EW132" s="0" t="str">
        <f aca="false">IF($A132="","",IF(OR(T132="Y",U132="do_not_contact",AQ132&amp;""&lt;&gt;""),"Y","N"))</f>
        <v>N</v>
      </c>
      <c r="EX132" s="0" t="str">
        <f aca="false">IF($A132="","",IF(AN132&amp;""&lt;&gt;"",AN132&amp;"",$A132))</f>
        <v>AB-180</v>
      </c>
      <c r="EY132" s="0" t="str">
        <f aca="false">IF($A132="","",IF(COUNTIFS($EX$2:$EX$1000,EX132,$EV$2:$EV$1000,"Y")+COUNTIFS($EX$2:$EX$1000,EX132,$EW$2:$EW$1000,"Y")&gt;0,"Y","N"))</f>
        <v>N</v>
      </c>
      <c r="EZ132" s="0" t="str">
        <f aca="false">IF($A132="","",IF(AND(U132="new",T132="N",EW132="N",AR132="Y",EY132="N"),"Y","N"))</f>
        <v>Y</v>
      </c>
      <c r="FA132" s="0" t="str">
        <f aca="false">IF($A132="","",IF(EZ132&lt;&gt;"Y","N",IF(COUNTIFS($EX$2:$EX$1000,EX132,$EZ$2:$EZ$1000,"Y",$J$2:$J$1000,"&gt;"&amp;J132)+COUNTIFS($EX$2:$EX$1000,EX132,$EZ$2:$EZ$1000,"Y",$J$2:$J$1000,J132,$FG$2:$FG$1000,"&lt;"&amp;FG132)=0,"Y","N")))</f>
        <v>Y</v>
      </c>
      <c r="FB132" s="0" t="str">
        <f aca="false">IF($A132="","",IF(AND(EZ132="Y",FA132="Y",Y132&amp;""&lt;&gt;""),IF(Y132&lt;=10,"Y","N"),"N"))</f>
        <v>N</v>
      </c>
      <c r="FC132" s="0" t="str">
        <f aca="false">IF(FB132="Y",Y132,"")</f>
        <v/>
      </c>
      <c r="FD132" s="0" t="str">
        <f aca="false">IF($A132="","",IF(AND(CK132="pass",AU132="Y",AV132&lt;&gt;"Y",U132="new",EW132="N"),"Y","N"))</f>
        <v>N</v>
      </c>
      <c r="FE132" s="0" t="str">
        <f aca="false">IF(FD132&lt;&gt;"Y","",IF(COUNTIFS($FD$2:$FD$1000,"Y",$J$2:$J$1000,"&gt;"&amp;J132)+COUNTIFS($FD$2:$FD$1000,"Y",$J$2:$J$1000,J132,$FG$2:$FG$1000,"&lt;"&amp;FG132)+1&lt;=30,COUNTIFS($FD$2:$FD$1000,"Y",$J$2:$J$1000,"&gt;"&amp;J132)+COUNTIFS($FD$2:$FD$1000,"Y",$J$2:$J$1000,J132,$FG$2:$FG$1000,"&lt;"&amp;FG132)+1,""))</f>
        <v/>
      </c>
      <c r="FF132" s="0" t="str">
        <f aca="false">IF(AND(_xlfn.ISFORMULA(C132),_xlfn.ISFORMULA(J132)),"Y","N")</f>
        <v>Y</v>
      </c>
      <c r="FG132" s="0" t="n">
        <f aca="false">ROW()-1</f>
        <v>131</v>
      </c>
    </row>
    <row r="133" customFormat="false" ht="15" hidden="false" customHeight="false" outlineLevel="0" collapsed="false">
      <c r="A133" s="0" t="s">
        <v>8730</v>
      </c>
      <c r="B133" s="0" t="s">
        <v>8731</v>
      </c>
      <c r="C133" s="0" t="str">
        <f aca="false">IF($A133="","",IF(AT133="Y",BL133&amp;"",AY133&amp;""))</f>
        <v>Barb</v>
      </c>
      <c r="D133" s="0" t="str">
        <f aca="false">IF($A133="","",IF(AT133="Y",BM133&amp;"",AZ133&amp;""))</f>
        <v>Kobren</v>
      </c>
      <c r="E133" s="0" t="str">
        <f aca="false">IF($A133="","",IF(AT133="Y",BN133&amp;"",BA133&amp;""))</f>
        <v>Founder</v>
      </c>
      <c r="F133" s="0" t="str">
        <f aca="false">IF($A133="","",IF(AT133="Y",BO133&amp;"",BB133&amp;""))</f>
        <v/>
      </c>
      <c r="G133" s="0" t="str">
        <f aca="false">IF($A133="","",IF(AT133="Y",BP133&amp;"",BC133&amp;""))</f>
        <v/>
      </c>
      <c r="H133" s="0" t="str">
        <f aca="false">IF($A133="","",IF(AT133="Y",BQ133&amp;"",BD133&amp;""))</f>
        <v>none</v>
      </c>
      <c r="I133" s="0" t="str">
        <f aca="false">IF($A133="","",IF(R133="Y","warm-intro",IF(H133="verified","email",IF(C133&lt;&gt;"","linkedin",CA133&amp;""))))</f>
        <v>linkedin</v>
      </c>
      <c r="J133" s="0" t="n">
        <f aca="false">IF($A133="","",IF(CK133="pass",ROUND(N(DO133)+N(DP133)+N(DQ133)+N(DR133)+N(DS133)+N(DT133)+N(DU133)+N(DV133),0),0))</f>
        <v>38</v>
      </c>
      <c r="K133" s="0" t="str">
        <f aca="false">IF($A133="","",IF(CK133&lt;&gt;"pass",BY133&amp;"",BY133&amp;", "&amp;IF(AT133="Y",BX133&amp;"",BK133&amp;"")&amp;BZ133&amp;IF(R133="Y","; known to the founder (+10)","")&amp;"."))</f>
        <v>New York State brand, no graded store within ten blocks, online store only, no dated why-now in the last 12 months, revenue unknown, contact named; founder review: format-unconfirmed.</v>
      </c>
      <c r="M133" s="0" t="s">
        <v>6144</v>
      </c>
      <c r="N133" s="0" t="s">
        <v>740</v>
      </c>
      <c r="R133" s="5" t="s">
        <v>189</v>
      </c>
      <c r="S133" s="0" t="s">
        <v>209</v>
      </c>
      <c r="T133" s="5" t="s">
        <v>189</v>
      </c>
      <c r="U133" s="5" t="s">
        <v>3896</v>
      </c>
      <c r="V133" s="0" t="s">
        <v>8732</v>
      </c>
      <c r="W133" s="0" t="s">
        <v>263</v>
      </c>
      <c r="X133" s="0" t="s">
        <v>5578</v>
      </c>
      <c r="Y133" s="0" t="n">
        <f aca="false">IF(FA133&lt;&gt;"Y","",COUNTIFS($FA$2:$FA$1000,"Y",$J$2:$J$1000,"&gt;"&amp;J133)+COUNTIFS($FA$2:$FA$1000,"Y",$J$2:$J$1000,J133,$FG$2:$FG$1000,"&lt;"&amp;FG133)+1)</f>
        <v>53</v>
      </c>
      <c r="Z133" s="0" t="n">
        <v>132</v>
      </c>
      <c r="AA133" s="0" t="s">
        <v>189</v>
      </c>
      <c r="AB133" s="0" t="str">
        <f aca="false">IF($A133="","",IF(AT133="Y",BW133&amp;"",BJ133&amp;""))</f>
        <v>find Barb Kobren at BobbySue's Nuts on LinkedIn and paste the profile URL into primary_linkedin_url</v>
      </c>
      <c r="AC133" s="0" t="str">
        <f aca="false">IF($A133="","",IF(AT133="Y",BR133&amp;"",BE133&amp;""))</f>
        <v>founder</v>
      </c>
      <c r="AD133" s="0" t="str">
        <f aca="false">IF($A133="","",IF(AT133="Y",BS133&amp;"",BF133&amp;""))</f>
        <v>verified-page</v>
      </c>
      <c r="AE133" s="0" t="str">
        <f aca="false">IF($A133="","",IF(AT133="Y",BT133&amp;"",BG133&amp;""))</f>
        <v>employer's own site</v>
      </c>
      <c r="AF133" s="0" t="str">
        <f aca="false">IF($A133="","",IF(AT133="Y",BU133&amp;"",BH133&amp;""))</f>
        <v>https://www.bobbysuesnuts.com/story</v>
      </c>
      <c r="AG133" s="0" t="str">
        <f aca="false">IF($A133="","",IF(AT133="Y",BV133&amp;"",BI133&amp;""))</f>
        <v>2026-10-23</v>
      </c>
      <c r="AH133" s="0" t="s">
        <v>8733</v>
      </c>
      <c r="AI133" s="0" t="s">
        <v>6240</v>
      </c>
      <c r="AJ133" s="0" t="s">
        <v>8734</v>
      </c>
      <c r="AK133" s="0" t="s">
        <v>8735</v>
      </c>
      <c r="AL133" s="0" t="s">
        <v>164</v>
      </c>
      <c r="AM133" s="0" t="s">
        <v>5760</v>
      </c>
      <c r="AN133" s="0" t="s">
        <v>8730</v>
      </c>
      <c r="AO133" s="5" t="s">
        <v>189</v>
      </c>
      <c r="AR133" s="0" t="str">
        <f aca="false">IF($A133="","",IF(AND(CK133="pass",AO133&lt;&gt;"Y",C133&lt;&gt;"",OR(AU133&lt;&gt;"Y",AV133="Y")),"Y","N"))</f>
        <v>Y</v>
      </c>
      <c r="AS133" s="0" t="str">
        <f aca="false">IF($A133="","",_xlfn.TEXTJOIN("; ",TRUE(),IF(CK133&lt;&gt;"pass","gated out",""),IF(AO133="Y","on hold: "&amp;AP133,""),IF(C133="","no contact named on an opened page",""),IF(AND(AU133="Y",AV133&lt;&gt;"Y"),"founder review pending (Founder review tab)","")))</f>
        <v/>
      </c>
      <c r="AU133" s="0" t="s">
        <v>189</v>
      </c>
      <c r="AY133" s="0" t="s">
        <v>8736</v>
      </c>
      <c r="AZ133" s="0" t="s">
        <v>8737</v>
      </c>
      <c r="BA133" s="0" t="s">
        <v>5739</v>
      </c>
      <c r="BC133" s="0" t="str">
        <f aca="false">IF($A133="","",IFERROR(INDEX(Enrichment!$A$2:$GZ$2000,MATCH($A133,INDEX(Enrichment!$A$2:$GZ$2000,0,MATCH("row_id",Enrichment!$A$1:$GZ$1,0)),0),MATCH("work_email",Enrichment!$A$1:$GZ$1,0))&amp;"",""))</f>
        <v/>
      </c>
      <c r="BD133" s="0" t="str">
        <f aca="false">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none</v>
      </c>
      <c r="BE133" s="0" t="s">
        <v>5589</v>
      </c>
      <c r="BF133" s="0" t="s">
        <v>169</v>
      </c>
      <c r="BG133" s="0" t="s">
        <v>170</v>
      </c>
      <c r="BH133" s="0" t="s">
        <v>8732</v>
      </c>
      <c r="BI133" s="0" t="s">
        <v>263</v>
      </c>
      <c r="BJ133" s="0" t="s">
        <v>8738</v>
      </c>
      <c r="BK133" s="0" t="s">
        <v>5643</v>
      </c>
      <c r="BP133" s="0" t="str">
        <f aca="false">IF($A133="","",IFERROR(INDEX(Enrichment!$A$2:$GZ$2000,MATCH($A133,INDEX(Enrichment!$A$2:$GZ$2000,0,MATCH("row_id",Enrichment!$A$1:$GZ$1,0)),0),MATCH("backup_work_email",Enrichment!$A$1:$GZ$1,0))&amp;"",""))</f>
        <v/>
      </c>
      <c r="BQ133" s="0" t="str">
        <f aca="false">IF($A133="","",IF(BP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none</v>
      </c>
      <c r="BS133" s="0" t="s">
        <v>380</v>
      </c>
      <c r="BW133" s="0" t="s">
        <v>387</v>
      </c>
      <c r="BX133" s="0" t="s">
        <v>388</v>
      </c>
      <c r="BY133" s="0" t="s">
        <v>8739</v>
      </c>
      <c r="BZ133" s="0" t="s">
        <v>5769</v>
      </c>
      <c r="CB133" s="0" t="s">
        <v>8740</v>
      </c>
      <c r="CD133" s="0" t="s">
        <v>8741</v>
      </c>
      <c r="CJ133" s="0" t="s">
        <v>7088</v>
      </c>
      <c r="CK133" s="0" t="s">
        <v>200</v>
      </c>
      <c r="CM133" s="0" t="s">
        <v>201</v>
      </c>
      <c r="CN133" s="0" t="s">
        <v>5774</v>
      </c>
      <c r="CO133" s="0" t="s">
        <v>8735</v>
      </c>
      <c r="CP133" s="0" t="s">
        <v>5608</v>
      </c>
      <c r="CQ133" s="0" t="s">
        <v>5870</v>
      </c>
      <c r="CR133" s="0" t="s">
        <v>209</v>
      </c>
      <c r="CT133" s="0" t="s">
        <v>164</v>
      </c>
      <c r="CU133" s="0" t="s">
        <v>8742</v>
      </c>
      <c r="CV133" s="0" t="s">
        <v>209</v>
      </c>
      <c r="CW133" s="0" t="s">
        <v>164</v>
      </c>
      <c r="CX133" s="0" t="s">
        <v>209</v>
      </c>
      <c r="CZ133" s="0" t="s">
        <v>209</v>
      </c>
      <c r="DA133" s="0" t="s">
        <v>189</v>
      </c>
      <c r="DB133" s="0" t="s">
        <v>189</v>
      </c>
      <c r="DE133" s="0" t="s">
        <v>189</v>
      </c>
      <c r="DF133" s="0" t="n">
        <v>0</v>
      </c>
      <c r="DI133" s="0" t="s">
        <v>8743</v>
      </c>
      <c r="DJ133" s="0" t="s">
        <v>8744</v>
      </c>
      <c r="DK133" s="0" t="s">
        <v>380</v>
      </c>
      <c r="DN133" s="0" t="n">
        <v>38</v>
      </c>
      <c r="DO133" s="0" t="n">
        <v>6</v>
      </c>
      <c r="DP133" s="0" t="n">
        <v>13</v>
      </c>
      <c r="DQ133" s="0" t="n">
        <v>0</v>
      </c>
      <c r="DR133" s="0" t="n">
        <v>5</v>
      </c>
      <c r="DS133" s="0" t="n">
        <v>8</v>
      </c>
      <c r="DT133" s="0" t="n">
        <v>6</v>
      </c>
      <c r="DU133" s="0" t="n">
        <f aca="false">IF($A133="","",IF(R133="Y",10,0))</f>
        <v>0</v>
      </c>
      <c r="DV133" s="0" t="n">
        <v>0</v>
      </c>
      <c r="DW133" s="0" t="s">
        <v>209</v>
      </c>
      <c r="DX133" s="0" t="s">
        <v>5814</v>
      </c>
      <c r="DY133" s="0" t="s">
        <v>8745</v>
      </c>
      <c r="DZ133" s="0" t="s">
        <v>8746</v>
      </c>
      <c r="EV133" s="0" t="str">
        <f aca="false">IF($A133="","",IF(ISNUMBER(MATCH(U133,{"queued","contacted","replied","call_booked","call_done","yes_in_principle","materials_sent"},0)),"Y","N"))</f>
        <v>N</v>
      </c>
      <c r="EW133" s="0" t="str">
        <f aca="false">IF($A133="","",IF(OR(T133="Y",U133="do_not_contact",AQ133&amp;""&lt;&gt;""),"Y","N"))</f>
        <v>N</v>
      </c>
      <c r="EX133" s="0" t="str">
        <f aca="false">IF($A133="","",IF(AN133&amp;""&lt;&gt;"",AN133&amp;"",$A133))</f>
        <v>AB-022</v>
      </c>
      <c r="EY133" s="0" t="str">
        <f aca="false">IF($A133="","",IF(COUNTIFS($EX$2:$EX$1000,EX133,$EV$2:$EV$1000,"Y")+COUNTIFS($EX$2:$EX$1000,EX133,$EW$2:$EW$1000,"Y")&gt;0,"Y","N"))</f>
        <v>N</v>
      </c>
      <c r="EZ133" s="0" t="str">
        <f aca="false">IF($A133="","",IF(AND(U133="new",T133="N",EW133="N",AR133="Y",EY133="N"),"Y","N"))</f>
        <v>Y</v>
      </c>
      <c r="FA133" s="0" t="str">
        <f aca="false">IF($A133="","",IF(EZ133&lt;&gt;"Y","N",IF(COUNTIFS($EX$2:$EX$1000,EX133,$EZ$2:$EZ$1000,"Y",$J$2:$J$1000,"&gt;"&amp;J133)+COUNTIFS($EX$2:$EX$1000,EX133,$EZ$2:$EZ$1000,"Y",$J$2:$J$1000,J133,$FG$2:$FG$1000,"&lt;"&amp;FG133)=0,"Y","N")))</f>
        <v>Y</v>
      </c>
      <c r="FB133" s="0" t="str">
        <f aca="false">IF($A133="","",IF(AND(EZ133="Y",FA133="Y",Y133&amp;""&lt;&gt;""),IF(Y133&lt;=10,"Y","N"),"N"))</f>
        <v>N</v>
      </c>
      <c r="FC133" s="0" t="str">
        <f aca="false">IF(FB133="Y",Y133,"")</f>
        <v/>
      </c>
      <c r="FD133" s="0" t="str">
        <f aca="false">IF($A133="","",IF(AND(CK133="pass",AU133="Y",AV133&lt;&gt;"Y",U133="new",EW133="N"),"Y","N"))</f>
        <v>N</v>
      </c>
      <c r="FE133" s="0" t="str">
        <f aca="false">IF(FD133&lt;&gt;"Y","",IF(COUNTIFS($FD$2:$FD$1000,"Y",$J$2:$J$1000,"&gt;"&amp;J133)+COUNTIFS($FD$2:$FD$1000,"Y",$J$2:$J$1000,J133,$FG$2:$FG$1000,"&lt;"&amp;FG133)+1&lt;=30,COUNTIFS($FD$2:$FD$1000,"Y",$J$2:$J$1000,"&gt;"&amp;J133)+COUNTIFS($FD$2:$FD$1000,"Y",$J$2:$J$1000,J133,$FG$2:$FG$1000,"&lt;"&amp;FG133)+1,""))</f>
        <v/>
      </c>
      <c r="FF133" s="0" t="str">
        <f aca="false">IF(AND(_xlfn.ISFORMULA(C133),_xlfn.ISFORMULA(J133)),"Y","N")</f>
        <v>Y</v>
      </c>
      <c r="FG133" s="0" t="n">
        <f aca="false">ROW()-1</f>
        <v>132</v>
      </c>
    </row>
    <row r="134" customFormat="false" ht="15" hidden="false" customHeight="false" outlineLevel="0" collapsed="false">
      <c r="A134" s="0" t="s">
        <v>8747</v>
      </c>
      <c r="B134" s="0" t="s">
        <v>8748</v>
      </c>
      <c r="C134" s="0" t="str">
        <f aca="false">IF($A134="","",IF(AT134="Y",BL134&amp;"",AY134&amp;""))</f>
        <v>Justin</v>
      </c>
      <c r="D134" s="0" t="str">
        <f aca="false">IF($A134="","",IF(AT134="Y",BM134&amp;"",AZ134&amp;""))</f>
        <v>unknown</v>
      </c>
      <c r="E134" s="0" t="str">
        <f aca="false">IF($A134="","",IF(AT134="Y",BN134&amp;"",BA134&amp;""))</f>
        <v>Owner</v>
      </c>
      <c r="F134" s="0" t="str">
        <f aca="false">IF($A134="","",IF(AT134="Y",BO134&amp;"",BB134&amp;""))</f>
        <v/>
      </c>
      <c r="G134" s="0" t="str">
        <f aca="false">IF($A134="","",IF(AT134="Y",BP134&amp;"",BC134&amp;""))</f>
        <v/>
      </c>
      <c r="H134" s="0" t="str">
        <f aca="false">IF($A134="","",IF(AT134="Y",BQ134&amp;"",BD134&amp;""))</f>
        <v>none</v>
      </c>
      <c r="I134" s="0" t="str">
        <f aca="false">IF($A134="","",IF(R134="Y","warm-intro",IF(H134="verified","email",IF(C134&lt;&gt;"","linkedin",CA134&amp;""))))</f>
        <v>linkedin</v>
      </c>
      <c r="J134" s="0" t="n">
        <f aca="false">IF($A134="","",IF(CK134="pass",ROUND(N(DO134)+N(DP134)+N(DQ134)+N(DR134)+N(DS134)+N(DT134)+N(DU134)+N(DV134),0),0))</f>
        <v>38</v>
      </c>
      <c r="K134" s="0" t="str">
        <f aca="false">IF($A134="","",IF(CK134&lt;&gt;"pass",BY134&amp;"",BY134&amp;", "&amp;IF(AT134="Y",BX134&amp;"",BK134&amp;"")&amp;BZ134&amp;IF(R134="Y","; known to the founder (+10)","")&amp;"."))</f>
        <v>Northeast brand, no graded store within ten blocks, online store only, a new store listing 60 days ago, revenue unknown, contact named (first name only); founder review: other.</v>
      </c>
      <c r="M134" s="0" t="s">
        <v>6144</v>
      </c>
      <c r="N134" s="0" t="s">
        <v>740</v>
      </c>
      <c r="O134" s="0" t="s">
        <v>8749</v>
      </c>
      <c r="P134" s="0" t="s">
        <v>8750</v>
      </c>
      <c r="Q134" s="0" t="s">
        <v>7420</v>
      </c>
      <c r="R134" s="5" t="s">
        <v>189</v>
      </c>
      <c r="S134" s="0" t="s">
        <v>209</v>
      </c>
      <c r="T134" s="5" t="s">
        <v>189</v>
      </c>
      <c r="U134" s="5" t="s">
        <v>3896</v>
      </c>
      <c r="V134" s="0" t="s">
        <v>8751</v>
      </c>
      <c r="W134" s="0" t="s">
        <v>172</v>
      </c>
      <c r="X134" s="0" t="s">
        <v>5578</v>
      </c>
      <c r="Y134" s="0" t="n">
        <f aca="false">IF(FA134&lt;&gt;"Y","",COUNTIFS($FA$2:$FA$1000,"Y",$J$2:$J$1000,"&gt;"&amp;J134)+COUNTIFS($FA$2:$FA$1000,"Y",$J$2:$J$1000,J134,$FG$2:$FG$1000,"&lt;"&amp;FG134)+1)</f>
        <v>54</v>
      </c>
      <c r="Z134" s="0" t="n">
        <v>133</v>
      </c>
      <c r="AA134" s="0" t="s">
        <v>189</v>
      </c>
      <c r="AB134" s="0" t="str">
        <f aca="false">IF($A134="","",IF(AT134="Y",BW134&amp;"",BJ134&amp;""))</f>
        <v>find Justin at Scamps Toffee on LinkedIn and paste the profile URL into primary_linkedin_url; surname not public: take it from LinkedIn</v>
      </c>
      <c r="AC134" s="0" t="str">
        <f aca="false">IF($A134="","",IF(AT134="Y",BR134&amp;"",BE134&amp;""))</f>
        <v>founder</v>
      </c>
      <c r="AD134" s="0" t="str">
        <f aca="false">IF($A134="","",IF(AT134="Y",BS134&amp;"",BF134&amp;""))</f>
        <v>first-name-only</v>
      </c>
      <c r="AE134" s="0" t="str">
        <f aca="false">IF($A134="","",IF(AT134="Y",BT134&amp;"",BG134&amp;""))</f>
        <v>employer's own site</v>
      </c>
      <c r="AF134" s="0" t="str">
        <f aca="false">IF($A134="","",IF(AT134="Y",BU134&amp;"",BH134&amp;""))</f>
        <v>https://www.scampstoffee.com/pages/about</v>
      </c>
      <c r="AG134" s="0" t="str">
        <f aca="false">IF($A134="","",IF(AT134="Y",BV134&amp;"",BI134&amp;""))</f>
        <v>2026-10-24</v>
      </c>
      <c r="AH134" s="0" t="s">
        <v>8752</v>
      </c>
      <c r="AI134" s="0" t="s">
        <v>5664</v>
      </c>
      <c r="AJ134" s="0" t="s">
        <v>209</v>
      </c>
      <c r="AK134" s="0" t="s">
        <v>8753</v>
      </c>
      <c r="AL134" s="0" t="s">
        <v>164</v>
      </c>
      <c r="AM134" s="0" t="s">
        <v>8754</v>
      </c>
      <c r="AN134" s="0" t="s">
        <v>8747</v>
      </c>
      <c r="AO134" s="5" t="s">
        <v>189</v>
      </c>
      <c r="AR134" s="0" t="str">
        <f aca="false">IF($A134="","",IF(AND(CK134="pass",AO134&lt;&gt;"Y",C134&lt;&gt;"",OR(AU134&lt;&gt;"Y",AV134="Y")),"Y","N"))</f>
        <v>Y</v>
      </c>
      <c r="AS134" s="0" t="str">
        <f aca="false">IF($A134="","",_xlfn.TEXTJOIN("; ",TRUE(),IF(CK134&lt;&gt;"pass","gated out",""),IF(AO134="Y","on hold: "&amp;AP134,""),IF(C134="","no contact named on an opened page",""),IF(AND(AU134="Y",AV134&lt;&gt;"Y"),"founder review pending (Founder review tab)","")))</f>
        <v/>
      </c>
      <c r="AU134" s="0" t="s">
        <v>189</v>
      </c>
      <c r="AY134" s="0" t="s">
        <v>8755</v>
      </c>
      <c r="AZ134" s="0" t="s">
        <v>209</v>
      </c>
      <c r="BA134" s="0" t="s">
        <v>6597</v>
      </c>
      <c r="BC134" s="0" t="str">
        <f aca="false">IF($A134="","",IFERROR(INDEX(Enrichment!$A$2:$GZ$2000,MATCH($A134,INDEX(Enrichment!$A$2:$GZ$2000,0,MATCH("row_id",Enrichment!$A$1:$GZ$1,0)),0),MATCH("work_email",Enrichment!$A$1:$GZ$1,0))&amp;"",""))</f>
        <v/>
      </c>
      <c r="BD134" s="0" t="str">
        <f aca="false">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none</v>
      </c>
      <c r="BE134" s="0" t="s">
        <v>5589</v>
      </c>
      <c r="BF134" s="0" t="s">
        <v>5896</v>
      </c>
      <c r="BG134" s="0" t="s">
        <v>170</v>
      </c>
      <c r="BH134" s="0" t="s">
        <v>8756</v>
      </c>
      <c r="BI134" s="0" t="s">
        <v>172</v>
      </c>
      <c r="BJ134" s="0" t="s">
        <v>8757</v>
      </c>
      <c r="BK134" s="0" t="s">
        <v>5898</v>
      </c>
      <c r="BL134" s="0" t="s">
        <v>1589</v>
      </c>
      <c r="BM134" s="0" t="s">
        <v>8758</v>
      </c>
      <c r="BN134" s="0" t="s">
        <v>6597</v>
      </c>
      <c r="BP134" s="0" t="str">
        <f aca="false">IF($A134="","",IFERROR(INDEX(Enrichment!$A$2:$GZ$2000,MATCH($A134,INDEX(Enrichment!$A$2:$GZ$2000,0,MATCH("row_id",Enrichment!$A$1:$GZ$1,0)),0),MATCH("backup_work_email",Enrichment!$A$1:$GZ$1,0))&amp;"",""))</f>
        <v/>
      </c>
      <c r="BQ134" s="0" t="str">
        <f aca="false">IF($A134="","",IF(BP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none</v>
      </c>
      <c r="BR134" s="0" t="s">
        <v>7748</v>
      </c>
      <c r="BS134" s="0" t="s">
        <v>169</v>
      </c>
      <c r="BT134" s="0" t="s">
        <v>170</v>
      </c>
      <c r="BU134" s="0" t="s">
        <v>8756</v>
      </c>
      <c r="BV134" s="0" t="s">
        <v>172</v>
      </c>
      <c r="BW134" s="0" t="s">
        <v>8759</v>
      </c>
      <c r="BX134" s="0" t="s">
        <v>5643</v>
      </c>
      <c r="BY134" s="0" t="s">
        <v>8760</v>
      </c>
      <c r="BZ134" s="0" t="s">
        <v>5960</v>
      </c>
      <c r="CB134" s="0" t="s">
        <v>8755</v>
      </c>
      <c r="CF134" s="0" t="s">
        <v>8761</v>
      </c>
      <c r="CJ134" s="0" t="s">
        <v>7088</v>
      </c>
      <c r="CK134" s="0" t="s">
        <v>200</v>
      </c>
      <c r="CM134" s="0" t="s">
        <v>201</v>
      </c>
      <c r="CN134" s="0" t="s">
        <v>443</v>
      </c>
      <c r="CO134" s="0" t="s">
        <v>8753</v>
      </c>
      <c r="CP134" s="0" t="s">
        <v>7376</v>
      </c>
      <c r="CQ134" s="0" t="s">
        <v>6084</v>
      </c>
      <c r="CR134" s="0" t="s">
        <v>209</v>
      </c>
      <c r="CT134" s="0" t="s">
        <v>164</v>
      </c>
      <c r="CU134" s="0" t="s">
        <v>8762</v>
      </c>
      <c r="CV134" s="0" t="s">
        <v>164</v>
      </c>
      <c r="CW134" s="0" t="s">
        <v>164</v>
      </c>
      <c r="CX134" s="0" t="s">
        <v>209</v>
      </c>
      <c r="CZ134" s="0" t="s">
        <v>5993</v>
      </c>
      <c r="DA134" s="0" t="s">
        <v>189</v>
      </c>
      <c r="DB134" s="0" t="s">
        <v>189</v>
      </c>
      <c r="DE134" s="0" t="s">
        <v>189</v>
      </c>
      <c r="DF134" s="0" t="n">
        <v>0</v>
      </c>
      <c r="DI134" s="0" t="s">
        <v>8763</v>
      </c>
      <c r="DK134" s="0" t="s">
        <v>5689</v>
      </c>
      <c r="DL134" s="0" t="n">
        <v>60</v>
      </c>
      <c r="DN134" s="0" t="n">
        <v>38</v>
      </c>
      <c r="DO134" s="0" t="n">
        <v>6</v>
      </c>
      <c r="DP134" s="0" t="n">
        <v>8</v>
      </c>
      <c r="DQ134" s="0" t="n">
        <v>8</v>
      </c>
      <c r="DR134" s="0" t="n">
        <v>5</v>
      </c>
      <c r="DS134" s="0" t="n">
        <v>10</v>
      </c>
      <c r="DT134" s="0" t="n">
        <v>3</v>
      </c>
      <c r="DU134" s="0" t="n">
        <f aca="false">IF($A134="","",IF(R134="Y",10,0))</f>
        <v>0</v>
      </c>
      <c r="DV134" s="0" t="n">
        <v>-2</v>
      </c>
      <c r="DW134" s="0" t="s">
        <v>8764</v>
      </c>
      <c r="DX134" s="0" t="s">
        <v>5998</v>
      </c>
      <c r="DY134" s="0" t="s">
        <v>8765</v>
      </c>
      <c r="DZ134" s="0" t="s">
        <v>8766</v>
      </c>
      <c r="EV134" s="0" t="str">
        <f aca="false">IF($A134="","",IF(ISNUMBER(MATCH(U134,{"queued","contacted","replied","call_booked","call_done","yes_in_principle","materials_sent"},0)),"Y","N"))</f>
        <v>N</v>
      </c>
      <c r="EW134" s="0" t="str">
        <f aca="false">IF($A134="","",IF(OR(T134="Y",U134="do_not_contact",AQ134&amp;""&lt;&gt;""),"Y","N"))</f>
        <v>N</v>
      </c>
      <c r="EX134" s="0" t="str">
        <f aca="false">IF($A134="","",IF(AN134&amp;""&lt;&gt;"",AN134&amp;"",$A134))</f>
        <v>AB-295</v>
      </c>
      <c r="EY134" s="0" t="str">
        <f aca="false">IF($A134="","",IF(COUNTIFS($EX$2:$EX$1000,EX134,$EV$2:$EV$1000,"Y")+COUNTIFS($EX$2:$EX$1000,EX134,$EW$2:$EW$1000,"Y")&gt;0,"Y","N"))</f>
        <v>N</v>
      </c>
      <c r="EZ134" s="0" t="str">
        <f aca="false">IF($A134="","",IF(AND(U134="new",T134="N",EW134="N",AR134="Y",EY134="N"),"Y","N"))</f>
        <v>Y</v>
      </c>
      <c r="FA134" s="0" t="str">
        <f aca="false">IF($A134="","",IF(EZ134&lt;&gt;"Y","N",IF(COUNTIFS($EX$2:$EX$1000,EX134,$EZ$2:$EZ$1000,"Y",$J$2:$J$1000,"&gt;"&amp;J134)+COUNTIFS($EX$2:$EX$1000,EX134,$EZ$2:$EZ$1000,"Y",$J$2:$J$1000,J134,$FG$2:$FG$1000,"&lt;"&amp;FG134)=0,"Y","N")))</f>
        <v>Y</v>
      </c>
      <c r="FB134" s="0" t="str">
        <f aca="false">IF($A134="","",IF(AND(EZ134="Y",FA134="Y",Y134&amp;""&lt;&gt;""),IF(Y134&lt;=10,"Y","N"),"N"))</f>
        <v>N</v>
      </c>
      <c r="FC134" s="0" t="str">
        <f aca="false">IF(FB134="Y",Y134,"")</f>
        <v/>
      </c>
      <c r="FD134" s="0" t="str">
        <f aca="false">IF($A134="","",IF(AND(CK134="pass",AU134="Y",AV134&lt;&gt;"Y",U134="new",EW134="N"),"Y","N"))</f>
        <v>N</v>
      </c>
      <c r="FE134" s="0" t="str">
        <f aca="false">IF(FD134&lt;&gt;"Y","",IF(COUNTIFS($FD$2:$FD$1000,"Y",$J$2:$J$1000,"&gt;"&amp;J134)+COUNTIFS($FD$2:$FD$1000,"Y",$J$2:$J$1000,J134,$FG$2:$FG$1000,"&lt;"&amp;FG134)+1&lt;=30,COUNTIFS($FD$2:$FD$1000,"Y",$J$2:$J$1000,"&gt;"&amp;J134)+COUNTIFS($FD$2:$FD$1000,"Y",$J$2:$J$1000,J134,$FG$2:$FG$1000,"&lt;"&amp;FG134)+1,""))</f>
        <v/>
      </c>
      <c r="FF134" s="0" t="str">
        <f aca="false">IF(AND(_xlfn.ISFORMULA(C134),_xlfn.ISFORMULA(J134)),"Y","N")</f>
        <v>Y</v>
      </c>
      <c r="FG134" s="0" t="n">
        <f aca="false">ROW()-1</f>
        <v>133</v>
      </c>
    </row>
    <row r="135" customFormat="false" ht="15" hidden="false" customHeight="false" outlineLevel="0" collapsed="false">
      <c r="A135" s="0" t="s">
        <v>8767</v>
      </c>
      <c r="B135" s="0" t="s">
        <v>8768</v>
      </c>
      <c r="C135" s="0" t="str">
        <f aca="false">IF($A135="","",IF(AT135="Y",BL135&amp;"",AY135&amp;""))</f>
        <v/>
      </c>
      <c r="D135" s="0" t="str">
        <f aca="false">IF($A135="","",IF(AT135="Y",BM135&amp;"",AZ135&amp;""))</f>
        <v/>
      </c>
      <c r="E135" s="0" t="str">
        <f aca="false">IF($A135="","",IF(AT135="Y",BN135&amp;"",BA135&amp;""))</f>
        <v/>
      </c>
      <c r="F135" s="0" t="str">
        <f aca="false">IF($A135="","",IF(AT135="Y",BO135&amp;"",BB135&amp;""))</f>
        <v/>
      </c>
      <c r="G135" s="0" t="str">
        <f aca="false">IF($A135="","",IF(AT135="Y",BP135&amp;"",BC135&amp;""))</f>
        <v/>
      </c>
      <c r="H135" s="0" t="str">
        <f aca="false">IF($A135="","",IF(AT135="Y",BQ135&amp;"",BD135&amp;""))</f>
        <v>none</v>
      </c>
      <c r="I135" s="0" t="str">
        <f aca="false">IF($A135="","",IF(R135="Y","warm-intro",IF(H135="verified","email",IF(C135&lt;&gt;"","linkedin",CA135&amp;""))))</f>
        <v/>
      </c>
      <c r="J135" s="0" t="n">
        <f aca="false">IF($A135="","",IF(CK135="pass",ROUND(N(DO135)+N(DP135)+N(DQ135)+N(DR135)+N(DS135)+N(DT135)+N(DU135)+N(DV135),0),0))</f>
        <v>38</v>
      </c>
      <c r="K135" s="0" t="str">
        <f aca="false">IF($A135="","",IF(CK135&lt;&gt;"pass",BY135&amp;"",BY135&amp;", "&amp;IF(AT135="Y",BX135&amp;"",BK135&amp;"")&amp;BZ135&amp;IF(R135="Y","; known to the founder (+10)","")&amp;"."))</f>
        <v>New York City brand, no graded store within ten blocks, online store only, a new store listing 248 days ago, revenue unknown, no contact named; founder review: format, nutrient-claim.</v>
      </c>
      <c r="M135" s="0" t="s">
        <v>6144</v>
      </c>
      <c r="N135" s="0" t="s">
        <v>740</v>
      </c>
      <c r="O135" s="0" t="s">
        <v>8769</v>
      </c>
      <c r="P135" s="0" t="s">
        <v>8770</v>
      </c>
      <c r="Q135" s="0" t="s">
        <v>758</v>
      </c>
      <c r="R135" s="5" t="s">
        <v>189</v>
      </c>
      <c r="S135" s="0" t="s">
        <v>209</v>
      </c>
      <c r="T135" s="5" t="s">
        <v>189</v>
      </c>
      <c r="U135" s="5" t="s">
        <v>3896</v>
      </c>
      <c r="V135" s="0" t="s">
        <v>8771</v>
      </c>
      <c r="W135" s="0" t="s">
        <v>172</v>
      </c>
      <c r="X135" s="0" t="s">
        <v>5578</v>
      </c>
      <c r="Y135" s="0" t="str">
        <f aca="false">IF(FA135&lt;&gt;"Y","",COUNTIFS($FA$2:$FA$1000,"Y",$J$2:$J$1000,"&gt;"&amp;J135)+COUNTIFS($FA$2:$FA$1000,"Y",$J$2:$J$1000,J135,$FG$2:$FG$1000,"&lt;"&amp;FG135)+1)</f>
        <v/>
      </c>
      <c r="Z135" s="0" t="n">
        <v>134</v>
      </c>
      <c r="AA135" s="0" t="s">
        <v>189</v>
      </c>
      <c r="AB135" s="0" t="str">
        <f aca="false">IF($A135="","",IF(AT135="Y",BW135&amp;"",BJ135&amp;""))</f>
        <v>no person named on an opened page: not ready</v>
      </c>
      <c r="AC135" s="0" t="str">
        <f aca="false">IF($A135="","",IF(AT135="Y",BR135&amp;"",BE135&amp;""))</f>
        <v/>
      </c>
      <c r="AD135" s="0" t="str">
        <f aca="false">IF($A135="","",IF(AT135="Y",BS135&amp;"",BF135&amp;""))</f>
        <v>none</v>
      </c>
      <c r="AE135" s="0" t="str">
        <f aca="false">IF($A135="","",IF(AT135="Y",BT135&amp;"",BG135&amp;""))</f>
        <v/>
      </c>
      <c r="AF135" s="0" t="str">
        <f aca="false">IF($A135="","",IF(AT135="Y",BU135&amp;"",BH135&amp;""))</f>
        <v/>
      </c>
      <c r="AG135" s="0" t="str">
        <f aca="false">IF($A135="","",IF(AT135="Y",BV135&amp;"",BI135&amp;""))</f>
        <v/>
      </c>
      <c r="AH135" s="0" t="s">
        <v>8772</v>
      </c>
      <c r="AI135" s="0" t="s">
        <v>5630</v>
      </c>
      <c r="AJ135" s="0" t="s">
        <v>5631</v>
      </c>
      <c r="AK135" s="0" t="s">
        <v>8773</v>
      </c>
      <c r="AL135" s="0" t="s">
        <v>164</v>
      </c>
      <c r="AM135" s="0" t="s">
        <v>8774</v>
      </c>
      <c r="AN135" s="0" t="s">
        <v>8767</v>
      </c>
      <c r="AO135" s="5" t="s">
        <v>189</v>
      </c>
      <c r="AR135" s="0" t="str">
        <f aca="false">IF($A135="","",IF(AND(CK135="pass",AO135&lt;&gt;"Y",C135&lt;&gt;"",OR(AU135&lt;&gt;"Y",AV135="Y")),"Y","N"))</f>
        <v>N</v>
      </c>
      <c r="AS135" s="0" t="str">
        <f aca="false">IF($A135="","",_xlfn.TEXTJOIN("; ",TRUE(),IF(CK135&lt;&gt;"pass","gated out",""),IF(AO135="Y","on hold: "&amp;AP135,""),IF(C135="","no contact named on an opened page",""),IF(AND(AU135="Y",AV135&lt;&gt;"Y"),"founder review pending (Founder review tab)","")))</f>
        <v>no contact named on an opened page; founder review pending (Founder review tab)</v>
      </c>
      <c r="AU135" s="0" t="s">
        <v>164</v>
      </c>
      <c r="BC135" s="0" t="str">
        <f aca="false">IF($A135="","",IFERROR(INDEX(Enrichment!$A$2:$GZ$2000,MATCH($A135,INDEX(Enrichment!$A$2:$GZ$2000,0,MATCH("row_id",Enrichment!$A$1:$GZ$1,0)),0),MATCH("work_email",Enrichment!$A$1:$GZ$1,0))&amp;"",""))</f>
        <v/>
      </c>
      <c r="BD135" s="0" t="str">
        <f aca="false">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none</v>
      </c>
      <c r="BF135" s="0" t="s">
        <v>380</v>
      </c>
      <c r="BJ135" s="0" t="s">
        <v>7105</v>
      </c>
      <c r="BK135" s="0" t="s">
        <v>6048</v>
      </c>
      <c r="BP135" s="0" t="str">
        <f aca="false">IF($A135="","",IFERROR(INDEX(Enrichment!$A$2:$GZ$2000,MATCH($A135,INDEX(Enrichment!$A$2:$GZ$2000,0,MATCH("row_id",Enrichment!$A$1:$GZ$1,0)),0),MATCH("backup_work_email",Enrichment!$A$1:$GZ$1,0))&amp;"",""))</f>
        <v/>
      </c>
      <c r="BQ135" s="0" t="str">
        <f aca="false">IF($A135="","",IF(BP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none</v>
      </c>
      <c r="BS135" s="0" t="s">
        <v>380</v>
      </c>
      <c r="BW135" s="0" t="s">
        <v>387</v>
      </c>
      <c r="BX135" s="0" t="s">
        <v>388</v>
      </c>
      <c r="BY135" s="0" t="s">
        <v>8775</v>
      </c>
      <c r="BZ135" s="0" t="s">
        <v>7257</v>
      </c>
      <c r="CJ135" s="0" t="s">
        <v>7088</v>
      </c>
      <c r="CK135" s="0" t="s">
        <v>200</v>
      </c>
      <c r="CM135" s="0" t="s">
        <v>201</v>
      </c>
      <c r="CN135" s="0" t="s">
        <v>7260</v>
      </c>
      <c r="CO135" s="0" t="s">
        <v>8773</v>
      </c>
      <c r="CP135" s="0" t="s">
        <v>5608</v>
      </c>
      <c r="CQ135" s="0" t="s">
        <v>5609</v>
      </c>
      <c r="CR135" s="0" t="s">
        <v>209</v>
      </c>
      <c r="CT135" s="0" t="s">
        <v>164</v>
      </c>
      <c r="CU135" s="0" t="s">
        <v>8776</v>
      </c>
      <c r="CV135" s="0" t="s">
        <v>189</v>
      </c>
      <c r="CW135" s="0" t="s">
        <v>164</v>
      </c>
      <c r="CX135" s="0" t="s">
        <v>209</v>
      </c>
      <c r="CZ135" s="0" t="s">
        <v>5993</v>
      </c>
      <c r="DA135" s="0" t="s">
        <v>189</v>
      </c>
      <c r="DB135" s="0" t="s">
        <v>189</v>
      </c>
      <c r="DE135" s="0" t="s">
        <v>189</v>
      </c>
      <c r="DF135" s="0" t="n">
        <v>0</v>
      </c>
      <c r="DI135" s="0" t="s">
        <v>8777</v>
      </c>
      <c r="DK135" s="0" t="s">
        <v>5689</v>
      </c>
      <c r="DL135" s="0" t="n">
        <v>248</v>
      </c>
      <c r="DN135" s="0" t="n">
        <v>38</v>
      </c>
      <c r="DO135" s="0" t="n">
        <v>6</v>
      </c>
      <c r="DP135" s="0" t="n">
        <v>20</v>
      </c>
      <c r="DQ135" s="0" t="n">
        <v>4</v>
      </c>
      <c r="DR135" s="0" t="n">
        <v>5</v>
      </c>
      <c r="DS135" s="0" t="n">
        <v>7</v>
      </c>
      <c r="DT135" s="0" t="n">
        <v>0</v>
      </c>
      <c r="DU135" s="0" t="n">
        <f aca="false">IF($A135="","",IF(R135="Y",10,0))</f>
        <v>0</v>
      </c>
      <c r="DV135" s="0" t="n">
        <v>-4</v>
      </c>
      <c r="DW135" s="0" t="s">
        <v>8778</v>
      </c>
      <c r="DX135" s="0" t="s">
        <v>5998</v>
      </c>
      <c r="DY135" s="0" t="s">
        <v>8779</v>
      </c>
      <c r="DZ135" s="0" t="s">
        <v>8780</v>
      </c>
      <c r="EV135" s="0" t="str">
        <f aca="false">IF($A135="","",IF(ISNUMBER(MATCH(U135,{"queued","contacted","replied","call_booked","call_done","yes_in_principle","materials_sent"},0)),"Y","N"))</f>
        <v>N</v>
      </c>
      <c r="EW135" s="0" t="str">
        <f aca="false">IF($A135="","",IF(OR(T135="Y",U135="do_not_contact",AQ135&amp;""&lt;&gt;""),"Y","N"))</f>
        <v>N</v>
      </c>
      <c r="EX135" s="0" t="str">
        <f aca="false">IF($A135="","",IF(AN135&amp;""&lt;&gt;"",AN135&amp;"",$A135))</f>
        <v>AB-268</v>
      </c>
      <c r="EY135" s="0" t="str">
        <f aca="false">IF($A135="","",IF(COUNTIFS($EX$2:$EX$1000,EX135,$EV$2:$EV$1000,"Y")+COUNTIFS($EX$2:$EX$1000,EX135,$EW$2:$EW$1000,"Y")&gt;0,"Y","N"))</f>
        <v>N</v>
      </c>
      <c r="EZ135" s="0" t="str">
        <f aca="false">IF($A135="","",IF(AND(U135="new",T135="N",EW135="N",AR135="Y",EY135="N"),"Y","N"))</f>
        <v>N</v>
      </c>
      <c r="FA135" s="0" t="str">
        <f aca="false">IF($A135="","",IF(EZ135&lt;&gt;"Y","N",IF(COUNTIFS($EX$2:$EX$1000,EX135,$EZ$2:$EZ$1000,"Y",$J$2:$J$1000,"&gt;"&amp;J135)+COUNTIFS($EX$2:$EX$1000,EX135,$EZ$2:$EZ$1000,"Y",$J$2:$J$1000,J135,$FG$2:$FG$1000,"&lt;"&amp;FG135)=0,"Y","N")))</f>
        <v>N</v>
      </c>
      <c r="FB135" s="0" t="str">
        <f aca="false">IF($A135="","",IF(AND(EZ135="Y",FA135="Y",Y135&amp;""&lt;&gt;""),IF(Y135&lt;=10,"Y","N"),"N"))</f>
        <v>N</v>
      </c>
      <c r="FC135" s="0" t="str">
        <f aca="false">IF(FB135="Y",Y135,"")</f>
        <v/>
      </c>
      <c r="FD135" s="0" t="str">
        <f aca="false">IF($A135="","",IF(AND(CK135="pass",AU135="Y",AV135&lt;&gt;"Y",U135="new",EW135="N"),"Y","N"))</f>
        <v>Y</v>
      </c>
      <c r="FE135" s="0" t="str">
        <f aca="false">IF(FD135&lt;&gt;"Y","",IF(COUNTIFS($FD$2:$FD$1000,"Y",$J$2:$J$1000,"&gt;"&amp;J135)+COUNTIFS($FD$2:$FD$1000,"Y",$J$2:$J$1000,J135,$FG$2:$FG$1000,"&lt;"&amp;FG135)+1&lt;=30,COUNTIFS($FD$2:$FD$1000,"Y",$J$2:$J$1000,"&gt;"&amp;J135)+COUNTIFS($FD$2:$FD$1000,"Y",$J$2:$J$1000,J135,$FG$2:$FG$1000,"&lt;"&amp;FG135)+1,""))</f>
        <v/>
      </c>
      <c r="FF135" s="0" t="str">
        <f aca="false">IF(AND(_xlfn.ISFORMULA(C135),_xlfn.ISFORMULA(J135)),"Y","N")</f>
        <v>Y</v>
      </c>
      <c r="FG135" s="0" t="n">
        <f aca="false">ROW()-1</f>
        <v>134</v>
      </c>
    </row>
    <row r="136" customFormat="false" ht="15" hidden="false" customHeight="false" outlineLevel="0" collapsed="false">
      <c r="A136" s="0" t="s">
        <v>8781</v>
      </c>
      <c r="B136" s="0" t="s">
        <v>8782</v>
      </c>
      <c r="C136" s="0" t="str">
        <f aca="false">IF($A136="","",IF(AT136="Y",BL136&amp;"",AY136&amp;""))</f>
        <v/>
      </c>
      <c r="D136" s="0" t="str">
        <f aca="false">IF($A136="","",IF(AT136="Y",BM136&amp;"",AZ136&amp;""))</f>
        <v/>
      </c>
      <c r="E136" s="0" t="str">
        <f aca="false">IF($A136="","",IF(AT136="Y",BN136&amp;"",BA136&amp;""))</f>
        <v/>
      </c>
      <c r="F136" s="0" t="str">
        <f aca="false">IF($A136="","",IF(AT136="Y",BO136&amp;"",BB136&amp;""))</f>
        <v/>
      </c>
      <c r="G136" s="0" t="str">
        <f aca="false">IF($A136="","",IF(AT136="Y",BP136&amp;"",BC136&amp;""))</f>
        <v/>
      </c>
      <c r="H136" s="0" t="str">
        <f aca="false">IF($A136="","",IF(AT136="Y",BQ136&amp;"",BD136&amp;""))</f>
        <v>none</v>
      </c>
      <c r="I136" s="0" t="str">
        <f aca="false">IF($A136="","",IF(R136="Y","warm-intro",IF(H136="verified","email",IF(C136&lt;&gt;"","linkedin",CA136&amp;""))))</f>
        <v/>
      </c>
      <c r="J136" s="0" t="n">
        <f aca="false">IF($A136="","",IF(CK136="pass",ROUND(N(DO136)+N(DP136)+N(DQ136)+N(DR136)+N(DS136)+N(DT136)+N(DU136)+N(DV136),0),0))</f>
        <v>38</v>
      </c>
      <c r="K136" s="0" t="str">
        <f aca="false">IF($A136="","",IF(CK136&lt;&gt;"pass",BY136&amp;"",BY136&amp;", "&amp;IF(AT136="Y",BX136&amp;"",BK136&amp;"")&amp;BZ136&amp;IF(R136="Y","; known to the founder (+10)","")&amp;"."))</f>
        <v>New York City brand (HQ unverified), no graded store within ten blocks, online store only, a new store listing 243 days ago, revenue unknown, no contact named; founder review: other.</v>
      </c>
      <c r="M136" s="0" t="s">
        <v>6144</v>
      </c>
      <c r="N136" s="0" t="s">
        <v>740</v>
      </c>
      <c r="O136" s="0" t="s">
        <v>8783</v>
      </c>
      <c r="P136" s="0" t="s">
        <v>8784</v>
      </c>
      <c r="Q136" s="0" t="s">
        <v>8785</v>
      </c>
      <c r="R136" s="5" t="s">
        <v>189</v>
      </c>
      <c r="S136" s="0" t="s">
        <v>209</v>
      </c>
      <c r="T136" s="5" t="s">
        <v>189</v>
      </c>
      <c r="U136" s="5" t="s">
        <v>3896</v>
      </c>
      <c r="V136" s="0" t="s">
        <v>8786</v>
      </c>
      <c r="W136" s="0" t="s">
        <v>263</v>
      </c>
      <c r="X136" s="0" t="s">
        <v>5578</v>
      </c>
      <c r="Y136" s="0" t="str">
        <f aca="false">IF(FA136&lt;&gt;"Y","",COUNTIFS($FA$2:$FA$1000,"Y",$J$2:$J$1000,"&gt;"&amp;J136)+COUNTIFS($FA$2:$FA$1000,"Y",$J$2:$J$1000,J136,$FG$2:$FG$1000,"&lt;"&amp;FG136)+1)</f>
        <v/>
      </c>
      <c r="Z136" s="0" t="n">
        <v>135</v>
      </c>
      <c r="AA136" s="0" t="s">
        <v>189</v>
      </c>
      <c r="AB136" s="0" t="str">
        <f aca="false">IF($A136="","",IF(AT136="Y",BW136&amp;"",BJ136&amp;""))</f>
        <v>no person named on an opened page: not ready</v>
      </c>
      <c r="AC136" s="0" t="str">
        <f aca="false">IF($A136="","",IF(AT136="Y",BR136&amp;"",BE136&amp;""))</f>
        <v/>
      </c>
      <c r="AD136" s="0" t="str">
        <f aca="false">IF($A136="","",IF(AT136="Y",BS136&amp;"",BF136&amp;""))</f>
        <v>none</v>
      </c>
      <c r="AE136" s="0" t="str">
        <f aca="false">IF($A136="","",IF(AT136="Y",BT136&amp;"",BG136&amp;""))</f>
        <v/>
      </c>
      <c r="AF136" s="0" t="str">
        <f aca="false">IF($A136="","",IF(AT136="Y",BU136&amp;"",BH136&amp;""))</f>
        <v/>
      </c>
      <c r="AG136" s="0" t="str">
        <f aca="false">IF($A136="","",IF(AT136="Y",BV136&amp;"",BI136&amp;""))</f>
        <v/>
      </c>
      <c r="AH136" s="0" t="s">
        <v>8787</v>
      </c>
      <c r="AI136" s="0" t="s">
        <v>6532</v>
      </c>
      <c r="AJ136" s="0" t="s">
        <v>8788</v>
      </c>
      <c r="AK136" s="0" t="s">
        <v>8789</v>
      </c>
      <c r="AL136" s="0" t="s">
        <v>164</v>
      </c>
      <c r="AM136" s="0" t="s">
        <v>8790</v>
      </c>
      <c r="AN136" s="0" t="s">
        <v>8781</v>
      </c>
      <c r="AO136" s="5" t="s">
        <v>189</v>
      </c>
      <c r="AR136" s="0" t="str">
        <f aca="false">IF($A136="","",IF(AND(CK136="pass",AO136&lt;&gt;"Y",C136&lt;&gt;"",OR(AU136&lt;&gt;"Y",AV136="Y")),"Y","N"))</f>
        <v>N</v>
      </c>
      <c r="AS136" s="0" t="str">
        <f aca="false">IF($A136="","",_xlfn.TEXTJOIN("; ",TRUE(),IF(CK136&lt;&gt;"pass","gated out",""),IF(AO136="Y","on hold: "&amp;AP136,""),IF(C136="","no contact named on an opened page",""),IF(AND(AU136="Y",AV136&lt;&gt;"Y"),"founder review pending (Founder review tab)","")))</f>
        <v>no contact named on an opened page</v>
      </c>
      <c r="AU136" s="0" t="s">
        <v>189</v>
      </c>
      <c r="BC136" s="0" t="str">
        <f aca="false">IF($A136="","",IFERROR(INDEX(Enrichment!$A$2:$GZ$2000,MATCH($A136,INDEX(Enrichment!$A$2:$GZ$2000,0,MATCH("row_id",Enrichment!$A$1:$GZ$1,0)),0),MATCH("work_email",Enrichment!$A$1:$GZ$1,0))&amp;"",""))</f>
        <v/>
      </c>
      <c r="BD136" s="0" t="str">
        <f aca="false">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none</v>
      </c>
      <c r="BF136" s="0" t="s">
        <v>380</v>
      </c>
      <c r="BJ136" s="0" t="s">
        <v>7105</v>
      </c>
      <c r="BK136" s="0" t="s">
        <v>6048</v>
      </c>
      <c r="BP136" s="0" t="str">
        <f aca="false">IF($A136="","",IFERROR(INDEX(Enrichment!$A$2:$GZ$2000,MATCH($A136,INDEX(Enrichment!$A$2:$GZ$2000,0,MATCH("row_id",Enrichment!$A$1:$GZ$1,0)),0),MATCH("backup_work_email",Enrichment!$A$1:$GZ$1,0))&amp;"",""))</f>
        <v/>
      </c>
      <c r="BQ136" s="0" t="str">
        <f aca="false">IF($A136="","",IF(BP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none</v>
      </c>
      <c r="BS136" s="0" t="s">
        <v>380</v>
      </c>
      <c r="BW136" s="0" t="s">
        <v>387</v>
      </c>
      <c r="BX136" s="0" t="s">
        <v>388</v>
      </c>
      <c r="BY136" s="0" t="s">
        <v>8791</v>
      </c>
      <c r="BZ136" s="0" t="s">
        <v>5960</v>
      </c>
      <c r="CJ136" s="0" t="s">
        <v>7088</v>
      </c>
      <c r="CK136" s="0" t="s">
        <v>200</v>
      </c>
      <c r="CM136" s="0" t="s">
        <v>201</v>
      </c>
      <c r="CN136" s="0" t="s">
        <v>443</v>
      </c>
      <c r="CO136" s="0" t="s">
        <v>8789</v>
      </c>
      <c r="CP136" s="0" t="s">
        <v>209</v>
      </c>
      <c r="CQ136" s="0" t="s">
        <v>7189</v>
      </c>
      <c r="CR136" s="0" t="s">
        <v>209</v>
      </c>
      <c r="CT136" s="0" t="s">
        <v>352</v>
      </c>
      <c r="CU136" s="0" t="s">
        <v>8792</v>
      </c>
      <c r="CV136" s="0" t="s">
        <v>164</v>
      </c>
      <c r="CW136" s="0" t="s">
        <v>164</v>
      </c>
      <c r="CX136" s="0" t="s">
        <v>209</v>
      </c>
      <c r="CZ136" s="0" t="s">
        <v>209</v>
      </c>
      <c r="DA136" s="0" t="s">
        <v>189</v>
      </c>
      <c r="DB136" s="0" t="s">
        <v>189</v>
      </c>
      <c r="DE136" s="0" t="s">
        <v>189</v>
      </c>
      <c r="DF136" s="0" t="n">
        <v>0</v>
      </c>
      <c r="DJ136" s="0" t="s">
        <v>8793</v>
      </c>
      <c r="DK136" s="0" t="s">
        <v>5689</v>
      </c>
      <c r="DL136" s="0" t="n">
        <v>243</v>
      </c>
      <c r="DN136" s="0" t="n">
        <v>38</v>
      </c>
      <c r="DO136" s="0" t="n">
        <v>6</v>
      </c>
      <c r="DP136" s="0" t="n">
        <v>17</v>
      </c>
      <c r="DQ136" s="0" t="n">
        <v>4</v>
      </c>
      <c r="DR136" s="0" t="n">
        <v>5</v>
      </c>
      <c r="DS136" s="0" t="n">
        <v>8</v>
      </c>
      <c r="DT136" s="0" t="n">
        <v>0</v>
      </c>
      <c r="DU136" s="0" t="n">
        <f aca="false">IF($A136="","",IF(R136="Y",10,0))</f>
        <v>0</v>
      </c>
      <c r="DV136" s="0" t="n">
        <v>-2</v>
      </c>
      <c r="DW136" s="0" t="s">
        <v>8794</v>
      </c>
      <c r="DX136" s="0" t="s">
        <v>5691</v>
      </c>
      <c r="DY136" s="0" t="s">
        <v>8795</v>
      </c>
      <c r="DZ136" s="0" t="s">
        <v>8796</v>
      </c>
      <c r="EA136" s="0" t="s">
        <v>8797</v>
      </c>
      <c r="EV136" s="0" t="str">
        <f aca="false">IF($A136="","",IF(ISNUMBER(MATCH(U136,{"queued","contacted","replied","call_booked","call_done","yes_in_principle","materials_sent"},0)),"Y","N"))</f>
        <v>N</v>
      </c>
      <c r="EW136" s="0" t="str">
        <f aca="false">IF($A136="","",IF(OR(T136="Y",U136="do_not_contact",AQ136&amp;""&lt;&gt;""),"Y","N"))</f>
        <v>N</v>
      </c>
      <c r="EX136" s="0" t="str">
        <f aca="false">IF($A136="","",IF(AN136&amp;""&lt;&gt;"",AN136&amp;"",$A136))</f>
        <v>AB-093</v>
      </c>
      <c r="EY136" s="0" t="str">
        <f aca="false">IF($A136="","",IF(COUNTIFS($EX$2:$EX$1000,EX136,$EV$2:$EV$1000,"Y")+COUNTIFS($EX$2:$EX$1000,EX136,$EW$2:$EW$1000,"Y")&gt;0,"Y","N"))</f>
        <v>N</v>
      </c>
      <c r="EZ136" s="0" t="str">
        <f aca="false">IF($A136="","",IF(AND(U136="new",T136="N",EW136="N",AR136="Y",EY136="N"),"Y","N"))</f>
        <v>N</v>
      </c>
      <c r="FA136" s="0" t="str">
        <f aca="false">IF($A136="","",IF(EZ136&lt;&gt;"Y","N",IF(COUNTIFS($EX$2:$EX$1000,EX136,$EZ$2:$EZ$1000,"Y",$J$2:$J$1000,"&gt;"&amp;J136)+COUNTIFS($EX$2:$EX$1000,EX136,$EZ$2:$EZ$1000,"Y",$J$2:$J$1000,J136,$FG$2:$FG$1000,"&lt;"&amp;FG136)=0,"Y","N")))</f>
        <v>N</v>
      </c>
      <c r="FB136" s="0" t="str">
        <f aca="false">IF($A136="","",IF(AND(EZ136="Y",FA136="Y",Y136&amp;""&lt;&gt;""),IF(Y136&lt;=10,"Y","N"),"N"))</f>
        <v>N</v>
      </c>
      <c r="FC136" s="0" t="str">
        <f aca="false">IF(FB136="Y",Y136,"")</f>
        <v/>
      </c>
      <c r="FD136" s="0" t="str">
        <f aca="false">IF($A136="","",IF(AND(CK136="pass",AU136="Y",AV136&lt;&gt;"Y",U136="new",EW136="N"),"Y","N"))</f>
        <v>N</v>
      </c>
      <c r="FE136" s="0" t="str">
        <f aca="false">IF(FD136&lt;&gt;"Y","",IF(COUNTIFS($FD$2:$FD$1000,"Y",$J$2:$J$1000,"&gt;"&amp;J136)+COUNTIFS($FD$2:$FD$1000,"Y",$J$2:$J$1000,J136,$FG$2:$FG$1000,"&lt;"&amp;FG136)+1&lt;=30,COUNTIFS($FD$2:$FD$1000,"Y",$J$2:$J$1000,"&gt;"&amp;J136)+COUNTIFS($FD$2:$FD$1000,"Y",$J$2:$J$1000,J136,$FG$2:$FG$1000,"&lt;"&amp;FG136)+1,""))</f>
        <v/>
      </c>
      <c r="FF136" s="0" t="str">
        <f aca="false">IF(AND(_xlfn.ISFORMULA(C136),_xlfn.ISFORMULA(J136)),"Y","N")</f>
        <v>Y</v>
      </c>
      <c r="FG136" s="0" t="n">
        <f aca="false">ROW()-1</f>
        <v>135</v>
      </c>
    </row>
    <row r="137" customFormat="false" ht="15" hidden="false" customHeight="false" outlineLevel="0" collapsed="false">
      <c r="A137" s="0" t="s">
        <v>8798</v>
      </c>
      <c r="B137" s="0" t="s">
        <v>8799</v>
      </c>
      <c r="C137" s="0" t="str">
        <f aca="false">IF($A137="","",IF(AT137="Y",BL137&amp;"",AY137&amp;""))</f>
        <v>Chris</v>
      </c>
      <c r="D137" s="0" t="str">
        <f aca="false">IF($A137="","",IF(AT137="Y",BM137&amp;"",AZ137&amp;""))</f>
        <v>Taylor</v>
      </c>
      <c r="E137" s="0" t="str">
        <f aca="false">IF($A137="","",IF(AT137="Y",BN137&amp;"",BA137&amp;""))</f>
        <v>CEO</v>
      </c>
      <c r="F137" s="0" t="str">
        <f aca="false">IF($A137="","",IF(AT137="Y",BO137&amp;"",BB137&amp;""))</f>
        <v/>
      </c>
      <c r="G137" s="0" t="str">
        <f aca="false">IF($A137="","",IF(AT137="Y",BP137&amp;"",BC137&amp;""))</f>
        <v/>
      </c>
      <c r="H137" s="0" t="str">
        <f aca="false">IF($A137="","",IF(AT137="Y",BQ137&amp;"",BD137&amp;""))</f>
        <v>none</v>
      </c>
      <c r="I137" s="0" t="str">
        <f aca="false">IF($A137="","",IF(R137="Y","warm-intro",IF(H137="verified","email",IF(C137&lt;&gt;"","linkedin",CA137&amp;""))))</f>
        <v>linkedin</v>
      </c>
      <c r="J137" s="0" t="n">
        <f aca="false">IF($A137="","",IF(CK137="pass",ROUND(N(DO137)+N(DP137)+N(DQ137)+N(DR137)+N(DS137)+N(DT137)+N(DU137)+N(DV137),0),0))</f>
        <v>37</v>
      </c>
      <c r="K137" s="0" t="str">
        <f aca="false">IF($A137="","",IF(CK137&lt;&gt;"pass",BY137&amp;"",BY137&amp;", "&amp;IF(AT137="Y",BX137&amp;"",BK137&amp;"")&amp;BZ137&amp;IF(R137="Y","; known to the founder (+10)","")&amp;"."))</f>
        <v>New York City brand, no graded store within ten blocks, online store only, no dated why-now in the last 12 months, revenue unknown, contact named; founder review: not-emerging.</v>
      </c>
      <c r="M137" s="0" t="s">
        <v>6144</v>
      </c>
      <c r="N137" s="0" t="s">
        <v>740</v>
      </c>
      <c r="R137" s="5" t="s">
        <v>189</v>
      </c>
      <c r="S137" s="0" t="s">
        <v>209</v>
      </c>
      <c r="T137" s="5" t="s">
        <v>189</v>
      </c>
      <c r="U137" s="5" t="s">
        <v>3896</v>
      </c>
      <c r="V137" s="0" t="s">
        <v>8800</v>
      </c>
      <c r="W137" s="0" t="s">
        <v>263</v>
      </c>
      <c r="X137" s="0" t="s">
        <v>5578</v>
      </c>
      <c r="Y137" s="0" t="str">
        <f aca="false">IF(FA137&lt;&gt;"Y","",COUNTIFS($FA$2:$FA$1000,"Y",$J$2:$J$1000,"&gt;"&amp;J137)+COUNTIFS($FA$2:$FA$1000,"Y",$J$2:$J$1000,J137,$FG$2:$FG$1000,"&lt;"&amp;FG137)+1)</f>
        <v/>
      </c>
      <c r="Z137" s="0" t="n">
        <v>136</v>
      </c>
      <c r="AA137" s="0" t="s">
        <v>189</v>
      </c>
      <c r="AB137" s="0" t="str">
        <f aca="false">IF($A137="","",IF(AT137="Y",BW137&amp;"",BJ137&amp;""))</f>
        <v>find Chris Taylor at Boylan Bottling on LinkedIn and paste the profile URL into primary_linkedin_url</v>
      </c>
      <c r="AC137" s="0" t="str">
        <f aca="false">IF($A137="","",IF(AT137="Y",BR137&amp;"",BE137&amp;""))</f>
        <v>founder</v>
      </c>
      <c r="AD137" s="0" t="str">
        <f aca="false">IF($A137="","",IF(AT137="Y",BS137&amp;"",BF137&amp;""))</f>
        <v>verified-page</v>
      </c>
      <c r="AE137" s="0" t="str">
        <f aca="false">IF($A137="","",IF(AT137="Y",BT137&amp;"",BG137&amp;""))</f>
        <v>unknown</v>
      </c>
      <c r="AF137" s="0" t="str">
        <f aca="false">IF($A137="","",IF(AT137="Y",BU137&amp;"",BH137&amp;""))</f>
        <v/>
      </c>
      <c r="AG137" s="0" t="str">
        <f aca="false">IF($A137="","",IF(AT137="Y",BV137&amp;"",BI137&amp;""))</f>
        <v>2026-10-23</v>
      </c>
      <c r="AH137" s="0" t="s">
        <v>8801</v>
      </c>
      <c r="AI137" s="0" t="s">
        <v>5580</v>
      </c>
      <c r="AJ137" s="0" t="s">
        <v>259</v>
      </c>
      <c r="AK137" s="0" t="s">
        <v>8800</v>
      </c>
      <c r="AL137" s="0" t="s">
        <v>164</v>
      </c>
      <c r="AM137" s="0" t="s">
        <v>8802</v>
      </c>
      <c r="AN137" s="0" t="s">
        <v>8798</v>
      </c>
      <c r="AO137" s="5" t="s">
        <v>189</v>
      </c>
      <c r="AR137" s="0" t="str">
        <f aca="false">IF($A137="","",IF(AND(CK137="pass",AO137&lt;&gt;"Y",C137&lt;&gt;"",OR(AU137&lt;&gt;"Y",AV137="Y")),"Y","N"))</f>
        <v>N</v>
      </c>
      <c r="AS137" s="0" t="str">
        <f aca="false">IF($A137="","",_xlfn.TEXTJOIN("; ",TRUE(),IF(CK137&lt;&gt;"pass","gated out",""),IF(AO137="Y","on hold: "&amp;AP137,""),IF(C137="","no contact named on an opened page",""),IF(AND(AU137="Y",AV137&lt;&gt;"Y"),"founder review pending (Founder review tab)","")))</f>
        <v>founder review pending (Founder review tab)</v>
      </c>
      <c r="AU137" s="0" t="s">
        <v>164</v>
      </c>
      <c r="AY137" s="0" t="s">
        <v>5951</v>
      </c>
      <c r="AZ137" s="0" t="s">
        <v>1210</v>
      </c>
      <c r="BA137" s="0" t="s">
        <v>6182</v>
      </c>
      <c r="BC137" s="0" t="str">
        <f aca="false">IF($A137="","",IFERROR(INDEX(Enrichment!$A$2:$GZ$2000,MATCH($A137,INDEX(Enrichment!$A$2:$GZ$2000,0,MATCH("row_id",Enrichment!$A$1:$GZ$1,0)),0),MATCH("work_email",Enrichment!$A$1:$GZ$1,0))&amp;"",""))</f>
        <v/>
      </c>
      <c r="BD137" s="0" t="str">
        <f aca="false">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none</v>
      </c>
      <c r="BE137" s="0" t="s">
        <v>5589</v>
      </c>
      <c r="BF137" s="0" t="s">
        <v>169</v>
      </c>
      <c r="BG137" s="0" t="s">
        <v>209</v>
      </c>
      <c r="BI137" s="0" t="s">
        <v>263</v>
      </c>
      <c r="BJ137" s="0" t="s">
        <v>8803</v>
      </c>
      <c r="BK137" s="0" t="s">
        <v>5643</v>
      </c>
      <c r="BP137" s="0" t="str">
        <f aca="false">IF($A137="","",IFERROR(INDEX(Enrichment!$A$2:$GZ$2000,MATCH($A137,INDEX(Enrichment!$A$2:$GZ$2000,0,MATCH("row_id",Enrichment!$A$1:$GZ$1,0)),0),MATCH("backup_work_email",Enrichment!$A$1:$GZ$1,0))&amp;"",""))</f>
        <v/>
      </c>
      <c r="BQ137" s="0" t="str">
        <f aca="false">IF($A137="","",IF(BP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none</v>
      </c>
      <c r="BS137" s="0" t="s">
        <v>380</v>
      </c>
      <c r="BW137" s="0" t="s">
        <v>387</v>
      </c>
      <c r="BX137" s="0" t="s">
        <v>388</v>
      </c>
      <c r="BY137" s="0" t="s">
        <v>7496</v>
      </c>
      <c r="BZ137" s="0" t="s">
        <v>6822</v>
      </c>
      <c r="CB137" s="0" t="s">
        <v>8804</v>
      </c>
      <c r="CJ137" s="0" t="s">
        <v>7088</v>
      </c>
      <c r="CK137" s="0" t="s">
        <v>200</v>
      </c>
      <c r="CM137" s="0" t="s">
        <v>201</v>
      </c>
      <c r="CN137" s="0" t="s">
        <v>6827</v>
      </c>
      <c r="CO137" s="0" t="s">
        <v>8800</v>
      </c>
      <c r="CP137" s="0" t="s">
        <v>5608</v>
      </c>
      <c r="CQ137" s="0" t="s">
        <v>5609</v>
      </c>
      <c r="CR137" s="0" t="s">
        <v>8805</v>
      </c>
      <c r="CT137" s="0" t="s">
        <v>164</v>
      </c>
      <c r="CU137" s="0" t="s">
        <v>8806</v>
      </c>
      <c r="CV137" s="0" t="s">
        <v>164</v>
      </c>
      <c r="CW137" s="0" t="s">
        <v>164</v>
      </c>
      <c r="CX137" s="0" t="s">
        <v>209</v>
      </c>
      <c r="CZ137" s="0" t="s">
        <v>6456</v>
      </c>
      <c r="DA137" s="0" t="s">
        <v>189</v>
      </c>
      <c r="DB137" s="0" t="s">
        <v>189</v>
      </c>
      <c r="DE137" s="0" t="s">
        <v>189</v>
      </c>
      <c r="DF137" s="0" t="n">
        <v>0</v>
      </c>
      <c r="DI137" s="0" t="s">
        <v>8807</v>
      </c>
      <c r="DK137" s="0" t="s">
        <v>380</v>
      </c>
      <c r="DN137" s="0" t="n">
        <v>37</v>
      </c>
      <c r="DO137" s="0" t="n">
        <v>6</v>
      </c>
      <c r="DP137" s="0" t="n">
        <v>20</v>
      </c>
      <c r="DQ137" s="0" t="n">
        <v>0</v>
      </c>
      <c r="DR137" s="0" t="n">
        <v>5</v>
      </c>
      <c r="DS137" s="0" t="n">
        <v>10</v>
      </c>
      <c r="DT137" s="0" t="n">
        <v>6</v>
      </c>
      <c r="DU137" s="0" t="n">
        <f aca="false">IF($A137="","",IF(R137="Y",10,0))</f>
        <v>0</v>
      </c>
      <c r="DV137" s="0" t="n">
        <v>-10</v>
      </c>
      <c r="DW137" s="0" t="s">
        <v>8808</v>
      </c>
      <c r="DX137" s="0" t="s">
        <v>6462</v>
      </c>
      <c r="DY137" s="0" t="s">
        <v>8809</v>
      </c>
      <c r="DZ137" s="0" t="s">
        <v>8810</v>
      </c>
      <c r="EA137" s="0" t="s">
        <v>8811</v>
      </c>
      <c r="EV137" s="0" t="str">
        <f aca="false">IF($A137="","",IF(ISNUMBER(MATCH(U137,{"queued","contacted","replied","call_booked","call_done","yes_in_principle","materials_sent"},0)),"Y","N"))</f>
        <v>N</v>
      </c>
      <c r="EW137" s="0" t="str">
        <f aca="false">IF($A137="","",IF(OR(T137="Y",U137="do_not_contact",AQ137&amp;""&lt;&gt;""),"Y","N"))</f>
        <v>N</v>
      </c>
      <c r="EX137" s="0" t="str">
        <f aca="false">IF($A137="","",IF(AN137&amp;""&lt;&gt;"",AN137&amp;"",$A137))</f>
        <v>AB-135</v>
      </c>
      <c r="EY137" s="0" t="str">
        <f aca="false">IF($A137="","",IF(COUNTIFS($EX$2:$EX$1000,EX137,$EV$2:$EV$1000,"Y")+COUNTIFS($EX$2:$EX$1000,EX137,$EW$2:$EW$1000,"Y")&gt;0,"Y","N"))</f>
        <v>N</v>
      </c>
      <c r="EZ137" s="0" t="str">
        <f aca="false">IF($A137="","",IF(AND(U137="new",T137="N",EW137="N",AR137="Y",EY137="N"),"Y","N"))</f>
        <v>N</v>
      </c>
      <c r="FA137" s="0" t="str">
        <f aca="false">IF($A137="","",IF(EZ137&lt;&gt;"Y","N",IF(COUNTIFS($EX$2:$EX$1000,EX137,$EZ$2:$EZ$1000,"Y",$J$2:$J$1000,"&gt;"&amp;J137)+COUNTIFS($EX$2:$EX$1000,EX137,$EZ$2:$EZ$1000,"Y",$J$2:$J$1000,J137,$FG$2:$FG$1000,"&lt;"&amp;FG137)=0,"Y","N")))</f>
        <v>N</v>
      </c>
      <c r="FB137" s="0" t="str">
        <f aca="false">IF($A137="","",IF(AND(EZ137="Y",FA137="Y",Y137&amp;""&lt;&gt;""),IF(Y137&lt;=10,"Y","N"),"N"))</f>
        <v>N</v>
      </c>
      <c r="FC137" s="0" t="str">
        <f aca="false">IF(FB137="Y",Y137,"")</f>
        <v/>
      </c>
      <c r="FD137" s="0" t="str">
        <f aca="false">IF($A137="","",IF(AND(CK137="pass",AU137="Y",AV137&lt;&gt;"Y",U137="new",EW137="N"),"Y","N"))</f>
        <v>Y</v>
      </c>
      <c r="FE137" s="0" t="str">
        <f aca="false">IF(FD137&lt;&gt;"Y","",IF(COUNTIFS($FD$2:$FD$1000,"Y",$J$2:$J$1000,"&gt;"&amp;J137)+COUNTIFS($FD$2:$FD$1000,"Y",$J$2:$J$1000,J137,$FG$2:$FG$1000,"&lt;"&amp;FG137)+1&lt;=30,COUNTIFS($FD$2:$FD$1000,"Y",$J$2:$J$1000,"&gt;"&amp;J137)+COUNTIFS($FD$2:$FD$1000,"Y",$J$2:$J$1000,J137,$FG$2:$FG$1000,"&lt;"&amp;FG137)+1,""))</f>
        <v/>
      </c>
      <c r="FF137" s="0" t="str">
        <f aca="false">IF(AND(_xlfn.ISFORMULA(C137),_xlfn.ISFORMULA(J137)),"Y","N")</f>
        <v>Y</v>
      </c>
      <c r="FG137" s="0" t="n">
        <f aca="false">ROW()-1</f>
        <v>136</v>
      </c>
    </row>
    <row r="138" customFormat="false" ht="15" hidden="false" customHeight="false" outlineLevel="0" collapsed="false">
      <c r="A138" s="0" t="s">
        <v>8812</v>
      </c>
      <c r="B138" s="0" t="s">
        <v>8813</v>
      </c>
      <c r="C138" s="0" t="str">
        <f aca="false">IF($A138="","",IF(AT138="Y",BL138&amp;"",AY138&amp;""))</f>
        <v>Eric</v>
      </c>
      <c r="D138" s="0" t="str">
        <f aca="false">IF($A138="","",IF(AT138="Y",BM138&amp;"",AZ138&amp;""))</f>
        <v>Hoang</v>
      </c>
      <c r="E138" s="0" t="str">
        <f aca="false">IF($A138="","",IF(AT138="Y",BN138&amp;"",BA138&amp;""))</f>
        <v>Co-founder</v>
      </c>
      <c r="F138" s="0" t="str">
        <f aca="false">IF($A138="","",IF(AT138="Y",BO138&amp;"",BB138&amp;""))</f>
        <v/>
      </c>
      <c r="G138" s="0" t="str">
        <f aca="false">IF($A138="","",IF(AT138="Y",BP138&amp;"",BC138&amp;""))</f>
        <v/>
      </c>
      <c r="H138" s="0" t="str">
        <f aca="false">IF($A138="","",IF(AT138="Y",BQ138&amp;"",BD138&amp;""))</f>
        <v>none</v>
      </c>
      <c r="I138" s="0" t="str">
        <f aca="false">IF($A138="","",IF(R138="Y","warm-intro",IF(H138="verified","email",IF(C138&lt;&gt;"","linkedin",CA138&amp;""))))</f>
        <v>linkedin</v>
      </c>
      <c r="J138" s="0" t="n">
        <f aca="false">IF($A138="","",IF(CK138="pass",ROUND(N(DO138)+N(DP138)+N(DQ138)+N(DR138)+N(DS138)+N(DT138)+N(DU138)+N(DV138),0),0))</f>
        <v>37</v>
      </c>
      <c r="K138" s="0" t="str">
        <f aca="false">IF($A138="","",IF(CK138&lt;&gt;"pass",BY138&amp;"",BY138&amp;", "&amp;IF(AT138="Y",BX138&amp;"",BK138&amp;"")&amp;BZ138&amp;IF(R138="Y","; known to the founder (+10)","")&amp;"."))</f>
        <v>New York City brand (HQ unverified), no graded store within ten blocks, online store only, no dated why-now in the last 12 months, revenue unknown, contact named; founder review: claim-functional, nutrient-claim.</v>
      </c>
      <c r="M138" s="0" t="s">
        <v>6144</v>
      </c>
      <c r="N138" s="0" t="s">
        <v>740</v>
      </c>
      <c r="R138" s="5" t="s">
        <v>189</v>
      </c>
      <c r="S138" s="0" t="s">
        <v>164</v>
      </c>
      <c r="T138" s="5" t="s">
        <v>189</v>
      </c>
      <c r="U138" s="5" t="s">
        <v>3896</v>
      </c>
      <c r="V138" s="0" t="s">
        <v>8814</v>
      </c>
      <c r="W138" s="0" t="s">
        <v>263</v>
      </c>
      <c r="X138" s="0" t="s">
        <v>5578</v>
      </c>
      <c r="Y138" s="0" t="str">
        <f aca="false">IF(FA138&lt;&gt;"Y","",COUNTIFS($FA$2:$FA$1000,"Y",$J$2:$J$1000,"&gt;"&amp;J138)+COUNTIFS($FA$2:$FA$1000,"Y",$J$2:$J$1000,J138,$FG$2:$FG$1000,"&lt;"&amp;FG138)+1)</f>
        <v/>
      </c>
      <c r="Z138" s="0" t="n">
        <v>137</v>
      </c>
      <c r="AA138" s="0" t="s">
        <v>189</v>
      </c>
      <c r="AB138" s="0" t="str">
        <f aca="false">IF($A138="","",IF(AT138="Y",BW138&amp;"",BJ138&amp;""))</f>
        <v>find Eric Hoang at Yaté Yerba Mate on LinkedIn and paste the profile URL into primary_linkedin_url</v>
      </c>
      <c r="AC138" s="0" t="str">
        <f aca="false">IF($A138="","",IF(AT138="Y",BR138&amp;"",BE138&amp;""))</f>
        <v>founder</v>
      </c>
      <c r="AD138" s="0" t="str">
        <f aca="false">IF($A138="","",IF(AT138="Y",BS138&amp;"",BF138&amp;""))</f>
        <v>verified-page</v>
      </c>
      <c r="AE138" s="0" t="str">
        <f aca="false">IF($A138="","",IF(AT138="Y",BT138&amp;"",BG138&amp;""))</f>
        <v>press, event or podcast page</v>
      </c>
      <c r="AF138" s="0" t="str">
        <f aca="false">IF($A138="","",IF(AT138="Y",BU138&amp;"",BH138&amp;""))</f>
        <v>https://firebellymarketing.com/podcast/eric-hoang/</v>
      </c>
      <c r="AG138" s="0" t="str">
        <f aca="false">IF($A138="","",IF(AT138="Y",BV138&amp;"",BI138&amp;""))</f>
        <v>2026-10-23</v>
      </c>
      <c r="AH138" s="0" t="s">
        <v>8815</v>
      </c>
      <c r="AI138" s="0" t="s">
        <v>5580</v>
      </c>
      <c r="AJ138" s="0" t="s">
        <v>8816</v>
      </c>
      <c r="AK138" s="0" t="s">
        <v>8817</v>
      </c>
      <c r="AL138" s="0" t="s">
        <v>164</v>
      </c>
      <c r="AM138" s="0" t="s">
        <v>8818</v>
      </c>
      <c r="AN138" s="0" t="s">
        <v>8812</v>
      </c>
      <c r="AO138" s="5" t="s">
        <v>189</v>
      </c>
      <c r="AR138" s="0" t="str">
        <f aca="false">IF($A138="","",IF(AND(CK138="pass",AO138&lt;&gt;"Y",C138&lt;&gt;"",OR(AU138&lt;&gt;"Y",AV138="Y")),"Y","N"))</f>
        <v>N</v>
      </c>
      <c r="AS138" s="0" t="str">
        <f aca="false">IF($A138="","",_xlfn.TEXTJOIN("; ",TRUE(),IF(CK138&lt;&gt;"pass","gated out",""),IF(AO138="Y","on hold: "&amp;AP138,""),IF(C138="","no contact named on an opened page",""),IF(AND(AU138="Y",AV138&lt;&gt;"Y"),"founder review pending (Founder review tab)","")))</f>
        <v>founder review pending (Founder review tab)</v>
      </c>
      <c r="AU138" s="0" t="s">
        <v>164</v>
      </c>
      <c r="AY138" s="0" t="s">
        <v>8819</v>
      </c>
      <c r="AZ138" s="0" t="s">
        <v>8820</v>
      </c>
      <c r="BA138" s="0" t="s">
        <v>5636</v>
      </c>
      <c r="BC138" s="0" t="str">
        <f aca="false">IF($A138="","",IFERROR(INDEX(Enrichment!$A$2:$GZ$2000,MATCH($A138,INDEX(Enrichment!$A$2:$GZ$2000,0,MATCH("row_id",Enrichment!$A$1:$GZ$1,0)),0),MATCH("work_email",Enrichment!$A$1:$GZ$1,0))&amp;"",""))</f>
        <v/>
      </c>
      <c r="BD138" s="0" t="str">
        <f aca="false">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none</v>
      </c>
      <c r="BE138" s="0" t="s">
        <v>5589</v>
      </c>
      <c r="BF138" s="0" t="s">
        <v>169</v>
      </c>
      <c r="BG138" s="0" t="s">
        <v>1252</v>
      </c>
      <c r="BH138" s="0" t="s">
        <v>8821</v>
      </c>
      <c r="BI138" s="0" t="s">
        <v>263</v>
      </c>
      <c r="BJ138" s="0" t="s">
        <v>8822</v>
      </c>
      <c r="BK138" s="0" t="s">
        <v>5643</v>
      </c>
      <c r="BP138" s="0" t="str">
        <f aca="false">IF($A138="","",IFERROR(INDEX(Enrichment!$A$2:$GZ$2000,MATCH($A138,INDEX(Enrichment!$A$2:$GZ$2000,0,MATCH("row_id",Enrichment!$A$1:$GZ$1,0)),0),MATCH("backup_work_email",Enrichment!$A$1:$GZ$1,0))&amp;"",""))</f>
        <v/>
      </c>
      <c r="BQ138" s="0" t="str">
        <f aca="false">IF($A138="","",IF(BP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none</v>
      </c>
      <c r="BS138" s="0" t="s">
        <v>380</v>
      </c>
      <c r="BW138" s="0" t="s">
        <v>387</v>
      </c>
      <c r="BX138" s="0" t="s">
        <v>388</v>
      </c>
      <c r="BY138" s="0" t="s">
        <v>8823</v>
      </c>
      <c r="BZ138" s="0" t="s">
        <v>6050</v>
      </c>
      <c r="CB138" s="0" t="s">
        <v>8824</v>
      </c>
      <c r="CJ138" s="0" t="s">
        <v>7088</v>
      </c>
      <c r="CK138" s="0" t="s">
        <v>200</v>
      </c>
      <c r="CM138" s="0" t="s">
        <v>201</v>
      </c>
      <c r="CN138" s="0" t="s">
        <v>6051</v>
      </c>
      <c r="CO138" s="0" t="s">
        <v>8817</v>
      </c>
      <c r="CP138" s="0" t="s">
        <v>5608</v>
      </c>
      <c r="CQ138" s="0" t="s">
        <v>7189</v>
      </c>
      <c r="CR138" s="0" t="s">
        <v>209</v>
      </c>
      <c r="CT138" s="0" t="s">
        <v>209</v>
      </c>
      <c r="CU138" s="0" t="s">
        <v>8825</v>
      </c>
      <c r="CV138" s="0" t="s">
        <v>164</v>
      </c>
      <c r="CW138" s="0" t="s">
        <v>164</v>
      </c>
      <c r="CX138" s="0" t="s">
        <v>209</v>
      </c>
      <c r="CZ138" s="0" t="s">
        <v>209</v>
      </c>
      <c r="DA138" s="0" t="s">
        <v>189</v>
      </c>
      <c r="DB138" s="0" t="s">
        <v>189</v>
      </c>
      <c r="DE138" s="0" t="s">
        <v>189</v>
      </c>
      <c r="DF138" s="0" t="n">
        <v>0</v>
      </c>
      <c r="DI138" s="0" t="s">
        <v>8826</v>
      </c>
      <c r="DJ138" s="0" t="s">
        <v>8827</v>
      </c>
      <c r="DK138" s="0" t="s">
        <v>380</v>
      </c>
      <c r="DM138" s="0" t="s">
        <v>8827</v>
      </c>
      <c r="DN138" s="0" t="n">
        <v>37</v>
      </c>
      <c r="DO138" s="0" t="n">
        <v>6</v>
      </c>
      <c r="DP138" s="0" t="n">
        <v>17</v>
      </c>
      <c r="DQ138" s="0" t="n">
        <v>0</v>
      </c>
      <c r="DR138" s="0" t="n">
        <v>5</v>
      </c>
      <c r="DS138" s="0" t="n">
        <v>7</v>
      </c>
      <c r="DT138" s="0" t="n">
        <v>6</v>
      </c>
      <c r="DU138" s="0" t="n">
        <f aca="false">IF($A138="","",IF(R138="Y",10,0))</f>
        <v>0</v>
      </c>
      <c r="DV138" s="0" t="n">
        <v>-4</v>
      </c>
      <c r="DX138" s="0" t="s">
        <v>5619</v>
      </c>
      <c r="DY138" s="0" t="s">
        <v>8828</v>
      </c>
      <c r="DZ138" s="0" t="s">
        <v>8829</v>
      </c>
      <c r="EA138" s="0" t="s">
        <v>8830</v>
      </c>
      <c r="EV138" s="0" t="str">
        <f aca="false">IF($A138="","",IF(ISNUMBER(MATCH(U138,{"queued","contacted","replied","call_booked","call_done","yes_in_principle","materials_sent"},0)),"Y","N"))</f>
        <v>N</v>
      </c>
      <c r="EW138" s="0" t="str">
        <f aca="false">IF($A138="","",IF(OR(T138="Y",U138="do_not_contact",AQ138&amp;""&lt;&gt;""),"Y","N"))</f>
        <v>N</v>
      </c>
      <c r="EX138" s="0" t="str">
        <f aca="false">IF($A138="","",IF(AN138&amp;""&lt;&gt;"",AN138&amp;"",$A138))</f>
        <v>AB-265</v>
      </c>
      <c r="EY138" s="0" t="str">
        <f aca="false">IF($A138="","",IF(COUNTIFS($EX$2:$EX$1000,EX138,$EV$2:$EV$1000,"Y")+COUNTIFS($EX$2:$EX$1000,EX138,$EW$2:$EW$1000,"Y")&gt;0,"Y","N"))</f>
        <v>N</v>
      </c>
      <c r="EZ138" s="0" t="str">
        <f aca="false">IF($A138="","",IF(AND(U138="new",T138="N",EW138="N",AR138="Y",EY138="N"),"Y","N"))</f>
        <v>N</v>
      </c>
      <c r="FA138" s="0" t="str">
        <f aca="false">IF($A138="","",IF(EZ138&lt;&gt;"Y","N",IF(COUNTIFS($EX$2:$EX$1000,EX138,$EZ$2:$EZ$1000,"Y",$J$2:$J$1000,"&gt;"&amp;J138)+COUNTIFS($EX$2:$EX$1000,EX138,$EZ$2:$EZ$1000,"Y",$J$2:$J$1000,J138,$FG$2:$FG$1000,"&lt;"&amp;FG138)=0,"Y","N")))</f>
        <v>N</v>
      </c>
      <c r="FB138" s="0" t="str">
        <f aca="false">IF($A138="","",IF(AND(EZ138="Y",FA138="Y",Y138&amp;""&lt;&gt;""),IF(Y138&lt;=10,"Y","N"),"N"))</f>
        <v>N</v>
      </c>
      <c r="FC138" s="0" t="str">
        <f aca="false">IF(FB138="Y",Y138,"")</f>
        <v/>
      </c>
      <c r="FD138" s="0" t="str">
        <f aca="false">IF($A138="","",IF(AND(CK138="pass",AU138="Y",AV138&lt;&gt;"Y",U138="new",EW138="N"),"Y","N"))</f>
        <v>Y</v>
      </c>
      <c r="FE138" s="0" t="str">
        <f aca="false">IF(FD138&lt;&gt;"Y","",IF(COUNTIFS($FD$2:$FD$1000,"Y",$J$2:$J$1000,"&gt;"&amp;J138)+COUNTIFS($FD$2:$FD$1000,"Y",$J$2:$J$1000,J138,$FG$2:$FG$1000,"&lt;"&amp;FG138)+1&lt;=30,COUNTIFS($FD$2:$FD$1000,"Y",$J$2:$J$1000,"&gt;"&amp;J138)+COUNTIFS($FD$2:$FD$1000,"Y",$J$2:$J$1000,J138,$FG$2:$FG$1000,"&lt;"&amp;FG138)+1,""))</f>
        <v/>
      </c>
      <c r="FF138" s="0" t="str">
        <f aca="false">IF(AND(_xlfn.ISFORMULA(C138),_xlfn.ISFORMULA(J138)),"Y","N")</f>
        <v>Y</v>
      </c>
      <c r="FG138" s="0" t="n">
        <f aca="false">ROW()-1</f>
        <v>137</v>
      </c>
    </row>
    <row r="139" customFormat="false" ht="15" hidden="false" customHeight="false" outlineLevel="0" collapsed="false">
      <c r="A139" s="0" t="s">
        <v>8831</v>
      </c>
      <c r="B139" s="0" t="s">
        <v>8832</v>
      </c>
      <c r="C139" s="0" t="str">
        <f aca="false">IF($A139="","",IF(AT139="Y",BL139&amp;"",AY139&amp;""))</f>
        <v/>
      </c>
      <c r="D139" s="0" t="str">
        <f aca="false">IF($A139="","",IF(AT139="Y",BM139&amp;"",AZ139&amp;""))</f>
        <v/>
      </c>
      <c r="E139" s="0" t="str">
        <f aca="false">IF($A139="","",IF(AT139="Y",BN139&amp;"",BA139&amp;""))</f>
        <v/>
      </c>
      <c r="F139" s="0" t="str">
        <f aca="false">IF($A139="","",IF(AT139="Y",BO139&amp;"",BB139&amp;""))</f>
        <v/>
      </c>
      <c r="G139" s="0" t="str">
        <f aca="false">IF($A139="","",IF(AT139="Y",BP139&amp;"",BC139&amp;""))</f>
        <v/>
      </c>
      <c r="H139" s="0" t="str">
        <f aca="false">IF($A139="","",IF(AT139="Y",BQ139&amp;"",BD139&amp;""))</f>
        <v>none</v>
      </c>
      <c r="I139" s="0" t="str">
        <f aca="false">IF($A139="","",IF(R139="Y","warm-intro",IF(H139="verified","email",IF(C139&lt;&gt;"","linkedin",CA139&amp;""))))</f>
        <v/>
      </c>
      <c r="J139" s="0" t="n">
        <f aca="false">IF($A139="","",IF(CK139="pass",ROUND(N(DO139)+N(DP139)+N(DQ139)+N(DR139)+N(DS139)+N(DT139)+N(DU139)+N(DV139),0),0))</f>
        <v>37</v>
      </c>
      <c r="K139" s="0" t="str">
        <f aca="false">IF($A139="","",IF(CK139&lt;&gt;"pass",BY139&amp;"",BY139&amp;", "&amp;IF(AT139="Y",BX139&amp;"",BK139&amp;"")&amp;BZ139&amp;IF(R139="Y","; known to the founder (+10)","")&amp;"."))</f>
        <v>Brand based outside the Northeast (HQ unverified), no graded store within ten blocks, online store only, news 79 days ago, revenue unknown, contact seen only in a snippet; founder review: other.</v>
      </c>
      <c r="M139" s="0" t="s">
        <v>6144</v>
      </c>
      <c r="N139" s="0" t="s">
        <v>740</v>
      </c>
      <c r="O139" s="0" t="s">
        <v>8833</v>
      </c>
      <c r="P139" s="0" t="s">
        <v>6470</v>
      </c>
      <c r="Q139" s="0" t="s">
        <v>4090</v>
      </c>
      <c r="R139" s="5" t="s">
        <v>189</v>
      </c>
      <c r="S139" s="0" t="s">
        <v>164</v>
      </c>
      <c r="T139" s="5" t="s">
        <v>189</v>
      </c>
      <c r="U139" s="5" t="s">
        <v>3896</v>
      </c>
      <c r="V139" s="0" t="s">
        <v>8834</v>
      </c>
      <c r="W139" s="0" t="s">
        <v>263</v>
      </c>
      <c r="X139" s="0" t="s">
        <v>5578</v>
      </c>
      <c r="Y139" s="0" t="str">
        <f aca="false">IF(FA139&lt;&gt;"Y","",COUNTIFS($FA$2:$FA$1000,"Y",$J$2:$J$1000,"&gt;"&amp;J139)+COUNTIFS($FA$2:$FA$1000,"Y",$J$2:$J$1000,J139,$FG$2:$FG$1000,"&lt;"&amp;FG139)+1)</f>
        <v/>
      </c>
      <c r="Z139" s="0" t="n">
        <v>138</v>
      </c>
      <c r="AA139" s="0" t="s">
        <v>189</v>
      </c>
      <c r="AB139" s="0" t="str">
        <f aca="false">IF($A139="","",IF(AT139="Y",BW139&amp;"",BJ139&amp;""))</f>
        <v>no person named on an opened page: not ready</v>
      </c>
      <c r="AC139" s="0" t="str">
        <f aca="false">IF($A139="","",IF(AT139="Y",BR139&amp;"",BE139&amp;""))</f>
        <v>founder</v>
      </c>
      <c r="AD139" s="0" t="str">
        <f aca="false">IF($A139="","",IF(AT139="Y",BS139&amp;"",BF139&amp;""))</f>
        <v>unverified</v>
      </c>
      <c r="AE139" s="0" t="str">
        <f aca="false">IF($A139="","",IF(AT139="Y",BT139&amp;"",BG139&amp;""))</f>
        <v>employer's own site</v>
      </c>
      <c r="AF139" s="0" t="str">
        <f aca="false">IF($A139="","",IF(AT139="Y",BU139&amp;"",BH139&amp;""))</f>
        <v>https://drinkesprizio.com/pages/our-story</v>
      </c>
      <c r="AG139" s="0" t="str">
        <f aca="false">IF($A139="","",IF(AT139="Y",BV139&amp;"",BI139&amp;""))</f>
        <v>2026-10-23</v>
      </c>
      <c r="AH139" s="0" t="s">
        <v>8835</v>
      </c>
      <c r="AI139" s="0" t="s">
        <v>6473</v>
      </c>
      <c r="AJ139" s="0" t="s">
        <v>8836</v>
      </c>
      <c r="AK139" s="0" t="s">
        <v>8837</v>
      </c>
      <c r="AL139" s="0" t="s">
        <v>164</v>
      </c>
      <c r="AM139" s="0" t="s">
        <v>8838</v>
      </c>
      <c r="AN139" s="0" t="s">
        <v>8831</v>
      </c>
      <c r="AO139" s="5" t="s">
        <v>189</v>
      </c>
      <c r="AR139" s="0" t="str">
        <f aca="false">IF($A139="","",IF(AND(CK139="pass",AO139&lt;&gt;"Y",C139&lt;&gt;"",OR(AU139&lt;&gt;"Y",AV139="Y")),"Y","N"))</f>
        <v>N</v>
      </c>
      <c r="AS139" s="0" t="str">
        <f aca="false">IF($A139="","",_xlfn.TEXTJOIN("; ",TRUE(),IF(CK139&lt;&gt;"pass","gated out",""),IF(AO139="Y","on hold: "&amp;AP139,""),IF(C139="","no contact named on an opened page",""),IF(AND(AU139="Y",AV139&lt;&gt;"Y"),"founder review pending (Founder review tab)","")))</f>
        <v>no contact named on an opened page</v>
      </c>
      <c r="AU139" s="0" t="s">
        <v>189</v>
      </c>
      <c r="BC139" s="0" t="str">
        <f aca="false">IF($A139="","",IFERROR(INDEX(Enrichment!$A$2:$GZ$2000,MATCH($A139,INDEX(Enrichment!$A$2:$GZ$2000,0,MATCH("row_id",Enrichment!$A$1:$GZ$1,0)),0),MATCH("work_email",Enrichment!$A$1:$GZ$1,0))&amp;"",""))</f>
        <v/>
      </c>
      <c r="BD139" s="0" t="str">
        <f aca="false">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none</v>
      </c>
      <c r="BE139" s="0" t="s">
        <v>5589</v>
      </c>
      <c r="BF139" s="0" t="s">
        <v>740</v>
      </c>
      <c r="BG139" s="0" t="s">
        <v>170</v>
      </c>
      <c r="BH139" s="0" t="s">
        <v>8834</v>
      </c>
      <c r="BI139" s="0" t="s">
        <v>263</v>
      </c>
      <c r="BJ139" s="0" t="s">
        <v>7105</v>
      </c>
      <c r="BK139" s="0" t="s">
        <v>5834</v>
      </c>
      <c r="BP139" s="0" t="str">
        <f aca="false">IF($A139="","",IFERROR(INDEX(Enrichment!$A$2:$GZ$2000,MATCH($A139,INDEX(Enrichment!$A$2:$GZ$2000,0,MATCH("row_id",Enrichment!$A$1:$GZ$1,0)),0),MATCH("backup_work_email",Enrichment!$A$1:$GZ$1,0))&amp;"",""))</f>
        <v/>
      </c>
      <c r="BQ139" s="0" t="str">
        <f aca="false">IF($A139="","",IF(BP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none</v>
      </c>
      <c r="BS139" s="0" t="s">
        <v>380</v>
      </c>
      <c r="BW139" s="0" t="s">
        <v>387</v>
      </c>
      <c r="BX139" s="0" t="s">
        <v>388</v>
      </c>
      <c r="BY139" s="0" t="s">
        <v>8839</v>
      </c>
      <c r="BZ139" s="0" t="s">
        <v>5960</v>
      </c>
      <c r="CB139" s="0" t="s">
        <v>8840</v>
      </c>
      <c r="CD139" s="0" t="s">
        <v>7905</v>
      </c>
      <c r="CJ139" s="0" t="s">
        <v>7088</v>
      </c>
      <c r="CK139" s="0" t="s">
        <v>200</v>
      </c>
      <c r="CM139" s="0" t="s">
        <v>201</v>
      </c>
      <c r="CN139" s="0" t="s">
        <v>443</v>
      </c>
      <c r="CO139" s="0" t="s">
        <v>8837</v>
      </c>
      <c r="CP139" s="0" t="s">
        <v>6550</v>
      </c>
      <c r="CQ139" s="0" t="s">
        <v>7235</v>
      </c>
      <c r="CR139" s="0" t="s">
        <v>209</v>
      </c>
      <c r="CT139" s="0" t="s">
        <v>209</v>
      </c>
      <c r="CU139" s="0" t="s">
        <v>7146</v>
      </c>
      <c r="CV139" s="0" t="s">
        <v>164</v>
      </c>
      <c r="CW139" s="0" t="s">
        <v>164</v>
      </c>
      <c r="CX139" s="0" t="s">
        <v>209</v>
      </c>
      <c r="CZ139" s="0" t="s">
        <v>6456</v>
      </c>
      <c r="DA139" s="0" t="s">
        <v>189</v>
      </c>
      <c r="DB139" s="0" t="s">
        <v>189</v>
      </c>
      <c r="DE139" s="0" t="s">
        <v>189</v>
      </c>
      <c r="DF139" s="0" t="n">
        <v>0</v>
      </c>
      <c r="DI139" s="0" t="s">
        <v>7824</v>
      </c>
      <c r="DJ139" s="0" t="s">
        <v>8841</v>
      </c>
      <c r="DK139" s="0" t="s">
        <v>5617</v>
      </c>
      <c r="DL139" s="0" t="n">
        <v>79</v>
      </c>
      <c r="DM139" s="0" t="s">
        <v>6470</v>
      </c>
      <c r="DN139" s="0" t="n">
        <v>37</v>
      </c>
      <c r="DO139" s="0" t="n">
        <v>6</v>
      </c>
      <c r="DP139" s="0" t="n">
        <v>3</v>
      </c>
      <c r="DQ139" s="0" t="n">
        <v>15</v>
      </c>
      <c r="DR139" s="0" t="n">
        <v>5</v>
      </c>
      <c r="DS139" s="0" t="n">
        <v>7</v>
      </c>
      <c r="DT139" s="0" t="n">
        <v>3</v>
      </c>
      <c r="DU139" s="0" t="n">
        <f aca="false">IF($A139="","",IF(R139="Y",10,0))</f>
        <v>0</v>
      </c>
      <c r="DV139" s="0" t="n">
        <v>-2</v>
      </c>
      <c r="DW139" s="0" t="s">
        <v>209</v>
      </c>
      <c r="DX139" s="0" t="s">
        <v>6462</v>
      </c>
      <c r="DY139" s="0" t="s">
        <v>8842</v>
      </c>
      <c r="DZ139" s="0" t="s">
        <v>8843</v>
      </c>
      <c r="EA139" s="0" t="s">
        <v>8844</v>
      </c>
      <c r="EV139" s="0" t="str">
        <f aca="false">IF($A139="","",IF(ISNUMBER(MATCH(U139,{"queued","contacted","replied","call_booked","call_done","yes_in_principle","materials_sent"},0)),"Y","N"))</f>
        <v>N</v>
      </c>
      <c r="EW139" s="0" t="str">
        <f aca="false">IF($A139="","",IF(OR(T139="Y",U139="do_not_contact",AQ139&amp;""&lt;&gt;""),"Y","N"))</f>
        <v>N</v>
      </c>
      <c r="EX139" s="0" t="str">
        <f aca="false">IF($A139="","",IF(AN139&amp;""&lt;&gt;"",AN139&amp;"",$A139))</f>
        <v>AB-171</v>
      </c>
      <c r="EY139" s="0" t="str">
        <f aca="false">IF($A139="","",IF(COUNTIFS($EX$2:$EX$1000,EX139,$EV$2:$EV$1000,"Y")+COUNTIFS($EX$2:$EX$1000,EX139,$EW$2:$EW$1000,"Y")&gt;0,"Y","N"))</f>
        <v>N</v>
      </c>
      <c r="EZ139" s="0" t="str">
        <f aca="false">IF($A139="","",IF(AND(U139="new",T139="N",EW139="N",AR139="Y",EY139="N"),"Y","N"))</f>
        <v>N</v>
      </c>
      <c r="FA139" s="0" t="str">
        <f aca="false">IF($A139="","",IF(EZ139&lt;&gt;"Y","N",IF(COUNTIFS($EX$2:$EX$1000,EX139,$EZ$2:$EZ$1000,"Y",$J$2:$J$1000,"&gt;"&amp;J139)+COUNTIFS($EX$2:$EX$1000,EX139,$EZ$2:$EZ$1000,"Y",$J$2:$J$1000,J139,$FG$2:$FG$1000,"&lt;"&amp;FG139)=0,"Y","N")))</f>
        <v>N</v>
      </c>
      <c r="FB139" s="0" t="str">
        <f aca="false">IF($A139="","",IF(AND(EZ139="Y",FA139="Y",Y139&amp;""&lt;&gt;""),IF(Y139&lt;=10,"Y","N"),"N"))</f>
        <v>N</v>
      </c>
      <c r="FC139" s="0" t="str">
        <f aca="false">IF(FB139="Y",Y139,"")</f>
        <v/>
      </c>
      <c r="FD139" s="0" t="str">
        <f aca="false">IF($A139="","",IF(AND(CK139="pass",AU139="Y",AV139&lt;&gt;"Y",U139="new",EW139="N"),"Y","N"))</f>
        <v>N</v>
      </c>
      <c r="FE139" s="0" t="str">
        <f aca="false">IF(FD139&lt;&gt;"Y","",IF(COUNTIFS($FD$2:$FD$1000,"Y",$J$2:$J$1000,"&gt;"&amp;J139)+COUNTIFS($FD$2:$FD$1000,"Y",$J$2:$J$1000,J139,$FG$2:$FG$1000,"&lt;"&amp;FG139)+1&lt;=30,COUNTIFS($FD$2:$FD$1000,"Y",$J$2:$J$1000,"&gt;"&amp;J139)+COUNTIFS($FD$2:$FD$1000,"Y",$J$2:$J$1000,J139,$FG$2:$FG$1000,"&lt;"&amp;FG139)+1,""))</f>
        <v/>
      </c>
      <c r="FF139" s="0" t="str">
        <f aca="false">IF(AND(_xlfn.ISFORMULA(C139),_xlfn.ISFORMULA(J139)),"Y","N")</f>
        <v>Y</v>
      </c>
      <c r="FG139" s="0" t="n">
        <f aca="false">ROW()-1</f>
        <v>138</v>
      </c>
    </row>
    <row r="140" customFormat="false" ht="15" hidden="false" customHeight="false" outlineLevel="0" collapsed="false">
      <c r="A140" s="0" t="s">
        <v>8845</v>
      </c>
      <c r="B140" s="0" t="s">
        <v>8846</v>
      </c>
      <c r="C140" s="0" t="str">
        <f aca="false">IF($A140="","",IF(AT140="Y",BL140&amp;"",AY140&amp;""))</f>
        <v>Grant</v>
      </c>
      <c r="D140" s="0" t="str">
        <f aca="false">IF($A140="","",IF(AT140="Y",BM140&amp;"",AZ140&amp;""))</f>
        <v>Gyesky</v>
      </c>
      <c r="E140" s="0" t="str">
        <f aca="false">IF($A140="","",IF(AT140="Y",BN140&amp;"",BA140&amp;""))</f>
        <v>Co-founder and CEO</v>
      </c>
      <c r="F140" s="0" t="str">
        <f aca="false">IF($A140="","",IF(AT140="Y",BO140&amp;"",BB140&amp;""))</f>
        <v/>
      </c>
      <c r="G140" s="0" t="str">
        <f aca="false">IF($A140="","",IF(AT140="Y",BP140&amp;"",BC140&amp;""))</f>
        <v/>
      </c>
      <c r="H140" s="0" t="str">
        <f aca="false">IF($A140="","",IF(AT140="Y",BQ140&amp;"",BD140&amp;""))</f>
        <v>none</v>
      </c>
      <c r="I140" s="0" t="str">
        <f aca="false">IF($A140="","",IF(R140="Y","warm-intro",IF(H140="verified","email",IF(C140&lt;&gt;"","linkedin",CA140&amp;""))))</f>
        <v>linkedin</v>
      </c>
      <c r="J140" s="0" t="n">
        <f aca="false">IF($A140="","",IF(CK140="pass",ROUND(N(DO140)+N(DP140)+N(DQ140)+N(DR140)+N(DS140)+N(DT140)+N(DU140)+N(DV140),0),0))</f>
        <v>36</v>
      </c>
      <c r="K140" s="0" t="str">
        <f aca="false">IF($A140="","",IF(CK140&lt;&gt;"pass",BY140&amp;"",BY140&amp;", "&amp;IF(AT140="Y",BX140&amp;"",BK140&amp;"")&amp;BZ140&amp;IF(R140="Y","; known to the founder (+10)","")&amp;"."))</f>
        <v>Brand based outside the Northeast, store page shows Whole Foods Market NoMad inside the cluster, a new store listing 175 days ago, revenue unknown, contact named; founder review: owner, scale, nutrient-claim.</v>
      </c>
      <c r="M140" s="0" t="s">
        <v>5572</v>
      </c>
      <c r="N140" s="0" t="s">
        <v>5573</v>
      </c>
      <c r="O140" s="0" t="s">
        <v>8847</v>
      </c>
      <c r="P140" s="0" t="s">
        <v>8848</v>
      </c>
      <c r="Q140" s="0" t="s">
        <v>8849</v>
      </c>
      <c r="R140" s="5" t="s">
        <v>189</v>
      </c>
      <c r="S140" s="0" t="s">
        <v>209</v>
      </c>
      <c r="T140" s="5" t="s">
        <v>189</v>
      </c>
      <c r="U140" s="5" t="s">
        <v>3896</v>
      </c>
      <c r="V140" s="0" t="s">
        <v>8850</v>
      </c>
      <c r="W140" s="0" t="s">
        <v>263</v>
      </c>
      <c r="X140" s="0" t="s">
        <v>5578</v>
      </c>
      <c r="Y140" s="0" t="str">
        <f aca="false">IF(FA140&lt;&gt;"Y","",COUNTIFS($FA$2:$FA$1000,"Y",$J$2:$J$1000,"&gt;"&amp;J140)+COUNTIFS($FA$2:$FA$1000,"Y",$J$2:$J$1000,J140,$FG$2:$FG$1000,"&lt;"&amp;FG140)+1)</f>
        <v/>
      </c>
      <c r="Z140" s="0" t="n">
        <v>139</v>
      </c>
      <c r="AA140" s="0" t="s">
        <v>189</v>
      </c>
      <c r="AB140" s="0" t="str">
        <f aca="false">IF($A140="","",IF(AT140="Y",BW140&amp;"",BJ140&amp;""))</f>
        <v>find Grant Gyesky at RISE Brewing Co. on LinkedIn and paste the profile URL into primary_linkedin_url; use the Whole Foods Market NoMad line only if retailer_checked_date is this week's Friday check</v>
      </c>
      <c r="AC140" s="0" t="str">
        <f aca="false">IF($A140="","",IF(AT140="Y",BR140&amp;"",BE140&amp;""))</f>
        <v>founder</v>
      </c>
      <c r="AD140" s="0" t="str">
        <f aca="false">IF($A140="","",IF(AT140="Y",BS140&amp;"",BF140&amp;""))</f>
        <v>verified-page</v>
      </c>
      <c r="AE140" s="0" t="str">
        <f aca="false">IF($A140="","",IF(AT140="Y",BT140&amp;"",BG140&amp;""))</f>
        <v>press, event or podcast page</v>
      </c>
      <c r="AF140" s="0" t="str">
        <f aca="false">IF($A140="","",IF(AT140="Y",BU140&amp;"",BH140&amp;""))</f>
        <v>https://www.jpmorgan.com/commercial-banking/insights/rise-brewing-co-ascends-in-the-beverage-industry</v>
      </c>
      <c r="AG140" s="0" t="str">
        <f aca="false">IF($A140="","",IF(AT140="Y",BV140&amp;"",BI140&amp;""))</f>
        <v>2026-10-23</v>
      </c>
      <c r="AH140" s="0" t="s">
        <v>8851</v>
      </c>
      <c r="AI140" s="0" t="s">
        <v>6473</v>
      </c>
      <c r="AJ140" s="0" t="s">
        <v>8852</v>
      </c>
      <c r="AK140" s="0" t="s">
        <v>8853</v>
      </c>
      <c r="AL140" s="0" t="s">
        <v>164</v>
      </c>
      <c r="AM140" s="0" t="s">
        <v>8854</v>
      </c>
      <c r="AN140" s="0" t="s">
        <v>8845</v>
      </c>
      <c r="AO140" s="5" t="s">
        <v>189</v>
      </c>
      <c r="AR140" s="0" t="str">
        <f aca="false">IF($A140="","",IF(AND(CK140="pass",AO140&lt;&gt;"Y",C140&lt;&gt;"",OR(AU140&lt;&gt;"Y",AV140="Y")),"Y","N"))</f>
        <v>N</v>
      </c>
      <c r="AS140" s="0" t="str">
        <f aca="false">IF($A140="","",_xlfn.TEXTJOIN("; ",TRUE(),IF(CK140&lt;&gt;"pass","gated out",""),IF(AO140="Y","on hold: "&amp;AP140,""),IF(C140="","no contact named on an opened page",""),IF(AND(AU140="Y",AV140&lt;&gt;"Y"),"founder review pending (Founder review tab)","")))</f>
        <v>founder review pending (Founder review tab)</v>
      </c>
      <c r="AU140" s="0" t="s">
        <v>164</v>
      </c>
      <c r="AX140" s="0" t="s">
        <v>8855</v>
      </c>
      <c r="AY140" s="0" t="s">
        <v>8856</v>
      </c>
      <c r="AZ140" s="0" t="s">
        <v>8857</v>
      </c>
      <c r="BA140" s="0" t="s">
        <v>5830</v>
      </c>
      <c r="BC140" s="0" t="str">
        <f aca="false">IF($A140="","",IFERROR(INDEX(Enrichment!$A$2:$GZ$2000,MATCH($A140,INDEX(Enrichment!$A$2:$GZ$2000,0,MATCH("row_id",Enrichment!$A$1:$GZ$1,0)),0),MATCH("work_email",Enrichment!$A$1:$GZ$1,0))&amp;"",""))</f>
        <v/>
      </c>
      <c r="BD140" s="0" t="str">
        <f aca="false">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none</v>
      </c>
      <c r="BE140" s="0" t="s">
        <v>5589</v>
      </c>
      <c r="BF140" s="0" t="s">
        <v>169</v>
      </c>
      <c r="BG140" s="0" t="s">
        <v>1252</v>
      </c>
      <c r="BH140" s="0" t="s">
        <v>8858</v>
      </c>
      <c r="BI140" s="0" t="s">
        <v>263</v>
      </c>
      <c r="BJ140" s="0" t="s">
        <v>8859</v>
      </c>
      <c r="BK140" s="0" t="s">
        <v>5643</v>
      </c>
      <c r="BL140" s="0" t="s">
        <v>8860</v>
      </c>
      <c r="BM140" s="0" t="s">
        <v>8861</v>
      </c>
      <c r="BN140" s="0" t="s">
        <v>8862</v>
      </c>
      <c r="BP140" s="0" t="str">
        <f aca="false">IF($A140="","",IFERROR(INDEX(Enrichment!$A$2:$GZ$2000,MATCH($A140,INDEX(Enrichment!$A$2:$GZ$2000,0,MATCH("row_id",Enrichment!$A$1:$GZ$1,0)),0),MATCH("backup_work_email",Enrichment!$A$1:$GZ$1,0))&amp;"",""))</f>
        <v/>
      </c>
      <c r="BQ140" s="0" t="str">
        <f aca="false">IF($A140="","",IF(BP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none</v>
      </c>
      <c r="BR140" s="0" t="s">
        <v>7494</v>
      </c>
      <c r="BS140" s="0" t="s">
        <v>169</v>
      </c>
      <c r="BT140" s="0" t="s">
        <v>1252</v>
      </c>
      <c r="BU140" s="0" t="s">
        <v>8858</v>
      </c>
      <c r="BV140" s="0" t="s">
        <v>263</v>
      </c>
      <c r="BW140" s="0" t="s">
        <v>8863</v>
      </c>
      <c r="BX140" s="0" t="s">
        <v>5643</v>
      </c>
      <c r="BY140" s="0" t="s">
        <v>8864</v>
      </c>
      <c r="BZ140" s="0" t="s">
        <v>8865</v>
      </c>
      <c r="CB140" s="0" t="s">
        <v>8866</v>
      </c>
      <c r="CF140" s="0" t="s">
        <v>8867</v>
      </c>
      <c r="CJ140" s="0" t="s">
        <v>7088</v>
      </c>
      <c r="CK140" s="0" t="s">
        <v>200</v>
      </c>
      <c r="CM140" s="0" t="s">
        <v>201</v>
      </c>
      <c r="CN140" s="0" t="s">
        <v>8868</v>
      </c>
      <c r="CO140" s="0" t="s">
        <v>8853</v>
      </c>
      <c r="CP140" s="0" t="s">
        <v>6226</v>
      </c>
      <c r="CQ140" s="0" t="s">
        <v>6198</v>
      </c>
      <c r="CR140" s="0" t="s">
        <v>8869</v>
      </c>
      <c r="CT140" s="0" t="s">
        <v>164</v>
      </c>
      <c r="CU140" s="0" t="s">
        <v>8870</v>
      </c>
      <c r="CV140" s="0" t="s">
        <v>164</v>
      </c>
      <c r="CW140" s="0" t="s">
        <v>164</v>
      </c>
      <c r="CX140" s="0" t="s">
        <v>209</v>
      </c>
      <c r="CZ140" s="0" t="s">
        <v>8871</v>
      </c>
      <c r="DA140" s="0" t="s">
        <v>189</v>
      </c>
      <c r="DB140" s="0" t="s">
        <v>189</v>
      </c>
      <c r="DD140" s="0" t="n">
        <v>0</v>
      </c>
      <c r="DE140" s="0" t="s">
        <v>164</v>
      </c>
      <c r="DF140" s="0" t="n">
        <v>3</v>
      </c>
      <c r="DG140" s="0" t="s">
        <v>5686</v>
      </c>
      <c r="DH140" s="0" t="s">
        <v>5969</v>
      </c>
      <c r="DI140" s="0" t="s">
        <v>8872</v>
      </c>
      <c r="DJ140" s="0" t="s">
        <v>8873</v>
      </c>
      <c r="DK140" s="0" t="s">
        <v>5689</v>
      </c>
      <c r="DL140" s="0" t="n">
        <v>175</v>
      </c>
      <c r="DN140" s="0" t="n">
        <v>36</v>
      </c>
      <c r="DO140" s="0" t="n">
        <v>25</v>
      </c>
      <c r="DP140" s="0" t="n">
        <v>3</v>
      </c>
      <c r="DQ140" s="0" t="n">
        <v>8</v>
      </c>
      <c r="DR140" s="0" t="n">
        <v>5</v>
      </c>
      <c r="DS140" s="0" t="n">
        <v>10</v>
      </c>
      <c r="DT140" s="0" t="n">
        <v>10</v>
      </c>
      <c r="DU140" s="0" t="n">
        <f aca="false">IF($A140="","",IF(R140="Y",10,0))</f>
        <v>0</v>
      </c>
      <c r="DV140" s="0" t="n">
        <v>-25</v>
      </c>
      <c r="DW140" s="0" t="s">
        <v>8874</v>
      </c>
      <c r="DX140" s="0" t="s">
        <v>5619</v>
      </c>
      <c r="DY140" s="0" t="s">
        <v>8875</v>
      </c>
      <c r="DZ140" s="0" t="s">
        <v>8876</v>
      </c>
      <c r="EA140" s="0" t="s">
        <v>8877</v>
      </c>
      <c r="EV140" s="0" t="str">
        <f aca="false">IF($A140="","",IF(ISNUMBER(MATCH(U140,{"queued","contacted","replied","call_booked","call_done","yes_in_principle","materials_sent"},0)),"Y","N"))</f>
        <v>N</v>
      </c>
      <c r="EW140" s="0" t="str">
        <f aca="false">IF($A140="","",IF(OR(T140="Y",U140="do_not_contact",AQ140&amp;""&lt;&gt;""),"Y","N"))</f>
        <v>N</v>
      </c>
      <c r="EX140" s="0" t="str">
        <f aca="false">IF($A140="","",IF(AN140&amp;""&lt;&gt;"",AN140&amp;"",$A140))</f>
        <v>AB-211</v>
      </c>
      <c r="EY140" s="0" t="str">
        <f aca="false">IF($A140="","",IF(COUNTIFS($EX$2:$EX$1000,EX140,$EV$2:$EV$1000,"Y")+COUNTIFS($EX$2:$EX$1000,EX140,$EW$2:$EW$1000,"Y")&gt;0,"Y","N"))</f>
        <v>N</v>
      </c>
      <c r="EZ140" s="0" t="str">
        <f aca="false">IF($A140="","",IF(AND(U140="new",T140="N",EW140="N",AR140="Y",EY140="N"),"Y","N"))</f>
        <v>N</v>
      </c>
      <c r="FA140" s="0" t="str">
        <f aca="false">IF($A140="","",IF(EZ140&lt;&gt;"Y","N",IF(COUNTIFS($EX$2:$EX$1000,EX140,$EZ$2:$EZ$1000,"Y",$J$2:$J$1000,"&gt;"&amp;J140)+COUNTIFS($EX$2:$EX$1000,EX140,$EZ$2:$EZ$1000,"Y",$J$2:$J$1000,J140,$FG$2:$FG$1000,"&lt;"&amp;FG140)=0,"Y","N")))</f>
        <v>N</v>
      </c>
      <c r="FB140" s="0" t="str">
        <f aca="false">IF($A140="","",IF(AND(EZ140="Y",FA140="Y",Y140&amp;""&lt;&gt;""),IF(Y140&lt;=10,"Y","N"),"N"))</f>
        <v>N</v>
      </c>
      <c r="FC140" s="0" t="str">
        <f aca="false">IF(FB140="Y",Y140,"")</f>
        <v/>
      </c>
      <c r="FD140" s="0" t="str">
        <f aca="false">IF($A140="","",IF(AND(CK140="pass",AU140="Y",AV140&lt;&gt;"Y",U140="new",EW140="N"),"Y","N"))</f>
        <v>Y</v>
      </c>
      <c r="FE140" s="0" t="str">
        <f aca="false">IF(FD140&lt;&gt;"Y","",IF(COUNTIFS($FD$2:$FD$1000,"Y",$J$2:$J$1000,"&gt;"&amp;J140)+COUNTIFS($FD$2:$FD$1000,"Y",$J$2:$J$1000,J140,$FG$2:$FG$1000,"&lt;"&amp;FG140)+1&lt;=30,COUNTIFS($FD$2:$FD$1000,"Y",$J$2:$J$1000,"&gt;"&amp;J140)+COUNTIFS($FD$2:$FD$1000,"Y",$J$2:$J$1000,J140,$FG$2:$FG$1000,"&lt;"&amp;FG140)+1,""))</f>
        <v/>
      </c>
      <c r="FF140" s="0" t="str">
        <f aca="false">IF(AND(_xlfn.ISFORMULA(C140),_xlfn.ISFORMULA(J140)),"Y","N")</f>
        <v>Y</v>
      </c>
      <c r="FG140" s="0" t="n">
        <f aca="false">ROW()-1</f>
        <v>139</v>
      </c>
    </row>
    <row r="141" customFormat="false" ht="15" hidden="false" customHeight="false" outlineLevel="0" collapsed="false">
      <c r="A141" s="0" t="s">
        <v>8878</v>
      </c>
      <c r="B141" s="0" t="s">
        <v>8879</v>
      </c>
      <c r="C141" s="0" t="str">
        <f aca="false">IF($A141="","",IF(AT141="Y",BL141&amp;"",AY141&amp;""))</f>
        <v>Samantha</v>
      </c>
      <c r="D141" s="0" t="str">
        <f aca="false">IF($A141="","",IF(AT141="Y",BM141&amp;"",AZ141&amp;""))</f>
        <v>Abrams</v>
      </c>
      <c r="E141" s="0" t="str">
        <f aca="false">IF($A141="","",IF(AT141="Y",BN141&amp;"",BA141&amp;""))</f>
        <v>Co-founder</v>
      </c>
      <c r="F141" s="0" t="str">
        <f aca="false">IF($A141="","",IF(AT141="Y",BO141&amp;"",BB141&amp;""))</f>
        <v/>
      </c>
      <c r="G141" s="0" t="str">
        <f aca="false">IF($A141="","",IF(AT141="Y",BP141&amp;"",BC141&amp;""))</f>
        <v/>
      </c>
      <c r="H141" s="0" t="str">
        <f aca="false">IF($A141="","",IF(AT141="Y",BQ141&amp;"",BD141&amp;""))</f>
        <v>none</v>
      </c>
      <c r="I141" s="0" t="str">
        <f aca="false">IF($A141="","",IF(R141="Y","warm-intro",IF(H141="verified","email",IF(C141&lt;&gt;"","linkedin",CA141&amp;""))))</f>
        <v>linkedin</v>
      </c>
      <c r="J141" s="0" t="n">
        <f aca="false">IF($A141="","",IF(CK141="pass",ROUND(N(DO141)+N(DP141)+N(DQ141)+N(DR141)+N(DS141)+N(DT141)+N(DU141)+N(DV141),0),0))</f>
        <v>36</v>
      </c>
      <c r="K141" s="0" t="str">
        <f aca="false">IF($A141="","",IF(CK141&lt;&gt;"pass",BY141&amp;"",BY141&amp;", "&amp;IF(AT141="Y",BX141&amp;"",BK141&amp;"")&amp;BZ141&amp;IF(R141="Y","; known to the founder (+10)","")&amp;"."))</f>
        <v>New York State brand, store page shows Whole Foods Market NoMad inside the cluster, a new store listing 216 days ago, revenue unknown, contact named; founder review: owner.</v>
      </c>
      <c r="M141" s="0" t="s">
        <v>5572</v>
      </c>
      <c r="N141" s="0" t="s">
        <v>5573</v>
      </c>
      <c r="O141" s="0" t="s">
        <v>8880</v>
      </c>
      <c r="P141" s="0" t="s">
        <v>8881</v>
      </c>
      <c r="Q141" s="0" t="s">
        <v>8882</v>
      </c>
      <c r="R141" s="5" t="s">
        <v>189</v>
      </c>
      <c r="S141" s="0" t="s">
        <v>209</v>
      </c>
      <c r="T141" s="5" t="s">
        <v>189</v>
      </c>
      <c r="U141" s="5" t="s">
        <v>3896</v>
      </c>
      <c r="V141" s="0" t="s">
        <v>8883</v>
      </c>
      <c r="W141" s="0" t="s">
        <v>263</v>
      </c>
      <c r="X141" s="0" t="s">
        <v>5578</v>
      </c>
      <c r="Y141" s="0" t="str">
        <f aca="false">IF(FA141&lt;&gt;"Y","",COUNTIFS($FA$2:$FA$1000,"Y",$J$2:$J$1000,"&gt;"&amp;J141)+COUNTIFS($FA$2:$FA$1000,"Y",$J$2:$J$1000,J141,$FG$2:$FG$1000,"&lt;"&amp;FG141)+1)</f>
        <v/>
      </c>
      <c r="Z141" s="0" t="n">
        <v>140</v>
      </c>
      <c r="AA141" s="0" t="s">
        <v>189</v>
      </c>
      <c r="AB141" s="0" t="str">
        <f aca="false">IF($A141="","",IF(AT141="Y",BW141&amp;"",BJ141&amp;""))</f>
        <v>find Samantha Abrams at Emmy's Organics on LinkedIn and paste the profile URL into primary_linkedin_url; use the Whole Foods Market NoMad line only if retailer_checked_date is this week's Friday check</v>
      </c>
      <c r="AC141" s="0" t="str">
        <f aca="false">IF($A141="","",IF(AT141="Y",BR141&amp;"",BE141&amp;""))</f>
        <v>founder and marketing lead</v>
      </c>
      <c r="AD141" s="0" t="str">
        <f aca="false">IF($A141="","",IF(AT141="Y",BS141&amp;"",BF141&amp;""))</f>
        <v>verified-page</v>
      </c>
      <c r="AE141" s="0" t="str">
        <f aca="false">IF($A141="","",IF(AT141="Y",BT141&amp;"",BG141&amp;""))</f>
        <v>press, event or podcast page</v>
      </c>
      <c r="AF141" s="0" t="str">
        <f aca="false">IF($A141="","",IF(AT141="Y",BU141&amp;"",BH141&amp;""))</f>
        <v>https://litupwithlo.buzzsprout.com/1492621/episodes/8214168-samantha-abrams-co-founder-of-emmy-s-organics-emmysorganics-triumphs-challenges-of-founding-a-successful-company-built-on-real-ingredients-with-her-husband</v>
      </c>
      <c r="AG141" s="0" t="str">
        <f aca="false">IF($A141="","",IF(AT141="Y",BV141&amp;"",BI141&amp;""))</f>
        <v>2026-10-23</v>
      </c>
      <c r="AH141" s="0" t="s">
        <v>8884</v>
      </c>
      <c r="AI141" s="0" t="s">
        <v>5702</v>
      </c>
      <c r="AJ141" s="0" t="s">
        <v>8885</v>
      </c>
      <c r="AK141" s="0" t="s">
        <v>8886</v>
      </c>
      <c r="AL141" s="0" t="s">
        <v>164</v>
      </c>
      <c r="AM141" s="0" t="s">
        <v>8887</v>
      </c>
      <c r="AN141" s="0" t="s">
        <v>8878</v>
      </c>
      <c r="AO141" s="5" t="s">
        <v>189</v>
      </c>
      <c r="AR141" s="0" t="str">
        <f aca="false">IF($A141="","",IF(AND(CK141="pass",AO141&lt;&gt;"Y",C141&lt;&gt;"",OR(AU141&lt;&gt;"Y",AV141="Y")),"Y","N"))</f>
        <v>N</v>
      </c>
      <c r="AS141" s="0" t="str">
        <f aca="false">IF($A141="","",_xlfn.TEXTJOIN("; ",TRUE(),IF(CK141&lt;&gt;"pass","gated out",""),IF(AO141="Y","on hold: "&amp;AP141,""),IF(C141="","no contact named on an opened page",""),IF(AND(AU141="Y",AV141&lt;&gt;"Y"),"founder review pending (Founder review tab)","")))</f>
        <v>founder review pending (Founder review tab)</v>
      </c>
      <c r="AU141" s="0" t="s">
        <v>164</v>
      </c>
      <c r="AX141" s="0" t="s">
        <v>8888</v>
      </c>
      <c r="AY141" s="0" t="s">
        <v>6072</v>
      </c>
      <c r="AZ141" s="0" t="s">
        <v>8889</v>
      </c>
      <c r="BA141" s="0" t="s">
        <v>5636</v>
      </c>
      <c r="BC141" s="0" t="str">
        <f aca="false">IF($A141="","",IFERROR(INDEX(Enrichment!$A$2:$GZ$2000,MATCH($A141,INDEX(Enrichment!$A$2:$GZ$2000,0,MATCH("row_id",Enrichment!$A$1:$GZ$1,0)),0),MATCH("work_email",Enrichment!$A$1:$GZ$1,0))&amp;"",""))</f>
        <v/>
      </c>
      <c r="BD141" s="0" t="str">
        <f aca="false">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none</v>
      </c>
      <c r="BE141" s="0" t="s">
        <v>8890</v>
      </c>
      <c r="BF141" s="0" t="s">
        <v>169</v>
      </c>
      <c r="BG141" s="0" t="s">
        <v>1252</v>
      </c>
      <c r="BH141" s="0" t="s">
        <v>8891</v>
      </c>
      <c r="BI141" s="0" t="s">
        <v>263</v>
      </c>
      <c r="BJ141" s="0" t="s">
        <v>8892</v>
      </c>
      <c r="BK141" s="0" t="s">
        <v>5643</v>
      </c>
      <c r="BL141" s="0" t="s">
        <v>8893</v>
      </c>
      <c r="BM141" s="0" t="s">
        <v>8894</v>
      </c>
      <c r="BN141" s="0" t="s">
        <v>5636</v>
      </c>
      <c r="BP141" s="0" t="str">
        <f aca="false">IF($A141="","",IFERROR(INDEX(Enrichment!$A$2:$GZ$2000,MATCH($A141,INDEX(Enrichment!$A$2:$GZ$2000,0,MATCH("row_id",Enrichment!$A$1:$GZ$1,0)),0),MATCH("backup_work_email",Enrichment!$A$1:$GZ$1,0))&amp;"",""))</f>
        <v/>
      </c>
      <c r="BQ141" s="0" t="str">
        <f aca="false">IF($A141="","",IF(BP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none</v>
      </c>
      <c r="BR141" s="0" t="s">
        <v>7748</v>
      </c>
      <c r="BS141" s="0" t="s">
        <v>169</v>
      </c>
      <c r="BT141" s="0" t="s">
        <v>1252</v>
      </c>
      <c r="BU141" s="0" t="s">
        <v>8891</v>
      </c>
      <c r="BV141" s="0" t="s">
        <v>263</v>
      </c>
      <c r="BW141" s="0" t="s">
        <v>8895</v>
      </c>
      <c r="BX141" s="0" t="s">
        <v>5643</v>
      </c>
      <c r="BY141" s="0" t="s">
        <v>8896</v>
      </c>
      <c r="BZ141" s="0" t="s">
        <v>8897</v>
      </c>
      <c r="CB141" s="0" t="s">
        <v>8898</v>
      </c>
      <c r="CF141" s="0" t="s">
        <v>8899</v>
      </c>
      <c r="CJ141" s="0" t="s">
        <v>7088</v>
      </c>
      <c r="CK141" s="0" t="s">
        <v>200</v>
      </c>
      <c r="CM141" s="0" t="s">
        <v>201</v>
      </c>
      <c r="CN141" s="0" t="s">
        <v>8900</v>
      </c>
      <c r="CO141" s="0" t="s">
        <v>8886</v>
      </c>
      <c r="CP141" s="0" t="s">
        <v>5608</v>
      </c>
      <c r="CQ141" s="0" t="s">
        <v>5870</v>
      </c>
      <c r="CR141" s="0" t="s">
        <v>209</v>
      </c>
      <c r="CT141" s="0" t="s">
        <v>352</v>
      </c>
      <c r="CU141" s="0" t="s">
        <v>8901</v>
      </c>
      <c r="CV141" s="0" t="s">
        <v>164</v>
      </c>
      <c r="CW141" s="0" t="s">
        <v>164</v>
      </c>
      <c r="CX141" s="0" t="s">
        <v>209</v>
      </c>
      <c r="CZ141" s="0" t="s">
        <v>209</v>
      </c>
      <c r="DA141" s="0" t="s">
        <v>189</v>
      </c>
      <c r="DB141" s="0" t="s">
        <v>189</v>
      </c>
      <c r="DD141" s="0" t="n">
        <v>0</v>
      </c>
      <c r="DE141" s="0" t="s">
        <v>164</v>
      </c>
      <c r="DF141" s="0" t="n">
        <v>3</v>
      </c>
      <c r="DG141" s="0" t="s">
        <v>5686</v>
      </c>
      <c r="DI141" s="0" t="s">
        <v>5687</v>
      </c>
      <c r="DJ141" s="0" t="s">
        <v>8902</v>
      </c>
      <c r="DK141" s="0" t="s">
        <v>5689</v>
      </c>
      <c r="DL141" s="0" t="n">
        <v>216</v>
      </c>
      <c r="DN141" s="0" t="n">
        <v>36</v>
      </c>
      <c r="DO141" s="0" t="n">
        <v>25</v>
      </c>
      <c r="DP141" s="0" t="n">
        <v>13</v>
      </c>
      <c r="DQ141" s="0" t="n">
        <v>4</v>
      </c>
      <c r="DR141" s="0" t="n">
        <v>5</v>
      </c>
      <c r="DS141" s="0" t="n">
        <v>8</v>
      </c>
      <c r="DT141" s="0" t="n">
        <v>6</v>
      </c>
      <c r="DU141" s="0" t="n">
        <f aca="false">IF($A141="","",IF(R141="Y",10,0))</f>
        <v>0</v>
      </c>
      <c r="DV141" s="0" t="n">
        <v>-25</v>
      </c>
      <c r="DW141" s="0" t="s">
        <v>8903</v>
      </c>
      <c r="DX141" s="0" t="s">
        <v>5691</v>
      </c>
      <c r="DY141" s="0" t="s">
        <v>8904</v>
      </c>
      <c r="DZ141" s="0" t="s">
        <v>8905</v>
      </c>
      <c r="EA141" s="0" t="s">
        <v>8906</v>
      </c>
      <c r="EV141" s="0" t="str">
        <f aca="false">IF($A141="","",IF(ISNUMBER(MATCH(U141,{"queued","contacted","replied","call_booked","call_done","yes_in_principle","materials_sent"},0)),"Y","N"))</f>
        <v>N</v>
      </c>
      <c r="EW141" s="0" t="str">
        <f aca="false">IF($A141="","",IF(OR(T141="Y",U141="do_not_contact",AQ141&amp;""&lt;&gt;""),"Y","N"))</f>
        <v>N</v>
      </c>
      <c r="EX141" s="0" t="str">
        <f aca="false">IF($A141="","",IF(AN141&amp;""&lt;&gt;"",AN141&amp;"",$A141))</f>
        <v>AB-079</v>
      </c>
      <c r="EY141" s="0" t="str">
        <f aca="false">IF($A141="","",IF(COUNTIFS($EX$2:$EX$1000,EX141,$EV$2:$EV$1000,"Y")+COUNTIFS($EX$2:$EX$1000,EX141,$EW$2:$EW$1000,"Y")&gt;0,"Y","N"))</f>
        <v>N</v>
      </c>
      <c r="EZ141" s="0" t="str">
        <f aca="false">IF($A141="","",IF(AND(U141="new",T141="N",EW141="N",AR141="Y",EY141="N"),"Y","N"))</f>
        <v>N</v>
      </c>
      <c r="FA141" s="0" t="str">
        <f aca="false">IF($A141="","",IF(EZ141&lt;&gt;"Y","N",IF(COUNTIFS($EX$2:$EX$1000,EX141,$EZ$2:$EZ$1000,"Y",$J$2:$J$1000,"&gt;"&amp;J141)+COUNTIFS($EX$2:$EX$1000,EX141,$EZ$2:$EZ$1000,"Y",$J$2:$J$1000,J141,$FG$2:$FG$1000,"&lt;"&amp;FG141)=0,"Y","N")))</f>
        <v>N</v>
      </c>
      <c r="FB141" s="0" t="str">
        <f aca="false">IF($A141="","",IF(AND(EZ141="Y",FA141="Y",Y141&amp;""&lt;&gt;""),IF(Y141&lt;=10,"Y","N"),"N"))</f>
        <v>N</v>
      </c>
      <c r="FC141" s="0" t="str">
        <f aca="false">IF(FB141="Y",Y141,"")</f>
        <v/>
      </c>
      <c r="FD141" s="0" t="str">
        <f aca="false">IF($A141="","",IF(AND(CK141="pass",AU141="Y",AV141&lt;&gt;"Y",U141="new",EW141="N"),"Y","N"))</f>
        <v>Y</v>
      </c>
      <c r="FE141" s="0" t="str">
        <f aca="false">IF(FD141&lt;&gt;"Y","",IF(COUNTIFS($FD$2:$FD$1000,"Y",$J$2:$J$1000,"&gt;"&amp;J141)+COUNTIFS($FD$2:$FD$1000,"Y",$J$2:$J$1000,J141,$FG$2:$FG$1000,"&lt;"&amp;FG141)+1&lt;=30,COUNTIFS($FD$2:$FD$1000,"Y",$J$2:$J$1000,"&gt;"&amp;J141)+COUNTIFS($FD$2:$FD$1000,"Y",$J$2:$J$1000,J141,$FG$2:$FG$1000,"&lt;"&amp;FG141)+1,""))</f>
        <v/>
      </c>
      <c r="FF141" s="0" t="str">
        <f aca="false">IF(AND(_xlfn.ISFORMULA(C141),_xlfn.ISFORMULA(J141)),"Y","N")</f>
        <v>Y</v>
      </c>
      <c r="FG141" s="0" t="n">
        <f aca="false">ROW()-1</f>
        <v>140</v>
      </c>
    </row>
    <row r="142" customFormat="false" ht="15" hidden="false" customHeight="false" outlineLevel="0" collapsed="false">
      <c r="A142" s="0" t="s">
        <v>8907</v>
      </c>
      <c r="B142" s="0" t="s">
        <v>8908</v>
      </c>
      <c r="C142" s="0" t="str">
        <f aca="false">IF($A142="","",IF(AT142="Y",BL142&amp;"",AY142&amp;""))</f>
        <v>Adnan</v>
      </c>
      <c r="D142" s="0" t="str">
        <f aca="false">IF($A142="","",IF(AT142="Y",BM142&amp;"",AZ142&amp;""))</f>
        <v>Durrani</v>
      </c>
      <c r="E142" s="0" t="str">
        <f aca="false">IF($A142="","",IF(AT142="Y",BN142&amp;"",BA142&amp;""))</f>
        <v>Founder and CEO</v>
      </c>
      <c r="F142" s="0" t="str">
        <f aca="false">IF($A142="","",IF(AT142="Y",BO142&amp;"",BB142&amp;""))</f>
        <v/>
      </c>
      <c r="G142" s="0" t="str">
        <f aca="false">IF($A142="","",IF(AT142="Y",BP142&amp;"",BC142&amp;""))</f>
        <v/>
      </c>
      <c r="H142" s="0" t="str">
        <f aca="false">IF($A142="","",IF(AT142="Y",BQ142&amp;"",BD142&amp;""))</f>
        <v>none</v>
      </c>
      <c r="I142" s="0" t="str">
        <f aca="false">IF($A142="","",IF(R142="Y","warm-intro",IF(H142="verified","email",IF(C142&lt;&gt;"","linkedin",CA142&amp;""))))</f>
        <v>linkedin</v>
      </c>
      <c r="J142" s="0" t="n">
        <f aca="false">IF($A142="","",IF(CK142="pass",ROUND(N(DO142)+N(DP142)+N(DQ142)+N(DR142)+N(DS142)+N(DT142)+N(DU142)+N(DV142),0),0))</f>
        <v>36</v>
      </c>
      <c r="K142" s="0" t="str">
        <f aca="false">IF($A142="","",IF(CK142&lt;&gt;"pass",BY142&amp;"",BY142&amp;", "&amp;IF(AT142="Y",BX142&amp;"",BK142&amp;"")&amp;BZ142&amp;IF(R142="Y","; known to the founder (+10)","")&amp;"."))</f>
        <v>Northeast brand, store page shows Whole Foods Market NoMad inside the cluster, no dated why-now in the last 12 months, revenue unknown, contact named; founder review: scale, format.</v>
      </c>
      <c r="M142" s="0" t="s">
        <v>5572</v>
      </c>
      <c r="N142" s="0" t="s">
        <v>5573</v>
      </c>
      <c r="R142" s="5" t="s">
        <v>189</v>
      </c>
      <c r="S142" s="0" t="s">
        <v>209</v>
      </c>
      <c r="T142" s="5" t="s">
        <v>189</v>
      </c>
      <c r="U142" s="5" t="s">
        <v>3896</v>
      </c>
      <c r="V142" s="0" t="s">
        <v>8909</v>
      </c>
      <c r="W142" s="0" t="s">
        <v>263</v>
      </c>
      <c r="X142" s="0" t="s">
        <v>5578</v>
      </c>
      <c r="Y142" s="0" t="str">
        <f aca="false">IF(FA142&lt;&gt;"Y","",COUNTIFS($FA$2:$FA$1000,"Y",$J$2:$J$1000,"&gt;"&amp;J142)+COUNTIFS($FA$2:$FA$1000,"Y",$J$2:$J$1000,J142,$FG$2:$FG$1000,"&lt;"&amp;FG142)+1)</f>
        <v/>
      </c>
      <c r="Z142" s="0" t="n">
        <v>141</v>
      </c>
      <c r="AA142" s="0" t="s">
        <v>189</v>
      </c>
      <c r="AB142" s="0" t="str">
        <f aca="false">IF($A142="","",IF(AT142="Y",BW142&amp;"",BJ142&amp;""))</f>
        <v>find Adnan Durrani at Saffron Road on LinkedIn and paste the profile URL into primary_linkedin_url; use the Whole Foods Market NoMad line only if retailer_checked_date is this week's Friday check</v>
      </c>
      <c r="AC142" s="0" t="str">
        <f aca="false">IF($A142="","",IF(AT142="Y",BR142&amp;"",BE142&amp;""))</f>
        <v>founder</v>
      </c>
      <c r="AD142" s="0" t="str">
        <f aca="false">IF($A142="","",IF(AT142="Y",BS142&amp;"",BF142&amp;""))</f>
        <v>verified-page</v>
      </c>
      <c r="AE142" s="0" t="str">
        <f aca="false">IF($A142="","",IF(AT142="Y",BT142&amp;"",BG142&amp;""))</f>
        <v>employer's own site</v>
      </c>
      <c r="AF142" s="0" t="str">
        <f aca="false">IF($A142="","",IF(AT142="Y",BU142&amp;"",BH142&amp;""))</f>
        <v>https://www.saffronroad.com/pages/about-us</v>
      </c>
      <c r="AG142" s="0" t="str">
        <f aca="false">IF($A142="","",IF(AT142="Y",BV142&amp;"",BI142&amp;""))</f>
        <v>2026-10-23</v>
      </c>
      <c r="AH142" s="0" t="s">
        <v>8910</v>
      </c>
      <c r="AI142" s="0" t="s">
        <v>6042</v>
      </c>
      <c r="AJ142" s="0" t="s">
        <v>1733</v>
      </c>
      <c r="AL142" s="0" t="s">
        <v>164</v>
      </c>
      <c r="AM142" s="0" t="s">
        <v>8911</v>
      </c>
      <c r="AN142" s="0" t="s">
        <v>8907</v>
      </c>
      <c r="AO142" s="5" t="s">
        <v>189</v>
      </c>
      <c r="AR142" s="0" t="str">
        <f aca="false">IF($A142="","",IF(AND(CK142="pass",AO142&lt;&gt;"Y",C142&lt;&gt;"",OR(AU142&lt;&gt;"Y",AV142="Y")),"Y","N"))</f>
        <v>N</v>
      </c>
      <c r="AS142" s="0" t="str">
        <f aca="false">IF($A142="","",_xlfn.TEXTJOIN("; ",TRUE(),IF(CK142&lt;&gt;"pass","gated out",""),IF(AO142="Y","on hold: "&amp;AP142,""),IF(C142="","no contact named on an opened page",""),IF(AND(AU142="Y",AV142&lt;&gt;"Y"),"founder review pending (Founder review tab)","")))</f>
        <v>founder review pending (Founder review tab)</v>
      </c>
      <c r="AU142" s="0" t="s">
        <v>164</v>
      </c>
      <c r="AX142" s="0" t="s">
        <v>8912</v>
      </c>
      <c r="AY142" s="0" t="s">
        <v>8913</v>
      </c>
      <c r="AZ142" s="0" t="s">
        <v>8914</v>
      </c>
      <c r="BA142" s="0" t="s">
        <v>5670</v>
      </c>
      <c r="BC142" s="0" t="str">
        <f aca="false">IF($A142="","",IFERROR(INDEX(Enrichment!$A$2:$GZ$2000,MATCH($A142,INDEX(Enrichment!$A$2:$GZ$2000,0,MATCH("row_id",Enrichment!$A$1:$GZ$1,0)),0),MATCH("work_email",Enrichment!$A$1:$GZ$1,0))&amp;"",""))</f>
        <v/>
      </c>
      <c r="BD142" s="0" t="str">
        <f aca="false">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none</v>
      </c>
      <c r="BE142" s="0" t="s">
        <v>5589</v>
      </c>
      <c r="BF142" s="0" t="s">
        <v>169</v>
      </c>
      <c r="BG142" s="0" t="s">
        <v>170</v>
      </c>
      <c r="BH142" s="0" t="s">
        <v>8909</v>
      </c>
      <c r="BI142" s="0" t="s">
        <v>263</v>
      </c>
      <c r="BJ142" s="0" t="s">
        <v>8915</v>
      </c>
      <c r="BK142" s="0" t="s">
        <v>5643</v>
      </c>
      <c r="BP142" s="0" t="str">
        <f aca="false">IF($A142="","",IFERROR(INDEX(Enrichment!$A$2:$GZ$2000,MATCH($A142,INDEX(Enrichment!$A$2:$GZ$2000,0,MATCH("row_id",Enrichment!$A$1:$GZ$1,0)),0),MATCH("backup_work_email",Enrichment!$A$1:$GZ$1,0))&amp;"",""))</f>
        <v/>
      </c>
      <c r="BQ142" s="0" t="str">
        <f aca="false">IF($A142="","",IF(BP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none</v>
      </c>
      <c r="BS142" s="0" t="s">
        <v>380</v>
      </c>
      <c r="BW142" s="0" t="s">
        <v>5741</v>
      </c>
      <c r="BX142" s="0" t="s">
        <v>388</v>
      </c>
      <c r="BY142" s="0" t="s">
        <v>6844</v>
      </c>
      <c r="BZ142" s="0" t="s">
        <v>8916</v>
      </c>
      <c r="CB142" s="0" t="s">
        <v>8917</v>
      </c>
      <c r="CJ142" s="0" t="s">
        <v>7088</v>
      </c>
      <c r="CK142" s="0" t="s">
        <v>200</v>
      </c>
      <c r="CM142" s="0" t="s">
        <v>201</v>
      </c>
      <c r="CN142" s="0" t="s">
        <v>8918</v>
      </c>
      <c r="CO142" s="0" t="s">
        <v>8919</v>
      </c>
      <c r="CP142" s="0" t="s">
        <v>7450</v>
      </c>
      <c r="CQ142" s="0" t="s">
        <v>6084</v>
      </c>
      <c r="CR142" s="0" t="s">
        <v>209</v>
      </c>
      <c r="CT142" s="0" t="s">
        <v>164</v>
      </c>
      <c r="CU142" s="0" t="s">
        <v>8920</v>
      </c>
      <c r="CV142" s="0" t="s">
        <v>189</v>
      </c>
      <c r="CW142" s="0" t="s">
        <v>189</v>
      </c>
      <c r="CX142" s="0" t="s">
        <v>209</v>
      </c>
      <c r="CZ142" s="0" t="s">
        <v>209</v>
      </c>
      <c r="DA142" s="0" t="s">
        <v>189</v>
      </c>
      <c r="DB142" s="0" t="s">
        <v>189</v>
      </c>
      <c r="DD142" s="0" t="n">
        <v>0</v>
      </c>
      <c r="DE142" s="0" t="s">
        <v>164</v>
      </c>
      <c r="DF142" s="0" t="n">
        <v>2</v>
      </c>
      <c r="DG142" s="0" t="s">
        <v>5746</v>
      </c>
      <c r="DI142" s="0" t="s">
        <v>8921</v>
      </c>
      <c r="DJ142" s="0" t="s">
        <v>8922</v>
      </c>
      <c r="DK142" s="0" t="s">
        <v>380</v>
      </c>
      <c r="DN142" s="0" t="n">
        <v>36</v>
      </c>
      <c r="DO142" s="0" t="n">
        <v>25</v>
      </c>
      <c r="DP142" s="0" t="n">
        <v>8</v>
      </c>
      <c r="DQ142" s="0" t="n">
        <v>0</v>
      </c>
      <c r="DR142" s="0" t="n">
        <v>5</v>
      </c>
      <c r="DS142" s="0" t="n">
        <v>4</v>
      </c>
      <c r="DT142" s="0" t="n">
        <v>6</v>
      </c>
      <c r="DU142" s="0" t="n">
        <f aca="false">IF($A142="","",IF(R142="Y",10,0))</f>
        <v>0</v>
      </c>
      <c r="DV142" s="0" t="n">
        <v>-12</v>
      </c>
      <c r="DW142" s="0" t="s">
        <v>209</v>
      </c>
      <c r="DX142" s="0" t="s">
        <v>5814</v>
      </c>
      <c r="DY142" s="0" t="s">
        <v>8923</v>
      </c>
      <c r="DZ142" s="0" t="s">
        <v>8924</v>
      </c>
      <c r="EV142" s="0" t="str">
        <f aca="false">IF($A142="","",IF(ISNUMBER(MATCH(U142,{"queued","contacted","replied","call_booked","call_done","yes_in_principle","materials_sent"},0)),"Y","N"))</f>
        <v>N</v>
      </c>
      <c r="EW142" s="0" t="str">
        <f aca="false">IF($A142="","",IF(OR(T142="Y",U142="do_not_contact",AQ142&amp;""&lt;&gt;""),"Y","N"))</f>
        <v>N</v>
      </c>
      <c r="EX142" s="0" t="str">
        <f aca="false">IF($A142="","",IF(AN142&amp;""&lt;&gt;"",AN142&amp;"",$A142))</f>
        <v>AB-028</v>
      </c>
      <c r="EY142" s="0" t="str">
        <f aca="false">IF($A142="","",IF(COUNTIFS($EX$2:$EX$1000,EX142,$EV$2:$EV$1000,"Y")+COUNTIFS($EX$2:$EX$1000,EX142,$EW$2:$EW$1000,"Y")&gt;0,"Y","N"))</f>
        <v>N</v>
      </c>
      <c r="EZ142" s="0" t="str">
        <f aca="false">IF($A142="","",IF(AND(U142="new",T142="N",EW142="N",AR142="Y",EY142="N"),"Y","N"))</f>
        <v>N</v>
      </c>
      <c r="FA142" s="0" t="str">
        <f aca="false">IF($A142="","",IF(EZ142&lt;&gt;"Y","N",IF(COUNTIFS($EX$2:$EX$1000,EX142,$EZ$2:$EZ$1000,"Y",$J$2:$J$1000,"&gt;"&amp;J142)+COUNTIFS($EX$2:$EX$1000,EX142,$EZ$2:$EZ$1000,"Y",$J$2:$J$1000,J142,$FG$2:$FG$1000,"&lt;"&amp;FG142)=0,"Y","N")))</f>
        <v>N</v>
      </c>
      <c r="FB142" s="0" t="str">
        <f aca="false">IF($A142="","",IF(AND(EZ142="Y",FA142="Y",Y142&amp;""&lt;&gt;""),IF(Y142&lt;=10,"Y","N"),"N"))</f>
        <v>N</v>
      </c>
      <c r="FC142" s="0" t="str">
        <f aca="false">IF(FB142="Y",Y142,"")</f>
        <v/>
      </c>
      <c r="FD142" s="0" t="str">
        <f aca="false">IF($A142="","",IF(AND(CK142="pass",AU142="Y",AV142&lt;&gt;"Y",U142="new",EW142="N"),"Y","N"))</f>
        <v>Y</v>
      </c>
      <c r="FE142" s="0" t="str">
        <f aca="false">IF(FD142&lt;&gt;"Y","",IF(COUNTIFS($FD$2:$FD$1000,"Y",$J$2:$J$1000,"&gt;"&amp;J142)+COUNTIFS($FD$2:$FD$1000,"Y",$J$2:$J$1000,J142,$FG$2:$FG$1000,"&lt;"&amp;FG142)+1&lt;=30,COUNTIFS($FD$2:$FD$1000,"Y",$J$2:$J$1000,"&gt;"&amp;J142)+COUNTIFS($FD$2:$FD$1000,"Y",$J$2:$J$1000,J142,$FG$2:$FG$1000,"&lt;"&amp;FG142)+1,""))</f>
        <v/>
      </c>
      <c r="FF142" s="0" t="str">
        <f aca="false">IF(AND(_xlfn.ISFORMULA(C142),_xlfn.ISFORMULA(J142)),"Y","N")</f>
        <v>Y</v>
      </c>
      <c r="FG142" s="0" t="n">
        <f aca="false">ROW()-1</f>
        <v>141</v>
      </c>
    </row>
    <row r="143" customFormat="false" ht="15" hidden="false" customHeight="false" outlineLevel="0" collapsed="false">
      <c r="A143" s="0" t="s">
        <v>8925</v>
      </c>
      <c r="B143" s="0" t="s">
        <v>8926</v>
      </c>
      <c r="C143" s="0" t="str">
        <f aca="false">IF($A143="","",IF(AT143="Y",BL143&amp;"",AY143&amp;""))</f>
        <v>Taylor</v>
      </c>
      <c r="D143" s="0" t="str">
        <f aca="false">IF($A143="","",IF(AT143="Y",BM143&amp;"",AZ143&amp;""))</f>
        <v>Blue</v>
      </c>
      <c r="E143" s="0" t="str">
        <f aca="false">IF($A143="","",IF(AT143="Y",BN143&amp;"",BA143&amp;""))</f>
        <v>Founder and CEO</v>
      </c>
      <c r="F143" s="0" t="str">
        <f aca="false">IF($A143="","",IF(AT143="Y",BO143&amp;"",BB143&amp;""))</f>
        <v/>
      </c>
      <c r="G143" s="0" t="str">
        <f aca="false">IF($A143="","",IF(AT143="Y",BP143&amp;"",BC143&amp;""))</f>
        <v/>
      </c>
      <c r="H143" s="0" t="str">
        <f aca="false">IF($A143="","",IF(AT143="Y",BQ143&amp;"",BD143&amp;""))</f>
        <v>none</v>
      </c>
      <c r="I143" s="0" t="str">
        <f aca="false">IF($A143="","",IF(R143="Y","warm-intro",IF(H143="verified","email",IF(C143&lt;&gt;"","linkedin",CA143&amp;""))))</f>
        <v>linkedin</v>
      </c>
      <c r="J143" s="0" t="n">
        <f aca="false">IF($A143="","",IF(CK143="pass",ROUND(N(DO143)+N(DP143)+N(DQ143)+N(DR143)+N(DS143)+N(DT143)+N(DU143)+N(DV143),0),0))</f>
        <v>36</v>
      </c>
      <c r="K143" s="0" t="str">
        <f aca="false">IF($A143="","",IF(CK143&lt;&gt;"pass",BY143&amp;"",BY143&amp;", "&amp;IF(AT143="Y",BX143&amp;"",BK143&amp;"")&amp;BZ143&amp;IF(R143="Y","; known to the founder (+10)","")&amp;"."))</f>
        <v>Brand based outside the Northeast, no graded store within ten blocks, online store only, a new store listing 95 days ago, revenue unknown, contact named; founder review: format-unconfirmed.</v>
      </c>
      <c r="M143" s="0" t="s">
        <v>6144</v>
      </c>
      <c r="N143" s="0" t="s">
        <v>740</v>
      </c>
      <c r="O143" s="0" t="s">
        <v>8927</v>
      </c>
      <c r="P143" s="0" t="s">
        <v>6950</v>
      </c>
      <c r="Q143" s="0" t="s">
        <v>3658</v>
      </c>
      <c r="R143" s="5" t="s">
        <v>189</v>
      </c>
      <c r="S143" s="0" t="s">
        <v>164</v>
      </c>
      <c r="T143" s="5" t="s">
        <v>189</v>
      </c>
      <c r="U143" s="5" t="s">
        <v>3896</v>
      </c>
      <c r="V143" s="0" t="s">
        <v>8928</v>
      </c>
      <c r="W143" s="0" t="s">
        <v>263</v>
      </c>
      <c r="X143" s="0" t="s">
        <v>5578</v>
      </c>
      <c r="Y143" s="0" t="n">
        <f aca="false">IF(FA143&lt;&gt;"Y","",COUNTIFS($FA$2:$FA$1000,"Y",$J$2:$J$1000,"&gt;"&amp;J143)+COUNTIFS($FA$2:$FA$1000,"Y",$J$2:$J$1000,J143,$FG$2:$FG$1000,"&lt;"&amp;FG143)+1)</f>
        <v>55</v>
      </c>
      <c r="Z143" s="0" t="n">
        <v>142</v>
      </c>
      <c r="AA143" s="0" t="s">
        <v>189</v>
      </c>
      <c r="AB143" s="0" t="str">
        <f aca="false">IF($A143="","",IF(AT143="Y",BW143&amp;"",BJ143&amp;""))</f>
        <v>find Taylor Blue at Little Latke on LinkedIn and paste the profile URL into primary_linkedin_url</v>
      </c>
      <c r="AC143" s="0" t="str">
        <f aca="false">IF($A143="","",IF(AT143="Y",BR143&amp;"",BE143&amp;""))</f>
        <v>founder</v>
      </c>
      <c r="AD143" s="0" t="str">
        <f aca="false">IF($A143="","",IF(AT143="Y",BS143&amp;"",BF143&amp;""))</f>
        <v>verified-page</v>
      </c>
      <c r="AE143" s="0" t="str">
        <f aca="false">IF($A143="","",IF(AT143="Y",BT143&amp;"",BG143&amp;""))</f>
        <v>employer's own site</v>
      </c>
      <c r="AF143" s="0" t="str">
        <f aca="false">IF($A143="","",IF(AT143="Y",BU143&amp;"",BH143&amp;""))</f>
        <v>https://www.littlelatke.com/pages/story</v>
      </c>
      <c r="AG143" s="0" t="str">
        <f aca="false">IF($A143="","",IF(AT143="Y",BV143&amp;"",BI143&amp;""))</f>
        <v>2026-10-23</v>
      </c>
      <c r="AH143" s="0" t="s">
        <v>8929</v>
      </c>
      <c r="AI143" s="0" t="s">
        <v>5789</v>
      </c>
      <c r="AJ143" s="0" t="s">
        <v>8930</v>
      </c>
      <c r="AK143" s="0" t="s">
        <v>8931</v>
      </c>
      <c r="AL143" s="0" t="s">
        <v>164</v>
      </c>
      <c r="AM143" s="0" t="s">
        <v>5760</v>
      </c>
      <c r="AN143" s="0" t="s">
        <v>8925</v>
      </c>
      <c r="AO143" s="5" t="s">
        <v>189</v>
      </c>
      <c r="AR143" s="0" t="str">
        <f aca="false">IF($A143="","",IF(AND(CK143="pass",AO143&lt;&gt;"Y",C143&lt;&gt;"",OR(AU143&lt;&gt;"Y",AV143="Y")),"Y","N"))</f>
        <v>Y</v>
      </c>
      <c r="AS143" s="0" t="str">
        <f aca="false">IF($A143="","",_xlfn.TEXTJOIN("; ",TRUE(),IF(CK143&lt;&gt;"pass","gated out",""),IF(AO143="Y","on hold: "&amp;AP143,""),IF(C143="","no contact named on an opened page",""),IF(AND(AU143="Y",AV143&lt;&gt;"Y"),"founder review pending (Founder review tab)","")))</f>
        <v/>
      </c>
      <c r="AU143" s="0" t="s">
        <v>189</v>
      </c>
      <c r="AY143" s="0" t="s">
        <v>1210</v>
      </c>
      <c r="AZ143" s="0" t="s">
        <v>8932</v>
      </c>
      <c r="BA143" s="0" t="s">
        <v>5670</v>
      </c>
      <c r="BC143" s="0" t="str">
        <f aca="false">IF($A143="","",IFERROR(INDEX(Enrichment!$A$2:$GZ$2000,MATCH($A143,INDEX(Enrichment!$A$2:$GZ$2000,0,MATCH("row_id",Enrichment!$A$1:$GZ$1,0)),0),MATCH("work_email",Enrichment!$A$1:$GZ$1,0))&amp;"",""))</f>
        <v/>
      </c>
      <c r="BD143" s="0" t="str">
        <f aca="false">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none</v>
      </c>
      <c r="BE143" s="0" t="s">
        <v>5589</v>
      </c>
      <c r="BF143" s="0" t="s">
        <v>169</v>
      </c>
      <c r="BG143" s="0" t="s">
        <v>170</v>
      </c>
      <c r="BH143" s="0" t="s">
        <v>8928</v>
      </c>
      <c r="BI143" s="0" t="s">
        <v>263</v>
      </c>
      <c r="BJ143" s="0" t="s">
        <v>8933</v>
      </c>
      <c r="BK143" s="0" t="s">
        <v>5643</v>
      </c>
      <c r="BP143" s="0" t="str">
        <f aca="false">IF($A143="","",IFERROR(INDEX(Enrichment!$A$2:$GZ$2000,MATCH($A143,INDEX(Enrichment!$A$2:$GZ$2000,0,MATCH("row_id",Enrichment!$A$1:$GZ$1,0)),0),MATCH("backup_work_email",Enrichment!$A$1:$GZ$1,0))&amp;"",""))</f>
        <v/>
      </c>
      <c r="BQ143" s="0" t="str">
        <f aca="false">IF($A143="","",IF(BP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none</v>
      </c>
      <c r="BS143" s="0" t="s">
        <v>380</v>
      </c>
      <c r="BW143" s="0" t="s">
        <v>387</v>
      </c>
      <c r="BX143" s="0" t="s">
        <v>388</v>
      </c>
      <c r="BY143" s="0" t="s">
        <v>8934</v>
      </c>
      <c r="BZ143" s="0" t="s">
        <v>5769</v>
      </c>
      <c r="CB143" s="0" t="s">
        <v>8935</v>
      </c>
      <c r="CJ143" s="0" t="s">
        <v>7088</v>
      </c>
      <c r="CK143" s="0" t="s">
        <v>200</v>
      </c>
      <c r="CM143" s="0" t="s">
        <v>201</v>
      </c>
      <c r="CN143" s="0" t="s">
        <v>5774</v>
      </c>
      <c r="CO143" s="0" t="s">
        <v>8931</v>
      </c>
      <c r="CP143" s="0" t="s">
        <v>6263</v>
      </c>
      <c r="CQ143" s="0" t="s">
        <v>6198</v>
      </c>
      <c r="CR143" s="0" t="s">
        <v>209</v>
      </c>
      <c r="CT143" s="0" t="s">
        <v>164</v>
      </c>
      <c r="CU143" s="0" t="s">
        <v>8936</v>
      </c>
      <c r="CV143" s="0" t="s">
        <v>209</v>
      </c>
      <c r="CW143" s="0" t="s">
        <v>164</v>
      </c>
      <c r="CX143" s="0" t="s">
        <v>209</v>
      </c>
      <c r="CZ143" s="0" t="s">
        <v>209</v>
      </c>
      <c r="DA143" s="0" t="s">
        <v>189</v>
      </c>
      <c r="DB143" s="0" t="s">
        <v>189</v>
      </c>
      <c r="DE143" s="0" t="s">
        <v>189</v>
      </c>
      <c r="DF143" s="0" t="n">
        <v>0</v>
      </c>
      <c r="DH143" s="0" t="s">
        <v>7473</v>
      </c>
      <c r="DI143" s="0" t="s">
        <v>8937</v>
      </c>
      <c r="DJ143" s="0" t="s">
        <v>8938</v>
      </c>
      <c r="DK143" s="0" t="s">
        <v>5689</v>
      </c>
      <c r="DL143" s="0" t="n">
        <v>95</v>
      </c>
      <c r="DM143" s="0" t="s">
        <v>6950</v>
      </c>
      <c r="DN143" s="0" t="n">
        <v>36</v>
      </c>
      <c r="DO143" s="0" t="n">
        <v>6</v>
      </c>
      <c r="DP143" s="0" t="n">
        <v>3</v>
      </c>
      <c r="DQ143" s="0" t="n">
        <v>8</v>
      </c>
      <c r="DR143" s="0" t="n">
        <v>5</v>
      </c>
      <c r="DS143" s="0" t="n">
        <v>8</v>
      </c>
      <c r="DT143" s="0" t="n">
        <v>6</v>
      </c>
      <c r="DU143" s="0" t="n">
        <f aca="false">IF($A143="","",IF(R143="Y",10,0))</f>
        <v>0</v>
      </c>
      <c r="DV143" s="0" t="n">
        <v>0</v>
      </c>
      <c r="DW143" s="0" t="s">
        <v>8939</v>
      </c>
      <c r="DX143" s="0" t="s">
        <v>5814</v>
      </c>
      <c r="DY143" s="0" t="s">
        <v>8940</v>
      </c>
      <c r="DZ143" s="0" t="s">
        <v>8941</v>
      </c>
      <c r="EA143" s="0" t="s">
        <v>8942</v>
      </c>
      <c r="EV143" s="0" t="str">
        <f aca="false">IF($A143="","",IF(ISNUMBER(MATCH(U143,{"queued","contacted","replied","call_booked","call_done","yes_in_principle","materials_sent"},0)),"Y","N"))</f>
        <v>N</v>
      </c>
      <c r="EW143" s="0" t="str">
        <f aca="false">IF($A143="","",IF(OR(T143="Y",U143="do_not_contact",AQ143&amp;""&lt;&gt;""),"Y","N"))</f>
        <v>N</v>
      </c>
      <c r="EX143" s="0" t="str">
        <f aca="false">IF($A143="","",IF(AN143&amp;""&lt;&gt;"",AN143&amp;"",$A143))</f>
        <v>AB-008</v>
      </c>
      <c r="EY143" s="0" t="str">
        <f aca="false">IF($A143="","",IF(COUNTIFS($EX$2:$EX$1000,EX143,$EV$2:$EV$1000,"Y")+COUNTIFS($EX$2:$EX$1000,EX143,$EW$2:$EW$1000,"Y")&gt;0,"Y","N"))</f>
        <v>N</v>
      </c>
      <c r="EZ143" s="0" t="str">
        <f aca="false">IF($A143="","",IF(AND(U143="new",T143="N",EW143="N",AR143="Y",EY143="N"),"Y","N"))</f>
        <v>Y</v>
      </c>
      <c r="FA143" s="0" t="str">
        <f aca="false">IF($A143="","",IF(EZ143&lt;&gt;"Y","N",IF(COUNTIFS($EX$2:$EX$1000,EX143,$EZ$2:$EZ$1000,"Y",$J$2:$J$1000,"&gt;"&amp;J143)+COUNTIFS($EX$2:$EX$1000,EX143,$EZ$2:$EZ$1000,"Y",$J$2:$J$1000,J143,$FG$2:$FG$1000,"&lt;"&amp;FG143)=0,"Y","N")))</f>
        <v>Y</v>
      </c>
      <c r="FB143" s="0" t="str">
        <f aca="false">IF($A143="","",IF(AND(EZ143="Y",FA143="Y",Y143&amp;""&lt;&gt;""),IF(Y143&lt;=10,"Y","N"),"N"))</f>
        <v>N</v>
      </c>
      <c r="FC143" s="0" t="str">
        <f aca="false">IF(FB143="Y",Y143,"")</f>
        <v/>
      </c>
      <c r="FD143" s="0" t="str">
        <f aca="false">IF($A143="","",IF(AND(CK143="pass",AU143="Y",AV143&lt;&gt;"Y",U143="new",EW143="N"),"Y","N"))</f>
        <v>N</v>
      </c>
      <c r="FE143" s="0" t="str">
        <f aca="false">IF(FD143&lt;&gt;"Y","",IF(COUNTIFS($FD$2:$FD$1000,"Y",$J$2:$J$1000,"&gt;"&amp;J143)+COUNTIFS($FD$2:$FD$1000,"Y",$J$2:$J$1000,J143,$FG$2:$FG$1000,"&lt;"&amp;FG143)+1&lt;=30,COUNTIFS($FD$2:$FD$1000,"Y",$J$2:$J$1000,"&gt;"&amp;J143)+COUNTIFS($FD$2:$FD$1000,"Y",$J$2:$J$1000,J143,$FG$2:$FG$1000,"&lt;"&amp;FG143)+1,""))</f>
        <v/>
      </c>
      <c r="FF143" s="0" t="str">
        <f aca="false">IF(AND(_xlfn.ISFORMULA(C143),_xlfn.ISFORMULA(J143)),"Y","N")</f>
        <v>Y</v>
      </c>
      <c r="FG143" s="0" t="n">
        <f aca="false">ROW()-1</f>
        <v>142</v>
      </c>
    </row>
    <row r="144" customFormat="false" ht="15" hidden="false" customHeight="false" outlineLevel="0" collapsed="false">
      <c r="A144" s="0" t="s">
        <v>8943</v>
      </c>
      <c r="B144" s="0" t="s">
        <v>8944</v>
      </c>
      <c r="C144" s="0" t="str">
        <f aca="false">IF($A144="","",IF(AT144="Y",BL144&amp;"",AY144&amp;""))</f>
        <v>Parwaz</v>
      </c>
      <c r="D144" s="0" t="str">
        <f aca="false">IF($A144="","",IF(AT144="Y",BM144&amp;"",AZ144&amp;""))</f>
        <v>unknown</v>
      </c>
      <c r="E144" s="0" t="str">
        <f aca="false">IF($A144="","",IF(AT144="Y",BN144&amp;"",BA144&amp;""))</f>
        <v>Owner</v>
      </c>
      <c r="F144" s="0" t="str">
        <f aca="false">IF($A144="","",IF(AT144="Y",BO144&amp;"",BB144&amp;""))</f>
        <v/>
      </c>
      <c r="G144" s="0" t="str">
        <f aca="false">IF($A144="","",IF(AT144="Y",BP144&amp;"",BC144&amp;""))</f>
        <v/>
      </c>
      <c r="H144" s="0" t="str">
        <f aca="false">IF($A144="","",IF(AT144="Y",BQ144&amp;"",BD144&amp;""))</f>
        <v>none</v>
      </c>
      <c r="I144" s="0" t="str">
        <f aca="false">IF($A144="","",IF(R144="Y","warm-intro",IF(H144="verified","email",IF(C144&lt;&gt;"","linkedin",CA144&amp;""))))</f>
        <v>linkedin</v>
      </c>
      <c r="J144" s="0" t="n">
        <f aca="false">IF($A144="","",IF(CK144="pass",ROUND(N(DO144)+N(DP144)+N(DQ144)+N(DR144)+N(DS144)+N(DT144)+N(DU144)+N(DV144),0),0))</f>
        <v>36</v>
      </c>
      <c r="K144" s="0" t="str">
        <f aca="false">IF($A144="","",IF(CK144&lt;&gt;"pass",BY144&amp;"",BY144&amp;", "&amp;IF(AT144="Y",BX144&amp;"",BK144&amp;"")&amp;BZ144&amp;IF(R144="Y","; known to the founder (+10)","")&amp;"."))</f>
        <v>Northeast brand, no graded store within ten blocks, online store only, a new store listing 95 days ago, revenue unknown, contact named (first name only); founder review: claim-functional, nutrient-claim.</v>
      </c>
      <c r="M144" s="0" t="s">
        <v>6144</v>
      </c>
      <c r="N144" s="0" t="s">
        <v>740</v>
      </c>
      <c r="O144" s="0" t="s">
        <v>8945</v>
      </c>
      <c r="P144" s="0" t="s">
        <v>8946</v>
      </c>
      <c r="Q144" s="0" t="s">
        <v>3658</v>
      </c>
      <c r="R144" s="5" t="s">
        <v>189</v>
      </c>
      <c r="S144" s="0" t="s">
        <v>209</v>
      </c>
      <c r="T144" s="5" t="s">
        <v>189</v>
      </c>
      <c r="U144" s="5" t="s">
        <v>3896</v>
      </c>
      <c r="V144" s="0" t="s">
        <v>8947</v>
      </c>
      <c r="W144" s="0" t="s">
        <v>172</v>
      </c>
      <c r="X144" s="0" t="s">
        <v>5578</v>
      </c>
      <c r="Y144" s="0" t="str">
        <f aca="false">IF(FA144&lt;&gt;"Y","",COUNTIFS($FA$2:$FA$1000,"Y",$J$2:$J$1000,"&gt;"&amp;J144)+COUNTIFS($FA$2:$FA$1000,"Y",$J$2:$J$1000,J144,$FG$2:$FG$1000,"&lt;"&amp;FG144)+1)</f>
        <v/>
      </c>
      <c r="Z144" s="0" t="n">
        <v>143</v>
      </c>
      <c r="AA144" s="0" t="s">
        <v>189</v>
      </c>
      <c r="AB144" s="0" t="str">
        <f aca="false">IF($A144="","",IF(AT144="Y",BW144&amp;"",BJ144&amp;""))</f>
        <v>find Parwaz at True North Granola on LinkedIn and paste the profile URL into primary_linkedin_url; surname not public: take it from LinkedIn</v>
      </c>
      <c r="AC144" s="0" t="str">
        <f aca="false">IF($A144="","",IF(AT144="Y",BR144&amp;"",BE144&amp;""))</f>
        <v>founder</v>
      </c>
      <c r="AD144" s="0" t="str">
        <f aca="false">IF($A144="","",IF(AT144="Y",BS144&amp;"",BF144&amp;""))</f>
        <v>first-name-only</v>
      </c>
      <c r="AE144" s="0" t="str">
        <f aca="false">IF($A144="","",IF(AT144="Y",BT144&amp;"",BG144&amp;""))</f>
        <v>employer's own site</v>
      </c>
      <c r="AF144" s="0" t="str">
        <f aca="false">IF($A144="","",IF(AT144="Y",BU144&amp;"",BH144&amp;""))</f>
        <v>https://truenorthgranola.com/pages/about-us</v>
      </c>
      <c r="AG144" s="0" t="str">
        <f aca="false">IF($A144="","",IF(AT144="Y",BV144&amp;"",BI144&amp;""))</f>
        <v>2026-10-24</v>
      </c>
      <c r="AH144" s="0" t="s">
        <v>8948</v>
      </c>
      <c r="AI144" s="0" t="s">
        <v>6042</v>
      </c>
      <c r="AJ144" s="0" t="s">
        <v>8949</v>
      </c>
      <c r="AK144" s="0" t="s">
        <v>8950</v>
      </c>
      <c r="AL144" s="0" t="s">
        <v>164</v>
      </c>
      <c r="AM144" s="0" t="s">
        <v>8951</v>
      </c>
      <c r="AN144" s="0" t="s">
        <v>8943</v>
      </c>
      <c r="AO144" s="5" t="s">
        <v>189</v>
      </c>
      <c r="AR144" s="0" t="str">
        <f aca="false">IF($A144="","",IF(AND(CK144="pass",AO144&lt;&gt;"Y",C144&lt;&gt;"",OR(AU144&lt;&gt;"Y",AV144="Y")),"Y","N"))</f>
        <v>N</v>
      </c>
      <c r="AS144" s="0" t="str">
        <f aca="false">IF($A144="","",_xlfn.TEXTJOIN("; ",TRUE(),IF(CK144&lt;&gt;"pass","gated out",""),IF(AO144="Y","on hold: "&amp;AP144,""),IF(C144="","no contact named on an opened page",""),IF(AND(AU144="Y",AV144&lt;&gt;"Y"),"founder review pending (Founder review tab)","")))</f>
        <v>founder review pending (Founder review tab)</v>
      </c>
      <c r="AU144" s="0" t="s">
        <v>164</v>
      </c>
      <c r="AY144" s="0" t="s">
        <v>8952</v>
      </c>
      <c r="AZ144" s="0" t="s">
        <v>209</v>
      </c>
      <c r="BA144" s="0" t="s">
        <v>6597</v>
      </c>
      <c r="BC144" s="0" t="str">
        <f aca="false">IF($A144="","",IFERROR(INDEX(Enrichment!$A$2:$GZ$2000,MATCH($A144,INDEX(Enrichment!$A$2:$GZ$2000,0,MATCH("row_id",Enrichment!$A$1:$GZ$1,0)),0),MATCH("work_email",Enrichment!$A$1:$GZ$1,0))&amp;"",""))</f>
        <v/>
      </c>
      <c r="BD144" s="0" t="str">
        <f aca="false">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none</v>
      </c>
      <c r="BE144" s="0" t="s">
        <v>5589</v>
      </c>
      <c r="BF144" s="0" t="s">
        <v>5896</v>
      </c>
      <c r="BG144" s="0" t="s">
        <v>170</v>
      </c>
      <c r="BH144" s="0" t="s">
        <v>8953</v>
      </c>
      <c r="BI144" s="0" t="s">
        <v>172</v>
      </c>
      <c r="BJ144" s="0" t="s">
        <v>8954</v>
      </c>
      <c r="BK144" s="0" t="s">
        <v>5898</v>
      </c>
      <c r="BL144" s="0" t="s">
        <v>8955</v>
      </c>
      <c r="BM144" s="0" t="s">
        <v>209</v>
      </c>
      <c r="BN144" s="0" t="s">
        <v>6597</v>
      </c>
      <c r="BP144" s="0" t="str">
        <f aca="false">IF($A144="","",IFERROR(INDEX(Enrichment!$A$2:$GZ$2000,MATCH($A144,INDEX(Enrichment!$A$2:$GZ$2000,0,MATCH("row_id",Enrichment!$A$1:$GZ$1,0)),0),MATCH("backup_work_email",Enrichment!$A$1:$GZ$1,0))&amp;"",""))</f>
        <v/>
      </c>
      <c r="BQ144" s="0" t="str">
        <f aca="false">IF($A144="","",IF(BP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none</v>
      </c>
      <c r="BR144" s="0" t="s">
        <v>7748</v>
      </c>
      <c r="BS144" s="0" t="s">
        <v>5896</v>
      </c>
      <c r="BT144" s="0" t="s">
        <v>170</v>
      </c>
      <c r="BU144" s="0" t="s">
        <v>8953</v>
      </c>
      <c r="BV144" s="0" t="s">
        <v>172</v>
      </c>
      <c r="BW144" s="0" t="s">
        <v>8956</v>
      </c>
      <c r="BX144" s="0" t="s">
        <v>5898</v>
      </c>
      <c r="BY144" s="0" t="s">
        <v>8957</v>
      </c>
      <c r="BZ144" s="0" t="s">
        <v>6050</v>
      </c>
      <c r="CB144" s="0" t="s">
        <v>8952</v>
      </c>
      <c r="CD144" s="0" t="s">
        <v>7751</v>
      </c>
      <c r="CF144" s="0" t="s">
        <v>8955</v>
      </c>
      <c r="CH144" s="0" t="s">
        <v>7751</v>
      </c>
      <c r="CJ144" s="0" t="s">
        <v>7088</v>
      </c>
      <c r="CK144" s="0" t="s">
        <v>200</v>
      </c>
      <c r="CM144" s="0" t="s">
        <v>201</v>
      </c>
      <c r="CN144" s="0" t="s">
        <v>6051</v>
      </c>
      <c r="CO144" s="0" t="s">
        <v>8950</v>
      </c>
      <c r="CP144" s="0" t="s">
        <v>6828</v>
      </c>
      <c r="CQ144" s="0" t="s">
        <v>6084</v>
      </c>
      <c r="CR144" s="0" t="s">
        <v>209</v>
      </c>
      <c r="CT144" s="0" t="s">
        <v>164</v>
      </c>
      <c r="CU144" s="0" t="s">
        <v>8958</v>
      </c>
      <c r="CV144" s="0" t="s">
        <v>164</v>
      </c>
      <c r="CW144" s="0" t="s">
        <v>164</v>
      </c>
      <c r="CX144" s="0" t="s">
        <v>209</v>
      </c>
      <c r="CZ144" s="0" t="s">
        <v>5993</v>
      </c>
      <c r="DA144" s="0" t="s">
        <v>189</v>
      </c>
      <c r="DB144" s="0" t="s">
        <v>189</v>
      </c>
      <c r="DE144" s="0" t="s">
        <v>189</v>
      </c>
      <c r="DF144" s="0" t="n">
        <v>0</v>
      </c>
      <c r="DI144" s="0" t="s">
        <v>209</v>
      </c>
      <c r="DK144" s="0" t="s">
        <v>5689</v>
      </c>
      <c r="DL144" s="0" t="n">
        <v>95</v>
      </c>
      <c r="DN144" s="0" t="n">
        <v>36</v>
      </c>
      <c r="DO144" s="0" t="n">
        <v>6</v>
      </c>
      <c r="DP144" s="0" t="n">
        <v>8</v>
      </c>
      <c r="DQ144" s="0" t="n">
        <v>8</v>
      </c>
      <c r="DR144" s="0" t="n">
        <v>5</v>
      </c>
      <c r="DS144" s="0" t="n">
        <v>10</v>
      </c>
      <c r="DT144" s="0" t="n">
        <v>3</v>
      </c>
      <c r="DU144" s="0" t="n">
        <f aca="false">IF($A144="","",IF(R144="Y",10,0))</f>
        <v>0</v>
      </c>
      <c r="DV144" s="0" t="n">
        <v>-4</v>
      </c>
      <c r="DW144" s="0" t="s">
        <v>8959</v>
      </c>
      <c r="DX144" s="0" t="s">
        <v>5998</v>
      </c>
      <c r="DY144" s="0" t="s">
        <v>8960</v>
      </c>
      <c r="DZ144" s="0" t="s">
        <v>8961</v>
      </c>
      <c r="EA144" s="0" t="s">
        <v>8962</v>
      </c>
      <c r="EV144" s="0" t="str">
        <f aca="false">IF($A144="","",IF(ISNUMBER(MATCH(U144,{"queued","contacted","replied","call_booked","call_done","yes_in_principle","materials_sent"},0)),"Y","N"))</f>
        <v>N</v>
      </c>
      <c r="EW144" s="0" t="str">
        <f aca="false">IF($A144="","",IF(OR(T144="Y",U144="do_not_contact",AQ144&amp;""&lt;&gt;""),"Y","N"))</f>
        <v>N</v>
      </c>
      <c r="EX144" s="0" t="str">
        <f aca="false">IF($A144="","",IF(AN144&amp;""&lt;&gt;"",AN144&amp;"",$A144))</f>
        <v>AB-288</v>
      </c>
      <c r="EY144" s="0" t="str">
        <f aca="false">IF($A144="","",IF(COUNTIFS($EX$2:$EX$1000,EX144,$EV$2:$EV$1000,"Y")+COUNTIFS($EX$2:$EX$1000,EX144,$EW$2:$EW$1000,"Y")&gt;0,"Y","N"))</f>
        <v>N</v>
      </c>
      <c r="EZ144" s="0" t="str">
        <f aca="false">IF($A144="","",IF(AND(U144="new",T144="N",EW144="N",AR144="Y",EY144="N"),"Y","N"))</f>
        <v>N</v>
      </c>
      <c r="FA144" s="0" t="str">
        <f aca="false">IF($A144="","",IF(EZ144&lt;&gt;"Y","N",IF(COUNTIFS($EX$2:$EX$1000,EX144,$EZ$2:$EZ$1000,"Y",$J$2:$J$1000,"&gt;"&amp;J144)+COUNTIFS($EX$2:$EX$1000,EX144,$EZ$2:$EZ$1000,"Y",$J$2:$J$1000,J144,$FG$2:$FG$1000,"&lt;"&amp;FG144)=0,"Y","N")))</f>
        <v>N</v>
      </c>
      <c r="FB144" s="0" t="str">
        <f aca="false">IF($A144="","",IF(AND(EZ144="Y",FA144="Y",Y144&amp;""&lt;&gt;""),IF(Y144&lt;=10,"Y","N"),"N"))</f>
        <v>N</v>
      </c>
      <c r="FC144" s="0" t="str">
        <f aca="false">IF(FB144="Y",Y144,"")</f>
        <v/>
      </c>
      <c r="FD144" s="0" t="str">
        <f aca="false">IF($A144="","",IF(AND(CK144="pass",AU144="Y",AV144&lt;&gt;"Y",U144="new",EW144="N"),"Y","N"))</f>
        <v>Y</v>
      </c>
      <c r="FE144" s="0" t="str">
        <f aca="false">IF(FD144&lt;&gt;"Y","",IF(COUNTIFS($FD$2:$FD$1000,"Y",$J$2:$J$1000,"&gt;"&amp;J144)+COUNTIFS($FD$2:$FD$1000,"Y",$J$2:$J$1000,J144,$FG$2:$FG$1000,"&lt;"&amp;FG144)+1&lt;=30,COUNTIFS($FD$2:$FD$1000,"Y",$J$2:$J$1000,"&gt;"&amp;J144)+COUNTIFS($FD$2:$FD$1000,"Y",$J$2:$J$1000,J144,$FG$2:$FG$1000,"&lt;"&amp;FG144)+1,""))</f>
        <v/>
      </c>
      <c r="FF144" s="0" t="str">
        <f aca="false">IF(AND(_xlfn.ISFORMULA(C144),_xlfn.ISFORMULA(J144)),"Y","N")</f>
        <v>Y</v>
      </c>
      <c r="FG144" s="0" t="n">
        <f aca="false">ROW()-1</f>
        <v>143</v>
      </c>
    </row>
    <row r="145" customFormat="false" ht="15" hidden="false" customHeight="false" outlineLevel="0" collapsed="false">
      <c r="A145" s="0" t="s">
        <v>8963</v>
      </c>
      <c r="B145" s="0" t="s">
        <v>8964</v>
      </c>
      <c r="C145" s="0" t="str">
        <f aca="false">IF($A145="","",IF(AT145="Y",BL145&amp;"",AY145&amp;""))</f>
        <v/>
      </c>
      <c r="D145" s="0" t="str">
        <f aca="false">IF($A145="","",IF(AT145="Y",BM145&amp;"",AZ145&amp;""))</f>
        <v/>
      </c>
      <c r="E145" s="0" t="str">
        <f aca="false">IF($A145="","",IF(AT145="Y",BN145&amp;"",BA145&amp;""))</f>
        <v/>
      </c>
      <c r="F145" s="0" t="str">
        <f aca="false">IF($A145="","",IF(AT145="Y",BO145&amp;"",BB145&amp;""))</f>
        <v/>
      </c>
      <c r="G145" s="0" t="str">
        <f aca="false">IF($A145="","",IF(AT145="Y",BP145&amp;"",BC145&amp;""))</f>
        <v/>
      </c>
      <c r="H145" s="0" t="str">
        <f aca="false">IF($A145="","",IF(AT145="Y",BQ145&amp;"",BD145&amp;""))</f>
        <v>none</v>
      </c>
      <c r="I145" s="0" t="str">
        <f aca="false">IF($A145="","",IF(R145="Y","warm-intro",IF(H145="verified","email",IF(C145&lt;&gt;"","linkedin",CA145&amp;""))))</f>
        <v/>
      </c>
      <c r="J145" s="0" t="n">
        <f aca="false">IF($A145="","",IF(CK145="pass",ROUND(N(DO145)+N(DP145)+N(DQ145)+N(DR145)+N(DS145)+N(DT145)+N(DU145)+N(DV145),0),0))</f>
        <v>36</v>
      </c>
      <c r="K145" s="0" t="str">
        <f aca="false">IF($A145="","",IF(CK145&lt;&gt;"pass",BY145&amp;"",BY145&amp;", "&amp;IF(AT145="Y",BX145&amp;"",BK145&amp;"")&amp;BZ145&amp;IF(R145="Y","; known to the founder (+10)","")&amp;"."))</f>
        <v>Brand based outside the Northeast (HQ unverified), store page shows Whole Foods Market NoMad inside the cluster, no dated why-now in the last 12 months, revenue unknown, contact seen only in a snippet; founder review: format.</v>
      </c>
      <c r="M145" s="0" t="s">
        <v>5572</v>
      </c>
      <c r="N145" s="0" t="s">
        <v>5573</v>
      </c>
      <c r="R145" s="5" t="s">
        <v>189</v>
      </c>
      <c r="S145" s="0" t="s">
        <v>209</v>
      </c>
      <c r="T145" s="5" t="s">
        <v>189</v>
      </c>
      <c r="U145" s="5" t="s">
        <v>3896</v>
      </c>
      <c r="V145" s="0" t="s">
        <v>8965</v>
      </c>
      <c r="W145" s="0" t="s">
        <v>263</v>
      </c>
      <c r="X145" s="0" t="s">
        <v>5578</v>
      </c>
      <c r="Y145" s="0" t="str">
        <f aca="false">IF(FA145&lt;&gt;"Y","",COUNTIFS($FA$2:$FA$1000,"Y",$J$2:$J$1000,"&gt;"&amp;J145)+COUNTIFS($FA$2:$FA$1000,"Y",$J$2:$J$1000,J145,$FG$2:$FG$1000,"&lt;"&amp;FG145)+1)</f>
        <v/>
      </c>
      <c r="Z145" s="0" t="n">
        <v>144</v>
      </c>
      <c r="AA145" s="0" t="s">
        <v>189</v>
      </c>
      <c r="AB145" s="0" t="str">
        <f aca="false">IF($A145="","",IF(AT145="Y",BW145&amp;"",BJ145&amp;""))</f>
        <v>no person named on an opened page: not ready; use the Whole Foods Market NoMad line only if retailer_checked_date is this week's Friday check</v>
      </c>
      <c r="AC145" s="0" t="str">
        <f aca="false">IF($A145="","",IF(AT145="Y",BR145&amp;"",BE145&amp;""))</f>
        <v>founder</v>
      </c>
      <c r="AD145" s="0" t="str">
        <f aca="false">IF($A145="","",IF(AT145="Y",BS145&amp;"",BF145&amp;""))</f>
        <v>unverified</v>
      </c>
      <c r="AE145" s="0" t="str">
        <f aca="false">IF($A145="","",IF(AT145="Y",BT145&amp;"",BG145&amp;""))</f>
        <v>unknown</v>
      </c>
      <c r="AF145" s="0" t="str">
        <f aca="false">IF($A145="","",IF(AT145="Y",BU145&amp;"",BH145&amp;""))</f>
        <v/>
      </c>
      <c r="AG145" s="0" t="str">
        <f aca="false">IF($A145="","",IF(AT145="Y",BV145&amp;"",BI145&amp;""))</f>
        <v>2026-10-23</v>
      </c>
      <c r="AH145" s="0" t="s">
        <v>8966</v>
      </c>
      <c r="AI145" s="0" t="s">
        <v>5789</v>
      </c>
      <c r="AJ145" s="0" t="s">
        <v>8967</v>
      </c>
      <c r="AL145" s="0" t="s">
        <v>164</v>
      </c>
      <c r="AM145" s="0" t="s">
        <v>8968</v>
      </c>
      <c r="AN145" s="0" t="s">
        <v>8963</v>
      </c>
      <c r="AO145" s="5" t="s">
        <v>189</v>
      </c>
      <c r="AR145" s="0" t="str">
        <f aca="false">IF($A145="","",IF(AND(CK145="pass",AO145&lt;&gt;"Y",C145&lt;&gt;"",OR(AU145&lt;&gt;"Y",AV145="Y")),"Y","N"))</f>
        <v>N</v>
      </c>
      <c r="AS145" s="0" t="str">
        <f aca="false">IF($A145="","",_xlfn.TEXTJOIN("; ",TRUE(),IF(CK145&lt;&gt;"pass","gated out",""),IF(AO145="Y","on hold: "&amp;AP145,""),IF(C145="","no contact named on an opened page",""),IF(AND(AU145="Y",AV145&lt;&gt;"Y"),"founder review pending (Founder review tab)","")))</f>
        <v>no contact named on an opened page; founder review pending (Founder review tab)</v>
      </c>
      <c r="AU145" s="0" t="s">
        <v>164</v>
      </c>
      <c r="AX145" s="0" t="s">
        <v>8969</v>
      </c>
      <c r="BC145" s="0" t="str">
        <f aca="false">IF($A145="","",IFERROR(INDEX(Enrichment!$A$2:$GZ$2000,MATCH($A145,INDEX(Enrichment!$A$2:$GZ$2000,0,MATCH("row_id",Enrichment!$A$1:$GZ$1,0)),0),MATCH("work_email",Enrichment!$A$1:$GZ$1,0))&amp;"",""))</f>
        <v/>
      </c>
      <c r="BD145" s="0" t="str">
        <f aca="false">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none</v>
      </c>
      <c r="BE145" s="0" t="s">
        <v>5589</v>
      </c>
      <c r="BF145" s="0" t="s">
        <v>740</v>
      </c>
      <c r="BG145" s="0" t="s">
        <v>209</v>
      </c>
      <c r="BI145" s="0" t="s">
        <v>263</v>
      </c>
      <c r="BJ145" s="0" t="s">
        <v>6047</v>
      </c>
      <c r="BK145" s="0" t="s">
        <v>5834</v>
      </c>
      <c r="BP145" s="0" t="str">
        <f aca="false">IF($A145="","",IFERROR(INDEX(Enrichment!$A$2:$GZ$2000,MATCH($A145,INDEX(Enrichment!$A$2:$GZ$2000,0,MATCH("row_id",Enrichment!$A$1:$GZ$1,0)),0),MATCH("backup_work_email",Enrichment!$A$1:$GZ$1,0))&amp;"",""))</f>
        <v/>
      </c>
      <c r="BQ145" s="0" t="str">
        <f aca="false">IF($A145="","",IF(BP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none</v>
      </c>
      <c r="BR145" s="0" t="s">
        <v>7748</v>
      </c>
      <c r="BS145" s="0" t="s">
        <v>740</v>
      </c>
      <c r="BT145" s="0" t="s">
        <v>209</v>
      </c>
      <c r="BV145" s="0" t="s">
        <v>263</v>
      </c>
      <c r="BW145" s="0" t="s">
        <v>5741</v>
      </c>
      <c r="BX145" s="0" t="s">
        <v>5834</v>
      </c>
      <c r="BY145" s="0" t="s">
        <v>7231</v>
      </c>
      <c r="BZ145" s="0" t="s">
        <v>5802</v>
      </c>
      <c r="CB145" s="0" t="s">
        <v>8970</v>
      </c>
      <c r="CD145" s="0" t="s">
        <v>8971</v>
      </c>
      <c r="CF145" s="0" t="s">
        <v>8972</v>
      </c>
      <c r="CH145" s="0" t="s">
        <v>8971</v>
      </c>
      <c r="CJ145" s="0" t="s">
        <v>7088</v>
      </c>
      <c r="CK145" s="0" t="s">
        <v>200</v>
      </c>
      <c r="CM145" s="0" t="s">
        <v>201</v>
      </c>
      <c r="CN145" s="0" t="s">
        <v>5808</v>
      </c>
      <c r="CO145" s="0" t="s">
        <v>8973</v>
      </c>
      <c r="CP145" s="0" t="s">
        <v>8974</v>
      </c>
      <c r="CQ145" s="0" t="s">
        <v>7235</v>
      </c>
      <c r="CR145" s="0" t="s">
        <v>209</v>
      </c>
      <c r="CT145" s="0" t="s">
        <v>164</v>
      </c>
      <c r="CU145" s="0" t="s">
        <v>8975</v>
      </c>
      <c r="CV145" s="0" t="s">
        <v>189</v>
      </c>
      <c r="CW145" s="0" t="s">
        <v>189</v>
      </c>
      <c r="CX145" s="0" t="s">
        <v>209</v>
      </c>
      <c r="CZ145" s="0" t="s">
        <v>209</v>
      </c>
      <c r="DA145" s="0" t="s">
        <v>189</v>
      </c>
      <c r="DB145" s="0" t="s">
        <v>189</v>
      </c>
      <c r="DD145" s="0" t="n">
        <v>0</v>
      </c>
      <c r="DE145" s="0" t="s">
        <v>164</v>
      </c>
      <c r="DF145" s="0" t="n">
        <v>3</v>
      </c>
      <c r="DG145" s="0" t="s">
        <v>5686</v>
      </c>
      <c r="DI145" s="0" t="s">
        <v>6054</v>
      </c>
      <c r="DJ145" s="0" t="s">
        <v>8976</v>
      </c>
      <c r="DK145" s="0" t="s">
        <v>380</v>
      </c>
      <c r="DN145" s="0" t="n">
        <v>36</v>
      </c>
      <c r="DO145" s="0" t="n">
        <v>25</v>
      </c>
      <c r="DP145" s="0" t="n">
        <v>3</v>
      </c>
      <c r="DQ145" s="0" t="n">
        <v>0</v>
      </c>
      <c r="DR145" s="0" t="n">
        <v>5</v>
      </c>
      <c r="DS145" s="0" t="n">
        <v>4</v>
      </c>
      <c r="DT145" s="0" t="n">
        <v>3</v>
      </c>
      <c r="DU145" s="0" t="n">
        <f aca="false">IF($A145="","",IF(R145="Y",10,0))</f>
        <v>0</v>
      </c>
      <c r="DV145" s="0" t="n">
        <v>-4</v>
      </c>
      <c r="DW145" s="0" t="s">
        <v>209</v>
      </c>
      <c r="DX145" s="0" t="s">
        <v>5814</v>
      </c>
      <c r="DY145" s="0" t="s">
        <v>8977</v>
      </c>
      <c r="DZ145" s="0" t="s">
        <v>8978</v>
      </c>
      <c r="EV145" s="0" t="str">
        <f aca="false">IF($A145="","",IF(ISNUMBER(MATCH(U145,{"queued","contacted","replied","call_booked","call_done","yes_in_principle","materials_sent"},0)),"Y","N"))</f>
        <v>N</v>
      </c>
      <c r="EW145" s="0" t="str">
        <f aca="false">IF($A145="","",IF(OR(T145="Y",U145="do_not_contact",AQ145&amp;""&lt;&gt;""),"Y","N"))</f>
        <v>N</v>
      </c>
      <c r="EX145" s="0" t="str">
        <f aca="false">IF($A145="","",IF(AN145&amp;""&lt;&gt;"",AN145&amp;"",$A145))</f>
        <v>AB-051</v>
      </c>
      <c r="EY145" s="0" t="str">
        <f aca="false">IF($A145="","",IF(COUNTIFS($EX$2:$EX$1000,EX145,$EV$2:$EV$1000,"Y")+COUNTIFS($EX$2:$EX$1000,EX145,$EW$2:$EW$1000,"Y")&gt;0,"Y","N"))</f>
        <v>N</v>
      </c>
      <c r="EZ145" s="0" t="str">
        <f aca="false">IF($A145="","",IF(AND(U145="new",T145="N",EW145="N",AR145="Y",EY145="N"),"Y","N"))</f>
        <v>N</v>
      </c>
      <c r="FA145" s="0" t="str">
        <f aca="false">IF($A145="","",IF(EZ145&lt;&gt;"Y","N",IF(COUNTIFS($EX$2:$EX$1000,EX145,$EZ$2:$EZ$1000,"Y",$J$2:$J$1000,"&gt;"&amp;J145)+COUNTIFS($EX$2:$EX$1000,EX145,$EZ$2:$EZ$1000,"Y",$J$2:$J$1000,J145,$FG$2:$FG$1000,"&lt;"&amp;FG145)=0,"Y","N")))</f>
        <v>N</v>
      </c>
      <c r="FB145" s="0" t="str">
        <f aca="false">IF($A145="","",IF(AND(EZ145="Y",FA145="Y",Y145&amp;""&lt;&gt;""),IF(Y145&lt;=10,"Y","N"),"N"))</f>
        <v>N</v>
      </c>
      <c r="FC145" s="0" t="str">
        <f aca="false">IF(FB145="Y",Y145,"")</f>
        <v/>
      </c>
      <c r="FD145" s="0" t="str">
        <f aca="false">IF($A145="","",IF(AND(CK145="pass",AU145="Y",AV145&lt;&gt;"Y",U145="new",EW145="N"),"Y","N"))</f>
        <v>Y</v>
      </c>
      <c r="FE145" s="0" t="str">
        <f aca="false">IF(FD145&lt;&gt;"Y","",IF(COUNTIFS($FD$2:$FD$1000,"Y",$J$2:$J$1000,"&gt;"&amp;J145)+COUNTIFS($FD$2:$FD$1000,"Y",$J$2:$J$1000,J145,$FG$2:$FG$1000,"&lt;"&amp;FG145)+1&lt;=30,COUNTIFS($FD$2:$FD$1000,"Y",$J$2:$J$1000,"&gt;"&amp;J145)+COUNTIFS($FD$2:$FD$1000,"Y",$J$2:$J$1000,J145,$FG$2:$FG$1000,"&lt;"&amp;FG145)+1,""))</f>
        <v/>
      </c>
      <c r="FF145" s="0" t="str">
        <f aca="false">IF(AND(_xlfn.ISFORMULA(C145),_xlfn.ISFORMULA(J145)),"Y","N")</f>
        <v>Y</v>
      </c>
      <c r="FG145" s="0" t="n">
        <f aca="false">ROW()-1</f>
        <v>144</v>
      </c>
    </row>
    <row r="146" customFormat="false" ht="15" hidden="false" customHeight="false" outlineLevel="0" collapsed="false">
      <c r="A146" s="0" t="s">
        <v>8979</v>
      </c>
      <c r="B146" s="0" t="s">
        <v>8980</v>
      </c>
      <c r="C146" s="0" t="str">
        <f aca="false">IF($A146="","",IF(AT146="Y",BL146&amp;"",AY146&amp;""))</f>
        <v/>
      </c>
      <c r="D146" s="0" t="str">
        <f aca="false">IF($A146="","",IF(AT146="Y",BM146&amp;"",AZ146&amp;""))</f>
        <v/>
      </c>
      <c r="E146" s="0" t="str">
        <f aca="false">IF($A146="","",IF(AT146="Y",BN146&amp;"",BA146&amp;""))</f>
        <v/>
      </c>
      <c r="F146" s="0" t="str">
        <f aca="false">IF($A146="","",IF(AT146="Y",BO146&amp;"",BB146&amp;""))</f>
        <v/>
      </c>
      <c r="G146" s="0" t="str">
        <f aca="false">IF($A146="","",IF(AT146="Y",BP146&amp;"",BC146&amp;""))</f>
        <v/>
      </c>
      <c r="H146" s="0" t="str">
        <f aca="false">IF($A146="","",IF(AT146="Y",BQ146&amp;"",BD146&amp;""))</f>
        <v>none</v>
      </c>
      <c r="I146" s="0" t="str">
        <f aca="false">IF($A146="","",IF(R146="Y","warm-intro",IF(H146="verified","email",IF(C146&lt;&gt;"","linkedin",CA146&amp;""))))</f>
        <v/>
      </c>
      <c r="J146" s="0" t="n">
        <f aca="false">IF($A146="","",IF(CK146="pass",ROUND(N(DO146)+N(DP146)+N(DQ146)+N(DR146)+N(DS146)+N(DT146)+N(DU146)+N(DV146),0),0))</f>
        <v>36</v>
      </c>
      <c r="K146" s="0" t="str">
        <f aca="false">IF($A146="","",IF(CK146&lt;&gt;"pass",BY146&amp;"",BY146&amp;", "&amp;IF(AT146="Y",BX146&amp;"",BK146&amp;"")&amp;BZ146&amp;IF(R146="Y","; known to the founder (+10)","")&amp;"."))</f>
        <v>Northeast brand, store page shows Whole Foods Market NoMad inside the cluster, no dated why-now in the last 12 months, revenue unknown, no contact named; founder review: scale, dormant, nutrient-claim.</v>
      </c>
      <c r="M146" s="0" t="s">
        <v>5572</v>
      </c>
      <c r="N146" s="0" t="s">
        <v>5573</v>
      </c>
      <c r="R146" s="5" t="s">
        <v>189</v>
      </c>
      <c r="S146" s="0" t="s">
        <v>209</v>
      </c>
      <c r="T146" s="5" t="s">
        <v>189</v>
      </c>
      <c r="U146" s="5" t="s">
        <v>3896</v>
      </c>
      <c r="V146" s="0" t="s">
        <v>8981</v>
      </c>
      <c r="W146" s="0" t="s">
        <v>263</v>
      </c>
      <c r="X146" s="0" t="s">
        <v>5578</v>
      </c>
      <c r="Y146" s="0" t="str">
        <f aca="false">IF(FA146&lt;&gt;"Y","",COUNTIFS($FA$2:$FA$1000,"Y",$J$2:$J$1000,"&gt;"&amp;J146)+COUNTIFS($FA$2:$FA$1000,"Y",$J$2:$J$1000,J146,$FG$2:$FG$1000,"&lt;"&amp;FG146)+1)</f>
        <v/>
      </c>
      <c r="Z146" s="0" t="n">
        <v>145</v>
      </c>
      <c r="AA146" s="0" t="s">
        <v>189</v>
      </c>
      <c r="AB146" s="0" t="str">
        <f aca="false">IF($A146="","",IF(AT146="Y",BW146&amp;"",BJ146&amp;""))</f>
        <v>no person named on an opened page: not ready; use the Whole Foods Market NoMad line only if retailer_checked_date is this week's Friday check</v>
      </c>
      <c r="AC146" s="0" t="str">
        <f aca="false">IF($A146="","",IF(AT146="Y",BR146&amp;"",BE146&amp;""))</f>
        <v/>
      </c>
      <c r="AD146" s="0" t="str">
        <f aca="false">IF($A146="","",IF(AT146="Y",BS146&amp;"",BF146&amp;""))</f>
        <v>none</v>
      </c>
      <c r="AE146" s="0" t="str">
        <f aca="false">IF($A146="","",IF(AT146="Y",BT146&amp;"",BG146&amp;""))</f>
        <v/>
      </c>
      <c r="AF146" s="0" t="str">
        <f aca="false">IF($A146="","",IF(AT146="Y",BU146&amp;"",BH146&amp;""))</f>
        <v/>
      </c>
      <c r="AG146" s="0" t="str">
        <f aca="false">IF($A146="","",IF(AT146="Y",BV146&amp;"",BI146&amp;""))</f>
        <v/>
      </c>
      <c r="AH146" s="0" t="s">
        <v>8982</v>
      </c>
      <c r="AI146" s="0" t="s">
        <v>6532</v>
      </c>
      <c r="AJ146" s="0" t="s">
        <v>8983</v>
      </c>
      <c r="AK146" s="0" t="s">
        <v>8984</v>
      </c>
      <c r="AL146" s="0" t="s">
        <v>164</v>
      </c>
      <c r="AM146" s="0" t="s">
        <v>8985</v>
      </c>
      <c r="AN146" s="0" t="s">
        <v>8979</v>
      </c>
      <c r="AO146" s="5" t="s">
        <v>189</v>
      </c>
      <c r="AR146" s="0" t="str">
        <f aca="false">IF($A146="","",IF(AND(CK146="pass",AO146&lt;&gt;"Y",C146&lt;&gt;"",OR(AU146&lt;&gt;"Y",AV146="Y")),"Y","N"))</f>
        <v>N</v>
      </c>
      <c r="AS146" s="0" t="str">
        <f aca="false">IF($A146="","",_xlfn.TEXTJOIN("; ",TRUE(),IF(CK146&lt;&gt;"pass","gated out",""),IF(AO146="Y","on hold: "&amp;AP146,""),IF(C146="","no contact named on an opened page",""),IF(AND(AU146="Y",AV146&lt;&gt;"Y"),"founder review pending (Founder review tab)","")))</f>
        <v>no contact named on an opened page; founder review pending (Founder review tab)</v>
      </c>
      <c r="AU146" s="0" t="s">
        <v>164</v>
      </c>
      <c r="AX146" s="0" t="s">
        <v>8986</v>
      </c>
      <c r="BC146" s="0" t="str">
        <f aca="false">IF($A146="","",IFERROR(INDEX(Enrichment!$A$2:$GZ$2000,MATCH($A146,INDEX(Enrichment!$A$2:$GZ$2000,0,MATCH("row_id",Enrichment!$A$1:$GZ$1,0)),0),MATCH("work_email",Enrichment!$A$1:$GZ$1,0))&amp;"",""))</f>
        <v/>
      </c>
      <c r="BD146" s="0" t="str">
        <f aca="false">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none</v>
      </c>
      <c r="BF146" s="0" t="s">
        <v>380</v>
      </c>
      <c r="BJ146" s="0" t="s">
        <v>6047</v>
      </c>
      <c r="BK146" s="0" t="s">
        <v>6048</v>
      </c>
      <c r="BP146" s="0" t="str">
        <f aca="false">IF($A146="","",IFERROR(INDEX(Enrichment!$A$2:$GZ$2000,MATCH($A146,INDEX(Enrichment!$A$2:$GZ$2000,0,MATCH("row_id",Enrichment!$A$1:$GZ$1,0)),0),MATCH("backup_work_email",Enrichment!$A$1:$GZ$1,0))&amp;"",""))</f>
        <v/>
      </c>
      <c r="BQ146" s="0" t="str">
        <f aca="false">IF($A146="","",IF(BP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none</v>
      </c>
      <c r="BS146" s="0" t="s">
        <v>380</v>
      </c>
      <c r="BW146" s="0" t="s">
        <v>5741</v>
      </c>
      <c r="BX146" s="0" t="s">
        <v>388</v>
      </c>
      <c r="BY146" s="0" t="s">
        <v>6844</v>
      </c>
      <c r="BZ146" s="0" t="s">
        <v>8987</v>
      </c>
      <c r="CJ146" s="0" t="s">
        <v>7088</v>
      </c>
      <c r="CK146" s="0" t="s">
        <v>200</v>
      </c>
      <c r="CM146" s="0" t="s">
        <v>201</v>
      </c>
      <c r="CN146" s="0" t="s">
        <v>8988</v>
      </c>
      <c r="CO146" s="0" t="s">
        <v>8984</v>
      </c>
      <c r="CP146" s="0" t="s">
        <v>5840</v>
      </c>
      <c r="CQ146" s="0" t="s">
        <v>6084</v>
      </c>
      <c r="CR146" s="0" t="s">
        <v>209</v>
      </c>
      <c r="CT146" s="0" t="s">
        <v>164</v>
      </c>
      <c r="CU146" s="0" t="s">
        <v>8989</v>
      </c>
      <c r="CV146" s="0" t="s">
        <v>164</v>
      </c>
      <c r="CW146" s="0" t="s">
        <v>164</v>
      </c>
      <c r="CX146" s="0" t="s">
        <v>209</v>
      </c>
      <c r="CZ146" s="0" t="s">
        <v>209</v>
      </c>
      <c r="DA146" s="0" t="s">
        <v>189</v>
      </c>
      <c r="DB146" s="0" t="s">
        <v>189</v>
      </c>
      <c r="DD146" s="0" t="n">
        <v>0</v>
      </c>
      <c r="DE146" s="0" t="s">
        <v>164</v>
      </c>
      <c r="DF146" s="0" t="n">
        <v>3</v>
      </c>
      <c r="DG146" s="0" t="s">
        <v>5686</v>
      </c>
      <c r="DI146" s="0" t="s">
        <v>8990</v>
      </c>
      <c r="DJ146" s="0" t="s">
        <v>8991</v>
      </c>
      <c r="DK146" s="0" t="s">
        <v>380</v>
      </c>
      <c r="DN146" s="0" t="n">
        <v>36</v>
      </c>
      <c r="DO146" s="0" t="n">
        <v>25</v>
      </c>
      <c r="DP146" s="0" t="n">
        <v>8</v>
      </c>
      <c r="DQ146" s="0" t="n">
        <v>0</v>
      </c>
      <c r="DR146" s="0" t="n">
        <v>5</v>
      </c>
      <c r="DS146" s="0" t="n">
        <v>10</v>
      </c>
      <c r="DT146" s="0" t="n">
        <v>0</v>
      </c>
      <c r="DU146" s="0" t="n">
        <f aca="false">IF($A146="","",IF(R146="Y",10,0))</f>
        <v>0</v>
      </c>
      <c r="DV146" s="0" t="n">
        <v>-12</v>
      </c>
      <c r="DW146" s="0" t="s">
        <v>8992</v>
      </c>
      <c r="DX146" s="0" t="s">
        <v>5691</v>
      </c>
      <c r="DY146" s="0" t="s">
        <v>8993</v>
      </c>
      <c r="DZ146" s="0" t="s">
        <v>8994</v>
      </c>
      <c r="EA146" s="0" t="s">
        <v>8995</v>
      </c>
      <c r="EV146" s="0" t="str">
        <f aca="false">IF($A146="","",IF(ISNUMBER(MATCH(U146,{"queued","contacted","replied","call_booked","call_done","yes_in_principle","materials_sent"},0)),"Y","N"))</f>
        <v>N</v>
      </c>
      <c r="EW146" s="0" t="str">
        <f aca="false">IF($A146="","",IF(OR(T146="Y",U146="do_not_contact",AQ146&amp;""&lt;&gt;""),"Y","N"))</f>
        <v>N</v>
      </c>
      <c r="EX146" s="0" t="str">
        <f aca="false">IF($A146="","",IF(AN146&amp;""&lt;&gt;"",AN146&amp;"",$A146))</f>
        <v>AB-085</v>
      </c>
      <c r="EY146" s="0" t="str">
        <f aca="false">IF($A146="","",IF(COUNTIFS($EX$2:$EX$1000,EX146,$EV$2:$EV$1000,"Y")+COUNTIFS($EX$2:$EX$1000,EX146,$EW$2:$EW$1000,"Y")&gt;0,"Y","N"))</f>
        <v>N</v>
      </c>
      <c r="EZ146" s="0" t="str">
        <f aca="false">IF($A146="","",IF(AND(U146="new",T146="N",EW146="N",AR146="Y",EY146="N"),"Y","N"))</f>
        <v>N</v>
      </c>
      <c r="FA146" s="0" t="str">
        <f aca="false">IF($A146="","",IF(EZ146&lt;&gt;"Y","N",IF(COUNTIFS($EX$2:$EX$1000,EX146,$EZ$2:$EZ$1000,"Y",$J$2:$J$1000,"&gt;"&amp;J146)+COUNTIFS($EX$2:$EX$1000,EX146,$EZ$2:$EZ$1000,"Y",$J$2:$J$1000,J146,$FG$2:$FG$1000,"&lt;"&amp;FG146)=0,"Y","N")))</f>
        <v>N</v>
      </c>
      <c r="FB146" s="0" t="str">
        <f aca="false">IF($A146="","",IF(AND(EZ146="Y",FA146="Y",Y146&amp;""&lt;&gt;""),IF(Y146&lt;=10,"Y","N"),"N"))</f>
        <v>N</v>
      </c>
      <c r="FC146" s="0" t="str">
        <f aca="false">IF(FB146="Y",Y146,"")</f>
        <v/>
      </c>
      <c r="FD146" s="0" t="str">
        <f aca="false">IF($A146="","",IF(AND(CK146="pass",AU146="Y",AV146&lt;&gt;"Y",U146="new",EW146="N"),"Y","N"))</f>
        <v>Y</v>
      </c>
      <c r="FE146" s="0" t="str">
        <f aca="false">IF(FD146&lt;&gt;"Y","",IF(COUNTIFS($FD$2:$FD$1000,"Y",$J$2:$J$1000,"&gt;"&amp;J146)+COUNTIFS($FD$2:$FD$1000,"Y",$J$2:$J$1000,J146,$FG$2:$FG$1000,"&lt;"&amp;FG146)+1&lt;=30,COUNTIFS($FD$2:$FD$1000,"Y",$J$2:$J$1000,"&gt;"&amp;J146)+COUNTIFS($FD$2:$FD$1000,"Y",$J$2:$J$1000,J146,$FG$2:$FG$1000,"&lt;"&amp;FG146)+1,""))</f>
        <v/>
      </c>
      <c r="FF146" s="0" t="str">
        <f aca="false">IF(AND(_xlfn.ISFORMULA(C146),_xlfn.ISFORMULA(J146)),"Y","N")</f>
        <v>Y</v>
      </c>
      <c r="FG146" s="0" t="n">
        <f aca="false">ROW()-1</f>
        <v>145</v>
      </c>
    </row>
    <row r="147" customFormat="false" ht="15" hidden="false" customHeight="false" outlineLevel="0" collapsed="false">
      <c r="A147" s="0" t="s">
        <v>8996</v>
      </c>
      <c r="B147" s="0" t="s">
        <v>8997</v>
      </c>
      <c r="C147" s="0" t="str">
        <f aca="false">IF($A147="","",IF(AT147="Y",BL147&amp;"",AY147&amp;""))</f>
        <v/>
      </c>
      <c r="D147" s="0" t="str">
        <f aca="false">IF($A147="","",IF(AT147="Y",BM147&amp;"",AZ147&amp;""))</f>
        <v/>
      </c>
      <c r="E147" s="0" t="str">
        <f aca="false">IF($A147="","",IF(AT147="Y",BN147&amp;"",BA147&amp;""))</f>
        <v/>
      </c>
      <c r="F147" s="0" t="str">
        <f aca="false">IF($A147="","",IF(AT147="Y",BO147&amp;"",BB147&amp;""))</f>
        <v/>
      </c>
      <c r="G147" s="0" t="str">
        <f aca="false">IF($A147="","",IF(AT147="Y",BP147&amp;"",BC147&amp;""))</f>
        <v/>
      </c>
      <c r="H147" s="0" t="str">
        <f aca="false">IF($A147="","",IF(AT147="Y",BQ147&amp;"",BD147&amp;""))</f>
        <v>none</v>
      </c>
      <c r="I147" s="0" t="str">
        <f aca="false">IF($A147="","",IF(R147="Y","warm-intro",IF(H147="verified","email",IF(C147&lt;&gt;"","linkedin",CA147&amp;""))))</f>
        <v/>
      </c>
      <c r="J147" s="0" t="n">
        <f aca="false">IF($A147="","",IF(CK147="pass",ROUND(N(DO147)+N(DP147)+N(DQ147)+N(DR147)+N(DS147)+N(DT147)+N(DU147)+N(DV147),0),0))</f>
        <v>36</v>
      </c>
      <c r="K147" s="0" t="str">
        <f aca="false">IF($A147="","",IF(CK147&lt;&gt;"pass",BY147&amp;"",BY147&amp;", "&amp;IF(AT147="Y",BX147&amp;"",BK147&amp;"")&amp;BZ147&amp;IF(R147="Y","; known to the founder (+10)","")&amp;"."))</f>
        <v>New York City brand, no graded store within ten blocks, online store only, no dated why-now in the last 12 months, revenue unknown, no contact named; founder review: alcohol-adjacent.</v>
      </c>
      <c r="M147" s="0" t="s">
        <v>6144</v>
      </c>
      <c r="N147" s="0" t="s">
        <v>740</v>
      </c>
      <c r="R147" s="5" t="s">
        <v>189</v>
      </c>
      <c r="S147" s="0" t="s">
        <v>209</v>
      </c>
      <c r="T147" s="5" t="s">
        <v>189</v>
      </c>
      <c r="U147" s="5" t="s">
        <v>3896</v>
      </c>
      <c r="V147" s="0" t="s">
        <v>8271</v>
      </c>
      <c r="W147" s="0" t="s">
        <v>172</v>
      </c>
      <c r="X147" s="0" t="s">
        <v>5578</v>
      </c>
      <c r="Y147" s="0" t="str">
        <f aca="false">IF(FA147&lt;&gt;"Y","",COUNTIFS($FA$2:$FA$1000,"Y",$J$2:$J$1000,"&gt;"&amp;J147)+COUNTIFS($FA$2:$FA$1000,"Y",$J$2:$J$1000,J147,$FG$2:$FG$1000,"&lt;"&amp;FG147)+1)</f>
        <v/>
      </c>
      <c r="Z147" s="0" t="n">
        <v>146</v>
      </c>
      <c r="AA147" s="0" t="s">
        <v>189</v>
      </c>
      <c r="AB147" s="0" t="str">
        <f aca="false">IF($A147="","",IF(AT147="Y",BW147&amp;"",BJ147&amp;""))</f>
        <v>no person named on an opened page: not ready</v>
      </c>
      <c r="AC147" s="0" t="str">
        <f aca="false">IF($A147="","",IF(AT147="Y",BR147&amp;"",BE147&amp;""))</f>
        <v/>
      </c>
      <c r="AD147" s="0" t="str">
        <f aca="false">IF($A147="","",IF(AT147="Y",BS147&amp;"",BF147&amp;""))</f>
        <v>none</v>
      </c>
      <c r="AE147" s="0" t="str">
        <f aca="false">IF($A147="","",IF(AT147="Y",BT147&amp;"",BG147&amp;""))</f>
        <v/>
      </c>
      <c r="AF147" s="0" t="str">
        <f aca="false">IF($A147="","",IF(AT147="Y",BU147&amp;"",BH147&amp;""))</f>
        <v/>
      </c>
      <c r="AG147" s="0" t="str">
        <f aca="false">IF($A147="","",IF(AT147="Y",BV147&amp;"",BI147&amp;""))</f>
        <v/>
      </c>
      <c r="AH147" s="0" t="s">
        <v>8998</v>
      </c>
      <c r="AI147" s="0" t="s">
        <v>5664</v>
      </c>
      <c r="AJ147" s="0" t="s">
        <v>8999</v>
      </c>
      <c r="AK147" s="0" t="s">
        <v>9000</v>
      </c>
      <c r="AL147" s="0" t="s">
        <v>164</v>
      </c>
      <c r="AM147" s="0" t="s">
        <v>9001</v>
      </c>
      <c r="AN147" s="0" t="s">
        <v>8996</v>
      </c>
      <c r="AO147" s="5" t="s">
        <v>189</v>
      </c>
      <c r="AR147" s="0" t="str">
        <f aca="false">IF($A147="","",IF(AND(CK147="pass",AO147&lt;&gt;"Y",C147&lt;&gt;"",OR(AU147&lt;&gt;"Y",AV147="Y")),"Y","N"))</f>
        <v>N</v>
      </c>
      <c r="AS147" s="0" t="str">
        <f aca="false">IF($A147="","",_xlfn.TEXTJOIN("; ",TRUE(),IF(CK147&lt;&gt;"pass","gated out",""),IF(AO147="Y","on hold: "&amp;AP147,""),IF(C147="","no contact named on an opened page",""),IF(AND(AU147="Y",AV147&lt;&gt;"Y"),"founder review pending (Founder review tab)","")))</f>
        <v>no contact named on an opened page; founder review pending (Founder review tab)</v>
      </c>
      <c r="AU147" s="0" t="s">
        <v>164</v>
      </c>
      <c r="BC147" s="0" t="str">
        <f aca="false">IF($A147="","",IFERROR(INDEX(Enrichment!$A$2:$GZ$2000,MATCH($A147,INDEX(Enrichment!$A$2:$GZ$2000,0,MATCH("row_id",Enrichment!$A$1:$GZ$1,0)),0),MATCH("work_email",Enrichment!$A$1:$GZ$1,0))&amp;"",""))</f>
        <v/>
      </c>
      <c r="BD147" s="0" t="str">
        <f aca="false">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none</v>
      </c>
      <c r="BF147" s="0" t="s">
        <v>380</v>
      </c>
      <c r="BJ147" s="0" t="s">
        <v>7105</v>
      </c>
      <c r="BK147" s="0" t="s">
        <v>6048</v>
      </c>
      <c r="BP147" s="0" t="str">
        <f aca="false">IF($A147="","",IFERROR(INDEX(Enrichment!$A$2:$GZ$2000,MATCH($A147,INDEX(Enrichment!$A$2:$GZ$2000,0,MATCH("row_id",Enrichment!$A$1:$GZ$1,0)),0),MATCH("backup_work_email",Enrichment!$A$1:$GZ$1,0))&amp;"",""))</f>
        <v/>
      </c>
      <c r="BQ147" s="0" t="str">
        <f aca="false">IF($A147="","",IF(BP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none</v>
      </c>
      <c r="BS147" s="0" t="s">
        <v>380</v>
      </c>
      <c r="BW147" s="0" t="s">
        <v>387</v>
      </c>
      <c r="BX147" s="0" t="s">
        <v>388</v>
      </c>
      <c r="BY147" s="0" t="s">
        <v>7496</v>
      </c>
      <c r="BZ147" s="0" t="s">
        <v>6706</v>
      </c>
      <c r="CJ147" s="0" t="s">
        <v>7088</v>
      </c>
      <c r="CK147" s="0" t="s">
        <v>200</v>
      </c>
      <c r="CM147" s="0" t="s">
        <v>201</v>
      </c>
      <c r="CN147" s="0" t="s">
        <v>6709</v>
      </c>
      <c r="CO147" s="0" t="s">
        <v>9002</v>
      </c>
      <c r="CP147" s="0" t="s">
        <v>5608</v>
      </c>
      <c r="CQ147" s="0" t="s">
        <v>5609</v>
      </c>
      <c r="CR147" s="0" t="s">
        <v>209</v>
      </c>
      <c r="CT147" s="0" t="s">
        <v>164</v>
      </c>
      <c r="CU147" s="0" t="s">
        <v>9003</v>
      </c>
      <c r="CV147" s="0" t="s">
        <v>164</v>
      </c>
      <c r="CW147" s="0" t="s">
        <v>164</v>
      </c>
      <c r="CX147" s="0" t="s">
        <v>209</v>
      </c>
      <c r="CZ147" s="0" t="s">
        <v>5993</v>
      </c>
      <c r="DA147" s="0" t="s">
        <v>189</v>
      </c>
      <c r="DB147" s="0" t="s">
        <v>189</v>
      </c>
      <c r="DE147" s="0" t="s">
        <v>189</v>
      </c>
      <c r="DF147" s="0" t="n">
        <v>0</v>
      </c>
      <c r="DI147" s="0" t="s">
        <v>9004</v>
      </c>
      <c r="DJ147" s="0" t="s">
        <v>9005</v>
      </c>
      <c r="DK147" s="0" t="s">
        <v>380</v>
      </c>
      <c r="DN147" s="0" t="n">
        <v>36</v>
      </c>
      <c r="DO147" s="0" t="n">
        <v>6</v>
      </c>
      <c r="DP147" s="0" t="n">
        <v>20</v>
      </c>
      <c r="DQ147" s="0" t="n">
        <v>0</v>
      </c>
      <c r="DR147" s="0" t="n">
        <v>5</v>
      </c>
      <c r="DS147" s="0" t="n">
        <v>10</v>
      </c>
      <c r="DT147" s="0" t="n">
        <v>0</v>
      </c>
      <c r="DU147" s="0" t="n">
        <f aca="false">IF($A147="","",IF(R147="Y",10,0))</f>
        <v>0</v>
      </c>
      <c r="DV147" s="0" t="n">
        <v>-5</v>
      </c>
      <c r="DW147" s="0" t="s">
        <v>9006</v>
      </c>
      <c r="DX147" s="0" t="s">
        <v>5998</v>
      </c>
      <c r="DY147" s="0" t="s">
        <v>9007</v>
      </c>
      <c r="DZ147" s="0" t="s">
        <v>9008</v>
      </c>
      <c r="EV147" s="0" t="str">
        <f aca="false">IF($A147="","",IF(ISNUMBER(MATCH(U147,{"queued","contacted","replied","call_booked","call_done","yes_in_principle","materials_sent"},0)),"Y","N"))</f>
        <v>N</v>
      </c>
      <c r="EW147" s="0" t="str">
        <f aca="false">IF($A147="","",IF(OR(T147="Y",U147="do_not_contact",AQ147&amp;""&lt;&gt;""),"Y","N"))</f>
        <v>N</v>
      </c>
      <c r="EX147" s="0" t="str">
        <f aca="false">IF($A147="","",IF(AN147&amp;""&lt;&gt;"",AN147&amp;"",$A147))</f>
        <v>AB-306</v>
      </c>
      <c r="EY147" s="0" t="str">
        <f aca="false">IF($A147="","",IF(COUNTIFS($EX$2:$EX$1000,EX147,$EV$2:$EV$1000,"Y")+COUNTIFS($EX$2:$EX$1000,EX147,$EW$2:$EW$1000,"Y")&gt;0,"Y","N"))</f>
        <v>N</v>
      </c>
      <c r="EZ147" s="0" t="str">
        <f aca="false">IF($A147="","",IF(AND(U147="new",T147="N",EW147="N",AR147="Y",EY147="N"),"Y","N"))</f>
        <v>N</v>
      </c>
      <c r="FA147" s="0" t="str">
        <f aca="false">IF($A147="","",IF(EZ147&lt;&gt;"Y","N",IF(COUNTIFS($EX$2:$EX$1000,EX147,$EZ$2:$EZ$1000,"Y",$J$2:$J$1000,"&gt;"&amp;J147)+COUNTIFS($EX$2:$EX$1000,EX147,$EZ$2:$EZ$1000,"Y",$J$2:$J$1000,J147,$FG$2:$FG$1000,"&lt;"&amp;FG147)=0,"Y","N")))</f>
        <v>N</v>
      </c>
      <c r="FB147" s="0" t="str">
        <f aca="false">IF($A147="","",IF(AND(EZ147="Y",FA147="Y",Y147&amp;""&lt;&gt;""),IF(Y147&lt;=10,"Y","N"),"N"))</f>
        <v>N</v>
      </c>
      <c r="FC147" s="0" t="str">
        <f aca="false">IF(FB147="Y",Y147,"")</f>
        <v/>
      </c>
      <c r="FD147" s="0" t="str">
        <f aca="false">IF($A147="","",IF(AND(CK147="pass",AU147="Y",AV147&lt;&gt;"Y",U147="new",EW147="N"),"Y","N"))</f>
        <v>Y</v>
      </c>
      <c r="FE147" s="0" t="str">
        <f aca="false">IF(FD147&lt;&gt;"Y","",IF(COUNTIFS($FD$2:$FD$1000,"Y",$J$2:$J$1000,"&gt;"&amp;J147)+COUNTIFS($FD$2:$FD$1000,"Y",$J$2:$J$1000,J147,$FG$2:$FG$1000,"&lt;"&amp;FG147)+1&lt;=30,COUNTIFS($FD$2:$FD$1000,"Y",$J$2:$J$1000,"&gt;"&amp;J147)+COUNTIFS($FD$2:$FD$1000,"Y",$J$2:$J$1000,J147,$FG$2:$FG$1000,"&lt;"&amp;FG147)+1,""))</f>
        <v/>
      </c>
      <c r="FF147" s="0" t="str">
        <f aca="false">IF(AND(_xlfn.ISFORMULA(C147),_xlfn.ISFORMULA(J147)),"Y","N")</f>
        <v>Y</v>
      </c>
      <c r="FG147" s="0" t="n">
        <f aca="false">ROW()-1</f>
        <v>146</v>
      </c>
    </row>
    <row r="148" customFormat="false" ht="15" hidden="false" customHeight="false" outlineLevel="0" collapsed="false">
      <c r="A148" s="0" t="s">
        <v>9009</v>
      </c>
      <c r="B148" s="0" t="s">
        <v>9010</v>
      </c>
      <c r="C148" s="0" t="str">
        <f aca="false">IF($A148="","",IF(AT148="Y",BL148&amp;"",AY148&amp;""))</f>
        <v>Andrew</v>
      </c>
      <c r="D148" s="0" t="str">
        <f aca="false">IF($A148="","",IF(AT148="Y",BM148&amp;"",AZ148&amp;""))</f>
        <v>Benin</v>
      </c>
      <c r="E148" s="0" t="str">
        <f aca="false">IF($A148="","",IF(AT148="Y",BN148&amp;"",BA148&amp;""))</f>
        <v>Co-founder and CEO</v>
      </c>
      <c r="F148" s="0" t="str">
        <f aca="false">IF($A148="","",IF(AT148="Y",BO148&amp;"",BB148&amp;""))</f>
        <v/>
      </c>
      <c r="G148" s="0" t="str">
        <f aca="false">IF($A148="","",IF(AT148="Y",BP148&amp;"",BC148&amp;""))</f>
        <v/>
      </c>
      <c r="H148" s="0" t="str">
        <f aca="false">IF($A148="","",IF(AT148="Y",BQ148&amp;"",BD148&amp;""))</f>
        <v>none</v>
      </c>
      <c r="I148" s="0" t="str">
        <f aca="false">IF($A148="","",IF(R148="Y","warm-intro",IF(H148="verified","email",IF(C148&lt;&gt;"","linkedin",CA148&amp;""))))</f>
        <v>linkedin</v>
      </c>
      <c r="J148" s="0" t="n">
        <f aca="false">IF($A148="","",IF(CK148="pass",ROUND(N(DO148)+N(DP148)+N(DQ148)+N(DR148)+N(DS148)+N(DT148)+N(DU148)+N(DV148),0),0))</f>
        <v>35</v>
      </c>
      <c r="K148" s="0" t="str">
        <f aca="false">IF($A148="","",IF(CK148&lt;&gt;"pass",BY148&amp;"",BY148&amp;", "&amp;IF(AT148="Y",BX148&amp;"",BK148&amp;"")&amp;BZ148&amp;IF(R148="Y","; known to the founder (+10)","")&amp;"."))</f>
        <v>New York City brand (HQ unverified), store page shows Whole Foods Market NoMad inside the cluster, a new store listing 164 days ago, revenue over $10M, contact named; founder review: scale-reported, scale, not-emerging.</v>
      </c>
      <c r="M148" s="0" t="s">
        <v>5572</v>
      </c>
      <c r="N148" s="0" t="s">
        <v>5573</v>
      </c>
      <c r="O148" s="0" t="s">
        <v>9011</v>
      </c>
      <c r="P148" s="0" t="s">
        <v>9012</v>
      </c>
      <c r="Q148" s="0" t="s">
        <v>9013</v>
      </c>
      <c r="R148" s="5" t="s">
        <v>189</v>
      </c>
      <c r="S148" s="0" t="s">
        <v>209</v>
      </c>
      <c r="T148" s="5" t="s">
        <v>189</v>
      </c>
      <c r="U148" s="5" t="s">
        <v>3896</v>
      </c>
      <c r="V148" s="0" t="s">
        <v>9014</v>
      </c>
      <c r="W148" s="0" t="s">
        <v>263</v>
      </c>
      <c r="X148" s="0" t="s">
        <v>5578</v>
      </c>
      <c r="Y148" s="0" t="str">
        <f aca="false">IF(FA148&lt;&gt;"Y","",COUNTIFS($FA$2:$FA$1000,"Y",$J$2:$J$1000,"&gt;"&amp;J148)+COUNTIFS($FA$2:$FA$1000,"Y",$J$2:$J$1000,J148,$FG$2:$FG$1000,"&lt;"&amp;FG148)+1)</f>
        <v/>
      </c>
      <c r="Z148" s="0" t="n">
        <v>147</v>
      </c>
      <c r="AA148" s="0" t="s">
        <v>189</v>
      </c>
      <c r="AB148" s="0" t="str">
        <f aca="false">IF($A148="","",IF(AT148="Y",BW148&amp;"",BJ148&amp;""))</f>
        <v>find Andrew Benin at Graza on LinkedIn and paste the profile URL into primary_linkedin_url; use the Whole Foods Market NoMad line only if retailer_checked_date is this week's Friday check</v>
      </c>
      <c r="AC148" s="0" t="str">
        <f aca="false">IF($A148="","",IF(AT148="Y",BR148&amp;"",BE148&amp;""))</f>
        <v>founder</v>
      </c>
      <c r="AD148" s="0" t="str">
        <f aca="false">IF($A148="","",IF(AT148="Y",BS148&amp;"",BF148&amp;""))</f>
        <v>verified-page</v>
      </c>
      <c r="AE148" s="0" t="str">
        <f aca="false">IF($A148="","",IF(AT148="Y",BT148&amp;"",BG148&amp;""))</f>
        <v>press, event or podcast page</v>
      </c>
      <c r="AF148" s="0" t="str">
        <f aca="false">IF($A148="","",IF(AT148="Y",BU148&amp;"",BH148&amp;""))</f>
        <v>https://nbcchicago.com/news/business/money-report/31-year-old-built-a-company-that-could-bring-in-48-million-this-year-all-due-to-olive-oil/3457955</v>
      </c>
      <c r="AG148" s="0" t="str">
        <f aca="false">IF($A148="","",IF(AT148="Y",BV148&amp;"",BI148&amp;""))</f>
        <v>2026-10-23</v>
      </c>
      <c r="AH148" s="0" t="s">
        <v>9015</v>
      </c>
      <c r="AI148" s="0" t="s">
        <v>5789</v>
      </c>
      <c r="AJ148" s="0" t="s">
        <v>9016</v>
      </c>
      <c r="AK148" s="0" t="s">
        <v>9017</v>
      </c>
      <c r="AL148" s="0" t="s">
        <v>164</v>
      </c>
      <c r="AM148" s="0" t="s">
        <v>9018</v>
      </c>
      <c r="AN148" s="0" t="s">
        <v>9009</v>
      </c>
      <c r="AO148" s="5" t="s">
        <v>189</v>
      </c>
      <c r="AR148" s="0" t="str">
        <f aca="false">IF($A148="","",IF(AND(CK148="pass",AO148&lt;&gt;"Y",C148&lt;&gt;"",OR(AU148&lt;&gt;"Y",AV148="Y")),"Y","N"))</f>
        <v>N</v>
      </c>
      <c r="AS148" s="0" t="str">
        <f aca="false">IF($A148="","",_xlfn.TEXTJOIN("; ",TRUE(),IF(CK148&lt;&gt;"pass","gated out",""),IF(AO148="Y","on hold: "&amp;AP148,""),IF(C148="","no contact named on an opened page",""),IF(AND(AU148="Y",AV148&lt;&gt;"Y"),"founder review pending (Founder review tab)","")))</f>
        <v>founder review pending (Founder review tab)</v>
      </c>
      <c r="AU148" s="0" t="s">
        <v>164</v>
      </c>
      <c r="AX148" s="0" t="s">
        <v>9019</v>
      </c>
      <c r="AY148" s="0" t="s">
        <v>5860</v>
      </c>
      <c r="AZ148" s="0" t="s">
        <v>9020</v>
      </c>
      <c r="BA148" s="0" t="s">
        <v>5830</v>
      </c>
      <c r="BC148" s="0" t="str">
        <f aca="false">IF($A148="","",IFERROR(INDEX(Enrichment!$A$2:$GZ$2000,MATCH($A148,INDEX(Enrichment!$A$2:$GZ$2000,0,MATCH("row_id",Enrichment!$A$1:$GZ$1,0)),0),MATCH("work_email",Enrichment!$A$1:$GZ$1,0))&amp;"",""))</f>
        <v/>
      </c>
      <c r="BD148" s="0" t="str">
        <f aca="false">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none</v>
      </c>
      <c r="BE148" s="0" t="s">
        <v>5589</v>
      </c>
      <c r="BF148" s="0" t="s">
        <v>169</v>
      </c>
      <c r="BG148" s="0" t="s">
        <v>1252</v>
      </c>
      <c r="BH148" s="0" t="s">
        <v>9021</v>
      </c>
      <c r="BI148" s="0" t="s">
        <v>263</v>
      </c>
      <c r="BJ148" s="0" t="s">
        <v>9022</v>
      </c>
      <c r="BK148" s="0" t="s">
        <v>5643</v>
      </c>
      <c r="BP148" s="0" t="str">
        <f aca="false">IF($A148="","",IFERROR(INDEX(Enrichment!$A$2:$GZ$2000,MATCH($A148,INDEX(Enrichment!$A$2:$GZ$2000,0,MATCH("row_id",Enrichment!$A$1:$GZ$1,0)),0),MATCH("backup_work_email",Enrichment!$A$1:$GZ$1,0))&amp;"",""))</f>
        <v/>
      </c>
      <c r="BQ148" s="0" t="str">
        <f aca="false">IF($A148="","",IF(BP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none</v>
      </c>
      <c r="BR148" s="0" t="s">
        <v>7494</v>
      </c>
      <c r="BS148" s="0" t="s">
        <v>740</v>
      </c>
      <c r="BT148" s="0" t="s">
        <v>209</v>
      </c>
      <c r="BV148" s="0" t="s">
        <v>263</v>
      </c>
      <c r="BW148" s="0" t="s">
        <v>5741</v>
      </c>
      <c r="BX148" s="0" t="s">
        <v>5834</v>
      </c>
      <c r="BY148" s="0" t="s">
        <v>9023</v>
      </c>
      <c r="BZ148" s="0" t="s">
        <v>9024</v>
      </c>
      <c r="CB148" s="0" t="s">
        <v>9025</v>
      </c>
      <c r="CF148" s="0" t="s">
        <v>9026</v>
      </c>
      <c r="CH148" s="0" t="s">
        <v>7905</v>
      </c>
      <c r="CJ148" s="0" t="s">
        <v>7088</v>
      </c>
      <c r="CK148" s="0" t="s">
        <v>200</v>
      </c>
      <c r="CM148" s="0" t="s">
        <v>201</v>
      </c>
      <c r="CN148" s="0" t="s">
        <v>9027</v>
      </c>
      <c r="CO148" s="0" t="s">
        <v>9017</v>
      </c>
      <c r="CP148" s="0" t="s">
        <v>209</v>
      </c>
      <c r="CQ148" s="0" t="s">
        <v>7189</v>
      </c>
      <c r="CR148" s="0" t="s">
        <v>209</v>
      </c>
      <c r="CT148" s="0" t="s">
        <v>164</v>
      </c>
      <c r="CU148" s="0" t="s">
        <v>9028</v>
      </c>
      <c r="CV148" s="0" t="s">
        <v>164</v>
      </c>
      <c r="CW148" s="0" t="s">
        <v>164</v>
      </c>
      <c r="CX148" s="0" t="s">
        <v>9029</v>
      </c>
      <c r="CY148" s="0" t="s">
        <v>9030</v>
      </c>
      <c r="CZ148" s="0" t="s">
        <v>9031</v>
      </c>
      <c r="DA148" s="0" t="s">
        <v>189</v>
      </c>
      <c r="DB148" s="0" t="s">
        <v>189</v>
      </c>
      <c r="DD148" s="0" t="n">
        <v>0</v>
      </c>
      <c r="DE148" s="0" t="s">
        <v>164</v>
      </c>
      <c r="DF148" s="0" t="n">
        <v>3</v>
      </c>
      <c r="DG148" s="0" t="s">
        <v>5686</v>
      </c>
      <c r="DH148" s="0" t="s">
        <v>5969</v>
      </c>
      <c r="DI148" s="0" t="s">
        <v>9032</v>
      </c>
      <c r="DJ148" s="0" t="s">
        <v>9033</v>
      </c>
      <c r="DK148" s="0" t="s">
        <v>5689</v>
      </c>
      <c r="DL148" s="0" t="n">
        <v>164</v>
      </c>
      <c r="DN148" s="0" t="n">
        <v>35</v>
      </c>
      <c r="DO148" s="0" t="n">
        <v>25</v>
      </c>
      <c r="DP148" s="0" t="n">
        <v>17</v>
      </c>
      <c r="DQ148" s="0" t="n">
        <v>8</v>
      </c>
      <c r="DR148" s="0" t="n">
        <v>0</v>
      </c>
      <c r="DS148" s="0" t="n">
        <v>10</v>
      </c>
      <c r="DT148" s="0" t="n">
        <v>10</v>
      </c>
      <c r="DU148" s="0" t="n">
        <f aca="false">IF($A148="","",IF(R148="Y",10,0))</f>
        <v>0</v>
      </c>
      <c r="DV148" s="0" t="n">
        <v>-35</v>
      </c>
      <c r="DX148" s="0" t="s">
        <v>5619</v>
      </c>
      <c r="DY148" s="0" t="s">
        <v>9034</v>
      </c>
      <c r="DZ148" s="0" t="s">
        <v>9035</v>
      </c>
      <c r="EA148" s="0" t="s">
        <v>9036</v>
      </c>
      <c r="EV148" s="0" t="str">
        <f aca="false">IF($A148="","",IF(ISNUMBER(MATCH(U148,{"queued","contacted","replied","call_booked","call_done","yes_in_principle","materials_sent"},0)),"Y","N"))</f>
        <v>N</v>
      </c>
      <c r="EW148" s="0" t="str">
        <f aca="false">IF($A148="","",IF(OR(T148="Y",U148="do_not_contact",AQ148&amp;""&lt;&gt;""),"Y","N"))</f>
        <v>N</v>
      </c>
      <c r="EX148" s="0" t="str">
        <f aca="false">IF($A148="","",IF(AN148&amp;""&lt;&gt;"",AN148&amp;"",$A148))</f>
        <v>AB-247</v>
      </c>
      <c r="EY148" s="0" t="str">
        <f aca="false">IF($A148="","",IF(COUNTIFS($EX$2:$EX$1000,EX148,$EV$2:$EV$1000,"Y")+COUNTIFS($EX$2:$EX$1000,EX148,$EW$2:$EW$1000,"Y")&gt;0,"Y","N"))</f>
        <v>N</v>
      </c>
      <c r="EZ148" s="0" t="str">
        <f aca="false">IF($A148="","",IF(AND(U148="new",T148="N",EW148="N",AR148="Y",EY148="N"),"Y","N"))</f>
        <v>N</v>
      </c>
      <c r="FA148" s="0" t="str">
        <f aca="false">IF($A148="","",IF(EZ148&lt;&gt;"Y","N",IF(COUNTIFS($EX$2:$EX$1000,EX148,$EZ$2:$EZ$1000,"Y",$J$2:$J$1000,"&gt;"&amp;J148)+COUNTIFS($EX$2:$EX$1000,EX148,$EZ$2:$EZ$1000,"Y",$J$2:$J$1000,J148,$FG$2:$FG$1000,"&lt;"&amp;FG148)=0,"Y","N")))</f>
        <v>N</v>
      </c>
      <c r="FB148" s="0" t="str">
        <f aca="false">IF($A148="","",IF(AND(EZ148="Y",FA148="Y",Y148&amp;""&lt;&gt;""),IF(Y148&lt;=10,"Y","N"),"N"))</f>
        <v>N</v>
      </c>
      <c r="FC148" s="0" t="str">
        <f aca="false">IF(FB148="Y",Y148,"")</f>
        <v/>
      </c>
      <c r="FD148" s="0" t="str">
        <f aca="false">IF($A148="","",IF(AND(CK148="pass",AU148="Y",AV148&lt;&gt;"Y",U148="new",EW148="N"),"Y","N"))</f>
        <v>Y</v>
      </c>
      <c r="FE148" s="0" t="str">
        <f aca="false">IF(FD148&lt;&gt;"Y","",IF(COUNTIFS($FD$2:$FD$1000,"Y",$J$2:$J$1000,"&gt;"&amp;J148)+COUNTIFS($FD$2:$FD$1000,"Y",$J$2:$J$1000,J148,$FG$2:$FG$1000,"&lt;"&amp;FG148)+1&lt;=30,COUNTIFS($FD$2:$FD$1000,"Y",$J$2:$J$1000,"&gt;"&amp;J148)+COUNTIFS($FD$2:$FD$1000,"Y",$J$2:$J$1000,J148,$FG$2:$FG$1000,"&lt;"&amp;FG148)+1,""))</f>
        <v/>
      </c>
      <c r="FF148" s="0" t="str">
        <f aca="false">IF(AND(_xlfn.ISFORMULA(C148),_xlfn.ISFORMULA(J148)),"Y","N")</f>
        <v>Y</v>
      </c>
      <c r="FG148" s="0" t="n">
        <f aca="false">ROW()-1</f>
        <v>147</v>
      </c>
    </row>
    <row r="149" customFormat="false" ht="15" hidden="false" customHeight="false" outlineLevel="0" collapsed="false">
      <c r="A149" s="0" t="s">
        <v>9037</v>
      </c>
      <c r="B149" s="0" t="s">
        <v>9038</v>
      </c>
      <c r="C149" s="0" t="str">
        <f aca="false">IF($A149="","",IF(AT149="Y",BL149&amp;"",AY149&amp;""))</f>
        <v>Danielle</v>
      </c>
      <c r="D149" s="0" t="str">
        <f aca="false">IF($A149="","",IF(AT149="Y",BM149&amp;"",AZ149&amp;""))</f>
        <v>Krueger</v>
      </c>
      <c r="E149" s="0" t="str">
        <f aca="false">IF($A149="","",IF(AT149="Y",BN149&amp;"",BA149&amp;""))</f>
        <v>Founder</v>
      </c>
      <c r="F149" s="0" t="str">
        <f aca="false">IF($A149="","",IF(AT149="Y",BO149&amp;"",BB149&amp;""))</f>
        <v/>
      </c>
      <c r="G149" s="0" t="str">
        <f aca="false">IF($A149="","",IF(AT149="Y",BP149&amp;"",BC149&amp;""))</f>
        <v/>
      </c>
      <c r="H149" s="0" t="str">
        <f aca="false">IF($A149="","",IF(AT149="Y",BQ149&amp;"",BD149&amp;""))</f>
        <v>none</v>
      </c>
      <c r="I149" s="0" t="str">
        <f aca="false">IF($A149="","",IF(R149="Y","warm-intro",IF(H149="verified","email",IF(C149&lt;&gt;"","linkedin",CA149&amp;""))))</f>
        <v>linkedin</v>
      </c>
      <c r="J149" s="0" t="n">
        <f aca="false">IF($A149="","",IF(CK149="pass",ROUND(N(DO149)+N(DP149)+N(DQ149)+N(DR149)+N(DS149)+N(DT149)+N(DU149)+N(DV149),0),0))</f>
        <v>35</v>
      </c>
      <c r="K149" s="0" t="str">
        <f aca="false">IF($A149="","",IF(CK149&lt;&gt;"pass",BY149&amp;"",BY149&amp;", "&amp;IF(AT149="Y",BX149&amp;"",BK149&amp;"")&amp;BZ149&amp;IF(R149="Y","; known to the founder (+10)","")&amp;"."))</f>
        <v>HQ unknown, brand locator shows Tompkins Square Bagels inside the cluster, no dated why-now in the last 12 months, revenue unknown, contact named; founder review: nutrient-claim.</v>
      </c>
      <c r="M149" s="0" t="s">
        <v>9039</v>
      </c>
      <c r="N149" s="0" t="s">
        <v>5915</v>
      </c>
      <c r="R149" s="5" t="s">
        <v>189</v>
      </c>
      <c r="S149" s="0" t="s">
        <v>209</v>
      </c>
      <c r="T149" s="5" t="s">
        <v>189</v>
      </c>
      <c r="U149" s="5" t="s">
        <v>3896</v>
      </c>
      <c r="V149" s="0" t="s">
        <v>9040</v>
      </c>
      <c r="W149" s="0" t="s">
        <v>263</v>
      </c>
      <c r="X149" s="0" t="s">
        <v>5578</v>
      </c>
      <c r="Y149" s="0" t="n">
        <f aca="false">IF(FA149&lt;&gt;"Y","",COUNTIFS($FA$2:$FA$1000,"Y",$J$2:$J$1000,"&gt;"&amp;J149)+COUNTIFS($FA$2:$FA$1000,"Y",$J$2:$J$1000,J149,$FG$2:$FG$1000,"&lt;"&amp;FG149)+1)</f>
        <v>56</v>
      </c>
      <c r="Z149" s="0" t="n">
        <v>148</v>
      </c>
      <c r="AA149" s="0" t="s">
        <v>189</v>
      </c>
      <c r="AB149" s="0" t="str">
        <f aca="false">IF($A149="","",IF(AT149="Y",BW149&amp;"",BJ149&amp;""))</f>
        <v>find Danielle Krueger at Sunbear on LinkedIn and paste the profile URL into primary_linkedin_url; the retailer line rests on the brand's own store locator: say 'your store locator lists ...'</v>
      </c>
      <c r="AC149" s="0" t="str">
        <f aca="false">IF($A149="","",IF(AT149="Y",BR149&amp;"",BE149&amp;""))</f>
        <v>founder</v>
      </c>
      <c r="AD149" s="0" t="str">
        <f aca="false">IF($A149="","",IF(AT149="Y",BS149&amp;"",BF149&amp;""))</f>
        <v>verified-page</v>
      </c>
      <c r="AE149" s="0" t="str">
        <f aca="false">IF($A149="","",IF(AT149="Y",BT149&amp;"",BG149&amp;""))</f>
        <v>press, event or podcast page</v>
      </c>
      <c r="AF149" s="0" t="str">
        <f aca="false">IF($A149="","",IF(AT149="Y",BU149&amp;"",BH149&amp;""))</f>
        <v>https://ice.edu/blog/danielle-krueger-sunbear</v>
      </c>
      <c r="AG149" s="0" t="str">
        <f aca="false">IF($A149="","",IF(AT149="Y",BV149&amp;"",BI149&amp;""))</f>
        <v>2026-10-23</v>
      </c>
      <c r="AH149" s="0" t="s">
        <v>9041</v>
      </c>
      <c r="AI149" s="0" t="s">
        <v>6621</v>
      </c>
      <c r="AJ149" s="0" t="s">
        <v>209</v>
      </c>
      <c r="AK149" s="0" t="s">
        <v>9042</v>
      </c>
      <c r="AL149" s="0" t="s">
        <v>164</v>
      </c>
      <c r="AM149" s="0" t="s">
        <v>9043</v>
      </c>
      <c r="AN149" s="0" t="s">
        <v>9037</v>
      </c>
      <c r="AO149" s="5" t="s">
        <v>189</v>
      </c>
      <c r="AR149" s="0" t="str">
        <f aca="false">IF($A149="","",IF(AND(CK149="pass",AO149&lt;&gt;"Y",C149&lt;&gt;"",OR(AU149&lt;&gt;"Y",AV149="Y")),"Y","N"))</f>
        <v>Y</v>
      </c>
      <c r="AS149" s="0" t="str">
        <f aca="false">IF($A149="","",_xlfn.TEXTJOIN("; ",TRUE(),IF(CK149&lt;&gt;"pass","gated out",""),IF(AO149="Y","on hold: "&amp;AP149,""),IF(C149="","no contact named on an opened page",""),IF(AND(AU149="Y",AV149&lt;&gt;"Y"),"founder review pending (Founder review tab)","")))</f>
        <v/>
      </c>
      <c r="AU149" s="0" t="s">
        <v>189</v>
      </c>
      <c r="AY149" s="0" t="s">
        <v>9044</v>
      </c>
      <c r="AZ149" s="0" t="s">
        <v>9045</v>
      </c>
      <c r="BA149" s="0" t="s">
        <v>5739</v>
      </c>
      <c r="BC149" s="0" t="str">
        <f aca="false">IF($A149="","",IFERROR(INDEX(Enrichment!$A$2:$GZ$2000,MATCH($A149,INDEX(Enrichment!$A$2:$GZ$2000,0,MATCH("row_id",Enrichment!$A$1:$GZ$1,0)),0),MATCH("work_email",Enrichment!$A$1:$GZ$1,0))&amp;"",""))</f>
        <v/>
      </c>
      <c r="BD149" s="0" t="str">
        <f aca="false">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none</v>
      </c>
      <c r="BE149" s="0" t="s">
        <v>5589</v>
      </c>
      <c r="BF149" s="0" t="s">
        <v>169</v>
      </c>
      <c r="BG149" s="0" t="s">
        <v>1252</v>
      </c>
      <c r="BH149" s="0" t="s">
        <v>9046</v>
      </c>
      <c r="BI149" s="0" t="s">
        <v>263</v>
      </c>
      <c r="BJ149" s="0" t="s">
        <v>9047</v>
      </c>
      <c r="BK149" s="0" t="s">
        <v>5643</v>
      </c>
      <c r="BP149" s="0" t="str">
        <f aca="false">IF($A149="","",IFERROR(INDEX(Enrichment!$A$2:$GZ$2000,MATCH($A149,INDEX(Enrichment!$A$2:$GZ$2000,0,MATCH("row_id",Enrichment!$A$1:$GZ$1,0)),0),MATCH("backup_work_email",Enrichment!$A$1:$GZ$1,0))&amp;"",""))</f>
        <v/>
      </c>
      <c r="BQ149" s="0" t="str">
        <f aca="false">IF($A149="","",IF(BP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none</v>
      </c>
      <c r="BS149" s="0" t="s">
        <v>380</v>
      </c>
      <c r="BW149" s="0" t="s">
        <v>5929</v>
      </c>
      <c r="BX149" s="0" t="s">
        <v>388</v>
      </c>
      <c r="BY149" s="0" t="s">
        <v>9048</v>
      </c>
      <c r="BZ149" s="0" t="s">
        <v>5601</v>
      </c>
      <c r="CB149" s="0" t="s">
        <v>9049</v>
      </c>
      <c r="CJ149" s="0" t="s">
        <v>7088</v>
      </c>
      <c r="CK149" s="0" t="s">
        <v>200</v>
      </c>
      <c r="CM149" s="0" t="s">
        <v>201</v>
      </c>
      <c r="CN149" s="0" t="s">
        <v>5607</v>
      </c>
      <c r="CO149" s="0" t="s">
        <v>9042</v>
      </c>
      <c r="CP149" s="0" t="s">
        <v>209</v>
      </c>
      <c r="CQ149" s="0" t="s">
        <v>209</v>
      </c>
      <c r="CR149" s="0" t="s">
        <v>209</v>
      </c>
      <c r="CT149" s="0" t="s">
        <v>209</v>
      </c>
      <c r="CU149" s="0" t="s">
        <v>6710</v>
      </c>
      <c r="CV149" s="0" t="s">
        <v>164</v>
      </c>
      <c r="CW149" s="0" t="s">
        <v>164</v>
      </c>
      <c r="CX149" s="0" t="s">
        <v>209</v>
      </c>
      <c r="CZ149" s="0" t="s">
        <v>6456</v>
      </c>
      <c r="DA149" s="0" t="s">
        <v>189</v>
      </c>
      <c r="DB149" s="0" t="s">
        <v>189</v>
      </c>
      <c r="DD149" s="0" t="n">
        <v>0</v>
      </c>
      <c r="DE149" s="0" t="s">
        <v>164</v>
      </c>
      <c r="DF149" s="0" t="n">
        <v>5</v>
      </c>
      <c r="DG149" s="0" t="s">
        <v>9050</v>
      </c>
      <c r="DI149" s="0" t="s">
        <v>9051</v>
      </c>
      <c r="DJ149" s="0" t="s">
        <v>9052</v>
      </c>
      <c r="DK149" s="0" t="s">
        <v>380</v>
      </c>
      <c r="DN149" s="0" t="n">
        <v>35</v>
      </c>
      <c r="DO149" s="0" t="n">
        <v>17</v>
      </c>
      <c r="DP149" s="0" t="n">
        <v>4</v>
      </c>
      <c r="DQ149" s="0" t="n">
        <v>0</v>
      </c>
      <c r="DR149" s="0" t="n">
        <v>5</v>
      </c>
      <c r="DS149" s="0" t="n">
        <v>7</v>
      </c>
      <c r="DT149" s="0" t="n">
        <v>6</v>
      </c>
      <c r="DU149" s="0" t="n">
        <f aca="false">IF($A149="","",IF(R149="Y",10,0))</f>
        <v>0</v>
      </c>
      <c r="DV149" s="0" t="n">
        <v>-4</v>
      </c>
      <c r="DW149" s="0" t="s">
        <v>209</v>
      </c>
      <c r="DX149" s="0" t="s">
        <v>6462</v>
      </c>
      <c r="DY149" s="0" t="s">
        <v>9053</v>
      </c>
      <c r="DZ149" s="0" t="s">
        <v>9054</v>
      </c>
      <c r="EA149" s="0" t="s">
        <v>9055</v>
      </c>
      <c r="EV149" s="0" t="str">
        <f aca="false">IF($A149="","",IF(ISNUMBER(MATCH(U149,{"queued","contacted","replied","call_booked","call_done","yes_in_principle","materials_sent"},0)),"Y","N"))</f>
        <v>N</v>
      </c>
      <c r="EW149" s="0" t="str">
        <f aca="false">IF($A149="","",IF(OR(T149="Y",U149="do_not_contact",AQ149&amp;""&lt;&gt;""),"Y","N"))</f>
        <v>N</v>
      </c>
      <c r="EX149" s="0" t="str">
        <f aca="false">IF($A149="","",IF(AN149&amp;""&lt;&gt;"",AN149&amp;"",$A149))</f>
        <v>AB-192</v>
      </c>
      <c r="EY149" s="0" t="str">
        <f aca="false">IF($A149="","",IF(COUNTIFS($EX$2:$EX$1000,EX149,$EV$2:$EV$1000,"Y")+COUNTIFS($EX$2:$EX$1000,EX149,$EW$2:$EW$1000,"Y")&gt;0,"Y","N"))</f>
        <v>N</v>
      </c>
      <c r="EZ149" s="0" t="str">
        <f aca="false">IF($A149="","",IF(AND(U149="new",T149="N",EW149="N",AR149="Y",EY149="N"),"Y","N"))</f>
        <v>Y</v>
      </c>
      <c r="FA149" s="0" t="str">
        <f aca="false">IF($A149="","",IF(EZ149&lt;&gt;"Y","N",IF(COUNTIFS($EX$2:$EX$1000,EX149,$EZ$2:$EZ$1000,"Y",$J$2:$J$1000,"&gt;"&amp;J149)+COUNTIFS($EX$2:$EX$1000,EX149,$EZ$2:$EZ$1000,"Y",$J$2:$J$1000,J149,$FG$2:$FG$1000,"&lt;"&amp;FG149)=0,"Y","N")))</f>
        <v>Y</v>
      </c>
      <c r="FB149" s="0" t="str">
        <f aca="false">IF($A149="","",IF(AND(EZ149="Y",FA149="Y",Y149&amp;""&lt;&gt;""),IF(Y149&lt;=10,"Y","N"),"N"))</f>
        <v>N</v>
      </c>
      <c r="FC149" s="0" t="str">
        <f aca="false">IF(FB149="Y",Y149,"")</f>
        <v/>
      </c>
      <c r="FD149" s="0" t="str">
        <f aca="false">IF($A149="","",IF(AND(CK149="pass",AU149="Y",AV149&lt;&gt;"Y",U149="new",EW149="N"),"Y","N"))</f>
        <v>N</v>
      </c>
      <c r="FE149" s="0" t="str">
        <f aca="false">IF(FD149&lt;&gt;"Y","",IF(COUNTIFS($FD$2:$FD$1000,"Y",$J$2:$J$1000,"&gt;"&amp;J149)+COUNTIFS($FD$2:$FD$1000,"Y",$J$2:$J$1000,J149,$FG$2:$FG$1000,"&lt;"&amp;FG149)+1&lt;=30,COUNTIFS($FD$2:$FD$1000,"Y",$J$2:$J$1000,"&gt;"&amp;J149)+COUNTIFS($FD$2:$FD$1000,"Y",$J$2:$J$1000,J149,$FG$2:$FG$1000,"&lt;"&amp;FG149)+1,""))</f>
        <v/>
      </c>
      <c r="FF149" s="0" t="str">
        <f aca="false">IF(AND(_xlfn.ISFORMULA(C149),_xlfn.ISFORMULA(J149)),"Y","N")</f>
        <v>Y</v>
      </c>
      <c r="FG149" s="0" t="n">
        <f aca="false">ROW()-1</f>
        <v>148</v>
      </c>
    </row>
    <row r="150" customFormat="false" ht="15" hidden="false" customHeight="false" outlineLevel="0" collapsed="false">
      <c r="A150" s="0" t="s">
        <v>9056</v>
      </c>
      <c r="B150" s="0" t="s">
        <v>9057</v>
      </c>
      <c r="C150" s="0" t="str">
        <f aca="false">IF($A150="","",IF(AT150="Y",BL150&amp;"",AY150&amp;""))</f>
        <v>Michele</v>
      </c>
      <c r="D150" s="0" t="str">
        <f aca="false">IF($A150="","",IF(AT150="Y",BM150&amp;"",AZ150&amp;""))</f>
        <v>Gazzolo</v>
      </c>
      <c r="E150" s="0" t="str">
        <f aca="false">IF($A150="","",IF(AT150="Y",BN150&amp;"",BA150&amp;""))</f>
        <v>Co-founder</v>
      </c>
      <c r="F150" s="0" t="str">
        <f aca="false">IF($A150="","",IF(AT150="Y",BO150&amp;"",BB150&amp;""))</f>
        <v/>
      </c>
      <c r="G150" s="0" t="str">
        <f aca="false">IF($A150="","",IF(AT150="Y",BP150&amp;"",BC150&amp;""))</f>
        <v/>
      </c>
      <c r="H150" s="0" t="str">
        <f aca="false">IF($A150="","",IF(AT150="Y",BQ150&amp;"",BD150&amp;""))</f>
        <v>none</v>
      </c>
      <c r="I150" s="0" t="str">
        <f aca="false">IF($A150="","",IF(R150="Y","warm-intro",IF(H150="verified","email",IF(C150&lt;&gt;"","linkedin",CA150&amp;""))))</f>
        <v>linkedin</v>
      </c>
      <c r="J150" s="0" t="n">
        <f aca="false">IF($A150="","",IF(CK150="pass",ROUND(N(DO150)+N(DP150)+N(DQ150)+N(DR150)+N(DS150)+N(DT150)+N(DU150)+N(DV150),0),0))</f>
        <v>35</v>
      </c>
      <c r="K150" s="0" t="str">
        <f aca="false">IF($A150="","",IF(CK150&lt;&gt;"pass",BY150&amp;"",BY150&amp;", "&amp;IF(AT150="Y",BX150&amp;"",BK150&amp;"")&amp;BZ150&amp;IF(R150="Y","; known to the founder (+10)","")&amp;"."))</f>
        <v>Brand based outside the Northeast, no graded store within ten blocks, online store only, a new store listing 12 days ago, revenue unknown, contact named; founder review: other, format-unconfirmed.</v>
      </c>
      <c r="M150" s="0" t="s">
        <v>6144</v>
      </c>
      <c r="N150" s="0" t="s">
        <v>740</v>
      </c>
      <c r="O150" s="0" t="s">
        <v>9058</v>
      </c>
      <c r="P150" s="0" t="s">
        <v>9059</v>
      </c>
      <c r="Q150" s="0" t="s">
        <v>5786</v>
      </c>
      <c r="R150" s="5" t="s">
        <v>189</v>
      </c>
      <c r="S150" s="0" t="s">
        <v>209</v>
      </c>
      <c r="T150" s="5" t="s">
        <v>189</v>
      </c>
      <c r="U150" s="5" t="s">
        <v>3896</v>
      </c>
      <c r="V150" s="0" t="s">
        <v>9060</v>
      </c>
      <c r="W150" s="0" t="s">
        <v>263</v>
      </c>
      <c r="X150" s="0" t="s">
        <v>5578</v>
      </c>
      <c r="Y150" s="0" t="n">
        <f aca="false">IF(FA150&lt;&gt;"Y","",COUNTIFS($FA$2:$FA$1000,"Y",$J$2:$J$1000,"&gt;"&amp;J150)+COUNTIFS($FA$2:$FA$1000,"Y",$J$2:$J$1000,J150,$FG$2:$FG$1000,"&lt;"&amp;FG150)+1)</f>
        <v>57</v>
      </c>
      <c r="Z150" s="0" t="n">
        <v>149</v>
      </c>
      <c r="AA150" s="0" t="s">
        <v>189</v>
      </c>
      <c r="AB150" s="0" t="str">
        <f aca="false">IF($A150="","",IF(AT150="Y",BW150&amp;"",BJ150&amp;""))</f>
        <v>find Michele Gazzolo at Fruitbelt on LinkedIn and paste the profile URL into primary_linkedin_url</v>
      </c>
      <c r="AC150" s="0" t="str">
        <f aca="false">IF($A150="","",IF(AT150="Y",BR150&amp;"",BE150&amp;""))</f>
        <v>founder</v>
      </c>
      <c r="AD150" s="0" t="str">
        <f aca="false">IF($A150="","",IF(AT150="Y",BS150&amp;"",BF150&amp;""))</f>
        <v>verified-page</v>
      </c>
      <c r="AE150" s="0" t="str">
        <f aca="false">IF($A150="","",IF(AT150="Y",BT150&amp;"",BG150&amp;""))</f>
        <v>press, event or podcast page</v>
      </c>
      <c r="AF150" s="0" t="str">
        <f aca="false">IF($A150="","",IF(AT150="Y",BU150&amp;"",BH150&amp;""))</f>
        <v>https://preparedfoods.com/articles/122793-fruitbelt-sparkling-tonic-names-new-vice-president</v>
      </c>
      <c r="AG150" s="0" t="str">
        <f aca="false">IF($A150="","",IF(AT150="Y",BV150&amp;"",BI150&amp;""))</f>
        <v>2026-10-23</v>
      </c>
      <c r="AH150" s="0" t="s">
        <v>9061</v>
      </c>
      <c r="AI150" s="0" t="s">
        <v>5580</v>
      </c>
      <c r="AJ150" s="0" t="s">
        <v>9062</v>
      </c>
      <c r="AK150" s="0" t="s">
        <v>9063</v>
      </c>
      <c r="AL150" s="0" t="s">
        <v>164</v>
      </c>
      <c r="AM150" s="0" t="s">
        <v>9064</v>
      </c>
      <c r="AN150" s="0" t="s">
        <v>9056</v>
      </c>
      <c r="AO150" s="5" t="s">
        <v>189</v>
      </c>
      <c r="AR150" s="0" t="str">
        <f aca="false">IF($A150="","",IF(AND(CK150="pass",AO150&lt;&gt;"Y",C150&lt;&gt;"",OR(AU150&lt;&gt;"Y",AV150="Y")),"Y","N"))</f>
        <v>Y</v>
      </c>
      <c r="AS150" s="0" t="str">
        <f aca="false">IF($A150="","",_xlfn.TEXTJOIN("; ",TRUE(),IF(CK150&lt;&gt;"pass","gated out",""),IF(AO150="Y","on hold: "&amp;AP150,""),IF(C150="","no contact named on an opened page",""),IF(AND(AU150="Y",AV150&lt;&gt;"Y"),"founder review pending (Founder review tab)","")))</f>
        <v/>
      </c>
      <c r="AU150" s="0" t="s">
        <v>189</v>
      </c>
      <c r="AY150" s="0" t="s">
        <v>9065</v>
      </c>
      <c r="AZ150" s="0" t="s">
        <v>9066</v>
      </c>
      <c r="BA150" s="0" t="s">
        <v>5636</v>
      </c>
      <c r="BC150" s="0" t="str">
        <f aca="false">IF($A150="","",IFERROR(INDEX(Enrichment!$A$2:$GZ$2000,MATCH($A150,INDEX(Enrichment!$A$2:$GZ$2000,0,MATCH("row_id",Enrichment!$A$1:$GZ$1,0)),0),MATCH("work_email",Enrichment!$A$1:$GZ$1,0))&amp;"",""))</f>
        <v/>
      </c>
      <c r="BD150" s="0" t="str">
        <f aca="false">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none</v>
      </c>
      <c r="BE150" s="0" t="s">
        <v>5589</v>
      </c>
      <c r="BF150" s="0" t="s">
        <v>169</v>
      </c>
      <c r="BG150" s="0" t="s">
        <v>1252</v>
      </c>
      <c r="BH150" s="0" t="s">
        <v>9067</v>
      </c>
      <c r="BI150" s="0" t="s">
        <v>263</v>
      </c>
      <c r="BJ150" s="0" t="s">
        <v>9068</v>
      </c>
      <c r="BK150" s="0" t="s">
        <v>5643</v>
      </c>
      <c r="BL150" s="0" t="s">
        <v>9069</v>
      </c>
      <c r="BM150" s="0" t="s">
        <v>9070</v>
      </c>
      <c r="BN150" s="0" t="s">
        <v>7059</v>
      </c>
      <c r="BP150" s="0" t="str">
        <f aca="false">IF($A150="","",IFERROR(INDEX(Enrichment!$A$2:$GZ$2000,MATCH($A150,INDEX(Enrichment!$A$2:$GZ$2000,0,MATCH("row_id",Enrichment!$A$1:$GZ$1,0)),0),MATCH("backup_work_email",Enrichment!$A$1:$GZ$1,0))&amp;"",""))</f>
        <v/>
      </c>
      <c r="BQ150" s="0" t="str">
        <f aca="false">IF($A150="","",IF(BP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none</v>
      </c>
      <c r="BR150" s="0" t="s">
        <v>7494</v>
      </c>
      <c r="BS150" s="0" t="s">
        <v>169</v>
      </c>
      <c r="BT150" s="0" t="s">
        <v>1252</v>
      </c>
      <c r="BU150" s="0" t="s">
        <v>9067</v>
      </c>
      <c r="BV150" s="0" t="s">
        <v>263</v>
      </c>
      <c r="BW150" s="0" t="s">
        <v>9071</v>
      </c>
      <c r="BX150" s="0" t="s">
        <v>5643</v>
      </c>
      <c r="BY150" s="0" t="s">
        <v>9072</v>
      </c>
      <c r="BZ150" s="0" t="s">
        <v>7168</v>
      </c>
      <c r="CB150" s="0" t="s">
        <v>9073</v>
      </c>
      <c r="CF150" s="0" t="s">
        <v>9074</v>
      </c>
      <c r="CJ150" s="0" t="s">
        <v>7088</v>
      </c>
      <c r="CK150" s="0" t="s">
        <v>200</v>
      </c>
      <c r="CM150" s="0" t="s">
        <v>201</v>
      </c>
      <c r="CN150" s="0" t="s">
        <v>7171</v>
      </c>
      <c r="CO150" s="0" t="s">
        <v>9063</v>
      </c>
      <c r="CP150" s="0" t="s">
        <v>9075</v>
      </c>
      <c r="CQ150" s="0" t="s">
        <v>6198</v>
      </c>
      <c r="CR150" s="0" t="s">
        <v>209</v>
      </c>
      <c r="CT150" s="0" t="s">
        <v>209</v>
      </c>
      <c r="CU150" s="0" t="s">
        <v>9076</v>
      </c>
      <c r="CV150" s="0" t="s">
        <v>209</v>
      </c>
      <c r="CW150" s="0" t="s">
        <v>164</v>
      </c>
      <c r="CX150" s="0" t="s">
        <v>209</v>
      </c>
      <c r="CZ150" s="0" t="s">
        <v>6456</v>
      </c>
      <c r="DA150" s="0" t="s">
        <v>189</v>
      </c>
      <c r="DB150" s="0" t="s">
        <v>189</v>
      </c>
      <c r="DE150" s="0" t="s">
        <v>189</v>
      </c>
      <c r="DF150" s="0" t="n">
        <v>0</v>
      </c>
      <c r="DH150" s="0" t="s">
        <v>9077</v>
      </c>
      <c r="DI150" s="0" t="s">
        <v>9078</v>
      </c>
      <c r="DJ150" s="0" t="s">
        <v>9079</v>
      </c>
      <c r="DK150" s="0" t="s">
        <v>5689</v>
      </c>
      <c r="DL150" s="0" t="n">
        <v>12</v>
      </c>
      <c r="DN150" s="0" t="n">
        <v>35</v>
      </c>
      <c r="DO150" s="0" t="n">
        <v>6</v>
      </c>
      <c r="DP150" s="0" t="n">
        <v>3</v>
      </c>
      <c r="DQ150" s="0" t="n">
        <v>8</v>
      </c>
      <c r="DR150" s="0" t="n">
        <v>5</v>
      </c>
      <c r="DS150" s="0" t="n">
        <v>5</v>
      </c>
      <c r="DT150" s="0" t="n">
        <v>10</v>
      </c>
      <c r="DU150" s="0" t="n">
        <f aca="false">IF($A150="","",IF(R150="Y",10,0))</f>
        <v>0</v>
      </c>
      <c r="DV150" s="0" t="n">
        <v>-2</v>
      </c>
      <c r="DW150" s="0" t="s">
        <v>9080</v>
      </c>
      <c r="DX150" s="0" t="s">
        <v>6462</v>
      </c>
      <c r="DY150" s="0" t="s">
        <v>9081</v>
      </c>
      <c r="DZ150" s="0" t="s">
        <v>9082</v>
      </c>
      <c r="EA150" s="0" t="s">
        <v>9083</v>
      </c>
      <c r="EV150" s="0" t="str">
        <f aca="false">IF($A150="","",IF(ISNUMBER(MATCH(U150,{"queued","contacted","replied","call_booked","call_done","yes_in_principle","materials_sent"},0)),"Y","N"))</f>
        <v>N</v>
      </c>
      <c r="EW150" s="0" t="str">
        <f aca="false">IF($A150="","",IF(OR(T150="Y",U150="do_not_contact",AQ150&amp;""&lt;&gt;""),"Y","N"))</f>
        <v>N</v>
      </c>
      <c r="EX150" s="0" t="str">
        <f aca="false">IF($A150="","",IF(AN150&amp;""&lt;&gt;"",AN150&amp;"",$A150))</f>
        <v>AB-189</v>
      </c>
      <c r="EY150" s="0" t="str">
        <f aca="false">IF($A150="","",IF(COUNTIFS($EX$2:$EX$1000,EX150,$EV$2:$EV$1000,"Y")+COUNTIFS($EX$2:$EX$1000,EX150,$EW$2:$EW$1000,"Y")&gt;0,"Y","N"))</f>
        <v>N</v>
      </c>
      <c r="EZ150" s="0" t="str">
        <f aca="false">IF($A150="","",IF(AND(U150="new",T150="N",EW150="N",AR150="Y",EY150="N"),"Y","N"))</f>
        <v>Y</v>
      </c>
      <c r="FA150" s="0" t="str">
        <f aca="false">IF($A150="","",IF(EZ150&lt;&gt;"Y","N",IF(COUNTIFS($EX$2:$EX$1000,EX150,$EZ$2:$EZ$1000,"Y",$J$2:$J$1000,"&gt;"&amp;J150)+COUNTIFS($EX$2:$EX$1000,EX150,$EZ$2:$EZ$1000,"Y",$J$2:$J$1000,J150,$FG$2:$FG$1000,"&lt;"&amp;FG150)=0,"Y","N")))</f>
        <v>Y</v>
      </c>
      <c r="FB150" s="0" t="str">
        <f aca="false">IF($A150="","",IF(AND(EZ150="Y",FA150="Y",Y150&amp;""&lt;&gt;""),IF(Y150&lt;=10,"Y","N"),"N"))</f>
        <v>N</v>
      </c>
      <c r="FC150" s="0" t="str">
        <f aca="false">IF(FB150="Y",Y150,"")</f>
        <v/>
      </c>
      <c r="FD150" s="0" t="str">
        <f aca="false">IF($A150="","",IF(AND(CK150="pass",AU150="Y",AV150&lt;&gt;"Y",U150="new",EW150="N"),"Y","N"))</f>
        <v>N</v>
      </c>
      <c r="FE150" s="0" t="str">
        <f aca="false">IF(FD150&lt;&gt;"Y","",IF(COUNTIFS($FD$2:$FD$1000,"Y",$J$2:$J$1000,"&gt;"&amp;J150)+COUNTIFS($FD$2:$FD$1000,"Y",$J$2:$J$1000,J150,$FG$2:$FG$1000,"&lt;"&amp;FG150)+1&lt;=30,COUNTIFS($FD$2:$FD$1000,"Y",$J$2:$J$1000,"&gt;"&amp;J150)+COUNTIFS($FD$2:$FD$1000,"Y",$J$2:$J$1000,J150,$FG$2:$FG$1000,"&lt;"&amp;FG150)+1,""))</f>
        <v/>
      </c>
      <c r="FF150" s="0" t="str">
        <f aca="false">IF(AND(_xlfn.ISFORMULA(C150),_xlfn.ISFORMULA(J150)),"Y","N")</f>
        <v>Y</v>
      </c>
      <c r="FG150" s="0" t="n">
        <f aca="false">ROW()-1</f>
        <v>149</v>
      </c>
    </row>
    <row r="151" customFormat="false" ht="15" hidden="false" customHeight="false" outlineLevel="0" collapsed="false">
      <c r="A151" s="0" t="s">
        <v>9084</v>
      </c>
      <c r="B151" s="0" t="s">
        <v>9085</v>
      </c>
      <c r="C151" s="0" t="str">
        <f aca="false">IF($A151="","",IF(AT151="Y",BL151&amp;"",AY151&amp;""))</f>
        <v>Hannah</v>
      </c>
      <c r="D151" s="0" t="str">
        <f aca="false">IF($A151="","",IF(AT151="Y",BM151&amp;"",AZ151&amp;""))</f>
        <v>Bae</v>
      </c>
      <c r="E151" s="0" t="str">
        <f aca="false">IF($A151="","",IF(AT151="Y",BN151&amp;"",BA151&amp;""))</f>
        <v>Founder</v>
      </c>
      <c r="F151" s="0" t="str">
        <f aca="false">IF($A151="","",IF(AT151="Y",BO151&amp;"",BB151&amp;""))</f>
        <v/>
      </c>
      <c r="G151" s="0" t="str">
        <f aca="false">IF($A151="","",IF(AT151="Y",BP151&amp;"",BC151&amp;""))</f>
        <v/>
      </c>
      <c r="H151" s="0" t="str">
        <f aca="false">IF($A151="","",IF(AT151="Y",BQ151&amp;"",BD151&amp;""))</f>
        <v>none</v>
      </c>
      <c r="I151" s="0" t="str">
        <f aca="false">IF($A151="","",IF(R151="Y","warm-intro",IF(H151="verified","email",IF(C151&lt;&gt;"","linkedin",CA151&amp;""))))</f>
        <v>linkedin</v>
      </c>
      <c r="J151" s="0" t="n">
        <f aca="false">IF($A151="","",IF(CK151="pass",ROUND(N(DO151)+N(DP151)+N(DQ151)+N(DR151)+N(DS151)+N(DT151)+N(DU151)+N(DV151),0),0))</f>
        <v>35</v>
      </c>
      <c r="K151" s="0" t="str">
        <f aca="false">IF($A151="","",IF(CK151&lt;&gt;"pass",BY151&amp;"",BY151&amp;", "&amp;IF(AT151="Y",BX151&amp;"",BK151&amp;"")&amp;BZ151&amp;IF(R151="Y","; known to the founder (+10)","")&amp;"."))</f>
        <v>New York City brand, no graded store within ten blocks, online store only, no dated why-now in the last 12 months, revenue unknown, contact named; founder review: dormant, claim-functional, nutrient-claim.</v>
      </c>
      <c r="M151" s="0" t="s">
        <v>6144</v>
      </c>
      <c r="N151" s="0" t="s">
        <v>740</v>
      </c>
      <c r="R151" s="5" t="s">
        <v>189</v>
      </c>
      <c r="S151" s="0" t="s">
        <v>209</v>
      </c>
      <c r="T151" s="5" t="s">
        <v>189</v>
      </c>
      <c r="U151" s="5" t="s">
        <v>3896</v>
      </c>
      <c r="V151" s="0" t="s">
        <v>9086</v>
      </c>
      <c r="W151" s="0" t="s">
        <v>263</v>
      </c>
      <c r="X151" s="0" t="s">
        <v>5578</v>
      </c>
      <c r="Y151" s="0" t="str">
        <f aca="false">IF(FA151&lt;&gt;"Y","",COUNTIFS($FA$2:$FA$1000,"Y",$J$2:$J$1000,"&gt;"&amp;J151)+COUNTIFS($FA$2:$FA$1000,"Y",$J$2:$J$1000,J151,$FG$2:$FG$1000,"&lt;"&amp;FG151)+1)</f>
        <v/>
      </c>
      <c r="Z151" s="0" t="n">
        <v>150</v>
      </c>
      <c r="AA151" s="0" t="s">
        <v>189</v>
      </c>
      <c r="AB151" s="0" t="str">
        <f aca="false">IF($A151="","",IF(AT151="Y",BW151&amp;"",BJ151&amp;""))</f>
        <v>find Hannah Bae at Halmi on LinkedIn and paste the profile URL into primary_linkedin_url</v>
      </c>
      <c r="AC151" s="0" t="str">
        <f aca="false">IF($A151="","",IF(AT151="Y",BR151&amp;"",BE151&amp;""))</f>
        <v>founder</v>
      </c>
      <c r="AD151" s="0" t="str">
        <f aca="false">IF($A151="","",IF(AT151="Y",BS151&amp;"",BF151&amp;""))</f>
        <v>verified-page</v>
      </c>
      <c r="AE151" s="0" t="str">
        <f aca="false">IF($A151="","",IF(AT151="Y",BT151&amp;"",BG151&amp;""))</f>
        <v>employer's own site</v>
      </c>
      <c r="AF151" s="0" t="str">
        <f aca="false">IF($A151="","",IF(AT151="Y",BU151&amp;"",BH151&amp;""))</f>
        <v>https://drinkhalmi.com/pages/our-story</v>
      </c>
      <c r="AG151" s="0" t="str">
        <f aca="false">IF($A151="","",IF(AT151="Y",BV151&amp;"",BI151&amp;""))</f>
        <v>2026-10-23</v>
      </c>
      <c r="AH151" s="0" t="s">
        <v>9087</v>
      </c>
      <c r="AI151" s="0" t="s">
        <v>5580</v>
      </c>
      <c r="AJ151" s="0" t="s">
        <v>9088</v>
      </c>
      <c r="AK151" s="0" t="s">
        <v>9089</v>
      </c>
      <c r="AL151" s="0" t="s">
        <v>164</v>
      </c>
      <c r="AM151" s="0" t="s">
        <v>9090</v>
      </c>
      <c r="AN151" s="0" t="s">
        <v>9084</v>
      </c>
      <c r="AO151" s="5" t="s">
        <v>189</v>
      </c>
      <c r="AR151" s="0" t="str">
        <f aca="false">IF($A151="","",IF(AND(CK151="pass",AO151&lt;&gt;"Y",C151&lt;&gt;"",OR(AU151&lt;&gt;"Y",AV151="Y")),"Y","N"))</f>
        <v>N</v>
      </c>
      <c r="AS151" s="0" t="str">
        <f aca="false">IF($A151="","",_xlfn.TEXTJOIN("; ",TRUE(),IF(CK151&lt;&gt;"pass","gated out",""),IF(AO151="Y","on hold: "&amp;AP151,""),IF(C151="","no contact named on an opened page",""),IF(AND(AU151="Y",AV151&lt;&gt;"Y"),"founder review pending (Founder review tab)","")))</f>
        <v>founder review pending (Founder review tab)</v>
      </c>
      <c r="AU151" s="0" t="s">
        <v>164</v>
      </c>
      <c r="AY151" s="0" t="s">
        <v>280</v>
      </c>
      <c r="AZ151" s="0" t="s">
        <v>9091</v>
      </c>
      <c r="BA151" s="0" t="s">
        <v>5739</v>
      </c>
      <c r="BC151" s="0" t="str">
        <f aca="false">IF($A151="","",IFERROR(INDEX(Enrichment!$A$2:$GZ$2000,MATCH($A151,INDEX(Enrichment!$A$2:$GZ$2000,0,MATCH("row_id",Enrichment!$A$1:$GZ$1,0)),0),MATCH("work_email",Enrichment!$A$1:$GZ$1,0))&amp;"",""))</f>
        <v/>
      </c>
      <c r="BD151" s="0" t="str">
        <f aca="false">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none</v>
      </c>
      <c r="BE151" s="0" t="s">
        <v>5589</v>
      </c>
      <c r="BF151" s="0" t="s">
        <v>169</v>
      </c>
      <c r="BG151" s="0" t="s">
        <v>170</v>
      </c>
      <c r="BH151" s="0" t="s">
        <v>9092</v>
      </c>
      <c r="BI151" s="0" t="s">
        <v>263</v>
      </c>
      <c r="BJ151" s="0" t="s">
        <v>9093</v>
      </c>
      <c r="BK151" s="0" t="s">
        <v>5643</v>
      </c>
      <c r="BP151" s="0" t="str">
        <f aca="false">IF($A151="","",IFERROR(INDEX(Enrichment!$A$2:$GZ$2000,MATCH($A151,INDEX(Enrichment!$A$2:$GZ$2000,0,MATCH("row_id",Enrichment!$A$1:$GZ$1,0)),0),MATCH("backup_work_email",Enrichment!$A$1:$GZ$1,0))&amp;"",""))</f>
        <v/>
      </c>
      <c r="BQ151" s="0" t="str">
        <f aca="false">IF($A151="","",IF(BP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none</v>
      </c>
      <c r="BS151" s="0" t="s">
        <v>380</v>
      </c>
      <c r="BW151" s="0" t="s">
        <v>387</v>
      </c>
      <c r="BX151" s="0" t="s">
        <v>388</v>
      </c>
      <c r="BY151" s="0" t="s">
        <v>7496</v>
      </c>
      <c r="BZ151" s="0" t="s">
        <v>8541</v>
      </c>
      <c r="CB151" s="0" t="s">
        <v>9094</v>
      </c>
      <c r="CJ151" s="0" t="s">
        <v>7088</v>
      </c>
      <c r="CK151" s="0" t="s">
        <v>200</v>
      </c>
      <c r="CM151" s="0" t="s">
        <v>201</v>
      </c>
      <c r="CN151" s="0" t="s">
        <v>8543</v>
      </c>
      <c r="CO151" s="0" t="s">
        <v>9089</v>
      </c>
      <c r="CP151" s="0" t="s">
        <v>5608</v>
      </c>
      <c r="CQ151" s="0" t="s">
        <v>5609</v>
      </c>
      <c r="CR151" s="0" t="s">
        <v>209</v>
      </c>
      <c r="CT151" s="0" t="s">
        <v>164</v>
      </c>
      <c r="CU151" s="0" t="s">
        <v>9095</v>
      </c>
      <c r="CV151" s="0" t="s">
        <v>164</v>
      </c>
      <c r="CW151" s="0" t="s">
        <v>164</v>
      </c>
      <c r="CX151" s="0" t="s">
        <v>209</v>
      </c>
      <c r="CZ151" s="0" t="s">
        <v>6456</v>
      </c>
      <c r="DA151" s="0" t="s">
        <v>164</v>
      </c>
      <c r="DB151" s="0" t="s">
        <v>189</v>
      </c>
      <c r="DE151" s="0" t="s">
        <v>189</v>
      </c>
      <c r="DF151" s="0" t="n">
        <v>0</v>
      </c>
      <c r="DI151" s="0" t="s">
        <v>209</v>
      </c>
      <c r="DK151" s="0" t="s">
        <v>380</v>
      </c>
      <c r="DN151" s="0" t="n">
        <v>35</v>
      </c>
      <c r="DO151" s="0" t="n">
        <v>6</v>
      </c>
      <c r="DP151" s="0" t="n">
        <v>20</v>
      </c>
      <c r="DQ151" s="0" t="n">
        <v>0</v>
      </c>
      <c r="DR151" s="0" t="n">
        <v>5</v>
      </c>
      <c r="DS151" s="0" t="n">
        <v>10</v>
      </c>
      <c r="DT151" s="0" t="n">
        <v>6</v>
      </c>
      <c r="DU151" s="0" t="n">
        <f aca="false">IF($A151="","",IF(R151="Y",10,0))</f>
        <v>0</v>
      </c>
      <c r="DV151" s="0" t="n">
        <v>-12</v>
      </c>
      <c r="DW151" s="0" t="s">
        <v>9096</v>
      </c>
      <c r="DX151" s="0" t="s">
        <v>6462</v>
      </c>
      <c r="DY151" s="0" t="s">
        <v>9097</v>
      </c>
      <c r="DZ151" s="0" t="s">
        <v>9098</v>
      </c>
      <c r="EA151" s="0" t="s">
        <v>9099</v>
      </c>
      <c r="EV151" s="0" t="str">
        <f aca="false">IF($A151="","",IF(ISNUMBER(MATCH(U151,{"queued","contacted","replied","call_booked","call_done","yes_in_principle","materials_sent"},0)),"Y","N"))</f>
        <v>N</v>
      </c>
      <c r="EW151" s="0" t="str">
        <f aca="false">IF($A151="","",IF(OR(T151="Y",U151="do_not_contact",AQ151&amp;""&lt;&gt;""),"Y","N"))</f>
        <v>N</v>
      </c>
      <c r="EX151" s="0" t="str">
        <f aca="false">IF($A151="","",IF(AN151&amp;""&lt;&gt;"",AN151&amp;"",$A151))</f>
        <v>AB-133</v>
      </c>
      <c r="EY151" s="0" t="str">
        <f aca="false">IF($A151="","",IF(COUNTIFS($EX$2:$EX$1000,EX151,$EV$2:$EV$1000,"Y")+COUNTIFS($EX$2:$EX$1000,EX151,$EW$2:$EW$1000,"Y")&gt;0,"Y","N"))</f>
        <v>N</v>
      </c>
      <c r="EZ151" s="0" t="str">
        <f aca="false">IF($A151="","",IF(AND(U151="new",T151="N",EW151="N",AR151="Y",EY151="N"),"Y","N"))</f>
        <v>N</v>
      </c>
      <c r="FA151" s="0" t="str">
        <f aca="false">IF($A151="","",IF(EZ151&lt;&gt;"Y","N",IF(COUNTIFS($EX$2:$EX$1000,EX151,$EZ$2:$EZ$1000,"Y",$J$2:$J$1000,"&gt;"&amp;J151)+COUNTIFS($EX$2:$EX$1000,EX151,$EZ$2:$EZ$1000,"Y",$J$2:$J$1000,J151,$FG$2:$FG$1000,"&lt;"&amp;FG151)=0,"Y","N")))</f>
        <v>N</v>
      </c>
      <c r="FB151" s="0" t="str">
        <f aca="false">IF($A151="","",IF(AND(EZ151="Y",FA151="Y",Y151&amp;""&lt;&gt;""),IF(Y151&lt;=10,"Y","N"),"N"))</f>
        <v>N</v>
      </c>
      <c r="FC151" s="0" t="str">
        <f aca="false">IF(FB151="Y",Y151,"")</f>
        <v/>
      </c>
      <c r="FD151" s="0" t="str">
        <f aca="false">IF($A151="","",IF(AND(CK151="pass",AU151="Y",AV151&lt;&gt;"Y",U151="new",EW151="N"),"Y","N"))</f>
        <v>Y</v>
      </c>
      <c r="FE151" s="0" t="str">
        <f aca="false">IF(FD151&lt;&gt;"Y","",IF(COUNTIFS($FD$2:$FD$1000,"Y",$J$2:$J$1000,"&gt;"&amp;J151)+COUNTIFS($FD$2:$FD$1000,"Y",$J$2:$J$1000,J151,$FG$2:$FG$1000,"&lt;"&amp;FG151)+1&lt;=30,COUNTIFS($FD$2:$FD$1000,"Y",$J$2:$J$1000,"&gt;"&amp;J151)+COUNTIFS($FD$2:$FD$1000,"Y",$J$2:$J$1000,J151,$FG$2:$FG$1000,"&lt;"&amp;FG151)+1,""))</f>
        <v/>
      </c>
      <c r="FF151" s="0" t="str">
        <f aca="false">IF(AND(_xlfn.ISFORMULA(C151),_xlfn.ISFORMULA(J151)),"Y","N")</f>
        <v>Y</v>
      </c>
      <c r="FG151" s="0" t="n">
        <f aca="false">ROW()-1</f>
        <v>150</v>
      </c>
    </row>
    <row r="152" customFormat="false" ht="15" hidden="false" customHeight="false" outlineLevel="0" collapsed="false">
      <c r="A152" s="0" t="s">
        <v>9100</v>
      </c>
      <c r="B152" s="0" t="s">
        <v>9101</v>
      </c>
      <c r="C152" s="0" t="str">
        <f aca="false">IF($A152="","",IF(AT152="Y",BL152&amp;"",AY152&amp;""))</f>
        <v>Craig</v>
      </c>
      <c r="D152" s="0" t="str">
        <f aca="false">IF($A152="","",IF(AT152="Y",BM152&amp;"",AZ152&amp;""))</f>
        <v>Lieberman</v>
      </c>
      <c r="E152" s="0" t="str">
        <f aca="false">IF($A152="","",IF(AT152="Y",BN152&amp;"",BA152&amp;""))</f>
        <v>Founder</v>
      </c>
      <c r="F152" s="0" t="str">
        <f aca="false">IF($A152="","",IF(AT152="Y",BO152&amp;"",BB152&amp;""))</f>
        <v/>
      </c>
      <c r="G152" s="0" t="str">
        <f aca="false">IF($A152="","",IF(AT152="Y",BP152&amp;"",BC152&amp;""))</f>
        <v/>
      </c>
      <c r="H152" s="0" t="str">
        <f aca="false">IF($A152="","",IF(AT152="Y",BQ152&amp;"",BD152&amp;""))</f>
        <v>none</v>
      </c>
      <c r="I152" s="0" t="str">
        <f aca="false">IF($A152="","",IF(R152="Y","warm-intro",IF(H152="verified","email",IF(C152&lt;&gt;"","linkedin",CA152&amp;""))))</f>
        <v>linkedin</v>
      </c>
      <c r="J152" s="0" t="n">
        <f aca="false">IF($A152="","",IF(CK152="pass",ROUND(N(DO152)+N(DP152)+N(DQ152)+N(DR152)+N(DS152)+N(DT152)+N(DU152)+N(DV152),0),0))</f>
        <v>34</v>
      </c>
      <c r="K152" s="0" t="str">
        <f aca="false">IF($A152="","",IF(CK152&lt;&gt;"pass",BY152&amp;"",BY152&amp;", "&amp;IF(AT152="Y",BX152&amp;"",BK152&amp;"")&amp;BZ152&amp;IF(R152="Y","; known to the founder (+10)","")&amp;"."))</f>
        <v>Brand based outside the Northeast, store page shows Whole Foods Market NoMad inside the cluster, no dated why-now in the last 12 months, revenue unknown, contact named; founder review: scale, format.</v>
      </c>
      <c r="M152" s="0" t="s">
        <v>5572</v>
      </c>
      <c r="N152" s="0" t="s">
        <v>5573</v>
      </c>
      <c r="R152" s="5" t="s">
        <v>189</v>
      </c>
      <c r="S152" s="0" t="s">
        <v>209</v>
      </c>
      <c r="T152" s="5" t="s">
        <v>189</v>
      </c>
      <c r="U152" s="5" t="s">
        <v>3896</v>
      </c>
      <c r="V152" s="0" t="s">
        <v>9102</v>
      </c>
      <c r="W152" s="0" t="s">
        <v>263</v>
      </c>
      <c r="X152" s="0" t="s">
        <v>5578</v>
      </c>
      <c r="Y152" s="0" t="str">
        <f aca="false">IF(FA152&lt;&gt;"Y","",COUNTIFS($FA$2:$FA$1000,"Y",$J$2:$J$1000,"&gt;"&amp;J152)+COUNTIFS($FA$2:$FA$1000,"Y",$J$2:$J$1000,J152,$FG$2:$FG$1000,"&lt;"&amp;FG152)+1)</f>
        <v/>
      </c>
      <c r="Z152" s="0" t="n">
        <v>151</v>
      </c>
      <c r="AA152" s="0" t="s">
        <v>189</v>
      </c>
      <c r="AB152" s="0" t="str">
        <f aca="false">IF($A152="","",IF(AT152="Y",BW152&amp;"",BJ152&amp;""))</f>
        <v>find Craig Lieberman at 34 Degrees on LinkedIn and paste the profile URL into primary_linkedin_url; use the Whole Foods Market NoMad line only if retailer_checked_date is this week's Friday check</v>
      </c>
      <c r="AC152" s="0" t="str">
        <f aca="false">IF($A152="","",IF(AT152="Y",BR152&amp;"",BE152&amp;""))</f>
        <v>founder</v>
      </c>
      <c r="AD152" s="0" t="str">
        <f aca="false">IF($A152="","",IF(AT152="Y",BS152&amp;"",BF152&amp;""))</f>
        <v>verified-page</v>
      </c>
      <c r="AE152" s="0" t="str">
        <f aca="false">IF($A152="","",IF(AT152="Y",BT152&amp;"",BG152&amp;""))</f>
        <v>employer's own site</v>
      </c>
      <c r="AF152" s="0" t="str">
        <f aca="false">IF($A152="","",IF(AT152="Y",BU152&amp;"",BH152&amp;""))</f>
        <v>https://34-degrees.com/pages/our-story</v>
      </c>
      <c r="AG152" s="0" t="str">
        <f aca="false">IF($A152="","",IF(AT152="Y",BV152&amp;"",BI152&amp;""))</f>
        <v>2026-10-23</v>
      </c>
      <c r="AH152" s="0" t="s">
        <v>9103</v>
      </c>
      <c r="AI152" s="0" t="s">
        <v>5630</v>
      </c>
      <c r="AJ152" s="0" t="s">
        <v>9104</v>
      </c>
      <c r="AK152" s="0" t="s">
        <v>9105</v>
      </c>
      <c r="AL152" s="0" t="s">
        <v>164</v>
      </c>
      <c r="AM152" s="0" t="s">
        <v>9106</v>
      </c>
      <c r="AN152" s="0" t="s">
        <v>9100</v>
      </c>
      <c r="AO152" s="5" t="s">
        <v>189</v>
      </c>
      <c r="AR152" s="0" t="str">
        <f aca="false">IF($A152="","",IF(AND(CK152="pass",AO152&lt;&gt;"Y",C152&lt;&gt;"",OR(AU152&lt;&gt;"Y",AV152="Y")),"Y","N"))</f>
        <v>N</v>
      </c>
      <c r="AS152" s="0" t="str">
        <f aca="false">IF($A152="","",_xlfn.TEXTJOIN("; ",TRUE(),IF(CK152&lt;&gt;"pass","gated out",""),IF(AO152="Y","on hold: "&amp;AP152,""),IF(C152="","no contact named on an opened page",""),IF(AND(AU152="Y",AV152&lt;&gt;"Y"),"founder review pending (Founder review tab)","")))</f>
        <v>founder review pending (Founder review tab)</v>
      </c>
      <c r="AU152" s="0" t="s">
        <v>164</v>
      </c>
      <c r="AX152" s="0" t="s">
        <v>9107</v>
      </c>
      <c r="AY152" s="0" t="s">
        <v>9108</v>
      </c>
      <c r="AZ152" s="0" t="s">
        <v>7055</v>
      </c>
      <c r="BA152" s="0" t="s">
        <v>5739</v>
      </c>
      <c r="BC152" s="0" t="str">
        <f aca="false">IF($A152="","",IFERROR(INDEX(Enrichment!$A$2:$GZ$2000,MATCH($A152,INDEX(Enrichment!$A$2:$GZ$2000,0,MATCH("row_id",Enrichment!$A$1:$GZ$1,0)),0),MATCH("work_email",Enrichment!$A$1:$GZ$1,0))&amp;"",""))</f>
        <v/>
      </c>
      <c r="BD152" s="0" t="str">
        <f aca="false">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none</v>
      </c>
      <c r="BE152" s="0" t="s">
        <v>5589</v>
      </c>
      <c r="BF152" s="0" t="s">
        <v>169</v>
      </c>
      <c r="BG152" s="0" t="s">
        <v>170</v>
      </c>
      <c r="BH152" s="0" t="s">
        <v>9102</v>
      </c>
      <c r="BI152" s="0" t="s">
        <v>263</v>
      </c>
      <c r="BJ152" s="0" t="s">
        <v>9109</v>
      </c>
      <c r="BK152" s="0" t="s">
        <v>5643</v>
      </c>
      <c r="BP152" s="0" t="str">
        <f aca="false">IF($A152="","",IFERROR(INDEX(Enrichment!$A$2:$GZ$2000,MATCH($A152,INDEX(Enrichment!$A$2:$GZ$2000,0,MATCH("row_id",Enrichment!$A$1:$GZ$1,0)),0),MATCH("backup_work_email",Enrichment!$A$1:$GZ$1,0))&amp;"",""))</f>
        <v/>
      </c>
      <c r="BQ152" s="0" t="str">
        <f aca="false">IF($A152="","",IF(BP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none</v>
      </c>
      <c r="BS152" s="0" t="s">
        <v>380</v>
      </c>
      <c r="BW152" s="0" t="s">
        <v>5741</v>
      </c>
      <c r="BX152" s="0" t="s">
        <v>388</v>
      </c>
      <c r="BY152" s="0" t="s">
        <v>7209</v>
      </c>
      <c r="BZ152" s="0" t="s">
        <v>8916</v>
      </c>
      <c r="CB152" s="0" t="s">
        <v>9110</v>
      </c>
      <c r="CJ152" s="0" t="s">
        <v>7088</v>
      </c>
      <c r="CK152" s="0" t="s">
        <v>200</v>
      </c>
      <c r="CM152" s="0" t="s">
        <v>201</v>
      </c>
      <c r="CN152" s="0" t="s">
        <v>8918</v>
      </c>
      <c r="CO152" s="0" t="s">
        <v>9105</v>
      </c>
      <c r="CP152" s="0" t="s">
        <v>7145</v>
      </c>
      <c r="CQ152" s="0" t="s">
        <v>6198</v>
      </c>
      <c r="CR152" s="0" t="s">
        <v>209</v>
      </c>
      <c r="CT152" s="0" t="s">
        <v>164</v>
      </c>
      <c r="CU152" s="0" t="s">
        <v>9111</v>
      </c>
      <c r="CV152" s="0" t="s">
        <v>189</v>
      </c>
      <c r="CW152" s="0" t="s">
        <v>164</v>
      </c>
      <c r="CX152" s="0" t="s">
        <v>209</v>
      </c>
      <c r="CZ152" s="0" t="s">
        <v>209</v>
      </c>
      <c r="DA152" s="0" t="s">
        <v>189</v>
      </c>
      <c r="DB152" s="0" t="s">
        <v>189</v>
      </c>
      <c r="DD152" s="0" t="n">
        <v>0</v>
      </c>
      <c r="DE152" s="0" t="s">
        <v>164</v>
      </c>
      <c r="DF152" s="0" t="n">
        <v>3</v>
      </c>
      <c r="DG152" s="0" t="s">
        <v>5686</v>
      </c>
      <c r="DI152" s="0" t="s">
        <v>9112</v>
      </c>
      <c r="DJ152" s="0" t="s">
        <v>9113</v>
      </c>
      <c r="DK152" s="0" t="s">
        <v>380</v>
      </c>
      <c r="DN152" s="0" t="n">
        <v>34</v>
      </c>
      <c r="DO152" s="0" t="n">
        <v>25</v>
      </c>
      <c r="DP152" s="0" t="n">
        <v>3</v>
      </c>
      <c r="DQ152" s="0" t="n">
        <v>0</v>
      </c>
      <c r="DR152" s="0" t="n">
        <v>5</v>
      </c>
      <c r="DS152" s="0" t="n">
        <v>7</v>
      </c>
      <c r="DT152" s="0" t="n">
        <v>6</v>
      </c>
      <c r="DU152" s="0" t="n">
        <f aca="false">IF($A152="","",IF(R152="Y",10,0))</f>
        <v>0</v>
      </c>
      <c r="DV152" s="0" t="n">
        <v>-12</v>
      </c>
      <c r="DW152" s="0" t="s">
        <v>209</v>
      </c>
      <c r="DX152" s="0" t="s">
        <v>5814</v>
      </c>
      <c r="DY152" s="0" t="s">
        <v>9114</v>
      </c>
      <c r="DZ152" s="0" t="s">
        <v>9115</v>
      </c>
      <c r="EV152" s="0" t="str">
        <f aca="false">IF($A152="","",IF(ISNUMBER(MATCH(U152,{"queued","contacted","replied","call_booked","call_done","yes_in_principle","materials_sent"},0)),"Y","N"))</f>
        <v>N</v>
      </c>
      <c r="EW152" s="0" t="str">
        <f aca="false">IF($A152="","",IF(OR(T152="Y",U152="do_not_contact",AQ152&amp;""&lt;&gt;""),"Y","N"))</f>
        <v>N</v>
      </c>
      <c r="EX152" s="0" t="str">
        <f aca="false">IF($A152="","",IF(AN152&amp;""&lt;&gt;"",AN152&amp;"",$A152))</f>
        <v>AB-033</v>
      </c>
      <c r="EY152" s="0" t="str">
        <f aca="false">IF($A152="","",IF(COUNTIFS($EX$2:$EX$1000,EX152,$EV$2:$EV$1000,"Y")+COUNTIFS($EX$2:$EX$1000,EX152,$EW$2:$EW$1000,"Y")&gt;0,"Y","N"))</f>
        <v>N</v>
      </c>
      <c r="EZ152" s="0" t="str">
        <f aca="false">IF($A152="","",IF(AND(U152="new",T152="N",EW152="N",AR152="Y",EY152="N"),"Y","N"))</f>
        <v>N</v>
      </c>
      <c r="FA152" s="0" t="str">
        <f aca="false">IF($A152="","",IF(EZ152&lt;&gt;"Y","N",IF(COUNTIFS($EX$2:$EX$1000,EX152,$EZ$2:$EZ$1000,"Y",$J$2:$J$1000,"&gt;"&amp;J152)+COUNTIFS($EX$2:$EX$1000,EX152,$EZ$2:$EZ$1000,"Y",$J$2:$J$1000,J152,$FG$2:$FG$1000,"&lt;"&amp;FG152)=0,"Y","N")))</f>
        <v>N</v>
      </c>
      <c r="FB152" s="0" t="str">
        <f aca="false">IF($A152="","",IF(AND(EZ152="Y",FA152="Y",Y152&amp;""&lt;&gt;""),IF(Y152&lt;=10,"Y","N"),"N"))</f>
        <v>N</v>
      </c>
      <c r="FC152" s="0" t="str">
        <f aca="false">IF(FB152="Y",Y152,"")</f>
        <v/>
      </c>
      <c r="FD152" s="0" t="str">
        <f aca="false">IF($A152="","",IF(AND(CK152="pass",AU152="Y",AV152&lt;&gt;"Y",U152="new",EW152="N"),"Y","N"))</f>
        <v>Y</v>
      </c>
      <c r="FE152" s="0" t="str">
        <f aca="false">IF(FD152&lt;&gt;"Y","",IF(COUNTIFS($FD$2:$FD$1000,"Y",$J$2:$J$1000,"&gt;"&amp;J152)+COUNTIFS($FD$2:$FD$1000,"Y",$J$2:$J$1000,J152,$FG$2:$FG$1000,"&lt;"&amp;FG152)+1&lt;=30,COUNTIFS($FD$2:$FD$1000,"Y",$J$2:$J$1000,"&gt;"&amp;J152)+COUNTIFS($FD$2:$FD$1000,"Y",$J$2:$J$1000,J152,$FG$2:$FG$1000,"&lt;"&amp;FG152)+1,""))</f>
        <v/>
      </c>
      <c r="FF152" s="0" t="str">
        <f aca="false">IF(AND(_xlfn.ISFORMULA(C152),_xlfn.ISFORMULA(J152)),"Y","N")</f>
        <v>Y</v>
      </c>
      <c r="FG152" s="0" t="n">
        <f aca="false">ROW()-1</f>
        <v>151</v>
      </c>
    </row>
    <row r="153" customFormat="false" ht="15" hidden="false" customHeight="false" outlineLevel="0" collapsed="false">
      <c r="A153" s="0" t="s">
        <v>9116</v>
      </c>
      <c r="B153" s="0" t="s">
        <v>9117</v>
      </c>
      <c r="C153" s="0" t="str">
        <f aca="false">IF($A153="","",IF(AT153="Y",BL153&amp;"",AY153&amp;""))</f>
        <v>Kathleen</v>
      </c>
      <c r="D153" s="0" t="str">
        <f aca="false">IF($A153="","",IF(AT153="Y",BM153&amp;"",AZ153&amp;""))</f>
        <v>King</v>
      </c>
      <c r="E153" s="0" t="str">
        <f aca="false">IF($A153="","",IF(AT153="Y",BN153&amp;"",BA153&amp;""))</f>
        <v>Founder</v>
      </c>
      <c r="F153" s="0" t="str">
        <f aca="false">IF($A153="","",IF(AT153="Y",BO153&amp;"",BB153&amp;""))</f>
        <v/>
      </c>
      <c r="G153" s="0" t="str">
        <f aca="false">IF($A153="","",IF(AT153="Y",BP153&amp;"",BC153&amp;""))</f>
        <v/>
      </c>
      <c r="H153" s="0" t="str">
        <f aca="false">IF($A153="","",IF(AT153="Y",BQ153&amp;"",BD153&amp;""))</f>
        <v>none</v>
      </c>
      <c r="I153" s="0" t="str">
        <f aca="false">IF($A153="","",IF(R153="Y","warm-intro",IF(H153="verified","email",IF(C153&lt;&gt;"","linkedin",CA153&amp;""))))</f>
        <v>linkedin</v>
      </c>
      <c r="J153" s="0" t="n">
        <f aca="false">IF($A153="","",IF(CK153="pass",ROUND(N(DO153)+N(DP153)+N(DQ153)+N(DR153)+N(DS153)+N(DT153)+N(DU153)+N(DV153),0),0))</f>
        <v>34</v>
      </c>
      <c r="K153" s="0" t="str">
        <f aca="false">IF($A153="","",IF(CK153&lt;&gt;"pass",BY153&amp;"",BY153&amp;", "&amp;IF(AT153="Y",BX153&amp;"",BK153&amp;"")&amp;BZ153&amp;IF(R153="Y","; known to the founder (+10)","")&amp;"."))</f>
        <v>New York State brand, store page shows Whole Foods Market NoMad inside the cluster, no dated why-now in the last 12 months, revenue unknown, contact named; founder review: owner, scale.</v>
      </c>
      <c r="M153" s="0" t="s">
        <v>5572</v>
      </c>
      <c r="N153" s="0" t="s">
        <v>5573</v>
      </c>
      <c r="R153" s="5" t="s">
        <v>189</v>
      </c>
      <c r="S153" s="0" t="s">
        <v>209</v>
      </c>
      <c r="T153" s="5" t="s">
        <v>189</v>
      </c>
      <c r="U153" s="5" t="s">
        <v>3896</v>
      </c>
      <c r="V153" s="0" t="s">
        <v>9118</v>
      </c>
      <c r="W153" s="0" t="s">
        <v>263</v>
      </c>
      <c r="X153" s="0" t="s">
        <v>5578</v>
      </c>
      <c r="Y153" s="0" t="str">
        <f aca="false">IF(FA153&lt;&gt;"Y","",COUNTIFS($FA$2:$FA$1000,"Y",$J$2:$J$1000,"&gt;"&amp;J153)+COUNTIFS($FA$2:$FA$1000,"Y",$J$2:$J$1000,J153,$FG$2:$FG$1000,"&lt;"&amp;FG153)+1)</f>
        <v/>
      </c>
      <c r="Z153" s="0" t="n">
        <v>152</v>
      </c>
      <c r="AA153" s="0" t="s">
        <v>189</v>
      </c>
      <c r="AB153" s="0" t="str">
        <f aca="false">IF($A153="","",IF(AT153="Y",BW153&amp;"",BJ153&amp;""))</f>
        <v>find Kathleen King at Tate's Bake Shop on LinkedIn and paste the profile URL into primary_linkedin_url; use the Whole Foods Market NoMad line only if retailer_checked_date is this week's Friday check</v>
      </c>
      <c r="AC153" s="0" t="str">
        <f aca="false">IF($A153="","",IF(AT153="Y",BR153&amp;"",BE153&amp;""))</f>
        <v>founder</v>
      </c>
      <c r="AD153" s="0" t="str">
        <f aca="false">IF($A153="","",IF(AT153="Y",BS153&amp;"",BF153&amp;""))</f>
        <v>verified-page</v>
      </c>
      <c r="AE153" s="0" t="str">
        <f aca="false">IF($A153="","",IF(AT153="Y",BT153&amp;"",BG153&amp;""))</f>
        <v>press, event or podcast page</v>
      </c>
      <c r="AF153" s="0" t="str">
        <f aca="false">IF($A153="","",IF(AT153="Y",BU153&amp;"",BH153&amp;""))</f>
        <v>https://cspdailynews.com/snacks-candy/mondelez-acquires-tates-bake-shop</v>
      </c>
      <c r="AG153" s="0" t="str">
        <f aca="false">IF($A153="","",IF(AT153="Y",BV153&amp;"",BI153&amp;""))</f>
        <v>2026-10-23</v>
      </c>
      <c r="AH153" s="0" t="s">
        <v>9119</v>
      </c>
      <c r="AI153" s="0" t="s">
        <v>5702</v>
      </c>
      <c r="AJ153" s="0" t="s">
        <v>9120</v>
      </c>
      <c r="AK153" s="0" t="s">
        <v>9121</v>
      </c>
      <c r="AL153" s="0" t="s">
        <v>164</v>
      </c>
      <c r="AM153" s="0" t="s">
        <v>9122</v>
      </c>
      <c r="AN153" s="0" t="s">
        <v>9116</v>
      </c>
      <c r="AO153" s="5" t="s">
        <v>189</v>
      </c>
      <c r="AR153" s="0" t="str">
        <f aca="false">IF($A153="","",IF(AND(CK153="pass",AO153&lt;&gt;"Y",C153&lt;&gt;"",OR(AU153&lt;&gt;"Y",AV153="Y")),"Y","N"))</f>
        <v>N</v>
      </c>
      <c r="AS153" s="0" t="str">
        <f aca="false">IF($A153="","",_xlfn.TEXTJOIN("; ",TRUE(),IF(CK153&lt;&gt;"pass","gated out",""),IF(AO153="Y","on hold: "&amp;AP153,""),IF(C153="","no contact named on an opened page",""),IF(AND(AU153="Y",AV153&lt;&gt;"Y"),"founder review pending (Founder review tab)","")))</f>
        <v>founder review pending (Founder review tab)</v>
      </c>
      <c r="AU153" s="0" t="s">
        <v>164</v>
      </c>
      <c r="AX153" s="0" t="s">
        <v>9123</v>
      </c>
      <c r="AY153" s="0" t="s">
        <v>9124</v>
      </c>
      <c r="AZ153" s="0" t="s">
        <v>629</v>
      </c>
      <c r="BA153" s="0" t="s">
        <v>5739</v>
      </c>
      <c r="BC153" s="0" t="str">
        <f aca="false">IF($A153="","",IFERROR(INDEX(Enrichment!$A$2:$GZ$2000,MATCH($A153,INDEX(Enrichment!$A$2:$GZ$2000,0,MATCH("row_id",Enrichment!$A$1:$GZ$1,0)),0),MATCH("work_email",Enrichment!$A$1:$GZ$1,0))&amp;"",""))</f>
        <v/>
      </c>
      <c r="BD153" s="0" t="str">
        <f aca="false">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none</v>
      </c>
      <c r="BE153" s="0" t="s">
        <v>5589</v>
      </c>
      <c r="BF153" s="0" t="s">
        <v>169</v>
      </c>
      <c r="BG153" s="0" t="s">
        <v>1252</v>
      </c>
      <c r="BH153" s="0" t="s">
        <v>9125</v>
      </c>
      <c r="BI153" s="0" t="s">
        <v>263</v>
      </c>
      <c r="BJ153" s="0" t="s">
        <v>9126</v>
      </c>
      <c r="BK153" s="0" t="s">
        <v>5643</v>
      </c>
      <c r="BP153" s="0" t="str">
        <f aca="false">IF($A153="","",IFERROR(INDEX(Enrichment!$A$2:$GZ$2000,MATCH($A153,INDEX(Enrichment!$A$2:$GZ$2000,0,MATCH("row_id",Enrichment!$A$1:$GZ$1,0)),0),MATCH("backup_work_email",Enrichment!$A$1:$GZ$1,0))&amp;"",""))</f>
        <v/>
      </c>
      <c r="BQ153" s="0" t="str">
        <f aca="false">IF($A153="","",IF(BP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none</v>
      </c>
      <c r="BS153" s="0" t="s">
        <v>380</v>
      </c>
      <c r="BW153" s="0" t="s">
        <v>5741</v>
      </c>
      <c r="BX153" s="0" t="s">
        <v>388</v>
      </c>
      <c r="BY153" s="0" t="s">
        <v>9127</v>
      </c>
      <c r="BZ153" s="0" t="s">
        <v>8073</v>
      </c>
      <c r="CB153" s="0" t="s">
        <v>9128</v>
      </c>
      <c r="CJ153" s="0" t="s">
        <v>7088</v>
      </c>
      <c r="CK153" s="0" t="s">
        <v>200</v>
      </c>
      <c r="CM153" s="0" t="s">
        <v>201</v>
      </c>
      <c r="CN153" s="0" t="s">
        <v>8075</v>
      </c>
      <c r="CO153" s="0" t="s">
        <v>9121</v>
      </c>
      <c r="CP153" s="0" t="s">
        <v>5608</v>
      </c>
      <c r="CQ153" s="0" t="s">
        <v>5870</v>
      </c>
      <c r="CR153" s="0" t="s">
        <v>9129</v>
      </c>
      <c r="CT153" s="0" t="s">
        <v>164</v>
      </c>
      <c r="CU153" s="0" t="s">
        <v>9130</v>
      </c>
      <c r="CV153" s="0" t="s">
        <v>164</v>
      </c>
      <c r="CW153" s="0" t="s">
        <v>164</v>
      </c>
      <c r="CX153" s="0" t="s">
        <v>209</v>
      </c>
      <c r="CZ153" s="0" t="s">
        <v>9131</v>
      </c>
      <c r="DA153" s="0" t="s">
        <v>189</v>
      </c>
      <c r="DB153" s="0" t="s">
        <v>189</v>
      </c>
      <c r="DD153" s="0" t="n">
        <v>0</v>
      </c>
      <c r="DE153" s="0" t="s">
        <v>164</v>
      </c>
      <c r="DF153" s="0" t="n">
        <v>3</v>
      </c>
      <c r="DG153" s="0" t="s">
        <v>5686</v>
      </c>
      <c r="DH153" s="0" t="s">
        <v>5969</v>
      </c>
      <c r="DI153" s="0" t="s">
        <v>9132</v>
      </c>
      <c r="DJ153" s="0" t="s">
        <v>9133</v>
      </c>
      <c r="DK153" s="0" t="s">
        <v>380</v>
      </c>
      <c r="DN153" s="0" t="n">
        <v>34</v>
      </c>
      <c r="DO153" s="0" t="n">
        <v>25</v>
      </c>
      <c r="DP153" s="0" t="n">
        <v>13</v>
      </c>
      <c r="DQ153" s="0" t="n">
        <v>0</v>
      </c>
      <c r="DR153" s="0" t="n">
        <v>5</v>
      </c>
      <c r="DS153" s="0" t="n">
        <v>10</v>
      </c>
      <c r="DT153" s="0" t="n">
        <v>6</v>
      </c>
      <c r="DU153" s="0" t="n">
        <f aca="false">IF($A153="","",IF(R153="Y",10,0))</f>
        <v>0</v>
      </c>
      <c r="DV153" s="0" t="n">
        <v>-25</v>
      </c>
      <c r="DX153" s="0" t="s">
        <v>5619</v>
      </c>
      <c r="DY153" s="0" t="s">
        <v>9134</v>
      </c>
      <c r="DZ153" s="0" t="s">
        <v>9135</v>
      </c>
      <c r="EA153" s="0" t="s">
        <v>9136</v>
      </c>
      <c r="EV153" s="0" t="str">
        <f aca="false">IF($A153="","",IF(ISNUMBER(MATCH(U153,{"queued","contacted","replied","call_booked","call_done","yes_in_principle","materials_sent"},0)),"Y","N"))</f>
        <v>N</v>
      </c>
      <c r="EW153" s="0" t="str">
        <f aca="false">IF($A153="","",IF(OR(T153="Y",U153="do_not_contact",AQ153&amp;""&lt;&gt;""),"Y","N"))</f>
        <v>N</v>
      </c>
      <c r="EX153" s="0" t="str">
        <f aca="false">IF($A153="","",IF(AN153&amp;""&lt;&gt;"",AN153&amp;"",$A153))</f>
        <v>AB-248</v>
      </c>
      <c r="EY153" s="0" t="str">
        <f aca="false">IF($A153="","",IF(COUNTIFS($EX$2:$EX$1000,EX153,$EV$2:$EV$1000,"Y")+COUNTIFS($EX$2:$EX$1000,EX153,$EW$2:$EW$1000,"Y")&gt;0,"Y","N"))</f>
        <v>N</v>
      </c>
      <c r="EZ153" s="0" t="str">
        <f aca="false">IF($A153="","",IF(AND(U153="new",T153="N",EW153="N",AR153="Y",EY153="N"),"Y","N"))</f>
        <v>N</v>
      </c>
      <c r="FA153" s="0" t="str">
        <f aca="false">IF($A153="","",IF(EZ153&lt;&gt;"Y","N",IF(COUNTIFS($EX$2:$EX$1000,EX153,$EZ$2:$EZ$1000,"Y",$J$2:$J$1000,"&gt;"&amp;J153)+COUNTIFS($EX$2:$EX$1000,EX153,$EZ$2:$EZ$1000,"Y",$J$2:$J$1000,J153,$FG$2:$FG$1000,"&lt;"&amp;FG153)=0,"Y","N")))</f>
        <v>N</v>
      </c>
      <c r="FB153" s="0" t="str">
        <f aca="false">IF($A153="","",IF(AND(EZ153="Y",FA153="Y",Y153&amp;""&lt;&gt;""),IF(Y153&lt;=10,"Y","N"),"N"))</f>
        <v>N</v>
      </c>
      <c r="FC153" s="0" t="str">
        <f aca="false">IF(FB153="Y",Y153,"")</f>
        <v/>
      </c>
      <c r="FD153" s="0" t="str">
        <f aca="false">IF($A153="","",IF(AND(CK153="pass",AU153="Y",AV153&lt;&gt;"Y",U153="new",EW153="N"),"Y","N"))</f>
        <v>Y</v>
      </c>
      <c r="FE153" s="0" t="str">
        <f aca="false">IF(FD153&lt;&gt;"Y","",IF(COUNTIFS($FD$2:$FD$1000,"Y",$J$2:$J$1000,"&gt;"&amp;J153)+COUNTIFS($FD$2:$FD$1000,"Y",$J$2:$J$1000,J153,$FG$2:$FG$1000,"&lt;"&amp;FG153)+1&lt;=30,COUNTIFS($FD$2:$FD$1000,"Y",$J$2:$J$1000,"&gt;"&amp;J153)+COUNTIFS($FD$2:$FD$1000,"Y",$J$2:$J$1000,J153,$FG$2:$FG$1000,"&lt;"&amp;FG153)+1,""))</f>
        <v/>
      </c>
      <c r="FF153" s="0" t="str">
        <f aca="false">IF(AND(_xlfn.ISFORMULA(C153),_xlfn.ISFORMULA(J153)),"Y","N")</f>
        <v>Y</v>
      </c>
      <c r="FG153" s="0" t="n">
        <f aca="false">ROW()-1</f>
        <v>152</v>
      </c>
    </row>
    <row r="154" customFormat="false" ht="15" hidden="false" customHeight="false" outlineLevel="0" collapsed="false">
      <c r="A154" s="0" t="s">
        <v>9137</v>
      </c>
      <c r="B154" s="0" t="s">
        <v>9138</v>
      </c>
      <c r="C154" s="0" t="str">
        <f aca="false">IF($A154="","",IF(AT154="Y",BL154&amp;"",AY154&amp;""))</f>
        <v>Matteo</v>
      </c>
      <c r="D154" s="0" t="str">
        <f aca="false">IF($A154="","",IF(AT154="Y",BM154&amp;"",AZ154&amp;""))</f>
        <v>Caloia</v>
      </c>
      <c r="E154" s="0" t="str">
        <f aca="false">IF($A154="","",IF(AT154="Y",BN154&amp;"",BA154&amp;""))</f>
        <v>Co-founder</v>
      </c>
      <c r="F154" s="0" t="str">
        <f aca="false">IF($A154="","",IF(AT154="Y",BO154&amp;"",BB154&amp;""))</f>
        <v/>
      </c>
      <c r="G154" s="0" t="str">
        <f aca="false">IF($A154="","",IF(AT154="Y",BP154&amp;"",BC154&amp;""))</f>
        <v/>
      </c>
      <c r="H154" s="0" t="str">
        <f aca="false">IF($A154="","",IF(AT154="Y",BQ154&amp;"",BD154&amp;""))</f>
        <v>none</v>
      </c>
      <c r="I154" s="0" t="str">
        <f aca="false">IF($A154="","",IF(R154="Y","warm-intro",IF(H154="verified","email",IF(C154&lt;&gt;"","linkedin",CA154&amp;""))))</f>
        <v>linkedin</v>
      </c>
      <c r="J154" s="0" t="n">
        <f aca="false">IF($A154="","",IF(CK154="pass",ROUND(N(DO154)+N(DP154)+N(DQ154)+N(DR154)+N(DS154)+N(DT154)+N(DU154)+N(DV154),0),0))</f>
        <v>34</v>
      </c>
      <c r="K154" s="0" t="str">
        <f aca="false">IF($A154="","",IF(CK154&lt;&gt;"pass",BY154&amp;"",BY154&amp;", "&amp;IF(AT154="Y",BX154&amp;"",BK154&amp;"")&amp;BZ154&amp;IF(R154="Y","; known to the founder (+10)","")&amp;"."))</f>
        <v>Brand based outside the Northeast, no graded store within ten blocks, online store only, a new store listing 180 days ago, revenue unknown, contact named; founder review: nutrient-claim.</v>
      </c>
      <c r="M154" s="0" t="s">
        <v>6144</v>
      </c>
      <c r="N154" s="0" t="s">
        <v>740</v>
      </c>
      <c r="O154" s="0" t="s">
        <v>9139</v>
      </c>
      <c r="P154" s="0" t="s">
        <v>9140</v>
      </c>
      <c r="Q154" s="0" t="s">
        <v>9141</v>
      </c>
      <c r="R154" s="5" t="s">
        <v>189</v>
      </c>
      <c r="S154" s="0" t="s">
        <v>209</v>
      </c>
      <c r="T154" s="5" t="s">
        <v>189</v>
      </c>
      <c r="U154" s="5" t="s">
        <v>3896</v>
      </c>
      <c r="V154" s="0" t="s">
        <v>9142</v>
      </c>
      <c r="W154" s="0" t="s">
        <v>263</v>
      </c>
      <c r="X154" s="0" t="s">
        <v>5578</v>
      </c>
      <c r="Y154" s="0" t="n">
        <f aca="false">IF(FA154&lt;&gt;"Y","",COUNTIFS($FA$2:$FA$1000,"Y",$J$2:$J$1000,"&gt;"&amp;J154)+COUNTIFS($FA$2:$FA$1000,"Y",$J$2:$J$1000,J154,$FG$2:$FG$1000,"&lt;"&amp;FG154)+1)</f>
        <v>58</v>
      </c>
      <c r="Z154" s="0" t="n">
        <v>153</v>
      </c>
      <c r="AA154" s="0" t="s">
        <v>189</v>
      </c>
      <c r="AB154" s="0" t="str">
        <f aca="false">IF($A154="","",IF(AT154="Y",BW154&amp;"",BJ154&amp;""))</f>
        <v>find Matteo Caloia at RiND on LinkedIn and paste the profile URL into primary_linkedin_url</v>
      </c>
      <c r="AC154" s="0" t="str">
        <f aca="false">IF($A154="","",IF(AT154="Y",BR154&amp;"",BE154&amp;""))</f>
        <v>founder</v>
      </c>
      <c r="AD154" s="0" t="str">
        <f aca="false">IF($A154="","",IF(AT154="Y",BS154&amp;"",BF154&amp;""))</f>
        <v>verified-page</v>
      </c>
      <c r="AE154" s="0" t="str">
        <f aca="false">IF($A154="","",IF(AT154="Y",BT154&amp;"",BG154&amp;""))</f>
        <v>employer's own site</v>
      </c>
      <c r="AF154" s="0" t="str">
        <f aca="false">IF($A154="","",IF(AT154="Y",BU154&amp;"",BH154&amp;""))</f>
        <v>https://eatprind.com/pages/about</v>
      </c>
      <c r="AG154" s="0" t="str">
        <f aca="false">IF($A154="","",IF(AT154="Y",BV154&amp;"",BI154&amp;""))</f>
        <v>2026-10-23</v>
      </c>
      <c r="AH154" s="0" t="s">
        <v>9143</v>
      </c>
      <c r="AI154" s="0" t="s">
        <v>5630</v>
      </c>
      <c r="AJ154" s="0" t="s">
        <v>8930</v>
      </c>
      <c r="AK154" s="0" t="s">
        <v>9144</v>
      </c>
      <c r="AL154" s="0" t="s">
        <v>164</v>
      </c>
      <c r="AM154" s="0" t="s">
        <v>9145</v>
      </c>
      <c r="AN154" s="0" t="s">
        <v>9137</v>
      </c>
      <c r="AO154" s="5" t="s">
        <v>189</v>
      </c>
      <c r="AR154" s="0" t="str">
        <f aca="false">IF($A154="","",IF(AND(CK154="pass",AO154&lt;&gt;"Y",C154&lt;&gt;"",OR(AU154&lt;&gt;"Y",AV154="Y")),"Y","N"))</f>
        <v>Y</v>
      </c>
      <c r="AS154" s="0" t="str">
        <f aca="false">IF($A154="","",_xlfn.TEXTJOIN("; ",TRUE(),IF(CK154&lt;&gt;"pass","gated out",""),IF(AO154="Y","on hold: "&amp;AP154,""),IF(C154="","no contact named on an opened page",""),IF(AND(AU154="Y",AV154&lt;&gt;"Y"),"founder review pending (Founder review tab)","")))</f>
        <v/>
      </c>
      <c r="AU154" s="0" t="s">
        <v>189</v>
      </c>
      <c r="AY154" s="0" t="s">
        <v>9146</v>
      </c>
      <c r="AZ154" s="0" t="s">
        <v>9147</v>
      </c>
      <c r="BA154" s="0" t="s">
        <v>5636</v>
      </c>
      <c r="BC154" s="0" t="str">
        <f aca="false">IF($A154="","",IFERROR(INDEX(Enrichment!$A$2:$GZ$2000,MATCH($A154,INDEX(Enrichment!$A$2:$GZ$2000,0,MATCH("row_id",Enrichment!$A$1:$GZ$1,0)),0),MATCH("work_email",Enrichment!$A$1:$GZ$1,0))&amp;"",""))</f>
        <v/>
      </c>
      <c r="BD154" s="0" t="str">
        <f aca="false">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none</v>
      </c>
      <c r="BE154" s="0" t="s">
        <v>5589</v>
      </c>
      <c r="BF154" s="0" t="s">
        <v>169</v>
      </c>
      <c r="BG154" s="0" t="s">
        <v>170</v>
      </c>
      <c r="BH154" s="0" t="s">
        <v>9142</v>
      </c>
      <c r="BI154" s="0" t="s">
        <v>263</v>
      </c>
      <c r="BJ154" s="0" t="s">
        <v>9148</v>
      </c>
      <c r="BK154" s="0" t="s">
        <v>5643</v>
      </c>
      <c r="BL154" s="0" t="s">
        <v>9149</v>
      </c>
      <c r="BM154" s="0" t="s">
        <v>209</v>
      </c>
      <c r="BN154" s="0" t="s">
        <v>5636</v>
      </c>
      <c r="BP154" s="0" t="str">
        <f aca="false">IF($A154="","",IFERROR(INDEX(Enrichment!$A$2:$GZ$2000,MATCH($A154,INDEX(Enrichment!$A$2:$GZ$2000,0,MATCH("row_id",Enrichment!$A$1:$GZ$1,0)),0),MATCH("backup_work_email",Enrichment!$A$1:$GZ$1,0))&amp;"",""))</f>
        <v/>
      </c>
      <c r="BQ154" s="0" t="str">
        <f aca="false">IF($A154="","",IF(BP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none</v>
      </c>
      <c r="BR154" s="0" t="s">
        <v>7748</v>
      </c>
      <c r="BS154" s="0" t="s">
        <v>5896</v>
      </c>
      <c r="BT154" s="0" t="s">
        <v>170</v>
      </c>
      <c r="BU154" s="0" t="s">
        <v>9142</v>
      </c>
      <c r="BV154" s="0" t="s">
        <v>263</v>
      </c>
      <c r="BW154" s="0" t="s">
        <v>9150</v>
      </c>
      <c r="BX154" s="0" t="s">
        <v>5898</v>
      </c>
      <c r="BY154" s="0" t="s">
        <v>9151</v>
      </c>
      <c r="BZ154" s="0" t="s">
        <v>5601</v>
      </c>
      <c r="CB154" s="0" t="s">
        <v>9152</v>
      </c>
      <c r="CD154" s="0" t="s">
        <v>8098</v>
      </c>
      <c r="CF154" s="0" t="s">
        <v>9149</v>
      </c>
      <c r="CH154" s="0" t="s">
        <v>8098</v>
      </c>
      <c r="CJ154" s="0" t="s">
        <v>7088</v>
      </c>
      <c r="CK154" s="0" t="s">
        <v>200</v>
      </c>
      <c r="CM154" s="0" t="s">
        <v>201</v>
      </c>
      <c r="CN154" s="0" t="s">
        <v>5607</v>
      </c>
      <c r="CO154" s="0" t="s">
        <v>9144</v>
      </c>
      <c r="CP154" s="0" t="s">
        <v>6263</v>
      </c>
      <c r="CQ154" s="0" t="s">
        <v>6198</v>
      </c>
      <c r="CR154" s="0" t="s">
        <v>209</v>
      </c>
      <c r="CT154" s="0" t="s">
        <v>164</v>
      </c>
      <c r="CU154" s="0" t="s">
        <v>9153</v>
      </c>
      <c r="CV154" s="0" t="s">
        <v>164</v>
      </c>
      <c r="CW154" s="0" t="s">
        <v>164</v>
      </c>
      <c r="CX154" s="0" t="s">
        <v>209</v>
      </c>
      <c r="CZ154" s="0" t="s">
        <v>209</v>
      </c>
      <c r="DA154" s="0" t="s">
        <v>189</v>
      </c>
      <c r="DB154" s="0" t="s">
        <v>189</v>
      </c>
      <c r="DE154" s="0" t="s">
        <v>189</v>
      </c>
      <c r="DF154" s="0" t="n">
        <v>0</v>
      </c>
      <c r="DH154" s="0" t="s">
        <v>7473</v>
      </c>
      <c r="DI154" s="0" t="s">
        <v>9154</v>
      </c>
      <c r="DJ154" s="0" t="s">
        <v>9155</v>
      </c>
      <c r="DK154" s="0" t="s">
        <v>5689</v>
      </c>
      <c r="DL154" s="0" t="n">
        <v>180</v>
      </c>
      <c r="DN154" s="0" t="n">
        <v>34</v>
      </c>
      <c r="DO154" s="0" t="n">
        <v>6</v>
      </c>
      <c r="DP154" s="0" t="n">
        <v>3</v>
      </c>
      <c r="DQ154" s="0" t="n">
        <v>8</v>
      </c>
      <c r="DR154" s="0" t="n">
        <v>5</v>
      </c>
      <c r="DS154" s="0" t="n">
        <v>10</v>
      </c>
      <c r="DT154" s="0" t="n">
        <v>6</v>
      </c>
      <c r="DU154" s="0" t="n">
        <f aca="false">IF($A154="","",IF(R154="Y",10,0))</f>
        <v>0</v>
      </c>
      <c r="DV154" s="0" t="n">
        <v>-4</v>
      </c>
      <c r="DW154" s="0" t="s">
        <v>9156</v>
      </c>
      <c r="DX154" s="0" t="s">
        <v>5814</v>
      </c>
      <c r="DY154" s="0" t="s">
        <v>9157</v>
      </c>
      <c r="DZ154" s="0" t="s">
        <v>9158</v>
      </c>
      <c r="EV154" s="0" t="str">
        <f aca="false">IF($A154="","",IF(ISNUMBER(MATCH(U154,{"queued","contacted","replied","call_booked","call_done","yes_in_principle","materials_sent"},0)),"Y","N"))</f>
        <v>N</v>
      </c>
      <c r="EW154" s="0" t="str">
        <f aca="false">IF($A154="","",IF(OR(T154="Y",U154="do_not_contact",AQ154&amp;""&lt;&gt;""),"Y","N"))</f>
        <v>N</v>
      </c>
      <c r="EX154" s="0" t="str">
        <f aca="false">IF($A154="","",IF(AN154&amp;""&lt;&gt;"",AN154&amp;"",$A154))</f>
        <v>AB-020</v>
      </c>
      <c r="EY154" s="0" t="str">
        <f aca="false">IF($A154="","",IF(COUNTIFS($EX$2:$EX$1000,EX154,$EV$2:$EV$1000,"Y")+COUNTIFS($EX$2:$EX$1000,EX154,$EW$2:$EW$1000,"Y")&gt;0,"Y","N"))</f>
        <v>N</v>
      </c>
      <c r="EZ154" s="0" t="str">
        <f aca="false">IF($A154="","",IF(AND(U154="new",T154="N",EW154="N",AR154="Y",EY154="N"),"Y","N"))</f>
        <v>Y</v>
      </c>
      <c r="FA154" s="0" t="str">
        <f aca="false">IF($A154="","",IF(EZ154&lt;&gt;"Y","N",IF(COUNTIFS($EX$2:$EX$1000,EX154,$EZ$2:$EZ$1000,"Y",$J$2:$J$1000,"&gt;"&amp;J154)+COUNTIFS($EX$2:$EX$1000,EX154,$EZ$2:$EZ$1000,"Y",$J$2:$J$1000,J154,$FG$2:$FG$1000,"&lt;"&amp;FG154)=0,"Y","N")))</f>
        <v>Y</v>
      </c>
      <c r="FB154" s="0" t="str">
        <f aca="false">IF($A154="","",IF(AND(EZ154="Y",FA154="Y",Y154&amp;""&lt;&gt;""),IF(Y154&lt;=10,"Y","N"),"N"))</f>
        <v>N</v>
      </c>
      <c r="FC154" s="0" t="str">
        <f aca="false">IF(FB154="Y",Y154,"")</f>
        <v/>
      </c>
      <c r="FD154" s="0" t="str">
        <f aca="false">IF($A154="","",IF(AND(CK154="pass",AU154="Y",AV154&lt;&gt;"Y",U154="new",EW154="N"),"Y","N"))</f>
        <v>N</v>
      </c>
      <c r="FE154" s="0" t="str">
        <f aca="false">IF(FD154&lt;&gt;"Y","",IF(COUNTIFS($FD$2:$FD$1000,"Y",$J$2:$J$1000,"&gt;"&amp;J154)+COUNTIFS($FD$2:$FD$1000,"Y",$J$2:$J$1000,J154,$FG$2:$FG$1000,"&lt;"&amp;FG154)+1&lt;=30,COUNTIFS($FD$2:$FD$1000,"Y",$J$2:$J$1000,"&gt;"&amp;J154)+COUNTIFS($FD$2:$FD$1000,"Y",$J$2:$J$1000,J154,$FG$2:$FG$1000,"&lt;"&amp;FG154)+1,""))</f>
        <v/>
      </c>
      <c r="FF154" s="0" t="str">
        <f aca="false">IF(AND(_xlfn.ISFORMULA(C154),_xlfn.ISFORMULA(J154)),"Y","N")</f>
        <v>Y</v>
      </c>
      <c r="FG154" s="0" t="n">
        <f aca="false">ROW()-1</f>
        <v>153</v>
      </c>
    </row>
    <row r="155" customFormat="false" ht="15" hidden="false" customHeight="false" outlineLevel="0" collapsed="false">
      <c r="A155" s="0" t="s">
        <v>9159</v>
      </c>
      <c r="B155" s="0" t="s">
        <v>9160</v>
      </c>
      <c r="C155" s="0" t="str">
        <f aca="false">IF($A155="","",IF(AT155="Y",BL155&amp;"",AY155&amp;""))</f>
        <v>Ben</v>
      </c>
      <c r="D155" s="0" t="str">
        <f aca="false">IF($A155="","",IF(AT155="Y",BM155&amp;"",AZ155&amp;""))</f>
        <v>van den Heever</v>
      </c>
      <c r="E155" s="0" t="str">
        <f aca="false">IF($A155="","",IF(AT155="Y",BN155&amp;"",BA155&amp;""))</f>
        <v>Founder</v>
      </c>
      <c r="F155" s="0" t="str">
        <f aca="false">IF($A155="","",IF(AT155="Y",BO155&amp;"",BB155&amp;""))</f>
        <v/>
      </c>
      <c r="G155" s="0" t="str">
        <f aca="false">IF($A155="","",IF(AT155="Y",BP155&amp;"",BC155&amp;""))</f>
        <v/>
      </c>
      <c r="H155" s="0" t="str">
        <f aca="false">IF($A155="","",IF(AT155="Y",BQ155&amp;"",BD155&amp;""))</f>
        <v>none</v>
      </c>
      <c r="I155" s="0" t="str">
        <f aca="false">IF($A155="","",IF(R155="Y","warm-intro",IF(H155="verified","email",IF(C155&lt;&gt;"","linkedin",CA155&amp;""))))</f>
        <v>linkedin</v>
      </c>
      <c r="J155" s="0" t="n">
        <f aca="false">IF($A155="","",IF(CK155="pass",ROUND(N(DO155)+N(DP155)+N(DQ155)+N(DR155)+N(DS155)+N(DT155)+N(DU155)+N(DV155),0),0))</f>
        <v>34</v>
      </c>
      <c r="K155" s="0" t="str">
        <f aca="false">IF($A155="","",IF(CK155&lt;&gt;"pass",BY155&amp;"",BY155&amp;", "&amp;IF(AT155="Y",BX155&amp;"",BK155&amp;"")&amp;BZ155&amp;IF(R155="Y","; known to the founder (+10)","")&amp;"."))</f>
        <v>Brand based outside the Northeast (HQ unverified), no graded store within ten blocks, online store only, a new store listing 72 days ago, revenue unknown, contact named; founder review: claim-functional, nutrient-claim.</v>
      </c>
      <c r="M155" s="0" t="s">
        <v>6144</v>
      </c>
      <c r="N155" s="0" t="s">
        <v>740</v>
      </c>
      <c r="O155" s="0" t="s">
        <v>9161</v>
      </c>
      <c r="P155" s="0" t="s">
        <v>9162</v>
      </c>
      <c r="Q155" s="0" t="s">
        <v>9163</v>
      </c>
      <c r="R155" s="5" t="s">
        <v>189</v>
      </c>
      <c r="S155" s="0" t="s">
        <v>209</v>
      </c>
      <c r="T155" s="5" t="s">
        <v>189</v>
      </c>
      <c r="U155" s="5" t="s">
        <v>3896</v>
      </c>
      <c r="V155" s="0" t="s">
        <v>9164</v>
      </c>
      <c r="W155" s="0" t="s">
        <v>263</v>
      </c>
      <c r="X155" s="0" t="s">
        <v>5578</v>
      </c>
      <c r="Y155" s="0" t="str">
        <f aca="false">IF(FA155&lt;&gt;"Y","",COUNTIFS($FA$2:$FA$1000,"Y",$J$2:$J$1000,"&gt;"&amp;J155)+COUNTIFS($FA$2:$FA$1000,"Y",$J$2:$J$1000,J155,$FG$2:$FG$1000,"&lt;"&amp;FG155)+1)</f>
        <v/>
      </c>
      <c r="Z155" s="0" t="n">
        <v>154</v>
      </c>
      <c r="AA155" s="0" t="s">
        <v>189</v>
      </c>
      <c r="AB155" s="0" t="str">
        <f aca="false">IF($A155="","",IF(AT155="Y",BW155&amp;"",BJ155&amp;""))</f>
        <v>find Ben van den Heever at Brooklyn Biltong on LinkedIn and paste the profile URL into primary_linkedin_url</v>
      </c>
      <c r="AC155" s="0" t="str">
        <f aca="false">IF($A155="","",IF(AT155="Y",BR155&amp;"",BE155&amp;""))</f>
        <v>founder</v>
      </c>
      <c r="AD155" s="0" t="str">
        <f aca="false">IF($A155="","",IF(AT155="Y",BS155&amp;"",BF155&amp;""))</f>
        <v>verified-page</v>
      </c>
      <c r="AE155" s="0" t="str">
        <f aca="false">IF($A155="","",IF(AT155="Y",BT155&amp;"",BG155&amp;""))</f>
        <v>employer's own site</v>
      </c>
      <c r="AF155" s="0" t="str">
        <f aca="false">IF($A155="","",IF(AT155="Y",BU155&amp;"",BH155&amp;""))</f>
        <v>https://www.brooklynbiltong.com/pages/about-us-history</v>
      </c>
      <c r="AG155" s="0" t="str">
        <f aca="false">IF($A155="","",IF(AT155="Y",BV155&amp;"",BI155&amp;""))</f>
        <v>2026-10-23</v>
      </c>
      <c r="AH155" s="0" t="s">
        <v>9165</v>
      </c>
      <c r="AI155" s="0" t="s">
        <v>6306</v>
      </c>
      <c r="AJ155" s="0" t="s">
        <v>9166</v>
      </c>
      <c r="AK155" s="0" t="s">
        <v>9167</v>
      </c>
      <c r="AL155" s="0" t="s">
        <v>164</v>
      </c>
      <c r="AM155" s="0" t="s">
        <v>9168</v>
      </c>
      <c r="AN155" s="0" t="s">
        <v>9159</v>
      </c>
      <c r="AO155" s="5" t="s">
        <v>189</v>
      </c>
      <c r="AR155" s="0" t="str">
        <f aca="false">IF($A155="","",IF(AND(CK155="pass",AO155&lt;&gt;"Y",C155&lt;&gt;"",OR(AU155&lt;&gt;"Y",AV155="Y")),"Y","N"))</f>
        <v>N</v>
      </c>
      <c r="AS155" s="0" t="str">
        <f aca="false">IF($A155="","",_xlfn.TEXTJOIN("; ",TRUE(),IF(CK155&lt;&gt;"pass","gated out",""),IF(AO155="Y","on hold: "&amp;AP155,""),IF(C155="","no contact named on an opened page",""),IF(AND(AU155="Y",AV155&lt;&gt;"Y"),"founder review pending (Founder review tab)","")))</f>
        <v>founder review pending (Founder review tab)</v>
      </c>
      <c r="AU155" s="0" t="s">
        <v>164</v>
      </c>
      <c r="AY155" s="0" t="s">
        <v>9169</v>
      </c>
      <c r="AZ155" s="0" t="s">
        <v>9170</v>
      </c>
      <c r="BA155" s="0" t="s">
        <v>5739</v>
      </c>
      <c r="BC155" s="0" t="str">
        <f aca="false">IF($A155="","",IFERROR(INDEX(Enrichment!$A$2:$GZ$2000,MATCH($A155,INDEX(Enrichment!$A$2:$GZ$2000,0,MATCH("row_id",Enrichment!$A$1:$GZ$1,0)),0),MATCH("work_email",Enrichment!$A$1:$GZ$1,0))&amp;"",""))</f>
        <v/>
      </c>
      <c r="BD155" s="0" t="str">
        <f aca="false">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none</v>
      </c>
      <c r="BE155" s="0" t="s">
        <v>5589</v>
      </c>
      <c r="BF155" s="0" t="s">
        <v>169</v>
      </c>
      <c r="BG155" s="0" t="s">
        <v>170</v>
      </c>
      <c r="BH155" s="0" t="s">
        <v>9171</v>
      </c>
      <c r="BI155" s="0" t="s">
        <v>263</v>
      </c>
      <c r="BJ155" s="0" t="s">
        <v>9172</v>
      </c>
      <c r="BK155" s="0" t="s">
        <v>5643</v>
      </c>
      <c r="BP155" s="0" t="str">
        <f aca="false">IF($A155="","",IFERROR(INDEX(Enrichment!$A$2:$GZ$2000,MATCH($A155,INDEX(Enrichment!$A$2:$GZ$2000,0,MATCH("row_id",Enrichment!$A$1:$GZ$1,0)),0),MATCH("backup_work_email",Enrichment!$A$1:$GZ$1,0))&amp;"",""))</f>
        <v/>
      </c>
      <c r="BQ155" s="0" t="str">
        <f aca="false">IF($A155="","",IF(BP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none</v>
      </c>
      <c r="BS155" s="0" t="s">
        <v>380</v>
      </c>
      <c r="BW155" s="0" t="s">
        <v>387</v>
      </c>
      <c r="BX155" s="0" t="s">
        <v>388</v>
      </c>
      <c r="BY155" s="0" t="s">
        <v>9173</v>
      </c>
      <c r="BZ155" s="0" t="s">
        <v>6050</v>
      </c>
      <c r="CB155" s="0" t="s">
        <v>9174</v>
      </c>
      <c r="CJ155" s="0" t="s">
        <v>7088</v>
      </c>
      <c r="CK155" s="0" t="s">
        <v>200</v>
      </c>
      <c r="CM155" s="0" t="s">
        <v>201</v>
      </c>
      <c r="CN155" s="0" t="s">
        <v>6051</v>
      </c>
      <c r="CO155" s="0" t="s">
        <v>9167</v>
      </c>
      <c r="CP155" s="0" t="s">
        <v>9175</v>
      </c>
      <c r="CQ155" s="0" t="s">
        <v>7235</v>
      </c>
      <c r="CR155" s="0" t="s">
        <v>209</v>
      </c>
      <c r="CT155" s="0" t="s">
        <v>164</v>
      </c>
      <c r="CU155" s="0" t="s">
        <v>9176</v>
      </c>
      <c r="CV155" s="0" t="s">
        <v>164</v>
      </c>
      <c r="CW155" s="0" t="s">
        <v>164</v>
      </c>
      <c r="CX155" s="0" t="s">
        <v>209</v>
      </c>
      <c r="CZ155" s="0" t="s">
        <v>209</v>
      </c>
      <c r="DA155" s="0" t="s">
        <v>189</v>
      </c>
      <c r="DB155" s="0" t="s">
        <v>189</v>
      </c>
      <c r="DE155" s="0" t="s">
        <v>189</v>
      </c>
      <c r="DF155" s="0" t="n">
        <v>0</v>
      </c>
      <c r="DI155" s="0" t="s">
        <v>9177</v>
      </c>
      <c r="DJ155" s="0" t="s">
        <v>9178</v>
      </c>
      <c r="DK155" s="0" t="s">
        <v>5689</v>
      </c>
      <c r="DL155" s="0" t="n">
        <v>72</v>
      </c>
      <c r="DN155" s="0" t="n">
        <v>34</v>
      </c>
      <c r="DO155" s="0" t="n">
        <v>6</v>
      </c>
      <c r="DP155" s="0" t="n">
        <v>3</v>
      </c>
      <c r="DQ155" s="0" t="n">
        <v>8</v>
      </c>
      <c r="DR155" s="0" t="n">
        <v>5</v>
      </c>
      <c r="DS155" s="0" t="n">
        <v>10</v>
      </c>
      <c r="DT155" s="0" t="n">
        <v>6</v>
      </c>
      <c r="DU155" s="0" t="n">
        <f aca="false">IF($A155="","",IF(R155="Y",10,0))</f>
        <v>0</v>
      </c>
      <c r="DV155" s="0" t="n">
        <v>-4</v>
      </c>
      <c r="DW155" s="0" t="s">
        <v>9179</v>
      </c>
      <c r="DX155" s="0" t="s">
        <v>5619</v>
      </c>
      <c r="DY155" s="0" t="s">
        <v>9180</v>
      </c>
      <c r="DZ155" s="0" t="s">
        <v>9181</v>
      </c>
      <c r="EA155" s="0" t="s">
        <v>9182</v>
      </c>
      <c r="EV155" s="0" t="str">
        <f aca="false">IF($A155="","",IF(ISNUMBER(MATCH(U155,{"queued","contacted","replied","call_booked","call_done","yes_in_principle","materials_sent"},0)),"Y","N"))</f>
        <v>N</v>
      </c>
      <c r="EW155" s="0" t="str">
        <f aca="false">IF($A155="","",IF(OR(T155="Y",U155="do_not_contact",AQ155&amp;""&lt;&gt;""),"Y","N"))</f>
        <v>N</v>
      </c>
      <c r="EX155" s="0" t="str">
        <f aca="false">IF($A155="","",IF(AN155&amp;""&lt;&gt;"",AN155&amp;"",$A155))</f>
        <v>AB-213</v>
      </c>
      <c r="EY155" s="0" t="str">
        <f aca="false">IF($A155="","",IF(COUNTIFS($EX$2:$EX$1000,EX155,$EV$2:$EV$1000,"Y")+COUNTIFS($EX$2:$EX$1000,EX155,$EW$2:$EW$1000,"Y")&gt;0,"Y","N"))</f>
        <v>N</v>
      </c>
      <c r="EZ155" s="0" t="str">
        <f aca="false">IF($A155="","",IF(AND(U155="new",T155="N",EW155="N",AR155="Y",EY155="N"),"Y","N"))</f>
        <v>N</v>
      </c>
      <c r="FA155" s="0" t="str">
        <f aca="false">IF($A155="","",IF(EZ155&lt;&gt;"Y","N",IF(COUNTIFS($EX$2:$EX$1000,EX155,$EZ$2:$EZ$1000,"Y",$J$2:$J$1000,"&gt;"&amp;J155)+COUNTIFS($EX$2:$EX$1000,EX155,$EZ$2:$EZ$1000,"Y",$J$2:$J$1000,J155,$FG$2:$FG$1000,"&lt;"&amp;FG155)=0,"Y","N")))</f>
        <v>N</v>
      </c>
      <c r="FB155" s="0" t="str">
        <f aca="false">IF($A155="","",IF(AND(EZ155="Y",FA155="Y",Y155&amp;""&lt;&gt;""),IF(Y155&lt;=10,"Y","N"),"N"))</f>
        <v>N</v>
      </c>
      <c r="FC155" s="0" t="str">
        <f aca="false">IF(FB155="Y",Y155,"")</f>
        <v/>
      </c>
      <c r="FD155" s="0" t="str">
        <f aca="false">IF($A155="","",IF(AND(CK155="pass",AU155="Y",AV155&lt;&gt;"Y",U155="new",EW155="N"),"Y","N"))</f>
        <v>Y</v>
      </c>
      <c r="FE155" s="0" t="str">
        <f aca="false">IF(FD155&lt;&gt;"Y","",IF(COUNTIFS($FD$2:$FD$1000,"Y",$J$2:$J$1000,"&gt;"&amp;J155)+COUNTIFS($FD$2:$FD$1000,"Y",$J$2:$J$1000,J155,$FG$2:$FG$1000,"&lt;"&amp;FG155)+1&lt;=30,COUNTIFS($FD$2:$FD$1000,"Y",$J$2:$J$1000,"&gt;"&amp;J155)+COUNTIFS($FD$2:$FD$1000,"Y",$J$2:$J$1000,J155,$FG$2:$FG$1000,"&lt;"&amp;FG155)+1,""))</f>
        <v/>
      </c>
      <c r="FF155" s="0" t="str">
        <f aca="false">IF(AND(_xlfn.ISFORMULA(C155),_xlfn.ISFORMULA(J155)),"Y","N")</f>
        <v>Y</v>
      </c>
      <c r="FG155" s="0" t="n">
        <f aca="false">ROW()-1</f>
        <v>154</v>
      </c>
    </row>
    <row r="156" customFormat="false" ht="15" hidden="false" customHeight="false" outlineLevel="0" collapsed="false">
      <c r="A156" s="0" t="s">
        <v>9183</v>
      </c>
      <c r="B156" s="0" t="s">
        <v>9184</v>
      </c>
      <c r="C156" s="0" t="str">
        <f aca="false">IF($A156="","",IF(AT156="Y",BL156&amp;"",AY156&amp;""))</f>
        <v>Tatyana</v>
      </c>
      <c r="D156" s="0" t="str">
        <f aca="false">IF($A156="","",IF(AT156="Y",BM156&amp;"",AZ156&amp;""))</f>
        <v>Jones</v>
      </c>
      <c r="E156" s="0" t="str">
        <f aca="false">IF($A156="","",IF(AT156="Y",BN156&amp;"",BA156&amp;""))</f>
        <v>Founder</v>
      </c>
      <c r="F156" s="0" t="str">
        <f aca="false">IF($A156="","",IF(AT156="Y",BO156&amp;"",BB156&amp;""))</f>
        <v/>
      </c>
      <c r="G156" s="0" t="str">
        <f aca="false">IF($A156="","",IF(AT156="Y",BP156&amp;"",BC156&amp;""))</f>
        <v/>
      </c>
      <c r="H156" s="0" t="str">
        <f aca="false">IF($A156="","",IF(AT156="Y",BQ156&amp;"",BD156&amp;""))</f>
        <v>none</v>
      </c>
      <c r="I156" s="0" t="str">
        <f aca="false">IF($A156="","",IF(R156="Y","warm-intro",IF(H156="verified","email",IF(C156&lt;&gt;"","linkedin",CA156&amp;""))))</f>
        <v>linkedin</v>
      </c>
      <c r="J156" s="0" t="n">
        <f aca="false">IF($A156="","",IF(CK156="pass",ROUND(N(DO156)+N(DP156)+N(DQ156)+N(DR156)+N(DS156)+N(DT156)+N(DU156)+N(DV156),0),0))</f>
        <v>34</v>
      </c>
      <c r="K156" s="0" t="str">
        <f aca="false">IF($A156="","",IF(CK156&lt;&gt;"pass",BY156&amp;"",BY156&amp;", "&amp;IF(AT156="Y",BX156&amp;"",BK156&amp;"")&amp;BZ156&amp;IF(R156="Y","; known to the founder (+10)","")&amp;"."))</f>
        <v>Northeast brand, no graded store within ten blocks, online store only, news 344 days ago, revenue unknown, contact named; founder review: nutrient-claim, format-unconfirmed.</v>
      </c>
      <c r="M156" s="0" t="s">
        <v>6144</v>
      </c>
      <c r="N156" s="0" t="s">
        <v>740</v>
      </c>
      <c r="O156" s="0" t="s">
        <v>9185</v>
      </c>
      <c r="P156" s="0" t="s">
        <v>9186</v>
      </c>
      <c r="Q156" s="0" t="s">
        <v>9187</v>
      </c>
      <c r="R156" s="5" t="s">
        <v>189</v>
      </c>
      <c r="S156" s="0" t="s">
        <v>164</v>
      </c>
      <c r="T156" s="5" t="s">
        <v>189</v>
      </c>
      <c r="U156" s="5" t="s">
        <v>3896</v>
      </c>
      <c r="V156" s="0" t="s">
        <v>9186</v>
      </c>
      <c r="W156" s="0" t="s">
        <v>263</v>
      </c>
      <c r="X156" s="0" t="s">
        <v>5578</v>
      </c>
      <c r="Y156" s="0" t="n">
        <f aca="false">IF(FA156&lt;&gt;"Y","",COUNTIFS($FA$2:$FA$1000,"Y",$J$2:$J$1000,"&gt;"&amp;J156)+COUNTIFS($FA$2:$FA$1000,"Y",$J$2:$J$1000,J156,$FG$2:$FG$1000,"&lt;"&amp;FG156)+1)</f>
        <v>59</v>
      </c>
      <c r="Z156" s="0" t="n">
        <v>155</v>
      </c>
      <c r="AA156" s="0" t="s">
        <v>189</v>
      </c>
      <c r="AB156" s="0" t="str">
        <f aca="false">IF($A156="","",IF(AT156="Y",BW156&amp;"",BJ156&amp;""))</f>
        <v>find Tatyana Jones at DEFI Snacks on LinkedIn and paste the profile URL into primary_linkedin_url</v>
      </c>
      <c r="AC156" s="0" t="str">
        <f aca="false">IF($A156="","",IF(AT156="Y",BR156&amp;"",BE156&amp;""))</f>
        <v>founder</v>
      </c>
      <c r="AD156" s="0" t="str">
        <f aca="false">IF($A156="","",IF(AT156="Y",BS156&amp;"",BF156&amp;""))</f>
        <v>verified-page</v>
      </c>
      <c r="AE156" s="0" t="str">
        <f aca="false">IF($A156="","",IF(AT156="Y",BT156&amp;"",BG156&amp;""))</f>
        <v>employer's own site</v>
      </c>
      <c r="AF156" s="0" t="str">
        <f aca="false">IF($A156="","",IF(AT156="Y",BU156&amp;"",BH156&amp;""))</f>
        <v>http://defi-snacks.com/pages/about</v>
      </c>
      <c r="AG156" s="0" t="str">
        <f aca="false">IF($A156="","",IF(AT156="Y",BV156&amp;"",BI156&amp;""))</f>
        <v>2026-10-23</v>
      </c>
      <c r="AH156" s="0" t="s">
        <v>9188</v>
      </c>
      <c r="AI156" s="0" t="s">
        <v>5664</v>
      </c>
      <c r="AJ156" s="0" t="s">
        <v>9189</v>
      </c>
      <c r="AL156" s="0" t="s">
        <v>164</v>
      </c>
      <c r="AM156" s="0" t="s">
        <v>9190</v>
      </c>
      <c r="AN156" s="0" t="s">
        <v>9183</v>
      </c>
      <c r="AO156" s="5" t="s">
        <v>189</v>
      </c>
      <c r="AR156" s="0" t="str">
        <f aca="false">IF($A156="","",IF(AND(CK156="pass",AO156&lt;&gt;"Y",C156&lt;&gt;"",OR(AU156&lt;&gt;"Y",AV156="Y")),"Y","N"))</f>
        <v>Y</v>
      </c>
      <c r="AS156" s="0" t="str">
        <f aca="false">IF($A156="","",_xlfn.TEXTJOIN("; ",TRUE(),IF(CK156&lt;&gt;"pass","gated out",""),IF(AO156="Y","on hold: "&amp;AP156,""),IF(C156="","no contact named on an opened page",""),IF(AND(AU156="Y",AV156&lt;&gt;"Y"),"founder review pending (Founder review tab)","")))</f>
        <v/>
      </c>
      <c r="AU156" s="0" t="s">
        <v>189</v>
      </c>
      <c r="AY156" s="0" t="s">
        <v>9191</v>
      </c>
      <c r="AZ156" s="0" t="s">
        <v>166</v>
      </c>
      <c r="BA156" s="0" t="s">
        <v>5739</v>
      </c>
      <c r="BC156" s="0" t="str">
        <f aca="false">IF($A156="","",IFERROR(INDEX(Enrichment!$A$2:$GZ$2000,MATCH($A156,INDEX(Enrichment!$A$2:$GZ$2000,0,MATCH("row_id",Enrichment!$A$1:$GZ$1,0)),0),MATCH("work_email",Enrichment!$A$1:$GZ$1,0))&amp;"",""))</f>
        <v/>
      </c>
      <c r="BD156" s="0" t="str">
        <f aca="false">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none</v>
      </c>
      <c r="BE156" s="0" t="s">
        <v>5589</v>
      </c>
      <c r="BF156" s="0" t="s">
        <v>169</v>
      </c>
      <c r="BG156" s="0" t="s">
        <v>170</v>
      </c>
      <c r="BH156" s="0" t="s">
        <v>9192</v>
      </c>
      <c r="BI156" s="0" t="s">
        <v>263</v>
      </c>
      <c r="BJ156" s="0" t="s">
        <v>9193</v>
      </c>
      <c r="BK156" s="0" t="s">
        <v>5643</v>
      </c>
      <c r="BP156" s="0" t="str">
        <f aca="false">IF($A156="","",IFERROR(INDEX(Enrichment!$A$2:$GZ$2000,MATCH($A156,INDEX(Enrichment!$A$2:$GZ$2000,0,MATCH("row_id",Enrichment!$A$1:$GZ$1,0)),0),MATCH("backup_work_email",Enrichment!$A$1:$GZ$1,0))&amp;"",""))</f>
        <v/>
      </c>
      <c r="BQ156" s="0" t="str">
        <f aca="false">IF($A156="","",IF(BP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none</v>
      </c>
      <c r="BS156" s="0" t="s">
        <v>380</v>
      </c>
      <c r="BW156" s="0" t="s">
        <v>387</v>
      </c>
      <c r="BX156" s="0" t="s">
        <v>388</v>
      </c>
      <c r="BY156" s="0" t="s">
        <v>9194</v>
      </c>
      <c r="BZ156" s="0" t="s">
        <v>7924</v>
      </c>
      <c r="CB156" s="0" t="s">
        <v>9195</v>
      </c>
      <c r="CJ156" s="0" t="s">
        <v>7088</v>
      </c>
      <c r="CK156" s="0" t="s">
        <v>200</v>
      </c>
      <c r="CM156" s="0" t="s">
        <v>201</v>
      </c>
      <c r="CN156" s="0" t="s">
        <v>7925</v>
      </c>
      <c r="CO156" s="0" t="s">
        <v>9196</v>
      </c>
      <c r="CP156" s="0" t="s">
        <v>5840</v>
      </c>
      <c r="CQ156" s="0" t="s">
        <v>6084</v>
      </c>
      <c r="CR156" s="0" t="s">
        <v>209</v>
      </c>
      <c r="CT156" s="0" t="s">
        <v>209</v>
      </c>
      <c r="CU156" s="0" t="s">
        <v>9197</v>
      </c>
      <c r="CV156" s="0" t="s">
        <v>209</v>
      </c>
      <c r="CW156" s="0" t="s">
        <v>164</v>
      </c>
      <c r="CX156" s="0" t="s">
        <v>209</v>
      </c>
      <c r="CZ156" s="0" t="s">
        <v>209</v>
      </c>
      <c r="DA156" s="0" t="s">
        <v>189</v>
      </c>
      <c r="DB156" s="0" t="s">
        <v>189</v>
      </c>
      <c r="DE156" s="0" t="s">
        <v>189</v>
      </c>
      <c r="DF156" s="0" t="n">
        <v>0</v>
      </c>
      <c r="DI156" s="0" t="s">
        <v>209</v>
      </c>
      <c r="DK156" s="0" t="s">
        <v>5617</v>
      </c>
      <c r="DL156" s="0" t="n">
        <v>344</v>
      </c>
      <c r="DM156" s="0" t="s">
        <v>9186</v>
      </c>
      <c r="DN156" s="0" t="n">
        <v>34</v>
      </c>
      <c r="DO156" s="0" t="n">
        <v>6</v>
      </c>
      <c r="DP156" s="0" t="n">
        <v>8</v>
      </c>
      <c r="DQ156" s="0" t="n">
        <v>8</v>
      </c>
      <c r="DR156" s="0" t="n">
        <v>5</v>
      </c>
      <c r="DS156" s="0" t="n">
        <v>5</v>
      </c>
      <c r="DT156" s="0" t="n">
        <v>6</v>
      </c>
      <c r="DU156" s="0" t="n">
        <f aca="false">IF($A156="","",IF(R156="Y",10,0))</f>
        <v>0</v>
      </c>
      <c r="DV156" s="0" t="n">
        <v>-4</v>
      </c>
      <c r="DX156" s="0" t="s">
        <v>5619</v>
      </c>
      <c r="DY156" s="0" t="s">
        <v>9198</v>
      </c>
      <c r="DZ156" s="0" t="s">
        <v>9199</v>
      </c>
      <c r="EA156" s="0" t="s">
        <v>9200</v>
      </c>
      <c r="EV156" s="0" t="str">
        <f aca="false">IF($A156="","",IF(ISNUMBER(MATCH(U156,{"queued","contacted","replied","call_booked","call_done","yes_in_principle","materials_sent"},0)),"Y","N"))</f>
        <v>N</v>
      </c>
      <c r="EW156" s="0" t="str">
        <f aca="false">IF($A156="","",IF(OR(T156="Y",U156="do_not_contact",AQ156&amp;""&lt;&gt;""),"Y","N"))</f>
        <v>N</v>
      </c>
      <c r="EX156" s="0" t="str">
        <f aca="false">IF($A156="","",IF(AN156&amp;""&lt;&gt;"",AN156&amp;"",$A156))</f>
        <v>AB-251</v>
      </c>
      <c r="EY156" s="0" t="str">
        <f aca="false">IF($A156="","",IF(COUNTIFS($EX$2:$EX$1000,EX156,$EV$2:$EV$1000,"Y")+COUNTIFS($EX$2:$EX$1000,EX156,$EW$2:$EW$1000,"Y")&gt;0,"Y","N"))</f>
        <v>N</v>
      </c>
      <c r="EZ156" s="0" t="str">
        <f aca="false">IF($A156="","",IF(AND(U156="new",T156="N",EW156="N",AR156="Y",EY156="N"),"Y","N"))</f>
        <v>Y</v>
      </c>
      <c r="FA156" s="0" t="str">
        <f aca="false">IF($A156="","",IF(EZ156&lt;&gt;"Y","N",IF(COUNTIFS($EX$2:$EX$1000,EX156,$EZ$2:$EZ$1000,"Y",$J$2:$J$1000,"&gt;"&amp;J156)+COUNTIFS($EX$2:$EX$1000,EX156,$EZ$2:$EZ$1000,"Y",$J$2:$J$1000,J156,$FG$2:$FG$1000,"&lt;"&amp;FG156)=0,"Y","N")))</f>
        <v>Y</v>
      </c>
      <c r="FB156" s="0" t="str">
        <f aca="false">IF($A156="","",IF(AND(EZ156="Y",FA156="Y",Y156&amp;""&lt;&gt;""),IF(Y156&lt;=10,"Y","N"),"N"))</f>
        <v>N</v>
      </c>
      <c r="FC156" s="0" t="str">
        <f aca="false">IF(FB156="Y",Y156,"")</f>
        <v/>
      </c>
      <c r="FD156" s="0" t="str">
        <f aca="false">IF($A156="","",IF(AND(CK156="pass",AU156="Y",AV156&lt;&gt;"Y",U156="new",EW156="N"),"Y","N"))</f>
        <v>N</v>
      </c>
      <c r="FE156" s="0" t="str">
        <f aca="false">IF(FD156&lt;&gt;"Y","",IF(COUNTIFS($FD$2:$FD$1000,"Y",$J$2:$J$1000,"&gt;"&amp;J156)+COUNTIFS($FD$2:$FD$1000,"Y",$J$2:$J$1000,J156,$FG$2:$FG$1000,"&lt;"&amp;FG156)+1&lt;=30,COUNTIFS($FD$2:$FD$1000,"Y",$J$2:$J$1000,"&gt;"&amp;J156)+COUNTIFS($FD$2:$FD$1000,"Y",$J$2:$J$1000,J156,$FG$2:$FG$1000,"&lt;"&amp;FG156)+1,""))</f>
        <v/>
      </c>
      <c r="FF156" s="0" t="str">
        <f aca="false">IF(AND(_xlfn.ISFORMULA(C156),_xlfn.ISFORMULA(J156)),"Y","N")</f>
        <v>Y</v>
      </c>
      <c r="FG156" s="0" t="n">
        <f aca="false">ROW()-1</f>
        <v>155</v>
      </c>
    </row>
    <row r="157" customFormat="false" ht="15" hidden="false" customHeight="false" outlineLevel="0" collapsed="false">
      <c r="A157" s="0" t="s">
        <v>9201</v>
      </c>
      <c r="B157" s="0" t="s">
        <v>9202</v>
      </c>
      <c r="C157" s="0" t="str">
        <f aca="false">IF($A157="","",IF(AT157="Y",BL157&amp;"",AY157&amp;""))</f>
        <v>Aurora</v>
      </c>
      <c r="D157" s="0" t="str">
        <f aca="false">IF($A157="","",IF(AT157="Y",BM157&amp;"",AZ157&amp;""))</f>
        <v>Passaro</v>
      </c>
      <c r="E157" s="0" t="str">
        <f aca="false">IF($A157="","",IF(AT157="Y",BN157&amp;"",BA157&amp;""))</f>
        <v>Key people</v>
      </c>
      <c r="F157" s="0" t="str">
        <f aca="false">IF($A157="","",IF(AT157="Y",BO157&amp;"",BB157&amp;""))</f>
        <v/>
      </c>
      <c r="G157" s="0" t="str">
        <f aca="false">IF($A157="","",IF(AT157="Y",BP157&amp;"",BC157&amp;""))</f>
        <v/>
      </c>
      <c r="H157" s="0" t="str">
        <f aca="false">IF($A157="","",IF(AT157="Y",BQ157&amp;"",BD157&amp;""))</f>
        <v>none</v>
      </c>
      <c r="I157" s="0" t="str">
        <f aca="false">IF($A157="","",IF(R157="Y","warm-intro",IF(H157="verified","email",IF(C157&lt;&gt;"","linkedin",CA157&amp;""))))</f>
        <v>linkedin</v>
      </c>
      <c r="J157" s="0" t="n">
        <f aca="false">IF($A157="","",IF(CK157="pass",ROUND(N(DO157)+N(DP157)+N(DQ157)+N(DR157)+N(DS157)+N(DT157)+N(DU157)+N(DV157),0),0))</f>
        <v>34</v>
      </c>
      <c r="K157" s="0" t="str">
        <f aca="false">IF($A157="","",IF(CK157&lt;&gt;"pass",BY157&amp;"",BY157&amp;", "&amp;IF(AT157="Y",BX157&amp;"",BK157&amp;"")&amp;BZ157&amp;IF(R157="Y","; known to the founder (+10)","")&amp;"."))</f>
        <v>New York City brand, no graded store within ten blocks, online store only, no dated why-now in the last 12 months, revenue unknown, contact named; founder review: not-emerging, nutrient-claim.</v>
      </c>
      <c r="M157" s="0" t="s">
        <v>6144</v>
      </c>
      <c r="N157" s="0" t="s">
        <v>740</v>
      </c>
      <c r="R157" s="5" t="s">
        <v>189</v>
      </c>
      <c r="S157" s="0" t="s">
        <v>209</v>
      </c>
      <c r="T157" s="5" t="s">
        <v>189</v>
      </c>
      <c r="U157" s="5" t="s">
        <v>3896</v>
      </c>
      <c r="V157" s="0" t="s">
        <v>9203</v>
      </c>
      <c r="W157" s="0" t="s">
        <v>263</v>
      </c>
      <c r="X157" s="0" t="s">
        <v>5578</v>
      </c>
      <c r="Y157" s="0" t="str">
        <f aca="false">IF(FA157&lt;&gt;"Y","",COUNTIFS($FA$2:$FA$1000,"Y",$J$2:$J$1000,"&gt;"&amp;J157)+COUNTIFS($FA$2:$FA$1000,"Y",$J$2:$J$1000,J157,$FG$2:$FG$1000,"&lt;"&amp;FG157)+1)</f>
        <v/>
      </c>
      <c r="Z157" s="0" t="n">
        <v>156</v>
      </c>
      <c r="AA157" s="0" t="s">
        <v>189</v>
      </c>
      <c r="AB157" s="0" t="str">
        <f aca="false">IF($A157="","",IF(AT157="Y",BW157&amp;"",BJ157&amp;""))</f>
        <v>find Aurora Passaro at Manhattan Special on LinkedIn and paste the profile URL into primary_linkedin_url</v>
      </c>
      <c r="AC157" s="0" t="str">
        <f aca="false">IF($A157="","",IF(AT157="Y",BR157&amp;"",BE157&amp;""))</f>
        <v>founder</v>
      </c>
      <c r="AD157" s="0" t="str">
        <f aca="false">IF($A157="","",IF(AT157="Y",BS157&amp;"",BF157&amp;""))</f>
        <v>verified-page</v>
      </c>
      <c r="AE157" s="0" t="str">
        <f aca="false">IF($A157="","",IF(AT157="Y",BT157&amp;"",BG157&amp;""))</f>
        <v>press, event or podcast page</v>
      </c>
      <c r="AF157" s="0" t="str">
        <f aca="false">IF($A157="","",IF(AT157="Y",BU157&amp;"",BH157&amp;""))</f>
        <v>https://en.wikipedia.org/wiki/Manhattan_Special</v>
      </c>
      <c r="AG157" s="0" t="str">
        <f aca="false">IF($A157="","",IF(AT157="Y",BV157&amp;"",BI157&amp;""))</f>
        <v>2026-10-23</v>
      </c>
      <c r="AH157" s="0" t="s">
        <v>9204</v>
      </c>
      <c r="AI157" s="0" t="s">
        <v>5580</v>
      </c>
      <c r="AJ157" s="0" t="s">
        <v>5631</v>
      </c>
      <c r="AK157" s="0" t="s">
        <v>9205</v>
      </c>
      <c r="AL157" s="0" t="s">
        <v>164</v>
      </c>
      <c r="AM157" s="0" t="s">
        <v>9206</v>
      </c>
      <c r="AN157" s="0" t="s">
        <v>9201</v>
      </c>
      <c r="AO157" s="5" t="s">
        <v>189</v>
      </c>
      <c r="AR157" s="0" t="str">
        <f aca="false">IF($A157="","",IF(AND(CK157="pass",AO157&lt;&gt;"Y",C157&lt;&gt;"",OR(AU157&lt;&gt;"Y",AV157="Y")),"Y","N"))</f>
        <v>N</v>
      </c>
      <c r="AS157" s="0" t="str">
        <f aca="false">IF($A157="","",_xlfn.TEXTJOIN("; ",TRUE(),IF(CK157&lt;&gt;"pass","gated out",""),IF(AO157="Y","on hold: "&amp;AP157,""),IF(C157="","no contact named on an opened page",""),IF(AND(AU157="Y",AV157&lt;&gt;"Y"),"founder review pending (Founder review tab)","")))</f>
        <v>founder review pending (Founder review tab)</v>
      </c>
      <c r="AU157" s="0" t="s">
        <v>164</v>
      </c>
      <c r="AY157" s="0" t="s">
        <v>9207</v>
      </c>
      <c r="AZ157" s="0" t="s">
        <v>9208</v>
      </c>
      <c r="BA157" s="0" t="s">
        <v>9209</v>
      </c>
      <c r="BC157" s="0" t="str">
        <f aca="false">IF($A157="","",IFERROR(INDEX(Enrichment!$A$2:$GZ$2000,MATCH($A157,INDEX(Enrichment!$A$2:$GZ$2000,0,MATCH("row_id",Enrichment!$A$1:$GZ$1,0)),0),MATCH("work_email",Enrichment!$A$1:$GZ$1,0))&amp;"",""))</f>
        <v/>
      </c>
      <c r="BD157" s="0" t="str">
        <f aca="false">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none</v>
      </c>
      <c r="BE157" s="0" t="s">
        <v>5589</v>
      </c>
      <c r="BF157" s="0" t="s">
        <v>169</v>
      </c>
      <c r="BG157" s="0" t="s">
        <v>1252</v>
      </c>
      <c r="BH157" s="0" t="s">
        <v>9210</v>
      </c>
      <c r="BI157" s="0" t="s">
        <v>263</v>
      </c>
      <c r="BJ157" s="0" t="s">
        <v>9211</v>
      </c>
      <c r="BK157" s="0" t="s">
        <v>5643</v>
      </c>
      <c r="BL157" s="0" t="s">
        <v>9212</v>
      </c>
      <c r="BM157" s="0" t="s">
        <v>9208</v>
      </c>
      <c r="BN157" s="0" t="s">
        <v>9209</v>
      </c>
      <c r="BP157" s="0" t="str">
        <f aca="false">IF($A157="","",IFERROR(INDEX(Enrichment!$A$2:$GZ$2000,MATCH($A157,INDEX(Enrichment!$A$2:$GZ$2000,0,MATCH("row_id",Enrichment!$A$1:$GZ$1,0)),0),MATCH("backup_work_email",Enrichment!$A$1:$GZ$1,0))&amp;"",""))</f>
        <v/>
      </c>
      <c r="BQ157" s="0" t="str">
        <f aca="false">IF($A157="","",IF(BP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none</v>
      </c>
      <c r="BR157" s="0" t="s">
        <v>7748</v>
      </c>
      <c r="BS157" s="0" t="s">
        <v>169</v>
      </c>
      <c r="BT157" s="0" t="s">
        <v>1252</v>
      </c>
      <c r="BU157" s="0" t="s">
        <v>9210</v>
      </c>
      <c r="BV157" s="0" t="s">
        <v>263</v>
      </c>
      <c r="BW157" s="0" t="s">
        <v>9213</v>
      </c>
      <c r="BX157" s="0" t="s">
        <v>5643</v>
      </c>
      <c r="BY157" s="0" t="s">
        <v>7496</v>
      </c>
      <c r="BZ157" s="0" t="s">
        <v>9214</v>
      </c>
      <c r="CB157" s="0" t="s">
        <v>9215</v>
      </c>
      <c r="CD157" s="0" t="s">
        <v>9216</v>
      </c>
      <c r="CF157" s="0" t="s">
        <v>9217</v>
      </c>
      <c r="CH157" s="0" t="s">
        <v>9216</v>
      </c>
      <c r="CJ157" s="0" t="s">
        <v>7088</v>
      </c>
      <c r="CK157" s="0" t="s">
        <v>200</v>
      </c>
      <c r="CM157" s="0" t="s">
        <v>201</v>
      </c>
      <c r="CN157" s="0" t="s">
        <v>9218</v>
      </c>
      <c r="CO157" s="0" t="s">
        <v>9219</v>
      </c>
      <c r="CP157" s="0" t="s">
        <v>5608</v>
      </c>
      <c r="CQ157" s="0" t="s">
        <v>5609</v>
      </c>
      <c r="CR157" s="0" t="s">
        <v>9220</v>
      </c>
      <c r="CS157" s="0" t="s">
        <v>9203</v>
      </c>
      <c r="CT157" s="0" t="s">
        <v>209</v>
      </c>
      <c r="CU157" s="0" t="s">
        <v>9221</v>
      </c>
      <c r="CV157" s="0" t="s">
        <v>164</v>
      </c>
      <c r="CW157" s="0" t="s">
        <v>164</v>
      </c>
      <c r="CX157" s="0" t="s">
        <v>209</v>
      </c>
      <c r="CZ157" s="0" t="s">
        <v>6456</v>
      </c>
      <c r="DA157" s="0" t="s">
        <v>189</v>
      </c>
      <c r="DB157" s="0" t="s">
        <v>189</v>
      </c>
      <c r="DE157" s="0" t="s">
        <v>189</v>
      </c>
      <c r="DF157" s="0" t="n">
        <v>0</v>
      </c>
      <c r="DI157" s="0" t="s">
        <v>9222</v>
      </c>
      <c r="DK157" s="0" t="s">
        <v>380</v>
      </c>
      <c r="DN157" s="0" t="n">
        <v>34</v>
      </c>
      <c r="DO157" s="0" t="n">
        <v>6</v>
      </c>
      <c r="DP157" s="0" t="n">
        <v>20</v>
      </c>
      <c r="DQ157" s="0" t="n">
        <v>0</v>
      </c>
      <c r="DR157" s="0" t="n">
        <v>5</v>
      </c>
      <c r="DS157" s="0" t="n">
        <v>7</v>
      </c>
      <c r="DT157" s="0" t="n">
        <v>6</v>
      </c>
      <c r="DU157" s="0" t="n">
        <f aca="false">IF($A157="","",IF(R157="Y",10,0))</f>
        <v>0</v>
      </c>
      <c r="DV157" s="0" t="n">
        <v>-10</v>
      </c>
      <c r="DW157" s="0" t="s">
        <v>209</v>
      </c>
      <c r="DX157" s="0" t="s">
        <v>6462</v>
      </c>
      <c r="DY157" s="0" t="s">
        <v>9223</v>
      </c>
      <c r="DZ157" s="0" t="s">
        <v>9224</v>
      </c>
      <c r="EA157" s="0" t="s">
        <v>9225</v>
      </c>
      <c r="EV157" s="0" t="str">
        <f aca="false">IF($A157="","",IF(ISNUMBER(MATCH(U157,{"queued","contacted","replied","call_booked","call_done","yes_in_principle","materials_sent"},0)),"Y","N"))</f>
        <v>N</v>
      </c>
      <c r="EW157" s="0" t="str">
        <f aca="false">IF($A157="","",IF(OR(T157="Y",U157="do_not_contact",AQ157&amp;""&lt;&gt;""),"Y","N"))</f>
        <v>N</v>
      </c>
      <c r="EX157" s="0" t="str">
        <f aca="false">IF($A157="","",IF(AN157&amp;""&lt;&gt;"",AN157&amp;"",$A157))</f>
        <v>AB-134</v>
      </c>
      <c r="EY157" s="0" t="str">
        <f aca="false">IF($A157="","",IF(COUNTIFS($EX$2:$EX$1000,EX157,$EV$2:$EV$1000,"Y")+COUNTIFS($EX$2:$EX$1000,EX157,$EW$2:$EW$1000,"Y")&gt;0,"Y","N"))</f>
        <v>N</v>
      </c>
      <c r="EZ157" s="0" t="str">
        <f aca="false">IF($A157="","",IF(AND(U157="new",T157="N",EW157="N",AR157="Y",EY157="N"),"Y","N"))</f>
        <v>N</v>
      </c>
      <c r="FA157" s="0" t="str">
        <f aca="false">IF($A157="","",IF(EZ157&lt;&gt;"Y","N",IF(COUNTIFS($EX$2:$EX$1000,EX157,$EZ$2:$EZ$1000,"Y",$J$2:$J$1000,"&gt;"&amp;J157)+COUNTIFS($EX$2:$EX$1000,EX157,$EZ$2:$EZ$1000,"Y",$J$2:$J$1000,J157,$FG$2:$FG$1000,"&lt;"&amp;FG157)=0,"Y","N")))</f>
        <v>N</v>
      </c>
      <c r="FB157" s="0" t="str">
        <f aca="false">IF($A157="","",IF(AND(EZ157="Y",FA157="Y",Y157&amp;""&lt;&gt;""),IF(Y157&lt;=10,"Y","N"),"N"))</f>
        <v>N</v>
      </c>
      <c r="FC157" s="0" t="str">
        <f aca="false">IF(FB157="Y",Y157,"")</f>
        <v/>
      </c>
      <c r="FD157" s="0" t="str">
        <f aca="false">IF($A157="","",IF(AND(CK157="pass",AU157="Y",AV157&lt;&gt;"Y",U157="new",EW157="N"),"Y","N"))</f>
        <v>Y</v>
      </c>
      <c r="FE157" s="0" t="str">
        <f aca="false">IF(FD157&lt;&gt;"Y","",IF(COUNTIFS($FD$2:$FD$1000,"Y",$J$2:$J$1000,"&gt;"&amp;J157)+COUNTIFS($FD$2:$FD$1000,"Y",$J$2:$J$1000,J157,$FG$2:$FG$1000,"&lt;"&amp;FG157)+1&lt;=30,COUNTIFS($FD$2:$FD$1000,"Y",$J$2:$J$1000,"&gt;"&amp;J157)+COUNTIFS($FD$2:$FD$1000,"Y",$J$2:$J$1000,J157,$FG$2:$FG$1000,"&lt;"&amp;FG157)+1,""))</f>
        <v/>
      </c>
      <c r="FF157" s="0" t="str">
        <f aca="false">IF(AND(_xlfn.ISFORMULA(C157),_xlfn.ISFORMULA(J157)),"Y","N")</f>
        <v>Y</v>
      </c>
      <c r="FG157" s="0" t="n">
        <f aca="false">ROW()-1</f>
        <v>156</v>
      </c>
    </row>
    <row r="158" customFormat="false" ht="15" hidden="false" customHeight="false" outlineLevel="0" collapsed="false">
      <c r="A158" s="0" t="s">
        <v>9226</v>
      </c>
      <c r="B158" s="0" t="s">
        <v>9227</v>
      </c>
      <c r="C158" s="0" t="str">
        <f aca="false">IF($A158="","",IF(AT158="Y",BL158&amp;"",AY158&amp;""))</f>
        <v/>
      </c>
      <c r="D158" s="0" t="str">
        <f aca="false">IF($A158="","",IF(AT158="Y",BM158&amp;"",AZ158&amp;""))</f>
        <v/>
      </c>
      <c r="E158" s="0" t="str">
        <f aca="false">IF($A158="","",IF(AT158="Y",BN158&amp;"",BA158&amp;""))</f>
        <v/>
      </c>
      <c r="F158" s="0" t="str">
        <f aca="false">IF($A158="","",IF(AT158="Y",BO158&amp;"",BB158&amp;""))</f>
        <v/>
      </c>
      <c r="G158" s="0" t="str">
        <f aca="false">IF($A158="","",IF(AT158="Y",BP158&amp;"",BC158&amp;""))</f>
        <v/>
      </c>
      <c r="H158" s="0" t="str">
        <f aca="false">IF($A158="","",IF(AT158="Y",BQ158&amp;"",BD158&amp;""))</f>
        <v>none</v>
      </c>
      <c r="I158" s="0" t="str">
        <f aca="false">IF($A158="","",IF(R158="Y","warm-intro",IF(H158="verified","email",IF(C158&lt;&gt;"","linkedin",CA158&amp;""))))</f>
        <v/>
      </c>
      <c r="J158" s="0" t="n">
        <f aca="false">IF($A158="","",IF(CK158="pass",ROUND(N(DO158)+N(DP158)+N(DQ158)+N(DR158)+N(DS158)+N(DT158)+N(DU158)+N(DV158),0),0))</f>
        <v>34</v>
      </c>
      <c r="K158" s="0" t="str">
        <f aca="false">IF($A158="","",IF(CK158&lt;&gt;"pass",BY158&amp;"",BY158&amp;", "&amp;IF(AT158="Y",BX158&amp;"",BK158&amp;"")&amp;BZ158&amp;IF(R158="Y","; known to the founder (+10)","")&amp;"."))</f>
        <v>Brand based outside the Northeast (HQ unverified), store page shows Whole Foods Market Union Square inside the cluster, no dated why-now in the last 12 months, revenue unknown, no contact named; founder review: format.</v>
      </c>
      <c r="M158" s="0" t="s">
        <v>5625</v>
      </c>
      <c r="N158" s="0" t="s">
        <v>5573</v>
      </c>
      <c r="R158" s="5" t="s">
        <v>189</v>
      </c>
      <c r="S158" s="0" t="s">
        <v>209</v>
      </c>
      <c r="T158" s="5" t="s">
        <v>189</v>
      </c>
      <c r="U158" s="5" t="s">
        <v>3896</v>
      </c>
      <c r="V158" s="0" t="s">
        <v>9228</v>
      </c>
      <c r="W158" s="0" t="s">
        <v>263</v>
      </c>
      <c r="X158" s="0" t="s">
        <v>5578</v>
      </c>
      <c r="Y158" s="0" t="str">
        <f aca="false">IF(FA158&lt;&gt;"Y","",COUNTIFS($FA$2:$FA$1000,"Y",$J$2:$J$1000,"&gt;"&amp;J158)+COUNTIFS($FA$2:$FA$1000,"Y",$J$2:$J$1000,J158,$FG$2:$FG$1000,"&lt;"&amp;FG158)+1)</f>
        <v/>
      </c>
      <c r="Z158" s="0" t="n">
        <v>157</v>
      </c>
      <c r="AA158" s="0" t="s">
        <v>189</v>
      </c>
      <c r="AB158" s="0" t="str">
        <f aca="false">IF($A158="","",IF(AT158="Y",BW158&amp;"",BJ158&amp;""))</f>
        <v>no person named on an opened page: not ready; use the Whole Foods Market Union Square line only if retailer_checked_date is this week's Friday check</v>
      </c>
      <c r="AC158" s="0" t="str">
        <f aca="false">IF($A158="","",IF(AT158="Y",BR158&amp;"",BE158&amp;""))</f>
        <v/>
      </c>
      <c r="AD158" s="0" t="str">
        <f aca="false">IF($A158="","",IF(AT158="Y",BS158&amp;"",BF158&amp;""))</f>
        <v>none</v>
      </c>
      <c r="AE158" s="0" t="str">
        <f aca="false">IF($A158="","",IF(AT158="Y",BT158&amp;"",BG158&amp;""))</f>
        <v/>
      </c>
      <c r="AF158" s="0" t="str">
        <f aca="false">IF($A158="","",IF(AT158="Y",BU158&amp;"",BH158&amp;""))</f>
        <v/>
      </c>
      <c r="AG158" s="0" t="str">
        <f aca="false">IF($A158="","",IF(AT158="Y",BV158&amp;"",BI158&amp;""))</f>
        <v/>
      </c>
      <c r="AH158" s="0" t="s">
        <v>9229</v>
      </c>
      <c r="AI158" s="0" t="s">
        <v>5789</v>
      </c>
      <c r="AJ158" s="0" t="s">
        <v>9230</v>
      </c>
      <c r="AL158" s="0" t="s">
        <v>164</v>
      </c>
      <c r="AM158" s="0" t="s">
        <v>9231</v>
      </c>
      <c r="AN158" s="0" t="s">
        <v>9226</v>
      </c>
      <c r="AO158" s="5" t="s">
        <v>189</v>
      </c>
      <c r="AR158" s="0" t="str">
        <f aca="false">IF($A158="","",IF(AND(CK158="pass",AO158&lt;&gt;"Y",C158&lt;&gt;"",OR(AU158&lt;&gt;"Y",AV158="Y")),"Y","N"))</f>
        <v>N</v>
      </c>
      <c r="AS158" s="0" t="str">
        <f aca="false">IF($A158="","",_xlfn.TEXTJOIN("; ",TRUE(),IF(CK158&lt;&gt;"pass","gated out",""),IF(AO158="Y","on hold: "&amp;AP158,""),IF(C158="","no contact named on an opened page",""),IF(AND(AU158="Y",AV158&lt;&gt;"Y"),"founder review pending (Founder review tab)","")))</f>
        <v>no contact named on an opened page; founder review pending (Founder review tab)</v>
      </c>
      <c r="AU158" s="0" t="s">
        <v>164</v>
      </c>
      <c r="AX158" s="0" t="s">
        <v>9232</v>
      </c>
      <c r="BC158" s="0" t="str">
        <f aca="false">IF($A158="","",IFERROR(INDEX(Enrichment!$A$2:$GZ$2000,MATCH($A158,INDEX(Enrichment!$A$2:$GZ$2000,0,MATCH("row_id",Enrichment!$A$1:$GZ$1,0)),0),MATCH("work_email",Enrichment!$A$1:$GZ$1,0))&amp;"",""))</f>
        <v/>
      </c>
      <c r="BD158" s="0" t="str">
        <f aca="false">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none</v>
      </c>
      <c r="BF158" s="0" t="s">
        <v>380</v>
      </c>
      <c r="BJ158" s="0" t="s">
        <v>8295</v>
      </c>
      <c r="BK158" s="0" t="s">
        <v>6048</v>
      </c>
      <c r="BP158" s="0" t="str">
        <f aca="false">IF($A158="","",IFERROR(INDEX(Enrichment!$A$2:$GZ$2000,MATCH($A158,INDEX(Enrichment!$A$2:$GZ$2000,0,MATCH("row_id",Enrichment!$A$1:$GZ$1,0)),0),MATCH("backup_work_email",Enrichment!$A$1:$GZ$1,0))&amp;"",""))</f>
        <v/>
      </c>
      <c r="BQ158" s="0" t="str">
        <f aca="false">IF($A158="","",IF(BP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none</v>
      </c>
      <c r="BS158" s="0" t="s">
        <v>380</v>
      </c>
      <c r="BW158" s="0" t="s">
        <v>8255</v>
      </c>
      <c r="BX158" s="0" t="s">
        <v>388</v>
      </c>
      <c r="BY158" s="0" t="s">
        <v>9233</v>
      </c>
      <c r="BZ158" s="0" t="s">
        <v>5802</v>
      </c>
      <c r="CJ158" s="0" t="s">
        <v>7088</v>
      </c>
      <c r="CK158" s="0" t="s">
        <v>200</v>
      </c>
      <c r="CM158" s="0" t="s">
        <v>201</v>
      </c>
      <c r="CN158" s="0" t="s">
        <v>5808</v>
      </c>
      <c r="CO158" s="0" t="s">
        <v>9234</v>
      </c>
      <c r="CP158" s="0" t="s">
        <v>9235</v>
      </c>
      <c r="CQ158" s="0" t="s">
        <v>7235</v>
      </c>
      <c r="CR158" s="0" t="s">
        <v>209</v>
      </c>
      <c r="CT158" s="0" t="s">
        <v>164</v>
      </c>
      <c r="CU158" s="0" t="s">
        <v>9236</v>
      </c>
      <c r="CV158" s="0" t="s">
        <v>189</v>
      </c>
      <c r="CW158" s="0" t="s">
        <v>209</v>
      </c>
      <c r="CX158" s="0" t="s">
        <v>209</v>
      </c>
      <c r="CZ158" s="0" t="s">
        <v>209</v>
      </c>
      <c r="DA158" s="0" t="s">
        <v>189</v>
      </c>
      <c r="DB158" s="0" t="s">
        <v>189</v>
      </c>
      <c r="DD158" s="0" t="n">
        <v>0</v>
      </c>
      <c r="DE158" s="0" t="s">
        <v>164</v>
      </c>
      <c r="DF158" s="0" t="n">
        <v>2</v>
      </c>
      <c r="DG158" s="0" t="s">
        <v>6830</v>
      </c>
      <c r="DI158" s="0" t="s">
        <v>6054</v>
      </c>
      <c r="DJ158" s="0" t="s">
        <v>9237</v>
      </c>
      <c r="DK158" s="0" t="s">
        <v>380</v>
      </c>
      <c r="DN158" s="0" t="n">
        <v>34</v>
      </c>
      <c r="DO158" s="0" t="n">
        <v>25</v>
      </c>
      <c r="DP158" s="0" t="n">
        <v>3</v>
      </c>
      <c r="DQ158" s="0" t="n">
        <v>0</v>
      </c>
      <c r="DR158" s="0" t="n">
        <v>5</v>
      </c>
      <c r="DS158" s="0" t="n">
        <v>5</v>
      </c>
      <c r="DT158" s="0" t="n">
        <v>0</v>
      </c>
      <c r="DU158" s="0" t="n">
        <f aca="false">IF($A158="","",IF(R158="Y",10,0))</f>
        <v>0</v>
      </c>
      <c r="DV158" s="0" t="n">
        <v>-4</v>
      </c>
      <c r="DW158" s="0" t="s">
        <v>209</v>
      </c>
      <c r="DX158" s="0" t="s">
        <v>5814</v>
      </c>
      <c r="DY158" s="0" t="s">
        <v>9238</v>
      </c>
      <c r="DZ158" s="0" t="s">
        <v>9239</v>
      </c>
      <c r="EA158" s="0" t="s">
        <v>9240</v>
      </c>
      <c r="EV158" s="0" t="str">
        <f aca="false">IF($A158="","",IF(ISNUMBER(MATCH(U158,{"queued","contacted","replied","call_booked","call_done","yes_in_principle","materials_sent"},0)),"Y","N"))</f>
        <v>N</v>
      </c>
      <c r="EW158" s="0" t="str">
        <f aca="false">IF($A158="","",IF(OR(T158="Y",U158="do_not_contact",AQ158&amp;""&lt;&gt;""),"Y","N"))</f>
        <v>N</v>
      </c>
      <c r="EX158" s="0" t="str">
        <f aca="false">IF($A158="","",IF(AN158&amp;""&lt;&gt;"",AN158&amp;"",$A158))</f>
        <v>AB-052</v>
      </c>
      <c r="EY158" s="0" t="str">
        <f aca="false">IF($A158="","",IF(COUNTIFS($EX$2:$EX$1000,EX158,$EV$2:$EV$1000,"Y")+COUNTIFS($EX$2:$EX$1000,EX158,$EW$2:$EW$1000,"Y")&gt;0,"Y","N"))</f>
        <v>N</v>
      </c>
      <c r="EZ158" s="0" t="str">
        <f aca="false">IF($A158="","",IF(AND(U158="new",T158="N",EW158="N",AR158="Y",EY158="N"),"Y","N"))</f>
        <v>N</v>
      </c>
      <c r="FA158" s="0" t="str">
        <f aca="false">IF($A158="","",IF(EZ158&lt;&gt;"Y","N",IF(COUNTIFS($EX$2:$EX$1000,EX158,$EZ$2:$EZ$1000,"Y",$J$2:$J$1000,"&gt;"&amp;J158)+COUNTIFS($EX$2:$EX$1000,EX158,$EZ$2:$EZ$1000,"Y",$J$2:$J$1000,J158,$FG$2:$FG$1000,"&lt;"&amp;FG158)=0,"Y","N")))</f>
        <v>N</v>
      </c>
      <c r="FB158" s="0" t="str">
        <f aca="false">IF($A158="","",IF(AND(EZ158="Y",FA158="Y",Y158&amp;""&lt;&gt;""),IF(Y158&lt;=10,"Y","N"),"N"))</f>
        <v>N</v>
      </c>
      <c r="FC158" s="0" t="str">
        <f aca="false">IF(FB158="Y",Y158,"")</f>
        <v/>
      </c>
      <c r="FD158" s="0" t="str">
        <f aca="false">IF($A158="","",IF(AND(CK158="pass",AU158="Y",AV158&lt;&gt;"Y",U158="new",EW158="N"),"Y","N"))</f>
        <v>Y</v>
      </c>
      <c r="FE158" s="0" t="str">
        <f aca="false">IF(FD158&lt;&gt;"Y","",IF(COUNTIFS($FD$2:$FD$1000,"Y",$J$2:$J$1000,"&gt;"&amp;J158)+COUNTIFS($FD$2:$FD$1000,"Y",$J$2:$J$1000,J158,$FG$2:$FG$1000,"&lt;"&amp;FG158)+1&lt;=30,COUNTIFS($FD$2:$FD$1000,"Y",$J$2:$J$1000,"&gt;"&amp;J158)+COUNTIFS($FD$2:$FD$1000,"Y",$J$2:$J$1000,J158,$FG$2:$FG$1000,"&lt;"&amp;FG158)+1,""))</f>
        <v/>
      </c>
      <c r="FF158" s="0" t="str">
        <f aca="false">IF(AND(_xlfn.ISFORMULA(C158),_xlfn.ISFORMULA(J158)),"Y","N")</f>
        <v>Y</v>
      </c>
      <c r="FG158" s="0" t="n">
        <f aca="false">ROW()-1</f>
        <v>157</v>
      </c>
    </row>
    <row r="159" customFormat="false" ht="15" hidden="false" customHeight="false" outlineLevel="0" collapsed="false">
      <c r="A159" s="0" t="s">
        <v>9241</v>
      </c>
      <c r="B159" s="0" t="s">
        <v>9242</v>
      </c>
      <c r="C159" s="0" t="str">
        <f aca="false">IF($A159="","",IF(AT159="Y",BL159&amp;"",AY159&amp;""))</f>
        <v>Charles</v>
      </c>
      <c r="D159" s="0" t="str">
        <f aca="false">IF($A159="","",IF(AT159="Y",BM159&amp;"",AZ159&amp;""))</f>
        <v>Coristine</v>
      </c>
      <c r="E159" s="0" t="str">
        <f aca="false">IF($A159="","",IF(AT159="Y",BN159&amp;"",BA159&amp;""))</f>
        <v>President and CEO</v>
      </c>
      <c r="F159" s="0" t="str">
        <f aca="false">IF($A159="","",IF(AT159="Y",BO159&amp;"",BB159&amp;""))</f>
        <v>https://www.linkedin.com/in/charles-coristine-7b611b13/</v>
      </c>
      <c r="G159" s="0" t="str">
        <f aca="false">IF($A159="","",IF(AT159="Y",BP159&amp;"",BC159&amp;""))</f>
        <v/>
      </c>
      <c r="H159" s="0" t="str">
        <f aca="false">IF($A159="","",IF(AT159="Y",BQ159&amp;"",BD159&amp;""))</f>
        <v>none</v>
      </c>
      <c r="I159" s="0" t="str">
        <f aca="false">IF($A159="","",IF(R159="Y","warm-intro",IF(H159="verified","email",IF(C159&lt;&gt;"","linkedin",CA159&amp;""))))</f>
        <v>linkedin</v>
      </c>
      <c r="J159" s="0" t="n">
        <f aca="false">IF($A159="","",IF(CK159="pass",ROUND(N(DO159)+N(DP159)+N(DQ159)+N(DR159)+N(DS159)+N(DT159)+N(DU159)+N(DV159),0),0))</f>
        <v>33</v>
      </c>
      <c r="K159" s="0" t="str">
        <f aca="false">IF($A159="","",IF(CK159&lt;&gt;"pass",BY159&amp;"",BY159&amp;", "&amp;IF(AT159="Y",BX159&amp;"",BK159&amp;"")&amp;BZ159&amp;IF(R159="Y","; known to the founder (+10)","")&amp;"."))</f>
        <v>Northeast brand, store page shows Whole Foods Market NoMad inside the cluster, news 43 days ago, revenue over $10M, contact named plus a marketing lead; founder review: scale-reported, scale.</v>
      </c>
      <c r="M159" s="0" t="s">
        <v>5572</v>
      </c>
      <c r="N159" s="0" t="s">
        <v>5573</v>
      </c>
      <c r="O159" s="0" t="s">
        <v>9243</v>
      </c>
      <c r="P159" s="0" t="s">
        <v>9244</v>
      </c>
      <c r="Q159" s="0" t="s">
        <v>6436</v>
      </c>
      <c r="R159" s="5" t="s">
        <v>189</v>
      </c>
      <c r="S159" s="0" t="s">
        <v>209</v>
      </c>
      <c r="T159" s="5" t="s">
        <v>189</v>
      </c>
      <c r="U159" s="5" t="s">
        <v>5504</v>
      </c>
      <c r="V159" s="0" t="s">
        <v>9245</v>
      </c>
      <c r="W159" s="0" t="s">
        <v>263</v>
      </c>
      <c r="X159" s="0" t="s">
        <v>5578</v>
      </c>
      <c r="Y159" s="0" t="str">
        <f aca="false">IF(FA159&lt;&gt;"Y","",COUNTIFS($FA$2:$FA$1000,"Y",$J$2:$J$1000,"&gt;"&amp;J159)+COUNTIFS($FA$2:$FA$1000,"Y",$J$2:$J$1000,J159,$FG$2:$FG$1000,"&lt;"&amp;FG159)+1)</f>
        <v/>
      </c>
      <c r="Z159" s="0" t="n">
        <v>158</v>
      </c>
      <c r="AA159" s="0" t="s">
        <v>189</v>
      </c>
      <c r="AB159" s="0" t="str">
        <f aca="false">IF($A159="","",IF(AT159="Y",BW159&amp;"",BJ159&amp;""))</f>
        <v>open the LinkedIn URL and confirm it is Charles Coristine, President and CEO at LesserEvil (found on another page, never opened); the source is dated 2025: check Charles still holds the role; use the Whole Foods Market NoMad line only if retailer_checked_date is this week's Friday check</v>
      </c>
      <c r="AC159" s="0" t="str">
        <f aca="false">IF($A159="","",IF(AT159="Y",BR159&amp;"",BE159&amp;""))</f>
        <v>CEO or owner (not shown as a founder)</v>
      </c>
      <c r="AD159" s="0" t="str">
        <f aca="false">IF($A159="","",IF(AT159="Y",BS159&amp;"",BF159&amp;""))</f>
        <v>verified-page</v>
      </c>
      <c r="AE159" s="0" t="str">
        <f aca="false">IF($A159="","",IF(AT159="Y",BT159&amp;"",BG159&amp;""))</f>
        <v>press, event or podcast page</v>
      </c>
      <c r="AF159" s="0" t="str">
        <f aca="false">IF($A159="","",IF(AT159="Y",BU159&amp;"",BH159&amp;""))</f>
        <v>https://www.snackandbakery.com/articles/114444-2025-snack-producer-of-the-year-lesserevil</v>
      </c>
      <c r="AG159" s="0" t="str">
        <f aca="false">IF($A159="","",IF(AT159="Y",BV159&amp;"",BI159&amp;""))</f>
        <v>2026-10-24</v>
      </c>
      <c r="AH159" s="0" t="s">
        <v>9246</v>
      </c>
      <c r="AI159" s="0" t="s">
        <v>5921</v>
      </c>
      <c r="AJ159" s="0" t="s">
        <v>7994</v>
      </c>
      <c r="AK159" s="0" t="s">
        <v>9247</v>
      </c>
      <c r="AL159" s="0" t="s">
        <v>164</v>
      </c>
      <c r="AM159" s="0" t="s">
        <v>9248</v>
      </c>
      <c r="AN159" s="0" t="s">
        <v>5826</v>
      </c>
      <c r="AO159" s="5" t="s">
        <v>189</v>
      </c>
      <c r="AR159" s="0" t="str">
        <f aca="false">IF($A159="","",IF(AND(CK159="pass",AO159&lt;&gt;"Y",C159&lt;&gt;"",OR(AU159&lt;&gt;"Y",AV159="Y")),"Y","N"))</f>
        <v>N</v>
      </c>
      <c r="AS159" s="0" t="str">
        <f aca="false">IF($A159="","",_xlfn.TEXTJOIN("; ",TRUE(),IF(CK159&lt;&gt;"pass","gated out",""),IF(AO159="Y","on hold: "&amp;AP159,""),IF(C159="","no contact named on an opened page",""),IF(AND(AU159="Y",AV159&lt;&gt;"Y"),"founder review pending (Founder review tab)","")))</f>
        <v>founder review pending (Founder review tab)</v>
      </c>
      <c r="AU159" s="0" t="s">
        <v>164</v>
      </c>
      <c r="AX159" s="0" t="s">
        <v>9249</v>
      </c>
      <c r="AY159" s="0" t="s">
        <v>9250</v>
      </c>
      <c r="AZ159" s="0" t="s">
        <v>9251</v>
      </c>
      <c r="BA159" s="0" t="s">
        <v>9252</v>
      </c>
      <c r="BB159" s="0" t="s">
        <v>9253</v>
      </c>
      <c r="BC159" s="0" t="str">
        <f aca="false">IF($A159="","",IFERROR(INDEX(Enrichment!$A$2:$GZ$2000,MATCH($A159,INDEX(Enrichment!$A$2:$GZ$2000,0,MATCH("row_id",Enrichment!$A$1:$GZ$1,0)),0),MATCH("work_email",Enrichment!$A$1:$GZ$1,0))&amp;"",""))</f>
        <v/>
      </c>
      <c r="BD159" s="0" t="str">
        <f aca="false">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none</v>
      </c>
      <c r="BE159" s="0" t="s">
        <v>6183</v>
      </c>
      <c r="BF159" s="0" t="s">
        <v>169</v>
      </c>
      <c r="BG159" s="0" t="s">
        <v>1252</v>
      </c>
      <c r="BH159" s="0" t="s">
        <v>9254</v>
      </c>
      <c r="BI159" s="0" t="s">
        <v>172</v>
      </c>
      <c r="BJ159" s="0" t="s">
        <v>9255</v>
      </c>
      <c r="BK159" s="0" t="s">
        <v>5638</v>
      </c>
      <c r="BL159" s="0" t="s">
        <v>9256</v>
      </c>
      <c r="BM159" s="0" t="s">
        <v>9257</v>
      </c>
      <c r="BN159" s="0" t="s">
        <v>9258</v>
      </c>
      <c r="BP159" s="0" t="str">
        <f aca="false">IF($A159="","",IFERROR(INDEX(Enrichment!$A$2:$GZ$2000,MATCH($A159,INDEX(Enrichment!$A$2:$GZ$2000,0,MATCH("row_id",Enrichment!$A$1:$GZ$1,0)),0),MATCH("backup_work_email",Enrichment!$A$1:$GZ$1,0))&amp;"",""))</f>
        <v/>
      </c>
      <c r="BQ159" s="0" t="str">
        <f aca="false">IF($A159="","",IF(BP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none</v>
      </c>
      <c r="BR159" s="0" t="s">
        <v>5596</v>
      </c>
      <c r="BS159" s="0" t="s">
        <v>169</v>
      </c>
      <c r="BT159" s="0" t="s">
        <v>1252</v>
      </c>
      <c r="BU159" s="0" t="s">
        <v>9254</v>
      </c>
      <c r="BV159" s="0" t="s">
        <v>172</v>
      </c>
      <c r="BW159" s="0" t="s">
        <v>9259</v>
      </c>
      <c r="BX159" s="0" t="s">
        <v>5643</v>
      </c>
      <c r="BY159" s="0" t="s">
        <v>9260</v>
      </c>
      <c r="BZ159" s="0" t="s">
        <v>9261</v>
      </c>
      <c r="CB159" s="0" t="s">
        <v>9262</v>
      </c>
      <c r="CC159" s="0" t="s">
        <v>9263</v>
      </c>
      <c r="CD159" s="0" t="s">
        <v>9264</v>
      </c>
      <c r="CE159" s="0" t="s">
        <v>244</v>
      </c>
      <c r="CF159" s="0" t="s">
        <v>5838</v>
      </c>
      <c r="CG159" s="0" t="s">
        <v>9263</v>
      </c>
      <c r="CH159" s="0" t="s">
        <v>9265</v>
      </c>
      <c r="CJ159" s="0" t="s">
        <v>5606</v>
      </c>
      <c r="CK159" s="0" t="s">
        <v>200</v>
      </c>
      <c r="CM159" s="0" t="s">
        <v>201</v>
      </c>
      <c r="CN159" s="0" t="s">
        <v>9266</v>
      </c>
      <c r="CO159" s="0" t="s">
        <v>9247</v>
      </c>
      <c r="CP159" s="0" t="s">
        <v>7450</v>
      </c>
      <c r="CQ159" s="0" t="s">
        <v>6084</v>
      </c>
      <c r="CR159" s="0" t="s">
        <v>209</v>
      </c>
      <c r="CT159" s="0" t="s">
        <v>164</v>
      </c>
      <c r="CU159" s="0" t="s">
        <v>9267</v>
      </c>
      <c r="CV159" s="0" t="s">
        <v>164</v>
      </c>
      <c r="CW159" s="0" t="s">
        <v>164</v>
      </c>
      <c r="CX159" s="0" t="s">
        <v>9029</v>
      </c>
      <c r="CY159" s="0" t="s">
        <v>9030</v>
      </c>
      <c r="CZ159" s="0" t="s">
        <v>9268</v>
      </c>
      <c r="DA159" s="0" t="s">
        <v>189</v>
      </c>
      <c r="DB159" s="0" t="s">
        <v>189</v>
      </c>
      <c r="DD159" s="0" t="n">
        <v>0</v>
      </c>
      <c r="DE159" s="0" t="s">
        <v>164</v>
      </c>
      <c r="DF159" s="0" t="n">
        <v>3</v>
      </c>
      <c r="DG159" s="0" t="s">
        <v>5686</v>
      </c>
      <c r="DI159" s="0" t="s">
        <v>6054</v>
      </c>
      <c r="DJ159" s="0" t="s">
        <v>9269</v>
      </c>
      <c r="DK159" s="0" t="s">
        <v>5617</v>
      </c>
      <c r="DL159" s="0" t="n">
        <v>43</v>
      </c>
      <c r="DN159" s="0" t="n">
        <v>33</v>
      </c>
      <c r="DO159" s="0" t="n">
        <v>25</v>
      </c>
      <c r="DP159" s="0" t="n">
        <v>8</v>
      </c>
      <c r="DQ159" s="0" t="n">
        <v>15</v>
      </c>
      <c r="DR159" s="0" t="n">
        <v>0</v>
      </c>
      <c r="DS159" s="0" t="n">
        <v>10</v>
      </c>
      <c r="DT159" s="0" t="n">
        <v>10</v>
      </c>
      <c r="DU159" s="0" t="n">
        <f aca="false">IF($A159="","",IF(R159="Y",10,0))</f>
        <v>0</v>
      </c>
      <c r="DV159" s="0" t="n">
        <v>-35</v>
      </c>
      <c r="DW159" s="0" t="s">
        <v>209</v>
      </c>
      <c r="DX159" s="0" t="s">
        <v>5814</v>
      </c>
      <c r="DY159" s="0" t="s">
        <v>9270</v>
      </c>
      <c r="DZ159" s="0" t="s">
        <v>9271</v>
      </c>
      <c r="EA159" s="0" t="s">
        <v>9272</v>
      </c>
      <c r="EC159" s="0" t="s">
        <v>9273</v>
      </c>
      <c r="EV159" s="0" t="str">
        <f aca="false">IF($A159="","",IF(ISNUMBER(MATCH(U159,{"queued","contacted","replied","call_booked","call_done","yes_in_principle","materials_sent"},0)),"Y","N"))</f>
        <v>N</v>
      </c>
      <c r="EW159" s="0" t="str">
        <f aca="false">IF($A159="","",IF(OR(T159="Y",U159="do_not_contact",AQ159&amp;""&lt;&gt;""),"Y","N"))</f>
        <v>Y</v>
      </c>
      <c r="EX159" s="0" t="str">
        <f aca="false">IF($A159="","",IF(AN159&amp;""&lt;&gt;"",AN159&amp;"",$A159))</f>
        <v>grp-003-024</v>
      </c>
      <c r="EY159" s="0" t="str">
        <f aca="false">IF($A159="","",IF(COUNTIFS($EX$2:$EX$1000,EX159,$EV$2:$EV$1000,"Y")+COUNTIFS($EX$2:$EX$1000,EX159,$EW$2:$EW$1000,"Y")&gt;0,"Y","N"))</f>
        <v>Y</v>
      </c>
      <c r="EZ159" s="0" t="str">
        <f aca="false">IF($A159="","",IF(AND(U159="new",T159="N",EW159="N",AR159="Y",EY159="N"),"Y","N"))</f>
        <v>N</v>
      </c>
      <c r="FA159" s="0" t="str">
        <f aca="false">IF($A159="","",IF(EZ159&lt;&gt;"Y","N",IF(COUNTIFS($EX$2:$EX$1000,EX159,$EZ$2:$EZ$1000,"Y",$J$2:$J$1000,"&gt;"&amp;J159)+COUNTIFS($EX$2:$EX$1000,EX159,$EZ$2:$EZ$1000,"Y",$J$2:$J$1000,J159,$FG$2:$FG$1000,"&lt;"&amp;FG159)=0,"Y","N")))</f>
        <v>N</v>
      </c>
      <c r="FB159" s="0" t="str">
        <f aca="false">IF($A159="","",IF(AND(EZ159="Y",FA159="Y",Y159&amp;""&lt;&gt;""),IF(Y159&lt;=10,"Y","N"),"N"))</f>
        <v>N</v>
      </c>
      <c r="FC159" s="0" t="str">
        <f aca="false">IF(FB159="Y",Y159,"")</f>
        <v/>
      </c>
      <c r="FD159" s="0" t="str">
        <f aca="false">IF($A159="","",IF(AND(CK159="pass",AU159="Y",AV159&lt;&gt;"Y",U159="new",EW159="N"),"Y","N"))</f>
        <v>N</v>
      </c>
      <c r="FE159" s="0" t="str">
        <f aca="false">IF(FD159&lt;&gt;"Y","",IF(COUNTIFS($FD$2:$FD$1000,"Y",$J$2:$J$1000,"&gt;"&amp;J159)+COUNTIFS($FD$2:$FD$1000,"Y",$J$2:$J$1000,J159,$FG$2:$FG$1000,"&lt;"&amp;FG159)+1&lt;=30,COUNTIFS($FD$2:$FD$1000,"Y",$J$2:$J$1000,"&gt;"&amp;J159)+COUNTIFS($FD$2:$FD$1000,"Y",$J$2:$J$1000,J159,$FG$2:$FG$1000,"&lt;"&amp;FG159)+1,""))</f>
        <v/>
      </c>
      <c r="FF159" s="0" t="str">
        <f aca="false">IF(AND(_xlfn.ISFORMULA(C159),_xlfn.ISFORMULA(J159)),"Y","N")</f>
        <v>Y</v>
      </c>
      <c r="FG159" s="0" t="n">
        <f aca="false">ROW()-1</f>
        <v>158</v>
      </c>
    </row>
    <row r="160" customFormat="false" ht="15" hidden="false" customHeight="false" outlineLevel="0" collapsed="false">
      <c r="A160" s="0" t="s">
        <v>9274</v>
      </c>
      <c r="B160" s="0" t="s">
        <v>9275</v>
      </c>
      <c r="C160" s="0" t="str">
        <f aca="false">IF($A160="","",IF(AT160="Y",BL160&amp;"",AY160&amp;""))</f>
        <v>Laurie</v>
      </c>
      <c r="D160" s="0" t="str">
        <f aca="false">IF($A160="","",IF(AT160="Y",BM160&amp;"",AZ160&amp;""))</f>
        <v>Lloyd</v>
      </c>
      <c r="E160" s="0" t="str">
        <f aca="false">IF($A160="","",IF(AT160="Y",BN160&amp;"",BA160&amp;""))</f>
        <v>Founder</v>
      </c>
      <c r="F160" s="0" t="str">
        <f aca="false">IF($A160="","",IF(AT160="Y",BO160&amp;"",BB160&amp;""))</f>
        <v/>
      </c>
      <c r="G160" s="0" t="str">
        <f aca="false">IF($A160="","",IF(AT160="Y",BP160&amp;"",BC160&amp;""))</f>
        <v/>
      </c>
      <c r="H160" s="0" t="str">
        <f aca="false">IF($A160="","",IF(AT160="Y",BQ160&amp;"",BD160&amp;""))</f>
        <v>none</v>
      </c>
      <c r="I160" s="0" t="str">
        <f aca="false">IF($A160="","",IF(R160="Y","warm-intro",IF(H160="verified","email",IF(C160&lt;&gt;"","linkedin",CA160&amp;""))))</f>
        <v>linkedin</v>
      </c>
      <c r="J160" s="0" t="n">
        <f aca="false">IF($A160="","",IF(CK160="pass",ROUND(N(DO160)+N(DP160)+N(DQ160)+N(DR160)+N(DS160)+N(DT160)+N(DU160)+N(DV160),0),0))</f>
        <v>33</v>
      </c>
      <c r="K160" s="0" t="str">
        <f aca="false">IF($A160="","",IF(CK160&lt;&gt;"pass",BY160&amp;"",BY160&amp;", "&amp;IF(AT160="Y",BX160&amp;"",BK160&amp;"")&amp;BZ160&amp;IF(R160="Y","; known to the founder (+10)","")&amp;"."))</f>
        <v>Brand based outside the Northeast, no graded store within ten blocks, online store only, a new store listing 25 days ago, revenue unknown, contact named; founder review: other.</v>
      </c>
      <c r="M160" s="0" t="s">
        <v>6144</v>
      </c>
      <c r="N160" s="0" t="s">
        <v>740</v>
      </c>
      <c r="O160" s="0" t="s">
        <v>9276</v>
      </c>
      <c r="P160" s="0" t="s">
        <v>9277</v>
      </c>
      <c r="Q160" s="0" t="s">
        <v>9278</v>
      </c>
      <c r="R160" s="5" t="s">
        <v>189</v>
      </c>
      <c r="S160" s="0" t="s">
        <v>209</v>
      </c>
      <c r="T160" s="5" t="s">
        <v>189</v>
      </c>
      <c r="U160" s="5" t="s">
        <v>3896</v>
      </c>
      <c r="V160" s="0" t="s">
        <v>9279</v>
      </c>
      <c r="W160" s="0" t="s">
        <v>263</v>
      </c>
      <c r="X160" s="0" t="s">
        <v>5578</v>
      </c>
      <c r="Y160" s="0" t="n">
        <f aca="false">IF(FA160&lt;&gt;"Y","",COUNTIFS($FA$2:$FA$1000,"Y",$J$2:$J$1000,"&gt;"&amp;J160)+COUNTIFS($FA$2:$FA$1000,"Y",$J$2:$J$1000,J160,$FG$2:$FG$1000,"&lt;"&amp;FG160)+1)</f>
        <v>60</v>
      </c>
      <c r="Z160" s="0" t="n">
        <v>159</v>
      </c>
      <c r="AA160" s="0" t="s">
        <v>189</v>
      </c>
      <c r="AB160" s="0" t="str">
        <f aca="false">IF($A160="","",IF(AT160="Y",BW160&amp;"",BJ160&amp;""))</f>
        <v>find Laurie Lloyd at Spirited Zero Proof on LinkedIn and paste the profile URL into primary_linkedin_url</v>
      </c>
      <c r="AC160" s="0" t="str">
        <f aca="false">IF($A160="","",IF(AT160="Y",BR160&amp;"",BE160&amp;""))</f>
        <v>founder</v>
      </c>
      <c r="AD160" s="0" t="str">
        <f aca="false">IF($A160="","",IF(AT160="Y",BS160&amp;"",BF160&amp;""))</f>
        <v>verified-page</v>
      </c>
      <c r="AE160" s="0" t="str">
        <f aca="false">IF($A160="","",IF(AT160="Y",BT160&amp;"",BG160&amp;""))</f>
        <v>employer's own site</v>
      </c>
      <c r="AF160" s="0" t="str">
        <f aca="false">IF($A160="","",IF(AT160="Y",BU160&amp;"",BH160&amp;""))</f>
        <v>https://spiritedzeroproof.com/pages/our-story</v>
      </c>
      <c r="AG160" s="0" t="str">
        <f aca="false">IF($A160="","",IF(AT160="Y",BV160&amp;"",BI160&amp;""))</f>
        <v>2026-10-23</v>
      </c>
      <c r="AH160" s="0" t="s">
        <v>9280</v>
      </c>
      <c r="AI160" s="0" t="s">
        <v>6699</v>
      </c>
      <c r="AJ160" s="0" t="s">
        <v>9281</v>
      </c>
      <c r="AK160" s="0" t="s">
        <v>9282</v>
      </c>
      <c r="AL160" s="0" t="s">
        <v>164</v>
      </c>
      <c r="AM160" s="0" t="s">
        <v>9283</v>
      </c>
      <c r="AN160" s="0" t="s">
        <v>9274</v>
      </c>
      <c r="AO160" s="5" t="s">
        <v>189</v>
      </c>
      <c r="AR160" s="0" t="str">
        <f aca="false">IF($A160="","",IF(AND(CK160="pass",AO160&lt;&gt;"Y",C160&lt;&gt;"",OR(AU160&lt;&gt;"Y",AV160="Y")),"Y","N"))</f>
        <v>Y</v>
      </c>
      <c r="AS160" s="0" t="str">
        <f aca="false">IF($A160="","",_xlfn.TEXTJOIN("; ",TRUE(),IF(CK160&lt;&gt;"pass","gated out",""),IF(AO160="Y","on hold: "&amp;AP160,""),IF(C160="","no contact named on an opened page",""),IF(AND(AU160="Y",AV160&lt;&gt;"Y"),"founder review pending (Founder review tab)","")))</f>
        <v/>
      </c>
      <c r="AU160" s="0" t="s">
        <v>189</v>
      </c>
      <c r="AY160" s="0" t="s">
        <v>9284</v>
      </c>
      <c r="AZ160" s="0" t="s">
        <v>9285</v>
      </c>
      <c r="BA160" s="0" t="s">
        <v>5739</v>
      </c>
      <c r="BC160" s="0" t="str">
        <f aca="false">IF($A160="","",IFERROR(INDEX(Enrichment!$A$2:$GZ$2000,MATCH($A160,INDEX(Enrichment!$A$2:$GZ$2000,0,MATCH("row_id",Enrichment!$A$1:$GZ$1,0)),0),MATCH("work_email",Enrichment!$A$1:$GZ$1,0))&amp;"",""))</f>
        <v/>
      </c>
      <c r="BD160" s="0" t="str">
        <f aca="false">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none</v>
      </c>
      <c r="BE160" s="0" t="s">
        <v>5589</v>
      </c>
      <c r="BF160" s="0" t="s">
        <v>169</v>
      </c>
      <c r="BG160" s="0" t="s">
        <v>170</v>
      </c>
      <c r="BH160" s="0" t="s">
        <v>9279</v>
      </c>
      <c r="BI160" s="0" t="s">
        <v>263</v>
      </c>
      <c r="BJ160" s="0" t="s">
        <v>9286</v>
      </c>
      <c r="BK160" s="0" t="s">
        <v>5643</v>
      </c>
      <c r="BP160" s="0" t="str">
        <f aca="false">IF($A160="","",IFERROR(INDEX(Enrichment!$A$2:$GZ$2000,MATCH($A160,INDEX(Enrichment!$A$2:$GZ$2000,0,MATCH("row_id",Enrichment!$A$1:$GZ$1,0)),0),MATCH("backup_work_email",Enrichment!$A$1:$GZ$1,0))&amp;"",""))</f>
        <v/>
      </c>
      <c r="BQ160" s="0" t="str">
        <f aca="false">IF($A160="","",IF(BP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none</v>
      </c>
      <c r="BS160" s="0" t="s">
        <v>380</v>
      </c>
      <c r="BW160" s="0" t="s">
        <v>387</v>
      </c>
      <c r="BX160" s="0" t="s">
        <v>388</v>
      </c>
      <c r="BY160" s="0" t="s">
        <v>9287</v>
      </c>
      <c r="BZ160" s="0" t="s">
        <v>5960</v>
      </c>
      <c r="CB160" s="0" t="s">
        <v>9288</v>
      </c>
      <c r="CJ160" s="0" t="s">
        <v>7088</v>
      </c>
      <c r="CK160" s="0" t="s">
        <v>200</v>
      </c>
      <c r="CM160" s="0" t="s">
        <v>201</v>
      </c>
      <c r="CN160" s="0" t="s">
        <v>443</v>
      </c>
      <c r="CO160" s="0" t="s">
        <v>9282</v>
      </c>
      <c r="CP160" s="0" t="s">
        <v>9289</v>
      </c>
      <c r="CQ160" s="0" t="s">
        <v>6198</v>
      </c>
      <c r="CR160" s="0" t="s">
        <v>209</v>
      </c>
      <c r="CT160" s="0" t="s">
        <v>209</v>
      </c>
      <c r="CU160" s="0" t="s">
        <v>6710</v>
      </c>
      <c r="CV160" s="0" t="s">
        <v>164</v>
      </c>
      <c r="CW160" s="0" t="s">
        <v>164</v>
      </c>
      <c r="CX160" s="0" t="s">
        <v>209</v>
      </c>
      <c r="CZ160" s="0" t="s">
        <v>6456</v>
      </c>
      <c r="DA160" s="0" t="s">
        <v>189</v>
      </c>
      <c r="DB160" s="0" t="s">
        <v>189</v>
      </c>
      <c r="DE160" s="0" t="s">
        <v>189</v>
      </c>
      <c r="DF160" s="0" t="n">
        <v>0</v>
      </c>
      <c r="DH160" s="0" t="s">
        <v>8505</v>
      </c>
      <c r="DI160" s="0" t="s">
        <v>9290</v>
      </c>
      <c r="DJ160" s="0" t="s">
        <v>9277</v>
      </c>
      <c r="DK160" s="0" t="s">
        <v>5689</v>
      </c>
      <c r="DL160" s="0" t="n">
        <v>25</v>
      </c>
      <c r="DN160" s="0" t="n">
        <v>33</v>
      </c>
      <c r="DO160" s="0" t="n">
        <v>6</v>
      </c>
      <c r="DP160" s="0" t="n">
        <v>3</v>
      </c>
      <c r="DQ160" s="0" t="n">
        <v>8</v>
      </c>
      <c r="DR160" s="0" t="n">
        <v>5</v>
      </c>
      <c r="DS160" s="0" t="n">
        <v>7</v>
      </c>
      <c r="DT160" s="0" t="n">
        <v>6</v>
      </c>
      <c r="DU160" s="0" t="n">
        <f aca="false">IF($A160="","",IF(R160="Y",10,0))</f>
        <v>0</v>
      </c>
      <c r="DV160" s="0" t="n">
        <v>-2</v>
      </c>
      <c r="DW160" s="0" t="s">
        <v>209</v>
      </c>
      <c r="DX160" s="0" t="s">
        <v>6462</v>
      </c>
      <c r="DY160" s="0" t="s">
        <v>9291</v>
      </c>
      <c r="DZ160" s="0" t="s">
        <v>9292</v>
      </c>
      <c r="EA160" s="0" t="s">
        <v>9293</v>
      </c>
      <c r="EV160" s="0" t="str">
        <f aca="false">IF($A160="","",IF(ISNUMBER(MATCH(U160,{"queued","contacted","replied","call_booked","call_done","yes_in_principle","materials_sent"},0)),"Y","N"))</f>
        <v>N</v>
      </c>
      <c r="EW160" s="0" t="str">
        <f aca="false">IF($A160="","",IF(OR(T160="Y",U160="do_not_contact",AQ160&amp;""&lt;&gt;""),"Y","N"))</f>
        <v>N</v>
      </c>
      <c r="EX160" s="0" t="str">
        <f aca="false">IF($A160="","",IF(AN160&amp;""&lt;&gt;"",AN160&amp;"",$A160))</f>
        <v>AB-202</v>
      </c>
      <c r="EY160" s="0" t="str">
        <f aca="false">IF($A160="","",IF(COUNTIFS($EX$2:$EX$1000,EX160,$EV$2:$EV$1000,"Y")+COUNTIFS($EX$2:$EX$1000,EX160,$EW$2:$EW$1000,"Y")&gt;0,"Y","N"))</f>
        <v>N</v>
      </c>
      <c r="EZ160" s="0" t="str">
        <f aca="false">IF($A160="","",IF(AND(U160="new",T160="N",EW160="N",AR160="Y",EY160="N"),"Y","N"))</f>
        <v>Y</v>
      </c>
      <c r="FA160" s="0" t="str">
        <f aca="false">IF($A160="","",IF(EZ160&lt;&gt;"Y","N",IF(COUNTIFS($EX$2:$EX$1000,EX160,$EZ$2:$EZ$1000,"Y",$J$2:$J$1000,"&gt;"&amp;J160)+COUNTIFS($EX$2:$EX$1000,EX160,$EZ$2:$EZ$1000,"Y",$J$2:$J$1000,J160,$FG$2:$FG$1000,"&lt;"&amp;FG160)=0,"Y","N")))</f>
        <v>Y</v>
      </c>
      <c r="FB160" s="0" t="str">
        <f aca="false">IF($A160="","",IF(AND(EZ160="Y",FA160="Y",Y160&amp;""&lt;&gt;""),IF(Y160&lt;=10,"Y","N"),"N"))</f>
        <v>N</v>
      </c>
      <c r="FC160" s="0" t="str">
        <f aca="false">IF(FB160="Y",Y160,"")</f>
        <v/>
      </c>
      <c r="FD160" s="0" t="str">
        <f aca="false">IF($A160="","",IF(AND(CK160="pass",AU160="Y",AV160&lt;&gt;"Y",U160="new",EW160="N"),"Y","N"))</f>
        <v>N</v>
      </c>
      <c r="FE160" s="0" t="str">
        <f aca="false">IF(FD160&lt;&gt;"Y","",IF(COUNTIFS($FD$2:$FD$1000,"Y",$J$2:$J$1000,"&gt;"&amp;J160)+COUNTIFS($FD$2:$FD$1000,"Y",$J$2:$J$1000,J160,$FG$2:$FG$1000,"&lt;"&amp;FG160)+1&lt;=30,COUNTIFS($FD$2:$FD$1000,"Y",$J$2:$J$1000,"&gt;"&amp;J160)+COUNTIFS($FD$2:$FD$1000,"Y",$J$2:$J$1000,J160,$FG$2:$FG$1000,"&lt;"&amp;FG160)+1,""))</f>
        <v/>
      </c>
      <c r="FF160" s="0" t="str">
        <f aca="false">IF(AND(_xlfn.ISFORMULA(C160),_xlfn.ISFORMULA(J160)),"Y","N")</f>
        <v>Y</v>
      </c>
      <c r="FG160" s="0" t="n">
        <f aca="false">ROW()-1</f>
        <v>159</v>
      </c>
    </row>
    <row r="161" customFormat="false" ht="15" hidden="false" customHeight="false" outlineLevel="0" collapsed="false">
      <c r="A161" s="0" t="s">
        <v>9294</v>
      </c>
      <c r="B161" s="0" t="s">
        <v>9295</v>
      </c>
      <c r="C161" s="0" t="str">
        <f aca="false">IF($A161="","",IF(AT161="Y",BL161&amp;"",AY161&amp;""))</f>
        <v>Lydda</v>
      </c>
      <c r="D161" s="0" t="str">
        <f aca="false">IF($A161="","",IF(AT161="Y",BM161&amp;"",AZ161&amp;""))</f>
        <v>unknown</v>
      </c>
      <c r="E161" s="0" t="str">
        <f aca="false">IF($A161="","",IF(AT161="Y",BN161&amp;"",BA161&amp;""))</f>
        <v>Founder</v>
      </c>
      <c r="F161" s="0" t="str">
        <f aca="false">IF($A161="","",IF(AT161="Y",BO161&amp;"",BB161&amp;""))</f>
        <v/>
      </c>
      <c r="G161" s="0" t="str">
        <f aca="false">IF($A161="","",IF(AT161="Y",BP161&amp;"",BC161&amp;""))</f>
        <v/>
      </c>
      <c r="H161" s="0" t="str">
        <f aca="false">IF($A161="","",IF(AT161="Y",BQ161&amp;"",BD161&amp;""))</f>
        <v>none</v>
      </c>
      <c r="I161" s="0" t="str">
        <f aca="false">IF($A161="","",IF(R161="Y","warm-intro",IF(H161="verified","email",IF(C161&lt;&gt;"","linkedin",CA161&amp;""))))</f>
        <v>linkedin</v>
      </c>
      <c r="J161" s="0" t="n">
        <f aca="false">IF($A161="","",IF(CK161="pass",ROUND(N(DO161)+N(DP161)+N(DQ161)+N(DR161)+N(DS161)+N(DT161)+N(DU161)+N(DV161),0),0))</f>
        <v>33</v>
      </c>
      <c r="K161" s="0" t="str">
        <f aca="false">IF($A161="","",IF(CK161&lt;&gt;"pass",BY161&amp;"",BY161&amp;", "&amp;IF(AT161="Y",BX161&amp;"",BK161&amp;"")&amp;BZ161&amp;IF(R161="Y","; known to the founder (+10)","")&amp;"."))</f>
        <v>Northeast brand, no graded store within ten blocks, online store only, a new store listing 32 days ago, revenue unknown, contact named (first name only); founder review: format, nutrient-claim.</v>
      </c>
      <c r="M161" s="0" t="s">
        <v>6144</v>
      </c>
      <c r="N161" s="0" t="s">
        <v>740</v>
      </c>
      <c r="O161" s="0" t="s">
        <v>9296</v>
      </c>
      <c r="P161" s="0" t="s">
        <v>9297</v>
      </c>
      <c r="Q161" s="0" t="s">
        <v>2751</v>
      </c>
      <c r="R161" s="5" t="s">
        <v>189</v>
      </c>
      <c r="S161" s="0" t="s">
        <v>209</v>
      </c>
      <c r="T161" s="5" t="s">
        <v>189</v>
      </c>
      <c r="U161" s="5" t="s">
        <v>3896</v>
      </c>
      <c r="V161" s="0" t="s">
        <v>9298</v>
      </c>
      <c r="W161" s="0" t="s">
        <v>172</v>
      </c>
      <c r="X161" s="0" t="s">
        <v>5578</v>
      </c>
      <c r="Y161" s="0" t="str">
        <f aca="false">IF(FA161&lt;&gt;"Y","",COUNTIFS($FA$2:$FA$1000,"Y",$J$2:$J$1000,"&gt;"&amp;J161)+COUNTIFS($FA$2:$FA$1000,"Y",$J$2:$J$1000,J161,$FG$2:$FG$1000,"&lt;"&amp;FG161)+1)</f>
        <v/>
      </c>
      <c r="Z161" s="0" t="n">
        <v>160</v>
      </c>
      <c r="AA161" s="0" t="s">
        <v>189</v>
      </c>
      <c r="AB161" s="0" t="str">
        <f aca="false">IF($A161="","",IF(AT161="Y",BW161&amp;"",BJ161&amp;""))</f>
        <v>find Lydda at Josephine's Baking Co. on LinkedIn and paste the profile URL into primary_linkedin_url; surname not public: take it from LinkedIn</v>
      </c>
      <c r="AC161" s="0" t="str">
        <f aca="false">IF($A161="","",IF(AT161="Y",BR161&amp;"",BE161&amp;""))</f>
        <v>founder</v>
      </c>
      <c r="AD161" s="0" t="str">
        <f aca="false">IF($A161="","",IF(AT161="Y",BS161&amp;"",BF161&amp;""))</f>
        <v>first-name-only</v>
      </c>
      <c r="AE161" s="0" t="str">
        <f aca="false">IF($A161="","",IF(AT161="Y",BT161&amp;"",BG161&amp;""))</f>
        <v>employer's own site</v>
      </c>
      <c r="AF161" s="0" t="str">
        <f aca="false">IF($A161="","",IF(AT161="Y",BU161&amp;"",BH161&amp;""))</f>
        <v>https://josephinesbakingco.com/pages/about-us</v>
      </c>
      <c r="AG161" s="0" t="str">
        <f aca="false">IF($A161="","",IF(AT161="Y",BV161&amp;"",BI161&amp;""))</f>
        <v>2026-10-24</v>
      </c>
      <c r="AH161" s="0" t="s">
        <v>9299</v>
      </c>
      <c r="AI161" s="0" t="s">
        <v>5702</v>
      </c>
      <c r="AJ161" s="0" t="s">
        <v>9300</v>
      </c>
      <c r="AK161" s="0" t="s">
        <v>9301</v>
      </c>
      <c r="AL161" s="0" t="s">
        <v>164</v>
      </c>
      <c r="AM161" s="0" t="s">
        <v>9302</v>
      </c>
      <c r="AN161" s="0" t="s">
        <v>9294</v>
      </c>
      <c r="AO161" s="5" t="s">
        <v>189</v>
      </c>
      <c r="AR161" s="0" t="str">
        <f aca="false">IF($A161="","",IF(AND(CK161="pass",AO161&lt;&gt;"Y",C161&lt;&gt;"",OR(AU161&lt;&gt;"Y",AV161="Y")),"Y","N"))</f>
        <v>N</v>
      </c>
      <c r="AS161" s="0" t="str">
        <f aca="false">IF($A161="","",_xlfn.TEXTJOIN("; ",TRUE(),IF(CK161&lt;&gt;"pass","gated out",""),IF(AO161="Y","on hold: "&amp;AP161,""),IF(C161="","no contact named on an opened page",""),IF(AND(AU161="Y",AV161&lt;&gt;"Y"),"founder review pending (Founder review tab)","")))</f>
        <v>founder review pending (Founder review tab)</v>
      </c>
      <c r="AU161" s="0" t="s">
        <v>164</v>
      </c>
      <c r="AY161" s="0" t="s">
        <v>9303</v>
      </c>
      <c r="AZ161" s="0" t="s">
        <v>209</v>
      </c>
      <c r="BA161" s="0" t="s">
        <v>5739</v>
      </c>
      <c r="BC161" s="0" t="str">
        <f aca="false">IF($A161="","",IFERROR(INDEX(Enrichment!$A$2:$GZ$2000,MATCH($A161,INDEX(Enrichment!$A$2:$GZ$2000,0,MATCH("row_id",Enrichment!$A$1:$GZ$1,0)),0),MATCH("work_email",Enrichment!$A$1:$GZ$1,0))&amp;"",""))</f>
        <v/>
      </c>
      <c r="BD161" s="0" t="str">
        <f aca="false">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none</v>
      </c>
      <c r="BE161" s="0" t="s">
        <v>5589</v>
      </c>
      <c r="BF161" s="0" t="s">
        <v>5896</v>
      </c>
      <c r="BG161" s="0" t="s">
        <v>170</v>
      </c>
      <c r="BH161" s="0" t="s">
        <v>9304</v>
      </c>
      <c r="BI161" s="0" t="s">
        <v>172</v>
      </c>
      <c r="BJ161" s="0" t="s">
        <v>9305</v>
      </c>
      <c r="BK161" s="0" t="s">
        <v>5898</v>
      </c>
      <c r="BP161" s="0" t="str">
        <f aca="false">IF($A161="","",IFERROR(INDEX(Enrichment!$A$2:$GZ$2000,MATCH($A161,INDEX(Enrichment!$A$2:$GZ$2000,0,MATCH("row_id",Enrichment!$A$1:$GZ$1,0)),0),MATCH("backup_work_email",Enrichment!$A$1:$GZ$1,0))&amp;"",""))</f>
        <v/>
      </c>
      <c r="BQ161" s="0" t="str">
        <f aca="false">IF($A161="","",IF(BP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none</v>
      </c>
      <c r="BS161" s="0" t="s">
        <v>380</v>
      </c>
      <c r="BW161" s="0" t="s">
        <v>387</v>
      </c>
      <c r="BX161" s="0" t="s">
        <v>388</v>
      </c>
      <c r="BY161" s="0" t="s">
        <v>9306</v>
      </c>
      <c r="BZ161" s="0" t="s">
        <v>7257</v>
      </c>
      <c r="CB161" s="0" t="s">
        <v>9303</v>
      </c>
      <c r="CD161" s="0" t="s">
        <v>9307</v>
      </c>
      <c r="CJ161" s="0" t="s">
        <v>7088</v>
      </c>
      <c r="CK161" s="0" t="s">
        <v>200</v>
      </c>
      <c r="CM161" s="0" t="s">
        <v>201</v>
      </c>
      <c r="CN161" s="0" t="s">
        <v>7260</v>
      </c>
      <c r="CO161" s="0" t="s">
        <v>9301</v>
      </c>
      <c r="CP161" s="0" t="s">
        <v>6083</v>
      </c>
      <c r="CQ161" s="0" t="s">
        <v>6084</v>
      </c>
      <c r="CR161" s="0" t="s">
        <v>209</v>
      </c>
      <c r="CT161" s="0" t="s">
        <v>164</v>
      </c>
      <c r="CU161" s="0" t="s">
        <v>9308</v>
      </c>
      <c r="CV161" s="0" t="s">
        <v>189</v>
      </c>
      <c r="CW161" s="0" t="s">
        <v>164</v>
      </c>
      <c r="CX161" s="0" t="s">
        <v>209</v>
      </c>
      <c r="CZ161" s="0" t="s">
        <v>5993</v>
      </c>
      <c r="DA161" s="0" t="s">
        <v>189</v>
      </c>
      <c r="DB161" s="0" t="s">
        <v>189</v>
      </c>
      <c r="DE161" s="0" t="s">
        <v>189</v>
      </c>
      <c r="DF161" s="0" t="n">
        <v>0</v>
      </c>
      <c r="DI161" s="0" t="s">
        <v>209</v>
      </c>
      <c r="DK161" s="0" t="s">
        <v>5689</v>
      </c>
      <c r="DL161" s="0" t="n">
        <v>32</v>
      </c>
      <c r="DN161" s="0" t="n">
        <v>33</v>
      </c>
      <c r="DO161" s="0" t="n">
        <v>6</v>
      </c>
      <c r="DP161" s="0" t="n">
        <v>8</v>
      </c>
      <c r="DQ161" s="0" t="n">
        <v>8</v>
      </c>
      <c r="DR161" s="0" t="n">
        <v>5</v>
      </c>
      <c r="DS161" s="0" t="n">
        <v>7</v>
      </c>
      <c r="DT161" s="0" t="n">
        <v>3</v>
      </c>
      <c r="DU161" s="0" t="n">
        <f aca="false">IF($A161="","",IF(R161="Y",10,0))</f>
        <v>0</v>
      </c>
      <c r="DV161" s="0" t="n">
        <v>-4</v>
      </c>
      <c r="DW161" s="0" t="s">
        <v>9309</v>
      </c>
      <c r="DX161" s="0" t="s">
        <v>5998</v>
      </c>
      <c r="DY161" s="0" t="s">
        <v>9310</v>
      </c>
      <c r="DZ161" s="0" t="s">
        <v>9311</v>
      </c>
      <c r="EV161" s="0" t="str">
        <f aca="false">IF($A161="","",IF(ISNUMBER(MATCH(U161,{"queued","contacted","replied","call_booked","call_done","yes_in_principle","materials_sent"},0)),"Y","N"))</f>
        <v>N</v>
      </c>
      <c r="EW161" s="0" t="str">
        <f aca="false">IF($A161="","",IF(OR(T161="Y",U161="do_not_contact",AQ161&amp;""&lt;&gt;""),"Y","N"))</f>
        <v>N</v>
      </c>
      <c r="EX161" s="0" t="str">
        <f aca="false">IF($A161="","",IF(AN161&amp;""&lt;&gt;"",AN161&amp;"",$A161))</f>
        <v>AB-289</v>
      </c>
      <c r="EY161" s="0" t="str">
        <f aca="false">IF($A161="","",IF(COUNTIFS($EX$2:$EX$1000,EX161,$EV$2:$EV$1000,"Y")+COUNTIFS($EX$2:$EX$1000,EX161,$EW$2:$EW$1000,"Y")&gt;0,"Y","N"))</f>
        <v>N</v>
      </c>
      <c r="EZ161" s="0" t="str">
        <f aca="false">IF($A161="","",IF(AND(U161="new",T161="N",EW161="N",AR161="Y",EY161="N"),"Y","N"))</f>
        <v>N</v>
      </c>
      <c r="FA161" s="0" t="str">
        <f aca="false">IF($A161="","",IF(EZ161&lt;&gt;"Y","N",IF(COUNTIFS($EX$2:$EX$1000,EX161,$EZ$2:$EZ$1000,"Y",$J$2:$J$1000,"&gt;"&amp;J161)+COUNTIFS($EX$2:$EX$1000,EX161,$EZ$2:$EZ$1000,"Y",$J$2:$J$1000,J161,$FG$2:$FG$1000,"&lt;"&amp;FG161)=0,"Y","N")))</f>
        <v>N</v>
      </c>
      <c r="FB161" s="0" t="str">
        <f aca="false">IF($A161="","",IF(AND(EZ161="Y",FA161="Y",Y161&amp;""&lt;&gt;""),IF(Y161&lt;=10,"Y","N"),"N"))</f>
        <v>N</v>
      </c>
      <c r="FC161" s="0" t="str">
        <f aca="false">IF(FB161="Y",Y161,"")</f>
        <v/>
      </c>
      <c r="FD161" s="0" t="str">
        <f aca="false">IF($A161="","",IF(AND(CK161="pass",AU161="Y",AV161&lt;&gt;"Y",U161="new",EW161="N"),"Y","N"))</f>
        <v>Y</v>
      </c>
      <c r="FE161" s="0" t="str">
        <f aca="false">IF(FD161&lt;&gt;"Y","",IF(COUNTIFS($FD$2:$FD$1000,"Y",$J$2:$J$1000,"&gt;"&amp;J161)+COUNTIFS($FD$2:$FD$1000,"Y",$J$2:$J$1000,J161,$FG$2:$FG$1000,"&lt;"&amp;FG161)+1&lt;=30,COUNTIFS($FD$2:$FD$1000,"Y",$J$2:$J$1000,"&gt;"&amp;J161)+COUNTIFS($FD$2:$FD$1000,"Y",$J$2:$J$1000,J161,$FG$2:$FG$1000,"&lt;"&amp;FG161)+1,""))</f>
        <v/>
      </c>
      <c r="FF161" s="0" t="str">
        <f aca="false">IF(AND(_xlfn.ISFORMULA(C161),_xlfn.ISFORMULA(J161)),"Y","N")</f>
        <v>Y</v>
      </c>
      <c r="FG161" s="0" t="n">
        <f aca="false">ROW()-1</f>
        <v>160</v>
      </c>
    </row>
    <row r="162" customFormat="false" ht="15" hidden="false" customHeight="false" outlineLevel="0" collapsed="false">
      <c r="A162" s="0" t="s">
        <v>9312</v>
      </c>
      <c r="B162" s="0" t="s">
        <v>9313</v>
      </c>
      <c r="C162" s="0" t="str">
        <f aca="false">IF($A162="","",IF(AT162="Y",BL162&amp;"",AY162&amp;""))</f>
        <v/>
      </c>
      <c r="D162" s="0" t="str">
        <f aca="false">IF($A162="","",IF(AT162="Y",BM162&amp;"",AZ162&amp;""))</f>
        <v/>
      </c>
      <c r="E162" s="0" t="str">
        <f aca="false">IF($A162="","",IF(AT162="Y",BN162&amp;"",BA162&amp;""))</f>
        <v/>
      </c>
      <c r="F162" s="0" t="str">
        <f aca="false">IF($A162="","",IF(AT162="Y",BO162&amp;"",BB162&amp;""))</f>
        <v/>
      </c>
      <c r="G162" s="0" t="str">
        <f aca="false">IF($A162="","",IF(AT162="Y",BP162&amp;"",BC162&amp;""))</f>
        <v/>
      </c>
      <c r="H162" s="0" t="str">
        <f aca="false">IF($A162="","",IF(AT162="Y",BQ162&amp;"",BD162&amp;""))</f>
        <v>none</v>
      </c>
      <c r="I162" s="0" t="str">
        <f aca="false">IF($A162="","",IF(R162="Y","warm-intro",IF(H162="verified","email",IF(C162&lt;&gt;"","linkedin",CA162&amp;""))))</f>
        <v/>
      </c>
      <c r="J162" s="0" t="n">
        <f aca="false">IF($A162="","",IF(CK162="pass",ROUND(N(DO162)+N(DP162)+N(DQ162)+N(DR162)+N(DS162)+N(DT162)+N(DU162)+N(DV162),0),0))</f>
        <v>33</v>
      </c>
      <c r="K162" s="0" t="str">
        <f aca="false">IF($A162="","",IF(CK162&lt;&gt;"pass",BY162&amp;"",BY162&amp;", "&amp;IF(AT162="Y",BX162&amp;"",BK162&amp;"")&amp;BZ162&amp;IF(R162="Y","; known to the founder (+10)","")&amp;"."))</f>
        <v>Northeast brand, no graded store within ten blocks, online store only, a new store listing 160 days ago, revenue unknown, no contact named; founder review: claim-functional, nutrient-claim.</v>
      </c>
      <c r="M162" s="0" t="s">
        <v>6144</v>
      </c>
      <c r="N162" s="0" t="s">
        <v>740</v>
      </c>
      <c r="O162" s="0" t="s">
        <v>9314</v>
      </c>
      <c r="P162" s="0" t="s">
        <v>9315</v>
      </c>
      <c r="Q162" s="0" t="s">
        <v>9316</v>
      </c>
      <c r="R162" s="5" t="s">
        <v>189</v>
      </c>
      <c r="S162" s="0" t="s">
        <v>164</v>
      </c>
      <c r="T162" s="5" t="s">
        <v>189</v>
      </c>
      <c r="U162" s="5" t="s">
        <v>3896</v>
      </c>
      <c r="V162" s="0" t="s">
        <v>9317</v>
      </c>
      <c r="W162" s="0" t="s">
        <v>172</v>
      </c>
      <c r="X162" s="0" t="s">
        <v>5578</v>
      </c>
      <c r="Y162" s="0" t="str">
        <f aca="false">IF(FA162&lt;&gt;"Y","",COUNTIFS($FA$2:$FA$1000,"Y",$J$2:$J$1000,"&gt;"&amp;J162)+COUNTIFS($FA$2:$FA$1000,"Y",$J$2:$J$1000,J162,$FG$2:$FG$1000,"&lt;"&amp;FG162)+1)</f>
        <v/>
      </c>
      <c r="Z162" s="0" t="n">
        <v>161</v>
      </c>
      <c r="AA162" s="0" t="s">
        <v>189</v>
      </c>
      <c r="AB162" s="0" t="str">
        <f aca="false">IF($A162="","",IF(AT162="Y",BW162&amp;"",BJ162&amp;""))</f>
        <v>no person named on an opened page: not ready</v>
      </c>
      <c r="AC162" s="0" t="str">
        <f aca="false">IF($A162="","",IF(AT162="Y",BR162&amp;"",BE162&amp;""))</f>
        <v/>
      </c>
      <c r="AD162" s="0" t="str">
        <f aca="false">IF($A162="","",IF(AT162="Y",BS162&amp;"",BF162&amp;""))</f>
        <v>none</v>
      </c>
      <c r="AE162" s="0" t="str">
        <f aca="false">IF($A162="","",IF(AT162="Y",BT162&amp;"",BG162&amp;""))</f>
        <v/>
      </c>
      <c r="AF162" s="0" t="str">
        <f aca="false">IF($A162="","",IF(AT162="Y",BU162&amp;"",BH162&amp;""))</f>
        <v/>
      </c>
      <c r="AG162" s="0" t="str">
        <f aca="false">IF($A162="","",IF(AT162="Y",BV162&amp;"",BI162&amp;""))</f>
        <v/>
      </c>
      <c r="AH162" s="0" t="s">
        <v>9318</v>
      </c>
      <c r="AI162" s="0" t="s">
        <v>6007</v>
      </c>
      <c r="AJ162" s="0" t="s">
        <v>209</v>
      </c>
      <c r="AK162" s="0" t="s">
        <v>9319</v>
      </c>
      <c r="AL162" s="0" t="s">
        <v>164</v>
      </c>
      <c r="AM162" s="0" t="s">
        <v>9320</v>
      </c>
      <c r="AN162" s="0" t="s">
        <v>9312</v>
      </c>
      <c r="AO162" s="5" t="s">
        <v>189</v>
      </c>
      <c r="AR162" s="0" t="str">
        <f aca="false">IF($A162="","",IF(AND(CK162="pass",AO162&lt;&gt;"Y",C162&lt;&gt;"",OR(AU162&lt;&gt;"Y",AV162="Y")),"Y","N"))</f>
        <v>N</v>
      </c>
      <c r="AS162" s="0" t="str">
        <f aca="false">IF($A162="","",_xlfn.TEXTJOIN("; ",TRUE(),IF(CK162&lt;&gt;"pass","gated out",""),IF(AO162="Y","on hold: "&amp;AP162,""),IF(C162="","no contact named on an opened page",""),IF(AND(AU162="Y",AV162&lt;&gt;"Y"),"founder review pending (Founder review tab)","")))</f>
        <v>no contact named on an opened page; founder review pending (Founder review tab)</v>
      </c>
      <c r="AU162" s="0" t="s">
        <v>164</v>
      </c>
      <c r="BC162" s="0" t="str">
        <f aca="false">IF($A162="","",IFERROR(INDEX(Enrichment!$A$2:$GZ$2000,MATCH($A162,INDEX(Enrichment!$A$2:$GZ$2000,0,MATCH("row_id",Enrichment!$A$1:$GZ$1,0)),0),MATCH("work_email",Enrichment!$A$1:$GZ$1,0))&amp;"",""))</f>
        <v/>
      </c>
      <c r="BD162" s="0" t="str">
        <f aca="false">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none</v>
      </c>
      <c r="BF162" s="0" t="s">
        <v>380</v>
      </c>
      <c r="BJ162" s="0" t="s">
        <v>7105</v>
      </c>
      <c r="BK162" s="0" t="s">
        <v>6048</v>
      </c>
      <c r="BP162" s="0" t="str">
        <f aca="false">IF($A162="","",IFERROR(INDEX(Enrichment!$A$2:$GZ$2000,MATCH($A162,INDEX(Enrichment!$A$2:$GZ$2000,0,MATCH("row_id",Enrichment!$A$1:$GZ$1,0)),0),MATCH("backup_work_email",Enrichment!$A$1:$GZ$1,0))&amp;"",""))</f>
        <v/>
      </c>
      <c r="BQ162" s="0" t="str">
        <f aca="false">IF($A162="","",IF(BP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none</v>
      </c>
      <c r="BS162" s="0" t="s">
        <v>380</v>
      </c>
      <c r="BW162" s="0" t="s">
        <v>387</v>
      </c>
      <c r="BX162" s="0" t="s">
        <v>388</v>
      </c>
      <c r="BY162" s="0" t="s">
        <v>9321</v>
      </c>
      <c r="BZ162" s="0" t="s">
        <v>6050</v>
      </c>
      <c r="CJ162" s="0" t="s">
        <v>7088</v>
      </c>
      <c r="CK162" s="0" t="s">
        <v>200</v>
      </c>
      <c r="CM162" s="0" t="s">
        <v>201</v>
      </c>
      <c r="CN162" s="0" t="s">
        <v>6051</v>
      </c>
      <c r="CO162" s="0" t="s">
        <v>9319</v>
      </c>
      <c r="CP162" s="0" t="s">
        <v>6828</v>
      </c>
      <c r="CQ162" s="0" t="s">
        <v>6084</v>
      </c>
      <c r="CR162" s="0" t="s">
        <v>209</v>
      </c>
      <c r="CT162" s="0" t="s">
        <v>164</v>
      </c>
      <c r="CU162" s="0" t="s">
        <v>9322</v>
      </c>
      <c r="CV162" s="0" t="s">
        <v>164</v>
      </c>
      <c r="CW162" s="0" t="s">
        <v>164</v>
      </c>
      <c r="CX162" s="0" t="s">
        <v>209</v>
      </c>
      <c r="CZ162" s="0" t="s">
        <v>5993</v>
      </c>
      <c r="DA162" s="0" t="s">
        <v>189</v>
      </c>
      <c r="DB162" s="0" t="s">
        <v>189</v>
      </c>
      <c r="DE162" s="0" t="s">
        <v>189</v>
      </c>
      <c r="DF162" s="0" t="n">
        <v>0</v>
      </c>
      <c r="DI162" s="0" t="s">
        <v>209</v>
      </c>
      <c r="DK162" s="0" t="s">
        <v>5689</v>
      </c>
      <c r="DL162" s="0" t="n">
        <v>160</v>
      </c>
      <c r="DM162" s="0" t="s">
        <v>5979</v>
      </c>
      <c r="DN162" s="0" t="n">
        <v>33</v>
      </c>
      <c r="DO162" s="0" t="n">
        <v>6</v>
      </c>
      <c r="DP162" s="0" t="n">
        <v>8</v>
      </c>
      <c r="DQ162" s="0" t="n">
        <v>8</v>
      </c>
      <c r="DR162" s="0" t="n">
        <v>5</v>
      </c>
      <c r="DS162" s="0" t="n">
        <v>10</v>
      </c>
      <c r="DT162" s="0" t="n">
        <v>0</v>
      </c>
      <c r="DU162" s="0" t="n">
        <f aca="false">IF($A162="","",IF(R162="Y",10,0))</f>
        <v>0</v>
      </c>
      <c r="DV162" s="0" t="n">
        <v>-4</v>
      </c>
      <c r="DW162" s="0" t="s">
        <v>9323</v>
      </c>
      <c r="DX162" s="0" t="s">
        <v>5998</v>
      </c>
      <c r="DY162" s="0" t="s">
        <v>9324</v>
      </c>
      <c r="DZ162" s="0" t="s">
        <v>9325</v>
      </c>
      <c r="EA162" s="0" t="s">
        <v>9326</v>
      </c>
      <c r="EV162" s="0" t="str">
        <f aca="false">IF($A162="","",IF(ISNUMBER(MATCH(U162,{"queued","contacted","replied","call_booked","call_done","yes_in_principle","materials_sent"},0)),"Y","N"))</f>
        <v>N</v>
      </c>
      <c r="EW162" s="0" t="str">
        <f aca="false">IF($A162="","",IF(OR(T162="Y",U162="do_not_contact",AQ162&amp;""&lt;&gt;""),"Y","N"))</f>
        <v>N</v>
      </c>
      <c r="EX162" s="0" t="str">
        <f aca="false">IF($A162="","",IF(AN162&amp;""&lt;&gt;"",AN162&amp;"",$A162))</f>
        <v>AB-298</v>
      </c>
      <c r="EY162" s="0" t="str">
        <f aca="false">IF($A162="","",IF(COUNTIFS($EX$2:$EX$1000,EX162,$EV$2:$EV$1000,"Y")+COUNTIFS($EX$2:$EX$1000,EX162,$EW$2:$EW$1000,"Y")&gt;0,"Y","N"))</f>
        <v>N</v>
      </c>
      <c r="EZ162" s="0" t="str">
        <f aca="false">IF($A162="","",IF(AND(U162="new",T162="N",EW162="N",AR162="Y",EY162="N"),"Y","N"))</f>
        <v>N</v>
      </c>
      <c r="FA162" s="0" t="str">
        <f aca="false">IF($A162="","",IF(EZ162&lt;&gt;"Y","N",IF(COUNTIFS($EX$2:$EX$1000,EX162,$EZ$2:$EZ$1000,"Y",$J$2:$J$1000,"&gt;"&amp;J162)+COUNTIFS($EX$2:$EX$1000,EX162,$EZ$2:$EZ$1000,"Y",$J$2:$J$1000,J162,$FG$2:$FG$1000,"&lt;"&amp;FG162)=0,"Y","N")))</f>
        <v>N</v>
      </c>
      <c r="FB162" s="0" t="str">
        <f aca="false">IF($A162="","",IF(AND(EZ162="Y",FA162="Y",Y162&amp;""&lt;&gt;""),IF(Y162&lt;=10,"Y","N"),"N"))</f>
        <v>N</v>
      </c>
      <c r="FC162" s="0" t="str">
        <f aca="false">IF(FB162="Y",Y162,"")</f>
        <v/>
      </c>
      <c r="FD162" s="0" t="str">
        <f aca="false">IF($A162="","",IF(AND(CK162="pass",AU162="Y",AV162&lt;&gt;"Y",U162="new",EW162="N"),"Y","N"))</f>
        <v>Y</v>
      </c>
      <c r="FE162" s="0" t="str">
        <f aca="false">IF(FD162&lt;&gt;"Y","",IF(COUNTIFS($FD$2:$FD$1000,"Y",$J$2:$J$1000,"&gt;"&amp;J162)+COUNTIFS($FD$2:$FD$1000,"Y",$J$2:$J$1000,J162,$FG$2:$FG$1000,"&lt;"&amp;FG162)+1&lt;=30,COUNTIFS($FD$2:$FD$1000,"Y",$J$2:$J$1000,"&gt;"&amp;J162)+COUNTIFS($FD$2:$FD$1000,"Y",$J$2:$J$1000,J162,$FG$2:$FG$1000,"&lt;"&amp;FG162)+1,""))</f>
        <v/>
      </c>
      <c r="FF162" s="0" t="str">
        <f aca="false">IF(AND(_xlfn.ISFORMULA(C162),_xlfn.ISFORMULA(J162)),"Y","N")</f>
        <v>Y</v>
      </c>
      <c r="FG162" s="0" t="n">
        <f aca="false">ROW()-1</f>
        <v>161</v>
      </c>
    </row>
    <row r="163" customFormat="false" ht="15" hidden="false" customHeight="false" outlineLevel="0" collapsed="false">
      <c r="A163" s="0" t="s">
        <v>9327</v>
      </c>
      <c r="B163" s="0" t="s">
        <v>9328</v>
      </c>
      <c r="C163" s="0" t="str">
        <f aca="false">IF($A163="","",IF(AT163="Y",BL163&amp;"",AY163&amp;""))</f>
        <v>Belle</v>
      </c>
      <c r="D163" s="0" t="str">
        <f aca="false">IF($A163="","",IF(AT163="Y",BM163&amp;"",AZ163&amp;""))</f>
        <v>Sharon</v>
      </c>
      <c r="E163" s="0" t="str">
        <f aca="false">IF($A163="","",IF(AT163="Y",BN163&amp;"",BA163&amp;""))</f>
        <v>Co-founder</v>
      </c>
      <c r="F163" s="0" t="str">
        <f aca="false">IF($A163="","",IF(AT163="Y",BO163&amp;"",BB163&amp;""))</f>
        <v/>
      </c>
      <c r="G163" s="0" t="str">
        <f aca="false">IF($A163="","",IF(AT163="Y",BP163&amp;"",BC163&amp;""))</f>
        <v/>
      </c>
      <c r="H163" s="0" t="str">
        <f aca="false">IF($A163="","",IF(AT163="Y",BQ163&amp;"",BD163&amp;""))</f>
        <v>none</v>
      </c>
      <c r="I163" s="0" t="str">
        <f aca="false">IF($A163="","",IF(R163="Y","warm-intro",IF(H163="verified","email",IF(C163&lt;&gt;"","linkedin",CA163&amp;""))))</f>
        <v>linkedin</v>
      </c>
      <c r="J163" s="0" t="n">
        <f aca="false">IF($A163="","",IF(CK163="pass",ROUND(N(DO163)+N(DP163)+N(DQ163)+N(DR163)+N(DS163)+N(DT163)+N(DU163)+N(DV163),0),0))</f>
        <v>32</v>
      </c>
      <c r="K163" s="0" t="str">
        <f aca="false">IF($A163="","",IF(CK163&lt;&gt;"pass",BY163&amp;"",BY163&amp;", "&amp;IF(AT163="Y",BX163&amp;"",BK163&amp;"")&amp;BZ163&amp;IF(R163="Y","; known to the founder (+10)","")&amp;"."))</f>
        <v>Brand based outside the Northeast, no graded store within ten blocks, online store only, a new store listing 177 days ago, revenue unknown, contact named; founder review: claim-functional, nutrient-claim, format-unconfirmed.</v>
      </c>
      <c r="M163" s="0" t="s">
        <v>6144</v>
      </c>
      <c r="N163" s="0" t="s">
        <v>740</v>
      </c>
      <c r="O163" s="0" t="s">
        <v>9329</v>
      </c>
      <c r="P163" s="0" t="s">
        <v>9330</v>
      </c>
      <c r="Q163" s="0" t="s">
        <v>6858</v>
      </c>
      <c r="R163" s="5" t="s">
        <v>189</v>
      </c>
      <c r="S163" s="0" t="s">
        <v>164</v>
      </c>
      <c r="T163" s="5" t="s">
        <v>189</v>
      </c>
      <c r="U163" s="5" t="s">
        <v>3896</v>
      </c>
      <c r="V163" s="0" t="s">
        <v>9330</v>
      </c>
      <c r="W163" s="0" t="s">
        <v>263</v>
      </c>
      <c r="X163" s="0" t="s">
        <v>5578</v>
      </c>
      <c r="Y163" s="0" t="str">
        <f aca="false">IF(FA163&lt;&gt;"Y","",COUNTIFS($FA$2:$FA$1000,"Y",$J$2:$J$1000,"&gt;"&amp;J163)+COUNTIFS($FA$2:$FA$1000,"Y",$J$2:$J$1000,J163,$FG$2:$FG$1000,"&lt;"&amp;FG163)+1)</f>
        <v/>
      </c>
      <c r="Z163" s="0" t="n">
        <v>162</v>
      </c>
      <c r="AA163" s="0" t="s">
        <v>189</v>
      </c>
      <c r="AB163" s="0" t="str">
        <f aca="false">IF($A163="","",IF(AT163="Y",BW163&amp;"",BJ163&amp;""))</f>
        <v>find Belle Sharon at Belle's Gourmet Popcorn on LinkedIn and paste the profile URL into primary_linkedin_url</v>
      </c>
      <c r="AC163" s="0" t="str">
        <f aca="false">IF($A163="","",IF(AT163="Y",BR163&amp;"",BE163&amp;""))</f>
        <v>founder</v>
      </c>
      <c r="AD163" s="0" t="str">
        <f aca="false">IF($A163="","",IF(AT163="Y",BS163&amp;"",BF163&amp;""))</f>
        <v>verified-page</v>
      </c>
      <c r="AE163" s="0" t="str">
        <f aca="false">IF($A163="","",IF(AT163="Y",BT163&amp;"",BG163&amp;""))</f>
        <v>press, event or podcast page</v>
      </c>
      <c r="AF163" s="0" t="str">
        <f aca="false">IF($A163="","",IF(AT163="Y",BU163&amp;"",BH163&amp;""))</f>
        <v>https://startupcpg.com/startup-cpg-newswire-belles-gourmet-popcorn-launches-in-more-than-1000-walmart-stores-nationwide/</v>
      </c>
      <c r="AG163" s="0" t="str">
        <f aca="false">IF($A163="","",IF(AT163="Y",BV163&amp;"",BI163&amp;""))</f>
        <v>2026-10-23</v>
      </c>
      <c r="AH163" s="0" t="s">
        <v>9331</v>
      </c>
      <c r="AI163" s="0" t="s">
        <v>5921</v>
      </c>
      <c r="AJ163" s="0" t="s">
        <v>9332</v>
      </c>
      <c r="AK163" s="0" t="s">
        <v>9333</v>
      </c>
      <c r="AL163" s="0" t="s">
        <v>164</v>
      </c>
      <c r="AM163" s="0" t="s">
        <v>9334</v>
      </c>
      <c r="AN163" s="0" t="s">
        <v>9327</v>
      </c>
      <c r="AO163" s="5" t="s">
        <v>189</v>
      </c>
      <c r="AR163" s="0" t="str">
        <f aca="false">IF($A163="","",IF(AND(CK163="pass",AO163&lt;&gt;"Y",C163&lt;&gt;"",OR(AU163&lt;&gt;"Y",AV163="Y")),"Y","N"))</f>
        <v>N</v>
      </c>
      <c r="AS163" s="0" t="str">
        <f aca="false">IF($A163="","",_xlfn.TEXTJOIN("; ",TRUE(),IF(CK163&lt;&gt;"pass","gated out",""),IF(AO163="Y","on hold: "&amp;AP163,""),IF(C163="","no contact named on an opened page",""),IF(AND(AU163="Y",AV163&lt;&gt;"Y"),"founder review pending (Founder review tab)","")))</f>
        <v>founder review pending (Founder review tab)</v>
      </c>
      <c r="AU163" s="0" t="s">
        <v>164</v>
      </c>
      <c r="AY163" s="0" t="s">
        <v>9335</v>
      </c>
      <c r="AZ163" s="0" t="s">
        <v>9336</v>
      </c>
      <c r="BA163" s="0" t="s">
        <v>5636</v>
      </c>
      <c r="BC163" s="0" t="str">
        <f aca="false">IF($A163="","",IFERROR(INDEX(Enrichment!$A$2:$GZ$2000,MATCH($A163,INDEX(Enrichment!$A$2:$GZ$2000,0,MATCH("row_id",Enrichment!$A$1:$GZ$1,0)),0),MATCH("work_email",Enrichment!$A$1:$GZ$1,0))&amp;"",""))</f>
        <v/>
      </c>
      <c r="BD163" s="0" t="str">
        <f aca="false">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none</v>
      </c>
      <c r="BE163" s="0" t="s">
        <v>5589</v>
      </c>
      <c r="BF163" s="0" t="s">
        <v>169</v>
      </c>
      <c r="BG163" s="0" t="s">
        <v>1252</v>
      </c>
      <c r="BH163" s="0" t="s">
        <v>9330</v>
      </c>
      <c r="BI163" s="0" t="s">
        <v>263</v>
      </c>
      <c r="BJ163" s="0" t="s">
        <v>9337</v>
      </c>
      <c r="BK163" s="0" t="s">
        <v>5643</v>
      </c>
      <c r="BL163" s="0" t="s">
        <v>9338</v>
      </c>
      <c r="BM163" s="0" t="s">
        <v>9336</v>
      </c>
      <c r="BN163" s="0" t="s">
        <v>5636</v>
      </c>
      <c r="BP163" s="0" t="str">
        <f aca="false">IF($A163="","",IFERROR(INDEX(Enrichment!$A$2:$GZ$2000,MATCH($A163,INDEX(Enrichment!$A$2:$GZ$2000,0,MATCH("row_id",Enrichment!$A$1:$GZ$1,0)),0),MATCH("backup_work_email",Enrichment!$A$1:$GZ$1,0))&amp;"",""))</f>
        <v/>
      </c>
      <c r="BQ163" s="0" t="str">
        <f aca="false">IF($A163="","",IF(BP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none</v>
      </c>
      <c r="BR163" s="0" t="s">
        <v>7748</v>
      </c>
      <c r="BS163" s="0" t="s">
        <v>169</v>
      </c>
      <c r="BT163" s="0" t="s">
        <v>1252</v>
      </c>
      <c r="BU163" s="0" t="s">
        <v>9330</v>
      </c>
      <c r="BV163" s="0" t="s">
        <v>263</v>
      </c>
      <c r="BW163" s="0" t="s">
        <v>9339</v>
      </c>
      <c r="BX163" s="0" t="s">
        <v>5643</v>
      </c>
      <c r="BY163" s="0" t="s">
        <v>9340</v>
      </c>
      <c r="BZ163" s="0" t="s">
        <v>9341</v>
      </c>
      <c r="CB163" s="0" t="s">
        <v>9342</v>
      </c>
      <c r="CF163" s="0" t="s">
        <v>9343</v>
      </c>
      <c r="CJ163" s="0" t="s">
        <v>7088</v>
      </c>
      <c r="CK163" s="0" t="s">
        <v>200</v>
      </c>
      <c r="CM163" s="0" t="s">
        <v>201</v>
      </c>
      <c r="CN163" s="0" t="s">
        <v>9344</v>
      </c>
      <c r="CO163" s="0" t="s">
        <v>9333</v>
      </c>
      <c r="CP163" s="0" t="s">
        <v>6226</v>
      </c>
      <c r="CQ163" s="0" t="s">
        <v>6198</v>
      </c>
      <c r="CR163" s="0" t="s">
        <v>9345</v>
      </c>
      <c r="CT163" s="0" t="s">
        <v>164</v>
      </c>
      <c r="CU163" s="0" t="s">
        <v>9346</v>
      </c>
      <c r="CV163" s="0" t="s">
        <v>209</v>
      </c>
      <c r="CW163" s="0" t="s">
        <v>164</v>
      </c>
      <c r="CX163" s="0" t="s">
        <v>209</v>
      </c>
      <c r="CZ163" s="0" t="s">
        <v>209</v>
      </c>
      <c r="DA163" s="0" t="s">
        <v>189</v>
      </c>
      <c r="DB163" s="0" t="s">
        <v>189</v>
      </c>
      <c r="DE163" s="0" t="s">
        <v>189</v>
      </c>
      <c r="DF163" s="0" t="n">
        <v>0</v>
      </c>
      <c r="DI163" s="0" t="s">
        <v>9347</v>
      </c>
      <c r="DJ163" s="0" t="s">
        <v>9348</v>
      </c>
      <c r="DK163" s="0" t="s">
        <v>5689</v>
      </c>
      <c r="DL163" s="0" t="n">
        <v>177</v>
      </c>
      <c r="DM163" s="0" t="s">
        <v>9330</v>
      </c>
      <c r="DN163" s="0" t="n">
        <v>32</v>
      </c>
      <c r="DO163" s="0" t="n">
        <v>6</v>
      </c>
      <c r="DP163" s="0" t="n">
        <v>3</v>
      </c>
      <c r="DQ163" s="0" t="n">
        <v>8</v>
      </c>
      <c r="DR163" s="0" t="n">
        <v>5</v>
      </c>
      <c r="DS163" s="0" t="n">
        <v>8</v>
      </c>
      <c r="DT163" s="0" t="n">
        <v>6</v>
      </c>
      <c r="DU163" s="0" t="n">
        <f aca="false">IF($A163="","",IF(R163="Y",10,0))</f>
        <v>0</v>
      </c>
      <c r="DV163" s="0" t="n">
        <v>-4</v>
      </c>
      <c r="DW163" s="0" t="s">
        <v>209</v>
      </c>
      <c r="DX163" s="0" t="s">
        <v>5814</v>
      </c>
      <c r="DY163" s="0" t="s">
        <v>9349</v>
      </c>
      <c r="DZ163" s="0" t="s">
        <v>9350</v>
      </c>
      <c r="EA163" s="0" t="s">
        <v>9351</v>
      </c>
      <c r="EV163" s="0" t="str">
        <f aca="false">IF($A163="","",IF(ISNUMBER(MATCH(U163,{"queued","contacted","replied","call_booked","call_done","yes_in_principle","materials_sent"},0)),"Y","N"))</f>
        <v>N</v>
      </c>
      <c r="EW163" s="0" t="str">
        <f aca="false">IF($A163="","",IF(OR(T163="Y",U163="do_not_contact",AQ163&amp;""&lt;&gt;""),"Y","N"))</f>
        <v>N</v>
      </c>
      <c r="EX163" s="0" t="str">
        <f aca="false">IF($A163="","",IF(AN163&amp;""&lt;&gt;"",AN163&amp;"",$A163))</f>
        <v>AB-061</v>
      </c>
      <c r="EY163" s="0" t="str">
        <f aca="false">IF($A163="","",IF(COUNTIFS($EX$2:$EX$1000,EX163,$EV$2:$EV$1000,"Y")+COUNTIFS($EX$2:$EX$1000,EX163,$EW$2:$EW$1000,"Y")&gt;0,"Y","N"))</f>
        <v>N</v>
      </c>
      <c r="EZ163" s="0" t="str">
        <f aca="false">IF($A163="","",IF(AND(U163="new",T163="N",EW163="N",AR163="Y",EY163="N"),"Y","N"))</f>
        <v>N</v>
      </c>
      <c r="FA163" s="0" t="str">
        <f aca="false">IF($A163="","",IF(EZ163&lt;&gt;"Y","N",IF(COUNTIFS($EX$2:$EX$1000,EX163,$EZ$2:$EZ$1000,"Y",$J$2:$J$1000,"&gt;"&amp;J163)+COUNTIFS($EX$2:$EX$1000,EX163,$EZ$2:$EZ$1000,"Y",$J$2:$J$1000,J163,$FG$2:$FG$1000,"&lt;"&amp;FG163)=0,"Y","N")))</f>
        <v>N</v>
      </c>
      <c r="FB163" s="0" t="str">
        <f aca="false">IF($A163="","",IF(AND(EZ163="Y",FA163="Y",Y163&amp;""&lt;&gt;""),IF(Y163&lt;=10,"Y","N"),"N"))</f>
        <v>N</v>
      </c>
      <c r="FC163" s="0" t="str">
        <f aca="false">IF(FB163="Y",Y163,"")</f>
        <v/>
      </c>
      <c r="FD163" s="0" t="str">
        <f aca="false">IF($A163="","",IF(AND(CK163="pass",AU163="Y",AV163&lt;&gt;"Y",U163="new",EW163="N"),"Y","N"))</f>
        <v>Y</v>
      </c>
      <c r="FE163" s="0" t="str">
        <f aca="false">IF(FD163&lt;&gt;"Y","",IF(COUNTIFS($FD$2:$FD$1000,"Y",$J$2:$J$1000,"&gt;"&amp;J163)+COUNTIFS($FD$2:$FD$1000,"Y",$J$2:$J$1000,J163,$FG$2:$FG$1000,"&lt;"&amp;FG163)+1&lt;=30,COUNTIFS($FD$2:$FD$1000,"Y",$J$2:$J$1000,"&gt;"&amp;J163)+COUNTIFS($FD$2:$FD$1000,"Y",$J$2:$J$1000,J163,$FG$2:$FG$1000,"&lt;"&amp;FG163)+1,""))</f>
        <v/>
      </c>
      <c r="FF163" s="0" t="str">
        <f aca="false">IF(AND(_xlfn.ISFORMULA(C163),_xlfn.ISFORMULA(J163)),"Y","N")</f>
        <v>Y</v>
      </c>
      <c r="FG163" s="0" t="n">
        <f aca="false">ROW()-1</f>
        <v>162</v>
      </c>
    </row>
    <row r="164" customFormat="false" ht="15" hidden="false" customHeight="false" outlineLevel="0" collapsed="false">
      <c r="A164" s="0" t="s">
        <v>9352</v>
      </c>
      <c r="B164" s="0" t="s">
        <v>9353</v>
      </c>
      <c r="C164" s="0" t="str">
        <f aca="false">IF($A164="","",IF(AT164="Y",BL164&amp;"",AY164&amp;""))</f>
        <v>Brian</v>
      </c>
      <c r="D164" s="0" t="str">
        <f aca="false">IF($A164="","",IF(AT164="Y",BM164&amp;"",AZ164&amp;""))</f>
        <v>Gibb</v>
      </c>
      <c r="E164" s="0" t="str">
        <f aca="false">IF($A164="","",IF(AT164="Y",BN164&amp;"",BA164&amp;""))</f>
        <v>Founder &amp; CEO</v>
      </c>
      <c r="F164" s="0" t="str">
        <f aca="false">IF($A164="","",IF(AT164="Y",BO164&amp;"",BB164&amp;""))</f>
        <v/>
      </c>
      <c r="G164" s="0" t="str">
        <f aca="false">IF($A164="","",IF(AT164="Y",BP164&amp;"",BC164&amp;""))</f>
        <v/>
      </c>
      <c r="H164" s="0" t="str">
        <f aca="false">IF($A164="","",IF(AT164="Y",BQ164&amp;"",BD164&amp;""))</f>
        <v>none</v>
      </c>
      <c r="I164" s="0" t="str">
        <f aca="false">IF($A164="","",IF(R164="Y","warm-intro",IF(H164="verified","email",IF(C164&lt;&gt;"","linkedin",CA164&amp;""))))</f>
        <v>linkedin</v>
      </c>
      <c r="J164" s="0" t="n">
        <f aca="false">IF($A164="","",IF(CK164="pass",ROUND(N(DO164)+N(DP164)+N(DQ164)+N(DR164)+N(DS164)+N(DT164)+N(DU164)+N(DV164),0),0))</f>
        <v>32</v>
      </c>
      <c r="K164" s="0" t="str">
        <f aca="false">IF($A164="","",IF(CK164&lt;&gt;"pass",BY164&amp;"",BY164&amp;", "&amp;IF(AT164="Y",BX164&amp;"",BK164&amp;"")&amp;BZ164&amp;IF(R164="Y","; known to the founder (+10)","")&amp;"."))</f>
        <v>Brand based outside the Northeast, no graded store within ten blocks, online store only, a new store listing 22 days ago, revenue unknown, contact named; founder review: claim-functional, nutrient-claim, format-unconfirmed.</v>
      </c>
      <c r="M164" s="0" t="s">
        <v>6144</v>
      </c>
      <c r="N164" s="0" t="s">
        <v>740</v>
      </c>
      <c r="O164" s="0" t="s">
        <v>9354</v>
      </c>
      <c r="P164" s="0" t="s">
        <v>9355</v>
      </c>
      <c r="Q164" s="0" t="s">
        <v>5661</v>
      </c>
      <c r="R164" s="5" t="s">
        <v>189</v>
      </c>
      <c r="S164" s="0" t="s">
        <v>209</v>
      </c>
      <c r="T164" s="5" t="s">
        <v>189</v>
      </c>
      <c r="U164" s="5" t="s">
        <v>3896</v>
      </c>
      <c r="V164" s="0" t="s">
        <v>9356</v>
      </c>
      <c r="W164" s="0" t="s">
        <v>263</v>
      </c>
      <c r="X164" s="0" t="s">
        <v>5578</v>
      </c>
      <c r="Y164" s="0" t="str">
        <f aca="false">IF(FA164&lt;&gt;"Y","",COUNTIFS($FA$2:$FA$1000,"Y",$J$2:$J$1000,"&gt;"&amp;J164)+COUNTIFS($FA$2:$FA$1000,"Y",$J$2:$J$1000,J164,$FG$2:$FG$1000,"&lt;"&amp;FG164)+1)</f>
        <v/>
      </c>
      <c r="Z164" s="0" t="n">
        <v>163</v>
      </c>
      <c r="AA164" s="0" t="s">
        <v>189</v>
      </c>
      <c r="AB164" s="0" t="str">
        <f aca="false">IF($A164="","",IF(AT164="Y",BW164&amp;"",BJ164&amp;""))</f>
        <v>find Brian Gibb at Vaca Chips on LinkedIn and paste the profile URL into primary_linkedin_url</v>
      </c>
      <c r="AC164" s="0" t="str">
        <f aca="false">IF($A164="","",IF(AT164="Y",BR164&amp;"",BE164&amp;""))</f>
        <v>founder</v>
      </c>
      <c r="AD164" s="0" t="str">
        <f aca="false">IF($A164="","",IF(AT164="Y",BS164&amp;"",BF164&amp;""))</f>
        <v>verified-page</v>
      </c>
      <c r="AE164" s="0" t="str">
        <f aca="false">IF($A164="","",IF(AT164="Y",BT164&amp;"",BG164&amp;""))</f>
        <v>employer's own site</v>
      </c>
      <c r="AF164" s="0" t="str">
        <f aca="false">IF($A164="","",IF(AT164="Y",BU164&amp;"",BH164&amp;""))</f>
        <v>https://vacachips.com/pages/about-us</v>
      </c>
      <c r="AG164" s="0" t="str">
        <f aca="false">IF($A164="","",IF(AT164="Y",BV164&amp;"",BI164&amp;""))</f>
        <v>2026-10-23</v>
      </c>
      <c r="AH164" s="0" t="s">
        <v>9357</v>
      </c>
      <c r="AI164" s="0" t="s">
        <v>5789</v>
      </c>
      <c r="AJ164" s="0" t="s">
        <v>9358</v>
      </c>
      <c r="AK164" s="0" t="s">
        <v>9359</v>
      </c>
      <c r="AL164" s="0" t="s">
        <v>164</v>
      </c>
      <c r="AM164" s="0" t="s">
        <v>9360</v>
      </c>
      <c r="AN164" s="0" t="s">
        <v>9352</v>
      </c>
      <c r="AO164" s="5" t="s">
        <v>189</v>
      </c>
      <c r="AR164" s="0" t="str">
        <f aca="false">IF($A164="","",IF(AND(CK164="pass",AO164&lt;&gt;"Y",C164&lt;&gt;"",OR(AU164&lt;&gt;"Y",AV164="Y")),"Y","N"))</f>
        <v>N</v>
      </c>
      <c r="AS164" s="0" t="str">
        <f aca="false">IF($A164="","",_xlfn.TEXTJOIN("; ",TRUE(),IF(CK164&lt;&gt;"pass","gated out",""),IF(AO164="Y","on hold: "&amp;AP164,""),IF(C164="","no contact named on an opened page",""),IF(AND(AU164="Y",AV164&lt;&gt;"Y"),"founder review pending (Founder review tab)","")))</f>
        <v>founder review pending (Founder review tab)</v>
      </c>
      <c r="AU164" s="0" t="s">
        <v>164</v>
      </c>
      <c r="AY164" s="0" t="s">
        <v>9361</v>
      </c>
      <c r="AZ164" s="0" t="s">
        <v>9362</v>
      </c>
      <c r="BA164" s="0" t="s">
        <v>9363</v>
      </c>
      <c r="BC164" s="0" t="str">
        <f aca="false">IF($A164="","",IFERROR(INDEX(Enrichment!$A$2:$GZ$2000,MATCH($A164,INDEX(Enrichment!$A$2:$GZ$2000,0,MATCH("row_id",Enrichment!$A$1:$GZ$1,0)),0),MATCH("work_email",Enrichment!$A$1:$GZ$1,0))&amp;"",""))</f>
        <v/>
      </c>
      <c r="BD164" s="0" t="str">
        <f aca="false">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none</v>
      </c>
      <c r="BE164" s="0" t="s">
        <v>5589</v>
      </c>
      <c r="BF164" s="0" t="s">
        <v>169</v>
      </c>
      <c r="BG164" s="0" t="s">
        <v>170</v>
      </c>
      <c r="BH164" s="0" t="s">
        <v>9356</v>
      </c>
      <c r="BI164" s="0" t="s">
        <v>263</v>
      </c>
      <c r="BJ164" s="0" t="s">
        <v>9364</v>
      </c>
      <c r="BK164" s="0" t="s">
        <v>5643</v>
      </c>
      <c r="BP164" s="0" t="str">
        <f aca="false">IF($A164="","",IFERROR(INDEX(Enrichment!$A$2:$GZ$2000,MATCH($A164,INDEX(Enrichment!$A$2:$GZ$2000,0,MATCH("row_id",Enrichment!$A$1:$GZ$1,0)),0),MATCH("backup_work_email",Enrichment!$A$1:$GZ$1,0))&amp;"",""))</f>
        <v/>
      </c>
      <c r="BQ164" s="0" t="str">
        <f aca="false">IF($A164="","",IF(BP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none</v>
      </c>
      <c r="BS164" s="0" t="s">
        <v>380</v>
      </c>
      <c r="BW164" s="0" t="s">
        <v>387</v>
      </c>
      <c r="BX164" s="0" t="s">
        <v>388</v>
      </c>
      <c r="BY164" s="0" t="s">
        <v>9365</v>
      </c>
      <c r="BZ164" s="0" t="s">
        <v>9341</v>
      </c>
      <c r="CB164" s="0" t="s">
        <v>9366</v>
      </c>
      <c r="CJ164" s="0" t="s">
        <v>7088</v>
      </c>
      <c r="CK164" s="0" t="s">
        <v>200</v>
      </c>
      <c r="CM164" s="0" t="s">
        <v>201</v>
      </c>
      <c r="CN164" s="0" t="s">
        <v>9344</v>
      </c>
      <c r="CO164" s="0" t="s">
        <v>9359</v>
      </c>
      <c r="CP164" s="0" t="s">
        <v>6550</v>
      </c>
      <c r="CQ164" s="0" t="s">
        <v>6198</v>
      </c>
      <c r="CR164" s="0" t="s">
        <v>209</v>
      </c>
      <c r="CT164" s="0" t="s">
        <v>164</v>
      </c>
      <c r="CU164" s="0" t="s">
        <v>9367</v>
      </c>
      <c r="CV164" s="0" t="s">
        <v>209</v>
      </c>
      <c r="CW164" s="0" t="s">
        <v>164</v>
      </c>
      <c r="CX164" s="0" t="s">
        <v>209</v>
      </c>
      <c r="CZ164" s="0" t="s">
        <v>209</v>
      </c>
      <c r="DA164" s="0" t="s">
        <v>189</v>
      </c>
      <c r="DB164" s="0" t="s">
        <v>189</v>
      </c>
      <c r="DE164" s="0" t="s">
        <v>189</v>
      </c>
      <c r="DF164" s="0" t="n">
        <v>0</v>
      </c>
      <c r="DH164" s="0" t="s">
        <v>7473</v>
      </c>
      <c r="DI164" s="0" t="s">
        <v>9368</v>
      </c>
      <c r="DJ164" s="0" t="s">
        <v>9369</v>
      </c>
      <c r="DK164" s="0" t="s">
        <v>5689</v>
      </c>
      <c r="DL164" s="0" t="n">
        <v>22</v>
      </c>
      <c r="DN164" s="0" t="n">
        <v>32</v>
      </c>
      <c r="DO164" s="0" t="n">
        <v>6</v>
      </c>
      <c r="DP164" s="0" t="n">
        <v>3</v>
      </c>
      <c r="DQ164" s="0" t="n">
        <v>8</v>
      </c>
      <c r="DR164" s="0" t="n">
        <v>5</v>
      </c>
      <c r="DS164" s="0" t="n">
        <v>8</v>
      </c>
      <c r="DT164" s="0" t="n">
        <v>6</v>
      </c>
      <c r="DU164" s="0" t="n">
        <f aca="false">IF($A164="","",IF(R164="Y",10,0))</f>
        <v>0</v>
      </c>
      <c r="DV164" s="0" t="n">
        <v>-4</v>
      </c>
      <c r="DW164" s="0" t="s">
        <v>9370</v>
      </c>
      <c r="DX164" s="0" t="s">
        <v>5814</v>
      </c>
      <c r="DY164" s="0" t="s">
        <v>9371</v>
      </c>
      <c r="DZ164" s="0" t="s">
        <v>9372</v>
      </c>
      <c r="EA164" s="0" t="s">
        <v>9373</v>
      </c>
      <c r="EV164" s="0" t="str">
        <f aca="false">IF($A164="","",IF(ISNUMBER(MATCH(U164,{"queued","contacted","replied","call_booked","call_done","yes_in_principle","materials_sent"},0)),"Y","N"))</f>
        <v>N</v>
      </c>
      <c r="EW164" s="0" t="str">
        <f aca="false">IF($A164="","",IF(OR(T164="Y",U164="do_not_contact",AQ164&amp;""&lt;&gt;""),"Y","N"))</f>
        <v>N</v>
      </c>
      <c r="EX164" s="0" t="str">
        <f aca="false">IF($A164="","",IF(AN164&amp;""&lt;&gt;"",AN164&amp;"",$A164))</f>
        <v>AB-012</v>
      </c>
      <c r="EY164" s="0" t="str">
        <f aca="false">IF($A164="","",IF(COUNTIFS($EX$2:$EX$1000,EX164,$EV$2:$EV$1000,"Y")+COUNTIFS($EX$2:$EX$1000,EX164,$EW$2:$EW$1000,"Y")&gt;0,"Y","N"))</f>
        <v>N</v>
      </c>
      <c r="EZ164" s="0" t="str">
        <f aca="false">IF($A164="","",IF(AND(U164="new",T164="N",EW164="N",AR164="Y",EY164="N"),"Y","N"))</f>
        <v>N</v>
      </c>
      <c r="FA164" s="0" t="str">
        <f aca="false">IF($A164="","",IF(EZ164&lt;&gt;"Y","N",IF(COUNTIFS($EX$2:$EX$1000,EX164,$EZ$2:$EZ$1000,"Y",$J$2:$J$1000,"&gt;"&amp;J164)+COUNTIFS($EX$2:$EX$1000,EX164,$EZ$2:$EZ$1000,"Y",$J$2:$J$1000,J164,$FG$2:$FG$1000,"&lt;"&amp;FG164)=0,"Y","N")))</f>
        <v>N</v>
      </c>
      <c r="FB164" s="0" t="str">
        <f aca="false">IF($A164="","",IF(AND(EZ164="Y",FA164="Y",Y164&amp;""&lt;&gt;""),IF(Y164&lt;=10,"Y","N"),"N"))</f>
        <v>N</v>
      </c>
      <c r="FC164" s="0" t="str">
        <f aca="false">IF(FB164="Y",Y164,"")</f>
        <v/>
      </c>
      <c r="FD164" s="0" t="str">
        <f aca="false">IF($A164="","",IF(AND(CK164="pass",AU164="Y",AV164&lt;&gt;"Y",U164="new",EW164="N"),"Y","N"))</f>
        <v>Y</v>
      </c>
      <c r="FE164" s="0" t="str">
        <f aca="false">IF(FD164&lt;&gt;"Y","",IF(COUNTIFS($FD$2:$FD$1000,"Y",$J$2:$J$1000,"&gt;"&amp;J164)+COUNTIFS($FD$2:$FD$1000,"Y",$J$2:$J$1000,J164,$FG$2:$FG$1000,"&lt;"&amp;FG164)+1&lt;=30,COUNTIFS($FD$2:$FD$1000,"Y",$J$2:$J$1000,"&gt;"&amp;J164)+COUNTIFS($FD$2:$FD$1000,"Y",$J$2:$J$1000,J164,$FG$2:$FG$1000,"&lt;"&amp;FG164)+1,""))</f>
        <v/>
      </c>
      <c r="FF164" s="0" t="str">
        <f aca="false">IF(AND(_xlfn.ISFORMULA(C164),_xlfn.ISFORMULA(J164)),"Y","N")</f>
        <v>Y</v>
      </c>
      <c r="FG164" s="0" t="n">
        <f aca="false">ROW()-1</f>
        <v>163</v>
      </c>
    </row>
    <row r="165" customFormat="false" ht="15" hidden="false" customHeight="false" outlineLevel="0" collapsed="false">
      <c r="A165" s="0" t="s">
        <v>9374</v>
      </c>
      <c r="B165" s="0" t="s">
        <v>9375</v>
      </c>
      <c r="C165" s="0" t="str">
        <f aca="false">IF($A165="","",IF(AT165="Y",BL165&amp;"",AY165&amp;""))</f>
        <v>Cody</v>
      </c>
      <c r="D165" s="0" t="str">
        <f aca="false">IF($A165="","",IF(AT165="Y",BM165&amp;"",AZ165&amp;""))</f>
        <v>Allen</v>
      </c>
      <c r="E165" s="0" t="str">
        <f aca="false">IF($A165="","",IF(AT165="Y",BN165&amp;"",BA165&amp;""))</f>
        <v>Co-founder</v>
      </c>
      <c r="F165" s="0" t="str">
        <f aca="false">IF($A165="","",IF(AT165="Y",BO165&amp;"",BB165&amp;""))</f>
        <v/>
      </c>
      <c r="G165" s="0" t="str">
        <f aca="false">IF($A165="","",IF(AT165="Y",BP165&amp;"",BC165&amp;""))</f>
        <v/>
      </c>
      <c r="H165" s="0" t="str">
        <f aca="false">IF($A165="","",IF(AT165="Y",BQ165&amp;"",BD165&amp;""))</f>
        <v>none</v>
      </c>
      <c r="I165" s="0" t="str">
        <f aca="false">IF($A165="","",IF(R165="Y","warm-intro",IF(H165="verified","email",IF(C165&lt;&gt;"","linkedin",CA165&amp;""))))</f>
        <v>linkedin</v>
      </c>
      <c r="J165" s="0" t="n">
        <f aca="false">IF($A165="","",IF(CK165="pass",ROUND(N(DO165)+N(DP165)+N(DQ165)+N(DR165)+N(DS165)+N(DT165)+N(DU165)+N(DV165),0),0))</f>
        <v>31</v>
      </c>
      <c r="K165" s="0" t="str">
        <f aca="false">IF($A165="","",IF(CK165&lt;&gt;"pass",BY165&amp;"",BY165&amp;", "&amp;IF(AT165="Y",BX165&amp;"",BK165&amp;"")&amp;BZ165&amp;IF(R165="Y","; known to the founder (+10)","")&amp;"."))</f>
        <v>Brand based outside the Northeast, no graded store within ten blocks, online store only, news 340 days ago, revenue unknown, contact named; founder review: format.</v>
      </c>
      <c r="M165" s="0" t="s">
        <v>6144</v>
      </c>
      <c r="N165" s="0" t="s">
        <v>740</v>
      </c>
      <c r="O165" s="0" t="s">
        <v>9376</v>
      </c>
      <c r="P165" s="0" t="s">
        <v>9377</v>
      </c>
      <c r="Q165" s="0" t="s">
        <v>9378</v>
      </c>
      <c r="R165" s="5" t="s">
        <v>189</v>
      </c>
      <c r="S165" s="0" t="s">
        <v>209</v>
      </c>
      <c r="T165" s="5" t="s">
        <v>189</v>
      </c>
      <c r="U165" s="5" t="s">
        <v>3896</v>
      </c>
      <c r="V165" s="0" t="s">
        <v>9379</v>
      </c>
      <c r="W165" s="0" t="s">
        <v>263</v>
      </c>
      <c r="X165" s="0" t="s">
        <v>5578</v>
      </c>
      <c r="Y165" s="0" t="str">
        <f aca="false">IF(FA165&lt;&gt;"Y","",COUNTIFS($FA$2:$FA$1000,"Y",$J$2:$J$1000,"&gt;"&amp;J165)+COUNTIFS($FA$2:$FA$1000,"Y",$J$2:$J$1000,J165,$FG$2:$FG$1000,"&lt;"&amp;FG165)+1)</f>
        <v/>
      </c>
      <c r="Z165" s="0" t="n">
        <v>164</v>
      </c>
      <c r="AA165" s="0" t="s">
        <v>189</v>
      </c>
      <c r="AB165" s="0" t="str">
        <f aca="false">IF($A165="","",IF(AT165="Y",BW165&amp;"",BJ165&amp;""))</f>
        <v>find Cody Allen at Joon Pistachios on LinkedIn and paste the profile URL into primary_linkedin_url</v>
      </c>
      <c r="AC165" s="0" t="str">
        <f aca="false">IF($A165="","",IF(AT165="Y",BR165&amp;"",BE165&amp;""))</f>
        <v>founder</v>
      </c>
      <c r="AD165" s="0" t="str">
        <f aca="false">IF($A165="","",IF(AT165="Y",BS165&amp;"",BF165&amp;""))</f>
        <v>verified-page</v>
      </c>
      <c r="AE165" s="0" t="str">
        <f aca="false">IF($A165="","",IF(AT165="Y",BT165&amp;"",BG165&amp;""))</f>
        <v>press, event or podcast page</v>
      </c>
      <c r="AF165" s="0" t="str">
        <f aca="false">IF($A165="","",IF(AT165="Y",BU165&amp;"",BH165&amp;""))</f>
        <v>https://podcast.foodbevy.com/1832151/episodes/18203095-246-1500-doors-on-6-months-joon-pistachio-s-tremendous-growth</v>
      </c>
      <c r="AG165" s="0" t="str">
        <f aca="false">IF($A165="","",IF(AT165="Y",BV165&amp;"",BI165&amp;""))</f>
        <v>2026-10-23</v>
      </c>
      <c r="AH165" s="0" t="s">
        <v>9380</v>
      </c>
      <c r="AI165" s="0" t="s">
        <v>6240</v>
      </c>
      <c r="AJ165" s="0" t="s">
        <v>3538</v>
      </c>
      <c r="AK165" s="0" t="s">
        <v>9381</v>
      </c>
      <c r="AL165" s="0" t="s">
        <v>164</v>
      </c>
      <c r="AM165" s="0" t="s">
        <v>9382</v>
      </c>
      <c r="AN165" s="0" t="s">
        <v>9374</v>
      </c>
      <c r="AO165" s="5" t="s">
        <v>189</v>
      </c>
      <c r="AR165" s="0" t="str">
        <f aca="false">IF($A165="","",IF(AND(CK165="pass",AO165&lt;&gt;"Y",C165&lt;&gt;"",OR(AU165&lt;&gt;"Y",AV165="Y")),"Y","N"))</f>
        <v>N</v>
      </c>
      <c r="AS165" s="0" t="str">
        <f aca="false">IF($A165="","",_xlfn.TEXTJOIN("; ",TRUE(),IF(CK165&lt;&gt;"pass","gated out",""),IF(AO165="Y","on hold: "&amp;AP165,""),IF(C165="","no contact named on an opened page",""),IF(AND(AU165="Y",AV165&lt;&gt;"Y"),"founder review pending (Founder review tab)","")))</f>
        <v>founder review pending (Founder review tab)</v>
      </c>
      <c r="AU165" s="0" t="s">
        <v>164</v>
      </c>
      <c r="AY165" s="0" t="s">
        <v>9383</v>
      </c>
      <c r="AZ165" s="0" t="s">
        <v>9384</v>
      </c>
      <c r="BA165" s="0" t="s">
        <v>5636</v>
      </c>
      <c r="BC165" s="0" t="str">
        <f aca="false">IF($A165="","",IFERROR(INDEX(Enrichment!$A$2:$GZ$2000,MATCH($A165,INDEX(Enrichment!$A$2:$GZ$2000,0,MATCH("row_id",Enrichment!$A$1:$GZ$1,0)),0),MATCH("work_email",Enrichment!$A$1:$GZ$1,0))&amp;"",""))</f>
        <v/>
      </c>
      <c r="BD165" s="0" t="str">
        <f aca="false">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none</v>
      </c>
      <c r="BE165" s="0" t="s">
        <v>5589</v>
      </c>
      <c r="BF165" s="0" t="s">
        <v>169</v>
      </c>
      <c r="BG165" s="0" t="s">
        <v>1252</v>
      </c>
      <c r="BH165" s="0" t="s">
        <v>9377</v>
      </c>
      <c r="BI165" s="0" t="s">
        <v>263</v>
      </c>
      <c r="BJ165" s="0" t="s">
        <v>9385</v>
      </c>
      <c r="BK165" s="0" t="s">
        <v>5643</v>
      </c>
      <c r="BL165" s="0" t="s">
        <v>9386</v>
      </c>
      <c r="BM165" s="0" t="s">
        <v>9387</v>
      </c>
      <c r="BN165" s="0" t="s">
        <v>5636</v>
      </c>
      <c r="BP165" s="0" t="str">
        <f aca="false">IF($A165="","",IFERROR(INDEX(Enrichment!$A$2:$GZ$2000,MATCH($A165,INDEX(Enrichment!$A$2:$GZ$2000,0,MATCH("row_id",Enrichment!$A$1:$GZ$1,0)),0),MATCH("backup_work_email",Enrichment!$A$1:$GZ$1,0))&amp;"",""))</f>
        <v/>
      </c>
      <c r="BQ165" s="0" t="str">
        <f aca="false">IF($A165="","",IF(BP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none</v>
      </c>
      <c r="BR165" s="0" t="s">
        <v>7748</v>
      </c>
      <c r="BS165" s="0" t="s">
        <v>169</v>
      </c>
      <c r="BT165" s="0" t="s">
        <v>1252</v>
      </c>
      <c r="BU165" s="0" t="s">
        <v>9377</v>
      </c>
      <c r="BV165" s="0" t="s">
        <v>263</v>
      </c>
      <c r="BW165" s="0" t="s">
        <v>9388</v>
      </c>
      <c r="BX165" s="0" t="s">
        <v>5643</v>
      </c>
      <c r="BY165" s="0" t="s">
        <v>9389</v>
      </c>
      <c r="BZ165" s="0" t="s">
        <v>5802</v>
      </c>
      <c r="CB165" s="0" t="s">
        <v>9390</v>
      </c>
      <c r="CD165" s="0" t="s">
        <v>2598</v>
      </c>
      <c r="CF165" s="0" t="s">
        <v>9391</v>
      </c>
      <c r="CH165" s="0" t="s">
        <v>2598</v>
      </c>
      <c r="CJ165" s="0" t="s">
        <v>7088</v>
      </c>
      <c r="CK165" s="0" t="s">
        <v>200</v>
      </c>
      <c r="CM165" s="0" t="s">
        <v>201</v>
      </c>
      <c r="CN165" s="0" t="s">
        <v>5808</v>
      </c>
      <c r="CO165" s="0" t="s">
        <v>9381</v>
      </c>
      <c r="CP165" s="0" t="s">
        <v>6550</v>
      </c>
      <c r="CQ165" s="0" t="s">
        <v>6198</v>
      </c>
      <c r="CR165" s="0" t="s">
        <v>209</v>
      </c>
      <c r="CT165" s="0" t="s">
        <v>164</v>
      </c>
      <c r="CU165" s="0" t="s">
        <v>9392</v>
      </c>
      <c r="CV165" s="0" t="s">
        <v>189</v>
      </c>
      <c r="CW165" s="0" t="s">
        <v>164</v>
      </c>
      <c r="CX165" s="0" t="s">
        <v>209</v>
      </c>
      <c r="CZ165" s="0" t="s">
        <v>209</v>
      </c>
      <c r="DA165" s="0" t="s">
        <v>189</v>
      </c>
      <c r="DB165" s="0" t="s">
        <v>189</v>
      </c>
      <c r="DE165" s="0" t="s">
        <v>189</v>
      </c>
      <c r="DF165" s="0" t="n">
        <v>0</v>
      </c>
      <c r="DH165" s="0" t="s">
        <v>7473</v>
      </c>
      <c r="DI165" s="0" t="s">
        <v>7474</v>
      </c>
      <c r="DJ165" s="0" t="s">
        <v>9393</v>
      </c>
      <c r="DK165" s="0" t="s">
        <v>5617</v>
      </c>
      <c r="DL165" s="0" t="n">
        <v>340</v>
      </c>
      <c r="DN165" s="0" t="n">
        <v>31</v>
      </c>
      <c r="DO165" s="0" t="n">
        <v>6</v>
      </c>
      <c r="DP165" s="0" t="n">
        <v>3</v>
      </c>
      <c r="DQ165" s="0" t="n">
        <v>8</v>
      </c>
      <c r="DR165" s="0" t="n">
        <v>5</v>
      </c>
      <c r="DS165" s="0" t="n">
        <v>7</v>
      </c>
      <c r="DT165" s="0" t="n">
        <v>6</v>
      </c>
      <c r="DU165" s="0" t="n">
        <f aca="false">IF($A165="","",IF(R165="Y",10,0))</f>
        <v>0</v>
      </c>
      <c r="DV165" s="0" t="n">
        <v>-4</v>
      </c>
      <c r="DW165" s="0" t="s">
        <v>9394</v>
      </c>
      <c r="DX165" s="0" t="s">
        <v>5814</v>
      </c>
      <c r="DY165" s="0" t="s">
        <v>9395</v>
      </c>
      <c r="DZ165" s="0" t="s">
        <v>9396</v>
      </c>
      <c r="EA165" s="0" t="s">
        <v>9397</v>
      </c>
      <c r="EV165" s="0" t="str">
        <f aca="false">IF($A165="","",IF(ISNUMBER(MATCH(U165,{"queued","contacted","replied","call_booked","call_done","yes_in_principle","materials_sent"},0)),"Y","N"))</f>
        <v>N</v>
      </c>
      <c r="EW165" s="0" t="str">
        <f aca="false">IF($A165="","",IF(OR(T165="Y",U165="do_not_contact",AQ165&amp;""&lt;&gt;""),"Y","N"))</f>
        <v>N</v>
      </c>
      <c r="EX165" s="0" t="str">
        <f aca="false">IF($A165="","",IF(AN165&amp;""&lt;&gt;"",AN165&amp;"",$A165))</f>
        <v>AB-019</v>
      </c>
      <c r="EY165" s="0" t="str">
        <f aca="false">IF($A165="","",IF(COUNTIFS($EX$2:$EX$1000,EX165,$EV$2:$EV$1000,"Y")+COUNTIFS($EX$2:$EX$1000,EX165,$EW$2:$EW$1000,"Y")&gt;0,"Y","N"))</f>
        <v>N</v>
      </c>
      <c r="EZ165" s="0" t="str">
        <f aca="false">IF($A165="","",IF(AND(U165="new",T165="N",EW165="N",AR165="Y",EY165="N"),"Y","N"))</f>
        <v>N</v>
      </c>
      <c r="FA165" s="0" t="str">
        <f aca="false">IF($A165="","",IF(EZ165&lt;&gt;"Y","N",IF(COUNTIFS($EX$2:$EX$1000,EX165,$EZ$2:$EZ$1000,"Y",$J$2:$J$1000,"&gt;"&amp;J165)+COUNTIFS($EX$2:$EX$1000,EX165,$EZ$2:$EZ$1000,"Y",$J$2:$J$1000,J165,$FG$2:$FG$1000,"&lt;"&amp;FG165)=0,"Y","N")))</f>
        <v>N</v>
      </c>
      <c r="FB165" s="0" t="str">
        <f aca="false">IF($A165="","",IF(AND(EZ165="Y",FA165="Y",Y165&amp;""&lt;&gt;""),IF(Y165&lt;=10,"Y","N"),"N"))</f>
        <v>N</v>
      </c>
      <c r="FC165" s="0" t="str">
        <f aca="false">IF(FB165="Y",Y165,"")</f>
        <v/>
      </c>
      <c r="FD165" s="0" t="str">
        <f aca="false">IF($A165="","",IF(AND(CK165="pass",AU165="Y",AV165&lt;&gt;"Y",U165="new",EW165="N"),"Y","N"))</f>
        <v>Y</v>
      </c>
      <c r="FE165" s="0" t="str">
        <f aca="false">IF(FD165&lt;&gt;"Y","",IF(COUNTIFS($FD$2:$FD$1000,"Y",$J$2:$J$1000,"&gt;"&amp;J165)+COUNTIFS($FD$2:$FD$1000,"Y",$J$2:$J$1000,J165,$FG$2:$FG$1000,"&lt;"&amp;FG165)+1&lt;=30,COUNTIFS($FD$2:$FD$1000,"Y",$J$2:$J$1000,"&gt;"&amp;J165)+COUNTIFS($FD$2:$FD$1000,"Y",$J$2:$J$1000,J165,$FG$2:$FG$1000,"&lt;"&amp;FG165)+1,""))</f>
        <v/>
      </c>
      <c r="FF165" s="0" t="str">
        <f aca="false">IF(AND(_xlfn.ISFORMULA(C165),_xlfn.ISFORMULA(J165)),"Y","N")</f>
        <v>Y</v>
      </c>
      <c r="FG165" s="0" t="n">
        <f aca="false">ROW()-1</f>
        <v>164</v>
      </c>
    </row>
    <row r="166" customFormat="false" ht="15" hidden="false" customHeight="false" outlineLevel="0" collapsed="false">
      <c r="A166" s="0" t="s">
        <v>9398</v>
      </c>
      <c r="B166" s="0" t="s">
        <v>9399</v>
      </c>
      <c r="C166" s="0" t="str">
        <f aca="false">IF($A166="","",IF(AT166="Y",BL166&amp;"",AY166&amp;""))</f>
        <v/>
      </c>
      <c r="D166" s="0" t="str">
        <f aca="false">IF($A166="","",IF(AT166="Y",BM166&amp;"",AZ166&amp;""))</f>
        <v/>
      </c>
      <c r="E166" s="0" t="str">
        <f aca="false">IF($A166="","",IF(AT166="Y",BN166&amp;"",BA166&amp;""))</f>
        <v/>
      </c>
      <c r="F166" s="0" t="str">
        <f aca="false">IF($A166="","",IF(AT166="Y",BO166&amp;"",BB166&amp;""))</f>
        <v/>
      </c>
      <c r="G166" s="0" t="str">
        <f aca="false">IF($A166="","",IF(AT166="Y",BP166&amp;"",BC166&amp;""))</f>
        <v/>
      </c>
      <c r="H166" s="0" t="str">
        <f aca="false">IF($A166="","",IF(AT166="Y",BQ166&amp;"",BD166&amp;""))</f>
        <v>none</v>
      </c>
      <c r="I166" s="0" t="str">
        <f aca="false">IF($A166="","",IF(R166="Y","warm-intro",IF(H166="verified","email",IF(C166&lt;&gt;"","linkedin",CA166&amp;""))))</f>
        <v/>
      </c>
      <c r="J166" s="0" t="n">
        <f aca="false">IF($A166="","",IF(CK166="pass",ROUND(N(DO166)+N(DP166)+N(DQ166)+N(DR166)+N(DS166)+N(DT166)+N(DU166)+N(DV166),0),0))</f>
        <v>31</v>
      </c>
      <c r="K166" s="0" t="str">
        <f aca="false">IF($A166="","",IF(CK166&lt;&gt;"pass",BY166&amp;"",BY166&amp;", "&amp;IF(AT166="Y",BX166&amp;"",BK166&amp;"")&amp;BZ166&amp;IF(R166="Y","; known to the founder (+10)","")&amp;"."))</f>
        <v>Northeast brand, store page shows Whole Foods Market NoMad inside the cluster, a new store listing 159 days ago, revenue unknown, no contact named; founder review: owner.</v>
      </c>
      <c r="M166" s="0" t="s">
        <v>5572</v>
      </c>
      <c r="N166" s="0" t="s">
        <v>5573</v>
      </c>
      <c r="O166" s="0" t="s">
        <v>9400</v>
      </c>
      <c r="P166" s="0" t="s">
        <v>9401</v>
      </c>
      <c r="Q166" s="0" t="s">
        <v>1845</v>
      </c>
      <c r="R166" s="5" t="s">
        <v>189</v>
      </c>
      <c r="S166" s="0" t="s">
        <v>209</v>
      </c>
      <c r="T166" s="5" t="s">
        <v>189</v>
      </c>
      <c r="U166" s="5" t="s">
        <v>3896</v>
      </c>
      <c r="V166" s="0" t="s">
        <v>9402</v>
      </c>
      <c r="W166" s="0" t="s">
        <v>263</v>
      </c>
      <c r="X166" s="0" t="s">
        <v>5578</v>
      </c>
      <c r="Y166" s="0" t="str">
        <f aca="false">IF(FA166&lt;&gt;"Y","",COUNTIFS($FA$2:$FA$1000,"Y",$J$2:$J$1000,"&gt;"&amp;J166)+COUNTIFS($FA$2:$FA$1000,"Y",$J$2:$J$1000,J166,$FG$2:$FG$1000,"&lt;"&amp;FG166)+1)</f>
        <v/>
      </c>
      <c r="Z166" s="0" t="n">
        <v>165</v>
      </c>
      <c r="AA166" s="0" t="s">
        <v>189</v>
      </c>
      <c r="AB166" s="0" t="str">
        <f aca="false">IF($A166="","",IF(AT166="Y",BW166&amp;"",BJ166&amp;""))</f>
        <v>no person named on an opened page: not ready; use the Whole Foods Market NoMad line only if retailer_checked_date is this week's Friday check</v>
      </c>
      <c r="AC166" s="0" t="str">
        <f aca="false">IF($A166="","",IF(AT166="Y",BR166&amp;"",BE166&amp;""))</f>
        <v/>
      </c>
      <c r="AD166" s="0" t="str">
        <f aca="false">IF($A166="","",IF(AT166="Y",BS166&amp;"",BF166&amp;""))</f>
        <v>none</v>
      </c>
      <c r="AE166" s="0" t="str">
        <f aca="false">IF($A166="","",IF(AT166="Y",BT166&amp;"",BG166&amp;""))</f>
        <v/>
      </c>
      <c r="AF166" s="0" t="str">
        <f aca="false">IF($A166="","",IF(AT166="Y",BU166&amp;"",BH166&amp;""))</f>
        <v/>
      </c>
      <c r="AG166" s="0" t="str">
        <f aca="false">IF($A166="","",IF(AT166="Y",BV166&amp;"",BI166&amp;""))</f>
        <v/>
      </c>
      <c r="AH166" s="0" t="s">
        <v>9403</v>
      </c>
      <c r="AI166" s="0" t="s">
        <v>6306</v>
      </c>
      <c r="AJ166" s="0" t="s">
        <v>9404</v>
      </c>
      <c r="AK166" s="0" t="s">
        <v>9402</v>
      </c>
      <c r="AL166" s="0" t="s">
        <v>164</v>
      </c>
      <c r="AM166" s="0" t="s">
        <v>9405</v>
      </c>
      <c r="AN166" s="0" t="s">
        <v>9398</v>
      </c>
      <c r="AO166" s="5" t="s">
        <v>189</v>
      </c>
      <c r="AR166" s="0" t="str">
        <f aca="false">IF($A166="","",IF(AND(CK166="pass",AO166&lt;&gt;"Y",C166&lt;&gt;"",OR(AU166&lt;&gt;"Y",AV166="Y")),"Y","N"))</f>
        <v>N</v>
      </c>
      <c r="AS166" s="0" t="str">
        <f aca="false">IF($A166="","",_xlfn.TEXTJOIN("; ",TRUE(),IF(CK166&lt;&gt;"pass","gated out",""),IF(AO166="Y","on hold: "&amp;AP166,""),IF(C166="","no contact named on an opened page",""),IF(AND(AU166="Y",AV166&lt;&gt;"Y"),"founder review pending (Founder review tab)","")))</f>
        <v>no contact named on an opened page; founder review pending (Founder review tab)</v>
      </c>
      <c r="AU166" s="0" t="s">
        <v>164</v>
      </c>
      <c r="AX166" s="0" t="s">
        <v>9406</v>
      </c>
      <c r="BC166" s="0" t="str">
        <f aca="false">IF($A166="","",IFERROR(INDEX(Enrichment!$A$2:$GZ$2000,MATCH($A166,INDEX(Enrichment!$A$2:$GZ$2000,0,MATCH("row_id",Enrichment!$A$1:$GZ$1,0)),0),MATCH("work_email",Enrichment!$A$1:$GZ$1,0))&amp;"",""))</f>
        <v/>
      </c>
      <c r="BD166" s="0" t="str">
        <f aca="false">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none</v>
      </c>
      <c r="BF166" s="0" t="s">
        <v>380</v>
      </c>
      <c r="BJ166" s="0" t="s">
        <v>6047</v>
      </c>
      <c r="BK166" s="0" t="s">
        <v>6048</v>
      </c>
      <c r="BP166" s="0" t="str">
        <f aca="false">IF($A166="","",IFERROR(INDEX(Enrichment!$A$2:$GZ$2000,MATCH($A166,INDEX(Enrichment!$A$2:$GZ$2000,0,MATCH("row_id",Enrichment!$A$1:$GZ$1,0)),0),MATCH("backup_work_email",Enrichment!$A$1:$GZ$1,0))&amp;"",""))</f>
        <v/>
      </c>
      <c r="BQ166" s="0" t="str">
        <f aca="false">IF($A166="","",IF(BP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none</v>
      </c>
      <c r="BS166" s="0" t="s">
        <v>380</v>
      </c>
      <c r="BW166" s="0" t="s">
        <v>5741</v>
      </c>
      <c r="BX166" s="0" t="s">
        <v>388</v>
      </c>
      <c r="BY166" s="0" t="s">
        <v>9407</v>
      </c>
      <c r="BZ166" s="0" t="s">
        <v>8897</v>
      </c>
      <c r="CJ166" s="0" t="s">
        <v>7088</v>
      </c>
      <c r="CK166" s="0" t="s">
        <v>200</v>
      </c>
      <c r="CM166" s="0" t="s">
        <v>201</v>
      </c>
      <c r="CN166" s="0" t="s">
        <v>8900</v>
      </c>
      <c r="CO166" s="0" t="s">
        <v>9408</v>
      </c>
      <c r="CP166" s="0" t="s">
        <v>6828</v>
      </c>
      <c r="CQ166" s="0" t="s">
        <v>6084</v>
      </c>
      <c r="CR166" s="0" t="s">
        <v>209</v>
      </c>
      <c r="CT166" s="0" t="s">
        <v>164</v>
      </c>
      <c r="CU166" s="0" t="s">
        <v>9409</v>
      </c>
      <c r="CV166" s="0" t="s">
        <v>164</v>
      </c>
      <c r="CW166" s="0" t="s">
        <v>164</v>
      </c>
      <c r="CX166" s="0" t="s">
        <v>209</v>
      </c>
      <c r="CZ166" s="0" t="s">
        <v>209</v>
      </c>
      <c r="DA166" s="0" t="s">
        <v>189</v>
      </c>
      <c r="DB166" s="0" t="s">
        <v>189</v>
      </c>
      <c r="DD166" s="0" t="n">
        <v>0</v>
      </c>
      <c r="DE166" s="0" t="s">
        <v>164</v>
      </c>
      <c r="DF166" s="0" t="n">
        <v>3</v>
      </c>
      <c r="DG166" s="0" t="s">
        <v>5686</v>
      </c>
      <c r="DI166" s="0" t="s">
        <v>8326</v>
      </c>
      <c r="DJ166" s="0" t="s">
        <v>9410</v>
      </c>
      <c r="DK166" s="0" t="s">
        <v>5689</v>
      </c>
      <c r="DL166" s="0" t="n">
        <v>159</v>
      </c>
      <c r="DN166" s="0" t="n">
        <v>31</v>
      </c>
      <c r="DO166" s="0" t="n">
        <v>25</v>
      </c>
      <c r="DP166" s="0" t="n">
        <v>8</v>
      </c>
      <c r="DQ166" s="0" t="n">
        <v>8</v>
      </c>
      <c r="DR166" s="0" t="n">
        <v>5</v>
      </c>
      <c r="DS166" s="0" t="n">
        <v>10</v>
      </c>
      <c r="DT166" s="0" t="n">
        <v>0</v>
      </c>
      <c r="DU166" s="0" t="n">
        <f aca="false">IF($A166="","",IF(R166="Y",10,0))</f>
        <v>0</v>
      </c>
      <c r="DV166" s="0" t="n">
        <v>-25</v>
      </c>
      <c r="DW166" s="0" t="s">
        <v>209</v>
      </c>
      <c r="DX166" s="0" t="s">
        <v>5814</v>
      </c>
      <c r="DY166" s="0" t="s">
        <v>9411</v>
      </c>
      <c r="DZ166" s="0" t="s">
        <v>9412</v>
      </c>
      <c r="EA166" s="0" t="s">
        <v>9413</v>
      </c>
      <c r="EV166" s="0" t="str">
        <f aca="false">IF($A166="","",IF(ISNUMBER(MATCH(U166,{"queued","contacted","replied","call_booked","call_done","yes_in_principle","materials_sent"},0)),"Y","N"))</f>
        <v>N</v>
      </c>
      <c r="EW166" s="0" t="str">
        <f aca="false">IF($A166="","",IF(OR(T166="Y",U166="do_not_contact",AQ166&amp;""&lt;&gt;""),"Y","N"))</f>
        <v>N</v>
      </c>
      <c r="EX166" s="0" t="str">
        <f aca="false">IF($A166="","",IF(AN166&amp;""&lt;&gt;"",AN166&amp;"",$A166))</f>
        <v>AB-029</v>
      </c>
      <c r="EY166" s="0" t="str">
        <f aca="false">IF($A166="","",IF(COUNTIFS($EX$2:$EX$1000,EX166,$EV$2:$EV$1000,"Y")+COUNTIFS($EX$2:$EX$1000,EX166,$EW$2:$EW$1000,"Y")&gt;0,"Y","N"))</f>
        <v>N</v>
      </c>
      <c r="EZ166" s="0" t="str">
        <f aca="false">IF($A166="","",IF(AND(U166="new",T166="N",EW166="N",AR166="Y",EY166="N"),"Y","N"))</f>
        <v>N</v>
      </c>
      <c r="FA166" s="0" t="str">
        <f aca="false">IF($A166="","",IF(EZ166&lt;&gt;"Y","N",IF(COUNTIFS($EX$2:$EX$1000,EX166,$EZ$2:$EZ$1000,"Y",$J$2:$J$1000,"&gt;"&amp;J166)+COUNTIFS($EX$2:$EX$1000,EX166,$EZ$2:$EZ$1000,"Y",$J$2:$J$1000,J166,$FG$2:$FG$1000,"&lt;"&amp;FG166)=0,"Y","N")))</f>
        <v>N</v>
      </c>
      <c r="FB166" s="0" t="str">
        <f aca="false">IF($A166="","",IF(AND(EZ166="Y",FA166="Y",Y166&amp;""&lt;&gt;""),IF(Y166&lt;=10,"Y","N"),"N"))</f>
        <v>N</v>
      </c>
      <c r="FC166" s="0" t="str">
        <f aca="false">IF(FB166="Y",Y166,"")</f>
        <v/>
      </c>
      <c r="FD166" s="0" t="str">
        <f aca="false">IF($A166="","",IF(AND(CK166="pass",AU166="Y",AV166&lt;&gt;"Y",U166="new",EW166="N"),"Y","N"))</f>
        <v>Y</v>
      </c>
      <c r="FE166" s="0" t="str">
        <f aca="false">IF(FD166&lt;&gt;"Y","",IF(COUNTIFS($FD$2:$FD$1000,"Y",$J$2:$J$1000,"&gt;"&amp;J166)+COUNTIFS($FD$2:$FD$1000,"Y",$J$2:$J$1000,J166,$FG$2:$FG$1000,"&lt;"&amp;FG166)+1&lt;=30,COUNTIFS($FD$2:$FD$1000,"Y",$J$2:$J$1000,"&gt;"&amp;J166)+COUNTIFS($FD$2:$FD$1000,"Y",$J$2:$J$1000,J166,$FG$2:$FG$1000,"&lt;"&amp;FG166)+1,""))</f>
        <v/>
      </c>
      <c r="FF166" s="0" t="str">
        <f aca="false">IF(AND(_xlfn.ISFORMULA(C166),_xlfn.ISFORMULA(J166)),"Y","N")</f>
        <v>Y</v>
      </c>
      <c r="FG166" s="0" t="n">
        <f aca="false">ROW()-1</f>
        <v>165</v>
      </c>
    </row>
    <row r="167" customFormat="false" ht="15" hidden="false" customHeight="false" outlineLevel="0" collapsed="false">
      <c r="A167" s="0" t="s">
        <v>9414</v>
      </c>
      <c r="B167" s="0" t="s">
        <v>9415</v>
      </c>
      <c r="C167" s="0" t="str">
        <f aca="false">IF($A167="","",IF(AT167="Y",BL167&amp;"",AY167&amp;""))</f>
        <v/>
      </c>
      <c r="D167" s="0" t="str">
        <f aca="false">IF($A167="","",IF(AT167="Y",BM167&amp;"",AZ167&amp;""))</f>
        <v/>
      </c>
      <c r="E167" s="0" t="str">
        <f aca="false">IF($A167="","",IF(AT167="Y",BN167&amp;"",BA167&amp;""))</f>
        <v/>
      </c>
      <c r="F167" s="0" t="str">
        <f aca="false">IF($A167="","",IF(AT167="Y",BO167&amp;"",BB167&amp;""))</f>
        <v/>
      </c>
      <c r="G167" s="0" t="str">
        <f aca="false">IF($A167="","",IF(AT167="Y",BP167&amp;"",BC167&amp;""))</f>
        <v/>
      </c>
      <c r="H167" s="0" t="str">
        <f aca="false">IF($A167="","",IF(AT167="Y",BQ167&amp;"",BD167&amp;""))</f>
        <v>none</v>
      </c>
      <c r="I167" s="0" t="str">
        <f aca="false">IF($A167="","",IF(R167="Y","warm-intro",IF(H167="verified","email",IF(C167&lt;&gt;"","linkedin",CA167&amp;""))))</f>
        <v/>
      </c>
      <c r="J167" s="0" t="n">
        <f aca="false">IF($A167="","",IF(CK167="pass",ROUND(N(DO167)+N(DP167)+N(DQ167)+N(DR167)+N(DS167)+N(DT167)+N(DU167)+N(DV167),0),0))</f>
        <v>31</v>
      </c>
      <c r="K167" s="0" t="str">
        <f aca="false">IF($A167="","",IF(CK167&lt;&gt;"pass",BY167&amp;"",BY167&amp;", "&amp;IF(AT167="Y",BX167&amp;"",BK167&amp;"")&amp;BZ167&amp;IF(R167="Y","; known to the founder (+10)","")&amp;"."))</f>
        <v>Northeast brand, no graded store within ten blocks, online store only, a new store listing 20 days ago, revenue unknown, no contact named; founder review: format.</v>
      </c>
      <c r="M167" s="0" t="s">
        <v>6144</v>
      </c>
      <c r="N167" s="0" t="s">
        <v>740</v>
      </c>
      <c r="O167" s="0" t="s">
        <v>9416</v>
      </c>
      <c r="P167" s="0" t="s">
        <v>9417</v>
      </c>
      <c r="Q167" s="0" t="s">
        <v>8040</v>
      </c>
      <c r="R167" s="5" t="s">
        <v>189</v>
      </c>
      <c r="S167" s="0" t="s">
        <v>209</v>
      </c>
      <c r="T167" s="5" t="s">
        <v>189</v>
      </c>
      <c r="U167" s="5" t="s">
        <v>3896</v>
      </c>
      <c r="V167" s="0" t="s">
        <v>9418</v>
      </c>
      <c r="W167" s="0" t="s">
        <v>172</v>
      </c>
      <c r="X167" s="0" t="s">
        <v>5578</v>
      </c>
      <c r="Y167" s="0" t="str">
        <f aca="false">IF(FA167&lt;&gt;"Y","",COUNTIFS($FA$2:$FA$1000,"Y",$J$2:$J$1000,"&gt;"&amp;J167)+COUNTIFS($FA$2:$FA$1000,"Y",$J$2:$J$1000,J167,$FG$2:$FG$1000,"&lt;"&amp;FG167)+1)</f>
        <v/>
      </c>
      <c r="Z167" s="0" t="n">
        <v>166</v>
      </c>
      <c r="AA167" s="0" t="s">
        <v>189</v>
      </c>
      <c r="AB167" s="0" t="str">
        <f aca="false">IF($A167="","",IF(AT167="Y",BW167&amp;"",BJ167&amp;""))</f>
        <v>no person named on an opened page: not ready</v>
      </c>
      <c r="AC167" s="0" t="str">
        <f aca="false">IF($A167="","",IF(AT167="Y",BR167&amp;"",BE167&amp;""))</f>
        <v/>
      </c>
      <c r="AD167" s="0" t="str">
        <f aca="false">IF($A167="","",IF(AT167="Y",BS167&amp;"",BF167&amp;""))</f>
        <v>none</v>
      </c>
      <c r="AE167" s="0" t="str">
        <f aca="false">IF($A167="","",IF(AT167="Y",BT167&amp;"",BG167&amp;""))</f>
        <v/>
      </c>
      <c r="AF167" s="0" t="str">
        <f aca="false">IF($A167="","",IF(AT167="Y",BU167&amp;"",BH167&amp;""))</f>
        <v/>
      </c>
      <c r="AG167" s="0" t="str">
        <f aca="false">IF($A167="","",IF(AT167="Y",BV167&amp;"",BI167&amp;""))</f>
        <v/>
      </c>
      <c r="AH167" s="0" t="s">
        <v>9419</v>
      </c>
      <c r="AI167" s="0" t="s">
        <v>5702</v>
      </c>
      <c r="AJ167" s="0" t="s">
        <v>9420</v>
      </c>
      <c r="AK167" s="0" t="s">
        <v>9421</v>
      </c>
      <c r="AL167" s="0" t="s">
        <v>164</v>
      </c>
      <c r="AM167" s="0" t="s">
        <v>9422</v>
      </c>
      <c r="AN167" s="0" t="s">
        <v>9414</v>
      </c>
      <c r="AO167" s="5" t="s">
        <v>189</v>
      </c>
      <c r="AR167" s="0" t="str">
        <f aca="false">IF($A167="","",IF(AND(CK167="pass",AO167&lt;&gt;"Y",C167&lt;&gt;"",OR(AU167&lt;&gt;"Y",AV167="Y")),"Y","N"))</f>
        <v>N</v>
      </c>
      <c r="AS167" s="0" t="str">
        <f aca="false">IF($A167="","",_xlfn.TEXTJOIN("; ",TRUE(),IF(CK167&lt;&gt;"pass","gated out",""),IF(AO167="Y","on hold: "&amp;AP167,""),IF(C167="","no contact named on an opened page",""),IF(AND(AU167="Y",AV167&lt;&gt;"Y"),"founder review pending (Founder review tab)","")))</f>
        <v>no contact named on an opened page; founder review pending (Founder review tab)</v>
      </c>
      <c r="AU167" s="0" t="s">
        <v>164</v>
      </c>
      <c r="BC167" s="0" t="str">
        <f aca="false">IF($A167="","",IFERROR(INDEX(Enrichment!$A$2:$GZ$2000,MATCH($A167,INDEX(Enrichment!$A$2:$GZ$2000,0,MATCH("row_id",Enrichment!$A$1:$GZ$1,0)),0),MATCH("work_email",Enrichment!$A$1:$GZ$1,0))&amp;"",""))</f>
        <v/>
      </c>
      <c r="BD167" s="0" t="str">
        <f aca="false">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none</v>
      </c>
      <c r="BF167" s="0" t="s">
        <v>380</v>
      </c>
      <c r="BJ167" s="0" t="s">
        <v>7105</v>
      </c>
      <c r="BK167" s="0" t="s">
        <v>6048</v>
      </c>
      <c r="BP167" s="0" t="str">
        <f aca="false">IF($A167="","",IFERROR(INDEX(Enrichment!$A$2:$GZ$2000,MATCH($A167,INDEX(Enrichment!$A$2:$GZ$2000,0,MATCH("row_id",Enrichment!$A$1:$GZ$1,0)),0),MATCH("backup_work_email",Enrichment!$A$1:$GZ$1,0))&amp;"",""))</f>
        <v/>
      </c>
      <c r="BQ167" s="0" t="str">
        <f aca="false">IF($A167="","",IF(BP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none</v>
      </c>
      <c r="BS167" s="0" t="s">
        <v>380</v>
      </c>
      <c r="BW167" s="0" t="s">
        <v>387</v>
      </c>
      <c r="BX167" s="0" t="s">
        <v>388</v>
      </c>
      <c r="BY167" s="0" t="s">
        <v>9423</v>
      </c>
      <c r="BZ167" s="0" t="s">
        <v>5802</v>
      </c>
      <c r="CJ167" s="0" t="s">
        <v>7088</v>
      </c>
      <c r="CK167" s="0" t="s">
        <v>200</v>
      </c>
      <c r="CM167" s="0" t="s">
        <v>201</v>
      </c>
      <c r="CN167" s="0" t="s">
        <v>5808</v>
      </c>
      <c r="CO167" s="0" t="s">
        <v>9421</v>
      </c>
      <c r="CP167" s="0" t="s">
        <v>6083</v>
      </c>
      <c r="CQ167" s="0" t="s">
        <v>6084</v>
      </c>
      <c r="CR167" s="0" t="s">
        <v>209</v>
      </c>
      <c r="CT167" s="0" t="s">
        <v>164</v>
      </c>
      <c r="CU167" s="0" t="s">
        <v>9424</v>
      </c>
      <c r="CV167" s="0" t="s">
        <v>209</v>
      </c>
      <c r="CW167" s="0" t="s">
        <v>164</v>
      </c>
      <c r="CX167" s="0" t="s">
        <v>209</v>
      </c>
      <c r="CZ167" s="0" t="s">
        <v>5993</v>
      </c>
      <c r="DA167" s="0" t="s">
        <v>189</v>
      </c>
      <c r="DB167" s="0" t="s">
        <v>189</v>
      </c>
      <c r="DE167" s="0" t="s">
        <v>189</v>
      </c>
      <c r="DF167" s="0" t="n">
        <v>0</v>
      </c>
      <c r="DI167" s="0" t="s">
        <v>9425</v>
      </c>
      <c r="DK167" s="0" t="s">
        <v>5689</v>
      </c>
      <c r="DL167" s="0" t="n">
        <v>20</v>
      </c>
      <c r="DN167" s="0" t="n">
        <v>31</v>
      </c>
      <c r="DO167" s="0" t="n">
        <v>6</v>
      </c>
      <c r="DP167" s="0" t="n">
        <v>8</v>
      </c>
      <c r="DQ167" s="0" t="n">
        <v>8</v>
      </c>
      <c r="DR167" s="0" t="n">
        <v>5</v>
      </c>
      <c r="DS167" s="0" t="n">
        <v>8</v>
      </c>
      <c r="DT167" s="0" t="n">
        <v>0</v>
      </c>
      <c r="DU167" s="0" t="n">
        <f aca="false">IF($A167="","",IF(R167="Y",10,0))</f>
        <v>0</v>
      </c>
      <c r="DV167" s="0" t="n">
        <v>-4</v>
      </c>
      <c r="DX167" s="0" t="s">
        <v>5998</v>
      </c>
      <c r="DY167" s="0" t="s">
        <v>9426</v>
      </c>
      <c r="DZ167" s="0" t="s">
        <v>9427</v>
      </c>
      <c r="EV167" s="0" t="str">
        <f aca="false">IF($A167="","",IF(ISNUMBER(MATCH(U167,{"queued","contacted","replied","call_booked","call_done","yes_in_principle","materials_sent"},0)),"Y","N"))</f>
        <v>N</v>
      </c>
      <c r="EW167" s="0" t="str">
        <f aca="false">IF($A167="","",IF(OR(T167="Y",U167="do_not_contact",AQ167&amp;""&lt;&gt;""),"Y","N"))</f>
        <v>N</v>
      </c>
      <c r="EX167" s="0" t="str">
        <f aca="false">IF($A167="","",IF(AN167&amp;""&lt;&gt;"",AN167&amp;"",$A167))</f>
        <v>AB-296</v>
      </c>
      <c r="EY167" s="0" t="str">
        <f aca="false">IF($A167="","",IF(COUNTIFS($EX$2:$EX$1000,EX167,$EV$2:$EV$1000,"Y")+COUNTIFS($EX$2:$EX$1000,EX167,$EW$2:$EW$1000,"Y")&gt;0,"Y","N"))</f>
        <v>N</v>
      </c>
      <c r="EZ167" s="0" t="str">
        <f aca="false">IF($A167="","",IF(AND(U167="new",T167="N",EW167="N",AR167="Y",EY167="N"),"Y","N"))</f>
        <v>N</v>
      </c>
      <c r="FA167" s="0" t="str">
        <f aca="false">IF($A167="","",IF(EZ167&lt;&gt;"Y","N",IF(COUNTIFS($EX$2:$EX$1000,EX167,$EZ$2:$EZ$1000,"Y",$J$2:$J$1000,"&gt;"&amp;J167)+COUNTIFS($EX$2:$EX$1000,EX167,$EZ$2:$EZ$1000,"Y",$J$2:$J$1000,J167,$FG$2:$FG$1000,"&lt;"&amp;FG167)=0,"Y","N")))</f>
        <v>N</v>
      </c>
      <c r="FB167" s="0" t="str">
        <f aca="false">IF($A167="","",IF(AND(EZ167="Y",FA167="Y",Y167&amp;""&lt;&gt;""),IF(Y167&lt;=10,"Y","N"),"N"))</f>
        <v>N</v>
      </c>
      <c r="FC167" s="0" t="str">
        <f aca="false">IF(FB167="Y",Y167,"")</f>
        <v/>
      </c>
      <c r="FD167" s="0" t="str">
        <f aca="false">IF($A167="","",IF(AND(CK167="pass",AU167="Y",AV167&lt;&gt;"Y",U167="new",EW167="N"),"Y","N"))</f>
        <v>Y</v>
      </c>
      <c r="FE167" s="0" t="str">
        <f aca="false">IF(FD167&lt;&gt;"Y","",IF(COUNTIFS($FD$2:$FD$1000,"Y",$J$2:$J$1000,"&gt;"&amp;J167)+COUNTIFS($FD$2:$FD$1000,"Y",$J$2:$J$1000,J167,$FG$2:$FG$1000,"&lt;"&amp;FG167)+1&lt;=30,COUNTIFS($FD$2:$FD$1000,"Y",$J$2:$J$1000,"&gt;"&amp;J167)+COUNTIFS($FD$2:$FD$1000,"Y",$J$2:$J$1000,J167,$FG$2:$FG$1000,"&lt;"&amp;FG167)+1,""))</f>
        <v/>
      </c>
      <c r="FF167" s="0" t="str">
        <f aca="false">IF(AND(_xlfn.ISFORMULA(C167),_xlfn.ISFORMULA(J167)),"Y","N")</f>
        <v>Y</v>
      </c>
      <c r="FG167" s="0" t="n">
        <f aca="false">ROW()-1</f>
        <v>166</v>
      </c>
    </row>
    <row r="168" customFormat="false" ht="15" hidden="false" customHeight="false" outlineLevel="0" collapsed="false">
      <c r="A168" s="0" t="s">
        <v>9428</v>
      </c>
      <c r="B168" s="0" t="s">
        <v>9429</v>
      </c>
      <c r="C168" s="0" t="str">
        <f aca="false">IF($A168="","",IF(AT168="Y",BL168&amp;"",AY168&amp;""))</f>
        <v>Jean</v>
      </c>
      <c r="D168" s="0" t="str">
        <f aca="false">IF($A168="","",IF(AT168="Y",BM168&amp;"",AZ168&amp;""))</f>
        <v>Thompson</v>
      </c>
      <c r="E168" s="0" t="str">
        <f aca="false">IF($A168="","",IF(AT168="Y",BN168&amp;"",BA168&amp;""))</f>
        <v>Founder and CEO</v>
      </c>
      <c r="F168" s="0" t="str">
        <f aca="false">IF($A168="","",IF(AT168="Y",BO168&amp;"",BB168&amp;""))</f>
        <v/>
      </c>
      <c r="G168" s="0" t="str">
        <f aca="false">IF($A168="","",IF(AT168="Y",BP168&amp;"",BC168&amp;""))</f>
        <v/>
      </c>
      <c r="H168" s="0" t="str">
        <f aca="false">IF($A168="","",IF(AT168="Y",BQ168&amp;"",BD168&amp;""))</f>
        <v>none</v>
      </c>
      <c r="I168" s="0" t="str">
        <f aca="false">IF($A168="","",IF(R168="Y","warm-intro",IF(H168="verified","email",IF(C168&lt;&gt;"","linkedin",CA168&amp;""))))</f>
        <v>linkedin</v>
      </c>
      <c r="J168" s="0" t="n">
        <f aca="false">IF($A168="","",IF(CK168="pass",ROUND(N(DO168)+N(DP168)+N(DQ168)+N(DR168)+N(DS168)+N(DT168)+N(DU168)+N(DV168),0),0))</f>
        <v>30</v>
      </c>
      <c r="K168" s="0" t="str">
        <f aca="false">IF($A168="","",IF(CK168&lt;&gt;"pass",BY168&amp;"",BY168&amp;", "&amp;IF(AT168="Y",BX168&amp;"",BK168&amp;"")&amp;BZ168&amp;IF(R168="Y","; known to the founder (+10)","")&amp;"."))</f>
        <v>Brand based outside the Northeast, store page shows Whole Foods Market NoMad inside the cluster, a new store listing 39 days ago, revenue unknown, contact named; founder review: owner.</v>
      </c>
      <c r="M168" s="0" t="s">
        <v>5572</v>
      </c>
      <c r="N168" s="0" t="s">
        <v>5573</v>
      </c>
      <c r="O168" s="0" t="s">
        <v>9430</v>
      </c>
      <c r="P168" s="0" t="s">
        <v>9431</v>
      </c>
      <c r="Q168" s="0" t="s">
        <v>9432</v>
      </c>
      <c r="R168" s="5" t="s">
        <v>189</v>
      </c>
      <c r="S168" s="0" t="s">
        <v>209</v>
      </c>
      <c r="T168" s="5" t="s">
        <v>189</v>
      </c>
      <c r="U168" s="5" t="s">
        <v>3896</v>
      </c>
      <c r="V168" s="0" t="s">
        <v>9433</v>
      </c>
      <c r="W168" s="0" t="s">
        <v>263</v>
      </c>
      <c r="X168" s="0" t="s">
        <v>5578</v>
      </c>
      <c r="Y168" s="0" t="str">
        <f aca="false">IF(FA168&lt;&gt;"Y","",COUNTIFS($FA$2:$FA$1000,"Y",$J$2:$J$1000,"&gt;"&amp;J168)+COUNTIFS($FA$2:$FA$1000,"Y",$J$2:$J$1000,J168,$FG$2:$FG$1000,"&lt;"&amp;FG168)+1)</f>
        <v/>
      </c>
      <c r="Z168" s="0" t="n">
        <v>167</v>
      </c>
      <c r="AA168" s="0" t="s">
        <v>189</v>
      </c>
      <c r="AB168" s="0" t="str">
        <f aca="false">IF($A168="","",IF(AT168="Y",BW168&amp;"",BJ168&amp;""))</f>
        <v>find Jean Thompson at jcoco on LinkedIn and paste the profile URL into primary_linkedin_url; use the Whole Foods Market NoMad line only if retailer_checked_date is this week's Friday check</v>
      </c>
      <c r="AC168" s="0" t="str">
        <f aca="false">IF($A168="","",IF(AT168="Y",BR168&amp;"",BE168&amp;""))</f>
        <v>founder</v>
      </c>
      <c r="AD168" s="0" t="str">
        <f aca="false">IF($A168="","",IF(AT168="Y",BS168&amp;"",BF168&amp;""))</f>
        <v>verified-page</v>
      </c>
      <c r="AE168" s="0" t="str">
        <f aca="false">IF($A168="","",IF(AT168="Y",BT168&amp;"",BG168&amp;""))</f>
        <v>employer's own site</v>
      </c>
      <c r="AF168" s="0" t="str">
        <f aca="false">IF($A168="","",IF(AT168="Y",BU168&amp;"",BH168&amp;""))</f>
        <v>https://jcocochocolate.com/pages/about</v>
      </c>
      <c r="AG168" s="0" t="str">
        <f aca="false">IF($A168="","",IF(AT168="Y",BV168&amp;"",BI168&amp;""))</f>
        <v>2026-10-23</v>
      </c>
      <c r="AH168" s="0" t="s">
        <v>9434</v>
      </c>
      <c r="AI168" s="0" t="s">
        <v>5664</v>
      </c>
      <c r="AJ168" s="0" t="s">
        <v>9435</v>
      </c>
      <c r="AK168" s="0" t="s">
        <v>9436</v>
      </c>
      <c r="AL168" s="0" t="s">
        <v>164</v>
      </c>
      <c r="AM168" s="0" t="s">
        <v>9437</v>
      </c>
      <c r="AN168" s="0" t="s">
        <v>9428</v>
      </c>
      <c r="AO168" s="5" t="s">
        <v>189</v>
      </c>
      <c r="AR168" s="0" t="str">
        <f aca="false">IF($A168="","",IF(AND(CK168="pass",AO168&lt;&gt;"Y",C168&lt;&gt;"",OR(AU168&lt;&gt;"Y",AV168="Y")),"Y","N"))</f>
        <v>N</v>
      </c>
      <c r="AS168" s="0" t="str">
        <f aca="false">IF($A168="","",_xlfn.TEXTJOIN("; ",TRUE(),IF(CK168&lt;&gt;"pass","gated out",""),IF(AO168="Y","on hold: "&amp;AP168,""),IF(C168="","no contact named on an opened page",""),IF(AND(AU168="Y",AV168&lt;&gt;"Y"),"founder review pending (Founder review tab)","")))</f>
        <v>founder review pending (Founder review tab)</v>
      </c>
      <c r="AU168" s="0" t="s">
        <v>164</v>
      </c>
      <c r="AX168" s="0" t="s">
        <v>9438</v>
      </c>
      <c r="AY168" s="0" t="s">
        <v>9439</v>
      </c>
      <c r="AZ168" s="0" t="s">
        <v>9440</v>
      </c>
      <c r="BA168" s="0" t="s">
        <v>5670</v>
      </c>
      <c r="BC168" s="0" t="str">
        <f aca="false">IF($A168="","",IFERROR(INDEX(Enrichment!$A$2:$GZ$2000,MATCH($A168,INDEX(Enrichment!$A$2:$GZ$2000,0,MATCH("row_id",Enrichment!$A$1:$GZ$1,0)),0),MATCH("work_email",Enrichment!$A$1:$GZ$1,0))&amp;"",""))</f>
        <v/>
      </c>
      <c r="BD168" s="0" t="str">
        <f aca="false">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none</v>
      </c>
      <c r="BE168" s="0" t="s">
        <v>5589</v>
      </c>
      <c r="BF168" s="0" t="s">
        <v>169</v>
      </c>
      <c r="BG168" s="0" t="s">
        <v>170</v>
      </c>
      <c r="BH168" s="0" t="s">
        <v>9433</v>
      </c>
      <c r="BI168" s="0" t="s">
        <v>263</v>
      </c>
      <c r="BJ168" s="0" t="s">
        <v>9441</v>
      </c>
      <c r="BK168" s="0" t="s">
        <v>5643</v>
      </c>
      <c r="BP168" s="0" t="str">
        <f aca="false">IF($A168="","",IFERROR(INDEX(Enrichment!$A$2:$GZ$2000,MATCH($A168,INDEX(Enrichment!$A$2:$GZ$2000,0,MATCH("row_id",Enrichment!$A$1:$GZ$1,0)),0),MATCH("backup_work_email",Enrichment!$A$1:$GZ$1,0))&amp;"",""))</f>
        <v/>
      </c>
      <c r="BQ168" s="0" t="str">
        <f aca="false">IF($A168="","",IF(BP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none</v>
      </c>
      <c r="BS168" s="0" t="s">
        <v>380</v>
      </c>
      <c r="BW168" s="0" t="s">
        <v>5741</v>
      </c>
      <c r="BX168" s="0" t="s">
        <v>388</v>
      </c>
      <c r="BY168" s="0" t="s">
        <v>9442</v>
      </c>
      <c r="BZ168" s="0" t="s">
        <v>8897</v>
      </c>
      <c r="CB168" s="0" t="s">
        <v>9443</v>
      </c>
      <c r="CJ168" s="0" t="s">
        <v>7088</v>
      </c>
      <c r="CK168" s="0" t="s">
        <v>200</v>
      </c>
      <c r="CM168" s="0" t="s">
        <v>201</v>
      </c>
      <c r="CN168" s="0" t="s">
        <v>8900</v>
      </c>
      <c r="CO168" s="0" t="s">
        <v>9436</v>
      </c>
      <c r="CP168" s="0" t="s">
        <v>9444</v>
      </c>
      <c r="CQ168" s="0" t="s">
        <v>6198</v>
      </c>
      <c r="CR168" s="0" t="s">
        <v>9445</v>
      </c>
      <c r="CS168" s="0" t="s">
        <v>9433</v>
      </c>
      <c r="CT168" s="0" t="s">
        <v>352</v>
      </c>
      <c r="CU168" s="0" t="s">
        <v>5685</v>
      </c>
      <c r="CV168" s="0" t="s">
        <v>164</v>
      </c>
      <c r="CW168" s="0" t="s">
        <v>164</v>
      </c>
      <c r="CX168" s="0" t="s">
        <v>209</v>
      </c>
      <c r="CZ168" s="0" t="s">
        <v>209</v>
      </c>
      <c r="DA168" s="0" t="s">
        <v>189</v>
      </c>
      <c r="DB168" s="0" t="s">
        <v>189</v>
      </c>
      <c r="DD168" s="0" t="n">
        <v>0</v>
      </c>
      <c r="DE168" s="0" t="s">
        <v>164</v>
      </c>
      <c r="DF168" s="0" t="n">
        <v>3</v>
      </c>
      <c r="DG168" s="0" t="s">
        <v>5686</v>
      </c>
      <c r="DI168" s="0" t="s">
        <v>9446</v>
      </c>
      <c r="DJ168" s="0" t="s">
        <v>9447</v>
      </c>
      <c r="DK168" s="0" t="s">
        <v>5689</v>
      </c>
      <c r="DL168" s="0" t="n">
        <v>39</v>
      </c>
      <c r="DN168" s="0" t="n">
        <v>30</v>
      </c>
      <c r="DO168" s="0" t="n">
        <v>25</v>
      </c>
      <c r="DP168" s="0" t="n">
        <v>3</v>
      </c>
      <c r="DQ168" s="0" t="n">
        <v>8</v>
      </c>
      <c r="DR168" s="0" t="n">
        <v>5</v>
      </c>
      <c r="DS168" s="0" t="n">
        <v>8</v>
      </c>
      <c r="DT168" s="0" t="n">
        <v>6</v>
      </c>
      <c r="DU168" s="0" t="n">
        <f aca="false">IF($A168="","",IF(R168="Y",10,0))</f>
        <v>0</v>
      </c>
      <c r="DV168" s="0" t="n">
        <v>-25</v>
      </c>
      <c r="DW168" s="0" t="s">
        <v>9448</v>
      </c>
      <c r="DX168" s="0" t="s">
        <v>5691</v>
      </c>
      <c r="DY168" s="0" t="s">
        <v>9449</v>
      </c>
      <c r="DZ168" s="0" t="s">
        <v>9450</v>
      </c>
      <c r="EA168" s="0" t="s">
        <v>9451</v>
      </c>
      <c r="EV168" s="0" t="str">
        <f aca="false">IF($A168="","",IF(ISNUMBER(MATCH(U168,{"queued","contacted","replied","call_booked","call_done","yes_in_principle","materials_sent"},0)),"Y","N"))</f>
        <v>N</v>
      </c>
      <c r="EW168" s="0" t="str">
        <f aca="false">IF($A168="","",IF(OR(T168="Y",U168="do_not_contact",AQ168&amp;""&lt;&gt;""),"Y","N"))</f>
        <v>N</v>
      </c>
      <c r="EX168" s="0" t="str">
        <f aca="false">IF($A168="","",IF(AN168&amp;""&lt;&gt;"",AN168&amp;"",$A168))</f>
        <v>AB-108</v>
      </c>
      <c r="EY168" s="0" t="str">
        <f aca="false">IF($A168="","",IF(COUNTIFS($EX$2:$EX$1000,EX168,$EV$2:$EV$1000,"Y")+COUNTIFS($EX$2:$EX$1000,EX168,$EW$2:$EW$1000,"Y")&gt;0,"Y","N"))</f>
        <v>N</v>
      </c>
      <c r="EZ168" s="0" t="str">
        <f aca="false">IF($A168="","",IF(AND(U168="new",T168="N",EW168="N",AR168="Y",EY168="N"),"Y","N"))</f>
        <v>N</v>
      </c>
      <c r="FA168" s="0" t="str">
        <f aca="false">IF($A168="","",IF(EZ168&lt;&gt;"Y","N",IF(COUNTIFS($EX$2:$EX$1000,EX168,$EZ$2:$EZ$1000,"Y",$J$2:$J$1000,"&gt;"&amp;J168)+COUNTIFS($EX$2:$EX$1000,EX168,$EZ$2:$EZ$1000,"Y",$J$2:$J$1000,J168,$FG$2:$FG$1000,"&lt;"&amp;FG168)=0,"Y","N")))</f>
        <v>N</v>
      </c>
      <c r="FB168" s="0" t="str">
        <f aca="false">IF($A168="","",IF(AND(EZ168="Y",FA168="Y",Y168&amp;""&lt;&gt;""),IF(Y168&lt;=10,"Y","N"),"N"))</f>
        <v>N</v>
      </c>
      <c r="FC168" s="0" t="str">
        <f aca="false">IF(FB168="Y",Y168,"")</f>
        <v/>
      </c>
      <c r="FD168" s="0" t="str">
        <f aca="false">IF($A168="","",IF(AND(CK168="pass",AU168="Y",AV168&lt;&gt;"Y",U168="new",EW168="N"),"Y","N"))</f>
        <v>Y</v>
      </c>
      <c r="FE168" s="0" t="str">
        <f aca="false">IF(FD168&lt;&gt;"Y","",IF(COUNTIFS($FD$2:$FD$1000,"Y",$J$2:$J$1000,"&gt;"&amp;J168)+COUNTIFS($FD$2:$FD$1000,"Y",$J$2:$J$1000,J168,$FG$2:$FG$1000,"&lt;"&amp;FG168)+1&lt;=30,COUNTIFS($FD$2:$FD$1000,"Y",$J$2:$J$1000,"&gt;"&amp;J168)+COUNTIFS($FD$2:$FD$1000,"Y",$J$2:$J$1000,J168,$FG$2:$FG$1000,"&lt;"&amp;FG168)+1,""))</f>
        <v/>
      </c>
      <c r="FF168" s="0" t="str">
        <f aca="false">IF(AND(_xlfn.ISFORMULA(C168),_xlfn.ISFORMULA(J168)),"Y","N")</f>
        <v>Y</v>
      </c>
      <c r="FG168" s="0" t="n">
        <f aca="false">ROW()-1</f>
        <v>167</v>
      </c>
    </row>
    <row r="169" customFormat="false" ht="15" hidden="false" customHeight="false" outlineLevel="0" collapsed="false">
      <c r="A169" s="0" t="s">
        <v>9452</v>
      </c>
      <c r="B169" s="0" t="s">
        <v>9453</v>
      </c>
      <c r="C169" s="0" t="str">
        <f aca="false">IF($A169="","",IF(AT169="Y",BL169&amp;"",AY169&amp;""))</f>
        <v>David</v>
      </c>
      <c r="D169" s="0" t="str">
        <f aca="false">IF($A169="","",IF(AT169="Y",BM169&amp;"",AZ169&amp;""))</f>
        <v>Creech</v>
      </c>
      <c r="E169" s="0" t="str">
        <f aca="false">IF($A169="","",IF(AT169="Y",BN169&amp;"",BA169&amp;""))</f>
        <v>Co-founder</v>
      </c>
      <c r="F169" s="0" t="str">
        <f aca="false">IF($A169="","",IF(AT169="Y",BO169&amp;"",BB169&amp;""))</f>
        <v/>
      </c>
      <c r="G169" s="0" t="str">
        <f aca="false">IF($A169="","",IF(AT169="Y",BP169&amp;"",BC169&amp;""))</f>
        <v/>
      </c>
      <c r="H169" s="0" t="str">
        <f aca="false">IF($A169="","",IF(AT169="Y",BQ169&amp;"",BD169&amp;""))</f>
        <v>none</v>
      </c>
      <c r="I169" s="0" t="str">
        <f aca="false">IF($A169="","",IF(R169="Y","warm-intro",IF(H169="verified","email",IF(C169&lt;&gt;"","linkedin",CA169&amp;""))))</f>
        <v>linkedin</v>
      </c>
      <c r="J169" s="0" t="n">
        <f aca="false">IF($A169="","",IF(CK169="pass",ROUND(N(DO169)+N(DP169)+N(DQ169)+N(DR169)+N(DS169)+N(DT169)+N(DU169)+N(DV169),0),0))</f>
        <v>30</v>
      </c>
      <c r="K169" s="0" t="str">
        <f aca="false">IF($A169="","",IF(CK169&lt;&gt;"pass",BY169&amp;"",BY169&amp;", "&amp;IF(AT169="Y",BX169&amp;"",BK169&amp;"")&amp;BZ169&amp;IF(R169="Y","; known to the founder (+10)","")&amp;"."))</f>
        <v>Brand based outside the Northeast, no graded store within ten blocks, online store only, a new store listing 32 days ago, revenue unknown, contact named; founder review: scale.</v>
      </c>
      <c r="M169" s="0" t="s">
        <v>6144</v>
      </c>
      <c r="N169" s="0" t="s">
        <v>740</v>
      </c>
      <c r="O169" s="0" t="s">
        <v>9454</v>
      </c>
      <c r="P169" s="0" t="s">
        <v>9455</v>
      </c>
      <c r="Q169" s="0" t="s">
        <v>2751</v>
      </c>
      <c r="R169" s="5" t="s">
        <v>189</v>
      </c>
      <c r="S169" s="0" t="s">
        <v>209</v>
      </c>
      <c r="T169" s="5" t="s">
        <v>189</v>
      </c>
      <c r="U169" s="5" t="s">
        <v>3896</v>
      </c>
      <c r="V169" s="0" t="s">
        <v>9456</v>
      </c>
      <c r="W169" s="0" t="s">
        <v>263</v>
      </c>
      <c r="X169" s="0" t="s">
        <v>5578</v>
      </c>
      <c r="Y169" s="0" t="str">
        <f aca="false">IF(FA169&lt;&gt;"Y","",COUNTIFS($FA$2:$FA$1000,"Y",$J$2:$J$1000,"&gt;"&amp;J169)+COUNTIFS($FA$2:$FA$1000,"Y",$J$2:$J$1000,J169,$FG$2:$FG$1000,"&lt;"&amp;FG169)+1)</f>
        <v/>
      </c>
      <c r="Z169" s="0" t="n">
        <v>168</v>
      </c>
      <c r="AA169" s="0" t="s">
        <v>189</v>
      </c>
      <c r="AB169" s="0" t="str">
        <f aca="false">IF($A169="","",IF(AT169="Y",BW169&amp;"",BJ169&amp;""))</f>
        <v>find David Creech at Beekeeper Coffee on LinkedIn and paste the profile URL into primary_linkedin_url</v>
      </c>
      <c r="AC169" s="0" t="str">
        <f aca="false">IF($A169="","",IF(AT169="Y",BR169&amp;"",BE169&amp;""))</f>
        <v>founder</v>
      </c>
      <c r="AD169" s="0" t="str">
        <f aca="false">IF($A169="","",IF(AT169="Y",BS169&amp;"",BF169&amp;""))</f>
        <v>verified-page</v>
      </c>
      <c r="AE169" s="0" t="str">
        <f aca="false">IF($A169="","",IF(AT169="Y",BT169&amp;"",BG169&amp;""))</f>
        <v>press, event or podcast page</v>
      </c>
      <c r="AF169" s="0" t="str">
        <f aca="false">IF($A169="","",IF(AT169="Y",BU169&amp;"",BH169&amp;""))</f>
        <v>https://www.foodnavigator.com/Article/2024/10/03/Beekeeper-Coffee-taps-into-youth-culture-to-build-its-RTD-honey-sweetened-coffee/</v>
      </c>
      <c r="AG169" s="0" t="str">
        <f aca="false">IF($A169="","",IF(AT169="Y",BV169&amp;"",BI169&amp;""))</f>
        <v>2026-10-23</v>
      </c>
      <c r="AH169" s="0" t="s">
        <v>9457</v>
      </c>
      <c r="AI169" s="0" t="s">
        <v>6473</v>
      </c>
      <c r="AJ169" s="0" t="s">
        <v>209</v>
      </c>
      <c r="AK169" s="0" t="s">
        <v>9458</v>
      </c>
      <c r="AL169" s="0" t="s">
        <v>164</v>
      </c>
      <c r="AM169" s="0" t="s">
        <v>9459</v>
      </c>
      <c r="AN169" s="0" t="s">
        <v>9452</v>
      </c>
      <c r="AO169" s="5" t="s">
        <v>189</v>
      </c>
      <c r="AR169" s="0" t="str">
        <f aca="false">IF($A169="","",IF(AND(CK169="pass",AO169&lt;&gt;"Y",C169&lt;&gt;"",OR(AU169&lt;&gt;"Y",AV169="Y")),"Y","N"))</f>
        <v>N</v>
      </c>
      <c r="AS169" s="0" t="str">
        <f aca="false">IF($A169="","",_xlfn.TEXTJOIN("; ",TRUE(),IF(CK169&lt;&gt;"pass","gated out",""),IF(AO169="Y","on hold: "&amp;AP169,""),IF(C169="","no contact named on an opened page",""),IF(AND(AU169="Y",AV169&lt;&gt;"Y"),"founder review pending (Founder review tab)","")))</f>
        <v>founder review pending (Founder review tab)</v>
      </c>
      <c r="AU169" s="0" t="s">
        <v>164</v>
      </c>
      <c r="AY169" s="0" t="s">
        <v>780</v>
      </c>
      <c r="AZ169" s="0" t="s">
        <v>9460</v>
      </c>
      <c r="BA169" s="0" t="s">
        <v>5636</v>
      </c>
      <c r="BC169" s="0" t="str">
        <f aca="false">IF($A169="","",IFERROR(INDEX(Enrichment!$A$2:$GZ$2000,MATCH($A169,INDEX(Enrichment!$A$2:$GZ$2000,0,MATCH("row_id",Enrichment!$A$1:$GZ$1,0)),0),MATCH("work_email",Enrichment!$A$1:$GZ$1,0))&amp;"",""))</f>
        <v/>
      </c>
      <c r="BD169" s="0" t="str">
        <f aca="false">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none</v>
      </c>
      <c r="BE169" s="0" t="s">
        <v>5589</v>
      </c>
      <c r="BF169" s="0" t="s">
        <v>169</v>
      </c>
      <c r="BG169" s="0" t="s">
        <v>1252</v>
      </c>
      <c r="BH169" s="0" t="s">
        <v>9461</v>
      </c>
      <c r="BI169" s="0" t="s">
        <v>263</v>
      </c>
      <c r="BJ169" s="0" t="s">
        <v>9462</v>
      </c>
      <c r="BK169" s="0" t="s">
        <v>5643</v>
      </c>
      <c r="BL169" s="0" t="s">
        <v>5892</v>
      </c>
      <c r="BM169" s="0" t="s">
        <v>9463</v>
      </c>
      <c r="BN169" s="0" t="s">
        <v>5675</v>
      </c>
      <c r="BP169" s="0" t="str">
        <f aca="false">IF($A169="","",IFERROR(INDEX(Enrichment!$A$2:$GZ$2000,MATCH($A169,INDEX(Enrichment!$A$2:$GZ$2000,0,MATCH("row_id",Enrichment!$A$1:$GZ$1,0)),0),MATCH("backup_work_email",Enrichment!$A$1:$GZ$1,0))&amp;"",""))</f>
        <v/>
      </c>
      <c r="BQ169" s="0" t="str">
        <f aca="false">IF($A169="","",IF(BP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none</v>
      </c>
      <c r="BR169" s="0" t="s">
        <v>7494</v>
      </c>
      <c r="BS169" s="0" t="s">
        <v>169</v>
      </c>
      <c r="BT169" s="0" t="s">
        <v>1252</v>
      </c>
      <c r="BU169" s="0" t="s">
        <v>9464</v>
      </c>
      <c r="BV169" s="0" t="s">
        <v>263</v>
      </c>
      <c r="BW169" s="0" t="s">
        <v>9465</v>
      </c>
      <c r="BX169" s="0" t="s">
        <v>5643</v>
      </c>
      <c r="BY169" s="0" t="s">
        <v>9466</v>
      </c>
      <c r="BZ169" s="0" t="s">
        <v>6512</v>
      </c>
      <c r="CB169" s="0" t="s">
        <v>9467</v>
      </c>
      <c r="CF169" s="0" t="s">
        <v>9468</v>
      </c>
      <c r="CJ169" s="0" t="s">
        <v>7088</v>
      </c>
      <c r="CK169" s="0" t="s">
        <v>200</v>
      </c>
      <c r="CM169" s="0" t="s">
        <v>201</v>
      </c>
      <c r="CN169" s="0" t="s">
        <v>6516</v>
      </c>
      <c r="CO169" s="0" t="s">
        <v>9458</v>
      </c>
      <c r="CP169" s="0" t="s">
        <v>9075</v>
      </c>
      <c r="CQ169" s="0" t="s">
        <v>6198</v>
      </c>
      <c r="CR169" s="0" t="s">
        <v>209</v>
      </c>
      <c r="CT169" s="0" t="s">
        <v>164</v>
      </c>
      <c r="CU169" s="0" t="s">
        <v>9469</v>
      </c>
      <c r="CV169" s="0" t="s">
        <v>164</v>
      </c>
      <c r="CW169" s="0" t="s">
        <v>164</v>
      </c>
      <c r="CX169" s="0" t="s">
        <v>209</v>
      </c>
      <c r="CZ169" s="0" t="s">
        <v>6456</v>
      </c>
      <c r="DA169" s="0" t="s">
        <v>189</v>
      </c>
      <c r="DB169" s="0" t="s">
        <v>189</v>
      </c>
      <c r="DE169" s="0" t="s">
        <v>189</v>
      </c>
      <c r="DF169" s="0" t="n">
        <v>0</v>
      </c>
      <c r="DI169" s="0" t="s">
        <v>9470</v>
      </c>
      <c r="DJ169" s="0" t="s">
        <v>9471</v>
      </c>
      <c r="DK169" s="0" t="s">
        <v>5689</v>
      </c>
      <c r="DL169" s="0" t="n">
        <v>32</v>
      </c>
      <c r="DN169" s="0" t="n">
        <v>30</v>
      </c>
      <c r="DO169" s="0" t="n">
        <v>6</v>
      </c>
      <c r="DP169" s="0" t="n">
        <v>3</v>
      </c>
      <c r="DQ169" s="0" t="n">
        <v>8</v>
      </c>
      <c r="DR169" s="0" t="n">
        <v>5</v>
      </c>
      <c r="DS169" s="0" t="n">
        <v>10</v>
      </c>
      <c r="DT169" s="0" t="n">
        <v>10</v>
      </c>
      <c r="DU169" s="0" t="n">
        <f aca="false">IF($A169="","",IF(R169="Y",10,0))</f>
        <v>0</v>
      </c>
      <c r="DV169" s="0" t="n">
        <v>-12</v>
      </c>
      <c r="DW169" s="0" t="s">
        <v>9472</v>
      </c>
      <c r="DX169" s="0" t="s">
        <v>6462</v>
      </c>
      <c r="DY169" s="0" t="s">
        <v>9473</v>
      </c>
      <c r="DZ169" s="0" t="s">
        <v>9474</v>
      </c>
      <c r="EA169" s="0" t="s">
        <v>9475</v>
      </c>
      <c r="EV169" s="0" t="str">
        <f aca="false">IF($A169="","",IF(ISNUMBER(MATCH(U169,{"queued","contacted","replied","call_booked","call_done","yes_in_principle","materials_sent"},0)),"Y","N"))</f>
        <v>N</v>
      </c>
      <c r="EW169" s="0" t="str">
        <f aca="false">IF($A169="","",IF(OR(T169="Y",U169="do_not_contact",AQ169&amp;""&lt;&gt;""),"Y","N"))</f>
        <v>N</v>
      </c>
      <c r="EX169" s="0" t="str">
        <f aca="false">IF($A169="","",IF(AN169&amp;""&lt;&gt;"",AN169&amp;"",$A169))</f>
        <v>AB-193</v>
      </c>
      <c r="EY169" s="0" t="str">
        <f aca="false">IF($A169="","",IF(COUNTIFS($EX$2:$EX$1000,EX169,$EV$2:$EV$1000,"Y")+COUNTIFS($EX$2:$EX$1000,EX169,$EW$2:$EW$1000,"Y")&gt;0,"Y","N"))</f>
        <v>N</v>
      </c>
      <c r="EZ169" s="0" t="str">
        <f aca="false">IF($A169="","",IF(AND(U169="new",T169="N",EW169="N",AR169="Y",EY169="N"),"Y","N"))</f>
        <v>N</v>
      </c>
      <c r="FA169" s="0" t="str">
        <f aca="false">IF($A169="","",IF(EZ169&lt;&gt;"Y","N",IF(COUNTIFS($EX$2:$EX$1000,EX169,$EZ$2:$EZ$1000,"Y",$J$2:$J$1000,"&gt;"&amp;J169)+COUNTIFS($EX$2:$EX$1000,EX169,$EZ$2:$EZ$1000,"Y",$J$2:$J$1000,J169,$FG$2:$FG$1000,"&lt;"&amp;FG169)=0,"Y","N")))</f>
        <v>N</v>
      </c>
      <c r="FB169" s="0" t="str">
        <f aca="false">IF($A169="","",IF(AND(EZ169="Y",FA169="Y",Y169&amp;""&lt;&gt;""),IF(Y169&lt;=10,"Y","N"),"N"))</f>
        <v>N</v>
      </c>
      <c r="FC169" s="0" t="str">
        <f aca="false">IF(FB169="Y",Y169,"")</f>
        <v/>
      </c>
      <c r="FD169" s="0" t="str">
        <f aca="false">IF($A169="","",IF(AND(CK169="pass",AU169="Y",AV169&lt;&gt;"Y",U169="new",EW169="N"),"Y","N"))</f>
        <v>Y</v>
      </c>
      <c r="FE169" s="0" t="str">
        <f aca="false">IF(FD169&lt;&gt;"Y","",IF(COUNTIFS($FD$2:$FD$1000,"Y",$J$2:$J$1000,"&gt;"&amp;J169)+COUNTIFS($FD$2:$FD$1000,"Y",$J$2:$J$1000,J169,$FG$2:$FG$1000,"&lt;"&amp;FG169)+1&lt;=30,COUNTIFS($FD$2:$FD$1000,"Y",$J$2:$J$1000,"&gt;"&amp;J169)+COUNTIFS($FD$2:$FD$1000,"Y",$J$2:$J$1000,J169,$FG$2:$FG$1000,"&lt;"&amp;FG169)+1,""))</f>
        <v/>
      </c>
      <c r="FF169" s="0" t="str">
        <f aca="false">IF(AND(_xlfn.ISFORMULA(C169),_xlfn.ISFORMULA(J169)),"Y","N")</f>
        <v>Y</v>
      </c>
      <c r="FG169" s="0" t="n">
        <f aca="false">ROW()-1</f>
        <v>168</v>
      </c>
    </row>
    <row r="170" customFormat="false" ht="15" hidden="false" customHeight="false" outlineLevel="0" collapsed="false">
      <c r="A170" s="0" t="s">
        <v>9476</v>
      </c>
      <c r="B170" s="0" t="s">
        <v>9477</v>
      </c>
      <c r="C170" s="0" t="str">
        <f aca="false">IF($A170="","",IF(AT170="Y",BL170&amp;"",AY170&amp;""))</f>
        <v/>
      </c>
      <c r="D170" s="0" t="str">
        <f aca="false">IF($A170="","",IF(AT170="Y",BM170&amp;"",AZ170&amp;""))</f>
        <v/>
      </c>
      <c r="E170" s="0" t="str">
        <f aca="false">IF($A170="","",IF(AT170="Y",BN170&amp;"",BA170&amp;""))</f>
        <v/>
      </c>
      <c r="F170" s="0" t="str">
        <f aca="false">IF($A170="","",IF(AT170="Y",BO170&amp;"",BB170&amp;""))</f>
        <v/>
      </c>
      <c r="G170" s="0" t="str">
        <f aca="false">IF($A170="","",IF(AT170="Y",BP170&amp;"",BC170&amp;""))</f>
        <v/>
      </c>
      <c r="H170" s="0" t="str">
        <f aca="false">IF($A170="","",IF(AT170="Y",BQ170&amp;"",BD170&amp;""))</f>
        <v>none</v>
      </c>
      <c r="I170" s="0" t="str">
        <f aca="false">IF($A170="","",IF(R170="Y","warm-intro",IF(H170="verified","email",IF(C170&lt;&gt;"","linkedin",CA170&amp;""))))</f>
        <v/>
      </c>
      <c r="J170" s="0" t="n">
        <f aca="false">IF($A170="","",IF(CK170="pass",ROUND(N(DO170)+N(DP170)+N(DQ170)+N(DR170)+N(DS170)+N(DT170)+N(DU170)+N(DV170),0),0))</f>
        <v>30</v>
      </c>
      <c r="K170" s="0" t="str">
        <f aca="false">IF($A170="","",IF(CK170&lt;&gt;"pass",BY170&amp;"",BY170&amp;", "&amp;IF(AT170="Y",BX170&amp;"",BK170&amp;"")&amp;BZ170&amp;IF(R170="Y","; known to the founder (+10)","")&amp;"."))</f>
        <v>Brand based outside the Northeast, no graded store within ten blocks, online store only, a new store listing 359 days ago, revenue unknown, contact seen only in a snippet; founder review: other.</v>
      </c>
      <c r="M170" s="0" t="s">
        <v>6144</v>
      </c>
      <c r="N170" s="0" t="s">
        <v>740</v>
      </c>
      <c r="O170" s="0" t="s">
        <v>9478</v>
      </c>
      <c r="P170" s="0" t="s">
        <v>9479</v>
      </c>
      <c r="Q170" s="0" t="s">
        <v>9480</v>
      </c>
      <c r="R170" s="5" t="s">
        <v>189</v>
      </c>
      <c r="S170" s="0" t="s">
        <v>209</v>
      </c>
      <c r="T170" s="5" t="s">
        <v>189</v>
      </c>
      <c r="U170" s="5" t="s">
        <v>3896</v>
      </c>
      <c r="V170" s="0" t="s">
        <v>9481</v>
      </c>
      <c r="W170" s="0" t="s">
        <v>263</v>
      </c>
      <c r="X170" s="0" t="s">
        <v>5578</v>
      </c>
      <c r="Y170" s="0" t="str">
        <f aca="false">IF(FA170&lt;&gt;"Y","",COUNTIFS($FA$2:$FA$1000,"Y",$J$2:$J$1000,"&gt;"&amp;J170)+COUNTIFS($FA$2:$FA$1000,"Y",$J$2:$J$1000,J170,$FG$2:$FG$1000,"&lt;"&amp;FG170)+1)</f>
        <v/>
      </c>
      <c r="Z170" s="0" t="n">
        <v>169</v>
      </c>
      <c r="AA170" s="0" t="s">
        <v>189</v>
      </c>
      <c r="AB170" s="0" t="str">
        <f aca="false">IF($A170="","",IF(AT170="Y",BW170&amp;"",BJ170&amp;""))</f>
        <v>no person named on an opened page: not ready</v>
      </c>
      <c r="AC170" s="0" t="str">
        <f aca="false">IF($A170="","",IF(AT170="Y",BR170&amp;"",BE170&amp;""))</f>
        <v>founder</v>
      </c>
      <c r="AD170" s="0" t="str">
        <f aca="false">IF($A170="","",IF(AT170="Y",BS170&amp;"",BF170&amp;""))</f>
        <v>unverified</v>
      </c>
      <c r="AE170" s="0" t="str">
        <f aca="false">IF($A170="","",IF(AT170="Y",BT170&amp;"",BG170&amp;""))</f>
        <v>unknown</v>
      </c>
      <c r="AF170" s="0" t="str">
        <f aca="false">IF($A170="","",IF(AT170="Y",BU170&amp;"",BH170&amp;""))</f>
        <v/>
      </c>
      <c r="AG170" s="0" t="str">
        <f aca="false">IF($A170="","",IF(AT170="Y",BV170&amp;"",BI170&amp;""))</f>
        <v>2026-10-23</v>
      </c>
      <c r="AH170" s="0" t="s">
        <v>9482</v>
      </c>
      <c r="AI170" s="0" t="s">
        <v>5580</v>
      </c>
      <c r="AJ170" s="0" t="s">
        <v>3538</v>
      </c>
      <c r="AK170" s="0" t="s">
        <v>9483</v>
      </c>
      <c r="AL170" s="0" t="s">
        <v>164</v>
      </c>
      <c r="AM170" s="0" t="s">
        <v>9484</v>
      </c>
      <c r="AN170" s="0" t="s">
        <v>9476</v>
      </c>
      <c r="AO170" s="5" t="s">
        <v>189</v>
      </c>
      <c r="AR170" s="0" t="str">
        <f aca="false">IF($A170="","",IF(AND(CK170="pass",AO170&lt;&gt;"Y",C170&lt;&gt;"",OR(AU170&lt;&gt;"Y",AV170="Y")),"Y","N"))</f>
        <v>N</v>
      </c>
      <c r="AS170" s="0" t="str">
        <f aca="false">IF($A170="","",_xlfn.TEXTJOIN("; ",TRUE(),IF(CK170&lt;&gt;"pass","gated out",""),IF(AO170="Y","on hold: "&amp;AP170,""),IF(C170="","no contact named on an opened page",""),IF(AND(AU170="Y",AV170&lt;&gt;"Y"),"founder review pending (Founder review tab)","")))</f>
        <v>no contact named on an opened page</v>
      </c>
      <c r="AU170" s="0" t="s">
        <v>189</v>
      </c>
      <c r="BC170" s="0" t="str">
        <f aca="false">IF($A170="","",IFERROR(INDEX(Enrichment!$A$2:$GZ$2000,MATCH($A170,INDEX(Enrichment!$A$2:$GZ$2000,0,MATCH("row_id",Enrichment!$A$1:$GZ$1,0)),0),MATCH("work_email",Enrichment!$A$1:$GZ$1,0))&amp;"",""))</f>
        <v/>
      </c>
      <c r="BD170" s="0" t="str">
        <f aca="false">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none</v>
      </c>
      <c r="BE170" s="0" t="s">
        <v>5589</v>
      </c>
      <c r="BF170" s="0" t="s">
        <v>740</v>
      </c>
      <c r="BG170" s="0" t="s">
        <v>209</v>
      </c>
      <c r="BI170" s="0" t="s">
        <v>263</v>
      </c>
      <c r="BJ170" s="0" t="s">
        <v>7105</v>
      </c>
      <c r="BK170" s="0" t="s">
        <v>5834</v>
      </c>
      <c r="BL170" s="0" t="s">
        <v>9485</v>
      </c>
      <c r="BM170" s="0" t="s">
        <v>9486</v>
      </c>
      <c r="BN170" s="0" t="s">
        <v>9487</v>
      </c>
      <c r="BP170" s="0" t="str">
        <f aca="false">IF($A170="","",IFERROR(INDEX(Enrichment!$A$2:$GZ$2000,MATCH($A170,INDEX(Enrichment!$A$2:$GZ$2000,0,MATCH("row_id",Enrichment!$A$1:$GZ$1,0)),0),MATCH("backup_work_email",Enrichment!$A$1:$GZ$1,0))&amp;"",""))</f>
        <v/>
      </c>
      <c r="BQ170" s="0" t="str">
        <f aca="false">IF($A170="","",IF(BP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none</v>
      </c>
      <c r="BR170" s="0" t="s">
        <v>7494</v>
      </c>
      <c r="BS170" s="0" t="s">
        <v>169</v>
      </c>
      <c r="BT170" s="0" t="s">
        <v>1252</v>
      </c>
      <c r="BU170" s="0" t="s">
        <v>9488</v>
      </c>
      <c r="BV170" s="0" t="s">
        <v>263</v>
      </c>
      <c r="BW170" s="0" t="s">
        <v>9489</v>
      </c>
      <c r="BX170" s="0" t="s">
        <v>5643</v>
      </c>
      <c r="BY170" s="0" t="s">
        <v>9490</v>
      </c>
      <c r="BZ170" s="0" t="s">
        <v>5960</v>
      </c>
      <c r="CB170" s="0" t="s">
        <v>9491</v>
      </c>
      <c r="CD170" s="0" t="s">
        <v>7905</v>
      </c>
      <c r="CF170" s="0" t="s">
        <v>9492</v>
      </c>
      <c r="CH170" s="0" t="s">
        <v>9493</v>
      </c>
      <c r="CJ170" s="0" t="s">
        <v>7088</v>
      </c>
      <c r="CK170" s="0" t="s">
        <v>200</v>
      </c>
      <c r="CM170" s="0" t="s">
        <v>201</v>
      </c>
      <c r="CN170" s="0" t="s">
        <v>443</v>
      </c>
      <c r="CO170" s="0" t="s">
        <v>9483</v>
      </c>
      <c r="CP170" s="0" t="s">
        <v>6550</v>
      </c>
      <c r="CQ170" s="0" t="s">
        <v>6198</v>
      </c>
      <c r="CR170" s="0" t="s">
        <v>209</v>
      </c>
      <c r="CT170" s="0" t="s">
        <v>209</v>
      </c>
      <c r="CU170" s="0" t="s">
        <v>7146</v>
      </c>
      <c r="CV170" s="0" t="s">
        <v>164</v>
      </c>
      <c r="CW170" s="0" t="s">
        <v>164</v>
      </c>
      <c r="CX170" s="0" t="s">
        <v>209</v>
      </c>
      <c r="CZ170" s="0" t="s">
        <v>6456</v>
      </c>
      <c r="DA170" s="0" t="s">
        <v>189</v>
      </c>
      <c r="DB170" s="0" t="s">
        <v>189</v>
      </c>
      <c r="DE170" s="0" t="s">
        <v>189</v>
      </c>
      <c r="DF170" s="0" t="n">
        <v>0</v>
      </c>
      <c r="DI170" s="0" t="s">
        <v>9494</v>
      </c>
      <c r="DK170" s="0" t="s">
        <v>5689</v>
      </c>
      <c r="DL170" s="0" t="n">
        <v>359</v>
      </c>
      <c r="DN170" s="0" t="n">
        <v>30</v>
      </c>
      <c r="DO170" s="0" t="n">
        <v>6</v>
      </c>
      <c r="DP170" s="0" t="n">
        <v>3</v>
      </c>
      <c r="DQ170" s="0" t="n">
        <v>4</v>
      </c>
      <c r="DR170" s="0" t="n">
        <v>5</v>
      </c>
      <c r="DS170" s="0" t="n">
        <v>7</v>
      </c>
      <c r="DT170" s="0" t="n">
        <v>7</v>
      </c>
      <c r="DU170" s="0" t="n">
        <f aca="false">IF($A170="","",IF(R170="Y",10,0))</f>
        <v>0</v>
      </c>
      <c r="DV170" s="0" t="n">
        <v>-2</v>
      </c>
      <c r="DW170" s="0" t="s">
        <v>209</v>
      </c>
      <c r="DX170" s="0" t="s">
        <v>6462</v>
      </c>
      <c r="DY170" s="0" t="s">
        <v>9495</v>
      </c>
      <c r="DZ170" s="0" t="s">
        <v>9496</v>
      </c>
      <c r="EA170" s="0" t="s">
        <v>9497</v>
      </c>
      <c r="EV170" s="0" t="str">
        <f aca="false">IF($A170="","",IF(ISNUMBER(MATCH(U170,{"queued","contacted","replied","call_booked","call_done","yes_in_principle","materials_sent"},0)),"Y","N"))</f>
        <v>N</v>
      </c>
      <c r="EW170" s="0" t="str">
        <f aca="false">IF($A170="","",IF(OR(T170="Y",U170="do_not_contact",AQ170&amp;""&lt;&gt;""),"Y","N"))</f>
        <v>N</v>
      </c>
      <c r="EX170" s="0" t="str">
        <f aca="false">IF($A170="","",IF(AN170&amp;""&lt;&gt;"",AN170&amp;"",$A170))</f>
        <v>AB-205</v>
      </c>
      <c r="EY170" s="0" t="str">
        <f aca="false">IF($A170="","",IF(COUNTIFS($EX$2:$EX$1000,EX170,$EV$2:$EV$1000,"Y")+COUNTIFS($EX$2:$EX$1000,EX170,$EW$2:$EW$1000,"Y")&gt;0,"Y","N"))</f>
        <v>N</v>
      </c>
      <c r="EZ170" s="0" t="str">
        <f aca="false">IF($A170="","",IF(AND(U170="new",T170="N",EW170="N",AR170="Y",EY170="N"),"Y","N"))</f>
        <v>N</v>
      </c>
      <c r="FA170" s="0" t="str">
        <f aca="false">IF($A170="","",IF(EZ170&lt;&gt;"Y","N",IF(COUNTIFS($EX$2:$EX$1000,EX170,$EZ$2:$EZ$1000,"Y",$J$2:$J$1000,"&gt;"&amp;J170)+COUNTIFS($EX$2:$EX$1000,EX170,$EZ$2:$EZ$1000,"Y",$J$2:$J$1000,J170,$FG$2:$FG$1000,"&lt;"&amp;FG170)=0,"Y","N")))</f>
        <v>N</v>
      </c>
      <c r="FB170" s="0" t="str">
        <f aca="false">IF($A170="","",IF(AND(EZ170="Y",FA170="Y",Y170&amp;""&lt;&gt;""),IF(Y170&lt;=10,"Y","N"),"N"))</f>
        <v>N</v>
      </c>
      <c r="FC170" s="0" t="str">
        <f aca="false">IF(FB170="Y",Y170,"")</f>
        <v/>
      </c>
      <c r="FD170" s="0" t="str">
        <f aca="false">IF($A170="","",IF(AND(CK170="pass",AU170="Y",AV170&lt;&gt;"Y",U170="new",EW170="N"),"Y","N"))</f>
        <v>N</v>
      </c>
      <c r="FE170" s="0" t="str">
        <f aca="false">IF(FD170&lt;&gt;"Y","",IF(COUNTIFS($FD$2:$FD$1000,"Y",$J$2:$J$1000,"&gt;"&amp;J170)+COUNTIFS($FD$2:$FD$1000,"Y",$J$2:$J$1000,J170,$FG$2:$FG$1000,"&lt;"&amp;FG170)+1&lt;=30,COUNTIFS($FD$2:$FD$1000,"Y",$J$2:$J$1000,"&gt;"&amp;J170)+COUNTIFS($FD$2:$FD$1000,"Y",$J$2:$J$1000,J170,$FG$2:$FG$1000,"&lt;"&amp;FG170)+1,""))</f>
        <v/>
      </c>
      <c r="FF170" s="0" t="str">
        <f aca="false">IF(AND(_xlfn.ISFORMULA(C170),_xlfn.ISFORMULA(J170)),"Y","N")</f>
        <v>Y</v>
      </c>
      <c r="FG170" s="0" t="n">
        <f aca="false">ROW()-1</f>
        <v>169</v>
      </c>
    </row>
    <row r="171" customFormat="false" ht="15" hidden="false" customHeight="false" outlineLevel="0" collapsed="false">
      <c r="A171" s="0" t="s">
        <v>9498</v>
      </c>
      <c r="B171" s="0" t="s">
        <v>9499</v>
      </c>
      <c r="C171" s="0" t="str">
        <f aca="false">IF($A171="","",IF(AT171="Y",BL171&amp;"",AY171&amp;""))</f>
        <v>Matt</v>
      </c>
      <c r="D171" s="0" t="str">
        <f aca="false">IF($A171="","",IF(AT171="Y",BM171&amp;"",AZ171&amp;""))</f>
        <v>Parry</v>
      </c>
      <c r="E171" s="0" t="str">
        <f aca="false">IF($A171="","",IF(AT171="Y",BN171&amp;"",BA171&amp;""))</f>
        <v>Founder</v>
      </c>
      <c r="F171" s="0" t="str">
        <f aca="false">IF($A171="","",IF(AT171="Y",BO171&amp;"",BB171&amp;""))</f>
        <v/>
      </c>
      <c r="G171" s="0" t="str">
        <f aca="false">IF($A171="","",IF(AT171="Y",BP171&amp;"",BC171&amp;""))</f>
        <v/>
      </c>
      <c r="H171" s="0" t="str">
        <f aca="false">IF($A171="","",IF(AT171="Y",BQ171&amp;"",BD171&amp;""))</f>
        <v>none</v>
      </c>
      <c r="I171" s="0" t="str">
        <f aca="false">IF($A171="","",IF(R171="Y","warm-intro",IF(H171="verified","email",IF(C171&lt;&gt;"","linkedin",CA171&amp;""))))</f>
        <v>linkedin</v>
      </c>
      <c r="J171" s="0" t="n">
        <f aca="false">IF($A171="","",IF(CK171="pass",ROUND(N(DO171)+N(DP171)+N(DQ171)+N(DR171)+N(DS171)+N(DT171)+N(DU171)+N(DV171),0),0))</f>
        <v>29</v>
      </c>
      <c r="K171" s="0" t="str">
        <f aca="false">IF($A171="","",IF(CK171&lt;&gt;"pass",BY171&amp;"",BY171&amp;", "&amp;IF(AT171="Y",BX171&amp;"",BK171&amp;"")&amp;BZ171&amp;IF(R171="Y","; known to the founder (+10)","")&amp;"."))</f>
        <v>Brand based outside the Northeast (HQ unverified), store page shows Whole Foods Market NoMad inside the cluster, news 281 days ago, revenue unknown, contact named; founder review: owner, scale, format.</v>
      </c>
      <c r="M171" s="0" t="s">
        <v>5572</v>
      </c>
      <c r="N171" s="0" t="s">
        <v>5573</v>
      </c>
      <c r="O171" s="0" t="s">
        <v>9500</v>
      </c>
      <c r="P171" s="0" t="s">
        <v>9501</v>
      </c>
      <c r="Q171" s="0" t="s">
        <v>9502</v>
      </c>
      <c r="R171" s="5" t="s">
        <v>189</v>
      </c>
      <c r="S171" s="0" t="s">
        <v>209</v>
      </c>
      <c r="T171" s="5" t="s">
        <v>189</v>
      </c>
      <c r="U171" s="5" t="s">
        <v>3896</v>
      </c>
      <c r="V171" s="0" t="s">
        <v>9503</v>
      </c>
      <c r="W171" s="0" t="s">
        <v>263</v>
      </c>
      <c r="X171" s="0" t="s">
        <v>5578</v>
      </c>
      <c r="Y171" s="0" t="str">
        <f aca="false">IF(FA171&lt;&gt;"Y","",COUNTIFS($FA$2:$FA$1000,"Y",$J$2:$J$1000,"&gt;"&amp;J171)+COUNTIFS($FA$2:$FA$1000,"Y",$J$2:$J$1000,J171,$FG$2:$FG$1000,"&lt;"&amp;FG171)+1)</f>
        <v/>
      </c>
      <c r="Z171" s="0" t="n">
        <v>170</v>
      </c>
      <c r="AA171" s="0" t="s">
        <v>189</v>
      </c>
      <c r="AB171" s="0" t="str">
        <f aca="false">IF($A171="","",IF(AT171="Y",BW171&amp;"",BJ171&amp;""))</f>
        <v>find Matt Parry at The Good Crisp Company on LinkedIn and paste the profile URL into primary_linkedin_url; use the Whole Foods Market NoMad line only if retailer_checked_date is this week's Friday check</v>
      </c>
      <c r="AC171" s="0" t="str">
        <f aca="false">IF($A171="","",IF(AT171="Y",BR171&amp;"",BE171&amp;""))</f>
        <v>founder</v>
      </c>
      <c r="AD171" s="0" t="str">
        <f aca="false">IF($A171="","",IF(AT171="Y",BS171&amp;"",BF171&amp;""))</f>
        <v>verified-page</v>
      </c>
      <c r="AE171" s="0" t="str">
        <f aca="false">IF($A171="","",IF(AT171="Y",BT171&amp;"",BG171&amp;""))</f>
        <v>press, event or podcast page</v>
      </c>
      <c r="AF171" s="0" t="str">
        <f aca="false">IF($A171="","",IF(AT171="Y",BU171&amp;"",BH171&amp;""))</f>
        <v>https://www.snackandbakery.com/articles/115026-investment-firm-snaps-up-the-good-crisp-company</v>
      </c>
      <c r="AG171" s="0" t="str">
        <f aca="false">IF($A171="","",IF(AT171="Y",BV171&amp;"",BI171&amp;""))</f>
        <v>2026-10-23</v>
      </c>
      <c r="AH171" s="0" t="s">
        <v>9504</v>
      </c>
      <c r="AI171" s="0" t="s">
        <v>5789</v>
      </c>
      <c r="AJ171" s="0" t="s">
        <v>9505</v>
      </c>
      <c r="AK171" s="0" t="s">
        <v>9506</v>
      </c>
      <c r="AL171" s="0" t="s">
        <v>164</v>
      </c>
      <c r="AM171" s="0" t="s">
        <v>9507</v>
      </c>
      <c r="AN171" s="0" t="s">
        <v>9498</v>
      </c>
      <c r="AO171" s="5" t="s">
        <v>189</v>
      </c>
      <c r="AR171" s="0" t="str">
        <f aca="false">IF($A171="","",IF(AND(CK171="pass",AO171&lt;&gt;"Y",C171&lt;&gt;"",OR(AU171&lt;&gt;"Y",AV171="Y")),"Y","N"))</f>
        <v>N</v>
      </c>
      <c r="AS171" s="0" t="str">
        <f aca="false">IF($A171="","",_xlfn.TEXTJOIN("; ",TRUE(),IF(CK171&lt;&gt;"pass","gated out",""),IF(AO171="Y","on hold: "&amp;AP171,""),IF(C171="","no contact named on an opened page",""),IF(AND(AU171="Y",AV171&lt;&gt;"Y"),"founder review pending (Founder review tab)","")))</f>
        <v>founder review pending (Founder review tab)</v>
      </c>
      <c r="AU171" s="0" t="s">
        <v>164</v>
      </c>
      <c r="AX171" s="0" t="s">
        <v>9508</v>
      </c>
      <c r="AY171" s="0" t="s">
        <v>6749</v>
      </c>
      <c r="AZ171" s="0" t="s">
        <v>9509</v>
      </c>
      <c r="BA171" s="0" t="s">
        <v>5739</v>
      </c>
      <c r="BC171" s="0" t="str">
        <f aca="false">IF($A171="","",IFERROR(INDEX(Enrichment!$A$2:$GZ$2000,MATCH($A171,INDEX(Enrichment!$A$2:$GZ$2000,0,MATCH("row_id",Enrichment!$A$1:$GZ$1,0)),0),MATCH("work_email",Enrichment!$A$1:$GZ$1,0))&amp;"",""))</f>
        <v/>
      </c>
      <c r="BD171" s="0" t="str">
        <f aca="false">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none</v>
      </c>
      <c r="BE171" s="0" t="s">
        <v>5589</v>
      </c>
      <c r="BF171" s="0" t="s">
        <v>169</v>
      </c>
      <c r="BG171" s="0" t="s">
        <v>1252</v>
      </c>
      <c r="BH171" s="0" t="s">
        <v>9501</v>
      </c>
      <c r="BI171" s="0" t="s">
        <v>263</v>
      </c>
      <c r="BJ171" s="0" t="s">
        <v>9510</v>
      </c>
      <c r="BK171" s="0" t="s">
        <v>5643</v>
      </c>
      <c r="BP171" s="0" t="str">
        <f aca="false">IF($A171="","",IFERROR(INDEX(Enrichment!$A$2:$GZ$2000,MATCH($A171,INDEX(Enrichment!$A$2:$GZ$2000,0,MATCH("row_id",Enrichment!$A$1:$GZ$1,0)),0),MATCH("backup_work_email",Enrichment!$A$1:$GZ$1,0))&amp;"",""))</f>
        <v/>
      </c>
      <c r="BQ171" s="0" t="str">
        <f aca="false">IF($A171="","",IF(BP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none</v>
      </c>
      <c r="BS171" s="0" t="s">
        <v>380</v>
      </c>
      <c r="BW171" s="0" t="s">
        <v>5741</v>
      </c>
      <c r="BX171" s="0" t="s">
        <v>388</v>
      </c>
      <c r="BY171" s="0" t="s">
        <v>9511</v>
      </c>
      <c r="BZ171" s="0" t="s">
        <v>9512</v>
      </c>
      <c r="CB171" s="0" t="s">
        <v>9513</v>
      </c>
      <c r="CJ171" s="0" t="s">
        <v>7088</v>
      </c>
      <c r="CK171" s="0" t="s">
        <v>200</v>
      </c>
      <c r="CM171" s="0" t="s">
        <v>201</v>
      </c>
      <c r="CN171" s="0" t="s">
        <v>9514</v>
      </c>
      <c r="CO171" s="0" t="s">
        <v>9506</v>
      </c>
      <c r="CP171" s="0" t="s">
        <v>7145</v>
      </c>
      <c r="CQ171" s="0" t="s">
        <v>7235</v>
      </c>
      <c r="CR171" s="0" t="s">
        <v>9515</v>
      </c>
      <c r="CT171" s="0" t="s">
        <v>164</v>
      </c>
      <c r="CU171" s="0" t="s">
        <v>9516</v>
      </c>
      <c r="CV171" s="0" t="s">
        <v>189</v>
      </c>
      <c r="CW171" s="0" t="s">
        <v>164</v>
      </c>
      <c r="CX171" s="0" t="s">
        <v>209</v>
      </c>
      <c r="CZ171" s="0" t="s">
        <v>209</v>
      </c>
      <c r="DA171" s="0" t="s">
        <v>189</v>
      </c>
      <c r="DB171" s="0" t="s">
        <v>189</v>
      </c>
      <c r="DD171" s="0" t="n">
        <v>0</v>
      </c>
      <c r="DE171" s="0" t="s">
        <v>164</v>
      </c>
      <c r="DF171" s="0" t="n">
        <v>3</v>
      </c>
      <c r="DG171" s="0" t="s">
        <v>5686</v>
      </c>
      <c r="DI171" s="0" t="s">
        <v>6054</v>
      </c>
      <c r="DJ171" s="0" t="s">
        <v>9517</v>
      </c>
      <c r="DK171" s="0" t="s">
        <v>5617</v>
      </c>
      <c r="DL171" s="0" t="n">
        <v>281</v>
      </c>
      <c r="DN171" s="0" t="n">
        <v>29</v>
      </c>
      <c r="DO171" s="0" t="n">
        <v>25</v>
      </c>
      <c r="DP171" s="0" t="n">
        <v>3</v>
      </c>
      <c r="DQ171" s="0" t="n">
        <v>8</v>
      </c>
      <c r="DR171" s="0" t="n">
        <v>5</v>
      </c>
      <c r="DS171" s="0" t="n">
        <v>7</v>
      </c>
      <c r="DT171" s="0" t="n">
        <v>6</v>
      </c>
      <c r="DU171" s="0" t="n">
        <f aca="false">IF($A171="","",IF(R171="Y",10,0))</f>
        <v>0</v>
      </c>
      <c r="DV171" s="0" t="n">
        <v>-25</v>
      </c>
      <c r="DW171" s="0" t="s">
        <v>209</v>
      </c>
      <c r="DX171" s="0" t="s">
        <v>5814</v>
      </c>
      <c r="DY171" s="0" t="s">
        <v>9518</v>
      </c>
      <c r="DZ171" s="0" t="s">
        <v>9519</v>
      </c>
      <c r="EA171" s="0" t="s">
        <v>9520</v>
      </c>
      <c r="EV171" s="0" t="str">
        <f aca="false">IF($A171="","",IF(ISNUMBER(MATCH(U171,{"queued","contacted","replied","call_booked","call_done","yes_in_principle","materials_sent"},0)),"Y","N"))</f>
        <v>N</v>
      </c>
      <c r="EW171" s="0" t="str">
        <f aca="false">IF($A171="","",IF(OR(T171="Y",U171="do_not_contact",AQ171&amp;""&lt;&gt;""),"Y","N"))</f>
        <v>N</v>
      </c>
      <c r="EX171" s="0" t="str">
        <f aca="false">IF($A171="","",IF(AN171&amp;""&lt;&gt;"",AN171&amp;"",$A171))</f>
        <v>AB-045</v>
      </c>
      <c r="EY171" s="0" t="str">
        <f aca="false">IF($A171="","",IF(COUNTIFS($EX$2:$EX$1000,EX171,$EV$2:$EV$1000,"Y")+COUNTIFS($EX$2:$EX$1000,EX171,$EW$2:$EW$1000,"Y")&gt;0,"Y","N"))</f>
        <v>N</v>
      </c>
      <c r="EZ171" s="0" t="str">
        <f aca="false">IF($A171="","",IF(AND(U171="new",T171="N",EW171="N",AR171="Y",EY171="N"),"Y","N"))</f>
        <v>N</v>
      </c>
      <c r="FA171" s="0" t="str">
        <f aca="false">IF($A171="","",IF(EZ171&lt;&gt;"Y","N",IF(COUNTIFS($EX$2:$EX$1000,EX171,$EZ$2:$EZ$1000,"Y",$J$2:$J$1000,"&gt;"&amp;J171)+COUNTIFS($EX$2:$EX$1000,EX171,$EZ$2:$EZ$1000,"Y",$J$2:$J$1000,J171,$FG$2:$FG$1000,"&lt;"&amp;FG171)=0,"Y","N")))</f>
        <v>N</v>
      </c>
      <c r="FB171" s="0" t="str">
        <f aca="false">IF($A171="","",IF(AND(EZ171="Y",FA171="Y",Y171&amp;""&lt;&gt;""),IF(Y171&lt;=10,"Y","N"),"N"))</f>
        <v>N</v>
      </c>
      <c r="FC171" s="0" t="str">
        <f aca="false">IF(FB171="Y",Y171,"")</f>
        <v/>
      </c>
      <c r="FD171" s="0" t="str">
        <f aca="false">IF($A171="","",IF(AND(CK171="pass",AU171="Y",AV171&lt;&gt;"Y",U171="new",EW171="N"),"Y","N"))</f>
        <v>Y</v>
      </c>
      <c r="FE171" s="0" t="str">
        <f aca="false">IF(FD171&lt;&gt;"Y","",IF(COUNTIFS($FD$2:$FD$1000,"Y",$J$2:$J$1000,"&gt;"&amp;J171)+COUNTIFS($FD$2:$FD$1000,"Y",$J$2:$J$1000,J171,$FG$2:$FG$1000,"&lt;"&amp;FG171)+1&lt;=30,COUNTIFS($FD$2:$FD$1000,"Y",$J$2:$J$1000,"&gt;"&amp;J171)+COUNTIFS($FD$2:$FD$1000,"Y",$J$2:$J$1000,J171,$FG$2:$FG$1000,"&lt;"&amp;FG171)+1,""))</f>
        <v/>
      </c>
      <c r="FF171" s="0" t="str">
        <f aca="false">IF(AND(_xlfn.ISFORMULA(C171),_xlfn.ISFORMULA(J171)),"Y","N")</f>
        <v>Y</v>
      </c>
      <c r="FG171" s="0" t="n">
        <f aca="false">ROW()-1</f>
        <v>170</v>
      </c>
    </row>
    <row r="172" customFormat="false" ht="15" hidden="false" customHeight="false" outlineLevel="0" collapsed="false">
      <c r="A172" s="0" t="s">
        <v>9521</v>
      </c>
      <c r="B172" s="0" t="s">
        <v>9522</v>
      </c>
      <c r="C172" s="0" t="str">
        <f aca="false">IF($A172="","",IF(AT172="Y",BL172&amp;"",AY172&amp;""))</f>
        <v>Mike</v>
      </c>
      <c r="D172" s="0" t="str">
        <f aca="false">IF($A172="","",IF(AT172="Y",BM172&amp;"",AZ172&amp;""))</f>
        <v>Brown</v>
      </c>
      <c r="E172" s="0" t="str">
        <f aca="false">IF($A172="","",IF(AT172="Y",BN172&amp;"",BA172&amp;""))</f>
        <v>Founder</v>
      </c>
      <c r="F172" s="0" t="str">
        <f aca="false">IF($A172="","",IF(AT172="Y",BO172&amp;"",BB172&amp;""))</f>
        <v/>
      </c>
      <c r="G172" s="0" t="str">
        <f aca="false">IF($A172="","",IF(AT172="Y",BP172&amp;"",BC172&amp;""))</f>
        <v/>
      </c>
      <c r="H172" s="0" t="str">
        <f aca="false">IF($A172="","",IF(AT172="Y",BQ172&amp;"",BD172&amp;""))</f>
        <v>none</v>
      </c>
      <c r="I172" s="0" t="str">
        <f aca="false">IF($A172="","",IF(R172="Y","warm-intro",IF(H172="verified","email",IF(C172&lt;&gt;"","linkedin",CA172&amp;""))))</f>
        <v>linkedin</v>
      </c>
      <c r="J172" s="0" t="n">
        <f aca="false">IF($A172="","",IF(CK172="pass",ROUND(N(DO172)+N(DP172)+N(DQ172)+N(DR172)+N(DS172)+N(DT172)+N(DU172)+N(DV172),0),0))</f>
        <v>29</v>
      </c>
      <c r="K172" s="0" t="str">
        <f aca="false">IF($A172="","",IF(CK172&lt;&gt;"pass",BY172&amp;"",BY172&amp;", "&amp;IF(AT172="Y",BX172&amp;"",BK172&amp;"")&amp;BZ172&amp;IF(R172="Y","; known to the founder (+10)","")&amp;"."))</f>
        <v>New York State brand, no graded store within ten blocks, online store only, a new store listing 204 days ago, revenue unknown, contact named; founder review: scale, nutrient-claim.</v>
      </c>
      <c r="M172" s="0" t="s">
        <v>6144</v>
      </c>
      <c r="N172" s="0" t="s">
        <v>740</v>
      </c>
      <c r="O172" s="0" t="s">
        <v>9523</v>
      </c>
      <c r="P172" s="0" t="s">
        <v>9524</v>
      </c>
      <c r="Q172" s="0" t="s">
        <v>9525</v>
      </c>
      <c r="R172" s="5" t="s">
        <v>189</v>
      </c>
      <c r="S172" s="0" t="s">
        <v>209</v>
      </c>
      <c r="T172" s="5" t="s">
        <v>189</v>
      </c>
      <c r="U172" s="5" t="s">
        <v>3896</v>
      </c>
      <c r="V172" s="0" t="s">
        <v>9526</v>
      </c>
      <c r="W172" s="0" t="s">
        <v>263</v>
      </c>
      <c r="X172" s="0" t="s">
        <v>5578</v>
      </c>
      <c r="Y172" s="0" t="str">
        <f aca="false">IF(FA172&lt;&gt;"Y","",COUNTIFS($FA$2:$FA$1000,"Y",$J$2:$J$1000,"&gt;"&amp;J172)+COUNTIFS($FA$2:$FA$1000,"Y",$J$2:$J$1000,J172,$FG$2:$FG$1000,"&lt;"&amp;FG172)+1)</f>
        <v/>
      </c>
      <c r="Z172" s="0" t="n">
        <v>171</v>
      </c>
      <c r="AA172" s="0" t="s">
        <v>189</v>
      </c>
      <c r="AB172" s="0" t="str">
        <f aca="false">IF($A172="","",IF(AT172="Y",BW172&amp;"",BJ172&amp;""))</f>
        <v>find Mike Brown at Death Wish Coffee on LinkedIn and paste the profile URL into primary_linkedin_url</v>
      </c>
      <c r="AC172" s="0" t="str">
        <f aca="false">IF($A172="","",IF(AT172="Y",BR172&amp;"",BE172&amp;""))</f>
        <v>founder</v>
      </c>
      <c r="AD172" s="0" t="str">
        <f aca="false">IF($A172="","",IF(AT172="Y",BS172&amp;"",BF172&amp;""))</f>
        <v>verified-page</v>
      </c>
      <c r="AE172" s="0" t="str">
        <f aca="false">IF($A172="","",IF(AT172="Y",BT172&amp;"",BG172&amp;""))</f>
        <v>employer's own site</v>
      </c>
      <c r="AF172" s="0" t="str">
        <f aca="false">IF($A172="","",IF(AT172="Y",BU172&amp;"",BH172&amp;""))</f>
        <v>https://www.deathwishcoffee.com/pages/about</v>
      </c>
      <c r="AG172" s="0" t="str">
        <f aca="false">IF($A172="","",IF(AT172="Y",BV172&amp;"",BI172&amp;""))</f>
        <v>2026-10-23</v>
      </c>
      <c r="AH172" s="0" t="s">
        <v>9527</v>
      </c>
      <c r="AI172" s="0" t="s">
        <v>6473</v>
      </c>
      <c r="AJ172" s="0" t="s">
        <v>9528</v>
      </c>
      <c r="AK172" s="0" t="s">
        <v>9524</v>
      </c>
      <c r="AL172" s="0" t="s">
        <v>164</v>
      </c>
      <c r="AM172" s="0" t="s">
        <v>9529</v>
      </c>
      <c r="AN172" s="0" t="s">
        <v>9521</v>
      </c>
      <c r="AO172" s="5" t="s">
        <v>189</v>
      </c>
      <c r="AR172" s="0" t="str">
        <f aca="false">IF($A172="","",IF(AND(CK172="pass",AO172&lt;&gt;"Y",C172&lt;&gt;"",OR(AU172&lt;&gt;"Y",AV172="Y")),"Y","N"))</f>
        <v>N</v>
      </c>
      <c r="AS172" s="0" t="str">
        <f aca="false">IF($A172="","",_xlfn.TEXTJOIN("; ",TRUE(),IF(CK172&lt;&gt;"pass","gated out",""),IF(AO172="Y","on hold: "&amp;AP172,""),IF(C172="","no contact named on an opened page",""),IF(AND(AU172="Y",AV172&lt;&gt;"Y"),"founder review pending (Founder review tab)","")))</f>
        <v>founder review pending (Founder review tab)</v>
      </c>
      <c r="AU172" s="0" t="s">
        <v>164</v>
      </c>
      <c r="AY172" s="0" t="s">
        <v>9530</v>
      </c>
      <c r="AZ172" s="0" t="s">
        <v>9531</v>
      </c>
      <c r="BA172" s="0" t="s">
        <v>5739</v>
      </c>
      <c r="BC172" s="0" t="str">
        <f aca="false">IF($A172="","",IFERROR(INDEX(Enrichment!$A$2:$GZ$2000,MATCH($A172,INDEX(Enrichment!$A$2:$GZ$2000,0,MATCH("row_id",Enrichment!$A$1:$GZ$1,0)),0),MATCH("work_email",Enrichment!$A$1:$GZ$1,0))&amp;"",""))</f>
        <v/>
      </c>
      <c r="BD172" s="0" t="str">
        <f aca="false">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none</v>
      </c>
      <c r="BE172" s="0" t="s">
        <v>5589</v>
      </c>
      <c r="BF172" s="0" t="s">
        <v>169</v>
      </c>
      <c r="BG172" s="0" t="s">
        <v>170</v>
      </c>
      <c r="BH172" s="0" t="s">
        <v>9526</v>
      </c>
      <c r="BI172" s="0" t="s">
        <v>263</v>
      </c>
      <c r="BJ172" s="0" t="s">
        <v>9532</v>
      </c>
      <c r="BK172" s="0" t="s">
        <v>5643</v>
      </c>
      <c r="BP172" s="0" t="str">
        <f aca="false">IF($A172="","",IFERROR(INDEX(Enrichment!$A$2:$GZ$2000,MATCH($A172,INDEX(Enrichment!$A$2:$GZ$2000,0,MATCH("row_id",Enrichment!$A$1:$GZ$1,0)),0),MATCH("backup_work_email",Enrichment!$A$1:$GZ$1,0))&amp;"",""))</f>
        <v/>
      </c>
      <c r="BQ172" s="0" t="str">
        <f aca="false">IF($A172="","",IF(BP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none</v>
      </c>
      <c r="BS172" s="0" t="s">
        <v>380</v>
      </c>
      <c r="BW172" s="0" t="s">
        <v>387</v>
      </c>
      <c r="BX172" s="0" t="s">
        <v>388</v>
      </c>
      <c r="BY172" s="0" t="s">
        <v>9533</v>
      </c>
      <c r="BZ172" s="0" t="s">
        <v>6105</v>
      </c>
      <c r="CB172" s="0" t="s">
        <v>9534</v>
      </c>
      <c r="CJ172" s="0" t="s">
        <v>7088</v>
      </c>
      <c r="CK172" s="0" t="s">
        <v>200</v>
      </c>
      <c r="CM172" s="0" t="s">
        <v>201</v>
      </c>
      <c r="CN172" s="0" t="s">
        <v>6108</v>
      </c>
      <c r="CO172" s="0" t="s">
        <v>9535</v>
      </c>
      <c r="CP172" s="0" t="s">
        <v>5608</v>
      </c>
      <c r="CQ172" s="0" t="s">
        <v>5870</v>
      </c>
      <c r="CR172" s="0" t="s">
        <v>209</v>
      </c>
      <c r="CT172" s="0" t="s">
        <v>209</v>
      </c>
      <c r="CU172" s="0" t="s">
        <v>9536</v>
      </c>
      <c r="CV172" s="0" t="s">
        <v>164</v>
      </c>
      <c r="CW172" s="0" t="s">
        <v>164</v>
      </c>
      <c r="CX172" s="0" t="s">
        <v>209</v>
      </c>
      <c r="CZ172" s="0" t="s">
        <v>6456</v>
      </c>
      <c r="DA172" s="0" t="s">
        <v>189</v>
      </c>
      <c r="DB172" s="0" t="s">
        <v>189</v>
      </c>
      <c r="DE172" s="0" t="s">
        <v>189</v>
      </c>
      <c r="DF172" s="0" t="n">
        <v>0</v>
      </c>
      <c r="DI172" s="0" t="s">
        <v>8592</v>
      </c>
      <c r="DK172" s="0" t="s">
        <v>5689</v>
      </c>
      <c r="DL172" s="0" t="n">
        <v>204</v>
      </c>
      <c r="DN172" s="0" t="n">
        <v>29</v>
      </c>
      <c r="DO172" s="0" t="n">
        <v>6</v>
      </c>
      <c r="DP172" s="0" t="n">
        <v>13</v>
      </c>
      <c r="DQ172" s="0" t="n">
        <v>4</v>
      </c>
      <c r="DR172" s="0" t="n">
        <v>5</v>
      </c>
      <c r="DS172" s="0" t="n">
        <v>7</v>
      </c>
      <c r="DT172" s="0" t="n">
        <v>6</v>
      </c>
      <c r="DU172" s="0" t="n">
        <f aca="false">IF($A172="","",IF(R172="Y",10,0))</f>
        <v>0</v>
      </c>
      <c r="DV172" s="0" t="n">
        <v>-12</v>
      </c>
      <c r="DW172" s="0" t="s">
        <v>9537</v>
      </c>
      <c r="DX172" s="0" t="s">
        <v>6462</v>
      </c>
      <c r="DY172" s="0" t="s">
        <v>9538</v>
      </c>
      <c r="DZ172" s="0" t="s">
        <v>9539</v>
      </c>
      <c r="EV172" s="0" t="str">
        <f aca="false">IF($A172="","",IF(ISNUMBER(MATCH(U172,{"queued","contacted","replied","call_booked","call_done","yes_in_principle","materials_sent"},0)),"Y","N"))</f>
        <v>N</v>
      </c>
      <c r="EW172" s="0" t="str">
        <f aca="false">IF($A172="","",IF(OR(T172="Y",U172="do_not_contact",AQ172&amp;""&lt;&gt;""),"Y","N"))</f>
        <v>N</v>
      </c>
      <c r="EX172" s="0" t="str">
        <f aca="false">IF($A172="","",IF(AN172&amp;""&lt;&gt;"",AN172&amp;"",$A172))</f>
        <v>AB-161</v>
      </c>
      <c r="EY172" s="0" t="str">
        <f aca="false">IF($A172="","",IF(COUNTIFS($EX$2:$EX$1000,EX172,$EV$2:$EV$1000,"Y")+COUNTIFS($EX$2:$EX$1000,EX172,$EW$2:$EW$1000,"Y")&gt;0,"Y","N"))</f>
        <v>N</v>
      </c>
      <c r="EZ172" s="0" t="str">
        <f aca="false">IF($A172="","",IF(AND(U172="new",T172="N",EW172="N",AR172="Y",EY172="N"),"Y","N"))</f>
        <v>N</v>
      </c>
      <c r="FA172" s="0" t="str">
        <f aca="false">IF($A172="","",IF(EZ172&lt;&gt;"Y","N",IF(COUNTIFS($EX$2:$EX$1000,EX172,$EZ$2:$EZ$1000,"Y",$J$2:$J$1000,"&gt;"&amp;J172)+COUNTIFS($EX$2:$EX$1000,EX172,$EZ$2:$EZ$1000,"Y",$J$2:$J$1000,J172,$FG$2:$FG$1000,"&lt;"&amp;FG172)=0,"Y","N")))</f>
        <v>N</v>
      </c>
      <c r="FB172" s="0" t="str">
        <f aca="false">IF($A172="","",IF(AND(EZ172="Y",FA172="Y",Y172&amp;""&lt;&gt;""),IF(Y172&lt;=10,"Y","N"),"N"))</f>
        <v>N</v>
      </c>
      <c r="FC172" s="0" t="str">
        <f aca="false">IF(FB172="Y",Y172,"")</f>
        <v/>
      </c>
      <c r="FD172" s="0" t="str">
        <f aca="false">IF($A172="","",IF(AND(CK172="pass",AU172="Y",AV172&lt;&gt;"Y",U172="new",EW172="N"),"Y","N"))</f>
        <v>Y</v>
      </c>
      <c r="FE172" s="0" t="str">
        <f aca="false">IF(FD172&lt;&gt;"Y","",IF(COUNTIFS($FD$2:$FD$1000,"Y",$J$2:$J$1000,"&gt;"&amp;J172)+COUNTIFS($FD$2:$FD$1000,"Y",$J$2:$J$1000,J172,$FG$2:$FG$1000,"&lt;"&amp;FG172)+1&lt;=30,COUNTIFS($FD$2:$FD$1000,"Y",$J$2:$J$1000,"&gt;"&amp;J172)+COUNTIFS($FD$2:$FD$1000,"Y",$J$2:$J$1000,J172,$FG$2:$FG$1000,"&lt;"&amp;FG172)+1,""))</f>
        <v/>
      </c>
      <c r="FF172" s="0" t="str">
        <f aca="false">IF(AND(_xlfn.ISFORMULA(C172),_xlfn.ISFORMULA(J172)),"Y","N")</f>
        <v>Y</v>
      </c>
      <c r="FG172" s="0" t="n">
        <f aca="false">ROW()-1</f>
        <v>171</v>
      </c>
    </row>
    <row r="173" customFormat="false" ht="15" hidden="false" customHeight="false" outlineLevel="0" collapsed="false">
      <c r="A173" s="0" t="s">
        <v>9540</v>
      </c>
      <c r="B173" s="0" t="s">
        <v>9541</v>
      </c>
      <c r="C173" s="0" t="str">
        <f aca="false">IF($A173="","",IF(AT173="Y",BL173&amp;"",AY173&amp;""))</f>
        <v>Michael</v>
      </c>
      <c r="D173" s="0" t="str">
        <f aca="false">IF($A173="","",IF(AT173="Y",BM173&amp;"",AZ173&amp;""))</f>
        <v>Smulders</v>
      </c>
      <c r="E173" s="0" t="str">
        <f aca="false">IF($A173="","",IF(AT173="Y",BN173&amp;"",BA173&amp;""))</f>
        <v>Founder</v>
      </c>
      <c r="F173" s="0" t="str">
        <f aca="false">IF($A173="","",IF(AT173="Y",BO173&amp;"",BB173&amp;""))</f>
        <v/>
      </c>
      <c r="G173" s="0" t="str">
        <f aca="false">IF($A173="","",IF(AT173="Y",BP173&amp;"",BC173&amp;""))</f>
        <v/>
      </c>
      <c r="H173" s="0" t="str">
        <f aca="false">IF($A173="","",IF(AT173="Y",BQ173&amp;"",BD173&amp;""))</f>
        <v>none</v>
      </c>
      <c r="I173" s="0" t="str">
        <f aca="false">IF($A173="","",IF(R173="Y","warm-intro",IF(H173="verified","email",IF(C173&lt;&gt;"","linkedin",CA173&amp;""))))</f>
        <v>linkedin</v>
      </c>
      <c r="J173" s="0" t="n">
        <f aca="false">IF($A173="","",IF(CK173="pass",ROUND(N(DO173)+N(DP173)+N(DQ173)+N(DR173)+N(DS173)+N(DT173)+N(DU173)+N(DV173),0),0))</f>
        <v>29</v>
      </c>
      <c r="K173" s="0" t="str">
        <f aca="false">IF($A173="","",IF(CK173&lt;&gt;"pass",BY173&amp;"",BY173&amp;", "&amp;IF(AT173="Y",BX173&amp;"",BK173&amp;"")&amp;BZ173&amp;IF(R173="Y","; known to the founder (+10)","")&amp;"."))</f>
        <v>Northeast brand, no graded store within ten blocks, online store only, no dated why-now in the last 12 months, revenue unknown, contact named; founder review: other, format-unconfirmed.</v>
      </c>
      <c r="M173" s="0" t="s">
        <v>6144</v>
      </c>
      <c r="N173" s="0" t="s">
        <v>740</v>
      </c>
      <c r="R173" s="5" t="s">
        <v>189</v>
      </c>
      <c r="S173" s="0" t="s">
        <v>209</v>
      </c>
      <c r="T173" s="5" t="s">
        <v>189</v>
      </c>
      <c r="U173" s="5" t="s">
        <v>3896</v>
      </c>
      <c r="V173" s="0" t="s">
        <v>9542</v>
      </c>
      <c r="W173" s="0" t="s">
        <v>263</v>
      </c>
      <c r="X173" s="0" t="s">
        <v>5578</v>
      </c>
      <c r="Y173" s="0" t="n">
        <f aca="false">IF(FA173&lt;&gt;"Y","",COUNTIFS($FA$2:$FA$1000,"Y",$J$2:$J$1000,"&gt;"&amp;J173)+COUNTIFS($FA$2:$FA$1000,"Y",$J$2:$J$1000,J173,$FG$2:$FG$1000,"&lt;"&amp;FG173)+1)</f>
        <v>61</v>
      </c>
      <c r="Z173" s="0" t="n">
        <v>172</v>
      </c>
      <c r="AA173" s="0" t="s">
        <v>189</v>
      </c>
      <c r="AB173" s="0" t="str">
        <f aca="false">IF($A173="","",IF(AT173="Y",BW173&amp;"",BJ173&amp;""))</f>
        <v>find Michael Smulders at Bakery on Main on LinkedIn and paste the profile URL into primary_linkedin_url</v>
      </c>
      <c r="AC173" s="0" t="str">
        <f aca="false">IF($A173="","",IF(AT173="Y",BR173&amp;"",BE173&amp;""))</f>
        <v>founder</v>
      </c>
      <c r="AD173" s="0" t="str">
        <f aca="false">IF($A173="","",IF(AT173="Y",BS173&amp;"",BF173&amp;""))</f>
        <v>verified-page</v>
      </c>
      <c r="AE173" s="0" t="str">
        <f aca="false">IF($A173="","",IF(AT173="Y",BT173&amp;"",BG173&amp;""))</f>
        <v>employer's own site</v>
      </c>
      <c r="AF173" s="0" t="str">
        <f aca="false">IF($A173="","",IF(AT173="Y",BU173&amp;"",BH173&amp;""))</f>
        <v>https://bakeryonmain.com/about/</v>
      </c>
      <c r="AG173" s="0" t="str">
        <f aca="false">IF($A173="","",IF(AT173="Y",BV173&amp;"",BI173&amp;""))</f>
        <v>2026-10-23</v>
      </c>
      <c r="AH173" s="0" t="s">
        <v>9543</v>
      </c>
      <c r="AI173" s="0" t="s">
        <v>6007</v>
      </c>
      <c r="AJ173" s="0" t="s">
        <v>9544</v>
      </c>
      <c r="AK173" s="0" t="s">
        <v>9545</v>
      </c>
      <c r="AL173" s="0" t="s">
        <v>164</v>
      </c>
      <c r="AM173" s="0" t="s">
        <v>9546</v>
      </c>
      <c r="AN173" s="0" t="s">
        <v>9540</v>
      </c>
      <c r="AO173" s="5" t="s">
        <v>189</v>
      </c>
      <c r="AR173" s="0" t="str">
        <f aca="false">IF($A173="","",IF(AND(CK173="pass",AO173&lt;&gt;"Y",C173&lt;&gt;"",OR(AU173&lt;&gt;"Y",AV173="Y")),"Y","N"))</f>
        <v>Y</v>
      </c>
      <c r="AS173" s="0" t="str">
        <f aca="false">IF($A173="","",_xlfn.TEXTJOIN("; ",TRUE(),IF(CK173&lt;&gt;"pass","gated out",""),IF(AO173="Y","on hold: "&amp;AP173,""),IF(C173="","no contact named on an opened page",""),IF(AND(AU173="Y",AV173&lt;&gt;"Y"),"founder review pending (Founder review tab)","")))</f>
        <v/>
      </c>
      <c r="AU173" s="0" t="s">
        <v>189</v>
      </c>
      <c r="AY173" s="0" t="s">
        <v>6480</v>
      </c>
      <c r="AZ173" s="0" t="s">
        <v>9547</v>
      </c>
      <c r="BA173" s="0" t="s">
        <v>5739</v>
      </c>
      <c r="BC173" s="0" t="str">
        <f aca="false">IF($A173="","",IFERROR(INDEX(Enrichment!$A$2:$GZ$2000,MATCH($A173,INDEX(Enrichment!$A$2:$GZ$2000,0,MATCH("row_id",Enrichment!$A$1:$GZ$1,0)),0),MATCH("work_email",Enrichment!$A$1:$GZ$1,0))&amp;"",""))</f>
        <v/>
      </c>
      <c r="BD173" s="0" t="str">
        <f aca="false">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none</v>
      </c>
      <c r="BE173" s="0" t="s">
        <v>5589</v>
      </c>
      <c r="BF173" s="0" t="s">
        <v>169</v>
      </c>
      <c r="BG173" s="0" t="s">
        <v>170</v>
      </c>
      <c r="BH173" s="0" t="s">
        <v>9542</v>
      </c>
      <c r="BI173" s="0" t="s">
        <v>263</v>
      </c>
      <c r="BJ173" s="0" t="s">
        <v>9548</v>
      </c>
      <c r="BK173" s="0" t="s">
        <v>5643</v>
      </c>
      <c r="BP173" s="0" t="str">
        <f aca="false">IF($A173="","",IFERROR(INDEX(Enrichment!$A$2:$GZ$2000,MATCH($A173,INDEX(Enrichment!$A$2:$GZ$2000,0,MATCH("row_id",Enrichment!$A$1:$GZ$1,0)),0),MATCH("backup_work_email",Enrichment!$A$1:$GZ$1,0))&amp;"",""))</f>
        <v/>
      </c>
      <c r="BQ173" s="0" t="str">
        <f aca="false">IF($A173="","",IF(BP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none</v>
      </c>
      <c r="BS173" s="0" t="s">
        <v>380</v>
      </c>
      <c r="BW173" s="0" t="s">
        <v>387</v>
      </c>
      <c r="BX173" s="0" t="s">
        <v>388</v>
      </c>
      <c r="BY173" s="0" t="s">
        <v>9549</v>
      </c>
      <c r="BZ173" s="0" t="s">
        <v>7168</v>
      </c>
      <c r="CB173" s="0" t="s">
        <v>9550</v>
      </c>
      <c r="CJ173" s="0" t="s">
        <v>7088</v>
      </c>
      <c r="CK173" s="0" t="s">
        <v>200</v>
      </c>
      <c r="CM173" s="0" t="s">
        <v>201</v>
      </c>
      <c r="CN173" s="0" t="s">
        <v>7171</v>
      </c>
      <c r="CO173" s="0" t="s">
        <v>9551</v>
      </c>
      <c r="CP173" s="0" t="s">
        <v>7450</v>
      </c>
      <c r="CQ173" s="0" t="s">
        <v>6084</v>
      </c>
      <c r="CR173" s="0" t="s">
        <v>209</v>
      </c>
      <c r="CT173" s="0" t="s">
        <v>352</v>
      </c>
      <c r="CU173" s="0" t="s">
        <v>9552</v>
      </c>
      <c r="CV173" s="0" t="s">
        <v>209</v>
      </c>
      <c r="CW173" s="0" t="s">
        <v>164</v>
      </c>
      <c r="CX173" s="0" t="s">
        <v>209</v>
      </c>
      <c r="CZ173" s="0" t="s">
        <v>209</v>
      </c>
      <c r="DA173" s="0" t="s">
        <v>189</v>
      </c>
      <c r="DB173" s="0" t="s">
        <v>189</v>
      </c>
      <c r="DE173" s="0" t="s">
        <v>189</v>
      </c>
      <c r="DF173" s="0" t="n">
        <v>0</v>
      </c>
      <c r="DI173" s="0" t="s">
        <v>9553</v>
      </c>
      <c r="DJ173" s="0" t="s">
        <v>9554</v>
      </c>
      <c r="DK173" s="0" t="s">
        <v>380</v>
      </c>
      <c r="DN173" s="0" t="n">
        <v>29</v>
      </c>
      <c r="DO173" s="0" t="n">
        <v>6</v>
      </c>
      <c r="DP173" s="0" t="n">
        <v>8</v>
      </c>
      <c r="DQ173" s="0" t="n">
        <v>0</v>
      </c>
      <c r="DR173" s="0" t="n">
        <v>5</v>
      </c>
      <c r="DS173" s="0" t="n">
        <v>6</v>
      </c>
      <c r="DT173" s="0" t="n">
        <v>6</v>
      </c>
      <c r="DU173" s="0" t="n">
        <f aca="false">IF($A173="","",IF(R173="Y",10,0))</f>
        <v>0</v>
      </c>
      <c r="DV173" s="0" t="n">
        <v>-2</v>
      </c>
      <c r="DW173" s="0" t="s">
        <v>9555</v>
      </c>
      <c r="DX173" s="0" t="s">
        <v>5691</v>
      </c>
      <c r="DY173" s="0" t="s">
        <v>9556</v>
      </c>
      <c r="DZ173" s="0" t="s">
        <v>9557</v>
      </c>
      <c r="EA173" s="0" t="s">
        <v>9558</v>
      </c>
      <c r="EV173" s="0" t="str">
        <f aca="false">IF($A173="","",IF(ISNUMBER(MATCH(U173,{"queued","contacted","replied","call_booked","call_done","yes_in_principle","materials_sent"},0)),"Y","N"))</f>
        <v>N</v>
      </c>
      <c r="EW173" s="0" t="str">
        <f aca="false">IF($A173="","",IF(OR(T173="Y",U173="do_not_contact",AQ173&amp;""&lt;&gt;""),"Y","N"))</f>
        <v>N</v>
      </c>
      <c r="EX173" s="0" t="str">
        <f aca="false">IF($A173="","",IF(AN173&amp;""&lt;&gt;"",AN173&amp;"",$A173))</f>
        <v>AB-101</v>
      </c>
      <c r="EY173" s="0" t="str">
        <f aca="false">IF($A173="","",IF(COUNTIFS($EX$2:$EX$1000,EX173,$EV$2:$EV$1000,"Y")+COUNTIFS($EX$2:$EX$1000,EX173,$EW$2:$EW$1000,"Y")&gt;0,"Y","N"))</f>
        <v>N</v>
      </c>
      <c r="EZ173" s="0" t="str">
        <f aca="false">IF($A173="","",IF(AND(U173="new",T173="N",EW173="N",AR173="Y",EY173="N"),"Y","N"))</f>
        <v>Y</v>
      </c>
      <c r="FA173" s="0" t="str">
        <f aca="false">IF($A173="","",IF(EZ173&lt;&gt;"Y","N",IF(COUNTIFS($EX$2:$EX$1000,EX173,$EZ$2:$EZ$1000,"Y",$J$2:$J$1000,"&gt;"&amp;J173)+COUNTIFS($EX$2:$EX$1000,EX173,$EZ$2:$EZ$1000,"Y",$J$2:$J$1000,J173,$FG$2:$FG$1000,"&lt;"&amp;FG173)=0,"Y","N")))</f>
        <v>Y</v>
      </c>
      <c r="FB173" s="0" t="str">
        <f aca="false">IF($A173="","",IF(AND(EZ173="Y",FA173="Y",Y173&amp;""&lt;&gt;""),IF(Y173&lt;=10,"Y","N"),"N"))</f>
        <v>N</v>
      </c>
      <c r="FC173" s="0" t="str">
        <f aca="false">IF(FB173="Y",Y173,"")</f>
        <v/>
      </c>
      <c r="FD173" s="0" t="str">
        <f aca="false">IF($A173="","",IF(AND(CK173="pass",AU173="Y",AV173&lt;&gt;"Y",U173="new",EW173="N"),"Y","N"))</f>
        <v>N</v>
      </c>
      <c r="FE173" s="0" t="str">
        <f aca="false">IF(FD173&lt;&gt;"Y","",IF(COUNTIFS($FD$2:$FD$1000,"Y",$J$2:$J$1000,"&gt;"&amp;J173)+COUNTIFS($FD$2:$FD$1000,"Y",$J$2:$J$1000,J173,$FG$2:$FG$1000,"&lt;"&amp;FG173)+1&lt;=30,COUNTIFS($FD$2:$FD$1000,"Y",$J$2:$J$1000,"&gt;"&amp;J173)+COUNTIFS($FD$2:$FD$1000,"Y",$J$2:$J$1000,J173,$FG$2:$FG$1000,"&lt;"&amp;FG173)+1,""))</f>
        <v/>
      </c>
      <c r="FF173" s="0" t="str">
        <f aca="false">IF(AND(_xlfn.ISFORMULA(C173),_xlfn.ISFORMULA(J173)),"Y","N")</f>
        <v>Y</v>
      </c>
      <c r="FG173" s="0" t="n">
        <f aca="false">ROW()-1</f>
        <v>172</v>
      </c>
    </row>
    <row r="174" customFormat="false" ht="15" hidden="false" customHeight="false" outlineLevel="0" collapsed="false">
      <c r="A174" s="0" t="s">
        <v>9559</v>
      </c>
      <c r="B174" s="0" t="s">
        <v>9560</v>
      </c>
      <c r="C174" s="0" t="str">
        <f aca="false">IF($A174="","",IF(AT174="Y",BL174&amp;"",AY174&amp;""))</f>
        <v>Emre</v>
      </c>
      <c r="D174" s="0" t="str">
        <f aca="false">IF($A174="","",IF(AT174="Y",BM174&amp;"",AZ174&amp;""))</f>
        <v>unknown</v>
      </c>
      <c r="E174" s="0" t="str">
        <f aca="false">IF($A174="","",IF(AT174="Y",BN174&amp;"",BA174&amp;""))</f>
        <v>Co-founder</v>
      </c>
      <c r="F174" s="0" t="str">
        <f aca="false">IF($A174="","",IF(AT174="Y",BO174&amp;"",BB174&amp;""))</f>
        <v/>
      </c>
      <c r="G174" s="0" t="str">
        <f aca="false">IF($A174="","",IF(AT174="Y",BP174&amp;"",BC174&amp;""))</f>
        <v/>
      </c>
      <c r="H174" s="0" t="str">
        <f aca="false">IF($A174="","",IF(AT174="Y",BQ174&amp;"",BD174&amp;""))</f>
        <v>none</v>
      </c>
      <c r="I174" s="0" t="str">
        <f aca="false">IF($A174="","",IF(R174="Y","warm-intro",IF(H174="verified","email",IF(C174&lt;&gt;"","linkedin",CA174&amp;""))))</f>
        <v>linkedin</v>
      </c>
      <c r="J174" s="0" t="n">
        <f aca="false">IF($A174="","",IF(CK174="pass",ROUND(N(DO174)+N(DP174)+N(DQ174)+N(DR174)+N(DS174)+N(DT174)+N(DU174)+N(DV174),0),0))</f>
        <v>29</v>
      </c>
      <c r="K174" s="0" t="str">
        <f aca="false">IF($A174="","",IF(CK174&lt;&gt;"pass",BY174&amp;"",BY174&amp;", "&amp;IF(AT174="Y",BX174&amp;"",BK174&amp;"")&amp;BZ174&amp;IF(R174="Y","; known to the founder (+10)","")&amp;"."))</f>
        <v>Brand based outside the Northeast, no graded store within ten blocks, online store only, a new store listing 71 days ago, revenue unknown, contact named (first name only); founder review: nutrient-claim, format-unconfirmed.</v>
      </c>
      <c r="M174" s="0" t="s">
        <v>6144</v>
      </c>
      <c r="N174" s="0" t="s">
        <v>740</v>
      </c>
      <c r="O174" s="0" t="s">
        <v>9561</v>
      </c>
      <c r="P174" s="0" t="s">
        <v>9562</v>
      </c>
      <c r="Q174" s="0" t="s">
        <v>362</v>
      </c>
      <c r="R174" s="5" t="s">
        <v>189</v>
      </c>
      <c r="S174" s="0" t="s">
        <v>209</v>
      </c>
      <c r="T174" s="5" t="s">
        <v>189</v>
      </c>
      <c r="U174" s="5" t="s">
        <v>3896</v>
      </c>
      <c r="V174" s="0" t="s">
        <v>9563</v>
      </c>
      <c r="W174" s="0" t="s">
        <v>263</v>
      </c>
      <c r="X174" s="0" t="s">
        <v>5578</v>
      </c>
      <c r="Y174" s="0" t="n">
        <f aca="false">IF(FA174&lt;&gt;"Y","",COUNTIFS($FA$2:$FA$1000,"Y",$J$2:$J$1000,"&gt;"&amp;J174)+COUNTIFS($FA$2:$FA$1000,"Y",$J$2:$J$1000,J174,$FG$2:$FG$1000,"&lt;"&amp;FG174)+1)</f>
        <v>62</v>
      </c>
      <c r="Z174" s="0" t="n">
        <v>173</v>
      </c>
      <c r="AA174" s="0" t="s">
        <v>189</v>
      </c>
      <c r="AB174" s="0" t="str">
        <f aca="false">IF($A174="","",IF(AT174="Y",BW174&amp;"",BJ174&amp;""))</f>
        <v>find Emre at PeaKaPop on LinkedIn and paste the profile URL into primary_linkedin_url; surname not public: take it from LinkedIn</v>
      </c>
      <c r="AC174" s="0" t="str">
        <f aca="false">IF($A174="","",IF(AT174="Y",BR174&amp;"",BE174&amp;""))</f>
        <v>founder</v>
      </c>
      <c r="AD174" s="0" t="str">
        <f aca="false">IF($A174="","",IF(AT174="Y",BS174&amp;"",BF174&amp;""))</f>
        <v>first-name-only</v>
      </c>
      <c r="AE174" s="0" t="str">
        <f aca="false">IF($A174="","",IF(AT174="Y",BT174&amp;"",BG174&amp;""))</f>
        <v>employer's own site</v>
      </c>
      <c r="AF174" s="0" t="str">
        <f aca="false">IF($A174="","",IF(AT174="Y",BU174&amp;"",BH174&amp;""))</f>
        <v>https://peakapop.com/pages/about-us</v>
      </c>
      <c r="AG174" s="0" t="str">
        <f aca="false">IF($A174="","",IF(AT174="Y",BV174&amp;"",BI174&amp;""))</f>
        <v>2026-10-23</v>
      </c>
      <c r="AH174" s="0" t="s">
        <v>9564</v>
      </c>
      <c r="AI174" s="0" t="s">
        <v>5921</v>
      </c>
      <c r="AJ174" s="0" t="s">
        <v>9565</v>
      </c>
      <c r="AK174" s="0" t="s">
        <v>9566</v>
      </c>
      <c r="AL174" s="0" t="s">
        <v>164</v>
      </c>
      <c r="AM174" s="0" t="s">
        <v>9567</v>
      </c>
      <c r="AN174" s="0" t="s">
        <v>9559</v>
      </c>
      <c r="AO174" s="5" t="s">
        <v>189</v>
      </c>
      <c r="AR174" s="0" t="str">
        <f aca="false">IF($A174="","",IF(AND(CK174="pass",AO174&lt;&gt;"Y",C174&lt;&gt;"",OR(AU174&lt;&gt;"Y",AV174="Y")),"Y","N"))</f>
        <v>Y</v>
      </c>
      <c r="AS174" s="0" t="str">
        <f aca="false">IF($A174="","",_xlfn.TEXTJOIN("; ",TRUE(),IF(CK174&lt;&gt;"pass","gated out",""),IF(AO174="Y","on hold: "&amp;AP174,""),IF(C174="","no contact named on an opened page",""),IF(AND(AU174="Y",AV174&lt;&gt;"Y"),"founder review pending (Founder review tab)","")))</f>
        <v/>
      </c>
      <c r="AU174" s="0" t="s">
        <v>189</v>
      </c>
      <c r="AY174" s="0" t="s">
        <v>9568</v>
      </c>
      <c r="AZ174" s="0" t="s">
        <v>209</v>
      </c>
      <c r="BA174" s="0" t="s">
        <v>5636</v>
      </c>
      <c r="BC174" s="0" t="str">
        <f aca="false">IF($A174="","",IFERROR(INDEX(Enrichment!$A$2:$GZ$2000,MATCH($A174,INDEX(Enrichment!$A$2:$GZ$2000,0,MATCH("row_id",Enrichment!$A$1:$GZ$1,0)),0),MATCH("work_email",Enrichment!$A$1:$GZ$1,0))&amp;"",""))</f>
        <v/>
      </c>
      <c r="BD174" s="0" t="str">
        <f aca="false">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none</v>
      </c>
      <c r="BE174" s="0" t="s">
        <v>5589</v>
      </c>
      <c r="BF174" s="0" t="s">
        <v>5896</v>
      </c>
      <c r="BG174" s="0" t="s">
        <v>170</v>
      </c>
      <c r="BH174" s="0" t="s">
        <v>9563</v>
      </c>
      <c r="BI174" s="0" t="s">
        <v>263</v>
      </c>
      <c r="BJ174" s="0" t="s">
        <v>9569</v>
      </c>
      <c r="BK174" s="0" t="s">
        <v>5898</v>
      </c>
      <c r="BL174" s="0" t="s">
        <v>9570</v>
      </c>
      <c r="BM174" s="0" t="s">
        <v>209</v>
      </c>
      <c r="BN174" s="0" t="s">
        <v>5636</v>
      </c>
      <c r="BP174" s="0" t="str">
        <f aca="false">IF($A174="","",IFERROR(INDEX(Enrichment!$A$2:$GZ$2000,MATCH($A174,INDEX(Enrichment!$A$2:$GZ$2000,0,MATCH("row_id",Enrichment!$A$1:$GZ$1,0)),0),MATCH("backup_work_email",Enrichment!$A$1:$GZ$1,0))&amp;"",""))</f>
        <v/>
      </c>
      <c r="BQ174" s="0" t="str">
        <f aca="false">IF($A174="","",IF(BP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none</v>
      </c>
      <c r="BR174" s="0" t="s">
        <v>7748</v>
      </c>
      <c r="BS174" s="0" t="s">
        <v>5896</v>
      </c>
      <c r="BT174" s="0" t="s">
        <v>170</v>
      </c>
      <c r="BU174" s="0" t="s">
        <v>9563</v>
      </c>
      <c r="BV174" s="0" t="s">
        <v>263</v>
      </c>
      <c r="BW174" s="0" t="s">
        <v>9571</v>
      </c>
      <c r="BX174" s="0" t="s">
        <v>5898</v>
      </c>
      <c r="BY174" s="0" t="s">
        <v>9572</v>
      </c>
      <c r="BZ174" s="0" t="s">
        <v>7924</v>
      </c>
      <c r="CB174" s="0" t="s">
        <v>9568</v>
      </c>
      <c r="CD174" s="0" t="s">
        <v>9573</v>
      </c>
      <c r="CF174" s="0" t="s">
        <v>9570</v>
      </c>
      <c r="CH174" s="0" t="s">
        <v>9573</v>
      </c>
      <c r="CJ174" s="0" t="s">
        <v>7088</v>
      </c>
      <c r="CK174" s="0" t="s">
        <v>200</v>
      </c>
      <c r="CM174" s="0" t="s">
        <v>201</v>
      </c>
      <c r="CN174" s="0" t="s">
        <v>7925</v>
      </c>
      <c r="CO174" s="0" t="s">
        <v>9566</v>
      </c>
      <c r="CP174" s="0" t="s">
        <v>6197</v>
      </c>
      <c r="CQ174" s="0" t="s">
        <v>6198</v>
      </c>
      <c r="CR174" s="0" t="s">
        <v>209</v>
      </c>
      <c r="CT174" s="0" t="s">
        <v>164</v>
      </c>
      <c r="CU174" s="0" t="s">
        <v>9574</v>
      </c>
      <c r="CV174" s="0" t="s">
        <v>209</v>
      </c>
      <c r="CW174" s="0" t="s">
        <v>164</v>
      </c>
      <c r="CX174" s="0" t="s">
        <v>209</v>
      </c>
      <c r="CZ174" s="0" t="s">
        <v>209</v>
      </c>
      <c r="DA174" s="0" t="s">
        <v>189</v>
      </c>
      <c r="DB174" s="0" t="s">
        <v>189</v>
      </c>
      <c r="DE174" s="0" t="s">
        <v>189</v>
      </c>
      <c r="DF174" s="0" t="n">
        <v>0</v>
      </c>
      <c r="DH174" s="0" t="s">
        <v>7473</v>
      </c>
      <c r="DI174" s="0" t="s">
        <v>7474</v>
      </c>
      <c r="DJ174" s="0" t="s">
        <v>9575</v>
      </c>
      <c r="DK174" s="0" t="s">
        <v>5689</v>
      </c>
      <c r="DL174" s="0" t="n">
        <v>71</v>
      </c>
      <c r="DN174" s="0" t="n">
        <v>29</v>
      </c>
      <c r="DO174" s="0" t="n">
        <v>6</v>
      </c>
      <c r="DP174" s="0" t="n">
        <v>3</v>
      </c>
      <c r="DQ174" s="0" t="n">
        <v>8</v>
      </c>
      <c r="DR174" s="0" t="n">
        <v>5</v>
      </c>
      <c r="DS174" s="0" t="n">
        <v>8</v>
      </c>
      <c r="DT174" s="0" t="n">
        <v>3</v>
      </c>
      <c r="DU174" s="0" t="n">
        <f aca="false">IF($A174="","",IF(R174="Y",10,0))</f>
        <v>0</v>
      </c>
      <c r="DV174" s="0" t="n">
        <v>-4</v>
      </c>
      <c r="DW174" s="0" t="s">
        <v>9576</v>
      </c>
      <c r="DX174" s="0" t="s">
        <v>5814</v>
      </c>
      <c r="DY174" s="0" t="s">
        <v>9577</v>
      </c>
      <c r="DZ174" s="0" t="s">
        <v>9578</v>
      </c>
      <c r="EV174" s="0" t="str">
        <f aca="false">IF($A174="","",IF(ISNUMBER(MATCH(U174,{"queued","contacted","replied","call_booked","call_done","yes_in_principle","materials_sent"},0)),"Y","N"))</f>
        <v>N</v>
      </c>
      <c r="EW174" s="0" t="str">
        <f aca="false">IF($A174="","",IF(OR(T174="Y",U174="do_not_contact",AQ174&amp;""&lt;&gt;""),"Y","N"))</f>
        <v>N</v>
      </c>
      <c r="EX174" s="0" t="str">
        <f aca="false">IF($A174="","",IF(AN174&amp;""&lt;&gt;"",AN174&amp;"",$A174))</f>
        <v>AB-039</v>
      </c>
      <c r="EY174" s="0" t="str">
        <f aca="false">IF($A174="","",IF(COUNTIFS($EX$2:$EX$1000,EX174,$EV$2:$EV$1000,"Y")+COUNTIFS($EX$2:$EX$1000,EX174,$EW$2:$EW$1000,"Y")&gt;0,"Y","N"))</f>
        <v>N</v>
      </c>
      <c r="EZ174" s="0" t="str">
        <f aca="false">IF($A174="","",IF(AND(U174="new",T174="N",EW174="N",AR174="Y",EY174="N"),"Y","N"))</f>
        <v>Y</v>
      </c>
      <c r="FA174" s="0" t="str">
        <f aca="false">IF($A174="","",IF(EZ174&lt;&gt;"Y","N",IF(COUNTIFS($EX$2:$EX$1000,EX174,$EZ$2:$EZ$1000,"Y",$J$2:$J$1000,"&gt;"&amp;J174)+COUNTIFS($EX$2:$EX$1000,EX174,$EZ$2:$EZ$1000,"Y",$J$2:$J$1000,J174,$FG$2:$FG$1000,"&lt;"&amp;FG174)=0,"Y","N")))</f>
        <v>Y</v>
      </c>
      <c r="FB174" s="0" t="str">
        <f aca="false">IF($A174="","",IF(AND(EZ174="Y",FA174="Y",Y174&amp;""&lt;&gt;""),IF(Y174&lt;=10,"Y","N"),"N"))</f>
        <v>N</v>
      </c>
      <c r="FC174" s="0" t="str">
        <f aca="false">IF(FB174="Y",Y174,"")</f>
        <v/>
      </c>
      <c r="FD174" s="0" t="str">
        <f aca="false">IF($A174="","",IF(AND(CK174="pass",AU174="Y",AV174&lt;&gt;"Y",U174="new",EW174="N"),"Y","N"))</f>
        <v>N</v>
      </c>
      <c r="FE174" s="0" t="str">
        <f aca="false">IF(FD174&lt;&gt;"Y","",IF(COUNTIFS($FD$2:$FD$1000,"Y",$J$2:$J$1000,"&gt;"&amp;J174)+COUNTIFS($FD$2:$FD$1000,"Y",$J$2:$J$1000,J174,$FG$2:$FG$1000,"&lt;"&amp;FG174)+1&lt;=30,COUNTIFS($FD$2:$FD$1000,"Y",$J$2:$J$1000,"&gt;"&amp;J174)+COUNTIFS($FD$2:$FD$1000,"Y",$J$2:$J$1000,J174,$FG$2:$FG$1000,"&lt;"&amp;FG174)+1,""))</f>
        <v/>
      </c>
      <c r="FF174" s="0" t="str">
        <f aca="false">IF(AND(_xlfn.ISFORMULA(C174),_xlfn.ISFORMULA(J174)),"Y","N")</f>
        <v>Y</v>
      </c>
      <c r="FG174" s="0" t="n">
        <f aca="false">ROW()-1</f>
        <v>173</v>
      </c>
    </row>
    <row r="175" customFormat="false" ht="15" hidden="false" customHeight="false" outlineLevel="0" collapsed="false">
      <c r="A175" s="0" t="s">
        <v>9579</v>
      </c>
      <c r="B175" s="0" t="s">
        <v>9580</v>
      </c>
      <c r="C175" s="0" t="str">
        <f aca="false">IF($A175="","",IF(AT175="Y",BL175&amp;"",AY175&amp;""))</f>
        <v/>
      </c>
      <c r="D175" s="0" t="str">
        <f aca="false">IF($A175="","",IF(AT175="Y",BM175&amp;"",AZ175&amp;""))</f>
        <v/>
      </c>
      <c r="E175" s="0" t="str">
        <f aca="false">IF($A175="","",IF(AT175="Y",BN175&amp;"",BA175&amp;""))</f>
        <v/>
      </c>
      <c r="F175" s="0" t="str">
        <f aca="false">IF($A175="","",IF(AT175="Y",BO175&amp;"",BB175&amp;""))</f>
        <v/>
      </c>
      <c r="G175" s="0" t="str">
        <f aca="false">IF($A175="","",IF(AT175="Y",BP175&amp;"",BC175&amp;""))</f>
        <v/>
      </c>
      <c r="H175" s="0" t="str">
        <f aca="false">IF($A175="","",IF(AT175="Y",BQ175&amp;"",BD175&amp;""))</f>
        <v>none</v>
      </c>
      <c r="I175" s="0" t="str">
        <f aca="false">IF($A175="","",IF(R175="Y","warm-intro",IF(H175="verified","email",IF(C175&lt;&gt;"","linkedin",CA175&amp;""))))</f>
        <v/>
      </c>
      <c r="J175" s="0" t="n">
        <f aca="false">IF($A175="","",IF(CK175="pass",ROUND(N(DO175)+N(DP175)+N(DQ175)+N(DR175)+N(DS175)+N(DT175)+N(DU175)+N(DV175),0),0))</f>
        <v>29</v>
      </c>
      <c r="K175" s="0" t="str">
        <f aca="false">IF($A175="","",IF(CK175&lt;&gt;"pass",BY175&amp;"",BY175&amp;", "&amp;IF(AT175="Y",BX175&amp;"",BK175&amp;"")&amp;BZ175&amp;IF(R175="Y","; known to the founder (+10)","")&amp;"."))</f>
        <v>Northeast brand, no graded store within ten blocks, online store only, a new store listing 254 days ago, revenue unknown, no contact named; founder review: nutrient-claim.</v>
      </c>
      <c r="M175" s="0" t="s">
        <v>6144</v>
      </c>
      <c r="N175" s="0" t="s">
        <v>740</v>
      </c>
      <c r="O175" s="0" t="s">
        <v>9581</v>
      </c>
      <c r="P175" s="0" t="s">
        <v>9582</v>
      </c>
      <c r="Q175" s="0" t="s">
        <v>1011</v>
      </c>
      <c r="R175" s="5" t="s">
        <v>189</v>
      </c>
      <c r="S175" s="0" t="s">
        <v>209</v>
      </c>
      <c r="T175" s="5" t="s">
        <v>189</v>
      </c>
      <c r="U175" s="5" t="s">
        <v>3896</v>
      </c>
      <c r="V175" s="0" t="s">
        <v>9583</v>
      </c>
      <c r="W175" s="0" t="s">
        <v>172</v>
      </c>
      <c r="X175" s="0" t="s">
        <v>5578</v>
      </c>
      <c r="Y175" s="0" t="str">
        <f aca="false">IF(FA175&lt;&gt;"Y","",COUNTIFS($FA$2:$FA$1000,"Y",$J$2:$J$1000,"&gt;"&amp;J175)+COUNTIFS($FA$2:$FA$1000,"Y",$J$2:$J$1000,J175,$FG$2:$FG$1000,"&lt;"&amp;FG175)+1)</f>
        <v/>
      </c>
      <c r="Z175" s="0" t="n">
        <v>174</v>
      </c>
      <c r="AA175" s="0" t="s">
        <v>189</v>
      </c>
      <c r="AB175" s="0" t="str">
        <f aca="false">IF($A175="","",IF(AT175="Y",BW175&amp;"",BJ175&amp;""))</f>
        <v>no person named on an opened page: not ready</v>
      </c>
      <c r="AC175" s="0" t="str">
        <f aca="false">IF($A175="","",IF(AT175="Y",BR175&amp;"",BE175&amp;""))</f>
        <v/>
      </c>
      <c r="AD175" s="0" t="str">
        <f aca="false">IF($A175="","",IF(AT175="Y",BS175&amp;"",BF175&amp;""))</f>
        <v>none</v>
      </c>
      <c r="AE175" s="0" t="str">
        <f aca="false">IF($A175="","",IF(AT175="Y",BT175&amp;"",BG175&amp;""))</f>
        <v/>
      </c>
      <c r="AF175" s="0" t="str">
        <f aca="false">IF($A175="","",IF(AT175="Y",BU175&amp;"",BH175&amp;""))</f>
        <v/>
      </c>
      <c r="AG175" s="0" t="str">
        <f aca="false">IF($A175="","",IF(AT175="Y",BV175&amp;"",BI175&amp;""))</f>
        <v/>
      </c>
      <c r="AH175" s="0" t="s">
        <v>9584</v>
      </c>
      <c r="AI175" s="0" t="s">
        <v>5921</v>
      </c>
      <c r="AJ175" s="0" t="s">
        <v>9585</v>
      </c>
      <c r="AK175" s="0" t="s">
        <v>9586</v>
      </c>
      <c r="AL175" s="0" t="s">
        <v>164</v>
      </c>
      <c r="AM175" s="0" t="s">
        <v>9587</v>
      </c>
      <c r="AN175" s="0" t="s">
        <v>9579</v>
      </c>
      <c r="AO175" s="5" t="s">
        <v>189</v>
      </c>
      <c r="AR175" s="0" t="str">
        <f aca="false">IF($A175="","",IF(AND(CK175="pass",AO175&lt;&gt;"Y",C175&lt;&gt;"",OR(AU175&lt;&gt;"Y",AV175="Y")),"Y","N"))</f>
        <v>N</v>
      </c>
      <c r="AS175" s="0" t="str">
        <f aca="false">IF($A175="","",_xlfn.TEXTJOIN("; ",TRUE(),IF(CK175&lt;&gt;"pass","gated out",""),IF(AO175="Y","on hold: "&amp;AP175,""),IF(C175="","no contact named on an opened page",""),IF(AND(AU175="Y",AV175&lt;&gt;"Y"),"founder review pending (Founder review tab)","")))</f>
        <v>no contact named on an opened page</v>
      </c>
      <c r="AU175" s="0" t="s">
        <v>189</v>
      </c>
      <c r="BC175" s="0" t="str">
        <f aca="false">IF($A175="","",IFERROR(INDEX(Enrichment!$A$2:$GZ$2000,MATCH($A175,INDEX(Enrichment!$A$2:$GZ$2000,0,MATCH("row_id",Enrichment!$A$1:$GZ$1,0)),0),MATCH("work_email",Enrichment!$A$1:$GZ$1,0))&amp;"",""))</f>
        <v/>
      </c>
      <c r="BD175" s="0" t="str">
        <f aca="false">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none</v>
      </c>
      <c r="BF175" s="0" t="s">
        <v>380</v>
      </c>
      <c r="BJ175" s="0" t="s">
        <v>7105</v>
      </c>
      <c r="BK175" s="0" t="s">
        <v>6048</v>
      </c>
      <c r="BP175" s="0" t="str">
        <f aca="false">IF($A175="","",IFERROR(INDEX(Enrichment!$A$2:$GZ$2000,MATCH($A175,INDEX(Enrichment!$A$2:$GZ$2000,0,MATCH("row_id",Enrichment!$A$1:$GZ$1,0)),0),MATCH("backup_work_email",Enrichment!$A$1:$GZ$1,0))&amp;"",""))</f>
        <v/>
      </c>
      <c r="BQ175" s="0" t="str">
        <f aca="false">IF($A175="","",IF(BP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none</v>
      </c>
      <c r="BS175" s="0" t="s">
        <v>380</v>
      </c>
      <c r="BW175" s="0" t="s">
        <v>387</v>
      </c>
      <c r="BX175" s="0" t="s">
        <v>388</v>
      </c>
      <c r="BY175" s="0" t="s">
        <v>9588</v>
      </c>
      <c r="BZ175" s="0" t="s">
        <v>5601</v>
      </c>
      <c r="CJ175" s="0" t="s">
        <v>7088</v>
      </c>
      <c r="CK175" s="0" t="s">
        <v>200</v>
      </c>
      <c r="CM175" s="0" t="s">
        <v>201</v>
      </c>
      <c r="CN175" s="0" t="s">
        <v>5607</v>
      </c>
      <c r="CO175" s="0" t="s">
        <v>9586</v>
      </c>
      <c r="CP175" s="0" t="s">
        <v>7867</v>
      </c>
      <c r="CQ175" s="0" t="s">
        <v>6084</v>
      </c>
      <c r="CR175" s="0" t="s">
        <v>209</v>
      </c>
      <c r="CT175" s="0" t="s">
        <v>164</v>
      </c>
      <c r="CU175" s="0" t="s">
        <v>9589</v>
      </c>
      <c r="CV175" s="0" t="s">
        <v>164</v>
      </c>
      <c r="CW175" s="0" t="s">
        <v>164</v>
      </c>
      <c r="CX175" s="0" t="s">
        <v>209</v>
      </c>
      <c r="CZ175" s="0" t="s">
        <v>5993</v>
      </c>
      <c r="DA175" s="0" t="s">
        <v>189</v>
      </c>
      <c r="DB175" s="0" t="s">
        <v>189</v>
      </c>
      <c r="DE175" s="0" t="s">
        <v>189</v>
      </c>
      <c r="DF175" s="0" t="n">
        <v>0</v>
      </c>
      <c r="DI175" s="0" t="s">
        <v>9590</v>
      </c>
      <c r="DK175" s="0" t="s">
        <v>5689</v>
      </c>
      <c r="DL175" s="0" t="n">
        <v>254</v>
      </c>
      <c r="DN175" s="0" t="n">
        <v>29</v>
      </c>
      <c r="DO175" s="0" t="n">
        <v>6</v>
      </c>
      <c r="DP175" s="0" t="n">
        <v>8</v>
      </c>
      <c r="DQ175" s="0" t="n">
        <v>4</v>
      </c>
      <c r="DR175" s="0" t="n">
        <v>5</v>
      </c>
      <c r="DS175" s="0" t="n">
        <v>10</v>
      </c>
      <c r="DT175" s="0" t="n">
        <v>0</v>
      </c>
      <c r="DU175" s="0" t="n">
        <f aca="false">IF($A175="","",IF(R175="Y",10,0))</f>
        <v>0</v>
      </c>
      <c r="DV175" s="0" t="n">
        <v>-4</v>
      </c>
      <c r="DW175" s="0" t="s">
        <v>9591</v>
      </c>
      <c r="DX175" s="0" t="s">
        <v>5998</v>
      </c>
      <c r="DY175" s="0" t="s">
        <v>9592</v>
      </c>
      <c r="DZ175" s="0" t="s">
        <v>9593</v>
      </c>
      <c r="EV175" s="0" t="str">
        <f aca="false">IF($A175="","",IF(ISNUMBER(MATCH(U175,{"queued","contacted","replied","call_booked","call_done","yes_in_principle","materials_sent"},0)),"Y","N"))</f>
        <v>N</v>
      </c>
      <c r="EW175" s="0" t="str">
        <f aca="false">IF($A175="","",IF(OR(T175="Y",U175="do_not_contact",AQ175&amp;""&lt;&gt;""),"Y","N"))</f>
        <v>N</v>
      </c>
      <c r="EX175" s="0" t="str">
        <f aca="false">IF($A175="","",IF(AN175&amp;""&lt;&gt;"",AN175&amp;"",$A175))</f>
        <v>AB-287</v>
      </c>
      <c r="EY175" s="0" t="str">
        <f aca="false">IF($A175="","",IF(COUNTIFS($EX$2:$EX$1000,EX175,$EV$2:$EV$1000,"Y")+COUNTIFS($EX$2:$EX$1000,EX175,$EW$2:$EW$1000,"Y")&gt;0,"Y","N"))</f>
        <v>N</v>
      </c>
      <c r="EZ175" s="0" t="str">
        <f aca="false">IF($A175="","",IF(AND(U175="new",T175="N",EW175="N",AR175="Y",EY175="N"),"Y","N"))</f>
        <v>N</v>
      </c>
      <c r="FA175" s="0" t="str">
        <f aca="false">IF($A175="","",IF(EZ175&lt;&gt;"Y","N",IF(COUNTIFS($EX$2:$EX$1000,EX175,$EZ$2:$EZ$1000,"Y",$J$2:$J$1000,"&gt;"&amp;J175)+COUNTIFS($EX$2:$EX$1000,EX175,$EZ$2:$EZ$1000,"Y",$J$2:$J$1000,J175,$FG$2:$FG$1000,"&lt;"&amp;FG175)=0,"Y","N")))</f>
        <v>N</v>
      </c>
      <c r="FB175" s="0" t="str">
        <f aca="false">IF($A175="","",IF(AND(EZ175="Y",FA175="Y",Y175&amp;""&lt;&gt;""),IF(Y175&lt;=10,"Y","N"),"N"))</f>
        <v>N</v>
      </c>
      <c r="FC175" s="0" t="str">
        <f aca="false">IF(FB175="Y",Y175,"")</f>
        <v/>
      </c>
      <c r="FD175" s="0" t="str">
        <f aca="false">IF($A175="","",IF(AND(CK175="pass",AU175="Y",AV175&lt;&gt;"Y",U175="new",EW175="N"),"Y","N"))</f>
        <v>N</v>
      </c>
      <c r="FE175" s="0" t="str">
        <f aca="false">IF(FD175&lt;&gt;"Y","",IF(COUNTIFS($FD$2:$FD$1000,"Y",$J$2:$J$1000,"&gt;"&amp;J175)+COUNTIFS($FD$2:$FD$1000,"Y",$J$2:$J$1000,J175,$FG$2:$FG$1000,"&lt;"&amp;FG175)+1&lt;=30,COUNTIFS($FD$2:$FD$1000,"Y",$J$2:$J$1000,"&gt;"&amp;J175)+COUNTIFS($FD$2:$FD$1000,"Y",$J$2:$J$1000,J175,$FG$2:$FG$1000,"&lt;"&amp;FG175)+1,""))</f>
        <v/>
      </c>
      <c r="FF175" s="0" t="str">
        <f aca="false">IF(AND(_xlfn.ISFORMULA(C175),_xlfn.ISFORMULA(J175)),"Y","N")</f>
        <v>Y</v>
      </c>
      <c r="FG175" s="0" t="n">
        <f aca="false">ROW()-1</f>
        <v>174</v>
      </c>
    </row>
    <row r="176" customFormat="false" ht="15" hidden="false" customHeight="false" outlineLevel="0" collapsed="false">
      <c r="A176" s="0" t="s">
        <v>9594</v>
      </c>
      <c r="B176" s="0" t="s">
        <v>9595</v>
      </c>
      <c r="C176" s="0" t="str">
        <f aca="false">IF($A176="","",IF(AT176="Y",BL176&amp;"",AY176&amp;""))</f>
        <v>Loren</v>
      </c>
      <c r="D176" s="0" t="str">
        <f aca="false">IF($A176="","",IF(AT176="Y",BM176&amp;"",AZ176&amp;""))</f>
        <v>Castle</v>
      </c>
      <c r="E176" s="0" t="str">
        <f aca="false">IF($A176="","",IF(AT176="Y",BN176&amp;"",BA176&amp;""))</f>
        <v>Founder and CEO</v>
      </c>
      <c r="F176" s="0" t="str">
        <f aca="false">IF($A176="","",IF(AT176="Y",BO176&amp;"",BB176&amp;""))</f>
        <v>https://www.linkedin.com/in/loren-brill-castle-56887121/</v>
      </c>
      <c r="G176" s="0" t="str">
        <f aca="false">IF($A176="","",IF(AT176="Y",BP176&amp;"",BC176&amp;""))</f>
        <v/>
      </c>
      <c r="H176" s="0" t="str">
        <f aca="false">IF($A176="","",IF(AT176="Y",BQ176&amp;"",BD176&amp;""))</f>
        <v>none</v>
      </c>
      <c r="I176" s="0" t="str">
        <f aca="false">IF($A176="","",IF(R176="Y","warm-intro",IF(H176="verified","email",IF(C176&lt;&gt;"","linkedin",CA176&amp;""))))</f>
        <v>linkedin</v>
      </c>
      <c r="J176" s="0" t="n">
        <f aca="false">IF($A176="","",IF(CK176="pass",ROUND(N(DO176)+N(DP176)+N(DQ176)+N(DR176)+N(DS176)+N(DT176)+N(DU176)+N(DV176),0),0))</f>
        <v>28</v>
      </c>
      <c r="K176" s="0" t="str">
        <f aca="false">IF($A176="","",IF(CK176&lt;&gt;"pass",BY176&amp;"",BY176&amp;", "&amp;IF(AT176="Y",BX176&amp;"",BK176&amp;"")&amp;BZ176&amp;IF(R176="Y","; known to the founder (+10)","")&amp;"."))</f>
        <v>New York City brand, store page shows Whole Foods Market NoMad inside the cluster, no dated why-now in the last 12 months, revenue over $10M, contact named plus a marketing lead; founder review: scale-reported, perishable-risk, nutrient-claim, format-unconfirmed.</v>
      </c>
      <c r="M176" s="0" t="s">
        <v>5572</v>
      </c>
      <c r="N176" s="0" t="s">
        <v>5573</v>
      </c>
      <c r="R176" s="5" t="s">
        <v>189</v>
      </c>
      <c r="S176" s="0" t="s">
        <v>209</v>
      </c>
      <c r="T176" s="5" t="s">
        <v>189</v>
      </c>
      <c r="U176" s="5" t="s">
        <v>3896</v>
      </c>
      <c r="V176" s="0" t="s">
        <v>9596</v>
      </c>
      <c r="W176" s="0" t="s">
        <v>263</v>
      </c>
      <c r="X176" s="0" t="s">
        <v>5578</v>
      </c>
      <c r="Y176" s="0" t="str">
        <f aca="false">IF(FA176&lt;&gt;"Y","",COUNTIFS($FA$2:$FA$1000,"Y",$J$2:$J$1000,"&gt;"&amp;J176)+COUNTIFS($FA$2:$FA$1000,"Y",$J$2:$J$1000,J176,$FG$2:$FG$1000,"&lt;"&amp;FG176)+1)</f>
        <v/>
      </c>
      <c r="Z176" s="0" t="n">
        <v>175</v>
      </c>
      <c r="AA176" s="0" t="s">
        <v>189</v>
      </c>
      <c r="AB176" s="0" t="str">
        <f aca="false">IF($A176="","",IF(AT176="Y",BW176&amp;"",BJ176&amp;""))</f>
        <v>open the LinkedIn URL and confirm it is Loren Castle, Founder and CEO at Sweet Loren's (found on another page, never opened); use the Whole Foods Market NoMad line only if retailer_checked_date is this week's Friday check</v>
      </c>
      <c r="AC176" s="0" t="str">
        <f aca="false">IF($A176="","",IF(AT176="Y",BR176&amp;"",BE176&amp;""))</f>
        <v>founder</v>
      </c>
      <c r="AD176" s="0" t="str">
        <f aca="false">IF($A176="","",IF(AT176="Y",BS176&amp;"",BF176&amp;""))</f>
        <v>verified-page</v>
      </c>
      <c r="AE176" s="0" t="str">
        <f aca="false">IF($A176="","",IF(AT176="Y",BT176&amp;"",BG176&amp;""))</f>
        <v>employer's own site</v>
      </c>
      <c r="AF176" s="0" t="str">
        <f aca="false">IF($A176="","",IF(AT176="Y",BU176&amp;"",BH176&amp;""))</f>
        <v>https://www.sweetlorens.com/blogs/press</v>
      </c>
      <c r="AG176" s="0" t="str">
        <f aca="false">IF($A176="","",IF(AT176="Y",BV176&amp;"",BI176&amp;""))</f>
        <v>2026-10-24</v>
      </c>
      <c r="AH176" s="0" t="s">
        <v>9597</v>
      </c>
      <c r="AI176" s="0" t="s">
        <v>5702</v>
      </c>
      <c r="AJ176" s="0" t="s">
        <v>9598</v>
      </c>
      <c r="AK176" s="0" t="s">
        <v>9599</v>
      </c>
      <c r="AL176" s="0" t="s">
        <v>164</v>
      </c>
      <c r="AM176" s="0" t="s">
        <v>9600</v>
      </c>
      <c r="AN176" s="0" t="s">
        <v>9594</v>
      </c>
      <c r="AO176" s="5" t="s">
        <v>189</v>
      </c>
      <c r="AR176" s="0" t="str">
        <f aca="false">IF($A176="","",IF(AND(CK176="pass",AO176&lt;&gt;"Y",C176&lt;&gt;"",OR(AU176&lt;&gt;"Y",AV176="Y")),"Y","N"))</f>
        <v>N</v>
      </c>
      <c r="AS176" s="0" t="str">
        <f aca="false">IF($A176="","",_xlfn.TEXTJOIN("; ",TRUE(),IF(CK176&lt;&gt;"pass","gated out",""),IF(AO176="Y","on hold: "&amp;AP176,""),IF(C176="","no contact named on an opened page",""),IF(AND(AU176="Y",AV176&lt;&gt;"Y"),"founder review pending (Founder review tab)","")))</f>
        <v>founder review pending (Founder review tab)</v>
      </c>
      <c r="AU176" s="0" t="s">
        <v>164</v>
      </c>
      <c r="AX176" s="0" t="s">
        <v>9601</v>
      </c>
      <c r="AY176" s="0" t="s">
        <v>9602</v>
      </c>
      <c r="AZ176" s="0" t="s">
        <v>9603</v>
      </c>
      <c r="BA176" s="0" t="s">
        <v>5670</v>
      </c>
      <c r="BB176" s="0" t="s">
        <v>9604</v>
      </c>
      <c r="BC176" s="0" t="str">
        <f aca="false">IF($A176="","",IFERROR(INDEX(Enrichment!$A$2:$GZ$2000,MATCH($A176,INDEX(Enrichment!$A$2:$GZ$2000,0,MATCH("row_id",Enrichment!$A$1:$GZ$1,0)),0),MATCH("work_email",Enrichment!$A$1:$GZ$1,0))&amp;"",""))</f>
        <v/>
      </c>
      <c r="BD176" s="0" t="str">
        <f aca="false">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none</v>
      </c>
      <c r="BE176" s="0" t="s">
        <v>5589</v>
      </c>
      <c r="BF176" s="0" t="s">
        <v>169</v>
      </c>
      <c r="BG176" s="0" t="s">
        <v>170</v>
      </c>
      <c r="BH176" s="0" t="s">
        <v>9605</v>
      </c>
      <c r="BI176" s="0" t="s">
        <v>172</v>
      </c>
      <c r="BJ176" s="0" t="s">
        <v>9606</v>
      </c>
      <c r="BK176" s="0" t="s">
        <v>5638</v>
      </c>
      <c r="BL176" s="0" t="s">
        <v>9607</v>
      </c>
      <c r="BM176" s="0" t="s">
        <v>9608</v>
      </c>
      <c r="BN176" s="0" t="s">
        <v>9609</v>
      </c>
      <c r="BP176" s="0" t="str">
        <f aca="false">IF($A176="","",IFERROR(INDEX(Enrichment!$A$2:$GZ$2000,MATCH($A176,INDEX(Enrichment!$A$2:$GZ$2000,0,MATCH("row_id",Enrichment!$A$1:$GZ$1,0)),0),MATCH("backup_work_email",Enrichment!$A$1:$GZ$1,0))&amp;"",""))</f>
        <v/>
      </c>
      <c r="BQ176" s="0" t="str">
        <f aca="false">IF($A176="","",IF(BP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none</v>
      </c>
      <c r="BR176" s="0" t="s">
        <v>5596</v>
      </c>
      <c r="BS176" s="0" t="s">
        <v>283</v>
      </c>
      <c r="BT176" s="0" t="s">
        <v>284</v>
      </c>
      <c r="BU176" s="0" t="s">
        <v>9610</v>
      </c>
      <c r="BV176" s="0" t="s">
        <v>172</v>
      </c>
      <c r="BW176" s="0" t="s">
        <v>9611</v>
      </c>
      <c r="BX176" s="0" t="s">
        <v>5599</v>
      </c>
      <c r="BY176" s="0" t="s">
        <v>9612</v>
      </c>
      <c r="BZ176" s="0" t="s">
        <v>9613</v>
      </c>
      <c r="CB176" s="0" t="s">
        <v>9614</v>
      </c>
      <c r="CD176" s="0" t="s">
        <v>9615</v>
      </c>
      <c r="CE176" s="0" t="s">
        <v>244</v>
      </c>
      <c r="CF176" s="0" t="s">
        <v>9616</v>
      </c>
      <c r="CG176" s="0" t="s">
        <v>9617</v>
      </c>
      <c r="CH176" s="0" t="s">
        <v>9618</v>
      </c>
      <c r="CJ176" s="0" t="s">
        <v>5606</v>
      </c>
      <c r="CK176" s="0" t="s">
        <v>200</v>
      </c>
      <c r="CM176" s="0" t="s">
        <v>201</v>
      </c>
      <c r="CN176" s="0" t="s">
        <v>9619</v>
      </c>
      <c r="CO176" s="0" t="s">
        <v>9599</v>
      </c>
      <c r="CP176" s="0" t="s">
        <v>5608</v>
      </c>
      <c r="CQ176" s="0" t="s">
        <v>5609</v>
      </c>
      <c r="CR176" s="0" t="s">
        <v>209</v>
      </c>
      <c r="CT176" s="0" t="s">
        <v>164</v>
      </c>
      <c r="CU176" s="0" t="s">
        <v>9620</v>
      </c>
      <c r="CV176" s="0" t="s">
        <v>209</v>
      </c>
      <c r="CW176" s="0" t="s">
        <v>164</v>
      </c>
      <c r="CX176" s="0" t="s">
        <v>9029</v>
      </c>
      <c r="CY176" s="0" t="s">
        <v>9621</v>
      </c>
      <c r="CZ176" s="0" t="s">
        <v>9622</v>
      </c>
      <c r="DA176" s="0" t="s">
        <v>189</v>
      </c>
      <c r="DB176" s="0" t="s">
        <v>189</v>
      </c>
      <c r="DD176" s="0" t="n">
        <v>0</v>
      </c>
      <c r="DE176" s="0" t="s">
        <v>164</v>
      </c>
      <c r="DF176" s="0" t="n">
        <v>3</v>
      </c>
      <c r="DG176" s="0" t="s">
        <v>5686</v>
      </c>
      <c r="DI176" s="0" t="s">
        <v>9623</v>
      </c>
      <c r="DJ176" s="0" t="s">
        <v>9624</v>
      </c>
      <c r="DK176" s="0" t="s">
        <v>380</v>
      </c>
      <c r="DN176" s="0" t="n">
        <v>28</v>
      </c>
      <c r="DO176" s="0" t="n">
        <v>25</v>
      </c>
      <c r="DP176" s="0" t="n">
        <v>20</v>
      </c>
      <c r="DQ176" s="0" t="n">
        <v>0</v>
      </c>
      <c r="DR176" s="0" t="n">
        <v>0</v>
      </c>
      <c r="DS176" s="0" t="n">
        <v>8</v>
      </c>
      <c r="DT176" s="0" t="n">
        <v>10</v>
      </c>
      <c r="DU176" s="0" t="n">
        <f aca="false">IF($A176="","",IF(R176="Y",10,0))</f>
        <v>0</v>
      </c>
      <c r="DV176" s="0" t="n">
        <v>-35</v>
      </c>
      <c r="DW176" s="0" t="s">
        <v>9625</v>
      </c>
      <c r="DX176" s="0" t="s">
        <v>5691</v>
      </c>
      <c r="DY176" s="0" t="s">
        <v>9626</v>
      </c>
      <c r="DZ176" s="0" t="s">
        <v>9627</v>
      </c>
      <c r="EA176" s="0" t="s">
        <v>9628</v>
      </c>
      <c r="EV176" s="0" t="str">
        <f aca="false">IF($A176="","",IF(ISNUMBER(MATCH(U176,{"queued","contacted","replied","call_booked","call_done","yes_in_principle","materials_sent"},0)),"Y","N"))</f>
        <v>N</v>
      </c>
      <c r="EW176" s="0" t="str">
        <f aca="false">IF($A176="","",IF(OR(T176="Y",U176="do_not_contact",AQ176&amp;""&lt;&gt;""),"Y","N"))</f>
        <v>N</v>
      </c>
      <c r="EX176" s="0" t="str">
        <f aca="false">IF($A176="","",IF(AN176&amp;""&lt;&gt;"",AN176&amp;"",$A176))</f>
        <v>AB-069</v>
      </c>
      <c r="EY176" s="0" t="str">
        <f aca="false">IF($A176="","",IF(COUNTIFS($EX$2:$EX$1000,EX176,$EV$2:$EV$1000,"Y")+COUNTIFS($EX$2:$EX$1000,EX176,$EW$2:$EW$1000,"Y")&gt;0,"Y","N"))</f>
        <v>N</v>
      </c>
      <c r="EZ176" s="0" t="str">
        <f aca="false">IF($A176="","",IF(AND(U176="new",T176="N",EW176="N",AR176="Y",EY176="N"),"Y","N"))</f>
        <v>N</v>
      </c>
      <c r="FA176" s="0" t="str">
        <f aca="false">IF($A176="","",IF(EZ176&lt;&gt;"Y","N",IF(COUNTIFS($EX$2:$EX$1000,EX176,$EZ$2:$EZ$1000,"Y",$J$2:$J$1000,"&gt;"&amp;J176)+COUNTIFS($EX$2:$EX$1000,EX176,$EZ$2:$EZ$1000,"Y",$J$2:$J$1000,J176,$FG$2:$FG$1000,"&lt;"&amp;FG176)=0,"Y","N")))</f>
        <v>N</v>
      </c>
      <c r="FB176" s="0" t="str">
        <f aca="false">IF($A176="","",IF(AND(EZ176="Y",FA176="Y",Y176&amp;""&lt;&gt;""),IF(Y176&lt;=10,"Y","N"),"N"))</f>
        <v>N</v>
      </c>
      <c r="FC176" s="0" t="str">
        <f aca="false">IF(FB176="Y",Y176,"")</f>
        <v/>
      </c>
      <c r="FD176" s="0" t="str">
        <f aca="false">IF($A176="","",IF(AND(CK176="pass",AU176="Y",AV176&lt;&gt;"Y",U176="new",EW176="N"),"Y","N"))</f>
        <v>Y</v>
      </c>
      <c r="FE176" s="0" t="str">
        <f aca="false">IF(FD176&lt;&gt;"Y","",IF(COUNTIFS($FD$2:$FD$1000,"Y",$J$2:$J$1000,"&gt;"&amp;J176)+COUNTIFS($FD$2:$FD$1000,"Y",$J$2:$J$1000,J176,$FG$2:$FG$1000,"&lt;"&amp;FG176)+1&lt;=30,COUNTIFS($FD$2:$FD$1000,"Y",$J$2:$J$1000,"&gt;"&amp;J176)+COUNTIFS($FD$2:$FD$1000,"Y",$J$2:$J$1000,J176,$FG$2:$FG$1000,"&lt;"&amp;FG176)+1,""))</f>
        <v/>
      </c>
      <c r="FF176" s="0" t="str">
        <f aca="false">IF(AND(_xlfn.ISFORMULA(C176),_xlfn.ISFORMULA(J176)),"Y","N")</f>
        <v>Y</v>
      </c>
      <c r="FG176" s="0" t="n">
        <f aca="false">ROW()-1</f>
        <v>175</v>
      </c>
    </row>
    <row r="177" customFormat="false" ht="15" hidden="false" customHeight="false" outlineLevel="0" collapsed="false">
      <c r="A177" s="0" t="s">
        <v>9629</v>
      </c>
      <c r="B177" s="0" t="s">
        <v>9630</v>
      </c>
      <c r="C177" s="0" t="str">
        <f aca="false">IF($A177="","",IF(AT177="Y",BL177&amp;"",AY177&amp;""))</f>
        <v>Tina</v>
      </c>
      <c r="D177" s="0" t="str">
        <f aca="false">IF($A177="","",IF(AT177="Y",BM177&amp;"",AZ177&amp;""))</f>
        <v>Caballero</v>
      </c>
      <c r="E177" s="0" t="str">
        <f aca="false">IF($A177="","",IF(AT177="Y",BN177&amp;"",BA177&amp;""))</f>
        <v>Press contact on release</v>
      </c>
      <c r="F177" s="0" t="str">
        <f aca="false">IF($A177="","",IF(AT177="Y",BO177&amp;"",BB177&amp;""))</f>
        <v/>
      </c>
      <c r="G177" s="0" t="str">
        <f aca="false">IF($A177="","",IF(AT177="Y",BP177&amp;"",BC177&amp;""))</f>
        <v/>
      </c>
      <c r="H177" s="0" t="str">
        <f aca="false">IF($A177="","",IF(AT177="Y",BQ177&amp;"",BD177&amp;""))</f>
        <v>none</v>
      </c>
      <c r="I177" s="0" t="str">
        <f aca="false">IF($A177="","",IF(R177="Y","warm-intro",IF(H177="verified","email",IF(C177&lt;&gt;"","linkedin",CA177&amp;""))))</f>
        <v>linkedin</v>
      </c>
      <c r="J177" s="0" t="n">
        <f aca="false">IF($A177="","",IF(CK177="pass",ROUND(N(DO177)+N(DP177)+N(DQ177)+N(DR177)+N(DS177)+N(DT177)+N(DU177)+N(DV177),0),0))</f>
        <v>27</v>
      </c>
      <c r="K177" s="0" t="str">
        <f aca="false">IF($A177="","",IF(CK177&lt;&gt;"pass",BY177&amp;"",BY177&amp;", "&amp;IF(AT177="Y",BX177&amp;"",BK177&amp;"")&amp;BZ177&amp;IF(R177="Y","; known to the founder (+10)","")&amp;"."))</f>
        <v>Brand based outside the Northeast, no graded store within ten blocks, online store only, a new store listing 3 days ago, revenue unknown, contact named; founder review: scale, format.</v>
      </c>
      <c r="M177" s="0" t="s">
        <v>6144</v>
      </c>
      <c r="N177" s="0" t="s">
        <v>740</v>
      </c>
      <c r="O177" s="0" t="s">
        <v>9631</v>
      </c>
      <c r="P177" s="0" t="s">
        <v>9632</v>
      </c>
      <c r="Q177" s="0" t="s">
        <v>9633</v>
      </c>
      <c r="R177" s="5" t="s">
        <v>189</v>
      </c>
      <c r="S177" s="0" t="s">
        <v>164</v>
      </c>
      <c r="T177" s="5" t="s">
        <v>189</v>
      </c>
      <c r="U177" s="5" t="s">
        <v>3896</v>
      </c>
      <c r="V177" s="0" t="s">
        <v>9634</v>
      </c>
      <c r="W177" s="0" t="s">
        <v>263</v>
      </c>
      <c r="X177" s="0" t="s">
        <v>5578</v>
      </c>
      <c r="Y177" s="0" t="str">
        <f aca="false">IF(FA177&lt;&gt;"Y","",COUNTIFS($FA$2:$FA$1000,"Y",$J$2:$J$1000,"&gt;"&amp;J177)+COUNTIFS($FA$2:$FA$1000,"Y",$J$2:$J$1000,J177,$FG$2:$FG$1000,"&lt;"&amp;FG177)+1)</f>
        <v/>
      </c>
      <c r="Z177" s="0" t="n">
        <v>176</v>
      </c>
      <c r="AA177" s="0" t="s">
        <v>189</v>
      </c>
      <c r="AB177" s="0" t="str">
        <f aca="false">IF($A177="","",IF(AT177="Y",BW177&amp;"",BJ177&amp;""))</f>
        <v>find Tina Caballero at Chifles on LinkedIn and paste the profile URL into primary_linkedin_url</v>
      </c>
      <c r="AC177" s="0" t="str">
        <f aca="false">IF($A177="","",IF(AT177="Y",BR177&amp;"",BE177&amp;""))</f>
        <v>marketing</v>
      </c>
      <c r="AD177" s="0" t="str">
        <f aca="false">IF($A177="","",IF(AT177="Y",BS177&amp;"",BF177&amp;""))</f>
        <v>verified-page</v>
      </c>
      <c r="AE177" s="0" t="str">
        <f aca="false">IF($A177="","",IF(AT177="Y",BT177&amp;"",BG177&amp;""))</f>
        <v>press, event or podcast page</v>
      </c>
      <c r="AF177" s="0" t="str">
        <f aca="false">IF($A177="","",IF(AT177="Y",BU177&amp;"",BH177&amp;""))</f>
        <v>https://startupcpg.com/startup-cpg-newswire-chifles-americas-1-plantain-chip-expands-into-more-than-2200-kroger-stores-nationwide/</v>
      </c>
      <c r="AG177" s="0" t="str">
        <f aca="false">IF($A177="","",IF(AT177="Y",BV177&amp;"",BI177&amp;""))</f>
        <v>2026-10-23</v>
      </c>
      <c r="AH177" s="0" t="s">
        <v>9635</v>
      </c>
      <c r="AI177" s="0" t="s">
        <v>5789</v>
      </c>
      <c r="AJ177" s="0" t="s">
        <v>9636</v>
      </c>
      <c r="AK177" s="0" t="s">
        <v>9637</v>
      </c>
      <c r="AL177" s="0" t="s">
        <v>164</v>
      </c>
      <c r="AM177" s="0" t="s">
        <v>9638</v>
      </c>
      <c r="AN177" s="0" t="s">
        <v>9629</v>
      </c>
      <c r="AO177" s="5" t="s">
        <v>189</v>
      </c>
      <c r="AR177" s="0" t="str">
        <f aca="false">IF($A177="","",IF(AND(CK177="pass",AO177&lt;&gt;"Y",C177&lt;&gt;"",OR(AU177&lt;&gt;"Y",AV177="Y")),"Y","N"))</f>
        <v>N</v>
      </c>
      <c r="AS177" s="0" t="str">
        <f aca="false">IF($A177="","",_xlfn.TEXTJOIN("; ",TRUE(),IF(CK177&lt;&gt;"pass","gated out",""),IF(AO177="Y","on hold: "&amp;AP177,""),IF(C177="","no contact named on an opened page",""),IF(AND(AU177="Y",AV177&lt;&gt;"Y"),"founder review pending (Founder review tab)","")))</f>
        <v>founder review pending (Founder review tab)</v>
      </c>
      <c r="AU177" s="0" t="s">
        <v>164</v>
      </c>
      <c r="AY177" s="0" t="s">
        <v>1291</v>
      </c>
      <c r="AZ177" s="0" t="s">
        <v>9639</v>
      </c>
      <c r="BA177" s="0" t="s">
        <v>7724</v>
      </c>
      <c r="BC177" s="0" t="str">
        <f aca="false">IF($A177="","",IFERROR(INDEX(Enrichment!$A$2:$GZ$2000,MATCH($A177,INDEX(Enrichment!$A$2:$GZ$2000,0,MATCH("row_id",Enrichment!$A$1:$GZ$1,0)),0),MATCH("work_email",Enrichment!$A$1:$GZ$1,0))&amp;"",""))</f>
        <v/>
      </c>
      <c r="BD177" s="0" t="str">
        <f aca="false">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none</v>
      </c>
      <c r="BE177" s="0" t="s">
        <v>7494</v>
      </c>
      <c r="BF177" s="0" t="s">
        <v>169</v>
      </c>
      <c r="BG177" s="0" t="s">
        <v>1252</v>
      </c>
      <c r="BH177" s="0" t="s">
        <v>9634</v>
      </c>
      <c r="BI177" s="0" t="s">
        <v>263</v>
      </c>
      <c r="BJ177" s="0" t="s">
        <v>9640</v>
      </c>
      <c r="BK177" s="0" t="s">
        <v>5643</v>
      </c>
      <c r="BP177" s="0" t="str">
        <f aca="false">IF($A177="","",IFERROR(INDEX(Enrichment!$A$2:$GZ$2000,MATCH($A177,INDEX(Enrichment!$A$2:$GZ$2000,0,MATCH("row_id",Enrichment!$A$1:$GZ$1,0)),0),MATCH("backup_work_email",Enrichment!$A$1:$GZ$1,0))&amp;"",""))</f>
        <v/>
      </c>
      <c r="BQ177" s="0" t="str">
        <f aca="false">IF($A177="","",IF(BP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none</v>
      </c>
      <c r="BS177" s="0" t="s">
        <v>380</v>
      </c>
      <c r="BW177" s="0" t="s">
        <v>387</v>
      </c>
      <c r="BX177" s="0" t="s">
        <v>388</v>
      </c>
      <c r="BY177" s="0" t="s">
        <v>9641</v>
      </c>
      <c r="BZ177" s="0" t="s">
        <v>8916</v>
      </c>
      <c r="CB177" s="0" t="s">
        <v>9642</v>
      </c>
      <c r="CJ177" s="0" t="s">
        <v>7088</v>
      </c>
      <c r="CK177" s="0" t="s">
        <v>200</v>
      </c>
      <c r="CM177" s="0" t="s">
        <v>201</v>
      </c>
      <c r="CN177" s="0" t="s">
        <v>8918</v>
      </c>
      <c r="CO177" s="0" t="s">
        <v>9637</v>
      </c>
      <c r="CP177" s="0" t="s">
        <v>9289</v>
      </c>
      <c r="CQ177" s="0" t="s">
        <v>6198</v>
      </c>
      <c r="CR177" s="0" t="s">
        <v>9643</v>
      </c>
      <c r="CT177" s="0" t="s">
        <v>164</v>
      </c>
      <c r="CU177" s="0" t="s">
        <v>9644</v>
      </c>
      <c r="CV177" s="0" t="s">
        <v>189</v>
      </c>
      <c r="CW177" s="0" t="s">
        <v>164</v>
      </c>
      <c r="CX177" s="0" t="s">
        <v>209</v>
      </c>
      <c r="CZ177" s="0" t="s">
        <v>209</v>
      </c>
      <c r="DA177" s="0" t="s">
        <v>189</v>
      </c>
      <c r="DB177" s="0" t="s">
        <v>189</v>
      </c>
      <c r="DE177" s="0" t="s">
        <v>189</v>
      </c>
      <c r="DF177" s="0" t="n">
        <v>0</v>
      </c>
      <c r="DI177" s="0" t="s">
        <v>9645</v>
      </c>
      <c r="DJ177" s="0" t="s">
        <v>9646</v>
      </c>
      <c r="DK177" s="0" t="s">
        <v>5689</v>
      </c>
      <c r="DL177" s="0" t="n">
        <v>3</v>
      </c>
      <c r="DM177" s="0" t="s">
        <v>9634</v>
      </c>
      <c r="DN177" s="0" t="n">
        <v>27</v>
      </c>
      <c r="DO177" s="0" t="n">
        <v>6</v>
      </c>
      <c r="DP177" s="0" t="n">
        <v>3</v>
      </c>
      <c r="DQ177" s="0" t="n">
        <v>8</v>
      </c>
      <c r="DR177" s="0" t="n">
        <v>5</v>
      </c>
      <c r="DS177" s="0" t="n">
        <v>7</v>
      </c>
      <c r="DT177" s="0" t="n">
        <v>10</v>
      </c>
      <c r="DU177" s="0" t="n">
        <f aca="false">IF($A177="","",IF(R177="Y",10,0))</f>
        <v>0</v>
      </c>
      <c r="DV177" s="0" t="n">
        <v>-12</v>
      </c>
      <c r="DW177" s="0" t="s">
        <v>209</v>
      </c>
      <c r="DX177" s="0" t="s">
        <v>5814</v>
      </c>
      <c r="DY177" s="0" t="s">
        <v>9647</v>
      </c>
      <c r="DZ177" s="0" t="s">
        <v>9648</v>
      </c>
      <c r="EV177" s="0" t="str">
        <f aca="false">IF($A177="","",IF(ISNUMBER(MATCH(U177,{"queued","contacted","replied","call_booked","call_done","yes_in_principle","materials_sent"},0)),"Y","N"))</f>
        <v>N</v>
      </c>
      <c r="EW177" s="0" t="str">
        <f aca="false">IF($A177="","",IF(OR(T177="Y",U177="do_not_contact",AQ177&amp;""&lt;&gt;""),"Y","N"))</f>
        <v>N</v>
      </c>
      <c r="EX177" s="0" t="str">
        <f aca="false">IF($A177="","",IF(AN177&amp;""&lt;&gt;"",AN177&amp;"",$A177))</f>
        <v>AB-060</v>
      </c>
      <c r="EY177" s="0" t="str">
        <f aca="false">IF($A177="","",IF(COUNTIFS($EX$2:$EX$1000,EX177,$EV$2:$EV$1000,"Y")+COUNTIFS($EX$2:$EX$1000,EX177,$EW$2:$EW$1000,"Y")&gt;0,"Y","N"))</f>
        <v>N</v>
      </c>
      <c r="EZ177" s="0" t="str">
        <f aca="false">IF($A177="","",IF(AND(U177="new",T177="N",EW177="N",AR177="Y",EY177="N"),"Y","N"))</f>
        <v>N</v>
      </c>
      <c r="FA177" s="0" t="str">
        <f aca="false">IF($A177="","",IF(EZ177&lt;&gt;"Y","N",IF(COUNTIFS($EX$2:$EX$1000,EX177,$EZ$2:$EZ$1000,"Y",$J$2:$J$1000,"&gt;"&amp;J177)+COUNTIFS($EX$2:$EX$1000,EX177,$EZ$2:$EZ$1000,"Y",$J$2:$J$1000,J177,$FG$2:$FG$1000,"&lt;"&amp;FG177)=0,"Y","N")))</f>
        <v>N</v>
      </c>
      <c r="FB177" s="0" t="str">
        <f aca="false">IF($A177="","",IF(AND(EZ177="Y",FA177="Y",Y177&amp;""&lt;&gt;""),IF(Y177&lt;=10,"Y","N"),"N"))</f>
        <v>N</v>
      </c>
      <c r="FC177" s="0" t="str">
        <f aca="false">IF(FB177="Y",Y177,"")</f>
        <v/>
      </c>
      <c r="FD177" s="0" t="str">
        <f aca="false">IF($A177="","",IF(AND(CK177="pass",AU177="Y",AV177&lt;&gt;"Y",U177="new",EW177="N"),"Y","N"))</f>
        <v>Y</v>
      </c>
      <c r="FE177" s="0" t="str">
        <f aca="false">IF(FD177&lt;&gt;"Y","",IF(COUNTIFS($FD$2:$FD$1000,"Y",$J$2:$J$1000,"&gt;"&amp;J177)+COUNTIFS($FD$2:$FD$1000,"Y",$J$2:$J$1000,J177,$FG$2:$FG$1000,"&lt;"&amp;FG177)+1&lt;=30,COUNTIFS($FD$2:$FD$1000,"Y",$J$2:$J$1000,"&gt;"&amp;J177)+COUNTIFS($FD$2:$FD$1000,"Y",$J$2:$J$1000,J177,$FG$2:$FG$1000,"&lt;"&amp;FG177)+1,""))</f>
        <v/>
      </c>
      <c r="FF177" s="0" t="str">
        <f aca="false">IF(AND(_xlfn.ISFORMULA(C177),_xlfn.ISFORMULA(J177)),"Y","N")</f>
        <v>Y</v>
      </c>
      <c r="FG177" s="0" t="n">
        <f aca="false">ROW()-1</f>
        <v>176</v>
      </c>
    </row>
    <row r="178" customFormat="false" ht="15" hidden="false" customHeight="false" outlineLevel="0" collapsed="false">
      <c r="A178" s="0" t="s">
        <v>9649</v>
      </c>
      <c r="B178" s="0" t="s">
        <v>9650</v>
      </c>
      <c r="C178" s="0" t="str">
        <f aca="false">IF($A178="","",IF(AT178="Y",BL178&amp;"",AY178&amp;""))</f>
        <v>John</v>
      </c>
      <c r="D178" s="0" t="str">
        <f aca="false">IF($A178="","",IF(AT178="Y",BM178&amp;"",AZ178&amp;""))</f>
        <v>M</v>
      </c>
      <c r="E178" s="0" t="str">
        <f aca="false">IF($A178="","",IF(AT178="Y",BN178&amp;"",BA178&amp;""))</f>
        <v>Founder</v>
      </c>
      <c r="F178" s="0" t="str">
        <f aca="false">IF($A178="","",IF(AT178="Y",BO178&amp;"",BB178&amp;""))</f>
        <v/>
      </c>
      <c r="G178" s="0" t="str">
        <f aca="false">IF($A178="","",IF(AT178="Y",BP178&amp;"",BC178&amp;""))</f>
        <v/>
      </c>
      <c r="H178" s="0" t="str">
        <f aca="false">IF($A178="","",IF(AT178="Y",BQ178&amp;"",BD178&amp;""))</f>
        <v>none</v>
      </c>
      <c r="I178" s="0" t="str">
        <f aca="false">IF($A178="","",IF(R178="Y","warm-intro",IF(H178="verified","email",IF(C178&lt;&gt;"","linkedin",CA178&amp;""))))</f>
        <v>linkedin</v>
      </c>
      <c r="J178" s="0" t="n">
        <f aca="false">IF($A178="","",IF(CK178="pass",ROUND(N(DO178)+N(DP178)+N(DQ178)+N(DR178)+N(DS178)+N(DT178)+N(DU178)+N(DV178),0),0))</f>
        <v>27</v>
      </c>
      <c r="K178" s="0" t="str">
        <f aca="false">IF($A178="","",IF(CK178&lt;&gt;"pass",BY178&amp;"",BY178&amp;", "&amp;IF(AT178="Y",BX178&amp;"",BK178&amp;"")&amp;BZ178&amp;IF(R178="Y","; known to the founder (+10)","")&amp;"."))</f>
        <v>Brand based outside the Northeast, no graded store within ten blocks, online store only, a new store listing 59 days ago, revenue unknown, contact named; founder review: scale, claim-functional, nutrient-claim.</v>
      </c>
      <c r="M178" s="0" t="s">
        <v>6144</v>
      </c>
      <c r="N178" s="0" t="s">
        <v>740</v>
      </c>
      <c r="O178" s="0" t="s">
        <v>9651</v>
      </c>
      <c r="P178" s="0" t="s">
        <v>9652</v>
      </c>
      <c r="Q178" s="0" t="s">
        <v>1153</v>
      </c>
      <c r="R178" s="5" t="s">
        <v>189</v>
      </c>
      <c r="S178" s="0" t="s">
        <v>209</v>
      </c>
      <c r="T178" s="5" t="s">
        <v>189</v>
      </c>
      <c r="U178" s="5" t="s">
        <v>3896</v>
      </c>
      <c r="V178" s="0" t="s">
        <v>9653</v>
      </c>
      <c r="W178" s="0" t="s">
        <v>263</v>
      </c>
      <c r="X178" s="0" t="s">
        <v>5578</v>
      </c>
      <c r="Y178" s="0" t="str">
        <f aca="false">IF(FA178&lt;&gt;"Y","",COUNTIFS($FA$2:$FA$1000,"Y",$J$2:$J$1000,"&gt;"&amp;J178)+COUNTIFS($FA$2:$FA$1000,"Y",$J$2:$J$1000,J178,$FG$2:$FG$1000,"&lt;"&amp;FG178)+1)</f>
        <v/>
      </c>
      <c r="Z178" s="0" t="n">
        <v>177</v>
      </c>
      <c r="AA178" s="0" t="s">
        <v>189</v>
      </c>
      <c r="AB178" s="0" t="str">
        <f aca="false">IF($A178="","",IF(AT178="Y",BW178&amp;"",BJ178&amp;""))</f>
        <v>find John M at Saint James Iced Tea on LinkedIn and paste the profile URL into primary_linkedin_url</v>
      </c>
      <c r="AC178" s="0" t="str">
        <f aca="false">IF($A178="","",IF(AT178="Y",BR178&amp;"",BE178&amp;""))</f>
        <v>founder</v>
      </c>
      <c r="AD178" s="0" t="str">
        <f aca="false">IF($A178="","",IF(AT178="Y",BS178&amp;"",BF178&amp;""))</f>
        <v>verified-page</v>
      </c>
      <c r="AE178" s="0" t="str">
        <f aca="false">IF($A178="","",IF(AT178="Y",BT178&amp;"",BG178&amp;""))</f>
        <v>employer's own site</v>
      </c>
      <c r="AF178" s="0" t="str">
        <f aca="false">IF($A178="","",IF(AT178="Y",BU178&amp;"",BH178&amp;""))</f>
        <v>https://saintjamesicedtea.com/pages/about</v>
      </c>
      <c r="AG178" s="0" t="str">
        <f aca="false">IF($A178="","",IF(AT178="Y",BV178&amp;"",BI178&amp;""))</f>
        <v>2026-10-23</v>
      </c>
      <c r="AH178" s="0" t="s">
        <v>9654</v>
      </c>
      <c r="AI178" s="0" t="s">
        <v>6621</v>
      </c>
      <c r="AJ178" s="0" t="s">
        <v>9655</v>
      </c>
      <c r="AK178" s="0" t="s">
        <v>9656</v>
      </c>
      <c r="AL178" s="0" t="s">
        <v>164</v>
      </c>
      <c r="AM178" s="0" t="s">
        <v>9657</v>
      </c>
      <c r="AN178" s="0" t="s">
        <v>9649</v>
      </c>
      <c r="AO178" s="5" t="s">
        <v>189</v>
      </c>
      <c r="AR178" s="0" t="str">
        <f aca="false">IF($A178="","",IF(AND(CK178="pass",AO178&lt;&gt;"Y",C178&lt;&gt;"",OR(AU178&lt;&gt;"Y",AV178="Y")),"Y","N"))</f>
        <v>N</v>
      </c>
      <c r="AS178" s="0" t="str">
        <f aca="false">IF($A178="","",_xlfn.TEXTJOIN("; ",TRUE(),IF(CK178&lt;&gt;"pass","gated out",""),IF(AO178="Y","on hold: "&amp;AP178,""),IF(C178="","no contact named on an opened page",""),IF(AND(AU178="Y",AV178&lt;&gt;"Y"),"founder review pending (Founder review tab)","")))</f>
        <v>founder review pending (Founder review tab)</v>
      </c>
      <c r="AU178" s="0" t="s">
        <v>164</v>
      </c>
      <c r="AY178" s="0" t="s">
        <v>9658</v>
      </c>
      <c r="AZ178" s="0" t="s">
        <v>9659</v>
      </c>
      <c r="BA178" s="0" t="s">
        <v>5739</v>
      </c>
      <c r="BC178" s="0" t="str">
        <f aca="false">IF($A178="","",IFERROR(INDEX(Enrichment!$A$2:$GZ$2000,MATCH($A178,INDEX(Enrichment!$A$2:$GZ$2000,0,MATCH("row_id",Enrichment!$A$1:$GZ$1,0)),0),MATCH("work_email",Enrichment!$A$1:$GZ$1,0))&amp;"",""))</f>
        <v/>
      </c>
      <c r="BD178" s="0" t="str">
        <f aca="false">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none</v>
      </c>
      <c r="BE178" s="0" t="s">
        <v>5589</v>
      </c>
      <c r="BF178" s="0" t="s">
        <v>169</v>
      </c>
      <c r="BG178" s="0" t="s">
        <v>170</v>
      </c>
      <c r="BH178" s="0" t="s">
        <v>9653</v>
      </c>
      <c r="BI178" s="0" t="s">
        <v>263</v>
      </c>
      <c r="BJ178" s="0" t="s">
        <v>9660</v>
      </c>
      <c r="BK178" s="0" t="s">
        <v>5643</v>
      </c>
      <c r="BL178" s="0" t="s">
        <v>9661</v>
      </c>
      <c r="BM178" s="0" t="s">
        <v>9662</v>
      </c>
      <c r="BN178" s="0" t="s">
        <v>9663</v>
      </c>
      <c r="BP178" s="0" t="str">
        <f aca="false">IF($A178="","",IFERROR(INDEX(Enrichment!$A$2:$GZ$2000,MATCH($A178,INDEX(Enrichment!$A$2:$GZ$2000,0,MATCH("row_id",Enrichment!$A$1:$GZ$1,0)),0),MATCH("backup_work_email",Enrichment!$A$1:$GZ$1,0))&amp;"",""))</f>
        <v/>
      </c>
      <c r="BQ178" s="0" t="str">
        <f aca="false">IF($A178="","",IF(BP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none</v>
      </c>
      <c r="BR178" s="0" t="s">
        <v>7494</v>
      </c>
      <c r="BS178" s="0" t="s">
        <v>169</v>
      </c>
      <c r="BT178" s="0" t="s">
        <v>1252</v>
      </c>
      <c r="BU178" s="0" t="s">
        <v>9664</v>
      </c>
      <c r="BV178" s="0" t="s">
        <v>263</v>
      </c>
      <c r="BW178" s="0" t="s">
        <v>9665</v>
      </c>
      <c r="BX178" s="0" t="s">
        <v>5643</v>
      </c>
      <c r="BY178" s="0" t="s">
        <v>9666</v>
      </c>
      <c r="BZ178" s="0" t="s">
        <v>6287</v>
      </c>
      <c r="CB178" s="0" t="s">
        <v>9667</v>
      </c>
      <c r="CF178" s="0" t="s">
        <v>9668</v>
      </c>
      <c r="CJ178" s="0" t="s">
        <v>7088</v>
      </c>
      <c r="CK178" s="0" t="s">
        <v>200</v>
      </c>
      <c r="CM178" s="0" t="s">
        <v>201</v>
      </c>
      <c r="CN178" s="0" t="s">
        <v>6292</v>
      </c>
      <c r="CO178" s="0" t="s">
        <v>9656</v>
      </c>
      <c r="CP178" s="0" t="s">
        <v>9289</v>
      </c>
      <c r="CQ178" s="0" t="s">
        <v>6198</v>
      </c>
      <c r="CR178" s="0" t="s">
        <v>9669</v>
      </c>
      <c r="CS178" s="0" t="s">
        <v>9670</v>
      </c>
      <c r="CT178" s="0" t="s">
        <v>209</v>
      </c>
      <c r="CU178" s="0" t="s">
        <v>9671</v>
      </c>
      <c r="CV178" s="0" t="s">
        <v>164</v>
      </c>
      <c r="CW178" s="0" t="s">
        <v>164</v>
      </c>
      <c r="CX178" s="0" t="s">
        <v>209</v>
      </c>
      <c r="CZ178" s="0" t="s">
        <v>6456</v>
      </c>
      <c r="DA178" s="0" t="s">
        <v>189</v>
      </c>
      <c r="DB178" s="0" t="s">
        <v>189</v>
      </c>
      <c r="DE178" s="0" t="s">
        <v>189</v>
      </c>
      <c r="DF178" s="0" t="n">
        <v>0</v>
      </c>
      <c r="DH178" s="0" t="s">
        <v>8505</v>
      </c>
      <c r="DI178" s="0" t="s">
        <v>9672</v>
      </c>
      <c r="DJ178" s="0" t="s">
        <v>9670</v>
      </c>
      <c r="DK178" s="0" t="s">
        <v>5689</v>
      </c>
      <c r="DL178" s="0" t="n">
        <v>59</v>
      </c>
      <c r="DN178" s="0" t="n">
        <v>27</v>
      </c>
      <c r="DO178" s="0" t="n">
        <v>6</v>
      </c>
      <c r="DP178" s="0" t="n">
        <v>3</v>
      </c>
      <c r="DQ178" s="0" t="n">
        <v>8</v>
      </c>
      <c r="DR178" s="0" t="n">
        <v>5</v>
      </c>
      <c r="DS178" s="0" t="n">
        <v>7</v>
      </c>
      <c r="DT178" s="0" t="n">
        <v>10</v>
      </c>
      <c r="DU178" s="0" t="n">
        <f aca="false">IF($A178="","",IF(R178="Y",10,0))</f>
        <v>0</v>
      </c>
      <c r="DV178" s="0" t="n">
        <v>-12</v>
      </c>
      <c r="DW178" s="0" t="s">
        <v>209</v>
      </c>
      <c r="DX178" s="0" t="s">
        <v>6462</v>
      </c>
      <c r="DY178" s="0" t="s">
        <v>9673</v>
      </c>
      <c r="DZ178" s="0" t="s">
        <v>9674</v>
      </c>
      <c r="EA178" s="0" t="s">
        <v>9675</v>
      </c>
      <c r="EV178" s="0" t="str">
        <f aca="false">IF($A178="","",IF(ISNUMBER(MATCH(U178,{"queued","contacted","replied","call_booked","call_done","yes_in_principle","materials_sent"},0)),"Y","N"))</f>
        <v>N</v>
      </c>
      <c r="EW178" s="0" t="str">
        <f aca="false">IF($A178="","",IF(OR(T178="Y",U178="do_not_contact",AQ178&amp;""&lt;&gt;""),"Y","N"))</f>
        <v>N</v>
      </c>
      <c r="EX178" s="0" t="str">
        <f aca="false">IF($A178="","",IF(AN178&amp;""&lt;&gt;"",AN178&amp;"",$A178))</f>
        <v>AB-176</v>
      </c>
      <c r="EY178" s="0" t="str">
        <f aca="false">IF($A178="","",IF(COUNTIFS($EX$2:$EX$1000,EX178,$EV$2:$EV$1000,"Y")+COUNTIFS($EX$2:$EX$1000,EX178,$EW$2:$EW$1000,"Y")&gt;0,"Y","N"))</f>
        <v>N</v>
      </c>
      <c r="EZ178" s="0" t="str">
        <f aca="false">IF($A178="","",IF(AND(U178="new",T178="N",EW178="N",AR178="Y",EY178="N"),"Y","N"))</f>
        <v>N</v>
      </c>
      <c r="FA178" s="0" t="str">
        <f aca="false">IF($A178="","",IF(EZ178&lt;&gt;"Y","N",IF(COUNTIFS($EX$2:$EX$1000,EX178,$EZ$2:$EZ$1000,"Y",$J$2:$J$1000,"&gt;"&amp;J178)+COUNTIFS($EX$2:$EX$1000,EX178,$EZ$2:$EZ$1000,"Y",$J$2:$J$1000,J178,$FG$2:$FG$1000,"&lt;"&amp;FG178)=0,"Y","N")))</f>
        <v>N</v>
      </c>
      <c r="FB178" s="0" t="str">
        <f aca="false">IF($A178="","",IF(AND(EZ178="Y",FA178="Y",Y178&amp;""&lt;&gt;""),IF(Y178&lt;=10,"Y","N"),"N"))</f>
        <v>N</v>
      </c>
      <c r="FC178" s="0" t="str">
        <f aca="false">IF(FB178="Y",Y178,"")</f>
        <v/>
      </c>
      <c r="FD178" s="0" t="str">
        <f aca="false">IF($A178="","",IF(AND(CK178="pass",AU178="Y",AV178&lt;&gt;"Y",U178="new",EW178="N"),"Y","N"))</f>
        <v>Y</v>
      </c>
      <c r="FE178" s="0" t="str">
        <f aca="false">IF(FD178&lt;&gt;"Y","",IF(COUNTIFS($FD$2:$FD$1000,"Y",$J$2:$J$1000,"&gt;"&amp;J178)+COUNTIFS($FD$2:$FD$1000,"Y",$J$2:$J$1000,J178,$FG$2:$FG$1000,"&lt;"&amp;FG178)+1&lt;=30,COUNTIFS($FD$2:$FD$1000,"Y",$J$2:$J$1000,"&gt;"&amp;J178)+COUNTIFS($FD$2:$FD$1000,"Y",$J$2:$J$1000,J178,$FG$2:$FG$1000,"&lt;"&amp;FG178)+1,""))</f>
        <v/>
      </c>
      <c r="FF178" s="0" t="str">
        <f aca="false">IF(AND(_xlfn.ISFORMULA(C178),_xlfn.ISFORMULA(J178)),"Y","N")</f>
        <v>Y</v>
      </c>
      <c r="FG178" s="0" t="n">
        <f aca="false">ROW()-1</f>
        <v>177</v>
      </c>
    </row>
    <row r="179" customFormat="false" ht="15" hidden="false" customHeight="false" outlineLevel="0" collapsed="false">
      <c r="A179" s="0" t="s">
        <v>9676</v>
      </c>
      <c r="B179" s="0" t="s">
        <v>9677</v>
      </c>
      <c r="C179" s="0" t="str">
        <f aca="false">IF($A179="","",IF(AT179="Y",BL179&amp;"",AY179&amp;""))</f>
        <v/>
      </c>
      <c r="D179" s="0" t="str">
        <f aca="false">IF($A179="","",IF(AT179="Y",BM179&amp;"",AZ179&amp;""))</f>
        <v/>
      </c>
      <c r="E179" s="0" t="str">
        <f aca="false">IF($A179="","",IF(AT179="Y",BN179&amp;"",BA179&amp;""))</f>
        <v/>
      </c>
      <c r="F179" s="0" t="str">
        <f aca="false">IF($A179="","",IF(AT179="Y",BO179&amp;"",BB179&amp;""))</f>
        <v/>
      </c>
      <c r="G179" s="0" t="str">
        <f aca="false">IF($A179="","",IF(AT179="Y",BP179&amp;"",BC179&amp;""))</f>
        <v/>
      </c>
      <c r="H179" s="0" t="str">
        <f aca="false">IF($A179="","",IF(AT179="Y",BQ179&amp;"",BD179&amp;""))</f>
        <v>none</v>
      </c>
      <c r="I179" s="0" t="str">
        <f aca="false">IF($A179="","",IF(R179="Y","warm-intro",IF(H179="verified","email",IF(C179&lt;&gt;"","linkedin",CA179&amp;""))))</f>
        <v/>
      </c>
      <c r="J179" s="0" t="n">
        <f aca="false">IF($A179="","",IF(CK179="pass",ROUND(N(DO179)+N(DP179)+N(DQ179)+N(DR179)+N(DS179)+N(DT179)+N(DU179)+N(DV179),0),0))</f>
        <v>27</v>
      </c>
      <c r="K179" s="0" t="str">
        <f aca="false">IF($A179="","",IF(CK179&lt;&gt;"pass",BY179&amp;"",BY179&amp;", "&amp;IF(AT179="Y",BX179&amp;"",BK179&amp;"")&amp;BZ179&amp;IF(R179="Y","; known to the founder (+10)","")&amp;"."))</f>
        <v>Brand based outside the Northeast, no graded store within ten blocks, online store only, news 5 days ago, revenue unknown, no contact named; founder review: scale.</v>
      </c>
      <c r="M179" s="0" t="s">
        <v>6144</v>
      </c>
      <c r="N179" s="0" t="s">
        <v>740</v>
      </c>
      <c r="O179" s="0" t="s">
        <v>9678</v>
      </c>
      <c r="P179" s="0" t="s">
        <v>6499</v>
      </c>
      <c r="Q179" s="0" t="s">
        <v>2985</v>
      </c>
      <c r="R179" s="5" t="s">
        <v>189</v>
      </c>
      <c r="S179" s="0" t="s">
        <v>209</v>
      </c>
      <c r="T179" s="5" t="s">
        <v>189</v>
      </c>
      <c r="U179" s="5" t="s">
        <v>3896</v>
      </c>
      <c r="V179" s="0" t="s">
        <v>6499</v>
      </c>
      <c r="W179" s="0" t="s">
        <v>172</v>
      </c>
      <c r="X179" s="0" t="s">
        <v>5578</v>
      </c>
      <c r="Y179" s="0" t="str">
        <f aca="false">IF(FA179&lt;&gt;"Y","",COUNTIFS($FA$2:$FA$1000,"Y",$J$2:$J$1000,"&gt;"&amp;J179)+COUNTIFS($FA$2:$FA$1000,"Y",$J$2:$J$1000,J179,$FG$2:$FG$1000,"&lt;"&amp;FG179)+1)</f>
        <v/>
      </c>
      <c r="Z179" s="0" t="n">
        <v>178</v>
      </c>
      <c r="AA179" s="0" t="s">
        <v>189</v>
      </c>
      <c r="AB179" s="0" t="str">
        <f aca="false">IF($A179="","",IF(AT179="Y",BW179&amp;"",BJ179&amp;""))</f>
        <v>no person named on an opened page: not ready</v>
      </c>
      <c r="AC179" s="0" t="str">
        <f aca="false">IF($A179="","",IF(AT179="Y",BR179&amp;"",BE179&amp;""))</f>
        <v/>
      </c>
      <c r="AD179" s="0" t="str">
        <f aca="false">IF($A179="","",IF(AT179="Y",BS179&amp;"",BF179&amp;""))</f>
        <v>none</v>
      </c>
      <c r="AE179" s="0" t="str">
        <f aca="false">IF($A179="","",IF(AT179="Y",BT179&amp;"",BG179&amp;""))</f>
        <v/>
      </c>
      <c r="AF179" s="0" t="str">
        <f aca="false">IF($A179="","",IF(AT179="Y",BU179&amp;"",BH179&amp;""))</f>
        <v/>
      </c>
      <c r="AG179" s="0" t="str">
        <f aca="false">IF($A179="","",IF(AT179="Y",BV179&amp;"",BI179&amp;""))</f>
        <v/>
      </c>
      <c r="AH179" s="0" t="s">
        <v>9679</v>
      </c>
      <c r="AI179" s="0" t="s">
        <v>5921</v>
      </c>
      <c r="AJ179" s="0" t="s">
        <v>9680</v>
      </c>
      <c r="AK179" s="0" t="s">
        <v>9681</v>
      </c>
      <c r="AL179" s="0" t="s">
        <v>164</v>
      </c>
      <c r="AM179" s="0" t="s">
        <v>9682</v>
      </c>
      <c r="AN179" s="0" t="s">
        <v>9676</v>
      </c>
      <c r="AO179" s="5" t="s">
        <v>189</v>
      </c>
      <c r="AR179" s="0" t="str">
        <f aca="false">IF($A179="","",IF(AND(CK179="pass",AO179&lt;&gt;"Y",C179&lt;&gt;"",OR(AU179&lt;&gt;"Y",AV179="Y")),"Y","N"))</f>
        <v>N</v>
      </c>
      <c r="AS179" s="0" t="str">
        <f aca="false">IF($A179="","",_xlfn.TEXTJOIN("; ",TRUE(),IF(CK179&lt;&gt;"pass","gated out",""),IF(AO179="Y","on hold: "&amp;AP179,""),IF(C179="","no contact named on an opened page",""),IF(AND(AU179="Y",AV179&lt;&gt;"Y"),"founder review pending (Founder review tab)","")))</f>
        <v>no contact named on an opened page; founder review pending (Founder review tab)</v>
      </c>
      <c r="AU179" s="0" t="s">
        <v>164</v>
      </c>
      <c r="BC179" s="0" t="str">
        <f aca="false">IF($A179="","",IFERROR(INDEX(Enrichment!$A$2:$GZ$2000,MATCH($A179,INDEX(Enrichment!$A$2:$GZ$2000,0,MATCH("row_id",Enrichment!$A$1:$GZ$1,0)),0),MATCH("work_email",Enrichment!$A$1:$GZ$1,0))&amp;"",""))</f>
        <v/>
      </c>
      <c r="BD179" s="0" t="str">
        <f aca="false">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none</v>
      </c>
      <c r="BF179" s="0" t="s">
        <v>380</v>
      </c>
      <c r="BJ179" s="0" t="s">
        <v>7105</v>
      </c>
      <c r="BK179" s="0" t="s">
        <v>6048</v>
      </c>
      <c r="BP179" s="0" t="str">
        <f aca="false">IF($A179="","",IFERROR(INDEX(Enrichment!$A$2:$GZ$2000,MATCH($A179,INDEX(Enrichment!$A$2:$GZ$2000,0,MATCH("row_id",Enrichment!$A$1:$GZ$1,0)),0),MATCH("backup_work_email",Enrichment!$A$1:$GZ$1,0))&amp;"",""))</f>
        <v/>
      </c>
      <c r="BQ179" s="0" t="str">
        <f aca="false">IF($A179="","",IF(BP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none</v>
      </c>
      <c r="BS179" s="0" t="s">
        <v>380</v>
      </c>
      <c r="BW179" s="0" t="s">
        <v>387</v>
      </c>
      <c r="BX179" s="0" t="s">
        <v>388</v>
      </c>
      <c r="BY179" s="0" t="s">
        <v>9683</v>
      </c>
      <c r="BZ179" s="0" t="s">
        <v>6512</v>
      </c>
      <c r="CJ179" s="0" t="s">
        <v>7088</v>
      </c>
      <c r="CK179" s="0" t="s">
        <v>200</v>
      </c>
      <c r="CM179" s="0" t="s">
        <v>201</v>
      </c>
      <c r="CN179" s="0" t="s">
        <v>6516</v>
      </c>
      <c r="CO179" s="0" t="s">
        <v>9681</v>
      </c>
      <c r="CP179" s="0" t="s">
        <v>6550</v>
      </c>
      <c r="CQ179" s="0" t="s">
        <v>6198</v>
      </c>
      <c r="CR179" s="0" t="s">
        <v>209</v>
      </c>
      <c r="CT179" s="0" t="s">
        <v>164</v>
      </c>
      <c r="CU179" s="0" t="s">
        <v>9684</v>
      </c>
      <c r="CV179" s="0" t="s">
        <v>164</v>
      </c>
      <c r="CW179" s="0" t="s">
        <v>164</v>
      </c>
      <c r="CX179" s="0" t="s">
        <v>209</v>
      </c>
      <c r="CZ179" s="0" t="s">
        <v>5993</v>
      </c>
      <c r="DA179" s="0" t="s">
        <v>189</v>
      </c>
      <c r="DB179" s="0" t="s">
        <v>189</v>
      </c>
      <c r="DE179" s="0" t="s">
        <v>189</v>
      </c>
      <c r="DF179" s="0" t="n">
        <v>0</v>
      </c>
      <c r="DI179" s="0" t="s">
        <v>9685</v>
      </c>
      <c r="DK179" s="0" t="s">
        <v>5617</v>
      </c>
      <c r="DL179" s="0" t="n">
        <v>5</v>
      </c>
      <c r="DN179" s="0" t="n">
        <v>27</v>
      </c>
      <c r="DO179" s="0" t="n">
        <v>6</v>
      </c>
      <c r="DP179" s="0" t="n">
        <v>3</v>
      </c>
      <c r="DQ179" s="0" t="n">
        <v>15</v>
      </c>
      <c r="DR179" s="0" t="n">
        <v>5</v>
      </c>
      <c r="DS179" s="0" t="n">
        <v>10</v>
      </c>
      <c r="DT179" s="0" t="n">
        <v>0</v>
      </c>
      <c r="DU179" s="0" t="n">
        <f aca="false">IF($A179="","",IF(R179="Y",10,0))</f>
        <v>0</v>
      </c>
      <c r="DV179" s="0" t="n">
        <v>-12</v>
      </c>
      <c r="DW179" s="0" t="s">
        <v>9686</v>
      </c>
      <c r="DX179" s="0" t="s">
        <v>5998</v>
      </c>
      <c r="DY179" s="0" t="s">
        <v>9687</v>
      </c>
      <c r="DZ179" s="0" t="s">
        <v>9688</v>
      </c>
      <c r="EV179" s="0" t="str">
        <f aca="false">IF($A179="","",IF(ISNUMBER(MATCH(U179,{"queued","contacted","replied","call_booked","call_done","yes_in_principle","materials_sent"},0)),"Y","N"))</f>
        <v>N</v>
      </c>
      <c r="EW179" s="0" t="str">
        <f aca="false">IF($A179="","",IF(OR(T179="Y",U179="do_not_contact",AQ179&amp;""&lt;&gt;""),"Y","N"))</f>
        <v>N</v>
      </c>
      <c r="EX179" s="0" t="str">
        <f aca="false">IF($A179="","",IF(AN179&amp;""&lt;&gt;"",AN179&amp;"",$A179))</f>
        <v>AB-310</v>
      </c>
      <c r="EY179" s="0" t="str">
        <f aca="false">IF($A179="","",IF(COUNTIFS($EX$2:$EX$1000,EX179,$EV$2:$EV$1000,"Y")+COUNTIFS($EX$2:$EX$1000,EX179,$EW$2:$EW$1000,"Y")&gt;0,"Y","N"))</f>
        <v>N</v>
      </c>
      <c r="EZ179" s="0" t="str">
        <f aca="false">IF($A179="","",IF(AND(U179="new",T179="N",EW179="N",AR179="Y",EY179="N"),"Y","N"))</f>
        <v>N</v>
      </c>
      <c r="FA179" s="0" t="str">
        <f aca="false">IF($A179="","",IF(EZ179&lt;&gt;"Y","N",IF(COUNTIFS($EX$2:$EX$1000,EX179,$EZ$2:$EZ$1000,"Y",$J$2:$J$1000,"&gt;"&amp;J179)+COUNTIFS($EX$2:$EX$1000,EX179,$EZ$2:$EZ$1000,"Y",$J$2:$J$1000,J179,$FG$2:$FG$1000,"&lt;"&amp;FG179)=0,"Y","N")))</f>
        <v>N</v>
      </c>
      <c r="FB179" s="0" t="str">
        <f aca="false">IF($A179="","",IF(AND(EZ179="Y",FA179="Y",Y179&amp;""&lt;&gt;""),IF(Y179&lt;=10,"Y","N"),"N"))</f>
        <v>N</v>
      </c>
      <c r="FC179" s="0" t="str">
        <f aca="false">IF(FB179="Y",Y179,"")</f>
        <v/>
      </c>
      <c r="FD179" s="0" t="str">
        <f aca="false">IF($A179="","",IF(AND(CK179="pass",AU179="Y",AV179&lt;&gt;"Y",U179="new",EW179="N"),"Y","N"))</f>
        <v>Y</v>
      </c>
      <c r="FE179" s="0" t="str">
        <f aca="false">IF(FD179&lt;&gt;"Y","",IF(COUNTIFS($FD$2:$FD$1000,"Y",$J$2:$J$1000,"&gt;"&amp;J179)+COUNTIFS($FD$2:$FD$1000,"Y",$J$2:$J$1000,J179,$FG$2:$FG$1000,"&lt;"&amp;FG179)+1&lt;=30,COUNTIFS($FD$2:$FD$1000,"Y",$J$2:$J$1000,"&gt;"&amp;J179)+COUNTIFS($FD$2:$FD$1000,"Y",$J$2:$J$1000,J179,$FG$2:$FG$1000,"&lt;"&amp;FG179)+1,""))</f>
        <v/>
      </c>
      <c r="FF179" s="0" t="str">
        <f aca="false">IF(AND(_xlfn.ISFORMULA(C179),_xlfn.ISFORMULA(J179)),"Y","N")</f>
        <v>Y</v>
      </c>
      <c r="FG179" s="0" t="n">
        <f aca="false">ROW()-1</f>
        <v>178</v>
      </c>
    </row>
    <row r="180" customFormat="false" ht="15" hidden="false" customHeight="false" outlineLevel="0" collapsed="false">
      <c r="A180" s="0" t="s">
        <v>9689</v>
      </c>
      <c r="B180" s="0" t="s">
        <v>9690</v>
      </c>
      <c r="C180" s="0" t="str">
        <f aca="false">IF($A180="","",IF(AT180="Y",BL180&amp;"",AY180&amp;""))</f>
        <v/>
      </c>
      <c r="D180" s="0" t="str">
        <f aca="false">IF($A180="","",IF(AT180="Y",BM180&amp;"",AZ180&amp;""))</f>
        <v/>
      </c>
      <c r="E180" s="0" t="str">
        <f aca="false">IF($A180="","",IF(AT180="Y",BN180&amp;"",BA180&amp;""))</f>
        <v/>
      </c>
      <c r="F180" s="0" t="str">
        <f aca="false">IF($A180="","",IF(AT180="Y",BO180&amp;"",BB180&amp;""))</f>
        <v/>
      </c>
      <c r="G180" s="0" t="str">
        <f aca="false">IF($A180="","",IF(AT180="Y",BP180&amp;"",BC180&amp;""))</f>
        <v/>
      </c>
      <c r="H180" s="0" t="str">
        <f aca="false">IF($A180="","",IF(AT180="Y",BQ180&amp;"",BD180&amp;""))</f>
        <v>none</v>
      </c>
      <c r="I180" s="0" t="str">
        <f aca="false">IF($A180="","",IF(R180="Y","warm-intro",IF(H180="verified","email",IF(C180&lt;&gt;"","linkedin",CA180&amp;""))))</f>
        <v/>
      </c>
      <c r="J180" s="0" t="n">
        <f aca="false">IF($A180="","",IF(CK180="pass",ROUND(N(DO180)+N(DP180)+N(DQ180)+N(DR180)+N(DS180)+N(DT180)+N(DU180)+N(DV180),0),0))</f>
        <v>26</v>
      </c>
      <c r="K180" s="0" t="str">
        <f aca="false">IF($A180="","",IF(CK180&lt;&gt;"pass",BY180&amp;"",BY180&amp;", "&amp;IF(AT180="Y",BX180&amp;"",BK180&amp;"")&amp;BZ180&amp;IF(R180="Y","; known to the founder (+10)","")&amp;"."))</f>
        <v>Brand based outside the Northeast, no graded store within ten blocks, online store only, a new store listing 68 days ago, revenue unknown, no contact named; founder review: nutrient-claim.</v>
      </c>
      <c r="M180" s="0" t="s">
        <v>6144</v>
      </c>
      <c r="N180" s="0" t="s">
        <v>740</v>
      </c>
      <c r="O180" s="0" t="s">
        <v>9691</v>
      </c>
      <c r="P180" s="0" t="s">
        <v>9692</v>
      </c>
      <c r="Q180" s="0" t="s">
        <v>9693</v>
      </c>
      <c r="R180" s="5" t="s">
        <v>189</v>
      </c>
      <c r="S180" s="0" t="s">
        <v>209</v>
      </c>
      <c r="T180" s="5" t="s">
        <v>189</v>
      </c>
      <c r="U180" s="5" t="s">
        <v>3896</v>
      </c>
      <c r="V180" s="0" t="s">
        <v>9694</v>
      </c>
      <c r="W180" s="0" t="s">
        <v>263</v>
      </c>
      <c r="X180" s="0" t="s">
        <v>5578</v>
      </c>
      <c r="Y180" s="0" t="str">
        <f aca="false">IF(FA180&lt;&gt;"Y","",COUNTIFS($FA$2:$FA$1000,"Y",$J$2:$J$1000,"&gt;"&amp;J180)+COUNTIFS($FA$2:$FA$1000,"Y",$J$2:$J$1000,J180,$FG$2:$FG$1000,"&lt;"&amp;FG180)+1)</f>
        <v/>
      </c>
      <c r="Z180" s="0" t="n">
        <v>179</v>
      </c>
      <c r="AA180" s="0" t="s">
        <v>189</v>
      </c>
      <c r="AB180" s="0" t="str">
        <f aca="false">IF($A180="","",IF(AT180="Y",BW180&amp;"",BJ180&amp;""))</f>
        <v>no person named on an opened page: not ready</v>
      </c>
      <c r="AC180" s="0" t="str">
        <f aca="false">IF($A180="","",IF(AT180="Y",BR180&amp;"",BE180&amp;""))</f>
        <v/>
      </c>
      <c r="AD180" s="0" t="str">
        <f aca="false">IF($A180="","",IF(AT180="Y",BS180&amp;"",BF180&amp;""))</f>
        <v>none</v>
      </c>
      <c r="AE180" s="0" t="str">
        <f aca="false">IF($A180="","",IF(AT180="Y",BT180&amp;"",BG180&amp;""))</f>
        <v/>
      </c>
      <c r="AF180" s="0" t="str">
        <f aca="false">IF($A180="","",IF(AT180="Y",BU180&amp;"",BH180&amp;""))</f>
        <v/>
      </c>
      <c r="AG180" s="0" t="str">
        <f aca="false">IF($A180="","",IF(AT180="Y",BV180&amp;"",BI180&amp;""))</f>
        <v/>
      </c>
      <c r="AH180" s="0" t="s">
        <v>9695</v>
      </c>
      <c r="AI180" s="0" t="s">
        <v>6007</v>
      </c>
      <c r="AJ180" s="0" t="s">
        <v>9696</v>
      </c>
      <c r="AK180" s="0" t="s">
        <v>9697</v>
      </c>
      <c r="AL180" s="0" t="s">
        <v>164</v>
      </c>
      <c r="AM180" s="0" t="s">
        <v>9698</v>
      </c>
      <c r="AN180" s="0" t="s">
        <v>9689</v>
      </c>
      <c r="AO180" s="5" t="s">
        <v>189</v>
      </c>
      <c r="AR180" s="0" t="str">
        <f aca="false">IF($A180="","",IF(AND(CK180="pass",AO180&lt;&gt;"Y",C180&lt;&gt;"",OR(AU180&lt;&gt;"Y",AV180="Y")),"Y","N"))</f>
        <v>N</v>
      </c>
      <c r="AS180" s="0" t="str">
        <f aca="false">IF($A180="","",_xlfn.TEXTJOIN("; ",TRUE(),IF(CK180&lt;&gt;"pass","gated out",""),IF(AO180="Y","on hold: "&amp;AP180,""),IF(C180="","no contact named on an opened page",""),IF(AND(AU180="Y",AV180&lt;&gt;"Y"),"founder review pending (Founder review tab)","")))</f>
        <v>no contact named on an opened page</v>
      </c>
      <c r="AU180" s="0" t="s">
        <v>189</v>
      </c>
      <c r="BC180" s="0" t="str">
        <f aca="false">IF($A180="","",IFERROR(INDEX(Enrichment!$A$2:$GZ$2000,MATCH($A180,INDEX(Enrichment!$A$2:$GZ$2000,0,MATCH("row_id",Enrichment!$A$1:$GZ$1,0)),0),MATCH("work_email",Enrichment!$A$1:$GZ$1,0))&amp;"",""))</f>
        <v/>
      </c>
      <c r="BD180" s="0" t="str">
        <f aca="false">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none</v>
      </c>
      <c r="BF180" s="0" t="s">
        <v>380</v>
      </c>
      <c r="BJ180" s="0" t="s">
        <v>7105</v>
      </c>
      <c r="BK180" s="0" t="s">
        <v>6048</v>
      </c>
      <c r="BP180" s="0" t="str">
        <f aca="false">IF($A180="","",IFERROR(INDEX(Enrichment!$A$2:$GZ$2000,MATCH($A180,INDEX(Enrichment!$A$2:$GZ$2000,0,MATCH("row_id",Enrichment!$A$1:$GZ$1,0)),0),MATCH("backup_work_email",Enrichment!$A$1:$GZ$1,0))&amp;"",""))</f>
        <v/>
      </c>
      <c r="BQ180" s="0" t="str">
        <f aca="false">IF($A180="","",IF(BP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none</v>
      </c>
      <c r="BS180" s="0" t="s">
        <v>380</v>
      </c>
      <c r="BW180" s="0" t="s">
        <v>387</v>
      </c>
      <c r="BX180" s="0" t="s">
        <v>388</v>
      </c>
      <c r="BY180" s="0" t="s">
        <v>9699</v>
      </c>
      <c r="BZ180" s="0" t="s">
        <v>5601</v>
      </c>
      <c r="CJ180" s="0" t="s">
        <v>7088</v>
      </c>
      <c r="CK180" s="0" t="s">
        <v>200</v>
      </c>
      <c r="CM180" s="0" t="s">
        <v>201</v>
      </c>
      <c r="CN180" s="0" t="s">
        <v>5607</v>
      </c>
      <c r="CO180" s="0" t="s">
        <v>9697</v>
      </c>
      <c r="CP180" s="0" t="s">
        <v>9700</v>
      </c>
      <c r="CQ180" s="0" t="s">
        <v>6198</v>
      </c>
      <c r="CR180" s="0" t="s">
        <v>209</v>
      </c>
      <c r="CT180" s="0" t="s">
        <v>352</v>
      </c>
      <c r="CU180" s="0" t="s">
        <v>9701</v>
      </c>
      <c r="CV180" s="0" t="s">
        <v>164</v>
      </c>
      <c r="CW180" s="0" t="s">
        <v>164</v>
      </c>
      <c r="CX180" s="0" t="s">
        <v>209</v>
      </c>
      <c r="CZ180" s="0" t="s">
        <v>209</v>
      </c>
      <c r="DA180" s="0" t="s">
        <v>189</v>
      </c>
      <c r="DB180" s="0" t="s">
        <v>189</v>
      </c>
      <c r="DE180" s="0" t="s">
        <v>189</v>
      </c>
      <c r="DF180" s="0" t="n">
        <v>0</v>
      </c>
      <c r="DI180" s="0" t="s">
        <v>9702</v>
      </c>
      <c r="DJ180" s="0" t="s">
        <v>9703</v>
      </c>
      <c r="DK180" s="0" t="s">
        <v>5689</v>
      </c>
      <c r="DL180" s="0" t="n">
        <v>68</v>
      </c>
      <c r="DN180" s="0" t="n">
        <v>26</v>
      </c>
      <c r="DO180" s="0" t="n">
        <v>6</v>
      </c>
      <c r="DP180" s="0" t="n">
        <v>3</v>
      </c>
      <c r="DQ180" s="0" t="n">
        <v>8</v>
      </c>
      <c r="DR180" s="0" t="n">
        <v>5</v>
      </c>
      <c r="DS180" s="0" t="n">
        <v>8</v>
      </c>
      <c r="DT180" s="0" t="n">
        <v>0</v>
      </c>
      <c r="DU180" s="0" t="n">
        <f aca="false">IF($A180="","",IF(R180="Y",10,0))</f>
        <v>0</v>
      </c>
      <c r="DV180" s="0" t="n">
        <v>-4</v>
      </c>
      <c r="DW180" s="0" t="s">
        <v>9704</v>
      </c>
      <c r="DX180" s="0" t="s">
        <v>5691</v>
      </c>
      <c r="DY180" s="0" t="s">
        <v>9705</v>
      </c>
      <c r="DZ180" s="0" t="s">
        <v>9706</v>
      </c>
      <c r="EA180" s="0" t="s">
        <v>9707</v>
      </c>
      <c r="EV180" s="0" t="str">
        <f aca="false">IF($A180="","",IF(ISNUMBER(MATCH(U180,{"queued","contacted","replied","call_booked","call_done","yes_in_principle","materials_sent"},0)),"Y","N"))</f>
        <v>N</v>
      </c>
      <c r="EW180" s="0" t="str">
        <f aca="false">IF($A180="","",IF(OR(T180="Y",U180="do_not_contact",AQ180&amp;""&lt;&gt;""),"Y","N"))</f>
        <v>N</v>
      </c>
      <c r="EX180" s="0" t="str">
        <f aca="false">IF($A180="","",IF(AN180&amp;""&lt;&gt;"",AN180&amp;"",$A180))</f>
        <v>AB-102</v>
      </c>
      <c r="EY180" s="0" t="str">
        <f aca="false">IF($A180="","",IF(COUNTIFS($EX$2:$EX$1000,EX180,$EV$2:$EV$1000,"Y")+COUNTIFS($EX$2:$EX$1000,EX180,$EW$2:$EW$1000,"Y")&gt;0,"Y","N"))</f>
        <v>N</v>
      </c>
      <c r="EZ180" s="0" t="str">
        <f aca="false">IF($A180="","",IF(AND(U180="new",T180="N",EW180="N",AR180="Y",EY180="N"),"Y","N"))</f>
        <v>N</v>
      </c>
      <c r="FA180" s="0" t="str">
        <f aca="false">IF($A180="","",IF(EZ180&lt;&gt;"Y","N",IF(COUNTIFS($EX$2:$EX$1000,EX180,$EZ$2:$EZ$1000,"Y",$J$2:$J$1000,"&gt;"&amp;J180)+COUNTIFS($EX$2:$EX$1000,EX180,$EZ$2:$EZ$1000,"Y",$J$2:$J$1000,J180,$FG$2:$FG$1000,"&lt;"&amp;FG180)=0,"Y","N")))</f>
        <v>N</v>
      </c>
      <c r="FB180" s="0" t="str">
        <f aca="false">IF($A180="","",IF(AND(EZ180="Y",FA180="Y",Y180&amp;""&lt;&gt;""),IF(Y180&lt;=10,"Y","N"),"N"))</f>
        <v>N</v>
      </c>
      <c r="FC180" s="0" t="str">
        <f aca="false">IF(FB180="Y",Y180,"")</f>
        <v/>
      </c>
      <c r="FD180" s="0" t="str">
        <f aca="false">IF($A180="","",IF(AND(CK180="pass",AU180="Y",AV180&lt;&gt;"Y",U180="new",EW180="N"),"Y","N"))</f>
        <v>N</v>
      </c>
      <c r="FE180" s="0" t="str">
        <f aca="false">IF(FD180&lt;&gt;"Y","",IF(COUNTIFS($FD$2:$FD$1000,"Y",$J$2:$J$1000,"&gt;"&amp;J180)+COUNTIFS($FD$2:$FD$1000,"Y",$J$2:$J$1000,J180,$FG$2:$FG$1000,"&lt;"&amp;FG180)+1&lt;=30,COUNTIFS($FD$2:$FD$1000,"Y",$J$2:$J$1000,"&gt;"&amp;J180)+COUNTIFS($FD$2:$FD$1000,"Y",$J$2:$J$1000,J180,$FG$2:$FG$1000,"&lt;"&amp;FG180)+1,""))</f>
        <v/>
      </c>
      <c r="FF180" s="0" t="str">
        <f aca="false">IF(AND(_xlfn.ISFORMULA(C180),_xlfn.ISFORMULA(J180)),"Y","N")</f>
        <v>Y</v>
      </c>
      <c r="FG180" s="0" t="n">
        <f aca="false">ROW()-1</f>
        <v>179</v>
      </c>
    </row>
    <row r="181" customFormat="false" ht="15" hidden="false" customHeight="false" outlineLevel="0" collapsed="false">
      <c r="A181" s="0" t="s">
        <v>9708</v>
      </c>
      <c r="B181" s="0" t="s">
        <v>9709</v>
      </c>
      <c r="C181" s="0" t="str">
        <f aca="false">IF($A181="","",IF(AT181="Y",BL181&amp;"",AY181&amp;""))</f>
        <v/>
      </c>
      <c r="D181" s="0" t="str">
        <f aca="false">IF($A181="","",IF(AT181="Y",BM181&amp;"",AZ181&amp;""))</f>
        <v/>
      </c>
      <c r="E181" s="0" t="str">
        <f aca="false">IF($A181="","",IF(AT181="Y",BN181&amp;"",BA181&amp;""))</f>
        <v/>
      </c>
      <c r="F181" s="0" t="str">
        <f aca="false">IF($A181="","",IF(AT181="Y",BO181&amp;"",BB181&amp;""))</f>
        <v/>
      </c>
      <c r="G181" s="0" t="str">
        <f aca="false">IF($A181="","",IF(AT181="Y",BP181&amp;"",BC181&amp;""))</f>
        <v/>
      </c>
      <c r="H181" s="0" t="str">
        <f aca="false">IF($A181="","",IF(AT181="Y",BQ181&amp;"",BD181&amp;""))</f>
        <v>none</v>
      </c>
      <c r="I181" s="0" t="str">
        <f aca="false">IF($A181="","",IF(R181="Y","warm-intro",IF(H181="verified","email",IF(C181&lt;&gt;"","linkedin",CA181&amp;""))))</f>
        <v/>
      </c>
      <c r="J181" s="0" t="n">
        <f aca="false">IF($A181="","",IF(CK181="pass",ROUND(N(DO181)+N(DP181)+N(DQ181)+N(DR181)+N(DS181)+N(DT181)+N(DU181)+N(DV181),0),0))</f>
        <v>26</v>
      </c>
      <c r="K181" s="0" t="str">
        <f aca="false">IF($A181="","",IF(CK181&lt;&gt;"pass",BY181&amp;"",BY181&amp;", "&amp;IF(AT181="Y",BX181&amp;"",BK181&amp;"")&amp;BZ181&amp;IF(R181="Y","; known to the founder (+10)","")&amp;"."))</f>
        <v>HQ unknown, no graded store within ten blocks, online store only, a new store listing 115 days ago, revenue unknown, no contact named; founder review: nutrient-claim.</v>
      </c>
      <c r="M181" s="0" t="s">
        <v>6144</v>
      </c>
      <c r="N181" s="0" t="s">
        <v>740</v>
      </c>
      <c r="O181" s="0" t="s">
        <v>9710</v>
      </c>
      <c r="P181" s="0" t="s">
        <v>9711</v>
      </c>
      <c r="Q181" s="0" t="s">
        <v>8492</v>
      </c>
      <c r="R181" s="5" t="s">
        <v>189</v>
      </c>
      <c r="S181" s="0" t="s">
        <v>209</v>
      </c>
      <c r="T181" s="5" t="s">
        <v>189</v>
      </c>
      <c r="U181" s="5" t="s">
        <v>3896</v>
      </c>
      <c r="V181" s="0" t="s">
        <v>9712</v>
      </c>
      <c r="W181" s="0" t="s">
        <v>263</v>
      </c>
      <c r="X181" s="0" t="s">
        <v>5578</v>
      </c>
      <c r="Y181" s="0" t="str">
        <f aca="false">IF(FA181&lt;&gt;"Y","",COUNTIFS($FA$2:$FA$1000,"Y",$J$2:$J$1000,"&gt;"&amp;J181)+COUNTIFS($FA$2:$FA$1000,"Y",$J$2:$J$1000,J181,$FG$2:$FG$1000,"&lt;"&amp;FG181)+1)</f>
        <v/>
      </c>
      <c r="Z181" s="0" t="n">
        <v>180</v>
      </c>
      <c r="AA181" s="0" t="s">
        <v>189</v>
      </c>
      <c r="AB181" s="0" t="str">
        <f aca="false">IF($A181="","",IF(AT181="Y",BW181&amp;"",BJ181&amp;""))</f>
        <v>no person named on an opened page: not ready</v>
      </c>
      <c r="AC181" s="0" t="str">
        <f aca="false">IF($A181="","",IF(AT181="Y",BR181&amp;"",BE181&amp;""))</f>
        <v/>
      </c>
      <c r="AD181" s="0" t="str">
        <f aca="false">IF($A181="","",IF(AT181="Y",BS181&amp;"",BF181&amp;""))</f>
        <v>none</v>
      </c>
      <c r="AE181" s="0" t="str">
        <f aca="false">IF($A181="","",IF(AT181="Y",BT181&amp;"",BG181&amp;""))</f>
        <v/>
      </c>
      <c r="AF181" s="0" t="str">
        <f aca="false">IF($A181="","",IF(AT181="Y",BU181&amp;"",BH181&amp;""))</f>
        <v/>
      </c>
      <c r="AG181" s="0" t="str">
        <f aca="false">IF($A181="","",IF(AT181="Y",BV181&amp;"",BI181&amp;""))</f>
        <v/>
      </c>
      <c r="AH181" s="0" t="s">
        <v>9713</v>
      </c>
      <c r="AI181" s="0" t="s">
        <v>5580</v>
      </c>
      <c r="AJ181" s="0" t="s">
        <v>209</v>
      </c>
      <c r="AK181" s="0" t="s">
        <v>9712</v>
      </c>
      <c r="AL181" s="0" t="s">
        <v>164</v>
      </c>
      <c r="AM181" s="0" t="s">
        <v>9714</v>
      </c>
      <c r="AN181" s="0" t="s">
        <v>9708</v>
      </c>
      <c r="AO181" s="5" t="s">
        <v>189</v>
      </c>
      <c r="AR181" s="0" t="str">
        <f aca="false">IF($A181="","",IF(AND(CK181="pass",AO181&lt;&gt;"Y",C181&lt;&gt;"",OR(AU181&lt;&gt;"Y",AV181="Y")),"Y","N"))</f>
        <v>N</v>
      </c>
      <c r="AS181" s="0" t="str">
        <f aca="false">IF($A181="","",_xlfn.TEXTJOIN("; ",TRUE(),IF(CK181&lt;&gt;"pass","gated out",""),IF(AO181="Y","on hold: "&amp;AP181,""),IF(C181="","no contact named on an opened page",""),IF(AND(AU181="Y",AV181&lt;&gt;"Y"),"founder review pending (Founder review tab)","")))</f>
        <v>no contact named on an opened page</v>
      </c>
      <c r="AU181" s="0" t="s">
        <v>189</v>
      </c>
      <c r="BC181" s="0" t="str">
        <f aca="false">IF($A181="","",IFERROR(INDEX(Enrichment!$A$2:$GZ$2000,MATCH($A181,INDEX(Enrichment!$A$2:$GZ$2000,0,MATCH("row_id",Enrichment!$A$1:$GZ$1,0)),0),MATCH("work_email",Enrichment!$A$1:$GZ$1,0))&amp;"",""))</f>
        <v/>
      </c>
      <c r="BD181" s="0" t="str">
        <f aca="false">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none</v>
      </c>
      <c r="BF181" s="0" t="s">
        <v>380</v>
      </c>
      <c r="BJ181" s="0" t="s">
        <v>7105</v>
      </c>
      <c r="BK181" s="0" t="s">
        <v>6048</v>
      </c>
      <c r="BP181" s="0" t="str">
        <f aca="false">IF($A181="","",IFERROR(INDEX(Enrichment!$A$2:$GZ$2000,MATCH($A181,INDEX(Enrichment!$A$2:$GZ$2000,0,MATCH("row_id",Enrichment!$A$1:$GZ$1,0)),0),MATCH("backup_work_email",Enrichment!$A$1:$GZ$1,0))&amp;"",""))</f>
        <v/>
      </c>
      <c r="BQ181" s="0" t="str">
        <f aca="false">IF($A181="","",IF(BP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none</v>
      </c>
      <c r="BS181" s="0" t="s">
        <v>380</v>
      </c>
      <c r="BW181" s="0" t="s">
        <v>387</v>
      </c>
      <c r="BX181" s="0" t="s">
        <v>388</v>
      </c>
      <c r="BY181" s="0" t="s">
        <v>9715</v>
      </c>
      <c r="BZ181" s="0" t="s">
        <v>5601</v>
      </c>
      <c r="CJ181" s="0" t="s">
        <v>7088</v>
      </c>
      <c r="CK181" s="0" t="s">
        <v>200</v>
      </c>
      <c r="CM181" s="0" t="s">
        <v>201</v>
      </c>
      <c r="CN181" s="0" t="s">
        <v>5607</v>
      </c>
      <c r="CO181" s="0" t="s">
        <v>9712</v>
      </c>
      <c r="CP181" s="0" t="s">
        <v>209</v>
      </c>
      <c r="CQ181" s="0" t="s">
        <v>209</v>
      </c>
      <c r="CR181" s="0" t="s">
        <v>209</v>
      </c>
      <c r="CT181" s="0" t="s">
        <v>209</v>
      </c>
      <c r="CU181" s="0" t="s">
        <v>6710</v>
      </c>
      <c r="CV181" s="0" t="s">
        <v>164</v>
      </c>
      <c r="CW181" s="0" t="s">
        <v>164</v>
      </c>
      <c r="CX181" s="0" t="s">
        <v>209</v>
      </c>
      <c r="CZ181" s="0" t="s">
        <v>6456</v>
      </c>
      <c r="DA181" s="0" t="s">
        <v>189</v>
      </c>
      <c r="DB181" s="0" t="s">
        <v>189</v>
      </c>
      <c r="DE181" s="0" t="s">
        <v>189</v>
      </c>
      <c r="DF181" s="0" t="n">
        <v>0</v>
      </c>
      <c r="DH181" s="0" t="s">
        <v>8505</v>
      </c>
      <c r="DI181" s="0" t="s">
        <v>8725</v>
      </c>
      <c r="DJ181" s="0" t="s">
        <v>9711</v>
      </c>
      <c r="DK181" s="0" t="s">
        <v>5689</v>
      </c>
      <c r="DL181" s="0" t="n">
        <v>115</v>
      </c>
      <c r="DN181" s="0" t="n">
        <v>26</v>
      </c>
      <c r="DO181" s="0" t="n">
        <v>6</v>
      </c>
      <c r="DP181" s="0" t="n">
        <v>4</v>
      </c>
      <c r="DQ181" s="0" t="n">
        <v>8</v>
      </c>
      <c r="DR181" s="0" t="n">
        <v>5</v>
      </c>
      <c r="DS181" s="0" t="n">
        <v>7</v>
      </c>
      <c r="DT181" s="0" t="n">
        <v>0</v>
      </c>
      <c r="DU181" s="0" t="n">
        <f aca="false">IF($A181="","",IF(R181="Y",10,0))</f>
        <v>0</v>
      </c>
      <c r="DV181" s="0" t="n">
        <v>-4</v>
      </c>
      <c r="DW181" s="0" t="s">
        <v>209</v>
      </c>
      <c r="DX181" s="0" t="s">
        <v>6462</v>
      </c>
      <c r="DY181" s="0" t="s">
        <v>9716</v>
      </c>
      <c r="DZ181" s="0" t="s">
        <v>9717</v>
      </c>
      <c r="EA181" s="0" t="s">
        <v>9718</v>
      </c>
      <c r="EV181" s="0" t="str">
        <f aca="false">IF($A181="","",IF(ISNUMBER(MATCH(U181,{"queued","contacted","replied","call_booked","call_done","yes_in_principle","materials_sent"},0)),"Y","N"))</f>
        <v>N</v>
      </c>
      <c r="EW181" s="0" t="str">
        <f aca="false">IF($A181="","",IF(OR(T181="Y",U181="do_not_contact",AQ181&amp;""&lt;&gt;""),"Y","N"))</f>
        <v>N</v>
      </c>
      <c r="EX181" s="0" t="str">
        <f aca="false">IF($A181="","",IF(AN181&amp;""&lt;&gt;"",AN181&amp;"",$A181))</f>
        <v>AB-177</v>
      </c>
      <c r="EY181" s="0" t="str">
        <f aca="false">IF($A181="","",IF(COUNTIFS($EX$2:$EX$1000,EX181,$EV$2:$EV$1000,"Y")+COUNTIFS($EX$2:$EX$1000,EX181,$EW$2:$EW$1000,"Y")&gt;0,"Y","N"))</f>
        <v>N</v>
      </c>
      <c r="EZ181" s="0" t="str">
        <f aca="false">IF($A181="","",IF(AND(U181="new",T181="N",EW181="N",AR181="Y",EY181="N"),"Y","N"))</f>
        <v>N</v>
      </c>
      <c r="FA181" s="0" t="str">
        <f aca="false">IF($A181="","",IF(EZ181&lt;&gt;"Y","N",IF(COUNTIFS($EX$2:$EX$1000,EX181,$EZ$2:$EZ$1000,"Y",$J$2:$J$1000,"&gt;"&amp;J181)+COUNTIFS($EX$2:$EX$1000,EX181,$EZ$2:$EZ$1000,"Y",$J$2:$J$1000,J181,$FG$2:$FG$1000,"&lt;"&amp;FG181)=0,"Y","N")))</f>
        <v>N</v>
      </c>
      <c r="FB181" s="0" t="str">
        <f aca="false">IF($A181="","",IF(AND(EZ181="Y",FA181="Y",Y181&amp;""&lt;&gt;""),IF(Y181&lt;=10,"Y","N"),"N"))</f>
        <v>N</v>
      </c>
      <c r="FC181" s="0" t="str">
        <f aca="false">IF(FB181="Y",Y181,"")</f>
        <v/>
      </c>
      <c r="FD181" s="0" t="str">
        <f aca="false">IF($A181="","",IF(AND(CK181="pass",AU181="Y",AV181&lt;&gt;"Y",U181="new",EW181="N"),"Y","N"))</f>
        <v>N</v>
      </c>
      <c r="FE181" s="0" t="str">
        <f aca="false">IF(FD181&lt;&gt;"Y","",IF(COUNTIFS($FD$2:$FD$1000,"Y",$J$2:$J$1000,"&gt;"&amp;J181)+COUNTIFS($FD$2:$FD$1000,"Y",$J$2:$J$1000,J181,$FG$2:$FG$1000,"&lt;"&amp;FG181)+1&lt;=30,COUNTIFS($FD$2:$FD$1000,"Y",$J$2:$J$1000,"&gt;"&amp;J181)+COUNTIFS($FD$2:$FD$1000,"Y",$J$2:$J$1000,J181,$FG$2:$FG$1000,"&lt;"&amp;FG181)+1,""))</f>
        <v/>
      </c>
      <c r="FF181" s="0" t="str">
        <f aca="false">IF(AND(_xlfn.ISFORMULA(C181),_xlfn.ISFORMULA(J181)),"Y","N")</f>
        <v>Y</v>
      </c>
      <c r="FG181" s="0" t="n">
        <f aca="false">ROW()-1</f>
        <v>180</v>
      </c>
    </row>
    <row r="182" customFormat="false" ht="15" hidden="false" customHeight="false" outlineLevel="0" collapsed="false">
      <c r="A182" s="0" t="s">
        <v>9719</v>
      </c>
      <c r="B182" s="0" t="s">
        <v>9720</v>
      </c>
      <c r="C182" s="0" t="str">
        <f aca="false">IF($A182="","",IF(AT182="Y",BL182&amp;"",AY182&amp;""))</f>
        <v/>
      </c>
      <c r="D182" s="0" t="str">
        <f aca="false">IF($A182="","",IF(AT182="Y",BM182&amp;"",AZ182&amp;""))</f>
        <v/>
      </c>
      <c r="E182" s="0" t="str">
        <f aca="false">IF($A182="","",IF(AT182="Y",BN182&amp;"",BA182&amp;""))</f>
        <v/>
      </c>
      <c r="F182" s="0" t="str">
        <f aca="false">IF($A182="","",IF(AT182="Y",BO182&amp;"",BB182&amp;""))</f>
        <v/>
      </c>
      <c r="G182" s="0" t="str">
        <f aca="false">IF($A182="","",IF(AT182="Y",BP182&amp;"",BC182&amp;""))</f>
        <v/>
      </c>
      <c r="H182" s="0" t="str">
        <f aca="false">IF($A182="","",IF(AT182="Y",BQ182&amp;"",BD182&amp;""))</f>
        <v>none</v>
      </c>
      <c r="I182" s="0" t="str">
        <f aca="false">IF($A182="","",IF(R182="Y","warm-intro",IF(H182="verified","email",IF(C182&lt;&gt;"","linkedin",CA182&amp;""))))</f>
        <v/>
      </c>
      <c r="J182" s="0" t="n">
        <f aca="false">IF($A182="","",IF(CK182="pass",ROUND(N(DO182)+N(DP182)+N(DQ182)+N(DR182)+N(DS182)+N(DT182)+N(DU182)+N(DV182),0),0))</f>
        <v>25</v>
      </c>
      <c r="K182" s="0" t="str">
        <f aca="false">IF($A182="","",IF(CK182&lt;&gt;"pass",BY182&amp;"",BY182&amp;", "&amp;IF(AT182="Y",BX182&amp;"",BK182&amp;"")&amp;BZ182&amp;IF(R182="Y","; known to the founder (+10)","")&amp;"."))</f>
        <v>Brand based outside the Northeast, no graded store within ten blocks, online store only, a new store listing 25 days ago, revenue unknown, no contact named; founder review: format.</v>
      </c>
      <c r="M182" s="0" t="s">
        <v>6144</v>
      </c>
      <c r="N182" s="0" t="s">
        <v>740</v>
      </c>
      <c r="O182" s="0" t="s">
        <v>9721</v>
      </c>
      <c r="P182" s="0" t="s">
        <v>9722</v>
      </c>
      <c r="Q182" s="0" t="s">
        <v>9278</v>
      </c>
      <c r="R182" s="5" t="s">
        <v>189</v>
      </c>
      <c r="S182" s="0" t="s">
        <v>209</v>
      </c>
      <c r="T182" s="5" t="s">
        <v>189</v>
      </c>
      <c r="U182" s="5" t="s">
        <v>3896</v>
      </c>
      <c r="V182" s="0" t="s">
        <v>9723</v>
      </c>
      <c r="W182" s="0" t="s">
        <v>263</v>
      </c>
      <c r="X182" s="0" t="s">
        <v>5578</v>
      </c>
      <c r="Y182" s="0" t="str">
        <f aca="false">IF(FA182&lt;&gt;"Y","",COUNTIFS($FA$2:$FA$1000,"Y",$J$2:$J$1000,"&gt;"&amp;J182)+COUNTIFS($FA$2:$FA$1000,"Y",$J$2:$J$1000,J182,$FG$2:$FG$1000,"&lt;"&amp;FG182)+1)</f>
        <v/>
      </c>
      <c r="Z182" s="0" t="n">
        <v>181</v>
      </c>
      <c r="AA182" s="0" t="s">
        <v>189</v>
      </c>
      <c r="AB182" s="0" t="str">
        <f aca="false">IF($A182="","",IF(AT182="Y",BW182&amp;"",BJ182&amp;""))</f>
        <v>no person named on an opened page: not ready</v>
      </c>
      <c r="AC182" s="0" t="str">
        <f aca="false">IF($A182="","",IF(AT182="Y",BR182&amp;"",BE182&amp;""))</f>
        <v/>
      </c>
      <c r="AD182" s="0" t="str">
        <f aca="false">IF($A182="","",IF(AT182="Y",BS182&amp;"",BF182&amp;""))</f>
        <v>none</v>
      </c>
      <c r="AE182" s="0" t="str">
        <f aca="false">IF($A182="","",IF(AT182="Y",BT182&amp;"",BG182&amp;""))</f>
        <v/>
      </c>
      <c r="AF182" s="0" t="str">
        <f aca="false">IF($A182="","",IF(AT182="Y",BU182&amp;"",BH182&amp;""))</f>
        <v/>
      </c>
      <c r="AG182" s="0" t="str">
        <f aca="false">IF($A182="","",IF(AT182="Y",BV182&amp;"",BI182&amp;""))</f>
        <v/>
      </c>
      <c r="AH182" s="0" t="s">
        <v>9724</v>
      </c>
      <c r="AI182" s="0" t="s">
        <v>6699</v>
      </c>
      <c r="AJ182" s="0" t="s">
        <v>9725</v>
      </c>
      <c r="AK182" s="0" t="s">
        <v>9726</v>
      </c>
      <c r="AL182" s="0" t="s">
        <v>164</v>
      </c>
      <c r="AM182" s="0" t="s">
        <v>9727</v>
      </c>
      <c r="AN182" s="0" t="s">
        <v>9719</v>
      </c>
      <c r="AO182" s="5" t="s">
        <v>189</v>
      </c>
      <c r="AR182" s="0" t="str">
        <f aca="false">IF($A182="","",IF(AND(CK182="pass",AO182&lt;&gt;"Y",C182&lt;&gt;"",OR(AU182&lt;&gt;"Y",AV182="Y")),"Y","N"))</f>
        <v>N</v>
      </c>
      <c r="AS182" s="0" t="str">
        <f aca="false">IF($A182="","",_xlfn.TEXTJOIN("; ",TRUE(),IF(CK182&lt;&gt;"pass","gated out",""),IF(AO182="Y","on hold: "&amp;AP182,""),IF(C182="","no contact named on an opened page",""),IF(AND(AU182="Y",AV182&lt;&gt;"Y"),"founder review pending (Founder review tab)","")))</f>
        <v>no contact named on an opened page; founder review pending (Founder review tab)</v>
      </c>
      <c r="AU182" s="0" t="s">
        <v>164</v>
      </c>
      <c r="BC182" s="0" t="str">
        <f aca="false">IF($A182="","",IFERROR(INDEX(Enrichment!$A$2:$GZ$2000,MATCH($A182,INDEX(Enrichment!$A$2:$GZ$2000,0,MATCH("row_id",Enrichment!$A$1:$GZ$1,0)),0),MATCH("work_email",Enrichment!$A$1:$GZ$1,0))&amp;"",""))</f>
        <v/>
      </c>
      <c r="BD182" s="0" t="str">
        <f aca="false">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none</v>
      </c>
      <c r="BF182" s="0" t="s">
        <v>380</v>
      </c>
      <c r="BJ182" s="0" t="s">
        <v>7105</v>
      </c>
      <c r="BK182" s="0" t="s">
        <v>6048</v>
      </c>
      <c r="BP182" s="0" t="str">
        <f aca="false">IF($A182="","",IFERROR(INDEX(Enrichment!$A$2:$GZ$2000,MATCH($A182,INDEX(Enrichment!$A$2:$GZ$2000,0,MATCH("row_id",Enrichment!$A$1:$GZ$1,0)),0),MATCH("backup_work_email",Enrichment!$A$1:$GZ$1,0))&amp;"",""))</f>
        <v/>
      </c>
      <c r="BQ182" s="0" t="str">
        <f aca="false">IF($A182="","",IF(BP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none</v>
      </c>
      <c r="BS182" s="0" t="s">
        <v>380</v>
      </c>
      <c r="BW182" s="0" t="s">
        <v>387</v>
      </c>
      <c r="BX182" s="0" t="s">
        <v>388</v>
      </c>
      <c r="BY182" s="0" t="s">
        <v>9287</v>
      </c>
      <c r="BZ182" s="0" t="s">
        <v>5802</v>
      </c>
      <c r="CJ182" s="0" t="s">
        <v>7088</v>
      </c>
      <c r="CK182" s="0" t="s">
        <v>200</v>
      </c>
      <c r="CM182" s="0" t="s">
        <v>201</v>
      </c>
      <c r="CN182" s="0" t="s">
        <v>5808</v>
      </c>
      <c r="CO182" s="0" t="s">
        <v>9726</v>
      </c>
      <c r="CP182" s="0" t="s">
        <v>9728</v>
      </c>
      <c r="CQ182" s="0" t="s">
        <v>6198</v>
      </c>
      <c r="CR182" s="0" t="s">
        <v>209</v>
      </c>
      <c r="CT182" s="0" t="s">
        <v>164</v>
      </c>
      <c r="CU182" s="0" t="s">
        <v>9729</v>
      </c>
      <c r="CV182" s="0" t="s">
        <v>189</v>
      </c>
      <c r="CW182" s="0" t="s">
        <v>164</v>
      </c>
      <c r="CX182" s="0" t="s">
        <v>209</v>
      </c>
      <c r="CZ182" s="0" t="s">
        <v>6456</v>
      </c>
      <c r="DA182" s="0" t="s">
        <v>189</v>
      </c>
      <c r="DB182" s="0" t="s">
        <v>189</v>
      </c>
      <c r="DE182" s="0" t="s">
        <v>189</v>
      </c>
      <c r="DF182" s="0" t="n">
        <v>0</v>
      </c>
      <c r="DH182" s="0" t="s">
        <v>8505</v>
      </c>
      <c r="DI182" s="0" t="s">
        <v>8725</v>
      </c>
      <c r="DJ182" s="0" t="s">
        <v>9722</v>
      </c>
      <c r="DK182" s="0" t="s">
        <v>5689</v>
      </c>
      <c r="DL182" s="0" t="n">
        <v>25</v>
      </c>
      <c r="DN182" s="0" t="n">
        <v>25</v>
      </c>
      <c r="DO182" s="0" t="n">
        <v>6</v>
      </c>
      <c r="DP182" s="0" t="n">
        <v>3</v>
      </c>
      <c r="DQ182" s="0" t="n">
        <v>8</v>
      </c>
      <c r="DR182" s="0" t="n">
        <v>5</v>
      </c>
      <c r="DS182" s="0" t="n">
        <v>7</v>
      </c>
      <c r="DT182" s="0" t="n">
        <v>0</v>
      </c>
      <c r="DU182" s="0" t="n">
        <f aca="false">IF($A182="","",IF(R182="Y",10,0))</f>
        <v>0</v>
      </c>
      <c r="DV182" s="0" t="n">
        <v>-4</v>
      </c>
      <c r="DW182" s="0" t="s">
        <v>209</v>
      </c>
      <c r="DX182" s="0" t="s">
        <v>6462</v>
      </c>
      <c r="DY182" s="0" t="s">
        <v>9730</v>
      </c>
      <c r="DZ182" s="0" t="s">
        <v>9731</v>
      </c>
      <c r="EA182" s="0" t="s">
        <v>9732</v>
      </c>
      <c r="EV182" s="0" t="str">
        <f aca="false">IF($A182="","",IF(ISNUMBER(MATCH(U182,{"queued","contacted","replied","call_booked","call_done","yes_in_principle","materials_sent"},0)),"Y","N"))</f>
        <v>N</v>
      </c>
      <c r="EW182" s="0" t="str">
        <f aca="false">IF($A182="","",IF(OR(T182="Y",U182="do_not_contact",AQ182&amp;""&lt;&gt;""),"Y","N"))</f>
        <v>N</v>
      </c>
      <c r="EX182" s="0" t="str">
        <f aca="false">IF($A182="","",IF(AN182&amp;""&lt;&gt;"",AN182&amp;"",$A182))</f>
        <v>AB-181</v>
      </c>
      <c r="EY182" s="0" t="str">
        <f aca="false">IF($A182="","",IF(COUNTIFS($EX$2:$EX$1000,EX182,$EV$2:$EV$1000,"Y")+COUNTIFS($EX$2:$EX$1000,EX182,$EW$2:$EW$1000,"Y")&gt;0,"Y","N"))</f>
        <v>N</v>
      </c>
      <c r="EZ182" s="0" t="str">
        <f aca="false">IF($A182="","",IF(AND(U182="new",T182="N",EW182="N",AR182="Y",EY182="N"),"Y","N"))</f>
        <v>N</v>
      </c>
      <c r="FA182" s="0" t="str">
        <f aca="false">IF($A182="","",IF(EZ182&lt;&gt;"Y","N",IF(COUNTIFS($EX$2:$EX$1000,EX182,$EZ$2:$EZ$1000,"Y",$J$2:$J$1000,"&gt;"&amp;J182)+COUNTIFS($EX$2:$EX$1000,EX182,$EZ$2:$EZ$1000,"Y",$J$2:$J$1000,J182,$FG$2:$FG$1000,"&lt;"&amp;FG182)=0,"Y","N")))</f>
        <v>N</v>
      </c>
      <c r="FB182" s="0" t="str">
        <f aca="false">IF($A182="","",IF(AND(EZ182="Y",FA182="Y",Y182&amp;""&lt;&gt;""),IF(Y182&lt;=10,"Y","N"),"N"))</f>
        <v>N</v>
      </c>
      <c r="FC182" s="0" t="str">
        <f aca="false">IF(FB182="Y",Y182,"")</f>
        <v/>
      </c>
      <c r="FD182" s="0" t="str">
        <f aca="false">IF($A182="","",IF(AND(CK182="pass",AU182="Y",AV182&lt;&gt;"Y",U182="new",EW182="N"),"Y","N"))</f>
        <v>Y</v>
      </c>
      <c r="FE182" s="0" t="str">
        <f aca="false">IF(FD182&lt;&gt;"Y","",IF(COUNTIFS($FD$2:$FD$1000,"Y",$J$2:$J$1000,"&gt;"&amp;J182)+COUNTIFS($FD$2:$FD$1000,"Y",$J$2:$J$1000,J182,$FG$2:$FG$1000,"&lt;"&amp;FG182)+1&lt;=30,COUNTIFS($FD$2:$FD$1000,"Y",$J$2:$J$1000,"&gt;"&amp;J182)+COUNTIFS($FD$2:$FD$1000,"Y",$J$2:$J$1000,J182,$FG$2:$FG$1000,"&lt;"&amp;FG182)+1,""))</f>
        <v/>
      </c>
      <c r="FF182" s="0" t="str">
        <f aca="false">IF(AND(_xlfn.ISFORMULA(C182),_xlfn.ISFORMULA(J182)),"Y","N")</f>
        <v>Y</v>
      </c>
      <c r="FG182" s="0" t="n">
        <f aca="false">ROW()-1</f>
        <v>181</v>
      </c>
    </row>
    <row r="183" customFormat="false" ht="15" hidden="false" customHeight="false" outlineLevel="0" collapsed="false">
      <c r="A183" s="0" t="s">
        <v>9733</v>
      </c>
      <c r="B183" s="0" t="s">
        <v>9734</v>
      </c>
      <c r="C183" s="0" t="str">
        <f aca="false">IF($A183="","",IF(AT183="Y",BL183&amp;"",AY183&amp;""))</f>
        <v/>
      </c>
      <c r="D183" s="0" t="str">
        <f aca="false">IF($A183="","",IF(AT183="Y",BM183&amp;"",AZ183&amp;""))</f>
        <v/>
      </c>
      <c r="E183" s="0" t="str">
        <f aca="false">IF($A183="","",IF(AT183="Y",BN183&amp;"",BA183&amp;""))</f>
        <v/>
      </c>
      <c r="F183" s="0" t="str">
        <f aca="false">IF($A183="","",IF(AT183="Y",BO183&amp;"",BB183&amp;""))</f>
        <v/>
      </c>
      <c r="G183" s="0" t="str">
        <f aca="false">IF($A183="","",IF(AT183="Y",BP183&amp;"",BC183&amp;""))</f>
        <v/>
      </c>
      <c r="H183" s="0" t="str">
        <f aca="false">IF($A183="","",IF(AT183="Y",BQ183&amp;"",BD183&amp;""))</f>
        <v>none</v>
      </c>
      <c r="I183" s="0" t="str">
        <f aca="false">IF($A183="","",IF(R183="Y","warm-intro",IF(H183="verified","email",IF(C183&lt;&gt;"","linkedin",CA183&amp;""))))</f>
        <v/>
      </c>
      <c r="J183" s="0" t="n">
        <f aca="false">IF($A183="","",IF(CK183="pass",ROUND(N(DO183)+N(DP183)+N(DQ183)+N(DR183)+N(DS183)+N(DT183)+N(DU183)+N(DV183),0),0))</f>
        <v>25</v>
      </c>
      <c r="K183" s="0" t="str">
        <f aca="false">IF($A183="","",IF(CK183&lt;&gt;"pass",BY183&amp;"",BY183&amp;", "&amp;IF(AT183="Y",BX183&amp;"",BK183&amp;"")&amp;BZ183&amp;IF(R183="Y","; known to the founder (+10)","")&amp;"."))</f>
        <v>Brand based outside the Northeast, no graded store within ten blocks, online store only, a new store listing 88 days ago, revenue unknown, no contact named; founder review: format.</v>
      </c>
      <c r="M183" s="0" t="s">
        <v>6144</v>
      </c>
      <c r="N183" s="0" t="s">
        <v>740</v>
      </c>
      <c r="O183" s="0" t="s">
        <v>9735</v>
      </c>
      <c r="P183" s="0" t="s">
        <v>9736</v>
      </c>
      <c r="Q183" s="0" t="s">
        <v>9737</v>
      </c>
      <c r="R183" s="5" t="s">
        <v>189</v>
      </c>
      <c r="S183" s="0" t="s">
        <v>209</v>
      </c>
      <c r="T183" s="5" t="s">
        <v>189</v>
      </c>
      <c r="U183" s="5" t="s">
        <v>3896</v>
      </c>
      <c r="V183" s="0" t="s">
        <v>9738</v>
      </c>
      <c r="W183" s="0" t="s">
        <v>263</v>
      </c>
      <c r="X183" s="0" t="s">
        <v>5578</v>
      </c>
      <c r="Y183" s="0" t="str">
        <f aca="false">IF(FA183&lt;&gt;"Y","",COUNTIFS($FA$2:$FA$1000,"Y",$J$2:$J$1000,"&gt;"&amp;J183)+COUNTIFS($FA$2:$FA$1000,"Y",$J$2:$J$1000,J183,$FG$2:$FG$1000,"&lt;"&amp;FG183)+1)</f>
        <v/>
      </c>
      <c r="Z183" s="0" t="n">
        <v>182</v>
      </c>
      <c r="AA183" s="0" t="s">
        <v>189</v>
      </c>
      <c r="AB183" s="0" t="str">
        <f aca="false">IF($A183="","",IF(AT183="Y",BW183&amp;"",BJ183&amp;""))</f>
        <v>no person named on an opened page: not ready</v>
      </c>
      <c r="AC183" s="0" t="str">
        <f aca="false">IF($A183="","",IF(AT183="Y",BR183&amp;"",BE183&amp;""))</f>
        <v/>
      </c>
      <c r="AD183" s="0" t="str">
        <f aca="false">IF($A183="","",IF(AT183="Y",BS183&amp;"",BF183&amp;""))</f>
        <v>none</v>
      </c>
      <c r="AE183" s="0" t="str">
        <f aca="false">IF($A183="","",IF(AT183="Y",BT183&amp;"",BG183&amp;""))</f>
        <v/>
      </c>
      <c r="AF183" s="0" t="str">
        <f aca="false">IF($A183="","",IF(AT183="Y",BU183&amp;"",BH183&amp;""))</f>
        <v/>
      </c>
      <c r="AG183" s="0" t="str">
        <f aca="false">IF($A183="","",IF(AT183="Y",BV183&amp;"",BI183&amp;""))</f>
        <v/>
      </c>
      <c r="AH183" s="0" t="s">
        <v>9739</v>
      </c>
      <c r="AI183" s="0" t="s">
        <v>5789</v>
      </c>
      <c r="AJ183" s="0" t="s">
        <v>9740</v>
      </c>
      <c r="AK183" s="0" t="s">
        <v>9741</v>
      </c>
      <c r="AL183" s="0" t="s">
        <v>164</v>
      </c>
      <c r="AM183" s="0" t="s">
        <v>7540</v>
      </c>
      <c r="AN183" s="0" t="s">
        <v>9733</v>
      </c>
      <c r="AO183" s="5" t="s">
        <v>189</v>
      </c>
      <c r="AR183" s="0" t="str">
        <f aca="false">IF($A183="","",IF(AND(CK183="pass",AO183&lt;&gt;"Y",C183&lt;&gt;"",OR(AU183&lt;&gt;"Y",AV183="Y")),"Y","N"))</f>
        <v>N</v>
      </c>
      <c r="AS183" s="0" t="str">
        <f aca="false">IF($A183="","",_xlfn.TEXTJOIN("; ",TRUE(),IF(CK183&lt;&gt;"pass","gated out",""),IF(AO183="Y","on hold: "&amp;AP183,""),IF(C183="","no contact named on an opened page",""),IF(AND(AU183="Y",AV183&lt;&gt;"Y"),"founder review pending (Founder review tab)","")))</f>
        <v>no contact named on an opened page; founder review pending (Founder review tab)</v>
      </c>
      <c r="AU183" s="0" t="s">
        <v>164</v>
      </c>
      <c r="BC183" s="0" t="str">
        <f aca="false">IF($A183="","",IFERROR(INDEX(Enrichment!$A$2:$GZ$2000,MATCH($A183,INDEX(Enrichment!$A$2:$GZ$2000,0,MATCH("row_id",Enrichment!$A$1:$GZ$1,0)),0),MATCH("work_email",Enrichment!$A$1:$GZ$1,0))&amp;"",""))</f>
        <v/>
      </c>
      <c r="BD183" s="0" t="str">
        <f aca="false">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none</v>
      </c>
      <c r="BF183" s="0" t="s">
        <v>380</v>
      </c>
      <c r="BJ183" s="0" t="s">
        <v>7105</v>
      </c>
      <c r="BK183" s="0" t="s">
        <v>6048</v>
      </c>
      <c r="BP183" s="0" t="str">
        <f aca="false">IF($A183="","",IFERROR(INDEX(Enrichment!$A$2:$GZ$2000,MATCH($A183,INDEX(Enrichment!$A$2:$GZ$2000,0,MATCH("row_id",Enrichment!$A$1:$GZ$1,0)),0),MATCH("backup_work_email",Enrichment!$A$1:$GZ$1,0))&amp;"",""))</f>
        <v/>
      </c>
      <c r="BQ183" s="0" t="str">
        <f aca="false">IF($A183="","",IF(BP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none</v>
      </c>
      <c r="BS183" s="0" t="s">
        <v>380</v>
      </c>
      <c r="BW183" s="0" t="s">
        <v>387</v>
      </c>
      <c r="BX183" s="0" t="s">
        <v>388</v>
      </c>
      <c r="BY183" s="0" t="s">
        <v>9742</v>
      </c>
      <c r="BZ183" s="0" t="s">
        <v>5802</v>
      </c>
      <c r="CJ183" s="0" t="s">
        <v>7088</v>
      </c>
      <c r="CK183" s="0" t="s">
        <v>200</v>
      </c>
      <c r="CM183" s="0" t="s">
        <v>201</v>
      </c>
      <c r="CN183" s="0" t="s">
        <v>5808</v>
      </c>
      <c r="CO183" s="0" t="s">
        <v>9741</v>
      </c>
      <c r="CP183" s="0" t="s">
        <v>6550</v>
      </c>
      <c r="CQ183" s="0" t="s">
        <v>6198</v>
      </c>
      <c r="CR183" s="0" t="s">
        <v>209</v>
      </c>
      <c r="CT183" s="0" t="s">
        <v>164</v>
      </c>
      <c r="CU183" s="0" t="s">
        <v>9743</v>
      </c>
      <c r="CV183" s="0" t="s">
        <v>189</v>
      </c>
      <c r="CW183" s="0" t="s">
        <v>164</v>
      </c>
      <c r="CX183" s="0" t="s">
        <v>209</v>
      </c>
      <c r="CZ183" s="0" t="s">
        <v>209</v>
      </c>
      <c r="DA183" s="0" t="s">
        <v>189</v>
      </c>
      <c r="DB183" s="0" t="s">
        <v>189</v>
      </c>
      <c r="DE183" s="0" t="s">
        <v>189</v>
      </c>
      <c r="DF183" s="0" t="n">
        <v>0</v>
      </c>
      <c r="DH183" s="0" t="s">
        <v>7473</v>
      </c>
      <c r="DI183" s="0" t="s">
        <v>9744</v>
      </c>
      <c r="DJ183" s="0" t="s">
        <v>9745</v>
      </c>
      <c r="DK183" s="0" t="s">
        <v>5689</v>
      </c>
      <c r="DL183" s="0" t="n">
        <v>88</v>
      </c>
      <c r="DN183" s="0" t="n">
        <v>25</v>
      </c>
      <c r="DO183" s="0" t="n">
        <v>6</v>
      </c>
      <c r="DP183" s="0" t="n">
        <v>3</v>
      </c>
      <c r="DQ183" s="0" t="n">
        <v>8</v>
      </c>
      <c r="DR183" s="0" t="n">
        <v>5</v>
      </c>
      <c r="DS183" s="0" t="n">
        <v>7</v>
      </c>
      <c r="DT183" s="0" t="n">
        <v>0</v>
      </c>
      <c r="DU183" s="0" t="n">
        <f aca="false">IF($A183="","",IF(R183="Y",10,0))</f>
        <v>0</v>
      </c>
      <c r="DV183" s="0" t="n">
        <v>-4</v>
      </c>
      <c r="DW183" s="0" t="s">
        <v>9746</v>
      </c>
      <c r="DX183" s="0" t="s">
        <v>5814</v>
      </c>
      <c r="DY183" s="0" t="s">
        <v>9747</v>
      </c>
      <c r="DZ183" s="0" t="s">
        <v>9748</v>
      </c>
      <c r="EV183" s="0" t="str">
        <f aca="false">IF($A183="","",IF(ISNUMBER(MATCH(U183,{"queued","contacted","replied","call_booked","call_done","yes_in_principle","materials_sent"},0)),"Y","N"))</f>
        <v>N</v>
      </c>
      <c r="EW183" s="0" t="str">
        <f aca="false">IF($A183="","",IF(OR(T183="Y",U183="do_not_contact",AQ183&amp;""&lt;&gt;""),"Y","N"))</f>
        <v>N</v>
      </c>
      <c r="EX183" s="0" t="str">
        <f aca="false">IF($A183="","",IF(AN183&amp;""&lt;&gt;"",AN183&amp;"",$A183))</f>
        <v>AB-018</v>
      </c>
      <c r="EY183" s="0" t="str">
        <f aca="false">IF($A183="","",IF(COUNTIFS($EX$2:$EX$1000,EX183,$EV$2:$EV$1000,"Y")+COUNTIFS($EX$2:$EX$1000,EX183,$EW$2:$EW$1000,"Y")&gt;0,"Y","N"))</f>
        <v>N</v>
      </c>
      <c r="EZ183" s="0" t="str">
        <f aca="false">IF($A183="","",IF(AND(U183="new",T183="N",EW183="N",AR183="Y",EY183="N"),"Y","N"))</f>
        <v>N</v>
      </c>
      <c r="FA183" s="0" t="str">
        <f aca="false">IF($A183="","",IF(EZ183&lt;&gt;"Y","N",IF(COUNTIFS($EX$2:$EX$1000,EX183,$EZ$2:$EZ$1000,"Y",$J$2:$J$1000,"&gt;"&amp;J183)+COUNTIFS($EX$2:$EX$1000,EX183,$EZ$2:$EZ$1000,"Y",$J$2:$J$1000,J183,$FG$2:$FG$1000,"&lt;"&amp;FG183)=0,"Y","N")))</f>
        <v>N</v>
      </c>
      <c r="FB183" s="0" t="str">
        <f aca="false">IF($A183="","",IF(AND(EZ183="Y",FA183="Y",Y183&amp;""&lt;&gt;""),IF(Y183&lt;=10,"Y","N"),"N"))</f>
        <v>N</v>
      </c>
      <c r="FC183" s="0" t="str">
        <f aca="false">IF(FB183="Y",Y183,"")</f>
        <v/>
      </c>
      <c r="FD183" s="0" t="str">
        <f aca="false">IF($A183="","",IF(AND(CK183="pass",AU183="Y",AV183&lt;&gt;"Y",U183="new",EW183="N"),"Y","N"))</f>
        <v>Y</v>
      </c>
      <c r="FE183" s="0" t="str">
        <f aca="false">IF(FD183&lt;&gt;"Y","",IF(COUNTIFS($FD$2:$FD$1000,"Y",$J$2:$J$1000,"&gt;"&amp;J183)+COUNTIFS($FD$2:$FD$1000,"Y",$J$2:$J$1000,J183,$FG$2:$FG$1000,"&lt;"&amp;FG183)+1&lt;=30,COUNTIFS($FD$2:$FD$1000,"Y",$J$2:$J$1000,"&gt;"&amp;J183)+COUNTIFS($FD$2:$FD$1000,"Y",$J$2:$J$1000,J183,$FG$2:$FG$1000,"&lt;"&amp;FG183)+1,""))</f>
        <v/>
      </c>
      <c r="FF183" s="0" t="str">
        <f aca="false">IF(AND(_xlfn.ISFORMULA(C183),_xlfn.ISFORMULA(J183)),"Y","N")</f>
        <v>Y</v>
      </c>
      <c r="FG183" s="0" t="n">
        <f aca="false">ROW()-1</f>
        <v>182</v>
      </c>
    </row>
    <row r="184" customFormat="false" ht="15" hidden="false" customHeight="false" outlineLevel="0" collapsed="false">
      <c r="A184" s="0" t="s">
        <v>9749</v>
      </c>
      <c r="B184" s="0" t="s">
        <v>9750</v>
      </c>
      <c r="C184" s="0" t="str">
        <f aca="false">IF($A184="","",IF(AT184="Y",BL184&amp;"",AY184&amp;""))</f>
        <v/>
      </c>
      <c r="D184" s="0" t="str">
        <f aca="false">IF($A184="","",IF(AT184="Y",BM184&amp;"",AZ184&amp;""))</f>
        <v/>
      </c>
      <c r="E184" s="0" t="str">
        <f aca="false">IF($A184="","",IF(AT184="Y",BN184&amp;"",BA184&amp;""))</f>
        <v/>
      </c>
      <c r="F184" s="0" t="str">
        <f aca="false">IF($A184="","",IF(AT184="Y",BO184&amp;"",BB184&amp;""))</f>
        <v/>
      </c>
      <c r="G184" s="0" t="str">
        <f aca="false">IF($A184="","",IF(AT184="Y",BP184&amp;"",BC184&amp;""))</f>
        <v/>
      </c>
      <c r="H184" s="0" t="str">
        <f aca="false">IF($A184="","",IF(AT184="Y",BQ184&amp;"",BD184&amp;""))</f>
        <v>none</v>
      </c>
      <c r="I184" s="0" t="str">
        <f aca="false">IF($A184="","",IF(R184="Y","warm-intro",IF(H184="verified","email",IF(C184&lt;&gt;"","linkedin",CA184&amp;""))))</f>
        <v/>
      </c>
      <c r="J184" s="0" t="n">
        <f aca="false">IF($A184="","",IF(CK184="pass",ROUND(N(DO184)+N(DP184)+N(DQ184)+N(DR184)+N(DS184)+N(DT184)+N(DU184)+N(DV184),0),0))</f>
        <v>25</v>
      </c>
      <c r="K184" s="0" t="str">
        <f aca="false">IF($A184="","",IF(CK184&lt;&gt;"pass",BY184&amp;"",BY184&amp;", "&amp;IF(AT184="Y",BX184&amp;"",BK184&amp;"")&amp;BZ184&amp;IF(R184="Y","; known to the founder (+10)","")&amp;"."))</f>
        <v>Brand based outside the Northeast, no graded store within ten blocks, online store only, a new store listing 22 days ago, revenue unknown, no contact named; founder review: format.</v>
      </c>
      <c r="M184" s="0" t="s">
        <v>6144</v>
      </c>
      <c r="N184" s="0" t="s">
        <v>740</v>
      </c>
      <c r="O184" s="0" t="s">
        <v>9751</v>
      </c>
      <c r="P184" s="0" t="s">
        <v>9752</v>
      </c>
      <c r="Q184" s="0" t="s">
        <v>5661</v>
      </c>
      <c r="R184" s="5" t="s">
        <v>189</v>
      </c>
      <c r="S184" s="0" t="s">
        <v>209</v>
      </c>
      <c r="T184" s="5" t="s">
        <v>189</v>
      </c>
      <c r="U184" s="5" t="s">
        <v>3896</v>
      </c>
      <c r="V184" s="0" t="s">
        <v>9753</v>
      </c>
      <c r="W184" s="0" t="s">
        <v>263</v>
      </c>
      <c r="X184" s="0" t="s">
        <v>5578</v>
      </c>
      <c r="Y184" s="0" t="str">
        <f aca="false">IF(FA184&lt;&gt;"Y","",COUNTIFS($FA$2:$FA$1000,"Y",$J$2:$J$1000,"&gt;"&amp;J184)+COUNTIFS($FA$2:$FA$1000,"Y",$J$2:$J$1000,J184,$FG$2:$FG$1000,"&lt;"&amp;FG184)+1)</f>
        <v/>
      </c>
      <c r="Z184" s="0" t="n">
        <v>183</v>
      </c>
      <c r="AA184" s="0" t="s">
        <v>189</v>
      </c>
      <c r="AB184" s="0" t="str">
        <f aca="false">IF($A184="","",IF(AT184="Y",BW184&amp;"",BJ184&amp;""))</f>
        <v>no person named on an opened page: not ready</v>
      </c>
      <c r="AC184" s="0" t="str">
        <f aca="false">IF($A184="","",IF(AT184="Y",BR184&amp;"",BE184&amp;""))</f>
        <v/>
      </c>
      <c r="AD184" s="0" t="str">
        <f aca="false">IF($A184="","",IF(AT184="Y",BS184&amp;"",BF184&amp;""))</f>
        <v>none</v>
      </c>
      <c r="AE184" s="0" t="str">
        <f aca="false">IF($A184="","",IF(AT184="Y",BT184&amp;"",BG184&amp;""))</f>
        <v/>
      </c>
      <c r="AF184" s="0" t="str">
        <f aca="false">IF($A184="","",IF(AT184="Y",BU184&amp;"",BH184&amp;""))</f>
        <v/>
      </c>
      <c r="AG184" s="0" t="str">
        <f aca="false">IF($A184="","",IF(AT184="Y",BV184&amp;"",BI184&amp;""))</f>
        <v/>
      </c>
      <c r="AH184" s="0" t="s">
        <v>9754</v>
      </c>
      <c r="AI184" s="0" t="s">
        <v>6240</v>
      </c>
      <c r="AJ184" s="0" t="s">
        <v>9755</v>
      </c>
      <c r="AK184" s="0" t="s">
        <v>9756</v>
      </c>
      <c r="AL184" s="0" t="s">
        <v>164</v>
      </c>
      <c r="AM184" s="0" t="s">
        <v>9757</v>
      </c>
      <c r="AN184" s="0" t="s">
        <v>9749</v>
      </c>
      <c r="AO184" s="5" t="s">
        <v>189</v>
      </c>
      <c r="AR184" s="0" t="str">
        <f aca="false">IF($A184="","",IF(AND(CK184="pass",AO184&lt;&gt;"Y",C184&lt;&gt;"",OR(AU184&lt;&gt;"Y",AV184="Y")),"Y","N"))</f>
        <v>N</v>
      </c>
      <c r="AS184" s="0" t="str">
        <f aca="false">IF($A184="","",_xlfn.TEXTJOIN("; ",TRUE(),IF(CK184&lt;&gt;"pass","gated out",""),IF(AO184="Y","on hold: "&amp;AP184,""),IF(C184="","no contact named on an opened page",""),IF(AND(AU184="Y",AV184&lt;&gt;"Y"),"founder review pending (Founder review tab)","")))</f>
        <v>no contact named on an opened page; founder review pending (Founder review tab)</v>
      </c>
      <c r="AU184" s="0" t="s">
        <v>164</v>
      </c>
      <c r="BC184" s="0" t="str">
        <f aca="false">IF($A184="","",IFERROR(INDEX(Enrichment!$A$2:$GZ$2000,MATCH($A184,INDEX(Enrichment!$A$2:$GZ$2000,0,MATCH("row_id",Enrichment!$A$1:$GZ$1,0)),0),MATCH("work_email",Enrichment!$A$1:$GZ$1,0))&amp;"",""))</f>
        <v/>
      </c>
      <c r="BD184" s="0" t="str">
        <f aca="false">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none</v>
      </c>
      <c r="BF184" s="0" t="s">
        <v>380</v>
      </c>
      <c r="BJ184" s="0" t="s">
        <v>7105</v>
      </c>
      <c r="BK184" s="0" t="s">
        <v>6048</v>
      </c>
      <c r="BP184" s="0" t="str">
        <f aca="false">IF($A184="","",IFERROR(INDEX(Enrichment!$A$2:$GZ$2000,MATCH($A184,INDEX(Enrichment!$A$2:$GZ$2000,0,MATCH("row_id",Enrichment!$A$1:$GZ$1,0)),0),MATCH("backup_work_email",Enrichment!$A$1:$GZ$1,0))&amp;"",""))</f>
        <v/>
      </c>
      <c r="BQ184" s="0" t="str">
        <f aca="false">IF($A184="","",IF(BP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none</v>
      </c>
      <c r="BS184" s="0" t="s">
        <v>380</v>
      </c>
      <c r="BW184" s="0" t="s">
        <v>387</v>
      </c>
      <c r="BX184" s="0" t="s">
        <v>388</v>
      </c>
      <c r="BY184" s="0" t="s">
        <v>9365</v>
      </c>
      <c r="BZ184" s="0" t="s">
        <v>5802</v>
      </c>
      <c r="CJ184" s="0" t="s">
        <v>7088</v>
      </c>
      <c r="CK184" s="0" t="s">
        <v>200</v>
      </c>
      <c r="CM184" s="0" t="s">
        <v>201</v>
      </c>
      <c r="CN184" s="0" t="s">
        <v>5808</v>
      </c>
      <c r="CO184" s="0" t="s">
        <v>9756</v>
      </c>
      <c r="CP184" s="0" t="s">
        <v>9289</v>
      </c>
      <c r="CQ184" s="0" t="s">
        <v>6198</v>
      </c>
      <c r="CR184" s="0" t="s">
        <v>209</v>
      </c>
      <c r="CT184" s="0" t="s">
        <v>164</v>
      </c>
      <c r="CU184" s="0" t="s">
        <v>9758</v>
      </c>
      <c r="CV184" s="0" t="s">
        <v>189</v>
      </c>
      <c r="CW184" s="0" t="s">
        <v>164</v>
      </c>
      <c r="CX184" s="0" t="s">
        <v>209</v>
      </c>
      <c r="CZ184" s="0" t="s">
        <v>209</v>
      </c>
      <c r="DA184" s="0" t="s">
        <v>189</v>
      </c>
      <c r="DB184" s="0" t="s">
        <v>189</v>
      </c>
      <c r="DE184" s="0" t="s">
        <v>189</v>
      </c>
      <c r="DF184" s="0" t="n">
        <v>0</v>
      </c>
      <c r="DH184" s="0" t="s">
        <v>7473</v>
      </c>
      <c r="DI184" s="0" t="s">
        <v>9759</v>
      </c>
      <c r="DJ184" s="0" t="s">
        <v>9760</v>
      </c>
      <c r="DK184" s="0" t="s">
        <v>5689</v>
      </c>
      <c r="DL184" s="0" t="n">
        <v>22</v>
      </c>
      <c r="DN184" s="0" t="n">
        <v>25</v>
      </c>
      <c r="DO184" s="0" t="n">
        <v>6</v>
      </c>
      <c r="DP184" s="0" t="n">
        <v>3</v>
      </c>
      <c r="DQ184" s="0" t="n">
        <v>8</v>
      </c>
      <c r="DR184" s="0" t="n">
        <v>5</v>
      </c>
      <c r="DS184" s="0" t="n">
        <v>7</v>
      </c>
      <c r="DT184" s="0" t="n">
        <v>0</v>
      </c>
      <c r="DU184" s="0" t="n">
        <f aca="false">IF($A184="","",IF(R184="Y",10,0))</f>
        <v>0</v>
      </c>
      <c r="DV184" s="0" t="n">
        <v>-4</v>
      </c>
      <c r="DW184" s="0" t="s">
        <v>9761</v>
      </c>
      <c r="DX184" s="0" t="s">
        <v>5814</v>
      </c>
      <c r="DY184" s="0" t="s">
        <v>9762</v>
      </c>
      <c r="DZ184" s="0" t="s">
        <v>9763</v>
      </c>
      <c r="EV184" s="0" t="str">
        <f aca="false">IF($A184="","",IF(ISNUMBER(MATCH(U184,{"queued","contacted","replied","call_booked","call_done","yes_in_principle","materials_sent"},0)),"Y","N"))</f>
        <v>N</v>
      </c>
      <c r="EW184" s="0" t="str">
        <f aca="false">IF($A184="","",IF(OR(T184="Y",U184="do_not_contact",AQ184&amp;""&lt;&gt;""),"Y","N"))</f>
        <v>N</v>
      </c>
      <c r="EX184" s="0" t="str">
        <f aca="false">IF($A184="","",IF(AN184&amp;""&lt;&gt;"",AN184&amp;"",$A184))</f>
        <v>AB-013</v>
      </c>
      <c r="EY184" s="0" t="str">
        <f aca="false">IF($A184="","",IF(COUNTIFS($EX$2:$EX$1000,EX184,$EV$2:$EV$1000,"Y")+COUNTIFS($EX$2:$EX$1000,EX184,$EW$2:$EW$1000,"Y")&gt;0,"Y","N"))</f>
        <v>N</v>
      </c>
      <c r="EZ184" s="0" t="str">
        <f aca="false">IF($A184="","",IF(AND(U184="new",T184="N",EW184="N",AR184="Y",EY184="N"),"Y","N"))</f>
        <v>N</v>
      </c>
      <c r="FA184" s="0" t="str">
        <f aca="false">IF($A184="","",IF(EZ184&lt;&gt;"Y","N",IF(COUNTIFS($EX$2:$EX$1000,EX184,$EZ$2:$EZ$1000,"Y",$J$2:$J$1000,"&gt;"&amp;J184)+COUNTIFS($EX$2:$EX$1000,EX184,$EZ$2:$EZ$1000,"Y",$J$2:$J$1000,J184,$FG$2:$FG$1000,"&lt;"&amp;FG184)=0,"Y","N")))</f>
        <v>N</v>
      </c>
      <c r="FB184" s="0" t="str">
        <f aca="false">IF($A184="","",IF(AND(EZ184="Y",FA184="Y",Y184&amp;""&lt;&gt;""),IF(Y184&lt;=10,"Y","N"),"N"))</f>
        <v>N</v>
      </c>
      <c r="FC184" s="0" t="str">
        <f aca="false">IF(FB184="Y",Y184,"")</f>
        <v/>
      </c>
      <c r="FD184" s="0" t="str">
        <f aca="false">IF($A184="","",IF(AND(CK184="pass",AU184="Y",AV184&lt;&gt;"Y",U184="new",EW184="N"),"Y","N"))</f>
        <v>Y</v>
      </c>
      <c r="FE184" s="0" t="str">
        <f aca="false">IF(FD184&lt;&gt;"Y","",IF(COUNTIFS($FD$2:$FD$1000,"Y",$J$2:$J$1000,"&gt;"&amp;J184)+COUNTIFS($FD$2:$FD$1000,"Y",$J$2:$J$1000,J184,$FG$2:$FG$1000,"&lt;"&amp;FG184)+1&lt;=30,COUNTIFS($FD$2:$FD$1000,"Y",$J$2:$J$1000,"&gt;"&amp;J184)+COUNTIFS($FD$2:$FD$1000,"Y",$J$2:$J$1000,J184,$FG$2:$FG$1000,"&lt;"&amp;FG184)+1,""))</f>
        <v/>
      </c>
      <c r="FF184" s="0" t="str">
        <f aca="false">IF(AND(_xlfn.ISFORMULA(C184),_xlfn.ISFORMULA(J184)),"Y","N")</f>
        <v>Y</v>
      </c>
      <c r="FG184" s="0" t="n">
        <f aca="false">ROW()-1</f>
        <v>183</v>
      </c>
    </row>
    <row r="185" customFormat="false" ht="15" hidden="false" customHeight="false" outlineLevel="0" collapsed="false">
      <c r="A185" s="0" t="s">
        <v>9764</v>
      </c>
      <c r="B185" s="0" t="s">
        <v>9765</v>
      </c>
      <c r="C185" s="0" t="str">
        <f aca="false">IF($A185="","",IF(AT185="Y",BL185&amp;"",AY185&amp;""))</f>
        <v>Jason</v>
      </c>
      <c r="D185" s="0" t="str">
        <f aca="false">IF($A185="","",IF(AT185="Y",BM185&amp;"",AZ185&amp;""))</f>
        <v>Wright</v>
      </c>
      <c r="E185" s="0" t="str">
        <f aca="false">IF($A185="","",IF(AT185="Y",BN185&amp;"",BA185&amp;""))</f>
        <v>Founder and CEO</v>
      </c>
      <c r="F185" s="0" t="str">
        <f aca="false">IF($A185="","",IF(AT185="Y",BO185&amp;"",BB185&amp;""))</f>
        <v/>
      </c>
      <c r="G185" s="0" t="str">
        <f aca="false">IF($A185="","",IF(AT185="Y",BP185&amp;"",BC185&amp;""))</f>
        <v/>
      </c>
      <c r="H185" s="0" t="str">
        <f aca="false">IF($A185="","",IF(AT185="Y",BQ185&amp;"",BD185&amp;""))</f>
        <v>none</v>
      </c>
      <c r="I185" s="0" t="str">
        <f aca="false">IF($A185="","",IF(R185="Y","warm-intro",IF(H185="verified","email",IF(C185&lt;&gt;"","linkedin",CA185&amp;""))))</f>
        <v>linkedin</v>
      </c>
      <c r="J185" s="0" t="n">
        <f aca="false">IF($A185="","",IF(CK185="pass",ROUND(N(DO185)+N(DP185)+N(DQ185)+N(DR185)+N(DS185)+N(DT185)+N(DU185)+N(DV185),0),0))</f>
        <v>24</v>
      </c>
      <c r="K185" s="0" t="str">
        <f aca="false">IF($A185="","",IF(CK185&lt;&gt;"pass",BY185&amp;"",BY185&amp;", "&amp;IF(AT185="Y",BX185&amp;"",BK185&amp;"")&amp;BZ185&amp;IF(R185="Y","; known to the founder (+10)","")&amp;"."))</f>
        <v>Brand based outside the Northeast, store page shows Whole Foods Market NoMad inside the cluster, news 2 days ago, revenue over $10M, contact named; founder review: scale-reported, scale, nutrient-claim.</v>
      </c>
      <c r="M185" s="0" t="s">
        <v>5572</v>
      </c>
      <c r="N185" s="0" t="s">
        <v>5573</v>
      </c>
      <c r="O185" s="0" t="s">
        <v>9766</v>
      </c>
      <c r="P185" s="0" t="s">
        <v>9767</v>
      </c>
      <c r="Q185" s="0" t="s">
        <v>2326</v>
      </c>
      <c r="R185" s="5" t="s">
        <v>189</v>
      </c>
      <c r="S185" s="0" t="s">
        <v>209</v>
      </c>
      <c r="T185" s="5" t="s">
        <v>189</v>
      </c>
      <c r="U185" s="5" t="s">
        <v>3896</v>
      </c>
      <c r="V185" s="0" t="s">
        <v>9768</v>
      </c>
      <c r="W185" s="0" t="s">
        <v>263</v>
      </c>
      <c r="X185" s="0" t="s">
        <v>5578</v>
      </c>
      <c r="Y185" s="0" t="str">
        <f aca="false">IF(FA185&lt;&gt;"Y","",COUNTIFS($FA$2:$FA$1000,"Y",$J$2:$J$1000,"&gt;"&amp;J185)+COUNTIFS($FA$2:$FA$1000,"Y",$J$2:$J$1000,J185,$FG$2:$FG$1000,"&lt;"&amp;FG185)+1)</f>
        <v/>
      </c>
      <c r="Z185" s="0" t="n">
        <v>184</v>
      </c>
      <c r="AA185" s="0" t="s">
        <v>189</v>
      </c>
      <c r="AB185" s="0" t="str">
        <f aca="false">IF($A185="","",IF(AT185="Y",BW185&amp;"",BJ185&amp;""))</f>
        <v>find Jason Wright at WILDE on LinkedIn and paste the profile URL into primary_linkedin_url; use the Whole Foods Market NoMad line only if retailer_checked_date is this week's Friday check</v>
      </c>
      <c r="AC185" s="0" t="str">
        <f aca="false">IF($A185="","",IF(AT185="Y",BR185&amp;"",BE185&amp;""))</f>
        <v>founder</v>
      </c>
      <c r="AD185" s="0" t="str">
        <f aca="false">IF($A185="","",IF(AT185="Y",BS185&amp;"",BF185&amp;""))</f>
        <v>verified-page</v>
      </c>
      <c r="AE185" s="0" t="str">
        <f aca="false">IF($A185="","",IF(AT185="Y",BT185&amp;"",BG185&amp;""))</f>
        <v>press, event or podcast page</v>
      </c>
      <c r="AF185" s="0" t="str">
        <f aca="false">IF($A185="","",IF(AT185="Y",BU185&amp;"",BH185&amp;""))</f>
        <v>https://www.snackandbakery.com/articles/116528-chicken-cracker-brand-wilde-receives-40m-investment</v>
      </c>
      <c r="AG185" s="0" t="str">
        <f aca="false">IF($A185="","",IF(AT185="Y",BV185&amp;"",BI185&amp;""))</f>
        <v>2026-10-23</v>
      </c>
      <c r="AH185" s="0" t="s">
        <v>9769</v>
      </c>
      <c r="AI185" s="0" t="s">
        <v>5789</v>
      </c>
      <c r="AJ185" s="0" t="s">
        <v>7127</v>
      </c>
      <c r="AK185" s="0" t="s">
        <v>9770</v>
      </c>
      <c r="AL185" s="0" t="s">
        <v>164</v>
      </c>
      <c r="AM185" s="0" t="s">
        <v>9771</v>
      </c>
      <c r="AN185" s="0" t="s">
        <v>9764</v>
      </c>
      <c r="AO185" s="5" t="s">
        <v>189</v>
      </c>
      <c r="AR185" s="0" t="str">
        <f aca="false">IF($A185="","",IF(AND(CK185="pass",AO185&lt;&gt;"Y",C185&lt;&gt;"",OR(AU185&lt;&gt;"Y",AV185="Y")),"Y","N"))</f>
        <v>N</v>
      </c>
      <c r="AS185" s="0" t="str">
        <f aca="false">IF($A185="","",_xlfn.TEXTJOIN("; ",TRUE(),IF(CK185&lt;&gt;"pass","gated out",""),IF(AO185="Y","on hold: "&amp;AP185,""),IF(C185="","no contact named on an opened page",""),IF(AND(AU185="Y",AV185&lt;&gt;"Y"),"founder review pending (Founder review tab)","")))</f>
        <v>founder review pending (Founder review tab)</v>
      </c>
      <c r="AU185" s="0" t="s">
        <v>164</v>
      </c>
      <c r="AX185" s="0" t="s">
        <v>9772</v>
      </c>
      <c r="AY185" s="0" t="s">
        <v>458</v>
      </c>
      <c r="AZ185" s="0" t="s">
        <v>7134</v>
      </c>
      <c r="BA185" s="0" t="s">
        <v>5670</v>
      </c>
      <c r="BC185" s="0" t="str">
        <f aca="false">IF($A185="","",IFERROR(INDEX(Enrichment!$A$2:$GZ$2000,MATCH($A185,INDEX(Enrichment!$A$2:$GZ$2000,0,MATCH("row_id",Enrichment!$A$1:$GZ$1,0)),0),MATCH("work_email",Enrichment!$A$1:$GZ$1,0))&amp;"",""))</f>
        <v/>
      </c>
      <c r="BD185" s="0" t="str">
        <f aca="false">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none</v>
      </c>
      <c r="BE185" s="0" t="s">
        <v>5589</v>
      </c>
      <c r="BF185" s="0" t="s">
        <v>169</v>
      </c>
      <c r="BG185" s="0" t="s">
        <v>1252</v>
      </c>
      <c r="BH185" s="0" t="s">
        <v>9767</v>
      </c>
      <c r="BI185" s="0" t="s">
        <v>263</v>
      </c>
      <c r="BJ185" s="0" t="s">
        <v>9773</v>
      </c>
      <c r="BK185" s="0" t="s">
        <v>5643</v>
      </c>
      <c r="BP185" s="0" t="str">
        <f aca="false">IF($A185="","",IFERROR(INDEX(Enrichment!$A$2:$GZ$2000,MATCH($A185,INDEX(Enrichment!$A$2:$GZ$2000,0,MATCH("row_id",Enrichment!$A$1:$GZ$1,0)),0),MATCH("backup_work_email",Enrichment!$A$1:$GZ$1,0))&amp;"",""))</f>
        <v/>
      </c>
      <c r="BQ185" s="0" t="str">
        <f aca="false">IF($A185="","",IF(BP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none</v>
      </c>
      <c r="BS185" s="0" t="s">
        <v>380</v>
      </c>
      <c r="BW185" s="0" t="s">
        <v>5741</v>
      </c>
      <c r="BX185" s="0" t="s">
        <v>388</v>
      </c>
      <c r="BY185" s="0" t="s">
        <v>9774</v>
      </c>
      <c r="BZ185" s="0" t="s">
        <v>9775</v>
      </c>
      <c r="CB185" s="0" t="s">
        <v>9776</v>
      </c>
      <c r="CJ185" s="0" t="s">
        <v>7088</v>
      </c>
      <c r="CK185" s="0" t="s">
        <v>200</v>
      </c>
      <c r="CM185" s="0" t="s">
        <v>201</v>
      </c>
      <c r="CN185" s="0" t="s">
        <v>9777</v>
      </c>
      <c r="CO185" s="0" t="s">
        <v>9770</v>
      </c>
      <c r="CP185" s="0" t="s">
        <v>7145</v>
      </c>
      <c r="CQ185" s="0" t="s">
        <v>6198</v>
      </c>
      <c r="CR185" s="0" t="s">
        <v>9778</v>
      </c>
      <c r="CS185" s="0" t="s">
        <v>9767</v>
      </c>
      <c r="CT185" s="0" t="s">
        <v>164</v>
      </c>
      <c r="CU185" s="0" t="s">
        <v>9779</v>
      </c>
      <c r="CV185" s="0" t="s">
        <v>164</v>
      </c>
      <c r="CW185" s="0" t="s">
        <v>164</v>
      </c>
      <c r="CX185" s="0" t="s">
        <v>9029</v>
      </c>
      <c r="CY185" s="0" t="s">
        <v>9030</v>
      </c>
      <c r="CZ185" s="0" t="s">
        <v>9780</v>
      </c>
      <c r="DA185" s="0" t="s">
        <v>189</v>
      </c>
      <c r="DB185" s="0" t="s">
        <v>189</v>
      </c>
      <c r="DD185" s="0" t="n">
        <v>0</v>
      </c>
      <c r="DE185" s="0" t="s">
        <v>164</v>
      </c>
      <c r="DF185" s="0" t="n">
        <v>3</v>
      </c>
      <c r="DG185" s="0" t="s">
        <v>5686</v>
      </c>
      <c r="DI185" s="0" t="s">
        <v>9781</v>
      </c>
      <c r="DJ185" s="0" t="s">
        <v>9782</v>
      </c>
      <c r="DK185" s="0" t="s">
        <v>5617</v>
      </c>
      <c r="DL185" s="0" t="n">
        <v>2</v>
      </c>
      <c r="DN185" s="0" t="n">
        <v>24</v>
      </c>
      <c r="DO185" s="0" t="n">
        <v>25</v>
      </c>
      <c r="DP185" s="0" t="n">
        <v>3</v>
      </c>
      <c r="DQ185" s="0" t="n">
        <v>15</v>
      </c>
      <c r="DR185" s="0" t="n">
        <v>0</v>
      </c>
      <c r="DS185" s="0" t="n">
        <v>10</v>
      </c>
      <c r="DT185" s="0" t="n">
        <v>6</v>
      </c>
      <c r="DU185" s="0" t="n">
        <f aca="false">IF($A185="","",IF(R185="Y",10,0))</f>
        <v>0</v>
      </c>
      <c r="DV185" s="0" t="n">
        <v>-35</v>
      </c>
      <c r="DW185" s="0" t="s">
        <v>209</v>
      </c>
      <c r="DX185" s="0" t="s">
        <v>5814</v>
      </c>
      <c r="DY185" s="0" t="s">
        <v>9783</v>
      </c>
      <c r="DZ185" s="0" t="s">
        <v>9784</v>
      </c>
      <c r="EA185" s="0" t="s">
        <v>9785</v>
      </c>
      <c r="EV185" s="0" t="str">
        <f aca="false">IF($A185="","",IF(ISNUMBER(MATCH(U185,{"queued","contacted","replied","call_booked","call_done","yes_in_principle","materials_sent"},0)),"Y","N"))</f>
        <v>N</v>
      </c>
      <c r="EW185" s="0" t="str">
        <f aca="false">IF($A185="","",IF(OR(T185="Y",U185="do_not_contact",AQ185&amp;""&lt;&gt;""),"Y","N"))</f>
        <v>N</v>
      </c>
      <c r="EX185" s="0" t="str">
        <f aca="false">IF($A185="","",IF(AN185&amp;""&lt;&gt;"",AN185&amp;"",$A185))</f>
        <v>AB-040</v>
      </c>
      <c r="EY185" s="0" t="str">
        <f aca="false">IF($A185="","",IF(COUNTIFS($EX$2:$EX$1000,EX185,$EV$2:$EV$1000,"Y")+COUNTIFS($EX$2:$EX$1000,EX185,$EW$2:$EW$1000,"Y")&gt;0,"Y","N"))</f>
        <v>N</v>
      </c>
      <c r="EZ185" s="0" t="str">
        <f aca="false">IF($A185="","",IF(AND(U185="new",T185="N",EW185="N",AR185="Y",EY185="N"),"Y","N"))</f>
        <v>N</v>
      </c>
      <c r="FA185" s="0" t="str">
        <f aca="false">IF($A185="","",IF(EZ185&lt;&gt;"Y","N",IF(COUNTIFS($EX$2:$EX$1000,EX185,$EZ$2:$EZ$1000,"Y",$J$2:$J$1000,"&gt;"&amp;J185)+COUNTIFS($EX$2:$EX$1000,EX185,$EZ$2:$EZ$1000,"Y",$J$2:$J$1000,J185,$FG$2:$FG$1000,"&lt;"&amp;FG185)=0,"Y","N")))</f>
        <v>N</v>
      </c>
      <c r="FB185" s="0" t="str">
        <f aca="false">IF($A185="","",IF(AND(EZ185="Y",FA185="Y",Y185&amp;""&lt;&gt;""),IF(Y185&lt;=10,"Y","N"),"N"))</f>
        <v>N</v>
      </c>
      <c r="FC185" s="0" t="str">
        <f aca="false">IF(FB185="Y",Y185,"")</f>
        <v/>
      </c>
      <c r="FD185" s="0" t="str">
        <f aca="false">IF($A185="","",IF(AND(CK185="pass",AU185="Y",AV185&lt;&gt;"Y",U185="new",EW185="N"),"Y","N"))</f>
        <v>Y</v>
      </c>
      <c r="FE185" s="0" t="str">
        <f aca="false">IF(FD185&lt;&gt;"Y","",IF(COUNTIFS($FD$2:$FD$1000,"Y",$J$2:$J$1000,"&gt;"&amp;J185)+COUNTIFS($FD$2:$FD$1000,"Y",$J$2:$J$1000,J185,$FG$2:$FG$1000,"&lt;"&amp;FG185)+1&lt;=30,COUNTIFS($FD$2:$FD$1000,"Y",$J$2:$J$1000,"&gt;"&amp;J185)+COUNTIFS($FD$2:$FD$1000,"Y",$J$2:$J$1000,J185,$FG$2:$FG$1000,"&lt;"&amp;FG185)+1,""))</f>
        <v/>
      </c>
      <c r="FF185" s="0" t="str">
        <f aca="false">IF(AND(_xlfn.ISFORMULA(C185),_xlfn.ISFORMULA(J185)),"Y","N")</f>
        <v>Y</v>
      </c>
      <c r="FG185" s="0" t="n">
        <f aca="false">ROW()-1</f>
        <v>184</v>
      </c>
    </row>
    <row r="186" customFormat="false" ht="15" hidden="false" customHeight="false" outlineLevel="0" collapsed="false">
      <c r="A186" s="0" t="s">
        <v>9786</v>
      </c>
      <c r="B186" s="0" t="s">
        <v>9787</v>
      </c>
      <c r="C186" s="0" t="str">
        <f aca="false">IF($A186="","",IF(AT186="Y",BL186&amp;"",AY186&amp;""))</f>
        <v/>
      </c>
      <c r="D186" s="0" t="str">
        <f aca="false">IF($A186="","",IF(AT186="Y",BM186&amp;"",AZ186&amp;""))</f>
        <v/>
      </c>
      <c r="E186" s="0" t="str">
        <f aca="false">IF($A186="","",IF(AT186="Y",BN186&amp;"",BA186&amp;""))</f>
        <v/>
      </c>
      <c r="F186" s="0" t="str">
        <f aca="false">IF($A186="","",IF(AT186="Y",BO186&amp;"",BB186&amp;""))</f>
        <v/>
      </c>
      <c r="G186" s="0" t="str">
        <f aca="false">IF($A186="","",IF(AT186="Y",BP186&amp;"",BC186&amp;""))</f>
        <v/>
      </c>
      <c r="H186" s="0" t="str">
        <f aca="false">IF($A186="","",IF(AT186="Y",BQ186&amp;"",BD186&amp;""))</f>
        <v>none</v>
      </c>
      <c r="I186" s="0" t="str">
        <f aca="false">IF($A186="","",IF(R186="Y","warm-intro",IF(H186="verified","email",IF(C186&lt;&gt;"","linkedin",CA186&amp;""))))</f>
        <v/>
      </c>
      <c r="J186" s="0" t="n">
        <f aca="false">IF($A186="","",IF(CK186="pass",ROUND(N(DO186)+N(DP186)+N(DQ186)+N(DR186)+N(DS186)+N(DT186)+N(DU186)+N(DV186),0),0))</f>
        <v>24</v>
      </c>
      <c r="K186" s="0" t="str">
        <f aca="false">IF($A186="","",IF(CK186&lt;&gt;"pass",BY186&amp;"",BY186&amp;", "&amp;IF(AT186="Y",BX186&amp;"",BK186&amp;"")&amp;BZ186&amp;IF(R186="Y","; known to the founder (+10)","")&amp;"."))</f>
        <v>Northeast brand, no graded store within ten blocks, online store only, no dated why-now in the last 12 months, revenue unknown, no contact named; founder review: other.</v>
      </c>
      <c r="M186" s="0" t="s">
        <v>6144</v>
      </c>
      <c r="N186" s="0" t="s">
        <v>740</v>
      </c>
      <c r="R186" s="5" t="s">
        <v>189</v>
      </c>
      <c r="S186" s="0" t="s">
        <v>209</v>
      </c>
      <c r="T186" s="5" t="s">
        <v>189</v>
      </c>
      <c r="U186" s="5" t="s">
        <v>3896</v>
      </c>
      <c r="V186" s="0" t="s">
        <v>9788</v>
      </c>
      <c r="W186" s="0" t="s">
        <v>263</v>
      </c>
      <c r="X186" s="0" t="s">
        <v>5578</v>
      </c>
      <c r="Y186" s="0" t="str">
        <f aca="false">IF(FA186&lt;&gt;"Y","",COUNTIFS($FA$2:$FA$1000,"Y",$J$2:$J$1000,"&gt;"&amp;J186)+COUNTIFS($FA$2:$FA$1000,"Y",$J$2:$J$1000,J186,$FG$2:$FG$1000,"&lt;"&amp;FG186)+1)</f>
        <v/>
      </c>
      <c r="Z186" s="0" t="n">
        <v>185</v>
      </c>
      <c r="AA186" s="0" t="s">
        <v>189</v>
      </c>
      <c r="AB186" s="0" t="str">
        <f aca="false">IF($A186="","",IF(AT186="Y",BW186&amp;"",BJ186&amp;""))</f>
        <v>no person named on an opened page: not ready</v>
      </c>
      <c r="AC186" s="0" t="str">
        <f aca="false">IF($A186="","",IF(AT186="Y",BR186&amp;"",BE186&amp;""))</f>
        <v/>
      </c>
      <c r="AD186" s="0" t="str">
        <f aca="false">IF($A186="","",IF(AT186="Y",BS186&amp;"",BF186&amp;""))</f>
        <v>none</v>
      </c>
      <c r="AE186" s="0" t="str">
        <f aca="false">IF($A186="","",IF(AT186="Y",BT186&amp;"",BG186&amp;""))</f>
        <v/>
      </c>
      <c r="AF186" s="0" t="str">
        <f aca="false">IF($A186="","",IF(AT186="Y",BU186&amp;"",BH186&amp;""))</f>
        <v/>
      </c>
      <c r="AG186" s="0" t="str">
        <f aca="false">IF($A186="","",IF(AT186="Y",BV186&amp;"",BI186&amp;""))</f>
        <v/>
      </c>
      <c r="AH186" s="0" t="s">
        <v>9789</v>
      </c>
      <c r="AI186" s="0" t="s">
        <v>5580</v>
      </c>
      <c r="AJ186" s="0" t="s">
        <v>9790</v>
      </c>
      <c r="AK186" s="0" t="s">
        <v>9791</v>
      </c>
      <c r="AL186" s="0" t="s">
        <v>164</v>
      </c>
      <c r="AM186" s="0" t="s">
        <v>9792</v>
      </c>
      <c r="AN186" s="0" t="s">
        <v>9786</v>
      </c>
      <c r="AO186" s="5" t="s">
        <v>189</v>
      </c>
      <c r="AR186" s="0" t="str">
        <f aca="false">IF($A186="","",IF(AND(CK186="pass",AO186&lt;&gt;"Y",C186&lt;&gt;"",OR(AU186&lt;&gt;"Y",AV186="Y")),"Y","N"))</f>
        <v>N</v>
      </c>
      <c r="AS186" s="0" t="str">
        <f aca="false">IF($A186="","",_xlfn.TEXTJOIN("; ",TRUE(),IF(CK186&lt;&gt;"pass","gated out",""),IF(AO186="Y","on hold: "&amp;AP186,""),IF(C186="","no contact named on an opened page",""),IF(AND(AU186="Y",AV186&lt;&gt;"Y"),"founder review pending (Founder review tab)","")))</f>
        <v>no contact named on an opened page</v>
      </c>
      <c r="AU186" s="0" t="s">
        <v>189</v>
      </c>
      <c r="BC186" s="0" t="str">
        <f aca="false">IF($A186="","",IFERROR(INDEX(Enrichment!$A$2:$GZ$2000,MATCH($A186,INDEX(Enrichment!$A$2:$GZ$2000,0,MATCH("row_id",Enrichment!$A$1:$GZ$1,0)),0),MATCH("work_email",Enrichment!$A$1:$GZ$1,0))&amp;"",""))</f>
        <v/>
      </c>
      <c r="BD186" s="0" t="str">
        <f aca="false">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none</v>
      </c>
      <c r="BF186" s="0" t="s">
        <v>380</v>
      </c>
      <c r="BJ186" s="0" t="s">
        <v>7105</v>
      </c>
      <c r="BK186" s="0" t="s">
        <v>6048</v>
      </c>
      <c r="BP186" s="0" t="str">
        <f aca="false">IF($A186="","",IFERROR(INDEX(Enrichment!$A$2:$GZ$2000,MATCH($A186,INDEX(Enrichment!$A$2:$GZ$2000,0,MATCH("row_id",Enrichment!$A$1:$GZ$1,0)),0),MATCH("backup_work_email",Enrichment!$A$1:$GZ$1,0))&amp;"",""))</f>
        <v/>
      </c>
      <c r="BQ186" s="0" t="str">
        <f aca="false">IF($A186="","",IF(BP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none</v>
      </c>
      <c r="BS186" s="0" t="s">
        <v>380</v>
      </c>
      <c r="BW186" s="0" t="s">
        <v>387</v>
      </c>
      <c r="BX186" s="0" t="s">
        <v>388</v>
      </c>
      <c r="BY186" s="0" t="s">
        <v>9549</v>
      </c>
      <c r="BZ186" s="0" t="s">
        <v>5960</v>
      </c>
      <c r="CJ186" s="0" t="s">
        <v>7088</v>
      </c>
      <c r="CK186" s="0" t="s">
        <v>200</v>
      </c>
      <c r="CM186" s="0" t="s">
        <v>201</v>
      </c>
      <c r="CN186" s="0" t="s">
        <v>443</v>
      </c>
      <c r="CO186" s="0" t="s">
        <v>9793</v>
      </c>
      <c r="CP186" s="0" t="s">
        <v>7376</v>
      </c>
      <c r="CQ186" s="0" t="s">
        <v>6084</v>
      </c>
      <c r="CR186" s="0" t="s">
        <v>9345</v>
      </c>
      <c r="CS186" s="0" t="s">
        <v>9788</v>
      </c>
      <c r="CT186" s="0" t="s">
        <v>209</v>
      </c>
      <c r="CU186" s="0" t="s">
        <v>6710</v>
      </c>
      <c r="CV186" s="0" t="s">
        <v>164</v>
      </c>
      <c r="CW186" s="0" t="s">
        <v>164</v>
      </c>
      <c r="CX186" s="0" t="s">
        <v>209</v>
      </c>
      <c r="CZ186" s="0" t="s">
        <v>6456</v>
      </c>
      <c r="DA186" s="0" t="s">
        <v>189</v>
      </c>
      <c r="DB186" s="0" t="s">
        <v>189</v>
      </c>
      <c r="DE186" s="0" t="s">
        <v>189</v>
      </c>
      <c r="DF186" s="0" t="n">
        <v>0</v>
      </c>
      <c r="DI186" s="0" t="s">
        <v>9794</v>
      </c>
      <c r="DK186" s="0" t="s">
        <v>380</v>
      </c>
      <c r="DN186" s="0" t="n">
        <v>24</v>
      </c>
      <c r="DO186" s="0" t="n">
        <v>6</v>
      </c>
      <c r="DP186" s="0" t="n">
        <v>8</v>
      </c>
      <c r="DQ186" s="0" t="n">
        <v>0</v>
      </c>
      <c r="DR186" s="0" t="n">
        <v>5</v>
      </c>
      <c r="DS186" s="0" t="n">
        <v>7</v>
      </c>
      <c r="DT186" s="0" t="n">
        <v>0</v>
      </c>
      <c r="DU186" s="0" t="n">
        <f aca="false">IF($A186="","",IF(R186="Y",10,0))</f>
        <v>0</v>
      </c>
      <c r="DV186" s="0" t="n">
        <v>-2</v>
      </c>
      <c r="DW186" s="0" t="s">
        <v>9795</v>
      </c>
      <c r="DX186" s="0" t="s">
        <v>6462</v>
      </c>
      <c r="DY186" s="0" t="s">
        <v>9796</v>
      </c>
      <c r="DZ186" s="0" t="s">
        <v>9797</v>
      </c>
      <c r="EA186" s="0" t="s">
        <v>9798</v>
      </c>
      <c r="EV186" s="0" t="str">
        <f aca="false">IF($A186="","",IF(ISNUMBER(MATCH(U186,{"queued","contacted","replied","call_booked","call_done","yes_in_principle","materials_sent"},0)),"Y","N"))</f>
        <v>N</v>
      </c>
      <c r="EW186" s="0" t="str">
        <f aca="false">IF($A186="","",IF(OR(T186="Y",U186="do_not_contact",AQ186&amp;""&lt;&gt;""),"Y","N"))</f>
        <v>N</v>
      </c>
      <c r="EX186" s="0" t="str">
        <f aca="false">IF($A186="","",IF(AN186&amp;""&lt;&gt;"",AN186&amp;"",$A186))</f>
        <v>AB-154</v>
      </c>
      <c r="EY186" s="0" t="str">
        <f aca="false">IF($A186="","",IF(COUNTIFS($EX$2:$EX$1000,EX186,$EV$2:$EV$1000,"Y")+COUNTIFS($EX$2:$EX$1000,EX186,$EW$2:$EW$1000,"Y")&gt;0,"Y","N"))</f>
        <v>N</v>
      </c>
      <c r="EZ186" s="0" t="str">
        <f aca="false">IF($A186="","",IF(AND(U186="new",T186="N",EW186="N",AR186="Y",EY186="N"),"Y","N"))</f>
        <v>N</v>
      </c>
      <c r="FA186" s="0" t="str">
        <f aca="false">IF($A186="","",IF(EZ186&lt;&gt;"Y","N",IF(COUNTIFS($EX$2:$EX$1000,EX186,$EZ$2:$EZ$1000,"Y",$J$2:$J$1000,"&gt;"&amp;J186)+COUNTIFS($EX$2:$EX$1000,EX186,$EZ$2:$EZ$1000,"Y",$J$2:$J$1000,J186,$FG$2:$FG$1000,"&lt;"&amp;FG186)=0,"Y","N")))</f>
        <v>N</v>
      </c>
      <c r="FB186" s="0" t="str">
        <f aca="false">IF($A186="","",IF(AND(EZ186="Y",FA186="Y",Y186&amp;""&lt;&gt;""),IF(Y186&lt;=10,"Y","N"),"N"))</f>
        <v>N</v>
      </c>
      <c r="FC186" s="0" t="str">
        <f aca="false">IF(FB186="Y",Y186,"")</f>
        <v/>
      </c>
      <c r="FD186" s="0" t="str">
        <f aca="false">IF($A186="","",IF(AND(CK186="pass",AU186="Y",AV186&lt;&gt;"Y",U186="new",EW186="N"),"Y","N"))</f>
        <v>N</v>
      </c>
      <c r="FE186" s="0" t="str">
        <f aca="false">IF(FD186&lt;&gt;"Y","",IF(COUNTIFS($FD$2:$FD$1000,"Y",$J$2:$J$1000,"&gt;"&amp;J186)+COUNTIFS($FD$2:$FD$1000,"Y",$J$2:$J$1000,J186,$FG$2:$FG$1000,"&lt;"&amp;FG186)+1&lt;=30,COUNTIFS($FD$2:$FD$1000,"Y",$J$2:$J$1000,"&gt;"&amp;J186)+COUNTIFS($FD$2:$FD$1000,"Y",$J$2:$J$1000,J186,$FG$2:$FG$1000,"&lt;"&amp;FG186)+1,""))</f>
        <v/>
      </c>
      <c r="FF186" s="0" t="str">
        <f aca="false">IF(AND(_xlfn.ISFORMULA(C186),_xlfn.ISFORMULA(J186)),"Y","N")</f>
        <v>Y</v>
      </c>
      <c r="FG186" s="0" t="n">
        <f aca="false">ROW()-1</f>
        <v>185</v>
      </c>
    </row>
    <row r="187" customFormat="false" ht="15" hidden="false" customHeight="false" outlineLevel="0" collapsed="false">
      <c r="A187" s="0" t="s">
        <v>9799</v>
      </c>
      <c r="B187" s="0" t="s">
        <v>9800</v>
      </c>
      <c r="C187" s="0" t="str">
        <f aca="false">IF($A187="","",IF(AT187="Y",BL187&amp;"",AY187&amp;""))</f>
        <v>Amna</v>
      </c>
      <c r="D187" s="0" t="str">
        <f aca="false">IF($A187="","",IF(AT187="Y",BM187&amp;"",AZ187&amp;""))</f>
        <v>Mettmann</v>
      </c>
      <c r="E187" s="0" t="str">
        <f aca="false">IF($A187="","",IF(AT187="Y",BN187&amp;"",BA187&amp;""))</f>
        <v>Founder</v>
      </c>
      <c r="F187" s="0" t="str">
        <f aca="false">IF($A187="","",IF(AT187="Y",BO187&amp;"",BB187&amp;""))</f>
        <v/>
      </c>
      <c r="G187" s="0" t="str">
        <f aca="false">IF($A187="","",IF(AT187="Y",BP187&amp;"",BC187&amp;""))</f>
        <v/>
      </c>
      <c r="H187" s="0" t="str">
        <f aca="false">IF($A187="","",IF(AT187="Y",BQ187&amp;"",BD187&amp;""))</f>
        <v>none</v>
      </c>
      <c r="I187" s="0" t="str">
        <f aca="false">IF($A187="","",IF(R187="Y","warm-intro",IF(H187="verified","email",IF(C187&lt;&gt;"","linkedin",CA187&amp;""))))</f>
        <v>linkedin</v>
      </c>
      <c r="J187" s="0" t="n">
        <f aca="false">IF($A187="","",IF(CK187="pass",ROUND(N(DO187)+N(DP187)+N(DQ187)+N(DR187)+N(DS187)+N(DT187)+N(DU187)+N(DV187),0),0))</f>
        <v>23</v>
      </c>
      <c r="K187" s="0" t="str">
        <f aca="false">IF($A187="","",IF(CK187&lt;&gt;"pass",BY187&amp;"",BY187&amp;", "&amp;IF(AT187="Y",BX187&amp;"",BK187&amp;"")&amp;BZ187&amp;IF(R187="Y","; known to the founder (+10)","")&amp;"."))</f>
        <v>Brand based outside the Northeast, no graded store within ten blocks, online store only, no dated why-now in the last 12 months, revenue unknown, contact named; founder review: nutrient-claim.</v>
      </c>
      <c r="M187" s="0" t="s">
        <v>6144</v>
      </c>
      <c r="N187" s="0" t="s">
        <v>740</v>
      </c>
      <c r="R187" s="5" t="s">
        <v>189</v>
      </c>
      <c r="S187" s="0" t="s">
        <v>164</v>
      </c>
      <c r="T187" s="5" t="s">
        <v>189</v>
      </c>
      <c r="U187" s="5" t="s">
        <v>3896</v>
      </c>
      <c r="V187" s="0" t="s">
        <v>9801</v>
      </c>
      <c r="W187" s="0" t="s">
        <v>263</v>
      </c>
      <c r="X187" s="0" t="s">
        <v>5578</v>
      </c>
      <c r="Y187" s="0" t="n">
        <f aca="false">IF(FA187&lt;&gt;"Y","",COUNTIFS($FA$2:$FA$1000,"Y",$J$2:$J$1000,"&gt;"&amp;J187)+COUNTIFS($FA$2:$FA$1000,"Y",$J$2:$J$1000,J187,$FG$2:$FG$1000,"&lt;"&amp;FG187)+1)</f>
        <v>63</v>
      </c>
      <c r="Z187" s="0" t="n">
        <v>186</v>
      </c>
      <c r="AA187" s="0" t="s">
        <v>189</v>
      </c>
      <c r="AB187" s="0" t="str">
        <f aca="false">IF($A187="","",IF(AT187="Y",BW187&amp;"",BJ187&amp;""))</f>
        <v>find Amna Mettmann at Brause on LinkedIn and paste the profile URL into primary_linkedin_url</v>
      </c>
      <c r="AC187" s="0" t="str">
        <f aca="false">IF($A187="","",IF(AT187="Y",BR187&amp;"",BE187&amp;""))</f>
        <v>founder</v>
      </c>
      <c r="AD187" s="0" t="str">
        <f aca="false">IF($A187="","",IF(AT187="Y",BS187&amp;"",BF187&amp;""))</f>
        <v>verified-page</v>
      </c>
      <c r="AE187" s="0" t="str">
        <f aca="false">IF($A187="","",IF(AT187="Y",BT187&amp;"",BG187&amp;""))</f>
        <v>press, event or podcast page</v>
      </c>
      <c r="AF187" s="0" t="str">
        <f aca="false">IF($A187="","",IF(AT187="Y",BU187&amp;"",BH187&amp;""))</f>
        <v>https://startupcpg.transistor.fm/episodes/founder-feature-amna-mettmann-of-brause</v>
      </c>
      <c r="AG187" s="0" t="str">
        <f aca="false">IF($A187="","",IF(AT187="Y",BV187&amp;"",BI187&amp;""))</f>
        <v>2026-10-23</v>
      </c>
      <c r="AH187" s="0" t="s">
        <v>9802</v>
      </c>
      <c r="AI187" s="0" t="s">
        <v>5580</v>
      </c>
      <c r="AJ187" s="0" t="s">
        <v>9803</v>
      </c>
      <c r="AK187" s="0" t="s">
        <v>9801</v>
      </c>
      <c r="AL187" s="0" t="s">
        <v>164</v>
      </c>
      <c r="AM187" s="0" t="s">
        <v>9804</v>
      </c>
      <c r="AN187" s="0" t="s">
        <v>9799</v>
      </c>
      <c r="AO187" s="5" t="s">
        <v>189</v>
      </c>
      <c r="AR187" s="0" t="str">
        <f aca="false">IF($A187="","",IF(AND(CK187="pass",AO187&lt;&gt;"Y",C187&lt;&gt;"",OR(AU187&lt;&gt;"Y",AV187="Y")),"Y","N"))</f>
        <v>Y</v>
      </c>
      <c r="AS187" s="0" t="str">
        <f aca="false">IF($A187="","",_xlfn.TEXTJOIN("; ",TRUE(),IF(CK187&lt;&gt;"pass","gated out",""),IF(AO187="Y","on hold: "&amp;AP187,""),IF(C187="","no contact named on an opened page",""),IF(AND(AU187="Y",AV187&lt;&gt;"Y"),"founder review pending (Founder review tab)","")))</f>
        <v/>
      </c>
      <c r="AU187" s="0" t="s">
        <v>189</v>
      </c>
      <c r="AY187" s="0" t="s">
        <v>9805</v>
      </c>
      <c r="AZ187" s="0" t="s">
        <v>9806</v>
      </c>
      <c r="BA187" s="0" t="s">
        <v>5739</v>
      </c>
      <c r="BC187" s="0" t="str">
        <f aca="false">IF($A187="","",IFERROR(INDEX(Enrichment!$A$2:$GZ$2000,MATCH($A187,INDEX(Enrichment!$A$2:$GZ$2000,0,MATCH("row_id",Enrichment!$A$1:$GZ$1,0)),0),MATCH("work_email",Enrichment!$A$1:$GZ$1,0))&amp;"",""))</f>
        <v/>
      </c>
      <c r="BD187" s="0" t="str">
        <f aca="false">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none</v>
      </c>
      <c r="BE187" s="0" t="s">
        <v>5589</v>
      </c>
      <c r="BF187" s="0" t="s">
        <v>169</v>
      </c>
      <c r="BG187" s="0" t="s">
        <v>1252</v>
      </c>
      <c r="BH187" s="0" t="s">
        <v>9807</v>
      </c>
      <c r="BI187" s="0" t="s">
        <v>263</v>
      </c>
      <c r="BJ187" s="0" t="s">
        <v>9808</v>
      </c>
      <c r="BK187" s="0" t="s">
        <v>5643</v>
      </c>
      <c r="BP187" s="0" t="str">
        <f aca="false">IF($A187="","",IFERROR(INDEX(Enrichment!$A$2:$GZ$2000,MATCH($A187,INDEX(Enrichment!$A$2:$GZ$2000,0,MATCH("row_id",Enrichment!$A$1:$GZ$1,0)),0),MATCH("backup_work_email",Enrichment!$A$1:$GZ$1,0))&amp;"",""))</f>
        <v/>
      </c>
      <c r="BQ187" s="0" t="str">
        <f aca="false">IF($A187="","",IF(BP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none</v>
      </c>
      <c r="BS187" s="0" t="s">
        <v>380</v>
      </c>
      <c r="BW187" s="0" t="s">
        <v>387</v>
      </c>
      <c r="BX187" s="0" t="s">
        <v>388</v>
      </c>
      <c r="BY187" s="0" t="s">
        <v>9809</v>
      </c>
      <c r="BZ187" s="0" t="s">
        <v>5601</v>
      </c>
      <c r="CB187" s="0" t="s">
        <v>9810</v>
      </c>
      <c r="CJ187" s="0" t="s">
        <v>7088</v>
      </c>
      <c r="CK187" s="0" t="s">
        <v>200</v>
      </c>
      <c r="CM187" s="0" t="s">
        <v>201</v>
      </c>
      <c r="CN187" s="0" t="s">
        <v>5607</v>
      </c>
      <c r="CO187" s="0" t="s">
        <v>9801</v>
      </c>
      <c r="CP187" s="0" t="s">
        <v>9811</v>
      </c>
      <c r="CQ187" s="0" t="s">
        <v>6198</v>
      </c>
      <c r="CR187" s="0" t="s">
        <v>209</v>
      </c>
      <c r="CT187" s="0" t="s">
        <v>209</v>
      </c>
      <c r="CU187" s="0" t="s">
        <v>6710</v>
      </c>
      <c r="CV187" s="0" t="s">
        <v>164</v>
      </c>
      <c r="CW187" s="0" t="s">
        <v>164</v>
      </c>
      <c r="CX187" s="0" t="s">
        <v>209</v>
      </c>
      <c r="CZ187" s="0" t="s">
        <v>6456</v>
      </c>
      <c r="DA187" s="0" t="s">
        <v>189</v>
      </c>
      <c r="DB187" s="0" t="s">
        <v>189</v>
      </c>
      <c r="DE187" s="0" t="s">
        <v>189</v>
      </c>
      <c r="DF187" s="0" t="n">
        <v>0</v>
      </c>
      <c r="DH187" s="0" t="s">
        <v>9812</v>
      </c>
      <c r="DI187" s="0" t="s">
        <v>9813</v>
      </c>
      <c r="DJ187" s="0" t="s">
        <v>9814</v>
      </c>
      <c r="DK187" s="0" t="s">
        <v>380</v>
      </c>
      <c r="DM187" s="0" t="s">
        <v>6689</v>
      </c>
      <c r="DN187" s="0" t="n">
        <v>23</v>
      </c>
      <c r="DO187" s="0" t="n">
        <v>6</v>
      </c>
      <c r="DP187" s="0" t="n">
        <v>3</v>
      </c>
      <c r="DQ187" s="0" t="n">
        <v>0</v>
      </c>
      <c r="DR187" s="0" t="n">
        <v>5</v>
      </c>
      <c r="DS187" s="0" t="n">
        <v>7</v>
      </c>
      <c r="DT187" s="0" t="n">
        <v>6</v>
      </c>
      <c r="DU187" s="0" t="n">
        <f aca="false">IF($A187="","",IF(R187="Y",10,0))</f>
        <v>0</v>
      </c>
      <c r="DV187" s="0" t="n">
        <v>-4</v>
      </c>
      <c r="DW187" s="0" t="s">
        <v>9815</v>
      </c>
      <c r="DX187" s="0" t="s">
        <v>6462</v>
      </c>
      <c r="DY187" s="0" t="s">
        <v>9816</v>
      </c>
      <c r="DZ187" s="0" t="s">
        <v>9817</v>
      </c>
      <c r="EA187" s="0" t="s">
        <v>9818</v>
      </c>
      <c r="EV187" s="0" t="str">
        <f aca="false">IF($A187="","",IF(ISNUMBER(MATCH(U187,{"queued","contacted","replied","call_booked","call_done","yes_in_principle","materials_sent"},0)),"Y","N"))</f>
        <v>N</v>
      </c>
      <c r="EW187" s="0" t="str">
        <f aca="false">IF($A187="","",IF(OR(T187="Y",U187="do_not_contact",AQ187&amp;""&lt;&gt;""),"Y","N"))</f>
        <v>N</v>
      </c>
      <c r="EX187" s="0" t="str">
        <f aca="false">IF($A187="","",IF(AN187&amp;""&lt;&gt;"",AN187&amp;"",$A187))</f>
        <v>AB-175</v>
      </c>
      <c r="EY187" s="0" t="str">
        <f aca="false">IF($A187="","",IF(COUNTIFS($EX$2:$EX$1000,EX187,$EV$2:$EV$1000,"Y")+COUNTIFS($EX$2:$EX$1000,EX187,$EW$2:$EW$1000,"Y")&gt;0,"Y","N"))</f>
        <v>N</v>
      </c>
      <c r="EZ187" s="0" t="str">
        <f aca="false">IF($A187="","",IF(AND(U187="new",T187="N",EW187="N",AR187="Y",EY187="N"),"Y","N"))</f>
        <v>Y</v>
      </c>
      <c r="FA187" s="0" t="str">
        <f aca="false">IF($A187="","",IF(EZ187&lt;&gt;"Y","N",IF(COUNTIFS($EX$2:$EX$1000,EX187,$EZ$2:$EZ$1000,"Y",$J$2:$J$1000,"&gt;"&amp;J187)+COUNTIFS($EX$2:$EX$1000,EX187,$EZ$2:$EZ$1000,"Y",$J$2:$J$1000,J187,$FG$2:$FG$1000,"&lt;"&amp;FG187)=0,"Y","N")))</f>
        <v>Y</v>
      </c>
      <c r="FB187" s="0" t="str">
        <f aca="false">IF($A187="","",IF(AND(EZ187="Y",FA187="Y",Y187&amp;""&lt;&gt;""),IF(Y187&lt;=10,"Y","N"),"N"))</f>
        <v>N</v>
      </c>
      <c r="FC187" s="0" t="str">
        <f aca="false">IF(FB187="Y",Y187,"")</f>
        <v/>
      </c>
      <c r="FD187" s="0" t="str">
        <f aca="false">IF($A187="","",IF(AND(CK187="pass",AU187="Y",AV187&lt;&gt;"Y",U187="new",EW187="N"),"Y","N"))</f>
        <v>N</v>
      </c>
      <c r="FE187" s="0" t="str">
        <f aca="false">IF(FD187&lt;&gt;"Y","",IF(COUNTIFS($FD$2:$FD$1000,"Y",$J$2:$J$1000,"&gt;"&amp;J187)+COUNTIFS($FD$2:$FD$1000,"Y",$J$2:$J$1000,J187,$FG$2:$FG$1000,"&lt;"&amp;FG187)+1&lt;=30,COUNTIFS($FD$2:$FD$1000,"Y",$J$2:$J$1000,"&gt;"&amp;J187)+COUNTIFS($FD$2:$FD$1000,"Y",$J$2:$J$1000,J187,$FG$2:$FG$1000,"&lt;"&amp;FG187)+1,""))</f>
        <v/>
      </c>
      <c r="FF187" s="0" t="str">
        <f aca="false">IF(AND(_xlfn.ISFORMULA(C187),_xlfn.ISFORMULA(J187)),"Y","N")</f>
        <v>Y</v>
      </c>
      <c r="FG187" s="0" t="n">
        <f aca="false">ROW()-1</f>
        <v>186</v>
      </c>
    </row>
    <row r="188" customFormat="false" ht="15" hidden="false" customHeight="false" outlineLevel="0" collapsed="false">
      <c r="A188" s="0" t="s">
        <v>9819</v>
      </c>
      <c r="B188" s="0" t="s">
        <v>9820</v>
      </c>
      <c r="C188" s="0" t="str">
        <f aca="false">IF($A188="","",IF(AT188="Y",BL188&amp;"",AY188&amp;""))</f>
        <v>Ashley</v>
      </c>
      <c r="D188" s="0" t="str">
        <f aca="false">IF($A188="","",IF(AT188="Y",BM188&amp;"",AZ188&amp;""))</f>
        <v>Yao</v>
      </c>
      <c r="E188" s="0" t="str">
        <f aca="false">IF($A188="","",IF(AT188="Y",BN188&amp;"",BA188&amp;""))</f>
        <v>Co-founder and CEO</v>
      </c>
      <c r="F188" s="0" t="str">
        <f aca="false">IF($A188="","",IF(AT188="Y",BO188&amp;"",BB188&amp;""))</f>
        <v/>
      </c>
      <c r="G188" s="0" t="str">
        <f aca="false">IF($A188="","",IF(AT188="Y",BP188&amp;"",BC188&amp;""))</f>
        <v/>
      </c>
      <c r="H188" s="0" t="str">
        <f aca="false">IF($A188="","",IF(AT188="Y",BQ188&amp;"",BD188&amp;""))</f>
        <v>none</v>
      </c>
      <c r="I188" s="0" t="str">
        <f aca="false">IF($A188="","",IF(R188="Y","warm-intro",IF(H188="verified","email",IF(C188&lt;&gt;"","linkedin",CA188&amp;""))))</f>
        <v>linkedin</v>
      </c>
      <c r="J188" s="0" t="n">
        <f aca="false">IF($A188="","",IF(CK188="pass",ROUND(N(DO188)+N(DP188)+N(DQ188)+N(DR188)+N(DS188)+N(DT188)+N(DU188)+N(DV188),0),0))</f>
        <v>23</v>
      </c>
      <c r="K188" s="0" t="str">
        <f aca="false">IF($A188="","",IF(CK188&lt;&gt;"pass",BY188&amp;"",BY188&amp;", "&amp;IF(AT188="Y",BX188&amp;"",BK188&amp;"")&amp;BZ188&amp;IF(R188="Y","; known to the founder (+10)","")&amp;"."))</f>
        <v>Brand based outside the Northeast, no graded store within ten blocks, online store only, no dated why-now in the last 12 months, revenue unknown, contact named; founder review: nutrient-claim.</v>
      </c>
      <c r="M188" s="0" t="s">
        <v>6144</v>
      </c>
      <c r="N188" s="0" t="s">
        <v>740</v>
      </c>
      <c r="R188" s="5" t="s">
        <v>189</v>
      </c>
      <c r="S188" s="0" t="s">
        <v>209</v>
      </c>
      <c r="T188" s="5" t="s">
        <v>189</v>
      </c>
      <c r="U188" s="5" t="s">
        <v>3896</v>
      </c>
      <c r="V188" s="0" t="s">
        <v>9821</v>
      </c>
      <c r="W188" s="0" t="s">
        <v>263</v>
      </c>
      <c r="X188" s="0" t="s">
        <v>5578</v>
      </c>
      <c r="Y188" s="0" t="n">
        <f aca="false">IF(FA188&lt;&gt;"Y","",COUNTIFS($FA$2:$FA$1000,"Y",$J$2:$J$1000,"&gt;"&amp;J188)+COUNTIFS($FA$2:$FA$1000,"Y",$J$2:$J$1000,J188,$FG$2:$FG$1000,"&lt;"&amp;FG188)+1)</f>
        <v>64</v>
      </c>
      <c r="Z188" s="0" t="n">
        <v>187</v>
      </c>
      <c r="AA188" s="0" t="s">
        <v>189</v>
      </c>
      <c r="AB188" s="0" t="str">
        <f aca="false">IF($A188="","",IF(AT188="Y",BW188&amp;"",BJ188&amp;""))</f>
        <v>find Ashley Yao at KACE Tea on LinkedIn and paste the profile URL into primary_linkedin_url</v>
      </c>
      <c r="AC188" s="0" t="str">
        <f aca="false">IF($A188="","",IF(AT188="Y",BR188&amp;"",BE188&amp;""))</f>
        <v>founder</v>
      </c>
      <c r="AD188" s="0" t="str">
        <f aca="false">IF($A188="","",IF(AT188="Y",BS188&amp;"",BF188&amp;""))</f>
        <v>verified-page</v>
      </c>
      <c r="AE188" s="0" t="str">
        <f aca="false">IF($A188="","",IF(AT188="Y",BT188&amp;"",BG188&amp;""))</f>
        <v>press, event or podcast page</v>
      </c>
      <c r="AF188" s="0" t="str">
        <f aca="false">IF($A188="","",IF(AT188="Y",BU188&amp;"",BH188&amp;""))</f>
        <v>https://www.ricespicemag.com/read/kace-tea</v>
      </c>
      <c r="AG188" s="0" t="str">
        <f aca="false">IF($A188="","",IF(AT188="Y",BV188&amp;"",BI188&amp;""))</f>
        <v>2026-10-23</v>
      </c>
      <c r="AH188" s="0" t="s">
        <v>9822</v>
      </c>
      <c r="AI188" s="0" t="s">
        <v>6621</v>
      </c>
      <c r="AJ188" s="0" t="s">
        <v>208</v>
      </c>
      <c r="AK188" s="0" t="s">
        <v>9823</v>
      </c>
      <c r="AL188" s="0" t="s">
        <v>164</v>
      </c>
      <c r="AM188" s="0" t="s">
        <v>9824</v>
      </c>
      <c r="AN188" s="0" t="s">
        <v>9819</v>
      </c>
      <c r="AO188" s="5" t="s">
        <v>189</v>
      </c>
      <c r="AR188" s="0" t="str">
        <f aca="false">IF($A188="","",IF(AND(CK188="pass",AO188&lt;&gt;"Y",C188&lt;&gt;"",OR(AU188&lt;&gt;"Y",AV188="Y")),"Y","N"))</f>
        <v>Y</v>
      </c>
      <c r="AS188" s="0" t="str">
        <f aca="false">IF($A188="","",_xlfn.TEXTJOIN("; ",TRUE(),IF(CK188&lt;&gt;"pass","gated out",""),IF(AO188="Y","on hold: "&amp;AP188,""),IF(C188="","no contact named on an opened page",""),IF(AND(AU188="Y",AV188&lt;&gt;"Y"),"founder review pending (Founder review tab)","")))</f>
        <v/>
      </c>
      <c r="AU188" s="0" t="s">
        <v>189</v>
      </c>
      <c r="AY188" s="0" t="s">
        <v>9825</v>
      </c>
      <c r="AZ188" s="0" t="s">
        <v>9826</v>
      </c>
      <c r="BA188" s="0" t="s">
        <v>5830</v>
      </c>
      <c r="BC188" s="0" t="str">
        <f aca="false">IF($A188="","",IFERROR(INDEX(Enrichment!$A$2:$GZ$2000,MATCH($A188,INDEX(Enrichment!$A$2:$GZ$2000,0,MATCH("row_id",Enrichment!$A$1:$GZ$1,0)),0),MATCH("work_email",Enrichment!$A$1:$GZ$1,0))&amp;"",""))</f>
        <v/>
      </c>
      <c r="BD188" s="0" t="str">
        <f aca="false">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none</v>
      </c>
      <c r="BE188" s="0" t="s">
        <v>5589</v>
      </c>
      <c r="BF188" s="0" t="s">
        <v>169</v>
      </c>
      <c r="BG188" s="0" t="s">
        <v>1252</v>
      </c>
      <c r="BH188" s="0" t="s">
        <v>9827</v>
      </c>
      <c r="BI188" s="0" t="s">
        <v>263</v>
      </c>
      <c r="BJ188" s="0" t="s">
        <v>9828</v>
      </c>
      <c r="BK188" s="0" t="s">
        <v>5643</v>
      </c>
      <c r="BL188" s="0" t="s">
        <v>5593</v>
      </c>
      <c r="BM188" s="0" t="s">
        <v>9829</v>
      </c>
      <c r="BN188" s="0" t="s">
        <v>7748</v>
      </c>
      <c r="BP188" s="0" t="str">
        <f aca="false">IF($A188="","",IFERROR(INDEX(Enrichment!$A$2:$GZ$2000,MATCH($A188,INDEX(Enrichment!$A$2:$GZ$2000,0,MATCH("row_id",Enrichment!$A$1:$GZ$1,0)),0),MATCH("backup_work_email",Enrichment!$A$1:$GZ$1,0))&amp;"",""))</f>
        <v/>
      </c>
      <c r="BQ188" s="0" t="str">
        <f aca="false">IF($A188="","",IF(BP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none</v>
      </c>
      <c r="BR188" s="0" t="s">
        <v>7748</v>
      </c>
      <c r="BS188" s="0" t="s">
        <v>169</v>
      </c>
      <c r="BT188" s="0" t="s">
        <v>1252</v>
      </c>
      <c r="BU188" s="0" t="s">
        <v>9827</v>
      </c>
      <c r="BV188" s="0" t="s">
        <v>263</v>
      </c>
      <c r="BW188" s="0" t="s">
        <v>9830</v>
      </c>
      <c r="BX188" s="0" t="s">
        <v>5643</v>
      </c>
      <c r="BY188" s="0" t="s">
        <v>9809</v>
      </c>
      <c r="BZ188" s="0" t="s">
        <v>5601</v>
      </c>
      <c r="CB188" s="0" t="s">
        <v>9831</v>
      </c>
      <c r="CF188" s="0" t="s">
        <v>9832</v>
      </c>
      <c r="CJ188" s="0" t="s">
        <v>7088</v>
      </c>
      <c r="CK188" s="0" t="s">
        <v>200</v>
      </c>
      <c r="CM188" s="0" t="s">
        <v>201</v>
      </c>
      <c r="CN188" s="0" t="s">
        <v>5607</v>
      </c>
      <c r="CO188" s="0" t="s">
        <v>9823</v>
      </c>
      <c r="CP188" s="0" t="s">
        <v>6550</v>
      </c>
      <c r="CQ188" s="0" t="s">
        <v>6198</v>
      </c>
      <c r="CR188" s="0" t="s">
        <v>209</v>
      </c>
      <c r="CT188" s="0" t="s">
        <v>209</v>
      </c>
      <c r="CU188" s="0" t="s">
        <v>6710</v>
      </c>
      <c r="CV188" s="0" t="s">
        <v>164</v>
      </c>
      <c r="CW188" s="0" t="s">
        <v>164</v>
      </c>
      <c r="CX188" s="0" t="s">
        <v>209</v>
      </c>
      <c r="CZ188" s="0" t="s">
        <v>6456</v>
      </c>
      <c r="DA188" s="0" t="s">
        <v>189</v>
      </c>
      <c r="DB188" s="0" t="s">
        <v>189</v>
      </c>
      <c r="DE188" s="0" t="s">
        <v>189</v>
      </c>
      <c r="DF188" s="0" t="n">
        <v>0</v>
      </c>
      <c r="DI188" s="0" t="s">
        <v>7906</v>
      </c>
      <c r="DJ188" s="0" t="s">
        <v>9833</v>
      </c>
      <c r="DK188" s="0" t="s">
        <v>380</v>
      </c>
      <c r="DN188" s="0" t="n">
        <v>23</v>
      </c>
      <c r="DO188" s="0" t="n">
        <v>6</v>
      </c>
      <c r="DP188" s="0" t="n">
        <v>3</v>
      </c>
      <c r="DQ188" s="0" t="n">
        <v>0</v>
      </c>
      <c r="DR188" s="0" t="n">
        <v>5</v>
      </c>
      <c r="DS188" s="0" t="n">
        <v>7</v>
      </c>
      <c r="DT188" s="0" t="n">
        <v>6</v>
      </c>
      <c r="DU188" s="0" t="n">
        <f aca="false">IF($A188="","",IF(R188="Y",10,0))</f>
        <v>0</v>
      </c>
      <c r="DV188" s="0" t="n">
        <v>-4</v>
      </c>
      <c r="DW188" s="0" t="s">
        <v>9834</v>
      </c>
      <c r="DX188" s="0" t="s">
        <v>6462</v>
      </c>
      <c r="DY188" s="0" t="s">
        <v>9835</v>
      </c>
      <c r="DZ188" s="0" t="s">
        <v>9836</v>
      </c>
      <c r="EA188" s="0" t="s">
        <v>9837</v>
      </c>
      <c r="EV188" s="0" t="str">
        <f aca="false">IF($A188="","",IF(ISNUMBER(MATCH(U188,{"queued","contacted","replied","call_booked","call_done","yes_in_principle","materials_sent"},0)),"Y","N"))</f>
        <v>N</v>
      </c>
      <c r="EW188" s="0" t="str">
        <f aca="false">IF($A188="","",IF(OR(T188="Y",U188="do_not_contact",AQ188&amp;""&lt;&gt;""),"Y","N"))</f>
        <v>N</v>
      </c>
      <c r="EX188" s="0" t="str">
        <f aca="false">IF($A188="","",IF(AN188&amp;""&lt;&gt;"",AN188&amp;"",$A188))</f>
        <v>AB-163</v>
      </c>
      <c r="EY188" s="0" t="str">
        <f aca="false">IF($A188="","",IF(COUNTIFS($EX$2:$EX$1000,EX188,$EV$2:$EV$1000,"Y")+COUNTIFS($EX$2:$EX$1000,EX188,$EW$2:$EW$1000,"Y")&gt;0,"Y","N"))</f>
        <v>N</v>
      </c>
      <c r="EZ188" s="0" t="str">
        <f aca="false">IF($A188="","",IF(AND(U188="new",T188="N",EW188="N",AR188="Y",EY188="N"),"Y","N"))</f>
        <v>Y</v>
      </c>
      <c r="FA188" s="0" t="str">
        <f aca="false">IF($A188="","",IF(EZ188&lt;&gt;"Y","N",IF(COUNTIFS($EX$2:$EX$1000,EX188,$EZ$2:$EZ$1000,"Y",$J$2:$J$1000,"&gt;"&amp;J188)+COUNTIFS($EX$2:$EX$1000,EX188,$EZ$2:$EZ$1000,"Y",$J$2:$J$1000,J188,$FG$2:$FG$1000,"&lt;"&amp;FG188)=0,"Y","N")))</f>
        <v>Y</v>
      </c>
      <c r="FB188" s="0" t="str">
        <f aca="false">IF($A188="","",IF(AND(EZ188="Y",FA188="Y",Y188&amp;""&lt;&gt;""),IF(Y188&lt;=10,"Y","N"),"N"))</f>
        <v>N</v>
      </c>
      <c r="FC188" s="0" t="str">
        <f aca="false">IF(FB188="Y",Y188,"")</f>
        <v/>
      </c>
      <c r="FD188" s="0" t="str">
        <f aca="false">IF($A188="","",IF(AND(CK188="pass",AU188="Y",AV188&lt;&gt;"Y",U188="new",EW188="N"),"Y","N"))</f>
        <v>N</v>
      </c>
      <c r="FE188" s="0" t="str">
        <f aca="false">IF(FD188&lt;&gt;"Y","",IF(COUNTIFS($FD$2:$FD$1000,"Y",$J$2:$J$1000,"&gt;"&amp;J188)+COUNTIFS($FD$2:$FD$1000,"Y",$J$2:$J$1000,J188,$FG$2:$FG$1000,"&lt;"&amp;FG188)+1&lt;=30,COUNTIFS($FD$2:$FD$1000,"Y",$J$2:$J$1000,"&gt;"&amp;J188)+COUNTIFS($FD$2:$FD$1000,"Y",$J$2:$J$1000,J188,$FG$2:$FG$1000,"&lt;"&amp;FG188)+1,""))</f>
        <v/>
      </c>
      <c r="FF188" s="0" t="str">
        <f aca="false">IF(AND(_xlfn.ISFORMULA(C188),_xlfn.ISFORMULA(J188)),"Y","N")</f>
        <v>Y</v>
      </c>
      <c r="FG188" s="0" t="n">
        <f aca="false">ROW()-1</f>
        <v>187</v>
      </c>
    </row>
    <row r="189" customFormat="false" ht="15" hidden="false" customHeight="false" outlineLevel="0" collapsed="false">
      <c r="A189" s="0" t="s">
        <v>9838</v>
      </c>
      <c r="B189" s="0" t="s">
        <v>9839</v>
      </c>
      <c r="C189" s="0" t="str">
        <f aca="false">IF($A189="","",IF(AT189="Y",BL189&amp;"",AY189&amp;""))</f>
        <v>Mariah</v>
      </c>
      <c r="D189" s="0" t="str">
        <f aca="false">IF($A189="","",IF(AT189="Y",BM189&amp;"",AZ189&amp;""))</f>
        <v>Hilton Wood</v>
      </c>
      <c r="E189" s="0" t="str">
        <f aca="false">IF($A189="","",IF(AT189="Y",BN189&amp;"",BA189&amp;""))</f>
        <v>Founder</v>
      </c>
      <c r="F189" s="0" t="str">
        <f aca="false">IF($A189="","",IF(AT189="Y",BO189&amp;"",BB189&amp;""))</f>
        <v/>
      </c>
      <c r="G189" s="0" t="str">
        <f aca="false">IF($A189="","",IF(AT189="Y",BP189&amp;"",BC189&amp;""))</f>
        <v/>
      </c>
      <c r="H189" s="0" t="str">
        <f aca="false">IF($A189="","",IF(AT189="Y",BQ189&amp;"",BD189&amp;""))</f>
        <v>none</v>
      </c>
      <c r="I189" s="0" t="str">
        <f aca="false">IF($A189="","",IF(R189="Y","warm-intro",IF(H189="verified","email",IF(C189&lt;&gt;"","linkedin",CA189&amp;""))))</f>
        <v>linkedin</v>
      </c>
      <c r="J189" s="0" t="n">
        <f aca="false">IF($A189="","",IF(CK189="pass",ROUND(N(DO189)+N(DP189)+N(DQ189)+N(DR189)+N(DS189)+N(DT189)+N(DU189)+N(DV189),0),0))</f>
        <v>23</v>
      </c>
      <c r="K189" s="0" t="str">
        <f aca="false">IF($A189="","",IF(CK189&lt;&gt;"pass",BY189&amp;"",BY189&amp;", "&amp;IF(AT189="Y",BX189&amp;"",BK189&amp;"")&amp;BZ189&amp;IF(R189="Y","; known to the founder (+10)","")&amp;"."))</f>
        <v>Brand based outside the Northeast, no graded store within ten blocks, online store only, no dated why-now in the last 12 months, revenue unknown, contact named; founder review: format.</v>
      </c>
      <c r="M189" s="0" t="s">
        <v>6144</v>
      </c>
      <c r="N189" s="0" t="s">
        <v>740</v>
      </c>
      <c r="R189" s="5" t="s">
        <v>189</v>
      </c>
      <c r="S189" s="0" t="s">
        <v>209</v>
      </c>
      <c r="T189" s="5" t="s">
        <v>189</v>
      </c>
      <c r="U189" s="5" t="s">
        <v>3896</v>
      </c>
      <c r="V189" s="0" t="s">
        <v>9840</v>
      </c>
      <c r="W189" s="0" t="s">
        <v>263</v>
      </c>
      <c r="X189" s="0" t="s">
        <v>5578</v>
      </c>
      <c r="Y189" s="0" t="str">
        <f aca="false">IF(FA189&lt;&gt;"Y","",COUNTIFS($FA$2:$FA$1000,"Y",$J$2:$J$1000,"&gt;"&amp;J189)+COUNTIFS($FA$2:$FA$1000,"Y",$J$2:$J$1000,J189,$FG$2:$FG$1000,"&lt;"&amp;FG189)+1)</f>
        <v/>
      </c>
      <c r="Z189" s="0" t="n">
        <v>188</v>
      </c>
      <c r="AA189" s="0" t="s">
        <v>189</v>
      </c>
      <c r="AB189" s="0" t="str">
        <f aca="false">IF($A189="","",IF(AT189="Y",BW189&amp;"",BJ189&amp;""))</f>
        <v>find Mariah Hilton Wood at Tilden on LinkedIn and paste the profile URL into primary_linkedin_url</v>
      </c>
      <c r="AC189" s="0" t="str">
        <f aca="false">IF($A189="","",IF(AT189="Y",BR189&amp;"",BE189&amp;""))</f>
        <v>founder</v>
      </c>
      <c r="AD189" s="0" t="str">
        <f aca="false">IF($A189="","",IF(AT189="Y",BS189&amp;"",BF189&amp;""))</f>
        <v>verified-page</v>
      </c>
      <c r="AE189" s="0" t="str">
        <f aca="false">IF($A189="","",IF(AT189="Y",BT189&amp;"",BG189&amp;""))</f>
        <v>employer's own site</v>
      </c>
      <c r="AF189" s="0" t="str">
        <f aca="false">IF($A189="","",IF(AT189="Y",BU189&amp;"",BH189&amp;""))</f>
        <v>https://drinktilden.com/pages/our-story</v>
      </c>
      <c r="AG189" s="0" t="str">
        <f aca="false">IF($A189="","",IF(AT189="Y",BV189&amp;"",BI189&amp;""))</f>
        <v>2026-10-23</v>
      </c>
      <c r="AH189" s="0" t="s">
        <v>9841</v>
      </c>
      <c r="AI189" s="0" t="s">
        <v>6699</v>
      </c>
      <c r="AJ189" s="0" t="s">
        <v>9842</v>
      </c>
      <c r="AK189" s="0" t="s">
        <v>9843</v>
      </c>
      <c r="AL189" s="0" t="s">
        <v>164</v>
      </c>
      <c r="AM189" s="0" t="s">
        <v>9844</v>
      </c>
      <c r="AN189" s="0" t="s">
        <v>9838</v>
      </c>
      <c r="AO189" s="5" t="s">
        <v>189</v>
      </c>
      <c r="AR189" s="0" t="str">
        <f aca="false">IF($A189="","",IF(AND(CK189="pass",AO189&lt;&gt;"Y",C189&lt;&gt;"",OR(AU189&lt;&gt;"Y",AV189="Y")),"Y","N"))</f>
        <v>N</v>
      </c>
      <c r="AS189" s="0" t="str">
        <f aca="false">IF($A189="","",_xlfn.TEXTJOIN("; ",TRUE(),IF(CK189&lt;&gt;"pass","gated out",""),IF(AO189="Y","on hold: "&amp;AP189,""),IF(C189="","no contact named on an opened page",""),IF(AND(AU189="Y",AV189&lt;&gt;"Y"),"founder review pending (Founder review tab)","")))</f>
        <v>founder review pending (Founder review tab)</v>
      </c>
      <c r="AU189" s="0" t="s">
        <v>164</v>
      </c>
      <c r="AY189" s="0" t="s">
        <v>9845</v>
      </c>
      <c r="AZ189" s="0" t="s">
        <v>9846</v>
      </c>
      <c r="BA189" s="0" t="s">
        <v>5739</v>
      </c>
      <c r="BC189" s="0" t="str">
        <f aca="false">IF($A189="","",IFERROR(INDEX(Enrichment!$A$2:$GZ$2000,MATCH($A189,INDEX(Enrichment!$A$2:$GZ$2000,0,MATCH("row_id",Enrichment!$A$1:$GZ$1,0)),0),MATCH("work_email",Enrichment!$A$1:$GZ$1,0))&amp;"",""))</f>
        <v/>
      </c>
      <c r="BD189" s="0" t="str">
        <f aca="false">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none</v>
      </c>
      <c r="BE189" s="0" t="s">
        <v>5589</v>
      </c>
      <c r="BF189" s="0" t="s">
        <v>169</v>
      </c>
      <c r="BG189" s="0" t="s">
        <v>170</v>
      </c>
      <c r="BH189" s="0" t="s">
        <v>9840</v>
      </c>
      <c r="BI189" s="0" t="s">
        <v>263</v>
      </c>
      <c r="BJ189" s="0" t="s">
        <v>9847</v>
      </c>
      <c r="BK189" s="0" t="s">
        <v>5643</v>
      </c>
      <c r="BP189" s="0" t="str">
        <f aca="false">IF($A189="","",IFERROR(INDEX(Enrichment!$A$2:$GZ$2000,MATCH($A189,INDEX(Enrichment!$A$2:$GZ$2000,0,MATCH("row_id",Enrichment!$A$1:$GZ$1,0)),0),MATCH("backup_work_email",Enrichment!$A$1:$GZ$1,0))&amp;"",""))</f>
        <v/>
      </c>
      <c r="BQ189" s="0" t="str">
        <f aca="false">IF($A189="","",IF(BP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none</v>
      </c>
      <c r="BS189" s="0" t="s">
        <v>380</v>
      </c>
      <c r="BW189" s="0" t="s">
        <v>387</v>
      </c>
      <c r="BX189" s="0" t="s">
        <v>388</v>
      </c>
      <c r="BY189" s="0" t="s">
        <v>9809</v>
      </c>
      <c r="BZ189" s="0" t="s">
        <v>5802</v>
      </c>
      <c r="CB189" s="0" t="s">
        <v>9848</v>
      </c>
      <c r="CJ189" s="0" t="s">
        <v>7088</v>
      </c>
      <c r="CK189" s="0" t="s">
        <v>200</v>
      </c>
      <c r="CM189" s="0" t="s">
        <v>201</v>
      </c>
      <c r="CN189" s="0" t="s">
        <v>5808</v>
      </c>
      <c r="CO189" s="0" t="s">
        <v>9843</v>
      </c>
      <c r="CP189" s="0" t="s">
        <v>6550</v>
      </c>
      <c r="CQ189" s="0" t="s">
        <v>6198</v>
      </c>
      <c r="CR189" s="0" t="s">
        <v>209</v>
      </c>
      <c r="CT189" s="0" t="s">
        <v>164</v>
      </c>
      <c r="CU189" s="0" t="s">
        <v>9849</v>
      </c>
      <c r="CV189" s="0" t="s">
        <v>189</v>
      </c>
      <c r="CW189" s="0" t="s">
        <v>164</v>
      </c>
      <c r="CX189" s="0" t="s">
        <v>209</v>
      </c>
      <c r="CZ189" s="0" t="s">
        <v>6456</v>
      </c>
      <c r="DA189" s="0" t="s">
        <v>189</v>
      </c>
      <c r="DB189" s="0" t="s">
        <v>189</v>
      </c>
      <c r="DE189" s="0" t="s">
        <v>189</v>
      </c>
      <c r="DF189" s="0" t="n">
        <v>0</v>
      </c>
      <c r="DI189" s="0" t="s">
        <v>9850</v>
      </c>
      <c r="DJ189" s="0" t="s">
        <v>9851</v>
      </c>
      <c r="DK189" s="0" t="s">
        <v>380</v>
      </c>
      <c r="DN189" s="0" t="n">
        <v>23</v>
      </c>
      <c r="DO189" s="0" t="n">
        <v>6</v>
      </c>
      <c r="DP189" s="0" t="n">
        <v>3</v>
      </c>
      <c r="DQ189" s="0" t="n">
        <v>0</v>
      </c>
      <c r="DR189" s="0" t="n">
        <v>5</v>
      </c>
      <c r="DS189" s="0" t="n">
        <v>7</v>
      </c>
      <c r="DT189" s="0" t="n">
        <v>6</v>
      </c>
      <c r="DU189" s="0" t="n">
        <f aca="false">IF($A189="","",IF(R189="Y",10,0))</f>
        <v>0</v>
      </c>
      <c r="DV189" s="0" t="n">
        <v>-4</v>
      </c>
      <c r="DW189" s="0" t="s">
        <v>9852</v>
      </c>
      <c r="DX189" s="0" t="s">
        <v>6462</v>
      </c>
      <c r="DY189" s="0" t="s">
        <v>9853</v>
      </c>
      <c r="DZ189" s="0" t="s">
        <v>9854</v>
      </c>
      <c r="EA189" s="0" t="s">
        <v>9855</v>
      </c>
      <c r="EV189" s="0" t="str">
        <f aca="false">IF($A189="","",IF(ISNUMBER(MATCH(U189,{"queued","contacted","replied","call_booked","call_done","yes_in_principle","materials_sent"},0)),"Y","N"))</f>
        <v>N</v>
      </c>
      <c r="EW189" s="0" t="str">
        <f aca="false">IF($A189="","",IF(OR(T189="Y",U189="do_not_contact",AQ189&amp;""&lt;&gt;""),"Y","N"))</f>
        <v>N</v>
      </c>
      <c r="EX189" s="0" t="str">
        <f aca="false">IF($A189="","",IF(AN189&amp;""&lt;&gt;"",AN189&amp;"",$A189))</f>
        <v>AB-196</v>
      </c>
      <c r="EY189" s="0" t="str">
        <f aca="false">IF($A189="","",IF(COUNTIFS($EX$2:$EX$1000,EX189,$EV$2:$EV$1000,"Y")+COUNTIFS($EX$2:$EX$1000,EX189,$EW$2:$EW$1000,"Y")&gt;0,"Y","N"))</f>
        <v>N</v>
      </c>
      <c r="EZ189" s="0" t="str">
        <f aca="false">IF($A189="","",IF(AND(U189="new",T189="N",EW189="N",AR189="Y",EY189="N"),"Y","N"))</f>
        <v>N</v>
      </c>
      <c r="FA189" s="0" t="str">
        <f aca="false">IF($A189="","",IF(EZ189&lt;&gt;"Y","N",IF(COUNTIFS($EX$2:$EX$1000,EX189,$EZ$2:$EZ$1000,"Y",$J$2:$J$1000,"&gt;"&amp;J189)+COUNTIFS($EX$2:$EX$1000,EX189,$EZ$2:$EZ$1000,"Y",$J$2:$J$1000,J189,$FG$2:$FG$1000,"&lt;"&amp;FG189)=0,"Y","N")))</f>
        <v>N</v>
      </c>
      <c r="FB189" s="0" t="str">
        <f aca="false">IF($A189="","",IF(AND(EZ189="Y",FA189="Y",Y189&amp;""&lt;&gt;""),IF(Y189&lt;=10,"Y","N"),"N"))</f>
        <v>N</v>
      </c>
      <c r="FC189" s="0" t="str">
        <f aca="false">IF(FB189="Y",Y189,"")</f>
        <v/>
      </c>
      <c r="FD189" s="0" t="str">
        <f aca="false">IF($A189="","",IF(AND(CK189="pass",AU189="Y",AV189&lt;&gt;"Y",U189="new",EW189="N"),"Y","N"))</f>
        <v>Y</v>
      </c>
      <c r="FE189" s="0" t="str">
        <f aca="false">IF(FD189&lt;&gt;"Y","",IF(COUNTIFS($FD$2:$FD$1000,"Y",$J$2:$J$1000,"&gt;"&amp;J189)+COUNTIFS($FD$2:$FD$1000,"Y",$J$2:$J$1000,J189,$FG$2:$FG$1000,"&lt;"&amp;FG189)+1&lt;=30,COUNTIFS($FD$2:$FD$1000,"Y",$J$2:$J$1000,"&gt;"&amp;J189)+COUNTIFS($FD$2:$FD$1000,"Y",$J$2:$J$1000,J189,$FG$2:$FG$1000,"&lt;"&amp;FG189)+1,""))</f>
        <v/>
      </c>
      <c r="FF189" s="0" t="str">
        <f aca="false">IF(AND(_xlfn.ISFORMULA(C189),_xlfn.ISFORMULA(J189)),"Y","N")</f>
        <v>Y</v>
      </c>
      <c r="FG189" s="0" t="n">
        <f aca="false">ROW()-1</f>
        <v>188</v>
      </c>
    </row>
    <row r="190" customFormat="false" ht="15" hidden="false" customHeight="false" outlineLevel="0" collapsed="false">
      <c r="A190" s="0" t="s">
        <v>9856</v>
      </c>
      <c r="B190" s="0" t="s">
        <v>9857</v>
      </c>
      <c r="C190" s="0" t="str">
        <f aca="false">IF($A190="","",IF(AT190="Y",BL190&amp;"",AY190&amp;""))</f>
        <v/>
      </c>
      <c r="D190" s="0" t="str">
        <f aca="false">IF($A190="","",IF(AT190="Y",BM190&amp;"",AZ190&amp;""))</f>
        <v/>
      </c>
      <c r="E190" s="0" t="str">
        <f aca="false">IF($A190="","",IF(AT190="Y",BN190&amp;"",BA190&amp;""))</f>
        <v/>
      </c>
      <c r="F190" s="0" t="str">
        <f aca="false">IF($A190="","",IF(AT190="Y",BO190&amp;"",BB190&amp;""))</f>
        <v/>
      </c>
      <c r="G190" s="0" t="str">
        <f aca="false">IF($A190="","",IF(AT190="Y",BP190&amp;"",BC190&amp;""))</f>
        <v/>
      </c>
      <c r="H190" s="0" t="str">
        <f aca="false">IF($A190="","",IF(AT190="Y",BQ190&amp;"",BD190&amp;""))</f>
        <v>none</v>
      </c>
      <c r="I190" s="0" t="str">
        <f aca="false">IF($A190="","",IF(R190="Y","warm-intro",IF(H190="verified","email",IF(C190&lt;&gt;"","linkedin",CA190&amp;""))))</f>
        <v/>
      </c>
      <c r="J190" s="0" t="n">
        <f aca="false">IF($A190="","",IF(CK190="pass",ROUND(N(DO190)+N(DP190)+N(DQ190)+N(DR190)+N(DS190)+N(DT190)+N(DU190)+N(DV190),0),0))</f>
        <v>23</v>
      </c>
      <c r="K190" s="0" t="str">
        <f aca="false">IF($A190="","",IF(CK190&lt;&gt;"pass",BY190&amp;"",BY190&amp;", "&amp;IF(AT190="Y",BX190&amp;"",BK190&amp;"")&amp;BZ190&amp;IF(R190="Y","; known to the founder (+10)","")&amp;"."))</f>
        <v>Brand based outside the Northeast (HQ unverified), no graded store within ten blocks, online store only, no dated why-now in the last 12 months, revenue unknown, contact seen only in a snippet; founder review: nutrient-claim.</v>
      </c>
      <c r="M190" s="0" t="s">
        <v>5572</v>
      </c>
      <c r="N190" s="0" t="s">
        <v>740</v>
      </c>
      <c r="R190" s="5" t="s">
        <v>189</v>
      </c>
      <c r="S190" s="0" t="s">
        <v>164</v>
      </c>
      <c r="T190" s="5" t="s">
        <v>189</v>
      </c>
      <c r="U190" s="5" t="s">
        <v>3896</v>
      </c>
      <c r="V190" s="0" t="s">
        <v>9858</v>
      </c>
      <c r="W190" s="0" t="s">
        <v>263</v>
      </c>
      <c r="X190" s="0" t="s">
        <v>5578</v>
      </c>
      <c r="Y190" s="0" t="str">
        <f aca="false">IF(FA190&lt;&gt;"Y","",COUNTIFS($FA$2:$FA$1000,"Y",$J$2:$J$1000,"&gt;"&amp;J190)+COUNTIFS($FA$2:$FA$1000,"Y",$J$2:$J$1000,J190,$FG$2:$FG$1000,"&lt;"&amp;FG190)+1)</f>
        <v/>
      </c>
      <c r="Z190" s="0" t="n">
        <v>189</v>
      </c>
      <c r="AA190" s="0" t="s">
        <v>189</v>
      </c>
      <c r="AB190" s="0" t="str">
        <f aca="false">IF($A190="","",IF(AT190="Y",BW190&amp;"",BJ190&amp;""))</f>
        <v>no person named on an opened page: not ready</v>
      </c>
      <c r="AC190" s="0" t="str">
        <f aca="false">IF($A190="","",IF(AT190="Y",BR190&amp;"",BE190&amp;""))</f>
        <v>founder</v>
      </c>
      <c r="AD190" s="0" t="str">
        <f aca="false">IF($A190="","",IF(AT190="Y",BS190&amp;"",BF190&amp;""))</f>
        <v>unverified</v>
      </c>
      <c r="AE190" s="0" t="str">
        <f aca="false">IF($A190="","",IF(AT190="Y",BT190&amp;"",BG190&amp;""))</f>
        <v>employer's own site</v>
      </c>
      <c r="AF190" s="0" t="str">
        <f aca="false">IF($A190="","",IF(AT190="Y",BU190&amp;"",BH190&amp;""))</f>
        <v>https://www.mamamewholefoods.com/pages/our-story</v>
      </c>
      <c r="AG190" s="0" t="str">
        <f aca="false">IF($A190="","",IF(AT190="Y",BV190&amp;"",BI190&amp;""))</f>
        <v>2026-10-23</v>
      </c>
      <c r="AH190" s="0" t="s">
        <v>9859</v>
      </c>
      <c r="AI190" s="0" t="s">
        <v>5789</v>
      </c>
      <c r="AJ190" s="0" t="s">
        <v>9860</v>
      </c>
      <c r="AK190" s="0" t="s">
        <v>9861</v>
      </c>
      <c r="AL190" s="0" t="s">
        <v>164</v>
      </c>
      <c r="AM190" s="0" t="s">
        <v>9862</v>
      </c>
      <c r="AN190" s="0" t="s">
        <v>9856</v>
      </c>
      <c r="AO190" s="5" t="s">
        <v>189</v>
      </c>
      <c r="AR190" s="0" t="str">
        <f aca="false">IF($A190="","",IF(AND(CK190="pass",AO190&lt;&gt;"Y",C190&lt;&gt;"",OR(AU190&lt;&gt;"Y",AV190="Y")),"Y","N"))</f>
        <v>N</v>
      </c>
      <c r="AS190" s="0" t="str">
        <f aca="false">IF($A190="","",_xlfn.TEXTJOIN("; ",TRUE(),IF(CK190&lt;&gt;"pass","gated out",""),IF(AO190="Y","on hold: "&amp;AP190,""),IF(C190="","no contact named on an opened page",""),IF(AND(AU190="Y",AV190&lt;&gt;"Y"),"founder review pending (Founder review tab)","")))</f>
        <v>no contact named on an opened page</v>
      </c>
      <c r="AU190" s="0" t="s">
        <v>189</v>
      </c>
      <c r="BC190" s="0" t="str">
        <f aca="false">IF($A190="","",IFERROR(INDEX(Enrichment!$A$2:$GZ$2000,MATCH($A190,INDEX(Enrichment!$A$2:$GZ$2000,0,MATCH("row_id",Enrichment!$A$1:$GZ$1,0)),0),MATCH("work_email",Enrichment!$A$1:$GZ$1,0))&amp;"",""))</f>
        <v/>
      </c>
      <c r="BD190" s="0" t="str">
        <f aca="false">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none</v>
      </c>
      <c r="BE190" s="0" t="s">
        <v>5589</v>
      </c>
      <c r="BF190" s="0" t="s">
        <v>740</v>
      </c>
      <c r="BG190" s="0" t="s">
        <v>170</v>
      </c>
      <c r="BH190" s="0" t="s">
        <v>9858</v>
      </c>
      <c r="BI190" s="0" t="s">
        <v>263</v>
      </c>
      <c r="BJ190" s="0" t="s">
        <v>7105</v>
      </c>
      <c r="BK190" s="0" t="s">
        <v>5834</v>
      </c>
      <c r="BP190" s="0" t="str">
        <f aca="false">IF($A190="","",IFERROR(INDEX(Enrichment!$A$2:$GZ$2000,MATCH($A190,INDEX(Enrichment!$A$2:$GZ$2000,0,MATCH("row_id",Enrichment!$A$1:$GZ$1,0)),0),MATCH("backup_work_email",Enrichment!$A$1:$GZ$1,0))&amp;"",""))</f>
        <v/>
      </c>
      <c r="BQ190" s="0" t="str">
        <f aca="false">IF($A190="","",IF(BP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none</v>
      </c>
      <c r="BS190" s="0" t="s">
        <v>380</v>
      </c>
      <c r="BW190" s="0" t="s">
        <v>387</v>
      </c>
      <c r="BX190" s="0" t="s">
        <v>388</v>
      </c>
      <c r="BY190" s="0" t="s">
        <v>9863</v>
      </c>
      <c r="BZ190" s="0" t="s">
        <v>5601</v>
      </c>
      <c r="CB190" s="0" t="s">
        <v>9864</v>
      </c>
      <c r="CD190" s="0" t="s">
        <v>9865</v>
      </c>
      <c r="CJ190" s="0" t="s">
        <v>7088</v>
      </c>
      <c r="CK190" s="0" t="s">
        <v>200</v>
      </c>
      <c r="CM190" s="0" t="s">
        <v>201</v>
      </c>
      <c r="CN190" s="0" t="s">
        <v>5607</v>
      </c>
      <c r="CO190" s="0" t="s">
        <v>9861</v>
      </c>
      <c r="CP190" s="0" t="s">
        <v>9866</v>
      </c>
      <c r="CQ190" s="0" t="s">
        <v>7235</v>
      </c>
      <c r="CR190" s="0" t="s">
        <v>209</v>
      </c>
      <c r="CT190" s="0" t="s">
        <v>164</v>
      </c>
      <c r="CU190" s="0" t="s">
        <v>9867</v>
      </c>
      <c r="CV190" s="0" t="s">
        <v>164</v>
      </c>
      <c r="CW190" s="0" t="s">
        <v>164</v>
      </c>
      <c r="CX190" s="0" t="s">
        <v>209</v>
      </c>
      <c r="CZ190" s="0" t="s">
        <v>209</v>
      </c>
      <c r="DA190" s="0" t="s">
        <v>189</v>
      </c>
      <c r="DB190" s="0" t="s">
        <v>189</v>
      </c>
      <c r="DD190" s="0" t="n">
        <v>0</v>
      </c>
      <c r="DE190" s="0" t="s">
        <v>164</v>
      </c>
      <c r="DF190" s="0" t="n">
        <v>0</v>
      </c>
      <c r="DG190" s="0" t="s">
        <v>9868</v>
      </c>
      <c r="DI190" s="0" t="s">
        <v>9869</v>
      </c>
      <c r="DJ190" s="0" t="s">
        <v>9870</v>
      </c>
      <c r="DK190" s="0" t="s">
        <v>380</v>
      </c>
      <c r="DM190" s="0" t="s">
        <v>6950</v>
      </c>
      <c r="DN190" s="0" t="n">
        <v>23</v>
      </c>
      <c r="DO190" s="0" t="n">
        <v>6</v>
      </c>
      <c r="DP190" s="0" t="n">
        <v>3</v>
      </c>
      <c r="DQ190" s="0" t="n">
        <v>0</v>
      </c>
      <c r="DR190" s="0" t="n">
        <v>5</v>
      </c>
      <c r="DS190" s="0" t="n">
        <v>10</v>
      </c>
      <c r="DT190" s="0" t="n">
        <v>3</v>
      </c>
      <c r="DU190" s="0" t="n">
        <f aca="false">IF($A190="","",IF(R190="Y",10,0))</f>
        <v>0</v>
      </c>
      <c r="DV190" s="0" t="n">
        <v>-4</v>
      </c>
      <c r="DW190" s="0" t="s">
        <v>9871</v>
      </c>
      <c r="DX190" s="0" t="s">
        <v>5814</v>
      </c>
      <c r="DY190" s="0" t="s">
        <v>9872</v>
      </c>
      <c r="DZ190" s="0" t="s">
        <v>9873</v>
      </c>
      <c r="EA190" s="0" t="s">
        <v>9874</v>
      </c>
      <c r="EV190" s="0" t="str">
        <f aca="false">IF($A190="","",IF(ISNUMBER(MATCH(U190,{"queued","contacted","replied","call_booked","call_done","yes_in_principle","materials_sent"},0)),"Y","N"))</f>
        <v>N</v>
      </c>
      <c r="EW190" s="0" t="str">
        <f aca="false">IF($A190="","",IF(OR(T190="Y",U190="do_not_contact",AQ190&amp;""&lt;&gt;""),"Y","N"))</f>
        <v>N</v>
      </c>
      <c r="EX190" s="0" t="str">
        <f aca="false">IF($A190="","",IF(AN190&amp;""&lt;&gt;"",AN190&amp;"",$A190))</f>
        <v>AB-010</v>
      </c>
      <c r="EY190" s="0" t="str">
        <f aca="false">IF($A190="","",IF(COUNTIFS($EX$2:$EX$1000,EX190,$EV$2:$EV$1000,"Y")+COUNTIFS($EX$2:$EX$1000,EX190,$EW$2:$EW$1000,"Y")&gt;0,"Y","N"))</f>
        <v>N</v>
      </c>
      <c r="EZ190" s="0" t="str">
        <f aca="false">IF($A190="","",IF(AND(U190="new",T190="N",EW190="N",AR190="Y",EY190="N"),"Y","N"))</f>
        <v>N</v>
      </c>
      <c r="FA190" s="0" t="str">
        <f aca="false">IF($A190="","",IF(EZ190&lt;&gt;"Y","N",IF(COUNTIFS($EX$2:$EX$1000,EX190,$EZ$2:$EZ$1000,"Y",$J$2:$J$1000,"&gt;"&amp;J190)+COUNTIFS($EX$2:$EX$1000,EX190,$EZ$2:$EZ$1000,"Y",$J$2:$J$1000,J190,$FG$2:$FG$1000,"&lt;"&amp;FG190)=0,"Y","N")))</f>
        <v>N</v>
      </c>
      <c r="FB190" s="0" t="str">
        <f aca="false">IF($A190="","",IF(AND(EZ190="Y",FA190="Y",Y190&amp;""&lt;&gt;""),IF(Y190&lt;=10,"Y","N"),"N"))</f>
        <v>N</v>
      </c>
      <c r="FC190" s="0" t="str">
        <f aca="false">IF(FB190="Y",Y190,"")</f>
        <v/>
      </c>
      <c r="FD190" s="0" t="str">
        <f aca="false">IF($A190="","",IF(AND(CK190="pass",AU190="Y",AV190&lt;&gt;"Y",U190="new",EW190="N"),"Y","N"))</f>
        <v>N</v>
      </c>
      <c r="FE190" s="0" t="str">
        <f aca="false">IF(FD190&lt;&gt;"Y","",IF(COUNTIFS($FD$2:$FD$1000,"Y",$J$2:$J$1000,"&gt;"&amp;J190)+COUNTIFS($FD$2:$FD$1000,"Y",$J$2:$J$1000,J190,$FG$2:$FG$1000,"&lt;"&amp;FG190)+1&lt;=30,COUNTIFS($FD$2:$FD$1000,"Y",$J$2:$J$1000,"&gt;"&amp;J190)+COUNTIFS($FD$2:$FD$1000,"Y",$J$2:$J$1000,J190,$FG$2:$FG$1000,"&lt;"&amp;FG190)+1,""))</f>
        <v/>
      </c>
      <c r="FF190" s="0" t="str">
        <f aca="false">IF(AND(_xlfn.ISFORMULA(C190),_xlfn.ISFORMULA(J190)),"Y","N")</f>
        <v>Y</v>
      </c>
      <c r="FG190" s="0" t="n">
        <f aca="false">ROW()-1</f>
        <v>189</v>
      </c>
    </row>
    <row r="191" customFormat="false" ht="15" hidden="false" customHeight="false" outlineLevel="0" collapsed="false">
      <c r="A191" s="0" t="s">
        <v>9875</v>
      </c>
      <c r="B191" s="0" t="s">
        <v>9876</v>
      </c>
      <c r="C191" s="0" t="str">
        <f aca="false">IF($A191="","",IF(AT191="Y",BL191&amp;"",AY191&amp;""))</f>
        <v>Jen</v>
      </c>
      <c r="D191" s="0" t="str">
        <f aca="false">IF($A191="","",IF(AT191="Y",BM191&amp;"",AZ191&amp;""))</f>
        <v>Martin</v>
      </c>
      <c r="E191" s="0" t="str">
        <f aca="false">IF($A191="","",IF(AT191="Y",BN191&amp;"",BA191&amp;""))</f>
        <v>Co-founder</v>
      </c>
      <c r="F191" s="0" t="str">
        <f aca="false">IF($A191="","",IF(AT191="Y",BO191&amp;"",BB191&amp;""))</f>
        <v/>
      </c>
      <c r="G191" s="0" t="str">
        <f aca="false">IF($A191="","",IF(AT191="Y",BP191&amp;"",BC191&amp;""))</f>
        <v/>
      </c>
      <c r="H191" s="0" t="str">
        <f aca="false">IF($A191="","",IF(AT191="Y",BQ191&amp;"",BD191&amp;""))</f>
        <v>none</v>
      </c>
      <c r="I191" s="0" t="str">
        <f aca="false">IF($A191="","",IF(R191="Y","warm-intro",IF(H191="verified","email",IF(C191&lt;&gt;"","linkedin",CA191&amp;""))))</f>
        <v>linkedin</v>
      </c>
      <c r="J191" s="0" t="n">
        <f aca="false">IF($A191="","",IF(CK191="pass",ROUND(N(DO191)+N(DP191)+N(DQ191)+N(DR191)+N(DS191)+N(DT191)+N(DU191)+N(DV191),0),0))</f>
        <v>22</v>
      </c>
      <c r="K191" s="0" t="str">
        <f aca="false">IF($A191="","",IF(CK191&lt;&gt;"pass",BY191&amp;"",BY191&amp;", "&amp;IF(AT191="Y",BX191&amp;"",BK191&amp;"")&amp;BZ191&amp;IF(R191="Y","; known to the founder (+10)","")&amp;"."))</f>
        <v>Northeast brand, no graded store within ten blocks, online store only, a new store listing 115 days ago, revenue unknown, contact named; founder review: owner, scale.</v>
      </c>
      <c r="M191" s="0" t="s">
        <v>5572</v>
      </c>
      <c r="N191" s="0" t="s">
        <v>740</v>
      </c>
      <c r="O191" s="0" t="s">
        <v>9877</v>
      </c>
      <c r="P191" s="0" t="s">
        <v>9878</v>
      </c>
      <c r="Q191" s="0" t="s">
        <v>8492</v>
      </c>
      <c r="R191" s="5" t="s">
        <v>189</v>
      </c>
      <c r="S191" s="0" t="s">
        <v>209</v>
      </c>
      <c r="T191" s="5" t="s">
        <v>189</v>
      </c>
      <c r="U191" s="5" t="s">
        <v>3896</v>
      </c>
      <c r="V191" s="0" t="s">
        <v>9879</v>
      </c>
      <c r="W191" s="0" t="s">
        <v>263</v>
      </c>
      <c r="X191" s="0" t="s">
        <v>5578</v>
      </c>
      <c r="Y191" s="0" t="str">
        <f aca="false">IF(FA191&lt;&gt;"Y","",COUNTIFS($FA$2:$FA$1000,"Y",$J$2:$J$1000,"&gt;"&amp;J191)+COUNTIFS($FA$2:$FA$1000,"Y",$J$2:$J$1000,J191,$FG$2:$FG$1000,"&lt;"&amp;FG191)+1)</f>
        <v/>
      </c>
      <c r="Z191" s="0" t="n">
        <v>190</v>
      </c>
      <c r="AA191" s="0" t="s">
        <v>189</v>
      </c>
      <c r="AB191" s="0" t="str">
        <f aca="false">IF($A191="","",IF(AT191="Y",BW191&amp;"",BJ191&amp;""))</f>
        <v>find Jen Martin at Pip's Heirloom Snacks on LinkedIn and paste the profile URL into primary_linkedin_url</v>
      </c>
      <c r="AC191" s="0" t="str">
        <f aca="false">IF($A191="","",IF(AT191="Y",BR191&amp;"",BE191&amp;""))</f>
        <v>founder</v>
      </c>
      <c r="AD191" s="0" t="str">
        <f aca="false">IF($A191="","",IF(AT191="Y",BS191&amp;"",BF191&amp;""))</f>
        <v>verified-page</v>
      </c>
      <c r="AE191" s="0" t="str">
        <f aca="false">IF($A191="","",IF(AT191="Y",BT191&amp;"",BG191&amp;""))</f>
        <v>employer's own site</v>
      </c>
      <c r="AF191" s="0" t="str">
        <f aca="false">IF($A191="","",IF(AT191="Y",BU191&amp;"",BH191&amp;""))</f>
        <v>https://www.pipsnacks.com/pages/press</v>
      </c>
      <c r="AG191" s="0" t="str">
        <f aca="false">IF($A191="","",IF(AT191="Y",BV191&amp;"",BI191&amp;""))</f>
        <v>2026-10-23</v>
      </c>
      <c r="AH191" s="0" t="s">
        <v>9880</v>
      </c>
      <c r="AI191" s="0" t="s">
        <v>5921</v>
      </c>
      <c r="AJ191" s="0" t="s">
        <v>9881</v>
      </c>
      <c r="AK191" s="0" t="s">
        <v>9882</v>
      </c>
      <c r="AL191" s="0" t="s">
        <v>164</v>
      </c>
      <c r="AM191" s="0" t="s">
        <v>9883</v>
      </c>
      <c r="AN191" s="0" t="s">
        <v>9875</v>
      </c>
      <c r="AO191" s="5" t="s">
        <v>189</v>
      </c>
      <c r="AR191" s="0" t="str">
        <f aca="false">IF($A191="","",IF(AND(CK191="pass",AO191&lt;&gt;"Y",C191&lt;&gt;"",OR(AU191&lt;&gt;"Y",AV191="Y")),"Y","N"))</f>
        <v>N</v>
      </c>
      <c r="AS191" s="0" t="str">
        <f aca="false">IF($A191="","",_xlfn.TEXTJOIN("; ",TRUE(),IF(CK191&lt;&gt;"pass","gated out",""),IF(AO191="Y","on hold: "&amp;AP191,""),IF(C191="","no contact named on an opened page",""),IF(AND(AU191="Y",AV191&lt;&gt;"Y"),"founder review pending (Founder review tab)","")))</f>
        <v>founder review pending (Founder review tab)</v>
      </c>
      <c r="AU191" s="0" t="s">
        <v>164</v>
      </c>
      <c r="AY191" s="0" t="s">
        <v>9884</v>
      </c>
      <c r="AZ191" s="0" t="s">
        <v>9885</v>
      </c>
      <c r="BA191" s="0" t="s">
        <v>5636</v>
      </c>
      <c r="BC191" s="0" t="str">
        <f aca="false">IF($A191="","",IFERROR(INDEX(Enrichment!$A$2:$GZ$2000,MATCH($A191,INDEX(Enrichment!$A$2:$GZ$2000,0,MATCH("row_id",Enrichment!$A$1:$GZ$1,0)),0),MATCH("work_email",Enrichment!$A$1:$GZ$1,0))&amp;"",""))</f>
        <v/>
      </c>
      <c r="BD191" s="0" t="str">
        <f aca="false">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none</v>
      </c>
      <c r="BE191" s="0" t="s">
        <v>5589</v>
      </c>
      <c r="BF191" s="0" t="s">
        <v>169</v>
      </c>
      <c r="BG191" s="0" t="s">
        <v>170</v>
      </c>
      <c r="BH191" s="0" t="s">
        <v>9886</v>
      </c>
      <c r="BI191" s="0" t="s">
        <v>263</v>
      </c>
      <c r="BJ191" s="0" t="s">
        <v>9887</v>
      </c>
      <c r="BK191" s="0" t="s">
        <v>5643</v>
      </c>
      <c r="BL191" s="0" t="s">
        <v>9888</v>
      </c>
      <c r="BM191" s="0" t="s">
        <v>9889</v>
      </c>
      <c r="BN191" s="0" t="s">
        <v>9890</v>
      </c>
      <c r="BP191" s="0" t="str">
        <f aca="false">IF($A191="","",IFERROR(INDEX(Enrichment!$A$2:$GZ$2000,MATCH($A191,INDEX(Enrichment!$A$2:$GZ$2000,0,MATCH("row_id",Enrichment!$A$1:$GZ$1,0)),0),MATCH("backup_work_email",Enrichment!$A$1:$GZ$1,0))&amp;"",""))</f>
        <v/>
      </c>
      <c r="BQ191" s="0" t="str">
        <f aca="false">IF($A191="","",IF(BP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none</v>
      </c>
      <c r="BR191" s="0" t="s">
        <v>7494</v>
      </c>
      <c r="BS191" s="0" t="s">
        <v>169</v>
      </c>
      <c r="BT191" s="0" t="s">
        <v>1252</v>
      </c>
      <c r="BU191" s="0" t="s">
        <v>9891</v>
      </c>
      <c r="BV191" s="0" t="s">
        <v>263</v>
      </c>
      <c r="BW191" s="0" t="s">
        <v>9892</v>
      </c>
      <c r="BX191" s="0" t="s">
        <v>5643</v>
      </c>
      <c r="BY191" s="0" t="s">
        <v>8502</v>
      </c>
      <c r="BZ191" s="0" t="s">
        <v>8073</v>
      </c>
      <c r="CB191" s="0" t="s">
        <v>9893</v>
      </c>
      <c r="CD191" s="0" t="s">
        <v>9894</v>
      </c>
      <c r="CF191" s="0" t="s">
        <v>9895</v>
      </c>
      <c r="CJ191" s="0" t="s">
        <v>7088</v>
      </c>
      <c r="CK191" s="0" t="s">
        <v>200</v>
      </c>
      <c r="CM191" s="0" t="s">
        <v>201</v>
      </c>
      <c r="CN191" s="0" t="s">
        <v>8075</v>
      </c>
      <c r="CO191" s="0" t="s">
        <v>9882</v>
      </c>
      <c r="CP191" s="0" t="s">
        <v>7376</v>
      </c>
      <c r="CQ191" s="0" t="s">
        <v>6084</v>
      </c>
      <c r="CR191" s="0" t="s">
        <v>9896</v>
      </c>
      <c r="CS191" s="0" t="s">
        <v>9891</v>
      </c>
      <c r="CT191" s="0" t="s">
        <v>164</v>
      </c>
      <c r="CU191" s="0" t="s">
        <v>9897</v>
      </c>
      <c r="CV191" s="0" t="s">
        <v>164</v>
      </c>
      <c r="CW191" s="0" t="s">
        <v>164</v>
      </c>
      <c r="CX191" s="0" t="s">
        <v>209</v>
      </c>
      <c r="CZ191" s="0" t="s">
        <v>9898</v>
      </c>
      <c r="DA191" s="0" t="s">
        <v>189</v>
      </c>
      <c r="DB191" s="0" t="s">
        <v>189</v>
      </c>
      <c r="DD191" s="0" t="n">
        <v>0</v>
      </c>
      <c r="DE191" s="0" t="s">
        <v>164</v>
      </c>
      <c r="DF191" s="0" t="n">
        <v>0</v>
      </c>
      <c r="DG191" s="0" t="s">
        <v>9899</v>
      </c>
      <c r="DH191" s="0" t="s">
        <v>9900</v>
      </c>
      <c r="DI191" s="0" t="s">
        <v>9901</v>
      </c>
      <c r="DJ191" s="0" t="s">
        <v>9902</v>
      </c>
      <c r="DK191" s="0" t="s">
        <v>5689</v>
      </c>
      <c r="DL191" s="0" t="n">
        <v>115</v>
      </c>
      <c r="DN191" s="0" t="n">
        <v>22</v>
      </c>
      <c r="DO191" s="0" t="n">
        <v>6</v>
      </c>
      <c r="DP191" s="0" t="n">
        <v>8</v>
      </c>
      <c r="DQ191" s="0" t="n">
        <v>8</v>
      </c>
      <c r="DR191" s="0" t="n">
        <v>5</v>
      </c>
      <c r="DS191" s="0" t="n">
        <v>10</v>
      </c>
      <c r="DT191" s="0" t="n">
        <v>10</v>
      </c>
      <c r="DU191" s="0" t="n">
        <f aca="false">IF($A191="","",IF(R191="Y",10,0))</f>
        <v>0</v>
      </c>
      <c r="DV191" s="0" t="n">
        <v>-25</v>
      </c>
      <c r="DX191" s="0" t="s">
        <v>5619</v>
      </c>
      <c r="DY191" s="0" t="s">
        <v>9903</v>
      </c>
      <c r="DZ191" s="0" t="s">
        <v>9904</v>
      </c>
      <c r="EA191" s="0" t="s">
        <v>9905</v>
      </c>
      <c r="EV191" s="0" t="str">
        <f aca="false">IF($A191="","",IF(ISNUMBER(MATCH(U191,{"queued","contacted","replied","call_booked","call_done","yes_in_principle","materials_sent"},0)),"Y","N"))</f>
        <v>N</v>
      </c>
      <c r="EW191" s="0" t="str">
        <f aca="false">IF($A191="","",IF(OR(T191="Y",U191="do_not_contact",AQ191&amp;""&lt;&gt;""),"Y","N"))</f>
        <v>N</v>
      </c>
      <c r="EX191" s="0" t="str">
        <f aca="false">IF($A191="","",IF(AN191&amp;""&lt;&gt;"",AN191&amp;"",$A191))</f>
        <v>AB-208</v>
      </c>
      <c r="EY191" s="0" t="str">
        <f aca="false">IF($A191="","",IF(COUNTIFS($EX$2:$EX$1000,EX191,$EV$2:$EV$1000,"Y")+COUNTIFS($EX$2:$EX$1000,EX191,$EW$2:$EW$1000,"Y")&gt;0,"Y","N"))</f>
        <v>N</v>
      </c>
      <c r="EZ191" s="0" t="str">
        <f aca="false">IF($A191="","",IF(AND(U191="new",T191="N",EW191="N",AR191="Y",EY191="N"),"Y","N"))</f>
        <v>N</v>
      </c>
      <c r="FA191" s="0" t="str">
        <f aca="false">IF($A191="","",IF(EZ191&lt;&gt;"Y","N",IF(COUNTIFS($EX$2:$EX$1000,EX191,$EZ$2:$EZ$1000,"Y",$J$2:$J$1000,"&gt;"&amp;J191)+COUNTIFS($EX$2:$EX$1000,EX191,$EZ$2:$EZ$1000,"Y",$J$2:$J$1000,J191,$FG$2:$FG$1000,"&lt;"&amp;FG191)=0,"Y","N")))</f>
        <v>N</v>
      </c>
      <c r="FB191" s="0" t="str">
        <f aca="false">IF($A191="","",IF(AND(EZ191="Y",FA191="Y",Y191&amp;""&lt;&gt;""),IF(Y191&lt;=10,"Y","N"),"N"))</f>
        <v>N</v>
      </c>
      <c r="FC191" s="0" t="str">
        <f aca="false">IF(FB191="Y",Y191,"")</f>
        <v/>
      </c>
      <c r="FD191" s="0" t="str">
        <f aca="false">IF($A191="","",IF(AND(CK191="pass",AU191="Y",AV191&lt;&gt;"Y",U191="new",EW191="N"),"Y","N"))</f>
        <v>Y</v>
      </c>
      <c r="FE191" s="0" t="str">
        <f aca="false">IF(FD191&lt;&gt;"Y","",IF(COUNTIFS($FD$2:$FD$1000,"Y",$J$2:$J$1000,"&gt;"&amp;J191)+COUNTIFS($FD$2:$FD$1000,"Y",$J$2:$J$1000,J191,$FG$2:$FG$1000,"&lt;"&amp;FG191)+1&lt;=30,COUNTIFS($FD$2:$FD$1000,"Y",$J$2:$J$1000,"&gt;"&amp;J191)+COUNTIFS($FD$2:$FD$1000,"Y",$J$2:$J$1000,J191,$FG$2:$FG$1000,"&lt;"&amp;FG191)+1,""))</f>
        <v/>
      </c>
      <c r="FF191" s="0" t="str">
        <f aca="false">IF(AND(_xlfn.ISFORMULA(C191),_xlfn.ISFORMULA(J191)),"Y","N")</f>
        <v>Y</v>
      </c>
      <c r="FG191" s="0" t="n">
        <f aca="false">ROW()-1</f>
        <v>190</v>
      </c>
    </row>
    <row r="192" customFormat="false" ht="15" hidden="false" customHeight="false" outlineLevel="0" collapsed="false">
      <c r="A192" s="0" t="s">
        <v>9906</v>
      </c>
      <c r="B192" s="0" t="s">
        <v>9907</v>
      </c>
      <c r="C192" s="0" t="str">
        <f aca="false">IF($A192="","",IF(AT192="Y",BL192&amp;"",AY192&amp;""))</f>
        <v>Mike</v>
      </c>
      <c r="D192" s="0" t="str">
        <f aca="false">IF($A192="","",IF(AT192="Y",BM192&amp;"",AZ192&amp;""))</f>
        <v>Fransz</v>
      </c>
      <c r="E192" s="0" t="str">
        <f aca="false">IF($A192="","",IF(AT192="Y",BN192&amp;"",BA192&amp;""))</f>
        <v>Director of Marketing, Tipp Distributors Inc. dba Novamex</v>
      </c>
      <c r="F192" s="0" t="str">
        <f aca="false">IF($A192="","",IF(AT192="Y",BO192&amp;"",BB192&amp;""))</f>
        <v/>
      </c>
      <c r="G192" s="0" t="str">
        <f aca="false">IF($A192="","",IF(AT192="Y",BP192&amp;"",BC192&amp;""))</f>
        <v/>
      </c>
      <c r="H192" s="0" t="str">
        <f aca="false">IF($A192="","",IF(AT192="Y",BQ192&amp;"",BD192&amp;""))</f>
        <v>none</v>
      </c>
      <c r="I192" s="0" t="str">
        <f aca="false">IF($A192="","",IF(R192="Y","warm-intro",IF(H192="verified","email",IF(C192&lt;&gt;"","linkedin",CA192&amp;""))))</f>
        <v>linkedin</v>
      </c>
      <c r="J192" s="0" t="n">
        <f aca="false">IF($A192="","",IF(CK192="pass",ROUND(N(DO192)+N(DP192)+N(DQ192)+N(DR192)+N(DS192)+N(DT192)+N(DU192)+N(DV192),0),0))</f>
        <v>20</v>
      </c>
      <c r="K192" s="0" t="str">
        <f aca="false">IF($A192="","",IF(CK192&lt;&gt;"pass",BY192&amp;"",BY192&amp;", "&amp;IF(AT192="Y",BX192&amp;"",BK192&amp;"")&amp;BZ192&amp;IF(R192="Y","; known to the founder (+10)","")&amp;"."))</f>
        <v>HQ unknown, no graded store within ten blocks, online store only, no dated why-now in the last 12 months, revenue unknown, contact named; founder review: scale, claim-functional, nutrient-claim.</v>
      </c>
      <c r="M192" s="0" t="s">
        <v>6144</v>
      </c>
      <c r="N192" s="0" t="s">
        <v>740</v>
      </c>
      <c r="R192" s="5" t="s">
        <v>189</v>
      </c>
      <c r="S192" s="0" t="s">
        <v>209</v>
      </c>
      <c r="T192" s="5" t="s">
        <v>189</v>
      </c>
      <c r="U192" s="5" t="s">
        <v>3896</v>
      </c>
      <c r="V192" s="0" t="s">
        <v>9908</v>
      </c>
      <c r="W192" s="0" t="s">
        <v>263</v>
      </c>
      <c r="X192" s="0" t="s">
        <v>5578</v>
      </c>
      <c r="Y192" s="0" t="str">
        <f aca="false">IF(FA192&lt;&gt;"Y","",COUNTIFS($FA$2:$FA$1000,"Y",$J$2:$J$1000,"&gt;"&amp;J192)+COUNTIFS($FA$2:$FA$1000,"Y",$J$2:$J$1000,J192,$FG$2:$FG$1000,"&lt;"&amp;FG192)+1)</f>
        <v/>
      </c>
      <c r="Z192" s="0" t="n">
        <v>191</v>
      </c>
      <c r="AA192" s="0" t="s">
        <v>189</v>
      </c>
      <c r="AB192" s="0" t="str">
        <f aca="false">IF($A192="","",IF(AT192="Y",BW192&amp;"",BJ192&amp;""))</f>
        <v>find Mike Fransz at Steaz on LinkedIn and paste the profile URL into primary_linkedin_url</v>
      </c>
      <c r="AC192" s="0" t="str">
        <f aca="false">IF($A192="","",IF(AT192="Y",BR192&amp;"",BE192&amp;""))</f>
        <v>marketing</v>
      </c>
      <c r="AD192" s="0" t="str">
        <f aca="false">IF($A192="","",IF(AT192="Y",BS192&amp;"",BF192&amp;""))</f>
        <v>verified-page</v>
      </c>
      <c r="AE192" s="0" t="str">
        <f aca="false">IF($A192="","",IF(AT192="Y",BT192&amp;"",BG192&amp;""))</f>
        <v>press, event or podcast page</v>
      </c>
      <c r="AF192" s="0" t="str">
        <f aca="false">IF($A192="","",IF(AT192="Y",BU192&amp;"",BH192&amp;""))</f>
        <v>https://attend.expowest.com/event/natural-products-expo-west-2026/exhibitor/RXhoaWJpdG9yXzI0MDgxODU=</v>
      </c>
      <c r="AG192" s="0" t="str">
        <f aca="false">IF($A192="","",IF(AT192="Y",BV192&amp;"",BI192&amp;""))</f>
        <v>2026-10-23</v>
      </c>
      <c r="AH192" s="0" t="s">
        <v>9909</v>
      </c>
      <c r="AI192" s="0" t="s">
        <v>6621</v>
      </c>
      <c r="AJ192" s="0" t="s">
        <v>209</v>
      </c>
      <c r="AK192" s="0" t="s">
        <v>9910</v>
      </c>
      <c r="AL192" s="0" t="s">
        <v>164</v>
      </c>
      <c r="AM192" s="0" t="s">
        <v>9911</v>
      </c>
      <c r="AN192" s="0" t="s">
        <v>9906</v>
      </c>
      <c r="AO192" s="5" t="s">
        <v>189</v>
      </c>
      <c r="AR192" s="0" t="str">
        <f aca="false">IF($A192="","",IF(AND(CK192="pass",AO192&lt;&gt;"Y",C192&lt;&gt;"",OR(AU192&lt;&gt;"Y",AV192="Y")),"Y","N"))</f>
        <v>N</v>
      </c>
      <c r="AS192" s="0" t="str">
        <f aca="false">IF($A192="","",_xlfn.TEXTJOIN("; ",TRUE(),IF(CK192&lt;&gt;"pass","gated out",""),IF(AO192="Y","on hold: "&amp;AP192,""),IF(C192="","no contact named on an opened page",""),IF(AND(AU192="Y",AV192&lt;&gt;"Y"),"founder review pending (Founder review tab)","")))</f>
        <v>founder review pending (Founder review tab)</v>
      </c>
      <c r="AU192" s="0" t="s">
        <v>164</v>
      </c>
      <c r="AY192" s="0" t="s">
        <v>9530</v>
      </c>
      <c r="AZ192" s="0" t="s">
        <v>9912</v>
      </c>
      <c r="BA192" s="0" t="s">
        <v>9913</v>
      </c>
      <c r="BC192" s="0" t="str">
        <f aca="false">IF($A192="","",IFERROR(INDEX(Enrichment!$A$2:$GZ$2000,MATCH($A192,INDEX(Enrichment!$A$2:$GZ$2000,0,MATCH("row_id",Enrichment!$A$1:$GZ$1,0)),0),MATCH("work_email",Enrichment!$A$1:$GZ$1,0))&amp;"",""))</f>
        <v/>
      </c>
      <c r="BD192" s="0" t="str">
        <f aca="false">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none</v>
      </c>
      <c r="BE192" s="0" t="s">
        <v>7494</v>
      </c>
      <c r="BF192" s="0" t="s">
        <v>169</v>
      </c>
      <c r="BG192" s="0" t="s">
        <v>1252</v>
      </c>
      <c r="BH192" s="0" t="s">
        <v>9914</v>
      </c>
      <c r="BI192" s="0" t="s">
        <v>263</v>
      </c>
      <c r="BJ192" s="0" t="s">
        <v>9915</v>
      </c>
      <c r="BK192" s="0" t="s">
        <v>5643</v>
      </c>
      <c r="BP192" s="0" t="str">
        <f aca="false">IF($A192="","",IFERROR(INDEX(Enrichment!$A$2:$GZ$2000,MATCH($A192,INDEX(Enrichment!$A$2:$GZ$2000,0,MATCH("row_id",Enrichment!$A$1:$GZ$1,0)),0),MATCH("backup_work_email",Enrichment!$A$1:$GZ$1,0))&amp;"",""))</f>
        <v/>
      </c>
      <c r="BQ192" s="0" t="str">
        <f aca="false">IF($A192="","",IF(BP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none</v>
      </c>
      <c r="BS192" s="0" t="s">
        <v>380</v>
      </c>
      <c r="BW192" s="0" t="s">
        <v>387</v>
      </c>
      <c r="BX192" s="0" t="s">
        <v>388</v>
      </c>
      <c r="BY192" s="0" t="s">
        <v>9916</v>
      </c>
      <c r="BZ192" s="0" t="s">
        <v>6287</v>
      </c>
      <c r="CB192" s="0" t="s">
        <v>9917</v>
      </c>
      <c r="CJ192" s="0" t="s">
        <v>7088</v>
      </c>
      <c r="CK192" s="0" t="s">
        <v>200</v>
      </c>
      <c r="CM192" s="0" t="s">
        <v>201</v>
      </c>
      <c r="CN192" s="0" t="s">
        <v>6292</v>
      </c>
      <c r="CO192" s="0" t="s">
        <v>9910</v>
      </c>
      <c r="CP192" s="0" t="s">
        <v>209</v>
      </c>
      <c r="CQ192" s="0" t="s">
        <v>209</v>
      </c>
      <c r="CR192" s="0" t="s">
        <v>209</v>
      </c>
      <c r="CT192" s="0" t="s">
        <v>209</v>
      </c>
      <c r="CU192" s="0" t="s">
        <v>9076</v>
      </c>
      <c r="CV192" s="0" t="s">
        <v>164</v>
      </c>
      <c r="CW192" s="0" t="s">
        <v>164</v>
      </c>
      <c r="CX192" s="0" t="s">
        <v>209</v>
      </c>
      <c r="CZ192" s="0" t="s">
        <v>6456</v>
      </c>
      <c r="DA192" s="0" t="s">
        <v>164</v>
      </c>
      <c r="DB192" s="0" t="s">
        <v>189</v>
      </c>
      <c r="DE192" s="0" t="s">
        <v>189</v>
      </c>
      <c r="DF192" s="0" t="n">
        <v>0</v>
      </c>
      <c r="DI192" s="0" t="s">
        <v>8592</v>
      </c>
      <c r="DK192" s="0" t="s">
        <v>380</v>
      </c>
      <c r="DN192" s="0" t="n">
        <v>20</v>
      </c>
      <c r="DO192" s="0" t="n">
        <v>6</v>
      </c>
      <c r="DP192" s="0" t="n">
        <v>4</v>
      </c>
      <c r="DQ192" s="0" t="n">
        <v>0</v>
      </c>
      <c r="DR192" s="0" t="n">
        <v>5</v>
      </c>
      <c r="DS192" s="0" t="n">
        <v>7</v>
      </c>
      <c r="DT192" s="0" t="n">
        <v>10</v>
      </c>
      <c r="DU192" s="0" t="n">
        <f aca="false">IF($A192="","",IF(R192="Y",10,0))</f>
        <v>0</v>
      </c>
      <c r="DV192" s="0" t="n">
        <v>-12</v>
      </c>
      <c r="DW192" s="0" t="s">
        <v>9918</v>
      </c>
      <c r="DX192" s="0" t="s">
        <v>6462</v>
      </c>
      <c r="DY192" s="0" t="s">
        <v>9919</v>
      </c>
      <c r="DZ192" s="0" t="s">
        <v>9920</v>
      </c>
      <c r="EA192" s="0" t="s">
        <v>9921</v>
      </c>
      <c r="EV192" s="0" t="str">
        <f aca="false">IF($A192="","",IF(ISNUMBER(MATCH(U192,{"queued","contacted","replied","call_booked","call_done","yes_in_principle","materials_sent"},0)),"Y","N"))</f>
        <v>N</v>
      </c>
      <c r="EW192" s="0" t="str">
        <f aca="false">IF($A192="","",IF(OR(T192="Y",U192="do_not_contact",AQ192&amp;""&lt;&gt;""),"Y","N"))</f>
        <v>N</v>
      </c>
      <c r="EX192" s="0" t="str">
        <f aca="false">IF($A192="","",IF(AN192&amp;""&lt;&gt;"",AN192&amp;"",$A192))</f>
        <v>AB-168</v>
      </c>
      <c r="EY192" s="0" t="str">
        <f aca="false">IF($A192="","",IF(COUNTIFS($EX$2:$EX$1000,EX192,$EV$2:$EV$1000,"Y")+COUNTIFS($EX$2:$EX$1000,EX192,$EW$2:$EW$1000,"Y")&gt;0,"Y","N"))</f>
        <v>N</v>
      </c>
      <c r="EZ192" s="0" t="str">
        <f aca="false">IF($A192="","",IF(AND(U192="new",T192="N",EW192="N",AR192="Y",EY192="N"),"Y","N"))</f>
        <v>N</v>
      </c>
      <c r="FA192" s="0" t="str">
        <f aca="false">IF($A192="","",IF(EZ192&lt;&gt;"Y","N",IF(COUNTIFS($EX$2:$EX$1000,EX192,$EZ$2:$EZ$1000,"Y",$J$2:$J$1000,"&gt;"&amp;J192)+COUNTIFS($EX$2:$EX$1000,EX192,$EZ$2:$EZ$1000,"Y",$J$2:$J$1000,J192,$FG$2:$FG$1000,"&lt;"&amp;FG192)=0,"Y","N")))</f>
        <v>N</v>
      </c>
      <c r="FB192" s="0" t="str">
        <f aca="false">IF($A192="","",IF(AND(EZ192="Y",FA192="Y",Y192&amp;""&lt;&gt;""),IF(Y192&lt;=10,"Y","N"),"N"))</f>
        <v>N</v>
      </c>
      <c r="FC192" s="0" t="str">
        <f aca="false">IF(FB192="Y",Y192,"")</f>
        <v/>
      </c>
      <c r="FD192" s="0" t="str">
        <f aca="false">IF($A192="","",IF(AND(CK192="pass",AU192="Y",AV192&lt;&gt;"Y",U192="new",EW192="N"),"Y","N"))</f>
        <v>Y</v>
      </c>
      <c r="FE192" s="0" t="str">
        <f aca="false">IF(FD192&lt;&gt;"Y","",IF(COUNTIFS($FD$2:$FD$1000,"Y",$J$2:$J$1000,"&gt;"&amp;J192)+COUNTIFS($FD$2:$FD$1000,"Y",$J$2:$J$1000,J192,$FG$2:$FG$1000,"&lt;"&amp;FG192)+1&lt;=30,COUNTIFS($FD$2:$FD$1000,"Y",$J$2:$J$1000,"&gt;"&amp;J192)+COUNTIFS($FD$2:$FD$1000,"Y",$J$2:$J$1000,J192,$FG$2:$FG$1000,"&lt;"&amp;FG192)+1,""))</f>
        <v/>
      </c>
      <c r="FF192" s="0" t="str">
        <f aca="false">IF(AND(_xlfn.ISFORMULA(C192),_xlfn.ISFORMULA(J192)),"Y","N")</f>
        <v>Y</v>
      </c>
      <c r="FG192" s="0" t="n">
        <f aca="false">ROW()-1</f>
        <v>191</v>
      </c>
    </row>
    <row r="193" customFormat="false" ht="15" hidden="false" customHeight="false" outlineLevel="0" collapsed="false">
      <c r="A193" s="0" t="s">
        <v>9922</v>
      </c>
      <c r="B193" s="0" t="s">
        <v>9923</v>
      </c>
      <c r="C193" s="0" t="str">
        <f aca="false">IF($A193="","",IF(AT193="Y",BL193&amp;"",AY193&amp;""))</f>
        <v/>
      </c>
      <c r="D193" s="0" t="str">
        <f aca="false">IF($A193="","",IF(AT193="Y",BM193&amp;"",AZ193&amp;""))</f>
        <v/>
      </c>
      <c r="E193" s="0" t="str">
        <f aca="false">IF($A193="","",IF(AT193="Y",BN193&amp;"",BA193&amp;""))</f>
        <v/>
      </c>
      <c r="F193" s="0" t="str">
        <f aca="false">IF($A193="","",IF(AT193="Y",BO193&amp;"",BB193&amp;""))</f>
        <v/>
      </c>
      <c r="G193" s="0" t="str">
        <f aca="false">IF($A193="","",IF(AT193="Y",BP193&amp;"",BC193&amp;""))</f>
        <v/>
      </c>
      <c r="H193" s="0" t="str">
        <f aca="false">IF($A193="","",IF(AT193="Y",BQ193&amp;"",BD193&amp;""))</f>
        <v>none</v>
      </c>
      <c r="I193" s="0" t="str">
        <f aca="false">IF($A193="","",IF(R193="Y","warm-intro",IF(H193="verified","email",IF(C193&lt;&gt;"","linkedin",CA193&amp;""))))</f>
        <v/>
      </c>
      <c r="J193" s="0" t="n">
        <f aca="false">IF($A193="","",IF(CK193="pass",ROUND(N(DO193)+N(DP193)+N(DQ193)+N(DR193)+N(DS193)+N(DT193)+N(DU193)+N(DV193),0),0))</f>
        <v>20</v>
      </c>
      <c r="K193" s="0" t="str">
        <f aca="false">IF($A193="","",IF(CK193&lt;&gt;"pass",BY193&amp;"",BY193&amp;", "&amp;IF(AT193="Y",BX193&amp;"",BK193&amp;"")&amp;BZ193&amp;IF(R193="Y","; known to the founder (+10)","")&amp;"."))</f>
        <v>Northeast brand, no graded store within ten blocks, online store only, a new store listing 193 days ago, revenue unknown, no contact named; founder review: not-emerging.</v>
      </c>
      <c r="M193" s="0" t="s">
        <v>6144</v>
      </c>
      <c r="N193" s="0" t="s">
        <v>740</v>
      </c>
      <c r="O193" s="0" t="s">
        <v>9924</v>
      </c>
      <c r="P193" s="0" t="s">
        <v>9925</v>
      </c>
      <c r="Q193" s="0" t="s">
        <v>1940</v>
      </c>
      <c r="R193" s="5" t="s">
        <v>189</v>
      </c>
      <c r="S193" s="0" t="s">
        <v>209</v>
      </c>
      <c r="T193" s="5" t="s">
        <v>189</v>
      </c>
      <c r="U193" s="5" t="s">
        <v>3896</v>
      </c>
      <c r="V193" s="0" t="s">
        <v>9926</v>
      </c>
      <c r="W193" s="0" t="s">
        <v>263</v>
      </c>
      <c r="X193" s="0" t="s">
        <v>5578</v>
      </c>
      <c r="Y193" s="0" t="str">
        <f aca="false">IF(FA193&lt;&gt;"Y","",COUNTIFS($FA$2:$FA$1000,"Y",$J$2:$J$1000,"&gt;"&amp;J193)+COUNTIFS($FA$2:$FA$1000,"Y",$J$2:$J$1000,J193,$FG$2:$FG$1000,"&lt;"&amp;FG193)+1)</f>
        <v/>
      </c>
      <c r="Z193" s="0" t="n">
        <v>192</v>
      </c>
      <c r="AA193" s="0" t="s">
        <v>189</v>
      </c>
      <c r="AB193" s="0" t="str">
        <f aca="false">IF($A193="","",IF(AT193="Y",BW193&amp;"",BJ193&amp;""))</f>
        <v>no person named on an opened page: not ready</v>
      </c>
      <c r="AC193" s="0" t="str">
        <f aca="false">IF($A193="","",IF(AT193="Y",BR193&amp;"",BE193&amp;""))</f>
        <v/>
      </c>
      <c r="AD193" s="0" t="str">
        <f aca="false">IF($A193="","",IF(AT193="Y",BS193&amp;"",BF193&amp;""))</f>
        <v>none</v>
      </c>
      <c r="AE193" s="0" t="str">
        <f aca="false">IF($A193="","",IF(AT193="Y",BT193&amp;"",BG193&amp;""))</f>
        <v/>
      </c>
      <c r="AF193" s="0" t="str">
        <f aca="false">IF($A193="","",IF(AT193="Y",BU193&amp;"",BH193&amp;""))</f>
        <v/>
      </c>
      <c r="AG193" s="0" t="str">
        <f aca="false">IF($A193="","",IF(AT193="Y",BV193&amp;"",BI193&amp;""))</f>
        <v/>
      </c>
      <c r="AH193" s="0" t="s">
        <v>9927</v>
      </c>
      <c r="AI193" s="0" t="s">
        <v>5580</v>
      </c>
      <c r="AJ193" s="0" t="s">
        <v>9928</v>
      </c>
      <c r="AK193" s="0" t="s">
        <v>9926</v>
      </c>
      <c r="AL193" s="0" t="s">
        <v>164</v>
      </c>
      <c r="AM193" s="0" t="s">
        <v>9929</v>
      </c>
      <c r="AN193" s="0" t="s">
        <v>9922</v>
      </c>
      <c r="AO193" s="5" t="s">
        <v>189</v>
      </c>
      <c r="AR193" s="0" t="str">
        <f aca="false">IF($A193="","",IF(AND(CK193="pass",AO193&lt;&gt;"Y",C193&lt;&gt;"",OR(AU193&lt;&gt;"Y",AV193="Y")),"Y","N"))</f>
        <v>N</v>
      </c>
      <c r="AS193" s="0" t="str">
        <f aca="false">IF($A193="","",_xlfn.TEXTJOIN("; ",TRUE(),IF(CK193&lt;&gt;"pass","gated out",""),IF(AO193="Y","on hold: "&amp;AP193,""),IF(C193="","no contact named on an opened page",""),IF(AND(AU193="Y",AV193&lt;&gt;"Y"),"founder review pending (Founder review tab)","")))</f>
        <v>no contact named on an opened page; founder review pending (Founder review tab)</v>
      </c>
      <c r="AU193" s="0" t="s">
        <v>164</v>
      </c>
      <c r="BC193" s="0" t="str">
        <f aca="false">IF($A193="","",IFERROR(INDEX(Enrichment!$A$2:$GZ$2000,MATCH($A193,INDEX(Enrichment!$A$2:$GZ$2000,0,MATCH("row_id",Enrichment!$A$1:$GZ$1,0)),0),MATCH("work_email",Enrichment!$A$1:$GZ$1,0))&amp;"",""))</f>
        <v/>
      </c>
      <c r="BD193" s="0" t="str">
        <f aca="false">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none</v>
      </c>
      <c r="BF193" s="0" t="s">
        <v>380</v>
      </c>
      <c r="BJ193" s="0" t="s">
        <v>7105</v>
      </c>
      <c r="BK193" s="0" t="s">
        <v>6048</v>
      </c>
      <c r="BP193" s="0" t="str">
        <f aca="false">IF($A193="","",IFERROR(INDEX(Enrichment!$A$2:$GZ$2000,MATCH($A193,INDEX(Enrichment!$A$2:$GZ$2000,0,MATCH("row_id",Enrichment!$A$1:$GZ$1,0)),0),MATCH("backup_work_email",Enrichment!$A$1:$GZ$1,0))&amp;"",""))</f>
        <v/>
      </c>
      <c r="BQ193" s="0" t="str">
        <f aca="false">IF($A193="","",IF(BP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none</v>
      </c>
      <c r="BS193" s="0" t="s">
        <v>380</v>
      </c>
      <c r="BW193" s="0" t="s">
        <v>387</v>
      </c>
      <c r="BX193" s="0" t="s">
        <v>388</v>
      </c>
      <c r="BY193" s="0" t="s">
        <v>9930</v>
      </c>
      <c r="BZ193" s="0" t="s">
        <v>6822</v>
      </c>
      <c r="CJ193" s="0" t="s">
        <v>7088</v>
      </c>
      <c r="CK193" s="0" t="s">
        <v>200</v>
      </c>
      <c r="CM193" s="0" t="s">
        <v>201</v>
      </c>
      <c r="CN193" s="0" t="s">
        <v>6827</v>
      </c>
      <c r="CO193" s="0" t="s">
        <v>9926</v>
      </c>
      <c r="CP193" s="0" t="s">
        <v>7450</v>
      </c>
      <c r="CQ193" s="0" t="s">
        <v>6084</v>
      </c>
      <c r="CR193" s="0" t="s">
        <v>9931</v>
      </c>
      <c r="CT193" s="0" t="s">
        <v>209</v>
      </c>
      <c r="CU193" s="0" t="s">
        <v>6710</v>
      </c>
      <c r="CV193" s="0" t="s">
        <v>164</v>
      </c>
      <c r="CW193" s="0" t="s">
        <v>164</v>
      </c>
      <c r="CX193" s="0" t="s">
        <v>209</v>
      </c>
      <c r="CZ193" s="0" t="s">
        <v>6456</v>
      </c>
      <c r="DA193" s="0" t="s">
        <v>189</v>
      </c>
      <c r="DB193" s="0" t="s">
        <v>189</v>
      </c>
      <c r="DE193" s="0" t="s">
        <v>189</v>
      </c>
      <c r="DF193" s="0" t="n">
        <v>0</v>
      </c>
      <c r="DI193" s="0" t="s">
        <v>209</v>
      </c>
      <c r="DK193" s="0" t="s">
        <v>5689</v>
      </c>
      <c r="DL193" s="0" t="n">
        <v>193</v>
      </c>
      <c r="DN193" s="0" t="n">
        <v>20</v>
      </c>
      <c r="DO193" s="0" t="n">
        <v>6</v>
      </c>
      <c r="DP193" s="0" t="n">
        <v>8</v>
      </c>
      <c r="DQ193" s="0" t="n">
        <v>4</v>
      </c>
      <c r="DR193" s="0" t="n">
        <v>5</v>
      </c>
      <c r="DS193" s="0" t="n">
        <v>7</v>
      </c>
      <c r="DT193" s="0" t="n">
        <v>0</v>
      </c>
      <c r="DU193" s="0" t="n">
        <f aca="false">IF($A193="","",IF(R193="Y",10,0))</f>
        <v>0</v>
      </c>
      <c r="DV193" s="0" t="n">
        <v>-10</v>
      </c>
      <c r="DW193" s="0" t="s">
        <v>9932</v>
      </c>
      <c r="DX193" s="0" t="s">
        <v>6462</v>
      </c>
      <c r="DY193" s="0" t="s">
        <v>9933</v>
      </c>
      <c r="DZ193" s="0" t="s">
        <v>9934</v>
      </c>
      <c r="EA193" s="0" t="s">
        <v>9935</v>
      </c>
      <c r="EV193" s="0" t="str">
        <f aca="false">IF($A193="","",IF(ISNUMBER(MATCH(U193,{"queued","contacted","replied","call_booked","call_done","yes_in_principle","materials_sent"},0)),"Y","N"))</f>
        <v>N</v>
      </c>
      <c r="EW193" s="0" t="str">
        <f aca="false">IF($A193="","",IF(OR(T193="Y",U193="do_not_contact",AQ193&amp;""&lt;&gt;""),"Y","N"))</f>
        <v>N</v>
      </c>
      <c r="EX193" s="0" t="str">
        <f aca="false">IF($A193="","",IF(AN193&amp;""&lt;&gt;"",AN193&amp;"",$A193))</f>
        <v>AB-151</v>
      </c>
      <c r="EY193" s="0" t="str">
        <f aca="false">IF($A193="","",IF(COUNTIFS($EX$2:$EX$1000,EX193,$EV$2:$EV$1000,"Y")+COUNTIFS($EX$2:$EX$1000,EX193,$EW$2:$EW$1000,"Y")&gt;0,"Y","N"))</f>
        <v>N</v>
      </c>
      <c r="EZ193" s="0" t="str">
        <f aca="false">IF($A193="","",IF(AND(U193="new",T193="N",EW193="N",AR193="Y",EY193="N"),"Y","N"))</f>
        <v>N</v>
      </c>
      <c r="FA193" s="0" t="str">
        <f aca="false">IF($A193="","",IF(EZ193&lt;&gt;"Y","N",IF(COUNTIFS($EX$2:$EX$1000,EX193,$EZ$2:$EZ$1000,"Y",$J$2:$J$1000,"&gt;"&amp;J193)+COUNTIFS($EX$2:$EX$1000,EX193,$EZ$2:$EZ$1000,"Y",$J$2:$J$1000,J193,$FG$2:$FG$1000,"&lt;"&amp;FG193)=0,"Y","N")))</f>
        <v>N</v>
      </c>
      <c r="FB193" s="0" t="str">
        <f aca="false">IF($A193="","",IF(AND(EZ193="Y",FA193="Y",Y193&amp;""&lt;&gt;""),IF(Y193&lt;=10,"Y","N"),"N"))</f>
        <v>N</v>
      </c>
      <c r="FC193" s="0" t="str">
        <f aca="false">IF(FB193="Y",Y193,"")</f>
        <v/>
      </c>
      <c r="FD193" s="0" t="str">
        <f aca="false">IF($A193="","",IF(AND(CK193="pass",AU193="Y",AV193&lt;&gt;"Y",U193="new",EW193="N"),"Y","N"))</f>
        <v>Y</v>
      </c>
      <c r="FE193" s="0" t="str">
        <f aca="false">IF(FD193&lt;&gt;"Y","",IF(COUNTIFS($FD$2:$FD$1000,"Y",$J$2:$J$1000,"&gt;"&amp;J193)+COUNTIFS($FD$2:$FD$1000,"Y",$J$2:$J$1000,J193,$FG$2:$FG$1000,"&lt;"&amp;FG193)+1&lt;=30,COUNTIFS($FD$2:$FD$1000,"Y",$J$2:$J$1000,"&gt;"&amp;J193)+COUNTIFS($FD$2:$FD$1000,"Y",$J$2:$J$1000,J193,$FG$2:$FG$1000,"&lt;"&amp;FG193)+1,""))</f>
        <v/>
      </c>
      <c r="FF193" s="0" t="str">
        <f aca="false">IF(AND(_xlfn.ISFORMULA(C193),_xlfn.ISFORMULA(J193)),"Y","N")</f>
        <v>Y</v>
      </c>
      <c r="FG193" s="0" t="n">
        <f aca="false">ROW()-1</f>
        <v>192</v>
      </c>
    </row>
    <row r="194" customFormat="false" ht="15" hidden="false" customHeight="false" outlineLevel="0" collapsed="false">
      <c r="A194" s="0" t="s">
        <v>9936</v>
      </c>
      <c r="B194" s="0" t="s">
        <v>9937</v>
      </c>
      <c r="C194" s="0" t="str">
        <f aca="false">IF($A194="","",IF(AT194="Y",BL194&amp;"",AY194&amp;""))</f>
        <v/>
      </c>
      <c r="D194" s="0" t="str">
        <f aca="false">IF($A194="","",IF(AT194="Y",BM194&amp;"",AZ194&amp;""))</f>
        <v/>
      </c>
      <c r="E194" s="0" t="str">
        <f aca="false">IF($A194="","",IF(AT194="Y",BN194&amp;"",BA194&amp;""))</f>
        <v/>
      </c>
      <c r="F194" s="0" t="str">
        <f aca="false">IF($A194="","",IF(AT194="Y",BO194&amp;"",BB194&amp;""))</f>
        <v/>
      </c>
      <c r="G194" s="0" t="str">
        <f aca="false">IF($A194="","",IF(AT194="Y",BP194&amp;"",BC194&amp;""))</f>
        <v/>
      </c>
      <c r="H194" s="0" t="str">
        <f aca="false">IF($A194="","",IF(AT194="Y",BQ194&amp;"",BD194&amp;""))</f>
        <v>none</v>
      </c>
      <c r="I194" s="0" t="str">
        <f aca="false">IF($A194="","",IF(R194="Y","warm-intro",IF(H194="verified","email",IF(C194&lt;&gt;"","linkedin",CA194&amp;""))))</f>
        <v/>
      </c>
      <c r="J194" s="0" t="n">
        <f aca="false">IF($A194="","",IF(CK194="pass",ROUND(N(DO194)+N(DP194)+N(DQ194)+N(DR194)+N(DS194)+N(DT194)+N(DU194)+N(DV194),0),0))</f>
        <v>18</v>
      </c>
      <c r="K194" s="0" t="str">
        <f aca="false">IF($A194="","",IF(CK194&lt;&gt;"pass",BY194&amp;"",BY194&amp;", "&amp;IF(AT194="Y",BX194&amp;"",BK194&amp;"")&amp;BZ194&amp;IF(R194="Y","; known to the founder (+10)","")&amp;"."))</f>
        <v>Brand based outside the Northeast, no graded store within ten blocks, online store only, no dated why-now in the last 12 months, revenue unknown, no contact named; founder review: claim-functional, nutrient-claim.</v>
      </c>
      <c r="M194" s="0" t="s">
        <v>6144</v>
      </c>
      <c r="N194" s="0" t="s">
        <v>740</v>
      </c>
      <c r="R194" s="5" t="s">
        <v>189</v>
      </c>
      <c r="S194" s="0" t="s">
        <v>209</v>
      </c>
      <c r="T194" s="5" t="s">
        <v>189</v>
      </c>
      <c r="U194" s="5" t="s">
        <v>3896</v>
      </c>
      <c r="V194" s="0" t="s">
        <v>9938</v>
      </c>
      <c r="W194" s="0" t="s">
        <v>263</v>
      </c>
      <c r="X194" s="0" t="s">
        <v>5578</v>
      </c>
      <c r="Y194" s="0" t="str">
        <f aca="false">IF(FA194&lt;&gt;"Y","",COUNTIFS($FA$2:$FA$1000,"Y",$J$2:$J$1000,"&gt;"&amp;J194)+COUNTIFS($FA$2:$FA$1000,"Y",$J$2:$J$1000,J194,$FG$2:$FG$1000,"&lt;"&amp;FG194)+1)</f>
        <v/>
      </c>
      <c r="Z194" s="0" t="n">
        <v>193</v>
      </c>
      <c r="AA194" s="0" t="s">
        <v>189</v>
      </c>
      <c r="AB194" s="0" t="str">
        <f aca="false">IF($A194="","",IF(AT194="Y",BW194&amp;"",BJ194&amp;""))</f>
        <v>no person named on an opened page: not ready</v>
      </c>
      <c r="AC194" s="0" t="str">
        <f aca="false">IF($A194="","",IF(AT194="Y",BR194&amp;"",BE194&amp;""))</f>
        <v/>
      </c>
      <c r="AD194" s="0" t="str">
        <f aca="false">IF($A194="","",IF(AT194="Y",BS194&amp;"",BF194&amp;""))</f>
        <v>none</v>
      </c>
      <c r="AE194" s="0" t="str">
        <f aca="false">IF($A194="","",IF(AT194="Y",BT194&amp;"",BG194&amp;""))</f>
        <v/>
      </c>
      <c r="AF194" s="0" t="str">
        <f aca="false">IF($A194="","",IF(AT194="Y",BU194&amp;"",BH194&amp;""))</f>
        <v/>
      </c>
      <c r="AG194" s="0" t="str">
        <f aca="false">IF($A194="","",IF(AT194="Y",BV194&amp;"",BI194&amp;""))</f>
        <v/>
      </c>
      <c r="AH194" s="0" t="s">
        <v>9939</v>
      </c>
      <c r="AI194" s="0" t="s">
        <v>6007</v>
      </c>
      <c r="AJ194" s="0" t="s">
        <v>6210</v>
      </c>
      <c r="AK194" s="0" t="s">
        <v>9940</v>
      </c>
      <c r="AL194" s="0" t="s">
        <v>164</v>
      </c>
      <c r="AM194" s="0" t="s">
        <v>9941</v>
      </c>
      <c r="AN194" s="0" t="s">
        <v>9936</v>
      </c>
      <c r="AO194" s="5" t="s">
        <v>189</v>
      </c>
      <c r="AR194" s="0" t="str">
        <f aca="false">IF($A194="","",IF(AND(CK194="pass",AO194&lt;&gt;"Y",C194&lt;&gt;"",OR(AU194&lt;&gt;"Y",AV194="Y")),"Y","N"))</f>
        <v>N</v>
      </c>
      <c r="AS194" s="0" t="str">
        <f aca="false">IF($A194="","",_xlfn.TEXTJOIN("; ",TRUE(),IF(CK194&lt;&gt;"pass","gated out",""),IF(AO194="Y","on hold: "&amp;AP194,""),IF(C194="","no contact named on an opened page",""),IF(AND(AU194="Y",AV194&lt;&gt;"Y"),"founder review pending (Founder review tab)","")))</f>
        <v>no contact named on an opened page; founder review pending (Founder review tab)</v>
      </c>
      <c r="AU194" s="0" t="s">
        <v>164</v>
      </c>
      <c r="BC194" s="0" t="str">
        <f aca="false">IF($A194="","",IFERROR(INDEX(Enrichment!$A$2:$GZ$2000,MATCH($A194,INDEX(Enrichment!$A$2:$GZ$2000,0,MATCH("row_id",Enrichment!$A$1:$GZ$1,0)),0),MATCH("work_email",Enrichment!$A$1:$GZ$1,0))&amp;"",""))</f>
        <v/>
      </c>
      <c r="BD194" s="0" t="str">
        <f aca="false">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none</v>
      </c>
      <c r="BF194" s="0" t="s">
        <v>380</v>
      </c>
      <c r="BJ194" s="0" t="s">
        <v>7105</v>
      </c>
      <c r="BK194" s="0" t="s">
        <v>6048</v>
      </c>
      <c r="BP194" s="0" t="str">
        <f aca="false">IF($A194="","",IFERROR(INDEX(Enrichment!$A$2:$GZ$2000,MATCH($A194,INDEX(Enrichment!$A$2:$GZ$2000,0,MATCH("row_id",Enrichment!$A$1:$GZ$1,0)),0),MATCH("backup_work_email",Enrichment!$A$1:$GZ$1,0))&amp;"",""))</f>
        <v/>
      </c>
      <c r="BQ194" s="0" t="str">
        <f aca="false">IF($A194="","",IF(BP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none</v>
      </c>
      <c r="BS194" s="0" t="s">
        <v>380</v>
      </c>
      <c r="BW194" s="0" t="s">
        <v>387</v>
      </c>
      <c r="BX194" s="0" t="s">
        <v>388</v>
      </c>
      <c r="BY194" s="0" t="s">
        <v>9809</v>
      </c>
      <c r="BZ194" s="0" t="s">
        <v>6050</v>
      </c>
      <c r="CJ194" s="0" t="s">
        <v>7088</v>
      </c>
      <c r="CK194" s="0" t="s">
        <v>200</v>
      </c>
      <c r="CM194" s="0" t="s">
        <v>201</v>
      </c>
      <c r="CN194" s="0" t="s">
        <v>6051</v>
      </c>
      <c r="CO194" s="0" t="s">
        <v>9942</v>
      </c>
      <c r="CP194" s="0" t="s">
        <v>6226</v>
      </c>
      <c r="CQ194" s="0" t="s">
        <v>6198</v>
      </c>
      <c r="CR194" s="0" t="s">
        <v>209</v>
      </c>
      <c r="CT194" s="0" t="s">
        <v>352</v>
      </c>
      <c r="CU194" s="0" t="s">
        <v>9943</v>
      </c>
      <c r="CV194" s="0" t="s">
        <v>164</v>
      </c>
      <c r="CW194" s="0" t="s">
        <v>164</v>
      </c>
      <c r="CX194" s="0" t="s">
        <v>209</v>
      </c>
      <c r="CZ194" s="0" t="s">
        <v>209</v>
      </c>
      <c r="DA194" s="0" t="s">
        <v>189</v>
      </c>
      <c r="DB194" s="0" t="s">
        <v>189</v>
      </c>
      <c r="DE194" s="0" t="s">
        <v>189</v>
      </c>
      <c r="DF194" s="0" t="n">
        <v>0</v>
      </c>
      <c r="DI194" s="0" t="s">
        <v>9944</v>
      </c>
      <c r="DJ194" s="0" t="s">
        <v>9945</v>
      </c>
      <c r="DK194" s="0" t="s">
        <v>380</v>
      </c>
      <c r="DN194" s="0" t="n">
        <v>18</v>
      </c>
      <c r="DO194" s="0" t="n">
        <v>6</v>
      </c>
      <c r="DP194" s="0" t="n">
        <v>3</v>
      </c>
      <c r="DQ194" s="0" t="n">
        <v>0</v>
      </c>
      <c r="DR194" s="0" t="n">
        <v>5</v>
      </c>
      <c r="DS194" s="0" t="n">
        <v>8</v>
      </c>
      <c r="DT194" s="0" t="n">
        <v>0</v>
      </c>
      <c r="DU194" s="0" t="n">
        <f aca="false">IF($A194="","",IF(R194="Y",10,0))</f>
        <v>0</v>
      </c>
      <c r="DV194" s="0" t="n">
        <v>-4</v>
      </c>
      <c r="DW194" s="0" t="s">
        <v>9946</v>
      </c>
      <c r="DX194" s="0" t="s">
        <v>5691</v>
      </c>
      <c r="DY194" s="0" t="s">
        <v>9947</v>
      </c>
      <c r="DZ194" s="0" t="s">
        <v>9948</v>
      </c>
      <c r="EA194" s="0" t="s">
        <v>9949</v>
      </c>
      <c r="EV194" s="0" t="str">
        <f aca="false">IF($A194="","",IF(ISNUMBER(MATCH(U194,{"queued","contacted","replied","call_booked","call_done","yes_in_principle","materials_sent"},0)),"Y","N"))</f>
        <v>N</v>
      </c>
      <c r="EW194" s="0" t="str">
        <f aca="false">IF($A194="","",IF(OR(T194="Y",U194="do_not_contact",AQ194&amp;""&lt;&gt;""),"Y","N"))</f>
        <v>N</v>
      </c>
      <c r="EX194" s="0" t="str">
        <f aca="false">IF($A194="","",IF(AN194&amp;""&lt;&gt;"",AN194&amp;"",$A194))</f>
        <v>AB-110</v>
      </c>
      <c r="EY194" s="0" t="str">
        <f aca="false">IF($A194="","",IF(COUNTIFS($EX$2:$EX$1000,EX194,$EV$2:$EV$1000,"Y")+COUNTIFS($EX$2:$EX$1000,EX194,$EW$2:$EW$1000,"Y")&gt;0,"Y","N"))</f>
        <v>N</v>
      </c>
      <c r="EZ194" s="0" t="str">
        <f aca="false">IF($A194="","",IF(AND(U194="new",T194="N",EW194="N",AR194="Y",EY194="N"),"Y","N"))</f>
        <v>N</v>
      </c>
      <c r="FA194" s="0" t="str">
        <f aca="false">IF($A194="","",IF(EZ194&lt;&gt;"Y","N",IF(COUNTIFS($EX$2:$EX$1000,EX194,$EZ$2:$EZ$1000,"Y",$J$2:$J$1000,"&gt;"&amp;J194)+COUNTIFS($EX$2:$EX$1000,EX194,$EZ$2:$EZ$1000,"Y",$J$2:$J$1000,J194,$FG$2:$FG$1000,"&lt;"&amp;FG194)=0,"Y","N")))</f>
        <v>N</v>
      </c>
      <c r="FB194" s="0" t="str">
        <f aca="false">IF($A194="","",IF(AND(EZ194="Y",FA194="Y",Y194&amp;""&lt;&gt;""),IF(Y194&lt;=10,"Y","N"),"N"))</f>
        <v>N</v>
      </c>
      <c r="FC194" s="0" t="str">
        <f aca="false">IF(FB194="Y",Y194,"")</f>
        <v/>
      </c>
      <c r="FD194" s="0" t="str">
        <f aca="false">IF($A194="","",IF(AND(CK194="pass",AU194="Y",AV194&lt;&gt;"Y",U194="new",EW194="N"),"Y","N"))</f>
        <v>Y</v>
      </c>
      <c r="FE194" s="0" t="str">
        <f aca="false">IF(FD194&lt;&gt;"Y","",IF(COUNTIFS($FD$2:$FD$1000,"Y",$J$2:$J$1000,"&gt;"&amp;J194)+COUNTIFS($FD$2:$FD$1000,"Y",$J$2:$J$1000,J194,$FG$2:$FG$1000,"&lt;"&amp;FG194)+1&lt;=30,COUNTIFS($FD$2:$FD$1000,"Y",$J$2:$J$1000,"&gt;"&amp;J194)+COUNTIFS($FD$2:$FD$1000,"Y",$J$2:$J$1000,J194,$FG$2:$FG$1000,"&lt;"&amp;FG194)+1,""))</f>
        <v/>
      </c>
      <c r="FF194" s="0" t="str">
        <f aca="false">IF(AND(_xlfn.ISFORMULA(C194),_xlfn.ISFORMULA(J194)),"Y","N")</f>
        <v>Y</v>
      </c>
      <c r="FG194" s="0" t="n">
        <f aca="false">ROW()-1</f>
        <v>193</v>
      </c>
    </row>
    <row r="195" customFormat="false" ht="15" hidden="false" customHeight="false" outlineLevel="0" collapsed="false">
      <c r="A195" s="0" t="s">
        <v>9950</v>
      </c>
      <c r="B195" s="0" t="s">
        <v>9951</v>
      </c>
      <c r="C195" s="0" t="str">
        <f aca="false">IF($A195="","",IF(AT195="Y",BL195&amp;"",AY195&amp;""))</f>
        <v>Mark</v>
      </c>
      <c r="D195" s="0" t="str">
        <f aca="false">IF($A195="","",IF(AT195="Y",BM195&amp;"",AZ195&amp;""))</f>
        <v>Thomas Lynn</v>
      </c>
      <c r="E195" s="0" t="str">
        <f aca="false">IF($A195="","",IF(AT195="Y",BN195&amp;"",BA195&amp;""))</f>
        <v>Founder and CEO, AMASS Brands</v>
      </c>
      <c r="F195" s="0" t="str">
        <f aca="false">IF($A195="","",IF(AT195="Y",BO195&amp;"",BB195&amp;""))</f>
        <v/>
      </c>
      <c r="G195" s="0" t="str">
        <f aca="false">IF($A195="","",IF(AT195="Y",BP195&amp;"",BC195&amp;""))</f>
        <v/>
      </c>
      <c r="H195" s="0" t="str">
        <f aca="false">IF($A195="","",IF(AT195="Y",BQ195&amp;"",BD195&amp;""))</f>
        <v>none</v>
      </c>
      <c r="I195" s="0" t="str">
        <f aca="false">IF($A195="","",IF(R195="Y","warm-intro",IF(H195="verified","email",IF(C195&lt;&gt;"","linkedin",CA195&amp;""))))</f>
        <v>linkedin</v>
      </c>
      <c r="J195" s="0" t="n">
        <f aca="false">IF($A195="","",IF(CK195="pass",ROUND(N(DO195)+N(DP195)+N(DQ195)+N(DR195)+N(DS195)+N(DT195)+N(DU195)+N(DV195),0),0))</f>
        <v>17</v>
      </c>
      <c r="K195" s="0" t="str">
        <f aca="false">IF($A195="","",IF(CK195&lt;&gt;"pass",BY195&amp;"",BY195&amp;", "&amp;IF(AT195="Y",BX195&amp;"",BK195&amp;"")&amp;BZ195&amp;IF(R195="Y","; known to the founder (+10)","")&amp;"."))</f>
        <v>Brand based outside the Northeast, no graded store within ten blocks, online store only, news 39 days ago, revenue unknown, contact named; founder review: owner, scale.</v>
      </c>
      <c r="M195" s="0" t="s">
        <v>6144</v>
      </c>
      <c r="N195" s="0" t="s">
        <v>740</v>
      </c>
      <c r="O195" s="0" t="s">
        <v>9952</v>
      </c>
      <c r="P195" s="0" t="s">
        <v>9953</v>
      </c>
      <c r="Q195" s="0" t="s">
        <v>9432</v>
      </c>
      <c r="R195" s="5" t="s">
        <v>189</v>
      </c>
      <c r="S195" s="0" t="s">
        <v>209</v>
      </c>
      <c r="T195" s="5" t="s">
        <v>189</v>
      </c>
      <c r="U195" s="5" t="s">
        <v>3896</v>
      </c>
      <c r="V195" s="0" t="s">
        <v>9954</v>
      </c>
      <c r="W195" s="0" t="s">
        <v>263</v>
      </c>
      <c r="X195" s="0" t="s">
        <v>5578</v>
      </c>
      <c r="Y195" s="0" t="str">
        <f aca="false">IF(FA195&lt;&gt;"Y","",COUNTIFS($FA$2:$FA$1000,"Y",$J$2:$J$1000,"&gt;"&amp;J195)+COUNTIFS($FA$2:$FA$1000,"Y",$J$2:$J$1000,J195,$FG$2:$FG$1000,"&lt;"&amp;FG195)+1)</f>
        <v/>
      </c>
      <c r="Z195" s="0" t="n">
        <v>194</v>
      </c>
      <c r="AA195" s="0" t="s">
        <v>189</v>
      </c>
      <c r="AB195" s="0" t="str">
        <f aca="false">IF($A195="","",IF(AT195="Y",BW195&amp;"",BJ195&amp;""))</f>
        <v>find Mark Thomas Lynn at Good Twin on LinkedIn and paste the profile URL into primary_linkedin_url</v>
      </c>
      <c r="AC195" s="0" t="str">
        <f aca="false">IF($A195="","",IF(AT195="Y",BR195&amp;"",BE195&amp;""))</f>
        <v>founder</v>
      </c>
      <c r="AD195" s="0" t="str">
        <f aca="false">IF($A195="","",IF(AT195="Y",BS195&amp;"",BF195&amp;""))</f>
        <v>verified-page</v>
      </c>
      <c r="AE195" s="0" t="str">
        <f aca="false">IF($A195="","",IF(AT195="Y",BT195&amp;"",BG195&amp;""))</f>
        <v>press, event or podcast page</v>
      </c>
      <c r="AF195" s="0" t="str">
        <f aca="false">IF($A195="","",IF(AT195="Y",BU195&amp;"",BH195&amp;""))</f>
        <v>https://finviz.com/news/392149/amass-brands-groups-good-twin-retail-sales-accelerate-136-nearly-8x-the-growth-rate-of-the-us-non-alcoholic-wine-category</v>
      </c>
      <c r="AG195" s="0" t="str">
        <f aca="false">IF($A195="","",IF(AT195="Y",BV195&amp;"",BI195&amp;""))</f>
        <v>2026-10-23</v>
      </c>
      <c r="AH195" s="0" t="s">
        <v>9955</v>
      </c>
      <c r="AI195" s="0" t="s">
        <v>6699</v>
      </c>
      <c r="AJ195" s="0" t="s">
        <v>9956</v>
      </c>
      <c r="AK195" s="0" t="s">
        <v>9957</v>
      </c>
      <c r="AL195" s="0" t="s">
        <v>164</v>
      </c>
      <c r="AM195" s="0" t="s">
        <v>9958</v>
      </c>
      <c r="AN195" s="0" t="s">
        <v>9950</v>
      </c>
      <c r="AO195" s="5" t="s">
        <v>189</v>
      </c>
      <c r="AR195" s="0" t="str">
        <f aca="false">IF($A195="","",IF(AND(CK195="pass",AO195&lt;&gt;"Y",C195&lt;&gt;"",OR(AU195&lt;&gt;"Y",AV195="Y")),"Y","N"))</f>
        <v>N</v>
      </c>
      <c r="AS195" s="0" t="str">
        <f aca="false">IF($A195="","",_xlfn.TEXTJOIN("; ",TRUE(),IF(CK195&lt;&gt;"pass","gated out",""),IF(AO195="Y","on hold: "&amp;AP195,""),IF(C195="","no contact named on an opened page",""),IF(AND(AU195="Y",AV195&lt;&gt;"Y"),"founder review pending (Founder review tab)","")))</f>
        <v>founder review pending (Founder review tab)</v>
      </c>
      <c r="AU195" s="0" t="s">
        <v>164</v>
      </c>
      <c r="AY195" s="0" t="s">
        <v>1400</v>
      </c>
      <c r="AZ195" s="0" t="s">
        <v>9959</v>
      </c>
      <c r="BA195" s="0" t="s">
        <v>9960</v>
      </c>
      <c r="BC195" s="0" t="str">
        <f aca="false">IF($A195="","",IFERROR(INDEX(Enrichment!$A$2:$GZ$2000,MATCH($A195,INDEX(Enrichment!$A$2:$GZ$2000,0,MATCH("row_id",Enrichment!$A$1:$GZ$1,0)),0),MATCH("work_email",Enrichment!$A$1:$GZ$1,0))&amp;"",""))</f>
        <v/>
      </c>
      <c r="BD195" s="0" t="str">
        <f aca="false">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none</v>
      </c>
      <c r="BE195" s="0" t="s">
        <v>5589</v>
      </c>
      <c r="BF195" s="0" t="s">
        <v>169</v>
      </c>
      <c r="BG195" s="0" t="s">
        <v>1252</v>
      </c>
      <c r="BH195" s="0" t="s">
        <v>9953</v>
      </c>
      <c r="BI195" s="0" t="s">
        <v>263</v>
      </c>
      <c r="BJ195" s="0" t="s">
        <v>9961</v>
      </c>
      <c r="BK195" s="0" t="s">
        <v>5643</v>
      </c>
      <c r="BP195" s="0" t="str">
        <f aca="false">IF($A195="","",IFERROR(INDEX(Enrichment!$A$2:$GZ$2000,MATCH($A195,INDEX(Enrichment!$A$2:$GZ$2000,0,MATCH("row_id",Enrichment!$A$1:$GZ$1,0)),0),MATCH("backup_work_email",Enrichment!$A$1:$GZ$1,0))&amp;"",""))</f>
        <v/>
      </c>
      <c r="BQ195" s="0" t="str">
        <f aca="false">IF($A195="","",IF(BP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none</v>
      </c>
      <c r="BS195" s="0" t="s">
        <v>380</v>
      </c>
      <c r="BW195" s="0" t="s">
        <v>387</v>
      </c>
      <c r="BX195" s="0" t="s">
        <v>388</v>
      </c>
      <c r="BY195" s="0" t="s">
        <v>9962</v>
      </c>
      <c r="BZ195" s="0" t="s">
        <v>8073</v>
      </c>
      <c r="CB195" s="0" t="s">
        <v>9963</v>
      </c>
      <c r="CJ195" s="0" t="s">
        <v>7088</v>
      </c>
      <c r="CK195" s="0" t="s">
        <v>200</v>
      </c>
      <c r="CM195" s="0" t="s">
        <v>201</v>
      </c>
      <c r="CN195" s="0" t="s">
        <v>8075</v>
      </c>
      <c r="CO195" s="0" t="s">
        <v>9957</v>
      </c>
      <c r="CP195" s="0" t="s">
        <v>6550</v>
      </c>
      <c r="CQ195" s="0" t="s">
        <v>6198</v>
      </c>
      <c r="CR195" s="0" t="s">
        <v>209</v>
      </c>
      <c r="CT195" s="0" t="s">
        <v>209</v>
      </c>
      <c r="CU195" s="0" t="s">
        <v>9076</v>
      </c>
      <c r="CV195" s="0" t="s">
        <v>164</v>
      </c>
      <c r="CW195" s="0" t="s">
        <v>164</v>
      </c>
      <c r="CX195" s="0" t="s">
        <v>209</v>
      </c>
      <c r="CZ195" s="0" t="s">
        <v>9964</v>
      </c>
      <c r="DA195" s="0" t="s">
        <v>189</v>
      </c>
      <c r="DB195" s="0" t="s">
        <v>189</v>
      </c>
      <c r="DE195" s="0" t="s">
        <v>189</v>
      </c>
      <c r="DF195" s="0" t="n">
        <v>0</v>
      </c>
      <c r="DI195" s="0" t="s">
        <v>9965</v>
      </c>
      <c r="DJ195" s="0" t="s">
        <v>9966</v>
      </c>
      <c r="DK195" s="0" t="s">
        <v>5617</v>
      </c>
      <c r="DL195" s="0" t="n">
        <v>39</v>
      </c>
      <c r="DN195" s="0" t="n">
        <v>17</v>
      </c>
      <c r="DO195" s="0" t="n">
        <v>6</v>
      </c>
      <c r="DP195" s="0" t="n">
        <v>3</v>
      </c>
      <c r="DQ195" s="0" t="n">
        <v>15</v>
      </c>
      <c r="DR195" s="0" t="n">
        <v>5</v>
      </c>
      <c r="DS195" s="0" t="n">
        <v>7</v>
      </c>
      <c r="DT195" s="0" t="n">
        <v>6</v>
      </c>
      <c r="DU195" s="0" t="n">
        <f aca="false">IF($A195="","",IF(R195="Y",10,0))</f>
        <v>0</v>
      </c>
      <c r="DV195" s="0" t="n">
        <v>-25</v>
      </c>
      <c r="DW195" s="0" t="s">
        <v>209</v>
      </c>
      <c r="DX195" s="0" t="s">
        <v>6462</v>
      </c>
      <c r="DY195" s="0" t="s">
        <v>9967</v>
      </c>
      <c r="DZ195" s="0" t="s">
        <v>9968</v>
      </c>
      <c r="EA195" s="0" t="s">
        <v>9969</v>
      </c>
      <c r="EV195" s="0" t="str">
        <f aca="false">IF($A195="","",IF(ISNUMBER(MATCH(U195,{"queued","contacted","replied","call_booked","call_done","yes_in_principle","materials_sent"},0)),"Y","N"))</f>
        <v>N</v>
      </c>
      <c r="EW195" s="0" t="str">
        <f aca="false">IF($A195="","",IF(OR(T195="Y",U195="do_not_contact",AQ195&amp;""&lt;&gt;""),"Y","N"))</f>
        <v>N</v>
      </c>
      <c r="EX195" s="0" t="str">
        <f aca="false">IF($A195="","",IF(AN195&amp;""&lt;&gt;"",AN195&amp;"",$A195))</f>
        <v>AB-200</v>
      </c>
      <c r="EY195" s="0" t="str">
        <f aca="false">IF($A195="","",IF(COUNTIFS($EX$2:$EX$1000,EX195,$EV$2:$EV$1000,"Y")+COUNTIFS($EX$2:$EX$1000,EX195,$EW$2:$EW$1000,"Y")&gt;0,"Y","N"))</f>
        <v>N</v>
      </c>
      <c r="EZ195" s="0" t="str">
        <f aca="false">IF($A195="","",IF(AND(U195="new",T195="N",EW195="N",AR195="Y",EY195="N"),"Y","N"))</f>
        <v>N</v>
      </c>
      <c r="FA195" s="0" t="str">
        <f aca="false">IF($A195="","",IF(EZ195&lt;&gt;"Y","N",IF(COUNTIFS($EX$2:$EX$1000,EX195,$EZ$2:$EZ$1000,"Y",$J$2:$J$1000,"&gt;"&amp;J195)+COUNTIFS($EX$2:$EX$1000,EX195,$EZ$2:$EZ$1000,"Y",$J$2:$J$1000,J195,$FG$2:$FG$1000,"&lt;"&amp;FG195)=0,"Y","N")))</f>
        <v>N</v>
      </c>
      <c r="FB195" s="0" t="str">
        <f aca="false">IF($A195="","",IF(AND(EZ195="Y",FA195="Y",Y195&amp;""&lt;&gt;""),IF(Y195&lt;=10,"Y","N"),"N"))</f>
        <v>N</v>
      </c>
      <c r="FC195" s="0" t="str">
        <f aca="false">IF(FB195="Y",Y195,"")</f>
        <v/>
      </c>
      <c r="FD195" s="0" t="str">
        <f aca="false">IF($A195="","",IF(AND(CK195="pass",AU195="Y",AV195&lt;&gt;"Y",U195="new",EW195="N"),"Y","N"))</f>
        <v>Y</v>
      </c>
      <c r="FE195" s="0" t="str">
        <f aca="false">IF(FD195&lt;&gt;"Y","",IF(COUNTIFS($FD$2:$FD$1000,"Y",$J$2:$J$1000,"&gt;"&amp;J195)+COUNTIFS($FD$2:$FD$1000,"Y",$J$2:$J$1000,J195,$FG$2:$FG$1000,"&lt;"&amp;FG195)+1&lt;=30,COUNTIFS($FD$2:$FD$1000,"Y",$J$2:$J$1000,"&gt;"&amp;J195)+COUNTIFS($FD$2:$FD$1000,"Y",$J$2:$J$1000,J195,$FG$2:$FG$1000,"&lt;"&amp;FG195)+1,""))</f>
        <v/>
      </c>
      <c r="FF195" s="0" t="str">
        <f aca="false">IF(AND(_xlfn.ISFORMULA(C195),_xlfn.ISFORMULA(J195)),"Y","N")</f>
        <v>Y</v>
      </c>
      <c r="FG195" s="0" t="n">
        <f aca="false">ROW()-1</f>
        <v>194</v>
      </c>
    </row>
    <row r="196" customFormat="false" ht="15" hidden="false" customHeight="false" outlineLevel="0" collapsed="false">
      <c r="A196" s="0" t="s">
        <v>9970</v>
      </c>
      <c r="B196" s="0" t="s">
        <v>9971</v>
      </c>
      <c r="C196" s="0" t="str">
        <f aca="false">IF($A196="","",IF(AT196="Y",BL196&amp;"",AY196&amp;""))</f>
        <v/>
      </c>
      <c r="D196" s="0" t="str">
        <f aca="false">IF($A196="","",IF(AT196="Y",BM196&amp;"",AZ196&amp;""))</f>
        <v/>
      </c>
      <c r="E196" s="0" t="str">
        <f aca="false">IF($A196="","",IF(AT196="Y",BN196&amp;"",BA196&amp;""))</f>
        <v/>
      </c>
      <c r="F196" s="0" t="str">
        <f aca="false">IF($A196="","",IF(AT196="Y",BO196&amp;"",BB196&amp;""))</f>
        <v/>
      </c>
      <c r="G196" s="0" t="str">
        <f aca="false">IF($A196="","",IF(AT196="Y",BP196&amp;"",BC196&amp;""))</f>
        <v/>
      </c>
      <c r="H196" s="0" t="str">
        <f aca="false">IF($A196="","",IF(AT196="Y",BQ196&amp;"",BD196&amp;""))</f>
        <v>none</v>
      </c>
      <c r="I196" s="0" t="str">
        <f aca="false">IF($A196="","",IF(R196="Y","warm-intro",IF(H196="verified","email",IF(C196&lt;&gt;"","linkedin",CA196&amp;""))))</f>
        <v/>
      </c>
      <c r="J196" s="0" t="n">
        <f aca="false">IF($A196="","",IF(CK196="pass",ROUND(N(DO196)+N(DP196)+N(DQ196)+N(DR196)+N(DS196)+N(DT196)+N(DU196)+N(DV196),0),0))</f>
        <v>17</v>
      </c>
      <c r="K196" s="0" t="str">
        <f aca="false">IF($A196="","",IF(CK196&lt;&gt;"pass",BY196&amp;"",BY196&amp;", "&amp;IF(AT196="Y",BX196&amp;"",BK196&amp;"")&amp;BZ196&amp;IF(R196="Y","; known to the founder (+10)","")&amp;"."))</f>
        <v>HQ unknown, store page shows Whole Foods Market Union Square inside the cluster, no dated why-now in the last 12 months, revenue unknown, no contact named; founder review: owner.</v>
      </c>
      <c r="M196" s="0" t="s">
        <v>5625</v>
      </c>
      <c r="N196" s="0" t="s">
        <v>5573</v>
      </c>
      <c r="R196" s="5" t="s">
        <v>189</v>
      </c>
      <c r="S196" s="0" t="s">
        <v>209</v>
      </c>
      <c r="T196" s="5" t="s">
        <v>189</v>
      </c>
      <c r="U196" s="5" t="s">
        <v>3896</v>
      </c>
      <c r="V196" s="0" t="s">
        <v>9972</v>
      </c>
      <c r="W196" s="0" t="s">
        <v>263</v>
      </c>
      <c r="X196" s="0" t="s">
        <v>5578</v>
      </c>
      <c r="Y196" s="0" t="str">
        <f aca="false">IF(FA196&lt;&gt;"Y","",COUNTIFS($FA$2:$FA$1000,"Y",$J$2:$J$1000,"&gt;"&amp;J196)+COUNTIFS($FA$2:$FA$1000,"Y",$J$2:$J$1000,J196,$FG$2:$FG$1000,"&lt;"&amp;FG196)+1)</f>
        <v/>
      </c>
      <c r="Z196" s="0" t="n">
        <v>195</v>
      </c>
      <c r="AA196" s="0" t="s">
        <v>189</v>
      </c>
      <c r="AB196" s="0" t="str">
        <f aca="false">IF($A196="","",IF(AT196="Y",BW196&amp;"",BJ196&amp;""))</f>
        <v>no person named on an opened page: not ready; use the Whole Foods Market Union Square line only if retailer_checked_date is this week's Friday check</v>
      </c>
      <c r="AC196" s="0" t="str">
        <f aca="false">IF($A196="","",IF(AT196="Y",BR196&amp;"",BE196&amp;""))</f>
        <v/>
      </c>
      <c r="AD196" s="0" t="str">
        <f aca="false">IF($A196="","",IF(AT196="Y",BS196&amp;"",BF196&amp;""))</f>
        <v>none</v>
      </c>
      <c r="AE196" s="0" t="str">
        <f aca="false">IF($A196="","",IF(AT196="Y",BT196&amp;"",BG196&amp;""))</f>
        <v/>
      </c>
      <c r="AF196" s="0" t="str">
        <f aca="false">IF($A196="","",IF(AT196="Y",BU196&amp;"",BH196&amp;""))</f>
        <v/>
      </c>
      <c r="AG196" s="0" t="str">
        <f aca="false">IF($A196="","",IF(AT196="Y",BV196&amp;"",BI196&amp;""))</f>
        <v/>
      </c>
      <c r="AH196" s="0" t="s">
        <v>9973</v>
      </c>
      <c r="AI196" s="0" t="s">
        <v>6007</v>
      </c>
      <c r="AJ196" s="0" t="s">
        <v>209</v>
      </c>
      <c r="AK196" s="0" t="s">
        <v>9974</v>
      </c>
      <c r="AL196" s="0" t="s">
        <v>164</v>
      </c>
      <c r="AM196" s="0" t="s">
        <v>9975</v>
      </c>
      <c r="AN196" s="0" t="s">
        <v>9970</v>
      </c>
      <c r="AO196" s="5" t="s">
        <v>189</v>
      </c>
      <c r="AR196" s="0" t="str">
        <f aca="false">IF($A196="","",IF(AND(CK196="pass",AO196&lt;&gt;"Y",C196&lt;&gt;"",OR(AU196&lt;&gt;"Y",AV196="Y")),"Y","N"))</f>
        <v>N</v>
      </c>
      <c r="AS196" s="0" t="str">
        <f aca="false">IF($A196="","",_xlfn.TEXTJOIN("; ",TRUE(),IF(CK196&lt;&gt;"pass","gated out",""),IF(AO196="Y","on hold: "&amp;AP196,""),IF(C196="","no contact named on an opened page",""),IF(AND(AU196="Y",AV196&lt;&gt;"Y"),"founder review pending (Founder review tab)","")))</f>
        <v>no contact named on an opened page; founder review pending (Founder review tab)</v>
      </c>
      <c r="AU196" s="0" t="s">
        <v>164</v>
      </c>
      <c r="AX196" s="0" t="s">
        <v>9976</v>
      </c>
      <c r="BC196" s="0" t="str">
        <f aca="false">IF($A196="","",IFERROR(INDEX(Enrichment!$A$2:$GZ$2000,MATCH($A196,INDEX(Enrichment!$A$2:$GZ$2000,0,MATCH("row_id",Enrichment!$A$1:$GZ$1,0)),0),MATCH("work_email",Enrichment!$A$1:$GZ$1,0))&amp;"",""))</f>
        <v/>
      </c>
      <c r="BD196" s="0" t="str">
        <f aca="false">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none</v>
      </c>
      <c r="BF196" s="0" t="s">
        <v>380</v>
      </c>
      <c r="BJ196" s="0" t="s">
        <v>8295</v>
      </c>
      <c r="BK196" s="0" t="s">
        <v>6048</v>
      </c>
      <c r="BP196" s="0" t="str">
        <f aca="false">IF($A196="","",IFERROR(INDEX(Enrichment!$A$2:$GZ$2000,MATCH($A196,INDEX(Enrichment!$A$2:$GZ$2000,0,MATCH("row_id",Enrichment!$A$1:$GZ$1,0)),0),MATCH("backup_work_email",Enrichment!$A$1:$GZ$1,0))&amp;"",""))</f>
        <v/>
      </c>
      <c r="BQ196" s="0" t="str">
        <f aca="false">IF($A196="","",IF(BP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none</v>
      </c>
      <c r="BS196" s="0" t="s">
        <v>380</v>
      </c>
      <c r="BW196" s="0" t="s">
        <v>8255</v>
      </c>
      <c r="BX196" s="0" t="s">
        <v>388</v>
      </c>
      <c r="BY196" s="0" t="s">
        <v>9977</v>
      </c>
      <c r="BZ196" s="0" t="s">
        <v>8897</v>
      </c>
      <c r="CJ196" s="0" t="s">
        <v>7088</v>
      </c>
      <c r="CK196" s="0" t="s">
        <v>200</v>
      </c>
      <c r="CM196" s="0" t="s">
        <v>201</v>
      </c>
      <c r="CN196" s="0" t="s">
        <v>8900</v>
      </c>
      <c r="CO196" s="0" t="s">
        <v>9974</v>
      </c>
      <c r="CP196" s="0" t="s">
        <v>209</v>
      </c>
      <c r="CQ196" s="0" t="s">
        <v>209</v>
      </c>
      <c r="CR196" s="0" t="s">
        <v>9978</v>
      </c>
      <c r="CS196" s="0" t="s">
        <v>9972</v>
      </c>
      <c r="CT196" s="0" t="s">
        <v>352</v>
      </c>
      <c r="CU196" s="0" t="s">
        <v>9979</v>
      </c>
      <c r="CV196" s="0" t="s">
        <v>164</v>
      </c>
      <c r="CW196" s="0" t="s">
        <v>164</v>
      </c>
      <c r="CX196" s="0" t="s">
        <v>209</v>
      </c>
      <c r="CZ196" s="0" t="s">
        <v>209</v>
      </c>
      <c r="DA196" s="0" t="s">
        <v>189</v>
      </c>
      <c r="DB196" s="0" t="s">
        <v>189</v>
      </c>
      <c r="DD196" s="0" t="n">
        <v>0</v>
      </c>
      <c r="DE196" s="0" t="s">
        <v>164</v>
      </c>
      <c r="DF196" s="0" t="n">
        <v>1</v>
      </c>
      <c r="DG196" s="0" t="s">
        <v>5650</v>
      </c>
      <c r="DI196" s="0" t="s">
        <v>5687</v>
      </c>
      <c r="DJ196" s="0" t="s">
        <v>9976</v>
      </c>
      <c r="DK196" s="0" t="s">
        <v>380</v>
      </c>
      <c r="DN196" s="0" t="n">
        <v>17</v>
      </c>
      <c r="DO196" s="0" t="n">
        <v>25</v>
      </c>
      <c r="DP196" s="0" t="n">
        <v>4</v>
      </c>
      <c r="DQ196" s="0" t="n">
        <v>0</v>
      </c>
      <c r="DR196" s="0" t="n">
        <v>5</v>
      </c>
      <c r="DS196" s="0" t="n">
        <v>8</v>
      </c>
      <c r="DT196" s="0" t="n">
        <v>0</v>
      </c>
      <c r="DU196" s="0" t="n">
        <f aca="false">IF($A196="","",IF(R196="Y",10,0))</f>
        <v>0</v>
      </c>
      <c r="DV196" s="0" t="n">
        <v>-25</v>
      </c>
      <c r="DW196" s="0" t="s">
        <v>9980</v>
      </c>
      <c r="DX196" s="0" t="s">
        <v>5691</v>
      </c>
      <c r="DY196" s="0" t="s">
        <v>9981</v>
      </c>
      <c r="DZ196" s="0" t="s">
        <v>9982</v>
      </c>
      <c r="EV196" s="0" t="str">
        <f aca="false">IF($A196="","",IF(ISNUMBER(MATCH(U196,{"queued","contacted","replied","call_booked","call_done","yes_in_principle","materials_sent"},0)),"Y","N"))</f>
        <v>N</v>
      </c>
      <c r="EW196" s="0" t="str">
        <f aca="false">IF($A196="","",IF(OR(T196="Y",U196="do_not_contact",AQ196&amp;""&lt;&gt;""),"Y","N"))</f>
        <v>N</v>
      </c>
      <c r="EX196" s="0" t="str">
        <f aca="false">IF($A196="","",IF(AN196&amp;""&lt;&gt;"",AN196&amp;"",$A196))</f>
        <v>AB-125</v>
      </c>
      <c r="EY196" s="0" t="str">
        <f aca="false">IF($A196="","",IF(COUNTIFS($EX$2:$EX$1000,EX196,$EV$2:$EV$1000,"Y")+COUNTIFS($EX$2:$EX$1000,EX196,$EW$2:$EW$1000,"Y")&gt;0,"Y","N"))</f>
        <v>N</v>
      </c>
      <c r="EZ196" s="0" t="str">
        <f aca="false">IF($A196="","",IF(AND(U196="new",T196="N",EW196="N",AR196="Y",EY196="N"),"Y","N"))</f>
        <v>N</v>
      </c>
      <c r="FA196" s="0" t="str">
        <f aca="false">IF($A196="","",IF(EZ196&lt;&gt;"Y","N",IF(COUNTIFS($EX$2:$EX$1000,EX196,$EZ$2:$EZ$1000,"Y",$J$2:$J$1000,"&gt;"&amp;J196)+COUNTIFS($EX$2:$EX$1000,EX196,$EZ$2:$EZ$1000,"Y",$J$2:$J$1000,J196,$FG$2:$FG$1000,"&lt;"&amp;FG196)=0,"Y","N")))</f>
        <v>N</v>
      </c>
      <c r="FB196" s="0" t="str">
        <f aca="false">IF($A196="","",IF(AND(EZ196="Y",FA196="Y",Y196&amp;""&lt;&gt;""),IF(Y196&lt;=10,"Y","N"),"N"))</f>
        <v>N</v>
      </c>
      <c r="FC196" s="0" t="str">
        <f aca="false">IF(FB196="Y",Y196,"")</f>
        <v/>
      </c>
      <c r="FD196" s="0" t="str">
        <f aca="false">IF($A196="","",IF(AND(CK196="pass",AU196="Y",AV196&lt;&gt;"Y",U196="new",EW196="N"),"Y","N"))</f>
        <v>Y</v>
      </c>
      <c r="FE196" s="0" t="str">
        <f aca="false">IF(FD196&lt;&gt;"Y","",IF(COUNTIFS($FD$2:$FD$1000,"Y",$J$2:$J$1000,"&gt;"&amp;J196)+COUNTIFS($FD$2:$FD$1000,"Y",$J$2:$J$1000,J196,$FG$2:$FG$1000,"&lt;"&amp;FG196)+1&lt;=30,COUNTIFS($FD$2:$FD$1000,"Y",$J$2:$J$1000,"&gt;"&amp;J196)+COUNTIFS($FD$2:$FD$1000,"Y",$J$2:$J$1000,J196,$FG$2:$FG$1000,"&lt;"&amp;FG196)+1,""))</f>
        <v/>
      </c>
      <c r="FF196" s="0" t="str">
        <f aca="false">IF(AND(_xlfn.ISFORMULA(C196),_xlfn.ISFORMULA(J196)),"Y","N")</f>
        <v>Y</v>
      </c>
      <c r="FG196" s="0" t="n">
        <f aca="false">ROW()-1</f>
        <v>195</v>
      </c>
    </row>
    <row r="197" customFormat="false" ht="15" hidden="false" customHeight="false" outlineLevel="0" collapsed="false">
      <c r="A197" s="0" t="s">
        <v>9983</v>
      </c>
      <c r="B197" s="0" t="s">
        <v>9984</v>
      </c>
      <c r="C197" s="0" t="str">
        <f aca="false">IF($A197="","",IF(AT197="Y",BL197&amp;"",AY197&amp;""))</f>
        <v/>
      </c>
      <c r="D197" s="0" t="str">
        <f aca="false">IF($A197="","",IF(AT197="Y",BM197&amp;"",AZ197&amp;""))</f>
        <v/>
      </c>
      <c r="E197" s="0" t="str">
        <f aca="false">IF($A197="","",IF(AT197="Y",BN197&amp;"",BA197&amp;""))</f>
        <v/>
      </c>
      <c r="F197" s="0" t="str">
        <f aca="false">IF($A197="","",IF(AT197="Y",BO197&amp;"",BB197&amp;""))</f>
        <v/>
      </c>
      <c r="G197" s="0" t="str">
        <f aca="false">IF($A197="","",IF(AT197="Y",BP197&amp;"",BC197&amp;""))</f>
        <v/>
      </c>
      <c r="H197" s="0" t="str">
        <f aca="false">IF($A197="","",IF(AT197="Y",BQ197&amp;"",BD197&amp;""))</f>
        <v>none</v>
      </c>
      <c r="I197" s="0" t="str">
        <f aca="false">IF($A197="","",IF(R197="Y","warm-intro",IF(H197="verified","email",IF(C197&lt;&gt;"","linkedin",CA197&amp;""))))</f>
        <v/>
      </c>
      <c r="J197" s="0" t="n">
        <f aca="false">IF($A197="","",IF(CK197="pass",ROUND(N(DO197)+N(DP197)+N(DQ197)+N(DR197)+N(DS197)+N(DT197)+N(DU197)+N(DV197),0),0))</f>
        <v>16</v>
      </c>
      <c r="K197" s="0" t="str">
        <f aca="false">IF($A197="","",IF(CK197&lt;&gt;"pass",BY197&amp;"",BY197&amp;", "&amp;IF(AT197="Y",BX197&amp;"",BK197&amp;"")&amp;BZ197&amp;IF(R197="Y","; known to the founder (+10)","")&amp;"."))</f>
        <v>Northeast brand, no graded store within ten blocks, online store only, no dated why-now in the last 12 months, revenue unknown, no contact named; founder review: not-emerging.</v>
      </c>
      <c r="M197" s="0" t="s">
        <v>6144</v>
      </c>
      <c r="N197" s="0" t="s">
        <v>740</v>
      </c>
      <c r="R197" s="5" t="s">
        <v>189</v>
      </c>
      <c r="S197" s="0" t="s">
        <v>209</v>
      </c>
      <c r="T197" s="5" t="s">
        <v>189</v>
      </c>
      <c r="U197" s="5" t="s">
        <v>3896</v>
      </c>
      <c r="V197" s="0" t="s">
        <v>9985</v>
      </c>
      <c r="W197" s="0" t="s">
        <v>263</v>
      </c>
      <c r="X197" s="0" t="s">
        <v>5578</v>
      </c>
      <c r="Y197" s="0" t="str">
        <f aca="false">IF(FA197&lt;&gt;"Y","",COUNTIFS($FA$2:$FA$1000,"Y",$J$2:$J$1000,"&gt;"&amp;J197)+COUNTIFS($FA$2:$FA$1000,"Y",$J$2:$J$1000,J197,$FG$2:$FG$1000,"&lt;"&amp;FG197)+1)</f>
        <v/>
      </c>
      <c r="Z197" s="0" t="n">
        <v>196</v>
      </c>
      <c r="AA197" s="0" t="s">
        <v>189</v>
      </c>
      <c r="AB197" s="0" t="str">
        <f aca="false">IF($A197="","",IF(AT197="Y",BW197&amp;"",BJ197&amp;""))</f>
        <v>no person named on an opened page: not ready</v>
      </c>
      <c r="AC197" s="0" t="str">
        <f aca="false">IF($A197="","",IF(AT197="Y",BR197&amp;"",BE197&amp;""))</f>
        <v/>
      </c>
      <c r="AD197" s="0" t="str">
        <f aca="false">IF($A197="","",IF(AT197="Y",BS197&amp;"",BF197&amp;""))</f>
        <v>none</v>
      </c>
      <c r="AE197" s="0" t="str">
        <f aca="false">IF($A197="","",IF(AT197="Y",BT197&amp;"",BG197&amp;""))</f>
        <v/>
      </c>
      <c r="AF197" s="0" t="str">
        <f aca="false">IF($A197="","",IF(AT197="Y",BU197&amp;"",BH197&amp;""))</f>
        <v/>
      </c>
      <c r="AG197" s="0" t="str">
        <f aca="false">IF($A197="","",IF(AT197="Y",BV197&amp;"",BI197&amp;""))</f>
        <v/>
      </c>
      <c r="AH197" s="0" t="s">
        <v>9986</v>
      </c>
      <c r="AI197" s="0" t="s">
        <v>5580</v>
      </c>
      <c r="AJ197" s="0" t="s">
        <v>9987</v>
      </c>
      <c r="AK197" s="0" t="s">
        <v>9985</v>
      </c>
      <c r="AL197" s="0" t="s">
        <v>164</v>
      </c>
      <c r="AM197" s="0" t="s">
        <v>9988</v>
      </c>
      <c r="AN197" s="0" t="s">
        <v>9983</v>
      </c>
      <c r="AO197" s="5" t="s">
        <v>189</v>
      </c>
      <c r="AR197" s="0" t="str">
        <f aca="false">IF($A197="","",IF(AND(CK197="pass",AO197&lt;&gt;"Y",C197&lt;&gt;"",OR(AU197&lt;&gt;"Y",AV197="Y")),"Y","N"))</f>
        <v>N</v>
      </c>
      <c r="AS197" s="0" t="str">
        <f aca="false">IF($A197="","",_xlfn.TEXTJOIN("; ",TRUE(),IF(CK197&lt;&gt;"pass","gated out",""),IF(AO197="Y","on hold: "&amp;AP197,""),IF(C197="","no contact named on an opened page",""),IF(AND(AU197="Y",AV197&lt;&gt;"Y"),"founder review pending (Founder review tab)","")))</f>
        <v>no contact named on an opened page; founder review pending (Founder review tab)</v>
      </c>
      <c r="AU197" s="0" t="s">
        <v>164</v>
      </c>
      <c r="BC197" s="0" t="str">
        <f aca="false">IF($A197="","",IFERROR(INDEX(Enrichment!$A$2:$GZ$2000,MATCH($A197,INDEX(Enrichment!$A$2:$GZ$2000,0,MATCH("row_id",Enrichment!$A$1:$GZ$1,0)),0),MATCH("work_email",Enrichment!$A$1:$GZ$1,0))&amp;"",""))</f>
        <v/>
      </c>
      <c r="BD197" s="0" t="str">
        <f aca="false">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none</v>
      </c>
      <c r="BF197" s="0" t="s">
        <v>380</v>
      </c>
      <c r="BJ197" s="0" t="s">
        <v>7105</v>
      </c>
      <c r="BK197" s="0" t="s">
        <v>6048</v>
      </c>
      <c r="BP197" s="0" t="str">
        <f aca="false">IF($A197="","",IFERROR(INDEX(Enrichment!$A$2:$GZ$2000,MATCH($A197,INDEX(Enrichment!$A$2:$GZ$2000,0,MATCH("row_id",Enrichment!$A$1:$GZ$1,0)),0),MATCH("backup_work_email",Enrichment!$A$1:$GZ$1,0))&amp;"",""))</f>
        <v/>
      </c>
      <c r="BQ197" s="0" t="str">
        <f aca="false">IF($A197="","",IF(BP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none</v>
      </c>
      <c r="BS197" s="0" t="s">
        <v>380</v>
      </c>
      <c r="BW197" s="0" t="s">
        <v>387</v>
      </c>
      <c r="BX197" s="0" t="s">
        <v>388</v>
      </c>
      <c r="BY197" s="0" t="s">
        <v>9549</v>
      </c>
      <c r="BZ197" s="0" t="s">
        <v>6822</v>
      </c>
      <c r="CJ197" s="0" t="s">
        <v>7088</v>
      </c>
      <c r="CK197" s="0" t="s">
        <v>200</v>
      </c>
      <c r="CM197" s="0" t="s">
        <v>201</v>
      </c>
      <c r="CN197" s="0" t="s">
        <v>6827</v>
      </c>
      <c r="CO197" s="0" t="s">
        <v>9985</v>
      </c>
      <c r="CP197" s="0" t="s">
        <v>7450</v>
      </c>
      <c r="CQ197" s="0" t="s">
        <v>6084</v>
      </c>
      <c r="CR197" s="0" t="s">
        <v>9989</v>
      </c>
      <c r="CS197" s="0" t="s">
        <v>9985</v>
      </c>
      <c r="CT197" s="0" t="s">
        <v>209</v>
      </c>
      <c r="CU197" s="0" t="s">
        <v>6710</v>
      </c>
      <c r="CV197" s="0" t="s">
        <v>164</v>
      </c>
      <c r="CW197" s="0" t="s">
        <v>164</v>
      </c>
      <c r="CX197" s="0" t="s">
        <v>209</v>
      </c>
      <c r="CZ197" s="0" t="s">
        <v>6456</v>
      </c>
      <c r="DA197" s="0" t="s">
        <v>189</v>
      </c>
      <c r="DB197" s="0" t="s">
        <v>189</v>
      </c>
      <c r="DE197" s="0" t="s">
        <v>189</v>
      </c>
      <c r="DF197" s="0" t="n">
        <v>0</v>
      </c>
      <c r="DI197" s="0" t="s">
        <v>209</v>
      </c>
      <c r="DK197" s="0" t="s">
        <v>380</v>
      </c>
      <c r="DN197" s="0" t="n">
        <v>16</v>
      </c>
      <c r="DO197" s="0" t="n">
        <v>6</v>
      </c>
      <c r="DP197" s="0" t="n">
        <v>8</v>
      </c>
      <c r="DQ197" s="0" t="n">
        <v>0</v>
      </c>
      <c r="DR197" s="0" t="n">
        <v>5</v>
      </c>
      <c r="DS197" s="0" t="n">
        <v>7</v>
      </c>
      <c r="DT197" s="0" t="n">
        <v>0</v>
      </c>
      <c r="DU197" s="0" t="n">
        <f aca="false">IF($A197="","",IF(R197="Y",10,0))</f>
        <v>0</v>
      </c>
      <c r="DV197" s="0" t="n">
        <v>-10</v>
      </c>
      <c r="DW197" s="0" t="s">
        <v>209</v>
      </c>
      <c r="DX197" s="0" t="s">
        <v>6462</v>
      </c>
      <c r="DY197" s="0" t="s">
        <v>9990</v>
      </c>
      <c r="DZ197" s="0" t="s">
        <v>9991</v>
      </c>
      <c r="EV197" s="0" t="str">
        <f aca="false">IF($A197="","",IF(ISNUMBER(MATCH(U197,{"queued","contacted","replied","call_booked","call_done","yes_in_principle","materials_sent"},0)),"Y","N"))</f>
        <v>N</v>
      </c>
      <c r="EW197" s="0" t="str">
        <f aca="false">IF($A197="","",IF(OR(T197="Y",U197="do_not_contact",AQ197&amp;""&lt;&gt;""),"Y","N"))</f>
        <v>N</v>
      </c>
      <c r="EX197" s="0" t="str">
        <f aca="false">IF($A197="","",IF(AN197&amp;""&lt;&gt;"",AN197&amp;"",$A197))</f>
        <v>AB-152</v>
      </c>
      <c r="EY197" s="0" t="str">
        <f aca="false">IF($A197="","",IF(COUNTIFS($EX$2:$EX$1000,EX197,$EV$2:$EV$1000,"Y")+COUNTIFS($EX$2:$EX$1000,EX197,$EW$2:$EW$1000,"Y")&gt;0,"Y","N"))</f>
        <v>N</v>
      </c>
      <c r="EZ197" s="0" t="str">
        <f aca="false">IF($A197="","",IF(AND(U197="new",T197="N",EW197="N",AR197="Y",EY197="N"),"Y","N"))</f>
        <v>N</v>
      </c>
      <c r="FA197" s="0" t="str">
        <f aca="false">IF($A197="","",IF(EZ197&lt;&gt;"Y","N",IF(COUNTIFS($EX$2:$EX$1000,EX197,$EZ$2:$EZ$1000,"Y",$J$2:$J$1000,"&gt;"&amp;J197)+COUNTIFS($EX$2:$EX$1000,EX197,$EZ$2:$EZ$1000,"Y",$J$2:$J$1000,J197,$FG$2:$FG$1000,"&lt;"&amp;FG197)=0,"Y","N")))</f>
        <v>N</v>
      </c>
      <c r="FB197" s="0" t="str">
        <f aca="false">IF($A197="","",IF(AND(EZ197="Y",FA197="Y",Y197&amp;""&lt;&gt;""),IF(Y197&lt;=10,"Y","N"),"N"))</f>
        <v>N</v>
      </c>
      <c r="FC197" s="0" t="str">
        <f aca="false">IF(FB197="Y",Y197,"")</f>
        <v/>
      </c>
      <c r="FD197" s="0" t="str">
        <f aca="false">IF($A197="","",IF(AND(CK197="pass",AU197="Y",AV197&lt;&gt;"Y",U197="new",EW197="N"),"Y","N"))</f>
        <v>Y</v>
      </c>
      <c r="FE197" s="0" t="str">
        <f aca="false">IF(FD197&lt;&gt;"Y","",IF(COUNTIFS($FD$2:$FD$1000,"Y",$J$2:$J$1000,"&gt;"&amp;J197)+COUNTIFS($FD$2:$FD$1000,"Y",$J$2:$J$1000,J197,$FG$2:$FG$1000,"&lt;"&amp;FG197)+1&lt;=30,COUNTIFS($FD$2:$FD$1000,"Y",$J$2:$J$1000,"&gt;"&amp;J197)+COUNTIFS($FD$2:$FD$1000,"Y",$J$2:$J$1000,J197,$FG$2:$FG$1000,"&lt;"&amp;FG197)+1,""))</f>
        <v/>
      </c>
      <c r="FF197" s="0" t="str">
        <f aca="false">IF(AND(_xlfn.ISFORMULA(C197),_xlfn.ISFORMULA(J197)),"Y","N")</f>
        <v>Y</v>
      </c>
      <c r="FG197" s="0" t="n">
        <f aca="false">ROW()-1</f>
        <v>196</v>
      </c>
    </row>
    <row r="198" customFormat="false" ht="15" hidden="false" customHeight="false" outlineLevel="0" collapsed="false">
      <c r="A198" s="0" t="s">
        <v>9992</v>
      </c>
      <c r="B198" s="0" t="s">
        <v>9993</v>
      </c>
      <c r="C198" s="0" t="str">
        <f aca="false">IF($A198="","",IF(AT198="Y",BL198&amp;"",AY198&amp;""))</f>
        <v>Matt</v>
      </c>
      <c r="D198" s="0" t="str">
        <f aca="false">IF($A198="","",IF(AT198="Y",BM198&amp;"",AZ198&amp;""))</f>
        <v>Levine</v>
      </c>
      <c r="E198" s="0" t="str">
        <f aca="false">IF($A198="","",IF(AT198="Y",BN198&amp;"",BA198&amp;""))</f>
        <v>Founder</v>
      </c>
      <c r="F198" s="0" t="str">
        <f aca="false">IF($A198="","",IF(AT198="Y",BO198&amp;"",BB198&amp;""))</f>
        <v/>
      </c>
      <c r="G198" s="0" t="str">
        <f aca="false">IF($A198="","",IF(AT198="Y",BP198&amp;"",BC198&amp;""))</f>
        <v/>
      </c>
      <c r="H198" s="0" t="str">
        <f aca="false">IF($A198="","",IF(AT198="Y",BQ198&amp;"",BD198&amp;""))</f>
        <v>none</v>
      </c>
      <c r="I198" s="0" t="str">
        <f aca="false">IF($A198="","",IF(R198="Y","warm-intro",IF(H198="verified","email",IF(C198&lt;&gt;"","linkedin",CA198&amp;""))))</f>
        <v>linkedin</v>
      </c>
      <c r="J198" s="0" t="n">
        <f aca="false">IF($A198="","",IF(CK198="pass",ROUND(N(DO198)+N(DP198)+N(DQ198)+N(DR198)+N(DS198)+N(DT198)+N(DU198)+N(DV198),0),0))</f>
        <v>0</v>
      </c>
      <c r="K198" s="0" t="str">
        <f aca="false">IF($A198="","",IF(CK198&lt;&gt;"pass",BY198&amp;"",BY198&amp;", "&amp;IF(AT198="Y",BX198&amp;"",BK198&amp;"")&amp;BZ198&amp;IF(R198="Y","; known to the founder (+10)","")&amp;"."))</f>
        <v>Gated out: health-claim: Health-claim wording: site title 'Detox, Hydrate &amp; Energize Drink'; vitamin-fortified functional water.</v>
      </c>
      <c r="M198" s="0" t="s">
        <v>5572</v>
      </c>
      <c r="N198" s="0" t="s">
        <v>5573</v>
      </c>
      <c r="O198" s="0" t="s">
        <v>9994</v>
      </c>
      <c r="P198" s="0" t="s">
        <v>9995</v>
      </c>
      <c r="Q198" s="0" t="s">
        <v>9996</v>
      </c>
      <c r="R198" s="5" t="s">
        <v>189</v>
      </c>
      <c r="S198" s="0" t="s">
        <v>164</v>
      </c>
      <c r="T198" s="5" t="s">
        <v>189</v>
      </c>
      <c r="U198" s="5" t="s">
        <v>3896</v>
      </c>
      <c r="V198" s="0" t="s">
        <v>9997</v>
      </c>
      <c r="W198" s="0" t="s">
        <v>263</v>
      </c>
      <c r="X198" s="0" t="s">
        <v>5578</v>
      </c>
      <c r="Y198" s="0" t="str">
        <f aca="false">IF(FA198&lt;&gt;"Y","",COUNTIFS($FA$2:$FA$1000,"Y",$J$2:$J$1000,"&gt;"&amp;J198)+COUNTIFS($FA$2:$FA$1000,"Y",$J$2:$J$1000,J198,$FG$2:$FG$1000,"&lt;"&amp;FG198)+1)</f>
        <v/>
      </c>
      <c r="AA198" s="0" t="s">
        <v>189</v>
      </c>
      <c r="AB198" s="0" t="str">
        <f aca="false">IF($A198="","",IF(AT198="Y",BW198&amp;"",BJ198&amp;""))</f>
        <v/>
      </c>
      <c r="AC198" s="0" t="str">
        <f aca="false">IF($A198="","",IF(AT198="Y",BR198&amp;"",BE198&amp;""))</f>
        <v>founder</v>
      </c>
      <c r="AD198" s="0" t="str">
        <f aca="false">IF($A198="","",IF(AT198="Y",BS198&amp;"",BF198&amp;""))</f>
        <v>verified-page</v>
      </c>
      <c r="AE198" s="0" t="str">
        <f aca="false">IF($A198="","",IF(AT198="Y",BT198&amp;"",BG198&amp;""))</f>
        <v>press, event or podcast page</v>
      </c>
      <c r="AF198" s="0" t="str">
        <f aca="false">IF($A198="","",IF(AT198="Y",BU198&amp;"",BH198&amp;""))</f>
        <v>https://startupcpg.com/startup-cpg-newswire-chlorophyll-water-makes-history-at-misfits-market/</v>
      </c>
      <c r="AG198" s="0" t="str">
        <f aca="false">IF($A198="","",IF(AT198="Y",BV198&amp;"",BI198&amp;""))</f>
        <v>2026-10-23</v>
      </c>
      <c r="AH198" s="0" t="s">
        <v>9998</v>
      </c>
      <c r="AI198" s="0" t="s">
        <v>6699</v>
      </c>
      <c r="AJ198" s="0" t="s">
        <v>9999</v>
      </c>
      <c r="AK198" s="0" t="s">
        <v>10000</v>
      </c>
      <c r="AL198" s="0" t="s">
        <v>164</v>
      </c>
      <c r="AM198" s="0" t="s">
        <v>10001</v>
      </c>
      <c r="AN198" s="0" t="s">
        <v>9992</v>
      </c>
      <c r="AO198" s="5" t="s">
        <v>189</v>
      </c>
      <c r="AR198" s="0" t="str">
        <f aca="false">IF($A198="","",IF(AND(CK198="pass",AO198&lt;&gt;"Y",C198&lt;&gt;"",OR(AU198&lt;&gt;"Y",AV198="Y")),"Y","N"))</f>
        <v>N</v>
      </c>
      <c r="AS198" s="0" t="str">
        <f aca="false">IF($A198="","",_xlfn.TEXTJOIN("; ",TRUE(),IF(CK198&lt;&gt;"pass","gated out",""),IF(AO198="Y","on hold: "&amp;AP198,""),IF(C198="","no contact named on an opened page",""),IF(AND(AU198="Y",AV198&lt;&gt;"Y"),"founder review pending (Founder review tab)","")))</f>
        <v>gated out</v>
      </c>
      <c r="AU198" s="0" t="s">
        <v>189</v>
      </c>
      <c r="AX198" s="0" t="s">
        <v>10002</v>
      </c>
      <c r="AY198" s="0" t="s">
        <v>6749</v>
      </c>
      <c r="AZ198" s="0" t="s">
        <v>1128</v>
      </c>
      <c r="BA198" s="0" t="s">
        <v>5739</v>
      </c>
      <c r="BC198" s="0" t="str">
        <f aca="false">IF($A198="","",IFERROR(INDEX(Enrichment!$A$2:$GZ$2000,MATCH($A198,INDEX(Enrichment!$A$2:$GZ$2000,0,MATCH("row_id",Enrichment!$A$1:$GZ$1,0)),0),MATCH("work_email",Enrichment!$A$1:$GZ$1,0))&amp;"",""))</f>
        <v/>
      </c>
      <c r="BD198" s="0" t="str">
        <f aca="false">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none</v>
      </c>
      <c r="BE198" s="0" t="s">
        <v>5589</v>
      </c>
      <c r="BF198" s="0" t="s">
        <v>169</v>
      </c>
      <c r="BG198" s="0" t="s">
        <v>1252</v>
      </c>
      <c r="BH198" s="0" t="s">
        <v>9995</v>
      </c>
      <c r="BI198" s="0" t="s">
        <v>263</v>
      </c>
      <c r="BK198" s="0" t="s">
        <v>5643</v>
      </c>
      <c r="BP198" s="0" t="str">
        <f aca="false">IF($A198="","",IFERROR(INDEX(Enrichment!$A$2:$GZ$2000,MATCH($A198,INDEX(Enrichment!$A$2:$GZ$2000,0,MATCH("row_id",Enrichment!$A$1:$GZ$1,0)),0),MATCH("backup_work_email",Enrichment!$A$1:$GZ$1,0))&amp;"",""))</f>
        <v/>
      </c>
      <c r="BQ198" s="0" t="str">
        <f aca="false">IF($A198="","",IF(BP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none</v>
      </c>
      <c r="BS198" s="0" t="s">
        <v>380</v>
      </c>
      <c r="BX198" s="0" t="s">
        <v>388</v>
      </c>
      <c r="BY198" s="0" t="s">
        <v>10003</v>
      </c>
      <c r="CB198" s="0" t="s">
        <v>10004</v>
      </c>
      <c r="CJ198" s="0" t="s">
        <v>7088</v>
      </c>
      <c r="CK198" s="0" t="s">
        <v>4627</v>
      </c>
      <c r="CL198" s="0" t="s">
        <v>10005</v>
      </c>
      <c r="CM198" s="0" t="s">
        <v>10006</v>
      </c>
      <c r="CN198" s="0" t="s">
        <v>5607</v>
      </c>
      <c r="CO198" s="0" t="s">
        <v>10000</v>
      </c>
      <c r="CP198" s="0" t="s">
        <v>5608</v>
      </c>
      <c r="CQ198" s="0" t="s">
        <v>5609</v>
      </c>
      <c r="CR198" s="0" t="s">
        <v>10007</v>
      </c>
      <c r="CT198" s="0" t="s">
        <v>164</v>
      </c>
      <c r="CU198" s="0" t="s">
        <v>10008</v>
      </c>
      <c r="CV198" s="0" t="s">
        <v>164</v>
      </c>
      <c r="CW198" s="0" t="s">
        <v>164</v>
      </c>
      <c r="CX198" s="0" t="s">
        <v>209</v>
      </c>
      <c r="CZ198" s="0" t="s">
        <v>209</v>
      </c>
      <c r="DA198" s="0" t="s">
        <v>164</v>
      </c>
      <c r="DB198" s="0" t="s">
        <v>164</v>
      </c>
      <c r="DC198" s="0" t="s">
        <v>10009</v>
      </c>
      <c r="DD198" s="0" t="n">
        <v>0</v>
      </c>
      <c r="DE198" s="0" t="s">
        <v>164</v>
      </c>
      <c r="DF198" s="0" t="n">
        <v>3</v>
      </c>
      <c r="DG198" s="0" t="s">
        <v>5686</v>
      </c>
      <c r="DH198" s="0" t="s">
        <v>5969</v>
      </c>
      <c r="DI198" s="0" t="s">
        <v>10010</v>
      </c>
      <c r="DJ198" s="0" t="s">
        <v>10011</v>
      </c>
      <c r="DK198" s="0" t="s">
        <v>5617</v>
      </c>
      <c r="DL198" s="0" t="n">
        <v>15</v>
      </c>
      <c r="DM198" s="0" t="s">
        <v>6470</v>
      </c>
      <c r="DN198" s="0" t="n">
        <v>77</v>
      </c>
      <c r="DO198" s="0" t="n">
        <v>25</v>
      </c>
      <c r="DP198" s="0" t="n">
        <v>20</v>
      </c>
      <c r="DQ198" s="0" t="n">
        <v>15</v>
      </c>
      <c r="DR198" s="0" t="n">
        <v>5</v>
      </c>
      <c r="DS198" s="0" t="n">
        <v>10</v>
      </c>
      <c r="DT198" s="0" t="n">
        <v>6</v>
      </c>
      <c r="DU198" s="0" t="n">
        <f aca="false">IF($A198="","",IF(R198="Y",10,0))</f>
        <v>0</v>
      </c>
      <c r="DV198" s="0" t="n">
        <v>-4</v>
      </c>
      <c r="DX198" s="0" t="s">
        <v>5619</v>
      </c>
      <c r="DY198" s="0" t="s">
        <v>10012</v>
      </c>
      <c r="DZ198" s="0" t="s">
        <v>10013</v>
      </c>
      <c r="EV198" s="0" t="str">
        <f aca="false">IF($A198="","",IF(ISNUMBER(MATCH(U198,{"queued","contacted","replied","call_booked","call_done","yes_in_principle","materials_sent"},0)),"Y","N"))</f>
        <v>N</v>
      </c>
      <c r="EW198" s="0" t="str">
        <f aca="false">IF($A198="","",IF(OR(T198="Y",U198="do_not_contact",AQ198&amp;""&lt;&gt;""),"Y","N"))</f>
        <v>N</v>
      </c>
      <c r="EX198" s="0" t="str">
        <f aca="false">IF($A198="","",IF(AN198&amp;""&lt;&gt;"",AN198&amp;"",$A198))</f>
        <v>AB-231</v>
      </c>
      <c r="EY198" s="0" t="str">
        <f aca="false">IF($A198="","",IF(COUNTIFS($EX$2:$EX$1000,EX198,$EV$2:$EV$1000,"Y")+COUNTIFS($EX$2:$EX$1000,EX198,$EW$2:$EW$1000,"Y")&gt;0,"Y","N"))</f>
        <v>N</v>
      </c>
      <c r="EZ198" s="0" t="str">
        <f aca="false">IF($A198="","",IF(AND(U198="new",T198="N",EW198="N",AR198="Y",EY198="N"),"Y","N"))</f>
        <v>N</v>
      </c>
      <c r="FA198" s="0" t="str">
        <f aca="false">IF($A198="","",IF(EZ198&lt;&gt;"Y","N",IF(COUNTIFS($EX$2:$EX$1000,EX198,$EZ$2:$EZ$1000,"Y",$J$2:$J$1000,"&gt;"&amp;J198)+COUNTIFS($EX$2:$EX$1000,EX198,$EZ$2:$EZ$1000,"Y",$J$2:$J$1000,J198,$FG$2:$FG$1000,"&lt;"&amp;FG198)=0,"Y","N")))</f>
        <v>N</v>
      </c>
      <c r="FB198" s="0" t="str">
        <f aca="false">IF($A198="","",IF(AND(EZ198="Y",FA198="Y",Y198&amp;""&lt;&gt;""),IF(Y198&lt;=10,"Y","N"),"N"))</f>
        <v>N</v>
      </c>
      <c r="FC198" s="0" t="str">
        <f aca="false">IF(FB198="Y",Y198,"")</f>
        <v/>
      </c>
      <c r="FD198" s="0" t="str">
        <f aca="false">IF($A198="","",IF(AND(CK198="pass",AU198="Y",AV198&lt;&gt;"Y",U198="new",EW198="N"),"Y","N"))</f>
        <v>N</v>
      </c>
      <c r="FE198" s="0" t="str">
        <f aca="false">IF(FD198&lt;&gt;"Y","",IF(COUNTIFS($FD$2:$FD$1000,"Y",$J$2:$J$1000,"&gt;"&amp;J198)+COUNTIFS($FD$2:$FD$1000,"Y",$J$2:$J$1000,J198,$FG$2:$FG$1000,"&lt;"&amp;FG198)+1&lt;=30,COUNTIFS($FD$2:$FD$1000,"Y",$J$2:$J$1000,"&gt;"&amp;J198)+COUNTIFS($FD$2:$FD$1000,"Y",$J$2:$J$1000,J198,$FG$2:$FG$1000,"&lt;"&amp;FG198)+1,""))</f>
        <v/>
      </c>
      <c r="FF198" s="0" t="str">
        <f aca="false">IF(AND(_xlfn.ISFORMULA(C198),_xlfn.ISFORMULA(J198)),"Y","N")</f>
        <v>Y</v>
      </c>
      <c r="FG198" s="0" t="n">
        <f aca="false">ROW()-1</f>
        <v>197</v>
      </c>
    </row>
    <row r="199" customFormat="false" ht="15" hidden="false" customHeight="false" outlineLevel="0" collapsed="false">
      <c r="A199" s="0" t="s">
        <v>10014</v>
      </c>
      <c r="B199" s="0" t="s">
        <v>10015</v>
      </c>
      <c r="C199" s="0" t="str">
        <f aca="false">IF($A199="","",IF(AT199="Y",BL199&amp;"",AY199&amp;""))</f>
        <v>Ellen</v>
      </c>
      <c r="D199" s="0" t="str">
        <f aca="false">IF($A199="","",IF(AT199="Y",BM199&amp;"",AZ199&amp;""))</f>
        <v>Macks</v>
      </c>
      <c r="E199" s="0" t="str">
        <f aca="false">IF($A199="","",IF(AT199="Y",BN199&amp;"",BA199&amp;""))</f>
        <v>Founder</v>
      </c>
      <c r="F199" s="0" t="str">
        <f aca="false">IF($A199="","",IF(AT199="Y",BO199&amp;"",BB199&amp;""))</f>
        <v/>
      </c>
      <c r="G199" s="0" t="str">
        <f aca="false">IF($A199="","",IF(AT199="Y",BP199&amp;"",BC199&amp;""))</f>
        <v/>
      </c>
      <c r="H199" s="0" t="str">
        <f aca="false">IF($A199="","",IF(AT199="Y",BQ199&amp;"",BD199&amp;""))</f>
        <v>none</v>
      </c>
      <c r="I199" s="0" t="str">
        <f aca="false">IF($A199="","",IF(R199="Y","warm-intro",IF(H199="verified","email",IF(C199&lt;&gt;"","linkedin",CA199&amp;""))))</f>
        <v>linkedin</v>
      </c>
      <c r="J199" s="0" t="n">
        <f aca="false">IF($A199="","",IF(CK199="pass",ROUND(N(DO199)+N(DP199)+N(DQ199)+N(DR199)+N(DS199)+N(DT199)+N(DU199)+N(DV199),0),0))</f>
        <v>0</v>
      </c>
      <c r="K199" s="0" t="str">
        <f aca="false">IF($A199="","",IF(CK199&lt;&gt;"pass",BY199&amp;"",BY199&amp;", "&amp;IF(AT199="Y",BX199&amp;"",BK199&amp;"")&amp;BZ199&amp;IF(R199="Y","; known to the founder (+10)","")&amp;"."))</f>
        <v>Gated out: health-claim: explicit health claim in the brand's own copy (opened 2026-10-24): 'gut healthy, blood sugar stabilizing, balancing hormones; About page: seeds 'n.</v>
      </c>
      <c r="M199" s="0" t="s">
        <v>5572</v>
      </c>
      <c r="N199" s="0" t="s">
        <v>5573</v>
      </c>
      <c r="O199" s="0" t="s">
        <v>10016</v>
      </c>
      <c r="P199" s="0" t="s">
        <v>10017</v>
      </c>
      <c r="Q199" s="0" t="s">
        <v>713</v>
      </c>
      <c r="R199" s="5" t="s">
        <v>189</v>
      </c>
      <c r="S199" s="0" t="s">
        <v>209</v>
      </c>
      <c r="T199" s="5" t="s">
        <v>189</v>
      </c>
      <c r="U199" s="5" t="s">
        <v>3896</v>
      </c>
      <c r="V199" s="0" t="s">
        <v>10018</v>
      </c>
      <c r="W199" s="0" t="s">
        <v>263</v>
      </c>
      <c r="X199" s="0" t="s">
        <v>5578</v>
      </c>
      <c r="Y199" s="0" t="str">
        <f aca="false">IF(FA199&lt;&gt;"Y","",COUNTIFS($FA$2:$FA$1000,"Y",$J$2:$J$1000,"&gt;"&amp;J199)+COUNTIFS($FA$2:$FA$1000,"Y",$J$2:$J$1000,J199,$FG$2:$FG$1000,"&lt;"&amp;FG199)+1)</f>
        <v/>
      </c>
      <c r="AA199" s="0" t="s">
        <v>189</v>
      </c>
      <c r="AB199" s="0" t="str">
        <f aca="false">IF($A199="","",IF(AT199="Y",BW199&amp;"",BJ199&amp;""))</f>
        <v/>
      </c>
      <c r="AC199" s="0" t="str">
        <f aca="false">IF($A199="","",IF(AT199="Y",BR199&amp;"",BE199&amp;""))</f>
        <v>founder</v>
      </c>
      <c r="AD199" s="0" t="str">
        <f aca="false">IF($A199="","",IF(AT199="Y",BS199&amp;"",BF199&amp;""))</f>
        <v>verified-page</v>
      </c>
      <c r="AE199" s="0" t="str">
        <f aca="false">IF($A199="","",IF(AT199="Y",BT199&amp;"",BG199&amp;""))</f>
        <v>employer's own site</v>
      </c>
      <c r="AF199" s="0" t="str">
        <f aca="false">IF($A199="","",IF(AT199="Y",BU199&amp;"",BH199&amp;""))</f>
        <v>https://www.ellasflats.com/</v>
      </c>
      <c r="AG199" s="0" t="str">
        <f aca="false">IF($A199="","",IF(AT199="Y",BV199&amp;"",BI199&amp;""))</f>
        <v>2026-10-24</v>
      </c>
      <c r="AH199" s="0" t="s">
        <v>10019</v>
      </c>
      <c r="AI199" s="0" t="s">
        <v>5630</v>
      </c>
      <c r="AJ199" s="0" t="s">
        <v>10020</v>
      </c>
      <c r="AK199" s="0" t="s">
        <v>10021</v>
      </c>
      <c r="AL199" s="0" t="s">
        <v>189</v>
      </c>
      <c r="AN199" s="0" t="s">
        <v>10014</v>
      </c>
      <c r="AO199" s="5" t="s">
        <v>189</v>
      </c>
      <c r="AR199" s="0" t="str">
        <f aca="false">IF($A199="","",IF(AND(CK199="pass",AO199&lt;&gt;"Y",C199&lt;&gt;"",OR(AU199&lt;&gt;"Y",AV199="Y")),"Y","N"))</f>
        <v>N</v>
      </c>
      <c r="AS199" s="0" t="str">
        <f aca="false">IF($A199="","",_xlfn.TEXTJOIN("; ",TRUE(),IF(CK199&lt;&gt;"pass","gated out",""),IF(AO199="Y","on hold: "&amp;AP199,""),IF(C199="","no contact named on an opened page",""),IF(AND(AU199="Y",AV199&lt;&gt;"Y"),"founder review pending (Founder review tab)","")))</f>
        <v>gated out</v>
      </c>
      <c r="AU199" s="0" t="s">
        <v>189</v>
      </c>
      <c r="AX199" s="0" t="s">
        <v>10022</v>
      </c>
      <c r="AY199" s="0" t="s">
        <v>6185</v>
      </c>
      <c r="AZ199" s="0" t="s">
        <v>10023</v>
      </c>
      <c r="BA199" s="0" t="s">
        <v>5739</v>
      </c>
      <c r="BC199" s="0" t="str">
        <f aca="false">IF($A199="","",IFERROR(INDEX(Enrichment!$A$2:$GZ$2000,MATCH($A199,INDEX(Enrichment!$A$2:$GZ$2000,0,MATCH("row_id",Enrichment!$A$1:$GZ$1,0)),0),MATCH("work_email",Enrichment!$A$1:$GZ$1,0))&amp;"",""))</f>
        <v/>
      </c>
      <c r="BD199" s="0" t="str">
        <f aca="false">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none</v>
      </c>
      <c r="BE199" s="0" t="s">
        <v>5589</v>
      </c>
      <c r="BF199" s="0" t="s">
        <v>169</v>
      </c>
      <c r="BG199" s="0" t="s">
        <v>170</v>
      </c>
      <c r="BH199" s="0" t="s">
        <v>10024</v>
      </c>
      <c r="BI199" s="0" t="s">
        <v>172</v>
      </c>
      <c r="BK199" s="0" t="s">
        <v>5643</v>
      </c>
      <c r="BP199" s="0" t="str">
        <f aca="false">IF($A199="","",IFERROR(INDEX(Enrichment!$A$2:$GZ$2000,MATCH($A199,INDEX(Enrichment!$A$2:$GZ$2000,0,MATCH("row_id",Enrichment!$A$1:$GZ$1,0)),0),MATCH("backup_work_email",Enrichment!$A$1:$GZ$1,0))&amp;"",""))</f>
        <v/>
      </c>
      <c r="BQ199" s="0" t="str">
        <f aca="false">IF($A199="","",IF(BP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none</v>
      </c>
      <c r="BS199" s="0" t="s">
        <v>380</v>
      </c>
      <c r="BX199" s="0" t="s">
        <v>388</v>
      </c>
      <c r="BY199" s="0" t="s">
        <v>10025</v>
      </c>
      <c r="CB199" s="0" t="s">
        <v>10026</v>
      </c>
      <c r="CD199" s="0" t="s">
        <v>10027</v>
      </c>
      <c r="CJ199" s="0" t="s">
        <v>5606</v>
      </c>
      <c r="CK199" s="0" t="s">
        <v>4627</v>
      </c>
      <c r="CL199" s="0" t="s">
        <v>10005</v>
      </c>
      <c r="CM199" s="0" t="s">
        <v>10028</v>
      </c>
      <c r="CO199" s="0" t="s">
        <v>10021</v>
      </c>
      <c r="CP199" s="0" t="s">
        <v>9289</v>
      </c>
      <c r="CQ199" s="0" t="s">
        <v>7235</v>
      </c>
      <c r="CR199" s="0" t="s">
        <v>209</v>
      </c>
      <c r="CT199" s="0" t="s">
        <v>164</v>
      </c>
      <c r="CU199" s="0" t="s">
        <v>10029</v>
      </c>
      <c r="CV199" s="0" t="s">
        <v>164</v>
      </c>
      <c r="CW199" s="0" t="s">
        <v>164</v>
      </c>
      <c r="CX199" s="0" t="s">
        <v>209</v>
      </c>
      <c r="CZ199" s="0" t="s">
        <v>209</v>
      </c>
      <c r="DA199" s="0" t="s">
        <v>189</v>
      </c>
      <c r="DB199" s="0" t="s">
        <v>164</v>
      </c>
      <c r="DC199" s="0" t="s">
        <v>10030</v>
      </c>
      <c r="DD199" s="0" t="n">
        <v>0</v>
      </c>
      <c r="DE199" s="0" t="s">
        <v>164</v>
      </c>
      <c r="DF199" s="0" t="n">
        <v>2</v>
      </c>
      <c r="DG199" s="0" t="s">
        <v>5746</v>
      </c>
      <c r="DI199" s="0" t="s">
        <v>10031</v>
      </c>
      <c r="DJ199" s="0" t="s">
        <v>10032</v>
      </c>
      <c r="DK199" s="0" t="s">
        <v>5617</v>
      </c>
      <c r="DL199" s="0" t="n">
        <v>116</v>
      </c>
      <c r="DN199" s="0" t="n">
        <v>64</v>
      </c>
      <c r="DO199" s="0" t="n">
        <v>25</v>
      </c>
      <c r="DP199" s="0" t="n">
        <v>3</v>
      </c>
      <c r="DQ199" s="0" t="n">
        <v>15</v>
      </c>
      <c r="DR199" s="0" t="n">
        <v>5</v>
      </c>
      <c r="DS199" s="0" t="n">
        <v>10</v>
      </c>
      <c r="DT199" s="0" t="n">
        <v>6</v>
      </c>
      <c r="DU199" s="0" t="n">
        <f aca="false">IF($A199="","",IF(R199="Y",10,0))</f>
        <v>0</v>
      </c>
      <c r="DV199" s="0" t="n">
        <v>0</v>
      </c>
      <c r="DW199" s="0" t="s">
        <v>10033</v>
      </c>
      <c r="DX199" s="0" t="s">
        <v>5814</v>
      </c>
      <c r="DY199" s="0" t="s">
        <v>10034</v>
      </c>
      <c r="DZ199" s="0" t="s">
        <v>10035</v>
      </c>
      <c r="EA199" s="0" t="s">
        <v>10036</v>
      </c>
      <c r="EV199" s="0" t="str">
        <f aca="false">IF($A199="","",IF(ISNUMBER(MATCH(U199,{"queued","contacted","replied","call_booked","call_done","yes_in_principle","materials_sent"},0)),"Y","N"))</f>
        <v>N</v>
      </c>
      <c r="EW199" s="0" t="str">
        <f aca="false">IF($A199="","",IF(OR(T199="Y",U199="do_not_contact",AQ199&amp;""&lt;&gt;""),"Y","N"))</f>
        <v>N</v>
      </c>
      <c r="EX199" s="0" t="str">
        <f aca="false">IF($A199="","",IF(AN199&amp;""&lt;&gt;"",AN199&amp;"",$A199))</f>
        <v>AB-016</v>
      </c>
      <c r="EY199" s="0" t="str">
        <f aca="false">IF($A199="","",IF(COUNTIFS($EX$2:$EX$1000,EX199,$EV$2:$EV$1000,"Y")+COUNTIFS($EX$2:$EX$1000,EX199,$EW$2:$EW$1000,"Y")&gt;0,"Y","N"))</f>
        <v>N</v>
      </c>
      <c r="EZ199" s="0" t="str">
        <f aca="false">IF($A199="","",IF(AND(U199="new",T199="N",EW199="N",AR199="Y",EY199="N"),"Y","N"))</f>
        <v>N</v>
      </c>
      <c r="FA199" s="0" t="str">
        <f aca="false">IF($A199="","",IF(EZ199&lt;&gt;"Y","N",IF(COUNTIFS($EX$2:$EX$1000,EX199,$EZ$2:$EZ$1000,"Y",$J$2:$J$1000,"&gt;"&amp;J199)+COUNTIFS($EX$2:$EX$1000,EX199,$EZ$2:$EZ$1000,"Y",$J$2:$J$1000,J199,$FG$2:$FG$1000,"&lt;"&amp;FG199)=0,"Y","N")))</f>
        <v>N</v>
      </c>
      <c r="FB199" s="0" t="str">
        <f aca="false">IF($A199="","",IF(AND(EZ199="Y",FA199="Y",Y199&amp;""&lt;&gt;""),IF(Y199&lt;=10,"Y","N"),"N"))</f>
        <v>N</v>
      </c>
      <c r="FC199" s="0" t="str">
        <f aca="false">IF(FB199="Y",Y199,"")</f>
        <v/>
      </c>
      <c r="FD199" s="0" t="str">
        <f aca="false">IF($A199="","",IF(AND(CK199="pass",AU199="Y",AV199&lt;&gt;"Y",U199="new",EW199="N"),"Y","N"))</f>
        <v>N</v>
      </c>
      <c r="FE199" s="0" t="str">
        <f aca="false">IF(FD199&lt;&gt;"Y","",IF(COUNTIFS($FD$2:$FD$1000,"Y",$J$2:$J$1000,"&gt;"&amp;J199)+COUNTIFS($FD$2:$FD$1000,"Y",$J$2:$J$1000,J199,$FG$2:$FG$1000,"&lt;"&amp;FG199)+1&lt;=30,COUNTIFS($FD$2:$FD$1000,"Y",$J$2:$J$1000,"&gt;"&amp;J199)+COUNTIFS($FD$2:$FD$1000,"Y",$J$2:$J$1000,J199,$FG$2:$FG$1000,"&lt;"&amp;FG199)+1,""))</f>
        <v/>
      </c>
      <c r="FF199" s="0" t="str">
        <f aca="false">IF(AND(_xlfn.ISFORMULA(C199),_xlfn.ISFORMULA(J199)),"Y","N")</f>
        <v>Y</v>
      </c>
      <c r="FG199" s="0" t="n">
        <f aca="false">ROW()-1</f>
        <v>198</v>
      </c>
    </row>
    <row r="200" customFormat="false" ht="15" hidden="false" customHeight="false" outlineLevel="0" collapsed="false">
      <c r="A200" s="0" t="s">
        <v>10037</v>
      </c>
      <c r="B200" s="0" t="s">
        <v>10038</v>
      </c>
      <c r="C200" s="0" t="str">
        <f aca="false">IF($A200="","",IF(AT200="Y",BL200&amp;"",AY200&amp;""))</f>
        <v>Katie</v>
      </c>
      <c r="D200" s="0" t="str">
        <f aca="false">IF($A200="","",IF(AT200="Y",BM200&amp;"",AZ200&amp;""))</f>
        <v>Lefkowitz</v>
      </c>
      <c r="E200" s="0" t="str">
        <f aca="false">IF($A200="","",IF(AT200="Y",BN200&amp;"",BA200&amp;""))</f>
        <v>Founder and CEO</v>
      </c>
      <c r="F200" s="0" t="str">
        <f aca="false">IF($A200="","",IF(AT200="Y",BO200&amp;"",BB200&amp;""))</f>
        <v>https://www.linkedin.com/in/katielefkowitz/</v>
      </c>
      <c r="G200" s="0" t="str">
        <f aca="false">IF($A200="","",IF(AT200="Y",BP200&amp;"",BC200&amp;""))</f>
        <v/>
      </c>
      <c r="H200" s="0" t="str">
        <f aca="false">IF($A200="","",IF(AT200="Y",BQ200&amp;"",BD200&amp;""))</f>
        <v>none</v>
      </c>
      <c r="I200" s="0" t="str">
        <f aca="false">IF($A200="","",IF(R200="Y","warm-intro",IF(H200="verified","email",IF(C200&lt;&gt;"","linkedin",CA200&amp;""))))</f>
        <v>linkedin</v>
      </c>
      <c r="J200" s="0" t="n">
        <f aca="false">IF($A200="","",IF(CK200="pass",ROUND(N(DO200)+N(DP200)+N(DQ200)+N(DR200)+N(DS200)+N(DT200)+N(DU200)+N(DV200),0),0))</f>
        <v>0</v>
      </c>
      <c r="K200" s="0" t="str">
        <f aca="false">IF($A200="","",IF(CK200&lt;&gt;"pass",BY200&amp;"",BY200&amp;", "&amp;IF(AT200="Y",BX200&amp;"",BK200&amp;"")&amp;BZ200&amp;IF(R200="Y","; known to the founder (+10)","")&amp;"."))</f>
        <v>Gated out: health-claim: explicit health claim in the brand's own copy (opened 2026-10-24): 'dates are high in fiber and antioxidants, with nutritional benefits that help.</v>
      </c>
      <c r="M200" s="0" t="s">
        <v>5572</v>
      </c>
      <c r="N200" s="0" t="s">
        <v>5573</v>
      </c>
      <c r="O200" s="0" t="s">
        <v>10039</v>
      </c>
      <c r="P200" s="0" t="s">
        <v>10040</v>
      </c>
      <c r="Q200" s="0" t="s">
        <v>6893</v>
      </c>
      <c r="R200" s="5" t="s">
        <v>189</v>
      </c>
      <c r="S200" s="0" t="s">
        <v>164</v>
      </c>
      <c r="T200" s="5" t="s">
        <v>189</v>
      </c>
      <c r="U200" s="5" t="s">
        <v>3896</v>
      </c>
      <c r="V200" s="0" t="s">
        <v>10041</v>
      </c>
      <c r="W200" s="0" t="s">
        <v>263</v>
      </c>
      <c r="X200" s="0" t="s">
        <v>5578</v>
      </c>
      <c r="Y200" s="0" t="str">
        <f aca="false">IF(FA200&lt;&gt;"Y","",COUNTIFS($FA$2:$FA$1000,"Y",$J$2:$J$1000,"&gt;"&amp;J200)+COUNTIFS($FA$2:$FA$1000,"Y",$J$2:$J$1000,J200,$FG$2:$FG$1000,"&lt;"&amp;FG200)+1)</f>
        <v/>
      </c>
      <c r="AA200" s="0" t="s">
        <v>189</v>
      </c>
      <c r="AB200" s="0" t="str">
        <f aca="false">IF($A200="","",IF(AT200="Y",BW200&amp;"",BJ200&amp;""))</f>
        <v/>
      </c>
      <c r="AC200" s="0" t="str">
        <f aca="false">IF($A200="","",IF(AT200="Y",BR200&amp;"",BE200&amp;""))</f>
        <v>founder</v>
      </c>
      <c r="AD200" s="0" t="str">
        <f aca="false">IF($A200="","",IF(AT200="Y",BS200&amp;"",BF200&amp;""))</f>
        <v>verified-page</v>
      </c>
      <c r="AE200" s="0" t="str">
        <f aca="false">IF($A200="","",IF(AT200="Y",BT200&amp;"",BG200&amp;""))</f>
        <v>press, event or podcast page</v>
      </c>
      <c r="AF200" s="0" t="str">
        <f aca="false">IF($A200="","",IF(AT200="Y",BU200&amp;"",BH200&amp;""))</f>
        <v>https://startupcpg.transistor.fm/episodes/founder-feature-katie-lefkowitz-of-harken-sweets</v>
      </c>
      <c r="AG200" s="0" t="str">
        <f aca="false">IF($A200="","",IF(AT200="Y",BV200&amp;"",BI200&amp;""))</f>
        <v>2026-10-24</v>
      </c>
      <c r="AH200" s="0" t="s">
        <v>10042</v>
      </c>
      <c r="AI200" s="0" t="s">
        <v>5664</v>
      </c>
      <c r="AJ200" s="0" t="s">
        <v>259</v>
      </c>
      <c r="AK200" s="0" t="s">
        <v>10043</v>
      </c>
      <c r="AL200" s="0" t="s">
        <v>164</v>
      </c>
      <c r="AM200" s="0" t="s">
        <v>10044</v>
      </c>
      <c r="AN200" s="0" t="s">
        <v>10037</v>
      </c>
      <c r="AO200" s="5" t="s">
        <v>189</v>
      </c>
      <c r="AR200" s="0" t="str">
        <f aca="false">IF($A200="","",IF(AND(CK200="pass",AO200&lt;&gt;"Y",C200&lt;&gt;"",OR(AU200&lt;&gt;"Y",AV200="Y")),"Y","N"))</f>
        <v>N</v>
      </c>
      <c r="AS200" s="0" t="str">
        <f aca="false">IF($A200="","",_xlfn.TEXTJOIN("; ",TRUE(),IF(CK200&lt;&gt;"pass","gated out",""),IF(AO200="Y","on hold: "&amp;AP200,""),IF(C200="","no contact named on an opened page",""),IF(AND(AU200="Y",AV200&lt;&gt;"Y"),"founder review pending (Founder review tab)","")))</f>
        <v>gated out; founder review pending (Founder review tab)</v>
      </c>
      <c r="AU200" s="0" t="s">
        <v>164</v>
      </c>
      <c r="AX200" s="0" t="s">
        <v>10045</v>
      </c>
      <c r="AY200" s="0" t="s">
        <v>730</v>
      </c>
      <c r="AZ200" s="0" t="s">
        <v>10046</v>
      </c>
      <c r="BA200" s="0" t="s">
        <v>5670</v>
      </c>
      <c r="BB200" s="0" t="s">
        <v>10047</v>
      </c>
      <c r="BC200" s="0" t="str">
        <f aca="false">IF($A200="","",IFERROR(INDEX(Enrichment!$A$2:$GZ$2000,MATCH($A200,INDEX(Enrichment!$A$2:$GZ$2000,0,MATCH("row_id",Enrichment!$A$1:$GZ$1,0)),0),MATCH("work_email",Enrichment!$A$1:$GZ$1,0))&amp;"",""))</f>
        <v/>
      </c>
      <c r="BD200" s="0" t="str">
        <f aca="false">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none</v>
      </c>
      <c r="BE200" s="0" t="s">
        <v>5589</v>
      </c>
      <c r="BF200" s="0" t="s">
        <v>169</v>
      </c>
      <c r="BG200" s="0" t="s">
        <v>1252</v>
      </c>
      <c r="BH200" s="0" t="s">
        <v>10048</v>
      </c>
      <c r="BI200" s="0" t="s">
        <v>172</v>
      </c>
      <c r="BK200" s="0" t="s">
        <v>5643</v>
      </c>
      <c r="BP200" s="0" t="str">
        <f aca="false">IF($A200="","",IFERROR(INDEX(Enrichment!$A$2:$GZ$2000,MATCH($A200,INDEX(Enrichment!$A$2:$GZ$2000,0,MATCH("row_id",Enrichment!$A$1:$GZ$1,0)),0),MATCH("backup_work_email",Enrichment!$A$1:$GZ$1,0))&amp;"",""))</f>
        <v/>
      </c>
      <c r="BQ200" s="0" t="str">
        <f aca="false">IF($A200="","",IF(BP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none</v>
      </c>
      <c r="BR200" s="0" t="s">
        <v>5596</v>
      </c>
      <c r="BS200" s="0" t="s">
        <v>740</v>
      </c>
      <c r="BT200" s="0" t="s">
        <v>741</v>
      </c>
      <c r="BU200" s="0" t="s">
        <v>10049</v>
      </c>
      <c r="BV200" s="0" t="s">
        <v>172</v>
      </c>
      <c r="BX200" s="0" t="s">
        <v>5834</v>
      </c>
      <c r="BY200" s="0" t="s">
        <v>10050</v>
      </c>
      <c r="CB200" s="0" t="s">
        <v>10051</v>
      </c>
      <c r="CD200" s="0" t="s">
        <v>10052</v>
      </c>
      <c r="CE200" s="0" t="s">
        <v>244</v>
      </c>
      <c r="CF200" s="0" t="s">
        <v>10053</v>
      </c>
      <c r="CH200" s="0" t="s">
        <v>10054</v>
      </c>
      <c r="CJ200" s="0" t="s">
        <v>5606</v>
      </c>
      <c r="CK200" s="0" t="s">
        <v>4627</v>
      </c>
      <c r="CL200" s="0" t="s">
        <v>10005</v>
      </c>
      <c r="CM200" s="0" t="s">
        <v>10055</v>
      </c>
      <c r="CN200" s="0" t="s">
        <v>10056</v>
      </c>
      <c r="CO200" s="0" t="s">
        <v>10043</v>
      </c>
      <c r="CP200" s="0" t="s">
        <v>5608</v>
      </c>
      <c r="CQ200" s="0" t="s">
        <v>5609</v>
      </c>
      <c r="CR200" s="0" t="s">
        <v>10057</v>
      </c>
      <c r="CT200" s="0" t="s">
        <v>352</v>
      </c>
      <c r="CU200" s="0" t="s">
        <v>10058</v>
      </c>
      <c r="CV200" s="0" t="s">
        <v>164</v>
      </c>
      <c r="CW200" s="0" t="s">
        <v>164</v>
      </c>
      <c r="CX200" s="0" t="s">
        <v>209</v>
      </c>
      <c r="CZ200" s="0" t="s">
        <v>209</v>
      </c>
      <c r="DA200" s="0" t="s">
        <v>164</v>
      </c>
      <c r="DB200" s="0" t="s">
        <v>164</v>
      </c>
      <c r="DC200" s="0" t="s">
        <v>10059</v>
      </c>
      <c r="DD200" s="0" t="n">
        <v>0</v>
      </c>
      <c r="DE200" s="0" t="s">
        <v>164</v>
      </c>
      <c r="DF200" s="0" t="n">
        <v>3</v>
      </c>
      <c r="DG200" s="0" t="s">
        <v>5686</v>
      </c>
      <c r="DI200" s="0" t="s">
        <v>10060</v>
      </c>
      <c r="DJ200" s="0" t="s">
        <v>10061</v>
      </c>
      <c r="DK200" s="0" t="s">
        <v>5617</v>
      </c>
      <c r="DL200" s="0" t="n">
        <v>163</v>
      </c>
      <c r="DM200" s="0" t="s">
        <v>10062</v>
      </c>
      <c r="DN200" s="0" t="n">
        <v>69</v>
      </c>
      <c r="DO200" s="0" t="n">
        <v>25</v>
      </c>
      <c r="DP200" s="0" t="n">
        <v>20</v>
      </c>
      <c r="DQ200" s="0" t="n">
        <v>15</v>
      </c>
      <c r="DR200" s="0" t="n">
        <v>5</v>
      </c>
      <c r="DS200" s="0" t="n">
        <v>8</v>
      </c>
      <c r="DT200" s="0" t="n">
        <v>8</v>
      </c>
      <c r="DU200" s="0" t="n">
        <f aca="false">IF($A200="","",IF(R200="Y",10,0))</f>
        <v>0</v>
      </c>
      <c r="DV200" s="0" t="n">
        <v>-12</v>
      </c>
      <c r="DW200" s="0" t="s">
        <v>10063</v>
      </c>
      <c r="DX200" s="0" t="s">
        <v>5691</v>
      </c>
      <c r="DY200" s="0" t="s">
        <v>10064</v>
      </c>
      <c r="DZ200" s="0" t="s">
        <v>10065</v>
      </c>
      <c r="EA200" s="0" t="s">
        <v>10066</v>
      </c>
      <c r="EV200" s="0" t="str">
        <f aca="false">IF($A200="","",IF(ISNUMBER(MATCH(U200,{"queued","contacted","replied","call_booked","call_done","yes_in_principle","materials_sent"},0)),"Y","N"))</f>
        <v>N</v>
      </c>
      <c r="EW200" s="0" t="str">
        <f aca="false">IF($A200="","",IF(OR(T200="Y",U200="do_not_contact",AQ200&amp;""&lt;&gt;""),"Y","N"))</f>
        <v>N</v>
      </c>
      <c r="EX200" s="0" t="str">
        <f aca="false">IF($A200="","",IF(AN200&amp;""&lt;&gt;"",AN200&amp;"",$A200))</f>
        <v>AB-111</v>
      </c>
      <c r="EY200" s="0" t="str">
        <f aca="false">IF($A200="","",IF(COUNTIFS($EX$2:$EX$1000,EX200,$EV$2:$EV$1000,"Y")+COUNTIFS($EX$2:$EX$1000,EX200,$EW$2:$EW$1000,"Y")&gt;0,"Y","N"))</f>
        <v>N</v>
      </c>
      <c r="EZ200" s="0" t="str">
        <f aca="false">IF($A200="","",IF(AND(U200="new",T200="N",EW200="N",AR200="Y",EY200="N"),"Y","N"))</f>
        <v>N</v>
      </c>
      <c r="FA200" s="0" t="str">
        <f aca="false">IF($A200="","",IF(EZ200&lt;&gt;"Y","N",IF(COUNTIFS($EX$2:$EX$1000,EX200,$EZ$2:$EZ$1000,"Y",$J$2:$J$1000,"&gt;"&amp;J200)+COUNTIFS($EX$2:$EX$1000,EX200,$EZ$2:$EZ$1000,"Y",$J$2:$J$1000,J200,$FG$2:$FG$1000,"&lt;"&amp;FG200)=0,"Y","N")))</f>
        <v>N</v>
      </c>
      <c r="FB200" s="0" t="str">
        <f aca="false">IF($A200="","",IF(AND(EZ200="Y",FA200="Y",Y200&amp;""&lt;&gt;""),IF(Y200&lt;=10,"Y","N"),"N"))</f>
        <v>N</v>
      </c>
      <c r="FC200" s="0" t="str">
        <f aca="false">IF(FB200="Y",Y200,"")</f>
        <v/>
      </c>
      <c r="FD200" s="0" t="str">
        <f aca="false">IF($A200="","",IF(AND(CK200="pass",AU200="Y",AV200&lt;&gt;"Y",U200="new",EW200="N"),"Y","N"))</f>
        <v>N</v>
      </c>
      <c r="FE200" s="0" t="str">
        <f aca="false">IF(FD200&lt;&gt;"Y","",IF(COUNTIFS($FD$2:$FD$1000,"Y",$J$2:$J$1000,"&gt;"&amp;J200)+COUNTIFS($FD$2:$FD$1000,"Y",$J$2:$J$1000,J200,$FG$2:$FG$1000,"&lt;"&amp;FG200)+1&lt;=30,COUNTIFS($FD$2:$FD$1000,"Y",$J$2:$J$1000,"&gt;"&amp;J200)+COUNTIFS($FD$2:$FD$1000,"Y",$J$2:$J$1000,J200,$FG$2:$FG$1000,"&lt;"&amp;FG200)+1,""))</f>
        <v/>
      </c>
      <c r="FF200" s="0" t="str">
        <f aca="false">IF(AND(_xlfn.ISFORMULA(C200),_xlfn.ISFORMULA(J200)),"Y","N")</f>
        <v>Y</v>
      </c>
      <c r="FG200" s="0" t="n">
        <f aca="false">ROW()-1</f>
        <v>199</v>
      </c>
    </row>
    <row r="201" customFormat="false" ht="15" hidden="false" customHeight="false" outlineLevel="0" collapsed="false">
      <c r="A201" s="0" t="s">
        <v>10067</v>
      </c>
      <c r="B201" s="0" t="s">
        <v>10068</v>
      </c>
      <c r="C201" s="0" t="str">
        <f aca="false">IF($A201="","",IF(AT201="Y",BL201&amp;"",AY201&amp;""))</f>
        <v>Maxi</v>
      </c>
      <c r="D201" s="0" t="str">
        <f aca="false">IF($A201="","",IF(AT201="Y",BM201&amp;"",AZ201&amp;""))</f>
        <v>Heidenblut</v>
      </c>
      <c r="E201" s="0" t="str">
        <f aca="false">IF($A201="","",IF(AT201="Y",BN201&amp;"",BA201&amp;""))</f>
        <v>Founder and CEO</v>
      </c>
      <c r="F201" s="0" t="str">
        <f aca="false">IF($A201="","",IF(AT201="Y",BO201&amp;"",BB201&amp;""))</f>
        <v>https://www.linkedin.com/in/maxi-heidenblut-cfa-ab704024/</v>
      </c>
      <c r="G201" s="0" t="str">
        <f aca="false">IF($A201="","",IF(AT201="Y",BP201&amp;"",BC201&amp;""))</f>
        <v/>
      </c>
      <c r="H201" s="0" t="str">
        <f aca="false">IF($A201="","",IF(AT201="Y",BQ201&amp;"",BD201&amp;""))</f>
        <v>none</v>
      </c>
      <c r="I201" s="0" t="str">
        <f aca="false">IF($A201="","",IF(R201="Y","warm-intro",IF(H201="verified","email",IF(C201&lt;&gt;"","linkedin",CA201&amp;""))))</f>
        <v>linkedin</v>
      </c>
      <c r="J201" s="0" t="n">
        <f aca="false">IF($A201="","",IF(CK201="pass",ROUND(N(DO201)+N(DP201)+N(DQ201)+N(DR201)+N(DS201)+N(DT201)+N(DU201)+N(DV201),0),0))</f>
        <v>0</v>
      </c>
      <c r="K201" s="0" t="str">
        <f aca="false">IF($A201="","",IF(CK201&lt;&gt;"pass",BY201&amp;"",BY201&amp;", "&amp;IF(AT201="Y",BX201&amp;"",BK201&amp;"")&amp;BZ201&amp;IF(R201="Y","; known to the founder (+10)","")&amp;"."))</f>
        <v>Gated out: health-claim: explicit health claim in the brand's own copy (opened 2026-10-24): 'prebiotic fiber, meaning it feeds your good gut bacteria and it also slows dow.</v>
      </c>
      <c r="M201" s="0" t="s">
        <v>5572</v>
      </c>
      <c r="N201" s="0" t="s">
        <v>5573</v>
      </c>
      <c r="O201" s="0" t="s">
        <v>10069</v>
      </c>
      <c r="P201" s="0" t="s">
        <v>10070</v>
      </c>
      <c r="Q201" s="0" t="s">
        <v>10071</v>
      </c>
      <c r="R201" s="5" t="s">
        <v>189</v>
      </c>
      <c r="S201" s="0" t="s">
        <v>164</v>
      </c>
      <c r="T201" s="5" t="s">
        <v>189</v>
      </c>
      <c r="U201" s="5" t="s">
        <v>3896</v>
      </c>
      <c r="V201" s="0" t="s">
        <v>10070</v>
      </c>
      <c r="W201" s="0" t="s">
        <v>263</v>
      </c>
      <c r="X201" s="0" t="s">
        <v>5578</v>
      </c>
      <c r="Y201" s="0" t="str">
        <f aca="false">IF(FA201&lt;&gt;"Y","",COUNTIFS($FA$2:$FA$1000,"Y",$J$2:$J$1000,"&gt;"&amp;J201)+COUNTIFS($FA$2:$FA$1000,"Y",$J$2:$J$1000,J201,$FG$2:$FG$1000,"&lt;"&amp;FG201)+1)</f>
        <v/>
      </c>
      <c r="AA201" s="0" t="s">
        <v>189</v>
      </c>
      <c r="AB201" s="0" t="str">
        <f aca="false">IF($A201="","",IF(AT201="Y",BW201&amp;"",BJ201&amp;""))</f>
        <v/>
      </c>
      <c r="AC201" s="0" t="str">
        <f aca="false">IF($A201="","",IF(AT201="Y",BR201&amp;"",BE201&amp;""))</f>
        <v>founder</v>
      </c>
      <c r="AD201" s="0" t="str">
        <f aca="false">IF($A201="","",IF(AT201="Y",BS201&amp;"",BF201&amp;""))</f>
        <v>verified-page</v>
      </c>
      <c r="AE201" s="0" t="str">
        <f aca="false">IF($A201="","",IF(AT201="Y",BT201&amp;"",BG201&amp;""))</f>
        <v>press, event or podcast page</v>
      </c>
      <c r="AF201" s="0" t="str">
        <f aca="false">IF($A201="","",IF(AT201="Y",BU201&amp;"",BH201&amp;""))</f>
        <v>https://startupcpg.com/startup-cpg-newswire-happy-candy-launches-nationwide-at-target-with-limited-edition-haunted-edition-halloween-variety-pack/</v>
      </c>
      <c r="AG201" s="0" t="str">
        <f aca="false">IF($A201="","",IF(AT201="Y",BV201&amp;"",BI201&amp;""))</f>
        <v>2026-10-24</v>
      </c>
      <c r="AH201" s="0" t="s">
        <v>10072</v>
      </c>
      <c r="AI201" s="0" t="s">
        <v>5664</v>
      </c>
      <c r="AJ201" s="0" t="s">
        <v>10073</v>
      </c>
      <c r="AK201" s="0" t="s">
        <v>10074</v>
      </c>
      <c r="AL201" s="0" t="s">
        <v>164</v>
      </c>
      <c r="AM201" s="0" t="s">
        <v>10075</v>
      </c>
      <c r="AN201" s="0" t="s">
        <v>10067</v>
      </c>
      <c r="AO201" s="5" t="s">
        <v>189</v>
      </c>
      <c r="AR201" s="0" t="str">
        <f aca="false">IF($A201="","",IF(AND(CK201="pass",AO201&lt;&gt;"Y",C201&lt;&gt;"",OR(AU201&lt;&gt;"Y",AV201="Y")),"Y","N"))</f>
        <v>N</v>
      </c>
      <c r="AS201" s="0" t="str">
        <f aca="false">IF($A201="","",_xlfn.TEXTJOIN("; ",TRUE(),IF(CK201&lt;&gt;"pass","gated out",""),IF(AO201="Y","on hold: "&amp;AP201,""),IF(C201="","no contact named on an opened page",""),IF(AND(AU201="Y",AV201&lt;&gt;"Y"),"founder review pending (Founder review tab)","")))</f>
        <v>gated out</v>
      </c>
      <c r="AU201" s="0" t="s">
        <v>189</v>
      </c>
      <c r="AX201" s="0" t="s">
        <v>10076</v>
      </c>
      <c r="AY201" s="0" t="s">
        <v>10077</v>
      </c>
      <c r="AZ201" s="0" t="s">
        <v>10078</v>
      </c>
      <c r="BA201" s="0" t="s">
        <v>5670</v>
      </c>
      <c r="BB201" s="0" t="s">
        <v>10079</v>
      </c>
      <c r="BC201" s="0" t="str">
        <f aca="false">IF($A201="","",IFERROR(INDEX(Enrichment!$A$2:$GZ$2000,MATCH($A201,INDEX(Enrichment!$A$2:$GZ$2000,0,MATCH("row_id",Enrichment!$A$1:$GZ$1,0)),0),MATCH("work_email",Enrichment!$A$1:$GZ$1,0))&amp;"",""))</f>
        <v/>
      </c>
      <c r="BD201" s="0" t="str">
        <f aca="false">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none</v>
      </c>
      <c r="BE201" s="0" t="s">
        <v>5589</v>
      </c>
      <c r="BF201" s="0" t="s">
        <v>169</v>
      </c>
      <c r="BG201" s="0" t="s">
        <v>1252</v>
      </c>
      <c r="BH201" s="0" t="s">
        <v>10070</v>
      </c>
      <c r="BI201" s="0" t="s">
        <v>172</v>
      </c>
      <c r="BK201" s="0" t="s">
        <v>5643</v>
      </c>
      <c r="BP201" s="0" t="str">
        <f aca="false">IF($A201="","",IFERROR(INDEX(Enrichment!$A$2:$GZ$2000,MATCH($A201,INDEX(Enrichment!$A$2:$GZ$2000,0,MATCH("row_id",Enrichment!$A$1:$GZ$1,0)),0),MATCH("backup_work_email",Enrichment!$A$1:$GZ$1,0))&amp;"",""))</f>
        <v/>
      </c>
      <c r="BQ201" s="0" t="str">
        <f aca="false">IF($A201="","",IF(BP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none</v>
      </c>
      <c r="BS201" s="0" t="s">
        <v>380</v>
      </c>
      <c r="BX201" s="0" t="s">
        <v>388</v>
      </c>
      <c r="BY201" s="0" t="s">
        <v>10080</v>
      </c>
      <c r="CB201" s="0" t="s">
        <v>10081</v>
      </c>
      <c r="CD201" s="0" t="s">
        <v>10082</v>
      </c>
      <c r="CE201" s="0" t="s">
        <v>244</v>
      </c>
      <c r="CJ201" s="0" t="s">
        <v>5606</v>
      </c>
      <c r="CK201" s="0" t="s">
        <v>4627</v>
      </c>
      <c r="CL201" s="0" t="s">
        <v>10005</v>
      </c>
      <c r="CM201" s="0" t="s">
        <v>10083</v>
      </c>
      <c r="CN201" s="0" t="s">
        <v>5607</v>
      </c>
      <c r="CO201" s="0" t="s">
        <v>10074</v>
      </c>
      <c r="CP201" s="0" t="s">
        <v>5608</v>
      </c>
      <c r="CQ201" s="0" t="s">
        <v>5609</v>
      </c>
      <c r="CR201" s="0" t="s">
        <v>209</v>
      </c>
      <c r="CT201" s="0" t="s">
        <v>164</v>
      </c>
      <c r="CU201" s="0" t="s">
        <v>10084</v>
      </c>
      <c r="CV201" s="0" t="s">
        <v>164</v>
      </c>
      <c r="CW201" s="0" t="s">
        <v>164</v>
      </c>
      <c r="CX201" s="0" t="s">
        <v>209</v>
      </c>
      <c r="CZ201" s="0" t="s">
        <v>209</v>
      </c>
      <c r="DA201" s="0" t="s">
        <v>189</v>
      </c>
      <c r="DB201" s="0" t="s">
        <v>164</v>
      </c>
      <c r="DC201" s="0" t="s">
        <v>10085</v>
      </c>
      <c r="DD201" s="0" t="n">
        <v>0</v>
      </c>
      <c r="DE201" s="0" t="s">
        <v>164</v>
      </c>
      <c r="DF201" s="0" t="n">
        <v>3</v>
      </c>
      <c r="DG201" s="0" t="s">
        <v>5686</v>
      </c>
      <c r="DH201" s="0" t="s">
        <v>5969</v>
      </c>
      <c r="DI201" s="0" t="s">
        <v>10086</v>
      </c>
      <c r="DJ201" s="0" t="s">
        <v>10087</v>
      </c>
      <c r="DK201" s="0" t="s">
        <v>5617</v>
      </c>
      <c r="DL201" s="0" t="n">
        <v>44</v>
      </c>
      <c r="DM201" s="0" t="s">
        <v>10070</v>
      </c>
      <c r="DN201" s="0" t="n">
        <v>77</v>
      </c>
      <c r="DO201" s="0" t="n">
        <v>25</v>
      </c>
      <c r="DP201" s="0" t="n">
        <v>20</v>
      </c>
      <c r="DQ201" s="0" t="n">
        <v>15</v>
      </c>
      <c r="DR201" s="0" t="n">
        <v>5</v>
      </c>
      <c r="DS201" s="0" t="n">
        <v>10</v>
      </c>
      <c r="DT201" s="0" t="n">
        <v>6</v>
      </c>
      <c r="DU201" s="0" t="n">
        <f aca="false">IF($A201="","",IF(R201="Y",10,0))</f>
        <v>0</v>
      </c>
      <c r="DV201" s="0" t="n">
        <v>-4</v>
      </c>
      <c r="DX201" s="0" t="s">
        <v>5619</v>
      </c>
      <c r="DY201" s="0" t="s">
        <v>10088</v>
      </c>
      <c r="DZ201" s="0" t="s">
        <v>10089</v>
      </c>
      <c r="EA201" s="0" t="s">
        <v>10090</v>
      </c>
      <c r="EV201" s="0" t="str">
        <f aca="false">IF($A201="","",IF(ISNUMBER(MATCH(U201,{"queued","contacted","replied","call_booked","call_done","yes_in_principle","materials_sent"},0)),"Y","N"))</f>
        <v>N</v>
      </c>
      <c r="EW201" s="0" t="str">
        <f aca="false">IF($A201="","",IF(OR(T201="Y",U201="do_not_contact",AQ201&amp;""&lt;&gt;""),"Y","N"))</f>
        <v>N</v>
      </c>
      <c r="EX201" s="0" t="str">
        <f aca="false">IF($A201="","",IF(AN201&amp;""&lt;&gt;"",AN201&amp;"",$A201))</f>
        <v>AB-249</v>
      </c>
      <c r="EY201" s="0" t="str">
        <f aca="false">IF($A201="","",IF(COUNTIFS($EX$2:$EX$1000,EX201,$EV$2:$EV$1000,"Y")+COUNTIFS($EX$2:$EX$1000,EX201,$EW$2:$EW$1000,"Y")&gt;0,"Y","N"))</f>
        <v>N</v>
      </c>
      <c r="EZ201" s="0" t="str">
        <f aca="false">IF($A201="","",IF(AND(U201="new",T201="N",EW201="N",AR201="Y",EY201="N"),"Y","N"))</f>
        <v>N</v>
      </c>
      <c r="FA201" s="0" t="str">
        <f aca="false">IF($A201="","",IF(EZ201&lt;&gt;"Y","N",IF(COUNTIFS($EX$2:$EX$1000,EX201,$EZ$2:$EZ$1000,"Y",$J$2:$J$1000,"&gt;"&amp;J201)+COUNTIFS($EX$2:$EX$1000,EX201,$EZ$2:$EZ$1000,"Y",$J$2:$J$1000,J201,$FG$2:$FG$1000,"&lt;"&amp;FG201)=0,"Y","N")))</f>
        <v>N</v>
      </c>
      <c r="FB201" s="0" t="str">
        <f aca="false">IF($A201="","",IF(AND(EZ201="Y",FA201="Y",Y201&amp;""&lt;&gt;""),IF(Y201&lt;=10,"Y","N"),"N"))</f>
        <v>N</v>
      </c>
      <c r="FC201" s="0" t="str">
        <f aca="false">IF(FB201="Y",Y201,"")</f>
        <v/>
      </c>
      <c r="FD201" s="0" t="str">
        <f aca="false">IF($A201="","",IF(AND(CK201="pass",AU201="Y",AV201&lt;&gt;"Y",U201="new",EW201="N"),"Y","N"))</f>
        <v>N</v>
      </c>
      <c r="FE201" s="0" t="str">
        <f aca="false">IF(FD201&lt;&gt;"Y","",IF(COUNTIFS($FD$2:$FD$1000,"Y",$J$2:$J$1000,"&gt;"&amp;J201)+COUNTIFS($FD$2:$FD$1000,"Y",$J$2:$J$1000,J201,$FG$2:$FG$1000,"&lt;"&amp;FG201)+1&lt;=30,COUNTIFS($FD$2:$FD$1000,"Y",$J$2:$J$1000,"&gt;"&amp;J201)+COUNTIFS($FD$2:$FD$1000,"Y",$J$2:$J$1000,J201,$FG$2:$FG$1000,"&lt;"&amp;FG201)+1,""))</f>
        <v/>
      </c>
      <c r="FF201" s="0" t="str">
        <f aca="false">IF(AND(_xlfn.ISFORMULA(C201),_xlfn.ISFORMULA(J201)),"Y","N")</f>
        <v>Y</v>
      </c>
      <c r="FG201" s="0" t="n">
        <f aca="false">ROW()-1</f>
        <v>200</v>
      </c>
    </row>
    <row r="202" customFormat="false" ht="15" hidden="false" customHeight="false" outlineLevel="0" collapsed="false">
      <c r="A202" s="0" t="s">
        <v>10091</v>
      </c>
      <c r="B202" s="0" t="s">
        <v>10092</v>
      </c>
      <c r="C202" s="0" t="str">
        <f aca="false">IF($A202="","",IF(AT202="Y",BL202&amp;"",AY202&amp;""))</f>
        <v>Rip</v>
      </c>
      <c r="D202" s="0" t="str">
        <f aca="false">IF($A202="","",IF(AT202="Y",BM202&amp;"",AZ202&amp;""))</f>
        <v>Pruisken</v>
      </c>
      <c r="E202" s="0" t="str">
        <f aca="false">IF($A202="","",IF(AT202="Y",BN202&amp;"",BA202&amp;""))</f>
        <v>Co-founder</v>
      </c>
      <c r="F202" s="0" t="str">
        <f aca="false">IF($A202="","",IF(AT202="Y",BO202&amp;"",BB202&amp;""))</f>
        <v/>
      </c>
      <c r="G202" s="0" t="str">
        <f aca="false">IF($A202="","",IF(AT202="Y",BP202&amp;"",BC202&amp;""))</f>
        <v/>
      </c>
      <c r="H202" s="0" t="str">
        <f aca="false">IF($A202="","",IF(AT202="Y",BQ202&amp;"",BD202&amp;""))</f>
        <v>none</v>
      </c>
      <c r="I202" s="0" t="str">
        <f aca="false">IF($A202="","",IF(R202="Y","warm-intro",IF(H202="verified","email",IF(C202&lt;&gt;"","linkedin",CA202&amp;""))))</f>
        <v>linkedin</v>
      </c>
      <c r="J202" s="0" t="n">
        <f aca="false">IF($A202="","",IF(CK202="pass",ROUND(N(DO202)+N(DP202)+N(DQ202)+N(DR202)+N(DS202)+N(DT202)+N(DU202)+N(DV202),0),0))</f>
        <v>0</v>
      </c>
      <c r="K202" s="0" t="str">
        <f aca="false">IF($A202="","",IF(CK202&lt;&gt;"pass",BY202&amp;"",BY202&amp;", "&amp;IF(AT202="Y",BX202&amp;"",BK202&amp;"")&amp;BZ202&amp;IF(R202="Y","; known to the founder (+10)","")&amp;"."))</f>
        <v>Gated out: health-claim: explicit health claim in the brand's own copy (opened 2026-10-24): 'feeding and promoting the growth of healthy gut bacteria, supporting a balance.</v>
      </c>
      <c r="M202" s="0" t="s">
        <v>5572</v>
      </c>
      <c r="N202" s="0" t="s">
        <v>5573</v>
      </c>
      <c r="O202" s="0" t="s">
        <v>10093</v>
      </c>
      <c r="P202" s="0" t="s">
        <v>10094</v>
      </c>
      <c r="Q202" s="0" t="s">
        <v>5102</v>
      </c>
      <c r="R202" s="5" t="s">
        <v>189</v>
      </c>
      <c r="S202" s="0" t="s">
        <v>209</v>
      </c>
      <c r="T202" s="5" t="s">
        <v>189</v>
      </c>
      <c r="U202" s="5" t="s">
        <v>3896</v>
      </c>
      <c r="V202" s="0" t="s">
        <v>10094</v>
      </c>
      <c r="W202" s="0" t="s">
        <v>263</v>
      </c>
      <c r="X202" s="0" t="s">
        <v>5578</v>
      </c>
      <c r="Y202" s="0" t="str">
        <f aca="false">IF(FA202&lt;&gt;"Y","",COUNTIFS($FA$2:$FA$1000,"Y",$J$2:$J$1000,"&gt;"&amp;J202)+COUNTIFS($FA$2:$FA$1000,"Y",$J$2:$J$1000,J202,$FG$2:$FG$1000,"&lt;"&amp;FG202)+1)</f>
        <v/>
      </c>
      <c r="AA202" s="0" t="s">
        <v>189</v>
      </c>
      <c r="AB202" s="0" t="str">
        <f aca="false">IF($A202="","",IF(AT202="Y",BW202&amp;"",BJ202&amp;""))</f>
        <v/>
      </c>
      <c r="AC202" s="0" t="str">
        <f aca="false">IF($A202="","",IF(AT202="Y",BR202&amp;"",BE202&amp;""))</f>
        <v>founder</v>
      </c>
      <c r="AD202" s="0" t="str">
        <f aca="false">IF($A202="","",IF(AT202="Y",BS202&amp;"",BF202&amp;""))</f>
        <v>verified-page</v>
      </c>
      <c r="AE202" s="0" t="str">
        <f aca="false">IF($A202="","",IF(AT202="Y",BT202&amp;"",BG202&amp;""))</f>
        <v>press, event or podcast page</v>
      </c>
      <c r="AF202" s="0" t="str">
        <f aca="false">IF($A202="","",IF(AT202="Y",BU202&amp;"",BH202&amp;""))</f>
        <v>https://theshelbyreport.com/2026/10/07/rip-van-names-former-hershey-u-s-president-as-ceo/</v>
      </c>
      <c r="AG202" s="0" t="str">
        <f aca="false">IF($A202="","",IF(AT202="Y",BV202&amp;"",BI202&amp;""))</f>
        <v>2026-10-23</v>
      </c>
      <c r="AH202" s="0" t="s">
        <v>10095</v>
      </c>
      <c r="AI202" s="0" t="s">
        <v>5702</v>
      </c>
      <c r="AJ202" s="0" t="s">
        <v>259</v>
      </c>
      <c r="AK202" s="0" t="s">
        <v>10096</v>
      </c>
      <c r="AL202" s="0" t="s">
        <v>164</v>
      </c>
      <c r="AM202" s="0" t="s">
        <v>10097</v>
      </c>
      <c r="AN202" s="0" t="s">
        <v>10091</v>
      </c>
      <c r="AO202" s="5" t="s">
        <v>189</v>
      </c>
      <c r="AR202" s="0" t="str">
        <f aca="false">IF($A202="","",IF(AND(CK202="pass",AO202&lt;&gt;"Y",C202&lt;&gt;"",OR(AU202&lt;&gt;"Y",AV202="Y")),"Y","N"))</f>
        <v>N</v>
      </c>
      <c r="AS202" s="0" t="str">
        <f aca="false">IF($A202="","",_xlfn.TEXTJOIN("; ",TRUE(),IF(CK202&lt;&gt;"pass","gated out",""),IF(AO202="Y","on hold: "&amp;AP202,""),IF(C202="","no contact named on an opened page",""),IF(AND(AU202="Y",AV202&lt;&gt;"Y"),"founder review pending (Founder review tab)","")))</f>
        <v>gated out; founder review pending (Founder review tab)</v>
      </c>
      <c r="AU202" s="0" t="s">
        <v>164</v>
      </c>
      <c r="AX202" s="0" t="s">
        <v>10098</v>
      </c>
      <c r="AY202" s="0" t="s">
        <v>10099</v>
      </c>
      <c r="AZ202" s="0" t="s">
        <v>10100</v>
      </c>
      <c r="BA202" s="0" t="s">
        <v>5636</v>
      </c>
      <c r="BC202" s="0" t="str">
        <f aca="false">IF($A202="","",IFERROR(INDEX(Enrichment!$A$2:$GZ$2000,MATCH($A202,INDEX(Enrichment!$A$2:$GZ$2000,0,MATCH("row_id",Enrichment!$A$1:$GZ$1,0)),0),MATCH("work_email",Enrichment!$A$1:$GZ$1,0))&amp;"",""))</f>
        <v/>
      </c>
      <c r="BD202" s="0" t="str">
        <f aca="false">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none</v>
      </c>
      <c r="BE202" s="0" t="s">
        <v>5589</v>
      </c>
      <c r="BF202" s="0" t="s">
        <v>169</v>
      </c>
      <c r="BG202" s="0" t="s">
        <v>1252</v>
      </c>
      <c r="BH202" s="0" t="s">
        <v>10094</v>
      </c>
      <c r="BI202" s="0" t="s">
        <v>263</v>
      </c>
      <c r="BK202" s="0" t="s">
        <v>5643</v>
      </c>
      <c r="BP202" s="0" t="str">
        <f aca="false">IF($A202="","",IFERROR(INDEX(Enrichment!$A$2:$GZ$2000,MATCH($A202,INDEX(Enrichment!$A$2:$GZ$2000,0,MATCH("row_id",Enrichment!$A$1:$GZ$1,0)),0),MATCH("backup_work_email",Enrichment!$A$1:$GZ$1,0))&amp;"",""))</f>
        <v/>
      </c>
      <c r="BQ202" s="0" t="str">
        <f aca="false">IF($A202="","",IF(BP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none</v>
      </c>
      <c r="BR202" s="0" t="s">
        <v>7494</v>
      </c>
      <c r="BS202" s="0" t="s">
        <v>740</v>
      </c>
      <c r="BT202" s="0" t="s">
        <v>209</v>
      </c>
      <c r="BV202" s="0" t="s">
        <v>263</v>
      </c>
      <c r="BX202" s="0" t="s">
        <v>5834</v>
      </c>
      <c r="BY202" s="0" t="s">
        <v>10101</v>
      </c>
      <c r="CB202" s="0" t="s">
        <v>10102</v>
      </c>
      <c r="CF202" s="0" t="s">
        <v>10103</v>
      </c>
      <c r="CH202" s="0" t="s">
        <v>7703</v>
      </c>
      <c r="CJ202" s="0" t="s">
        <v>7088</v>
      </c>
      <c r="CK202" s="0" t="s">
        <v>4627</v>
      </c>
      <c r="CL202" s="0" t="s">
        <v>10005</v>
      </c>
      <c r="CM202" s="0" t="s">
        <v>10104</v>
      </c>
      <c r="CN202" s="0" t="s">
        <v>10105</v>
      </c>
      <c r="CO202" s="0" t="s">
        <v>10096</v>
      </c>
      <c r="CP202" s="0" t="s">
        <v>5608</v>
      </c>
      <c r="CQ202" s="0" t="s">
        <v>5609</v>
      </c>
      <c r="CR202" s="0" t="s">
        <v>10106</v>
      </c>
      <c r="CS202" s="0" t="s">
        <v>10107</v>
      </c>
      <c r="CT202" s="0" t="s">
        <v>352</v>
      </c>
      <c r="CU202" s="0" t="s">
        <v>10108</v>
      </c>
      <c r="CV202" s="0" t="s">
        <v>164</v>
      </c>
      <c r="CW202" s="0" t="s">
        <v>164</v>
      </c>
      <c r="CX202" s="0" t="s">
        <v>9029</v>
      </c>
      <c r="CY202" s="0" t="s">
        <v>9030</v>
      </c>
      <c r="CZ202" s="0" t="s">
        <v>10109</v>
      </c>
      <c r="DA202" s="0" t="s">
        <v>189</v>
      </c>
      <c r="DB202" s="0" t="s">
        <v>164</v>
      </c>
      <c r="DC202" s="0" t="s">
        <v>10110</v>
      </c>
      <c r="DD202" s="0" t="n">
        <v>0</v>
      </c>
      <c r="DE202" s="0" t="s">
        <v>164</v>
      </c>
      <c r="DF202" s="0" t="n">
        <v>3</v>
      </c>
      <c r="DG202" s="0" t="s">
        <v>5686</v>
      </c>
      <c r="DI202" s="0" t="s">
        <v>10111</v>
      </c>
      <c r="DJ202" s="0" t="s">
        <v>10112</v>
      </c>
      <c r="DK202" s="0" t="s">
        <v>5617</v>
      </c>
      <c r="DL202" s="0" t="n">
        <v>17</v>
      </c>
      <c r="DN202" s="0" t="n">
        <v>43</v>
      </c>
      <c r="DO202" s="0" t="n">
        <v>25</v>
      </c>
      <c r="DP202" s="0" t="n">
        <v>20</v>
      </c>
      <c r="DQ202" s="0" t="n">
        <v>15</v>
      </c>
      <c r="DR202" s="0" t="n">
        <v>0</v>
      </c>
      <c r="DS202" s="0" t="n">
        <v>8</v>
      </c>
      <c r="DT202" s="0" t="n">
        <v>10</v>
      </c>
      <c r="DU202" s="0" t="n">
        <f aca="false">IF($A202="","",IF(R202="Y",10,0))</f>
        <v>0</v>
      </c>
      <c r="DV202" s="0" t="n">
        <v>-35</v>
      </c>
      <c r="DW202" s="0" t="s">
        <v>10113</v>
      </c>
      <c r="DX202" s="0" t="s">
        <v>5691</v>
      </c>
      <c r="DY202" s="0" t="s">
        <v>10114</v>
      </c>
      <c r="DZ202" s="0" t="s">
        <v>10115</v>
      </c>
      <c r="EA202" s="0" t="s">
        <v>10116</v>
      </c>
      <c r="EV202" s="0" t="str">
        <f aca="false">IF($A202="","",IF(ISNUMBER(MATCH(U202,{"queued","contacted","replied","call_booked","call_done","yes_in_principle","materials_sent"},0)),"Y","N"))</f>
        <v>N</v>
      </c>
      <c r="EW202" s="0" t="str">
        <f aca="false">IF($A202="","",IF(OR(T202="Y",U202="do_not_contact",AQ202&amp;""&lt;&gt;""),"Y","N"))</f>
        <v>N</v>
      </c>
      <c r="EX202" s="0" t="str">
        <f aca="false">IF($A202="","",IF(AN202&amp;""&lt;&gt;"",AN202&amp;"",$A202))</f>
        <v>AB-066</v>
      </c>
      <c r="EY202" s="0" t="str">
        <f aca="false">IF($A202="","",IF(COUNTIFS($EX$2:$EX$1000,EX202,$EV$2:$EV$1000,"Y")+COUNTIFS($EX$2:$EX$1000,EX202,$EW$2:$EW$1000,"Y")&gt;0,"Y","N"))</f>
        <v>N</v>
      </c>
      <c r="EZ202" s="0" t="str">
        <f aca="false">IF($A202="","",IF(AND(U202="new",T202="N",EW202="N",AR202="Y",EY202="N"),"Y","N"))</f>
        <v>N</v>
      </c>
      <c r="FA202" s="0" t="str">
        <f aca="false">IF($A202="","",IF(EZ202&lt;&gt;"Y","N",IF(COUNTIFS($EX$2:$EX$1000,EX202,$EZ$2:$EZ$1000,"Y",$J$2:$J$1000,"&gt;"&amp;J202)+COUNTIFS($EX$2:$EX$1000,EX202,$EZ$2:$EZ$1000,"Y",$J$2:$J$1000,J202,$FG$2:$FG$1000,"&lt;"&amp;FG202)=0,"Y","N")))</f>
        <v>N</v>
      </c>
      <c r="FB202" s="0" t="str">
        <f aca="false">IF($A202="","",IF(AND(EZ202="Y",FA202="Y",Y202&amp;""&lt;&gt;""),IF(Y202&lt;=10,"Y","N"),"N"))</f>
        <v>N</v>
      </c>
      <c r="FC202" s="0" t="str">
        <f aca="false">IF(FB202="Y",Y202,"")</f>
        <v/>
      </c>
      <c r="FD202" s="0" t="str">
        <f aca="false">IF($A202="","",IF(AND(CK202="pass",AU202="Y",AV202&lt;&gt;"Y",U202="new",EW202="N"),"Y","N"))</f>
        <v>N</v>
      </c>
      <c r="FE202" s="0" t="str">
        <f aca="false">IF(FD202&lt;&gt;"Y","",IF(COUNTIFS($FD$2:$FD$1000,"Y",$J$2:$J$1000,"&gt;"&amp;J202)+COUNTIFS($FD$2:$FD$1000,"Y",$J$2:$J$1000,J202,$FG$2:$FG$1000,"&lt;"&amp;FG202)+1&lt;=30,COUNTIFS($FD$2:$FD$1000,"Y",$J$2:$J$1000,"&gt;"&amp;J202)+COUNTIFS($FD$2:$FD$1000,"Y",$J$2:$J$1000,J202,$FG$2:$FG$1000,"&lt;"&amp;FG202)+1,""))</f>
        <v/>
      </c>
      <c r="FF202" s="0" t="str">
        <f aca="false">IF(AND(_xlfn.ISFORMULA(C202),_xlfn.ISFORMULA(J202)),"Y","N")</f>
        <v>Y</v>
      </c>
      <c r="FG202" s="0" t="n">
        <f aca="false">ROW()-1</f>
        <v>201</v>
      </c>
    </row>
    <row r="203" customFormat="false" ht="15" hidden="false" customHeight="false" outlineLevel="0" collapsed="false">
      <c r="A203" s="0" t="s">
        <v>10117</v>
      </c>
      <c r="B203" s="0" t="s">
        <v>10118</v>
      </c>
      <c r="C203" s="0" t="str">
        <f aca="false">IF($A203="","",IF(AT203="Y",BL203&amp;"",AY203&amp;""))</f>
        <v>Beryl</v>
      </c>
      <c r="D203" s="0" t="str">
        <f aca="false">IF($A203="","",IF(AT203="Y",BM203&amp;"",AZ203&amp;""))</f>
        <v>Stafford</v>
      </c>
      <c r="E203" s="0" t="str">
        <f aca="false">IF($A203="","",IF(AT203="Y",BN203&amp;"",BA203&amp;""))</f>
        <v>Founder</v>
      </c>
      <c r="F203" s="0" t="str">
        <f aca="false">IF($A203="","",IF(AT203="Y",BO203&amp;"",BB203&amp;""))</f>
        <v/>
      </c>
      <c r="G203" s="0" t="str">
        <f aca="false">IF($A203="","",IF(AT203="Y",BP203&amp;"",BC203&amp;""))</f>
        <v/>
      </c>
      <c r="H203" s="0" t="str">
        <f aca="false">IF($A203="","",IF(AT203="Y",BQ203&amp;"",BD203&amp;""))</f>
        <v>none</v>
      </c>
      <c r="I203" s="0" t="str">
        <f aca="false">IF($A203="","",IF(R203="Y","warm-intro",IF(H203="verified","email",IF(C203&lt;&gt;"","linkedin",CA203&amp;""))))</f>
        <v>linkedin</v>
      </c>
      <c r="J203" s="0" t="n">
        <f aca="false">IF($A203="","",IF(CK203="pass",ROUND(N(DO203)+N(DP203)+N(DQ203)+N(DR203)+N(DS203)+N(DT203)+N(DU203)+N(DV203),0),0))</f>
        <v>0</v>
      </c>
      <c r="K203" s="0" t="str">
        <f aca="false">IF($A203="","",IF(CK203&lt;&gt;"pass",BY203&amp;"",BY203&amp;", "&amp;IF(AT203="Y",BX203&amp;"",BK203&amp;"")&amp;BZ203&amp;IF(R203="Y","; known to the founder (+10)","")&amp;"."))</f>
        <v>Gated out: health-claim: explicit health claim in the brand's own copy (opened 2026-10-24): 'Whole grains can help you achieve healthier blood pressure, and contain benefi.</v>
      </c>
      <c r="M203" s="0" t="s">
        <v>5572</v>
      </c>
      <c r="N203" s="0" t="s">
        <v>5573</v>
      </c>
      <c r="O203" s="0" t="s">
        <v>10119</v>
      </c>
      <c r="P203" s="0" t="s">
        <v>10120</v>
      </c>
      <c r="Q203" s="0" t="s">
        <v>10121</v>
      </c>
      <c r="R203" s="5" t="s">
        <v>189</v>
      </c>
      <c r="S203" s="0" t="s">
        <v>209</v>
      </c>
      <c r="T203" s="5" t="s">
        <v>189</v>
      </c>
      <c r="U203" s="5" t="s">
        <v>3896</v>
      </c>
      <c r="V203" s="0" t="s">
        <v>10122</v>
      </c>
      <c r="W203" s="0" t="s">
        <v>263</v>
      </c>
      <c r="X203" s="0" t="s">
        <v>5578</v>
      </c>
      <c r="Y203" s="0" t="str">
        <f aca="false">IF(FA203&lt;&gt;"Y","",COUNTIFS($FA$2:$FA$1000,"Y",$J$2:$J$1000,"&gt;"&amp;J203)+COUNTIFS($FA$2:$FA$1000,"Y",$J$2:$J$1000,J203,$FG$2:$FG$1000,"&lt;"&amp;FG203)+1)</f>
        <v/>
      </c>
      <c r="AA203" s="0" t="s">
        <v>189</v>
      </c>
      <c r="AB203" s="0" t="str">
        <f aca="false">IF($A203="","",IF(AT203="Y",BW203&amp;"",BJ203&amp;""))</f>
        <v/>
      </c>
      <c r="AC203" s="0" t="str">
        <f aca="false">IF($A203="","",IF(AT203="Y",BR203&amp;"",BE203&amp;""))</f>
        <v>founder</v>
      </c>
      <c r="AD203" s="0" t="str">
        <f aca="false">IF($A203="","",IF(AT203="Y",BS203&amp;"",BF203&amp;""))</f>
        <v>verified-page</v>
      </c>
      <c r="AE203" s="0" t="str">
        <f aca="false">IF($A203="","",IF(AT203="Y",BT203&amp;"",BG203&amp;""))</f>
        <v>employer's own site</v>
      </c>
      <c r="AF203" s="0" t="str">
        <f aca="false">IF($A203="","",IF(AT203="Y",BU203&amp;"",BH203&amp;""))</f>
        <v>https://eatbobos.com/pages/our-story</v>
      </c>
      <c r="AG203" s="0" t="str">
        <f aca="false">IF($A203="","",IF(AT203="Y",BV203&amp;"",BI203&amp;""))</f>
        <v>2026-10-23</v>
      </c>
      <c r="AH203" s="0" t="s">
        <v>10123</v>
      </c>
      <c r="AI203" s="0" t="s">
        <v>6007</v>
      </c>
      <c r="AJ203" s="0" t="s">
        <v>10124</v>
      </c>
      <c r="AK203" s="0" t="s">
        <v>10125</v>
      </c>
      <c r="AL203" s="0" t="s">
        <v>164</v>
      </c>
      <c r="AM203" s="0" t="s">
        <v>10126</v>
      </c>
      <c r="AN203" s="0" t="s">
        <v>10117</v>
      </c>
      <c r="AO203" s="5" t="s">
        <v>189</v>
      </c>
      <c r="AR203" s="0" t="str">
        <f aca="false">IF($A203="","",IF(AND(CK203="pass",AO203&lt;&gt;"Y",C203&lt;&gt;"",OR(AU203&lt;&gt;"Y",AV203="Y")),"Y","N"))</f>
        <v>N</v>
      </c>
      <c r="AS203" s="0" t="str">
        <f aca="false">IF($A203="","",_xlfn.TEXTJOIN("; ",TRUE(),IF(CK203&lt;&gt;"pass","gated out",""),IF(AO203="Y","on hold: "&amp;AP203,""),IF(C203="","no contact named on an opened page",""),IF(AND(AU203="Y",AV203&lt;&gt;"Y"),"founder review pending (Founder review tab)","")))</f>
        <v>gated out; founder review pending (Founder review tab)</v>
      </c>
      <c r="AU203" s="0" t="s">
        <v>164</v>
      </c>
      <c r="AX203" s="0" t="s">
        <v>10127</v>
      </c>
      <c r="AY203" s="0" t="s">
        <v>10128</v>
      </c>
      <c r="AZ203" s="0" t="s">
        <v>10129</v>
      </c>
      <c r="BA203" s="0" t="s">
        <v>5739</v>
      </c>
      <c r="BC203" s="0" t="str">
        <f aca="false">IF($A203="","",IFERROR(INDEX(Enrichment!$A$2:$GZ$2000,MATCH($A203,INDEX(Enrichment!$A$2:$GZ$2000,0,MATCH("row_id",Enrichment!$A$1:$GZ$1,0)),0),MATCH("work_email",Enrichment!$A$1:$GZ$1,0))&amp;"",""))</f>
        <v/>
      </c>
      <c r="BD203" s="0" t="str">
        <f aca="false">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none</v>
      </c>
      <c r="BE203" s="0" t="s">
        <v>5589</v>
      </c>
      <c r="BF203" s="0" t="s">
        <v>169</v>
      </c>
      <c r="BG203" s="0" t="s">
        <v>170</v>
      </c>
      <c r="BH203" s="0" t="s">
        <v>10122</v>
      </c>
      <c r="BI203" s="0" t="s">
        <v>263</v>
      </c>
      <c r="BK203" s="0" t="s">
        <v>5643</v>
      </c>
      <c r="BP203" s="0" t="str">
        <f aca="false">IF($A203="","",IFERROR(INDEX(Enrichment!$A$2:$GZ$2000,MATCH($A203,INDEX(Enrichment!$A$2:$GZ$2000,0,MATCH("row_id",Enrichment!$A$1:$GZ$1,0)),0),MATCH("backup_work_email",Enrichment!$A$1:$GZ$1,0))&amp;"",""))</f>
        <v/>
      </c>
      <c r="BQ203" s="0" t="str">
        <f aca="false">IF($A203="","",IF(BP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none</v>
      </c>
      <c r="BS203" s="0" t="s">
        <v>380</v>
      </c>
      <c r="BX203" s="0" t="s">
        <v>388</v>
      </c>
      <c r="BY203" s="0" t="s">
        <v>10130</v>
      </c>
      <c r="CB203" s="0" t="s">
        <v>10131</v>
      </c>
      <c r="CJ203" s="0" t="s">
        <v>7088</v>
      </c>
      <c r="CK203" s="0" t="s">
        <v>4627</v>
      </c>
      <c r="CL203" s="0" t="s">
        <v>10005</v>
      </c>
      <c r="CM203" s="0" t="s">
        <v>10132</v>
      </c>
      <c r="CN203" s="0" t="s">
        <v>6108</v>
      </c>
      <c r="CO203" s="0" t="s">
        <v>10125</v>
      </c>
      <c r="CP203" s="0" t="s">
        <v>7145</v>
      </c>
      <c r="CQ203" s="0" t="s">
        <v>6198</v>
      </c>
      <c r="CR203" s="0" t="s">
        <v>209</v>
      </c>
      <c r="CT203" s="0" t="s">
        <v>352</v>
      </c>
      <c r="CU203" s="0" t="s">
        <v>10133</v>
      </c>
      <c r="CV203" s="0" t="s">
        <v>164</v>
      </c>
      <c r="CW203" s="0" t="s">
        <v>164</v>
      </c>
      <c r="CX203" s="0" t="s">
        <v>209</v>
      </c>
      <c r="CZ203" s="0" t="s">
        <v>209</v>
      </c>
      <c r="DA203" s="0" t="s">
        <v>189</v>
      </c>
      <c r="DB203" s="0" t="s">
        <v>164</v>
      </c>
      <c r="DC203" s="0" t="s">
        <v>10134</v>
      </c>
      <c r="DD203" s="0" t="n">
        <v>0</v>
      </c>
      <c r="DE203" s="0" t="s">
        <v>164</v>
      </c>
      <c r="DF203" s="0" t="n">
        <v>3</v>
      </c>
      <c r="DG203" s="0" t="s">
        <v>5686</v>
      </c>
      <c r="DI203" s="0" t="s">
        <v>10135</v>
      </c>
      <c r="DJ203" s="0" t="s">
        <v>10136</v>
      </c>
      <c r="DK203" s="0" t="s">
        <v>5689</v>
      </c>
      <c r="DL203" s="0" t="n">
        <v>11</v>
      </c>
      <c r="DN203" s="0" t="n">
        <v>43</v>
      </c>
      <c r="DO203" s="0" t="n">
        <v>25</v>
      </c>
      <c r="DP203" s="0" t="n">
        <v>3</v>
      </c>
      <c r="DQ203" s="0" t="n">
        <v>8</v>
      </c>
      <c r="DR203" s="0" t="n">
        <v>5</v>
      </c>
      <c r="DS203" s="0" t="n">
        <v>8</v>
      </c>
      <c r="DT203" s="0" t="n">
        <v>6</v>
      </c>
      <c r="DU203" s="0" t="n">
        <f aca="false">IF($A203="","",IF(R203="Y",10,0))</f>
        <v>0</v>
      </c>
      <c r="DV203" s="0" t="n">
        <v>-12</v>
      </c>
      <c r="DW203" s="0" t="s">
        <v>10137</v>
      </c>
      <c r="DX203" s="0" t="s">
        <v>5691</v>
      </c>
      <c r="DY203" s="0" t="s">
        <v>10138</v>
      </c>
      <c r="DZ203" s="0" t="s">
        <v>10139</v>
      </c>
      <c r="EA203" s="0" t="s">
        <v>10140</v>
      </c>
      <c r="EV203" s="0" t="str">
        <f aca="false">IF($A203="","",IF(ISNUMBER(MATCH(U203,{"queued","contacted","replied","call_booked","call_done","yes_in_principle","materials_sent"},0)),"Y","N"))</f>
        <v>N</v>
      </c>
      <c r="EW203" s="0" t="str">
        <f aca="false">IF($A203="","",IF(OR(T203="Y",U203="do_not_contact",AQ203&amp;""&lt;&gt;""),"Y","N"))</f>
        <v>N</v>
      </c>
      <c r="EX203" s="0" t="str">
        <f aca="false">IF($A203="","",IF(AN203&amp;""&lt;&gt;"",AN203&amp;"",$A203))</f>
        <v>AB-116</v>
      </c>
      <c r="EY203" s="0" t="str">
        <f aca="false">IF($A203="","",IF(COUNTIFS($EX$2:$EX$1000,EX203,$EV$2:$EV$1000,"Y")+COUNTIFS($EX$2:$EX$1000,EX203,$EW$2:$EW$1000,"Y")&gt;0,"Y","N"))</f>
        <v>N</v>
      </c>
      <c r="EZ203" s="0" t="str">
        <f aca="false">IF($A203="","",IF(AND(U203="new",T203="N",EW203="N",AR203="Y",EY203="N"),"Y","N"))</f>
        <v>N</v>
      </c>
      <c r="FA203" s="0" t="str">
        <f aca="false">IF($A203="","",IF(EZ203&lt;&gt;"Y","N",IF(COUNTIFS($EX$2:$EX$1000,EX203,$EZ$2:$EZ$1000,"Y",$J$2:$J$1000,"&gt;"&amp;J203)+COUNTIFS($EX$2:$EX$1000,EX203,$EZ$2:$EZ$1000,"Y",$J$2:$J$1000,J203,$FG$2:$FG$1000,"&lt;"&amp;FG203)=0,"Y","N")))</f>
        <v>N</v>
      </c>
      <c r="FB203" s="0" t="str">
        <f aca="false">IF($A203="","",IF(AND(EZ203="Y",FA203="Y",Y203&amp;""&lt;&gt;""),IF(Y203&lt;=10,"Y","N"),"N"))</f>
        <v>N</v>
      </c>
      <c r="FC203" s="0" t="str">
        <f aca="false">IF(FB203="Y",Y203,"")</f>
        <v/>
      </c>
      <c r="FD203" s="0" t="str">
        <f aca="false">IF($A203="","",IF(AND(CK203="pass",AU203="Y",AV203&lt;&gt;"Y",U203="new",EW203="N"),"Y","N"))</f>
        <v>N</v>
      </c>
      <c r="FE203" s="0" t="str">
        <f aca="false">IF(FD203&lt;&gt;"Y","",IF(COUNTIFS($FD$2:$FD$1000,"Y",$J$2:$J$1000,"&gt;"&amp;J203)+COUNTIFS($FD$2:$FD$1000,"Y",$J$2:$J$1000,J203,$FG$2:$FG$1000,"&lt;"&amp;FG203)+1&lt;=30,COUNTIFS($FD$2:$FD$1000,"Y",$J$2:$J$1000,"&gt;"&amp;J203)+COUNTIFS($FD$2:$FD$1000,"Y",$J$2:$J$1000,J203,$FG$2:$FG$1000,"&lt;"&amp;FG203)+1,""))</f>
        <v/>
      </c>
      <c r="FF203" s="0" t="str">
        <f aca="false">IF(AND(_xlfn.ISFORMULA(C203),_xlfn.ISFORMULA(J203)),"Y","N")</f>
        <v>Y</v>
      </c>
      <c r="FG203" s="0" t="n">
        <f aca="false">ROW()-1</f>
        <v>202</v>
      </c>
    </row>
    <row r="204" customFormat="false" ht="15" hidden="false" customHeight="false" outlineLevel="0" collapsed="false">
      <c r="A204" s="0" t="s">
        <v>10141</v>
      </c>
      <c r="B204" s="0" t="s">
        <v>10142</v>
      </c>
      <c r="C204" s="0" t="str">
        <f aca="false">IF($A204="","",IF(AT204="Y",BL204&amp;"",AY204&amp;""))</f>
        <v>Alak</v>
      </c>
      <c r="D204" s="0" t="str">
        <f aca="false">IF($A204="","",IF(AT204="Y",BM204&amp;"",AZ204&amp;""))</f>
        <v>Vasa</v>
      </c>
      <c r="E204" s="0" t="str">
        <f aca="false">IF($A204="","",IF(AT204="Y",BN204&amp;"",BA204&amp;""))</f>
        <v>Co-founder</v>
      </c>
      <c r="F204" s="0" t="str">
        <f aca="false">IF($A204="","",IF(AT204="Y",BO204&amp;"",BB204&amp;""))</f>
        <v/>
      </c>
      <c r="G204" s="0" t="str">
        <f aca="false">IF($A204="","",IF(AT204="Y",BP204&amp;"",BC204&amp;""))</f>
        <v/>
      </c>
      <c r="H204" s="0" t="str">
        <f aca="false">IF($A204="","",IF(AT204="Y",BQ204&amp;"",BD204&amp;""))</f>
        <v>none</v>
      </c>
      <c r="I204" s="0" t="str">
        <f aca="false">IF($A204="","",IF(R204="Y","warm-intro",IF(H204="verified","email",IF(C204&lt;&gt;"","linkedin",CA204&amp;""))))</f>
        <v>linkedin</v>
      </c>
      <c r="J204" s="0" t="n">
        <f aca="false">IF($A204="","",IF(CK204="pass",ROUND(N(DO204)+N(DP204)+N(DQ204)+N(DR204)+N(DS204)+N(DT204)+N(DU204)+N(DV204),0),0))</f>
        <v>0</v>
      </c>
      <c r="K204" s="0" t="str">
        <f aca="false">IF($A204="","",IF(CK204&lt;&gt;"pass",BY204&amp;"",BY204&amp;", "&amp;IF(AT204="Y",BX204&amp;"",BK204&amp;"")&amp;BZ204&amp;IF(R204="Y","; known to the founder (+10)","")&amp;"."))</f>
        <v>Gated out: health-claim: explicit health claim in the brand's own copy (opened 2026-10-24): 'Improves athletic performance, Accelerates post-workout recovery; elsewhere 'I.</v>
      </c>
      <c r="M204" s="0" t="s">
        <v>5572</v>
      </c>
      <c r="N204" s="0" t="s">
        <v>5573</v>
      </c>
      <c r="O204" s="0" t="s">
        <v>10143</v>
      </c>
      <c r="P204" s="0" t="s">
        <v>10144</v>
      </c>
      <c r="Q204" s="0" t="s">
        <v>9996</v>
      </c>
      <c r="R204" s="5" t="s">
        <v>189</v>
      </c>
      <c r="S204" s="0" t="s">
        <v>209</v>
      </c>
      <c r="T204" s="5" t="s">
        <v>189</v>
      </c>
      <c r="U204" s="5" t="s">
        <v>3896</v>
      </c>
      <c r="V204" s="0" t="s">
        <v>10145</v>
      </c>
      <c r="W204" s="0" t="s">
        <v>263</v>
      </c>
      <c r="X204" s="0" t="s">
        <v>5578</v>
      </c>
      <c r="Y204" s="0" t="str">
        <f aca="false">IF(FA204&lt;&gt;"Y","",COUNTIFS($FA$2:$FA$1000,"Y",$J$2:$J$1000,"&gt;"&amp;J204)+COUNTIFS($FA$2:$FA$1000,"Y",$J$2:$J$1000,J204,$FG$2:$FG$1000,"&lt;"&amp;FG204)+1)</f>
        <v/>
      </c>
      <c r="AA204" s="0" t="s">
        <v>189</v>
      </c>
      <c r="AB204" s="0" t="str">
        <f aca="false">IF($A204="","",IF(AT204="Y",BW204&amp;"",BJ204&amp;""))</f>
        <v/>
      </c>
      <c r="AC204" s="0" t="str">
        <f aca="false">IF($A204="","",IF(AT204="Y",BR204&amp;"",BE204&amp;""))</f>
        <v>founder</v>
      </c>
      <c r="AD204" s="0" t="str">
        <f aca="false">IF($A204="","",IF(AT204="Y",BS204&amp;"",BF204&amp;""))</f>
        <v>verified-page</v>
      </c>
      <c r="AE204" s="0" t="str">
        <f aca="false">IF($A204="","",IF(AT204="Y",BT204&amp;"",BG204&amp;""))</f>
        <v>employer's own site</v>
      </c>
      <c r="AF204" s="0" t="str">
        <f aca="false">IF($A204="","",IF(AT204="Y",BU204&amp;"",BH204&amp;""))</f>
        <v>https://www.elementstruffles.com/pages/about-us</v>
      </c>
      <c r="AG204" s="0" t="str">
        <f aca="false">IF($A204="","",IF(AT204="Y",BV204&amp;"",BI204&amp;""))</f>
        <v>2026-10-24</v>
      </c>
      <c r="AH204" s="0" t="s">
        <v>10146</v>
      </c>
      <c r="AI204" s="0" t="s">
        <v>5664</v>
      </c>
      <c r="AJ204" s="0" t="s">
        <v>10147</v>
      </c>
      <c r="AK204" s="0" t="s">
        <v>10148</v>
      </c>
      <c r="AL204" s="0" t="s">
        <v>164</v>
      </c>
      <c r="AM204" s="0" t="s">
        <v>10149</v>
      </c>
      <c r="AN204" s="0" t="s">
        <v>10141</v>
      </c>
      <c r="AO204" s="5" t="s">
        <v>189</v>
      </c>
      <c r="AR204" s="0" t="str">
        <f aca="false">IF($A204="","",IF(AND(CK204="pass",AO204&lt;&gt;"Y",C204&lt;&gt;"",OR(AU204&lt;&gt;"Y",AV204="Y")),"Y","N"))</f>
        <v>N</v>
      </c>
      <c r="AS204" s="0" t="str">
        <f aca="false">IF($A204="","",_xlfn.TEXTJOIN("; ",TRUE(),IF(CK204&lt;&gt;"pass","gated out",""),IF(AO204="Y","on hold: "&amp;AP204,""),IF(C204="","no contact named on an opened page",""),IF(AND(AU204="Y",AV204&lt;&gt;"Y"),"founder review pending (Founder review tab)","")))</f>
        <v>gated out; founder review pending (Founder review tab)</v>
      </c>
      <c r="AU204" s="0" t="s">
        <v>164</v>
      </c>
      <c r="AX204" s="0" t="s">
        <v>10150</v>
      </c>
      <c r="AY204" s="0" t="s">
        <v>10151</v>
      </c>
      <c r="AZ204" s="0" t="s">
        <v>10152</v>
      </c>
      <c r="BA204" s="0" t="s">
        <v>5636</v>
      </c>
      <c r="BC204" s="0" t="str">
        <f aca="false">IF($A204="","",IFERROR(INDEX(Enrichment!$A$2:$GZ$2000,MATCH($A204,INDEX(Enrichment!$A$2:$GZ$2000,0,MATCH("row_id",Enrichment!$A$1:$GZ$1,0)),0),MATCH("work_email",Enrichment!$A$1:$GZ$1,0))&amp;"",""))</f>
        <v/>
      </c>
      <c r="BD204" s="0" t="str">
        <f aca="false">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none</v>
      </c>
      <c r="BE204" s="0" t="s">
        <v>5589</v>
      </c>
      <c r="BF204" s="0" t="s">
        <v>169</v>
      </c>
      <c r="BG204" s="0" t="s">
        <v>170</v>
      </c>
      <c r="BH204" s="0" t="s">
        <v>10145</v>
      </c>
      <c r="BI204" s="0" t="s">
        <v>172</v>
      </c>
      <c r="BK204" s="0" t="s">
        <v>5643</v>
      </c>
      <c r="BL204" s="0" t="s">
        <v>10153</v>
      </c>
      <c r="BM204" s="0" t="s">
        <v>10154</v>
      </c>
      <c r="BN204" s="0" t="s">
        <v>5636</v>
      </c>
      <c r="BP204" s="0" t="str">
        <f aca="false">IF($A204="","",IFERROR(INDEX(Enrichment!$A$2:$GZ$2000,MATCH($A204,INDEX(Enrichment!$A$2:$GZ$2000,0,MATCH("row_id",Enrichment!$A$1:$GZ$1,0)),0),MATCH("backup_work_email",Enrichment!$A$1:$GZ$1,0))&amp;"",""))</f>
        <v/>
      </c>
      <c r="BQ204" s="0" t="str">
        <f aca="false">IF($A204="","",IF(BP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none</v>
      </c>
      <c r="BR204" s="0" t="s">
        <v>5712</v>
      </c>
      <c r="BS204" s="0" t="s">
        <v>169</v>
      </c>
      <c r="BT204" s="0" t="s">
        <v>170</v>
      </c>
      <c r="BU204" s="0" t="s">
        <v>10145</v>
      </c>
      <c r="BV204" s="0" t="s">
        <v>172</v>
      </c>
      <c r="BX204" s="0" t="s">
        <v>5643</v>
      </c>
      <c r="BY204" s="0" t="s">
        <v>10155</v>
      </c>
      <c r="CB204" s="0" t="s">
        <v>10156</v>
      </c>
      <c r="CD204" s="0" t="s">
        <v>10157</v>
      </c>
      <c r="CF204" s="0" t="s">
        <v>10158</v>
      </c>
      <c r="CH204" s="0" t="s">
        <v>10159</v>
      </c>
      <c r="CJ204" s="0" t="s">
        <v>5606</v>
      </c>
      <c r="CK204" s="0" t="s">
        <v>4627</v>
      </c>
      <c r="CL204" s="0" t="s">
        <v>10005</v>
      </c>
      <c r="CM204" s="0" t="s">
        <v>10160</v>
      </c>
      <c r="CN204" s="0" t="s">
        <v>6051</v>
      </c>
      <c r="CO204" s="0" t="s">
        <v>10148</v>
      </c>
      <c r="CP204" s="0" t="s">
        <v>5840</v>
      </c>
      <c r="CQ204" s="0" t="s">
        <v>6084</v>
      </c>
      <c r="CR204" s="0" t="s">
        <v>209</v>
      </c>
      <c r="CT204" s="0" t="s">
        <v>164</v>
      </c>
      <c r="CU204" s="0" t="s">
        <v>10161</v>
      </c>
      <c r="CV204" s="0" t="s">
        <v>164</v>
      </c>
      <c r="CW204" s="0" t="s">
        <v>164</v>
      </c>
      <c r="CX204" s="0" t="s">
        <v>209</v>
      </c>
      <c r="CZ204" s="0" t="s">
        <v>209</v>
      </c>
      <c r="DA204" s="0" t="s">
        <v>189</v>
      </c>
      <c r="DB204" s="0" t="s">
        <v>164</v>
      </c>
      <c r="DC204" s="0" t="s">
        <v>10162</v>
      </c>
      <c r="DD204" s="0" t="n">
        <v>0</v>
      </c>
      <c r="DE204" s="0" t="s">
        <v>164</v>
      </c>
      <c r="DF204" s="0" t="n">
        <v>3</v>
      </c>
      <c r="DG204" s="0" t="s">
        <v>5686</v>
      </c>
      <c r="DI204" s="0" t="s">
        <v>5687</v>
      </c>
      <c r="DJ204" s="0" t="s">
        <v>10163</v>
      </c>
      <c r="DK204" s="0" t="s">
        <v>5689</v>
      </c>
      <c r="DL204" s="0" t="n">
        <v>15</v>
      </c>
      <c r="DN204" s="0" t="n">
        <v>58</v>
      </c>
      <c r="DO204" s="0" t="n">
        <v>25</v>
      </c>
      <c r="DP204" s="0" t="n">
        <v>8</v>
      </c>
      <c r="DQ204" s="0" t="n">
        <v>8</v>
      </c>
      <c r="DR204" s="0" t="n">
        <v>5</v>
      </c>
      <c r="DS204" s="0" t="n">
        <v>10</v>
      </c>
      <c r="DT204" s="0" t="n">
        <v>6</v>
      </c>
      <c r="DU204" s="0" t="n">
        <f aca="false">IF($A204="","",IF(R204="Y",10,0))</f>
        <v>0</v>
      </c>
      <c r="DV204" s="0" t="n">
        <v>-4</v>
      </c>
      <c r="DW204" s="0" t="s">
        <v>10164</v>
      </c>
      <c r="DX204" s="0" t="s">
        <v>5691</v>
      </c>
      <c r="DY204" s="0" t="s">
        <v>10165</v>
      </c>
      <c r="DZ204" s="0" t="s">
        <v>10166</v>
      </c>
      <c r="EA204" s="0" t="s">
        <v>10167</v>
      </c>
      <c r="EV204" s="0" t="str">
        <f aca="false">IF($A204="","",IF(ISNUMBER(MATCH(U204,{"queued","contacted","replied","call_booked","call_done","yes_in_principle","materials_sent"},0)),"Y","N"))</f>
        <v>N</v>
      </c>
      <c r="EW204" s="0" t="str">
        <f aca="false">IF($A204="","",IF(OR(T204="Y",U204="do_not_contact",AQ204&amp;""&lt;&gt;""),"Y","N"))</f>
        <v>N</v>
      </c>
      <c r="EX204" s="0" t="str">
        <f aca="false">IF($A204="","",IF(AN204&amp;""&lt;&gt;"",AN204&amp;"",$A204))</f>
        <v>AB-084</v>
      </c>
      <c r="EY204" s="0" t="str">
        <f aca="false">IF($A204="","",IF(COUNTIFS($EX$2:$EX$1000,EX204,$EV$2:$EV$1000,"Y")+COUNTIFS($EX$2:$EX$1000,EX204,$EW$2:$EW$1000,"Y")&gt;0,"Y","N"))</f>
        <v>N</v>
      </c>
      <c r="EZ204" s="0" t="str">
        <f aca="false">IF($A204="","",IF(AND(U204="new",T204="N",EW204="N",AR204="Y",EY204="N"),"Y","N"))</f>
        <v>N</v>
      </c>
      <c r="FA204" s="0" t="str">
        <f aca="false">IF($A204="","",IF(EZ204&lt;&gt;"Y","N",IF(COUNTIFS($EX$2:$EX$1000,EX204,$EZ$2:$EZ$1000,"Y",$J$2:$J$1000,"&gt;"&amp;J204)+COUNTIFS($EX$2:$EX$1000,EX204,$EZ$2:$EZ$1000,"Y",$J$2:$J$1000,J204,$FG$2:$FG$1000,"&lt;"&amp;FG204)=0,"Y","N")))</f>
        <v>N</v>
      </c>
      <c r="FB204" s="0" t="str">
        <f aca="false">IF($A204="","",IF(AND(EZ204="Y",FA204="Y",Y204&amp;""&lt;&gt;""),IF(Y204&lt;=10,"Y","N"),"N"))</f>
        <v>N</v>
      </c>
      <c r="FC204" s="0" t="str">
        <f aca="false">IF(FB204="Y",Y204,"")</f>
        <v/>
      </c>
      <c r="FD204" s="0" t="str">
        <f aca="false">IF($A204="","",IF(AND(CK204="pass",AU204="Y",AV204&lt;&gt;"Y",U204="new",EW204="N"),"Y","N"))</f>
        <v>N</v>
      </c>
      <c r="FE204" s="0" t="str">
        <f aca="false">IF(FD204&lt;&gt;"Y","",IF(COUNTIFS($FD$2:$FD$1000,"Y",$J$2:$J$1000,"&gt;"&amp;J204)+COUNTIFS($FD$2:$FD$1000,"Y",$J$2:$J$1000,J204,$FG$2:$FG$1000,"&lt;"&amp;FG204)+1&lt;=30,COUNTIFS($FD$2:$FD$1000,"Y",$J$2:$J$1000,"&gt;"&amp;J204)+COUNTIFS($FD$2:$FD$1000,"Y",$J$2:$J$1000,J204,$FG$2:$FG$1000,"&lt;"&amp;FG204)+1,""))</f>
        <v/>
      </c>
      <c r="FF204" s="0" t="str">
        <f aca="false">IF(AND(_xlfn.ISFORMULA(C204),_xlfn.ISFORMULA(J204)),"Y","N")</f>
        <v>Y</v>
      </c>
      <c r="FG204" s="0" t="n">
        <f aca="false">ROW()-1</f>
        <v>203</v>
      </c>
    </row>
    <row r="205" customFormat="false" ht="15" hidden="false" customHeight="false" outlineLevel="0" collapsed="false">
      <c r="A205" s="0" t="s">
        <v>10168</v>
      </c>
      <c r="B205" s="0" t="s">
        <v>10169</v>
      </c>
      <c r="C205" s="0" t="str">
        <f aca="false">IF($A205="","",IF(AT205="Y",BL205&amp;"",AY205&amp;""))</f>
        <v>Jukka</v>
      </c>
      <c r="D205" s="0" t="str">
        <f aca="false">IF($A205="","",IF(AT205="Y",BM205&amp;"",AZ205&amp;""))</f>
        <v>Peltola</v>
      </c>
      <c r="E205" s="0" t="str">
        <f aca="false">IF($A205="","",IF(AT205="Y",BN205&amp;"",BA205&amp;""))</f>
        <v>Founder and Chief Creative Officer</v>
      </c>
      <c r="F205" s="0" t="str">
        <f aca="false">IF($A205="","",IF(AT205="Y",BO205&amp;"",BB205&amp;""))</f>
        <v/>
      </c>
      <c r="G205" s="0" t="str">
        <f aca="false">IF($A205="","",IF(AT205="Y",BP205&amp;"",BC205&amp;""))</f>
        <v/>
      </c>
      <c r="H205" s="0" t="str">
        <f aca="false">IF($A205="","",IF(AT205="Y",BQ205&amp;"",BD205&amp;""))</f>
        <v>none</v>
      </c>
      <c r="I205" s="0" t="str">
        <f aca="false">IF($A205="","",IF(R205="Y","warm-intro",IF(H205="verified","email",IF(C205&lt;&gt;"","linkedin",CA205&amp;""))))</f>
        <v>linkedin</v>
      </c>
      <c r="J205" s="0" t="n">
        <f aca="false">IF($A205="","",IF(CK205="pass",ROUND(N(DO205)+N(DP205)+N(DQ205)+N(DR205)+N(DS205)+N(DT205)+N(DU205)+N(DV205),0),0))</f>
        <v>0</v>
      </c>
      <c r="K205" s="0" t="str">
        <f aca="false">IF($A205="","",IF(CK205&lt;&gt;"pass",BY205&amp;"",BY205&amp;", "&amp;IF(AT205="Y",BX205&amp;"",BK205&amp;"")&amp;BZ205&amp;IF(R205="Y","; known to the founder (+10)","")&amp;"."))</f>
        <v>Gated out: health-claim: explicit health claim in the brand's own copy (opened 2026-10-24): 'Promote balance and serenity ..; carefully crafted to enhance your mood throug.</v>
      </c>
      <c r="M205" s="0" t="s">
        <v>5572</v>
      </c>
      <c r="N205" s="0" t="s">
        <v>5573</v>
      </c>
      <c r="O205" s="0" t="s">
        <v>10170</v>
      </c>
      <c r="P205" s="0" t="s">
        <v>10171</v>
      </c>
      <c r="Q205" s="0" t="s">
        <v>6436</v>
      </c>
      <c r="R205" s="5" t="s">
        <v>189</v>
      </c>
      <c r="S205" s="0" t="s">
        <v>209</v>
      </c>
      <c r="T205" s="5" t="s">
        <v>189</v>
      </c>
      <c r="U205" s="5" t="s">
        <v>3896</v>
      </c>
      <c r="V205" s="0" t="s">
        <v>10172</v>
      </c>
      <c r="W205" s="0" t="s">
        <v>263</v>
      </c>
      <c r="X205" s="0" t="s">
        <v>5578</v>
      </c>
      <c r="Y205" s="0" t="str">
        <f aca="false">IF(FA205&lt;&gt;"Y","",COUNTIFS($FA$2:$FA$1000,"Y",$J$2:$J$1000,"&gt;"&amp;J205)+COUNTIFS($FA$2:$FA$1000,"Y",$J$2:$J$1000,J205,$FG$2:$FG$1000,"&lt;"&amp;FG205)+1)</f>
        <v/>
      </c>
      <c r="AA205" s="0" t="s">
        <v>189</v>
      </c>
      <c r="AB205" s="0" t="str">
        <f aca="false">IF($A205="","",IF(AT205="Y",BW205&amp;"",BJ205&amp;""))</f>
        <v/>
      </c>
      <c r="AC205" s="0" t="str">
        <f aca="false">IF($A205="","",IF(AT205="Y",BR205&amp;"",BE205&amp;""))</f>
        <v>founder</v>
      </c>
      <c r="AD205" s="0" t="str">
        <f aca="false">IF($A205="","",IF(AT205="Y",BS205&amp;"",BF205&amp;""))</f>
        <v>verified-page</v>
      </c>
      <c r="AE205" s="0" t="str">
        <f aca="false">IF($A205="","",IF(AT205="Y",BT205&amp;"",BG205&amp;""))</f>
        <v>employer's own site</v>
      </c>
      <c r="AF205" s="0" t="str">
        <f aca="false">IF($A205="","",IF(AT205="Y",BU205&amp;"",BH205&amp;""))</f>
        <v>https://goodiochocolate.com/pages/about-us</v>
      </c>
      <c r="AG205" s="0" t="str">
        <f aca="false">IF($A205="","",IF(AT205="Y",BV205&amp;"",BI205&amp;""))</f>
        <v>2026-10-24</v>
      </c>
      <c r="AH205" s="0" t="s">
        <v>10173</v>
      </c>
      <c r="AI205" s="0" t="s">
        <v>5664</v>
      </c>
      <c r="AJ205" s="0" t="s">
        <v>10174</v>
      </c>
      <c r="AK205" s="0" t="s">
        <v>10175</v>
      </c>
      <c r="AL205" s="0" t="s">
        <v>164</v>
      </c>
      <c r="AM205" s="0" t="s">
        <v>10176</v>
      </c>
      <c r="AN205" s="0" t="s">
        <v>10168</v>
      </c>
      <c r="AO205" s="5" t="s">
        <v>189</v>
      </c>
      <c r="AR205" s="0" t="str">
        <f aca="false">IF($A205="","",IF(AND(CK205="pass",AO205&lt;&gt;"Y",C205&lt;&gt;"",OR(AU205&lt;&gt;"Y",AV205="Y")),"Y","N"))</f>
        <v>N</v>
      </c>
      <c r="AS205" s="0" t="str">
        <f aca="false">IF($A205="","",_xlfn.TEXTJOIN("; ",TRUE(),IF(CK205&lt;&gt;"pass","gated out",""),IF(AO205="Y","on hold: "&amp;AP205,""),IF(C205="","no contact named on an opened page",""),IF(AND(AU205="Y",AV205&lt;&gt;"Y"),"founder review pending (Founder review tab)","")))</f>
        <v>gated out; founder review pending (Founder review tab)</v>
      </c>
      <c r="AU205" s="0" t="s">
        <v>164</v>
      </c>
      <c r="AX205" s="0" t="s">
        <v>10177</v>
      </c>
      <c r="AY205" s="0" t="s">
        <v>10178</v>
      </c>
      <c r="AZ205" s="0" t="s">
        <v>10179</v>
      </c>
      <c r="BA205" s="0" t="s">
        <v>10180</v>
      </c>
      <c r="BC205" s="0" t="str">
        <f aca="false">IF($A205="","",IFERROR(INDEX(Enrichment!$A$2:$GZ$2000,MATCH($A205,INDEX(Enrichment!$A$2:$GZ$2000,0,MATCH("row_id",Enrichment!$A$1:$GZ$1,0)),0),MATCH("work_email",Enrichment!$A$1:$GZ$1,0))&amp;"",""))</f>
        <v/>
      </c>
      <c r="BD205" s="0" t="str">
        <f aca="false">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none</v>
      </c>
      <c r="BE205" s="0" t="s">
        <v>5589</v>
      </c>
      <c r="BF205" s="0" t="s">
        <v>169</v>
      </c>
      <c r="BG205" s="0" t="s">
        <v>170</v>
      </c>
      <c r="BH205" s="0" t="s">
        <v>10172</v>
      </c>
      <c r="BI205" s="0" t="s">
        <v>172</v>
      </c>
      <c r="BK205" s="0" t="s">
        <v>5643</v>
      </c>
      <c r="BL205" s="0" t="s">
        <v>10181</v>
      </c>
      <c r="BM205" s="0" t="s">
        <v>10182</v>
      </c>
      <c r="BN205" s="0" t="s">
        <v>10183</v>
      </c>
      <c r="BP205" s="0" t="str">
        <f aca="false">IF($A205="","",IFERROR(INDEX(Enrichment!$A$2:$GZ$2000,MATCH($A205,INDEX(Enrichment!$A$2:$GZ$2000,0,MATCH("row_id",Enrichment!$A$1:$GZ$1,0)),0),MATCH("backup_work_email",Enrichment!$A$1:$GZ$1,0))&amp;"",""))</f>
        <v/>
      </c>
      <c r="BQ205" s="0" t="str">
        <f aca="false">IF($A205="","",IF(BP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none</v>
      </c>
      <c r="BR205" s="0" t="s">
        <v>5712</v>
      </c>
      <c r="BS205" s="0" t="s">
        <v>283</v>
      </c>
      <c r="BT205" s="0" t="s">
        <v>284</v>
      </c>
      <c r="BU205" s="0" t="s">
        <v>10184</v>
      </c>
      <c r="BV205" s="0" t="s">
        <v>172</v>
      </c>
      <c r="BX205" s="0" t="s">
        <v>5599</v>
      </c>
      <c r="BY205" s="0" t="s">
        <v>10185</v>
      </c>
      <c r="CB205" s="0" t="s">
        <v>10186</v>
      </c>
      <c r="CD205" s="0" t="s">
        <v>10187</v>
      </c>
      <c r="CF205" s="0" t="s">
        <v>10188</v>
      </c>
      <c r="CG205" s="0" t="s">
        <v>7124</v>
      </c>
      <c r="CH205" s="0" t="s">
        <v>10189</v>
      </c>
      <c r="CJ205" s="0" t="s">
        <v>5606</v>
      </c>
      <c r="CK205" s="0" t="s">
        <v>4627</v>
      </c>
      <c r="CL205" s="0" t="s">
        <v>10005</v>
      </c>
      <c r="CM205" s="0" t="s">
        <v>10190</v>
      </c>
      <c r="CN205" s="0" t="s">
        <v>6051</v>
      </c>
      <c r="CO205" s="0" t="s">
        <v>10175</v>
      </c>
      <c r="CP205" s="0" t="s">
        <v>10191</v>
      </c>
      <c r="CQ205" s="0" t="s">
        <v>6198</v>
      </c>
      <c r="CR205" s="0" t="s">
        <v>209</v>
      </c>
      <c r="CT205" s="0" t="s">
        <v>352</v>
      </c>
      <c r="CU205" s="0" t="s">
        <v>5685</v>
      </c>
      <c r="CV205" s="0" t="s">
        <v>164</v>
      </c>
      <c r="CW205" s="0" t="s">
        <v>164</v>
      </c>
      <c r="CX205" s="0" t="s">
        <v>209</v>
      </c>
      <c r="CZ205" s="0" t="s">
        <v>209</v>
      </c>
      <c r="DA205" s="0" t="s">
        <v>189</v>
      </c>
      <c r="DB205" s="0" t="s">
        <v>164</v>
      </c>
      <c r="DC205" s="0" t="s">
        <v>10192</v>
      </c>
      <c r="DD205" s="0" t="n">
        <v>0</v>
      </c>
      <c r="DE205" s="0" t="s">
        <v>164</v>
      </c>
      <c r="DF205" s="0" t="n">
        <v>2</v>
      </c>
      <c r="DG205" s="0" t="s">
        <v>5746</v>
      </c>
      <c r="DI205" s="0" t="s">
        <v>5687</v>
      </c>
      <c r="DJ205" s="0" t="s">
        <v>10193</v>
      </c>
      <c r="DK205" s="0" t="s">
        <v>5689</v>
      </c>
      <c r="DL205" s="0" t="n">
        <v>43</v>
      </c>
      <c r="DN205" s="0" t="n">
        <v>51</v>
      </c>
      <c r="DO205" s="0" t="n">
        <v>25</v>
      </c>
      <c r="DP205" s="0" t="n">
        <v>3</v>
      </c>
      <c r="DQ205" s="0" t="n">
        <v>8</v>
      </c>
      <c r="DR205" s="0" t="n">
        <v>5</v>
      </c>
      <c r="DS205" s="0" t="n">
        <v>8</v>
      </c>
      <c r="DT205" s="0" t="n">
        <v>6</v>
      </c>
      <c r="DU205" s="0" t="n">
        <f aca="false">IF($A205="","",IF(R205="Y",10,0))</f>
        <v>0</v>
      </c>
      <c r="DV205" s="0" t="n">
        <v>-4</v>
      </c>
      <c r="DW205" s="0" t="s">
        <v>10194</v>
      </c>
      <c r="DX205" s="0" t="s">
        <v>5691</v>
      </c>
      <c r="DY205" s="0" t="s">
        <v>10195</v>
      </c>
      <c r="DZ205" s="0" t="s">
        <v>10196</v>
      </c>
      <c r="EA205" s="0" t="s">
        <v>10197</v>
      </c>
      <c r="EV205" s="0" t="str">
        <f aca="false">IF($A205="","",IF(ISNUMBER(MATCH(U205,{"queued","contacted","replied","call_booked","call_done","yes_in_principle","materials_sent"},0)),"Y","N"))</f>
        <v>N</v>
      </c>
      <c r="EW205" s="0" t="str">
        <f aca="false">IF($A205="","",IF(OR(T205="Y",U205="do_not_contact",AQ205&amp;""&lt;&gt;""),"Y","N"))</f>
        <v>N</v>
      </c>
      <c r="EX205" s="0" t="str">
        <f aca="false">IF($A205="","",IF(AN205&amp;""&lt;&gt;"",AN205&amp;"",$A205))</f>
        <v>AB-124</v>
      </c>
      <c r="EY205" s="0" t="str">
        <f aca="false">IF($A205="","",IF(COUNTIFS($EX$2:$EX$1000,EX205,$EV$2:$EV$1000,"Y")+COUNTIFS($EX$2:$EX$1000,EX205,$EW$2:$EW$1000,"Y")&gt;0,"Y","N"))</f>
        <v>N</v>
      </c>
      <c r="EZ205" s="0" t="str">
        <f aca="false">IF($A205="","",IF(AND(U205="new",T205="N",EW205="N",AR205="Y",EY205="N"),"Y","N"))</f>
        <v>N</v>
      </c>
      <c r="FA205" s="0" t="str">
        <f aca="false">IF($A205="","",IF(EZ205&lt;&gt;"Y","N",IF(COUNTIFS($EX$2:$EX$1000,EX205,$EZ$2:$EZ$1000,"Y",$J$2:$J$1000,"&gt;"&amp;J205)+COUNTIFS($EX$2:$EX$1000,EX205,$EZ$2:$EZ$1000,"Y",$J$2:$J$1000,J205,$FG$2:$FG$1000,"&lt;"&amp;FG205)=0,"Y","N")))</f>
        <v>N</v>
      </c>
      <c r="FB205" s="0" t="str">
        <f aca="false">IF($A205="","",IF(AND(EZ205="Y",FA205="Y",Y205&amp;""&lt;&gt;""),IF(Y205&lt;=10,"Y","N"),"N"))</f>
        <v>N</v>
      </c>
      <c r="FC205" s="0" t="str">
        <f aca="false">IF(FB205="Y",Y205,"")</f>
        <v/>
      </c>
      <c r="FD205" s="0" t="str">
        <f aca="false">IF($A205="","",IF(AND(CK205="pass",AU205="Y",AV205&lt;&gt;"Y",U205="new",EW205="N"),"Y","N"))</f>
        <v>N</v>
      </c>
      <c r="FE205" s="0" t="str">
        <f aca="false">IF(FD205&lt;&gt;"Y","",IF(COUNTIFS($FD$2:$FD$1000,"Y",$J$2:$J$1000,"&gt;"&amp;J205)+COUNTIFS($FD$2:$FD$1000,"Y",$J$2:$J$1000,J205,$FG$2:$FG$1000,"&lt;"&amp;FG205)+1&lt;=30,COUNTIFS($FD$2:$FD$1000,"Y",$J$2:$J$1000,"&gt;"&amp;J205)+COUNTIFS($FD$2:$FD$1000,"Y",$J$2:$J$1000,J205,$FG$2:$FG$1000,"&lt;"&amp;FG205)+1,""))</f>
        <v/>
      </c>
      <c r="FF205" s="0" t="str">
        <f aca="false">IF(AND(_xlfn.ISFORMULA(C205),_xlfn.ISFORMULA(J205)),"Y","N")</f>
        <v>Y</v>
      </c>
      <c r="FG205" s="0" t="n">
        <f aca="false">ROW()-1</f>
        <v>204</v>
      </c>
    </row>
    <row r="206" customFormat="false" ht="15" hidden="false" customHeight="false" outlineLevel="0" collapsed="false">
      <c r="A206" s="0" t="s">
        <v>10198</v>
      </c>
      <c r="B206" s="0" t="s">
        <v>10199</v>
      </c>
      <c r="C206" s="0" t="str">
        <f aca="false">IF($A206="","",IF(AT206="Y",BL206&amp;"",AY206&amp;""))</f>
        <v>Robert</v>
      </c>
      <c r="D206" s="0" t="str">
        <f aca="false">IF($A206="","",IF(AT206="Y",BM206&amp;"",AZ206&amp;""))</f>
        <v>Petrarca</v>
      </c>
      <c r="E206" s="0" t="str">
        <f aca="false">IF($A206="","",IF(AT206="Y",BN206&amp;"",BA206&amp;""))</f>
        <v>Co-founder and CEO</v>
      </c>
      <c r="F206" s="0" t="str">
        <f aca="false">IF($A206="","",IF(AT206="Y",BO206&amp;"",BB206&amp;""))</f>
        <v/>
      </c>
      <c r="G206" s="0" t="str">
        <f aca="false">IF($A206="","",IF(AT206="Y",BP206&amp;"",BC206&amp;""))</f>
        <v/>
      </c>
      <c r="H206" s="0" t="str">
        <f aca="false">IF($A206="","",IF(AT206="Y",BQ206&amp;"",BD206&amp;""))</f>
        <v>none</v>
      </c>
      <c r="I206" s="0" t="str">
        <f aca="false">IF($A206="","",IF(R206="Y","warm-intro",IF(H206="verified","email",IF(C206&lt;&gt;"","linkedin",CA206&amp;""))))</f>
        <v>linkedin</v>
      </c>
      <c r="J206" s="0" t="n">
        <f aca="false">IF($A206="","",IF(CK206="pass",ROUND(N(DO206)+N(DP206)+N(DQ206)+N(DR206)+N(DS206)+N(DT206)+N(DU206)+N(DV206),0),0))</f>
        <v>0</v>
      </c>
      <c r="K206" s="0" t="str">
        <f aca="false">IF($A206="","",IF(CK206&lt;&gt;"pass",BY206&amp;"",BY206&amp;", "&amp;IF(AT206="Y",BX206&amp;"",BK206&amp;"")&amp;BZ206&amp;IF(R206="Y","; known to the founder (+10)","")&amp;"."))</f>
        <v>Gated out: health-claim: explicit health claim in the brand's own copy (opened 2026-10-24): 'studies have consistently shown that oats can help reduce cholesterol, reduce.</v>
      </c>
      <c r="M206" s="0" t="s">
        <v>5572</v>
      </c>
      <c r="N206" s="0" t="s">
        <v>5573</v>
      </c>
      <c r="O206" s="0" t="s">
        <v>10200</v>
      </c>
      <c r="P206" s="0" t="s">
        <v>10201</v>
      </c>
      <c r="Q206" s="0" t="s">
        <v>10121</v>
      </c>
      <c r="R206" s="5" t="s">
        <v>189</v>
      </c>
      <c r="S206" s="0" t="s">
        <v>209</v>
      </c>
      <c r="T206" s="5" t="s">
        <v>189</v>
      </c>
      <c r="U206" s="5" t="s">
        <v>3896</v>
      </c>
      <c r="V206" s="0" t="s">
        <v>10202</v>
      </c>
      <c r="W206" s="0" t="s">
        <v>263</v>
      </c>
      <c r="X206" s="0" t="s">
        <v>5578</v>
      </c>
      <c r="Y206" s="0" t="str">
        <f aca="false">IF(FA206&lt;&gt;"Y","",COUNTIFS($FA$2:$FA$1000,"Y",$J$2:$J$1000,"&gt;"&amp;J206)+COUNTIFS($FA$2:$FA$1000,"Y",$J$2:$J$1000,J206,$FG$2:$FG$1000,"&lt;"&amp;FG206)+1)</f>
        <v/>
      </c>
      <c r="AA206" s="0" t="s">
        <v>189</v>
      </c>
      <c r="AB206" s="0" t="str">
        <f aca="false">IF($A206="","",IF(AT206="Y",BW206&amp;"",BJ206&amp;""))</f>
        <v/>
      </c>
      <c r="AC206" s="0" t="str">
        <f aca="false">IF($A206="","",IF(AT206="Y",BR206&amp;"",BE206&amp;""))</f>
        <v>founder</v>
      </c>
      <c r="AD206" s="0" t="str">
        <f aca="false">IF($A206="","",IF(AT206="Y",BS206&amp;"",BF206&amp;""))</f>
        <v>verified-page</v>
      </c>
      <c r="AE206" s="0" t="str">
        <f aca="false">IF($A206="","",IF(AT206="Y",BT206&amp;"",BG206&amp;""))</f>
        <v>employer's own site</v>
      </c>
      <c r="AF206" s="0" t="str">
        <f aca="false">IF($A206="","",IF(AT206="Y",BU206&amp;"",BH206&amp;""))</f>
        <v>https://maxinesheavenly.com/pages/press</v>
      </c>
      <c r="AG206" s="0" t="str">
        <f aca="false">IF($A206="","",IF(AT206="Y",BV206&amp;"",BI206&amp;""))</f>
        <v>2026-10-24</v>
      </c>
      <c r="AH206" s="0" t="s">
        <v>10203</v>
      </c>
      <c r="AI206" s="0" t="s">
        <v>5702</v>
      </c>
      <c r="AJ206" s="0" t="s">
        <v>3538</v>
      </c>
      <c r="AK206" s="0" t="s">
        <v>10204</v>
      </c>
      <c r="AL206" s="0" t="s">
        <v>164</v>
      </c>
      <c r="AM206" s="0" t="s">
        <v>10205</v>
      </c>
      <c r="AN206" s="0" t="s">
        <v>10198</v>
      </c>
      <c r="AO206" s="5" t="s">
        <v>189</v>
      </c>
      <c r="AR206" s="0" t="str">
        <f aca="false">IF($A206="","",IF(AND(CK206="pass",AO206&lt;&gt;"Y",C206&lt;&gt;"",OR(AU206&lt;&gt;"Y",AV206="Y")),"Y","N"))</f>
        <v>N</v>
      </c>
      <c r="AS206" s="0" t="str">
        <f aca="false">IF($A206="","",_xlfn.TEXTJOIN("; ",TRUE(),IF(CK206&lt;&gt;"pass","gated out",""),IF(AO206="Y","on hold: "&amp;AP206,""),IF(C206="","no contact named on an opened page",""),IF(AND(AU206="Y",AV206&lt;&gt;"Y"),"founder review pending (Founder review tab)","")))</f>
        <v>gated out</v>
      </c>
      <c r="AU206" s="0" t="s">
        <v>189</v>
      </c>
      <c r="AX206" s="0" t="s">
        <v>10206</v>
      </c>
      <c r="AY206" s="0" t="s">
        <v>6245</v>
      </c>
      <c r="AZ206" s="0" t="s">
        <v>10207</v>
      </c>
      <c r="BA206" s="0" t="s">
        <v>5830</v>
      </c>
      <c r="BC206" s="0" t="str">
        <f aca="false">IF($A206="","",IFERROR(INDEX(Enrichment!$A$2:$GZ$2000,MATCH($A206,INDEX(Enrichment!$A$2:$GZ$2000,0,MATCH("row_id",Enrichment!$A$1:$GZ$1,0)),0),MATCH("work_email",Enrichment!$A$1:$GZ$1,0))&amp;"",""))</f>
        <v/>
      </c>
      <c r="BD206" s="0" t="str">
        <f aca="false">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none</v>
      </c>
      <c r="BE206" s="0" t="s">
        <v>5589</v>
      </c>
      <c r="BF206" s="0" t="s">
        <v>169</v>
      </c>
      <c r="BG206" s="0" t="s">
        <v>170</v>
      </c>
      <c r="BH206" s="0" t="s">
        <v>10208</v>
      </c>
      <c r="BI206" s="0" t="s">
        <v>172</v>
      </c>
      <c r="BK206" s="0" t="s">
        <v>5643</v>
      </c>
      <c r="BP206" s="0" t="str">
        <f aca="false">IF($A206="","",IFERROR(INDEX(Enrichment!$A$2:$GZ$2000,MATCH($A206,INDEX(Enrichment!$A$2:$GZ$2000,0,MATCH("row_id",Enrichment!$A$1:$GZ$1,0)),0),MATCH("backup_work_email",Enrichment!$A$1:$GZ$1,0))&amp;"",""))</f>
        <v/>
      </c>
      <c r="BQ206" s="0" t="str">
        <f aca="false">IF($A206="","",IF(BP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none</v>
      </c>
      <c r="BS206" s="0" t="s">
        <v>380</v>
      </c>
      <c r="BX206" s="0" t="s">
        <v>388</v>
      </c>
      <c r="BY206" s="0" t="s">
        <v>10209</v>
      </c>
      <c r="CB206" s="0" t="s">
        <v>10210</v>
      </c>
      <c r="CC206" s="0" t="s">
        <v>10211</v>
      </c>
      <c r="CD206" s="0" t="s">
        <v>10212</v>
      </c>
      <c r="CJ206" s="0" t="s">
        <v>5606</v>
      </c>
      <c r="CK206" s="0" t="s">
        <v>4627</v>
      </c>
      <c r="CL206" s="0" t="s">
        <v>10005</v>
      </c>
      <c r="CM206" s="0" t="s">
        <v>10213</v>
      </c>
      <c r="CN206" s="0" t="s">
        <v>7925</v>
      </c>
      <c r="CO206" s="0" t="s">
        <v>10204</v>
      </c>
      <c r="CP206" s="0" t="s">
        <v>6550</v>
      </c>
      <c r="CQ206" s="0" t="s">
        <v>6198</v>
      </c>
      <c r="CR206" s="0" t="s">
        <v>209</v>
      </c>
      <c r="CT206" s="0" t="s">
        <v>164</v>
      </c>
      <c r="CU206" s="0" t="s">
        <v>10214</v>
      </c>
      <c r="CV206" s="0" t="s">
        <v>209</v>
      </c>
      <c r="CW206" s="0" t="s">
        <v>164</v>
      </c>
      <c r="CX206" s="0" t="s">
        <v>209</v>
      </c>
      <c r="CZ206" s="0" t="s">
        <v>209</v>
      </c>
      <c r="DA206" s="0" t="s">
        <v>189</v>
      </c>
      <c r="DB206" s="0" t="s">
        <v>164</v>
      </c>
      <c r="DC206" s="0" t="s">
        <v>10215</v>
      </c>
      <c r="DD206" s="0" t="n">
        <v>0</v>
      </c>
      <c r="DE206" s="0" t="s">
        <v>164</v>
      </c>
      <c r="DF206" s="0" t="n">
        <v>3</v>
      </c>
      <c r="DG206" s="0" t="s">
        <v>5686</v>
      </c>
      <c r="DI206" s="0" t="s">
        <v>10216</v>
      </c>
      <c r="DJ206" s="0" t="s">
        <v>10217</v>
      </c>
      <c r="DK206" s="0" t="s">
        <v>5689</v>
      </c>
      <c r="DL206" s="0" t="n">
        <v>11</v>
      </c>
      <c r="DN206" s="0" t="n">
        <v>51</v>
      </c>
      <c r="DO206" s="0" t="n">
        <v>25</v>
      </c>
      <c r="DP206" s="0" t="n">
        <v>3</v>
      </c>
      <c r="DQ206" s="0" t="n">
        <v>8</v>
      </c>
      <c r="DR206" s="0" t="n">
        <v>5</v>
      </c>
      <c r="DS206" s="0" t="n">
        <v>8</v>
      </c>
      <c r="DT206" s="0" t="n">
        <v>6</v>
      </c>
      <c r="DU206" s="0" t="n">
        <f aca="false">IF($A206="","",IF(R206="Y",10,0))</f>
        <v>0</v>
      </c>
      <c r="DV206" s="0" t="n">
        <v>-4</v>
      </c>
      <c r="DW206" s="0" t="s">
        <v>10218</v>
      </c>
      <c r="DX206" s="0" t="s">
        <v>5691</v>
      </c>
      <c r="DY206" s="0" t="s">
        <v>10219</v>
      </c>
      <c r="DZ206" s="0" t="s">
        <v>10220</v>
      </c>
      <c r="EA206" s="0" t="s">
        <v>10221</v>
      </c>
      <c r="EV206" s="0" t="str">
        <f aca="false">IF($A206="","",IF(ISNUMBER(MATCH(U206,{"queued","contacted","replied","call_booked","call_done","yes_in_principle","materials_sent"},0)),"Y","N"))</f>
        <v>N</v>
      </c>
      <c r="EW206" s="0" t="str">
        <f aca="false">IF($A206="","",IF(OR(T206="Y",U206="do_not_contact",AQ206&amp;""&lt;&gt;""),"Y","N"))</f>
        <v>N</v>
      </c>
      <c r="EX206" s="0" t="str">
        <f aca="false">IF($A206="","",IF(AN206&amp;""&lt;&gt;"",AN206&amp;"",$A206))</f>
        <v>AB-090</v>
      </c>
      <c r="EY206" s="0" t="str">
        <f aca="false">IF($A206="","",IF(COUNTIFS($EX$2:$EX$1000,EX206,$EV$2:$EV$1000,"Y")+COUNTIFS($EX$2:$EX$1000,EX206,$EW$2:$EW$1000,"Y")&gt;0,"Y","N"))</f>
        <v>N</v>
      </c>
      <c r="EZ206" s="0" t="str">
        <f aca="false">IF($A206="","",IF(AND(U206="new",T206="N",EW206="N",AR206="Y",EY206="N"),"Y","N"))</f>
        <v>N</v>
      </c>
      <c r="FA206" s="0" t="str">
        <f aca="false">IF($A206="","",IF(EZ206&lt;&gt;"Y","N",IF(COUNTIFS($EX$2:$EX$1000,EX206,$EZ$2:$EZ$1000,"Y",$J$2:$J$1000,"&gt;"&amp;J206)+COUNTIFS($EX$2:$EX$1000,EX206,$EZ$2:$EZ$1000,"Y",$J$2:$J$1000,J206,$FG$2:$FG$1000,"&lt;"&amp;FG206)=0,"Y","N")))</f>
        <v>N</v>
      </c>
      <c r="FB206" s="0" t="str">
        <f aca="false">IF($A206="","",IF(AND(EZ206="Y",FA206="Y",Y206&amp;""&lt;&gt;""),IF(Y206&lt;=10,"Y","N"),"N"))</f>
        <v>N</v>
      </c>
      <c r="FC206" s="0" t="str">
        <f aca="false">IF(FB206="Y",Y206,"")</f>
        <v/>
      </c>
      <c r="FD206" s="0" t="str">
        <f aca="false">IF($A206="","",IF(AND(CK206="pass",AU206="Y",AV206&lt;&gt;"Y",U206="new",EW206="N"),"Y","N"))</f>
        <v>N</v>
      </c>
      <c r="FE206" s="0" t="str">
        <f aca="false">IF(FD206&lt;&gt;"Y","",IF(COUNTIFS($FD$2:$FD$1000,"Y",$J$2:$J$1000,"&gt;"&amp;J206)+COUNTIFS($FD$2:$FD$1000,"Y",$J$2:$J$1000,J206,$FG$2:$FG$1000,"&lt;"&amp;FG206)+1&lt;=30,COUNTIFS($FD$2:$FD$1000,"Y",$J$2:$J$1000,"&gt;"&amp;J206)+COUNTIFS($FD$2:$FD$1000,"Y",$J$2:$J$1000,J206,$FG$2:$FG$1000,"&lt;"&amp;FG206)+1,""))</f>
        <v/>
      </c>
      <c r="FF206" s="0" t="str">
        <f aca="false">IF(AND(_xlfn.ISFORMULA(C206),_xlfn.ISFORMULA(J206)),"Y","N")</f>
        <v>Y</v>
      </c>
      <c r="FG206" s="0" t="n">
        <f aca="false">ROW()-1</f>
        <v>205</v>
      </c>
    </row>
    <row r="207" customFormat="false" ht="15" hidden="false" customHeight="false" outlineLevel="0" collapsed="false">
      <c r="A207" s="0" t="s">
        <v>10222</v>
      </c>
      <c r="B207" s="0" t="s">
        <v>10223</v>
      </c>
      <c r="C207" s="0" t="str">
        <f aca="false">IF($A207="","",IF(AT207="Y",BL207&amp;"",AY207&amp;""))</f>
        <v>Juan</v>
      </c>
      <c r="D207" s="0" t="str">
        <f aca="false">IF($A207="","",IF(AT207="Y",BM207&amp;"",AZ207&amp;""))</f>
        <v>Nino</v>
      </c>
      <c r="E207" s="0" t="str">
        <f aca="false">IF($A207="","",IF(AT207="Y",BN207&amp;"",BA207&amp;""))</f>
        <v>Director of Marketing</v>
      </c>
      <c r="F207" s="0" t="str">
        <f aca="false">IF($A207="","",IF(AT207="Y",BO207&amp;"",BB207&amp;""))</f>
        <v/>
      </c>
      <c r="G207" s="0" t="str">
        <f aca="false">IF($A207="","",IF(AT207="Y",BP207&amp;"",BC207&amp;""))</f>
        <v/>
      </c>
      <c r="H207" s="0" t="str">
        <f aca="false">IF($A207="","",IF(AT207="Y",BQ207&amp;"",BD207&amp;""))</f>
        <v>none</v>
      </c>
      <c r="I207" s="0" t="str">
        <f aca="false">IF($A207="","",IF(R207="Y","warm-intro",IF(H207="verified","email",IF(C207&lt;&gt;"","linkedin",CA207&amp;""))))</f>
        <v>linkedin</v>
      </c>
      <c r="J207" s="0" t="n">
        <f aca="false">IF($A207="","",IF(CK207="pass",ROUND(N(DO207)+N(DP207)+N(DQ207)+N(DR207)+N(DS207)+N(DT207)+N(DU207)+N(DV207),0),0))</f>
        <v>0</v>
      </c>
      <c r="K207" s="0" t="str">
        <f aca="false">IF($A207="","",IF(CK207&lt;&gt;"pass",BY207&amp;"",BY207&amp;", "&amp;IF(AT207="Y",BX207&amp;"",BK207&amp;"")&amp;BZ207&amp;IF(R207="Y","; known to the founder (+10)","")&amp;"."))</f>
        <v>Gated out: health-claim: explicit health claim in the brand's own copy (opened 2026-10-24): 'nutrient-dense goodness that helps support gut health; cassava chips 'known fo.</v>
      </c>
      <c r="M207" s="0" t="s">
        <v>5572</v>
      </c>
      <c r="N207" s="0" t="s">
        <v>5573</v>
      </c>
      <c r="O207" s="0" t="s">
        <v>10224</v>
      </c>
      <c r="P207" s="0" t="s">
        <v>10225</v>
      </c>
      <c r="Q207" s="0" t="s">
        <v>1421</v>
      </c>
      <c r="R207" s="5" t="s">
        <v>189</v>
      </c>
      <c r="S207" s="0" t="s">
        <v>209</v>
      </c>
      <c r="T207" s="5" t="s">
        <v>189</v>
      </c>
      <c r="U207" s="5" t="s">
        <v>3896</v>
      </c>
      <c r="V207" s="0" t="s">
        <v>10226</v>
      </c>
      <c r="W207" s="0" t="s">
        <v>263</v>
      </c>
      <c r="X207" s="0" t="s">
        <v>5578</v>
      </c>
      <c r="Y207" s="0" t="str">
        <f aca="false">IF(FA207&lt;&gt;"Y","",COUNTIFS($FA$2:$FA$1000,"Y",$J$2:$J$1000,"&gt;"&amp;J207)+COUNTIFS($FA$2:$FA$1000,"Y",$J$2:$J$1000,J207,$FG$2:$FG$1000,"&lt;"&amp;FG207)+1)</f>
        <v/>
      </c>
      <c r="AA207" s="0" t="s">
        <v>189</v>
      </c>
      <c r="AB207" s="0" t="str">
        <f aca="false">IF($A207="","",IF(AT207="Y",BW207&amp;"",BJ207&amp;""))</f>
        <v/>
      </c>
      <c r="AC207" s="0" t="str">
        <f aca="false">IF($A207="","",IF(AT207="Y",BR207&amp;"",BE207&amp;""))</f>
        <v>marketing lead</v>
      </c>
      <c r="AD207" s="0" t="str">
        <f aca="false">IF($A207="","",IF(AT207="Y",BS207&amp;"",BF207&amp;""))</f>
        <v>verified-page</v>
      </c>
      <c r="AE207" s="0" t="str">
        <f aca="false">IF($A207="","",IF(AT207="Y",BT207&amp;"",BG207&amp;""))</f>
        <v>press, event or podcast page</v>
      </c>
      <c r="AF207" s="0" t="str">
        <f aca="false">IF($A207="","",IF(AT207="Y",BU207&amp;"",BH207&amp;""))</f>
        <v>https://accelerators.target.com/alumni-stories/meet-artisan-tropic-of-target-takeoff-food-beverage-2021/</v>
      </c>
      <c r="AG207" s="0" t="str">
        <f aca="false">IF($A207="","",IF(AT207="Y",BV207&amp;"",BI207&amp;""))</f>
        <v>2026-10-24</v>
      </c>
      <c r="AH207" s="0" t="s">
        <v>10227</v>
      </c>
      <c r="AI207" s="0" t="s">
        <v>5789</v>
      </c>
      <c r="AJ207" s="0" t="s">
        <v>10228</v>
      </c>
      <c r="AK207" s="0" t="s">
        <v>10229</v>
      </c>
      <c r="AL207" s="0" t="s">
        <v>189</v>
      </c>
      <c r="AN207" s="0" t="s">
        <v>10222</v>
      </c>
      <c r="AO207" s="5" t="s">
        <v>189</v>
      </c>
      <c r="AR207" s="0" t="str">
        <f aca="false">IF($A207="","",IF(AND(CK207="pass",AO207&lt;&gt;"Y",C207&lt;&gt;"",OR(AU207&lt;&gt;"Y",AV207="Y")),"Y","N"))</f>
        <v>N</v>
      </c>
      <c r="AS207" s="0" t="str">
        <f aca="false">IF($A207="","",_xlfn.TEXTJOIN("; ",TRUE(),IF(CK207&lt;&gt;"pass","gated out",""),IF(AO207="Y","on hold: "&amp;AP207,""),IF(C207="","no contact named on an opened page",""),IF(AND(AU207="Y",AV207&lt;&gt;"Y"),"founder review pending (Founder review tab)","")))</f>
        <v>gated out</v>
      </c>
      <c r="AU207" s="0" t="s">
        <v>189</v>
      </c>
      <c r="AX207" s="0" t="s">
        <v>10230</v>
      </c>
      <c r="AY207" s="0" t="s">
        <v>10231</v>
      </c>
      <c r="AZ207" s="0" t="s">
        <v>10232</v>
      </c>
      <c r="BA207" s="0" t="s">
        <v>6219</v>
      </c>
      <c r="BC207" s="0" t="str">
        <f aca="false">IF($A207="","",IFERROR(INDEX(Enrichment!$A$2:$GZ$2000,MATCH($A207,INDEX(Enrichment!$A$2:$GZ$2000,0,MATCH("row_id",Enrichment!$A$1:$GZ$1,0)),0),MATCH("work_email",Enrichment!$A$1:$GZ$1,0))&amp;"",""))</f>
        <v/>
      </c>
      <c r="BD207" s="0" t="str">
        <f aca="false">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none</v>
      </c>
      <c r="BE207" s="0" t="s">
        <v>5596</v>
      </c>
      <c r="BF207" s="0" t="s">
        <v>169</v>
      </c>
      <c r="BG207" s="0" t="s">
        <v>1252</v>
      </c>
      <c r="BH207" s="0" t="s">
        <v>10233</v>
      </c>
      <c r="BI207" s="0" t="s">
        <v>172</v>
      </c>
      <c r="BK207" s="0" t="s">
        <v>10234</v>
      </c>
      <c r="BL207" s="0" t="s">
        <v>10235</v>
      </c>
      <c r="BM207" s="0" t="s">
        <v>10232</v>
      </c>
      <c r="BN207" s="0" t="s">
        <v>5711</v>
      </c>
      <c r="BP207" s="0" t="str">
        <f aca="false">IF($A207="","",IFERROR(INDEX(Enrichment!$A$2:$GZ$2000,MATCH($A207,INDEX(Enrichment!$A$2:$GZ$2000,0,MATCH("row_id",Enrichment!$A$1:$GZ$1,0)),0),MATCH("backup_work_email",Enrichment!$A$1:$GZ$1,0))&amp;"",""))</f>
        <v/>
      </c>
      <c r="BQ207" s="0" t="str">
        <f aca="false">IF($A207="","",IF(BP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none</v>
      </c>
      <c r="BR207" s="0" t="s">
        <v>5712</v>
      </c>
      <c r="BS207" s="0" t="s">
        <v>169</v>
      </c>
      <c r="BT207" s="0" t="s">
        <v>1252</v>
      </c>
      <c r="BU207" s="0" t="s">
        <v>10233</v>
      </c>
      <c r="BV207" s="0" t="s">
        <v>172</v>
      </c>
      <c r="BX207" s="0" t="s">
        <v>5638</v>
      </c>
      <c r="BY207" s="0" t="s">
        <v>10236</v>
      </c>
      <c r="CB207" s="0" t="s">
        <v>10237</v>
      </c>
      <c r="CC207" s="0" t="s">
        <v>10238</v>
      </c>
      <c r="CD207" s="0" t="s">
        <v>10239</v>
      </c>
      <c r="CF207" s="0" t="s">
        <v>10240</v>
      </c>
      <c r="CH207" s="0" t="s">
        <v>10241</v>
      </c>
      <c r="CJ207" s="0" t="s">
        <v>5606</v>
      </c>
      <c r="CK207" s="0" t="s">
        <v>4627</v>
      </c>
      <c r="CL207" s="0" t="s">
        <v>10005</v>
      </c>
      <c r="CM207" s="0" t="s">
        <v>10242</v>
      </c>
      <c r="CO207" s="0" t="s">
        <v>10229</v>
      </c>
      <c r="CP207" s="0" t="s">
        <v>7845</v>
      </c>
      <c r="CQ207" s="0" t="s">
        <v>6198</v>
      </c>
      <c r="CR207" s="0" t="s">
        <v>209</v>
      </c>
      <c r="CT207" s="0" t="s">
        <v>164</v>
      </c>
      <c r="CU207" s="0" t="s">
        <v>10243</v>
      </c>
      <c r="CV207" s="0" t="s">
        <v>164</v>
      </c>
      <c r="CW207" s="0" t="s">
        <v>164</v>
      </c>
      <c r="CX207" s="0" t="s">
        <v>209</v>
      </c>
      <c r="CZ207" s="0" t="s">
        <v>209</v>
      </c>
      <c r="DA207" s="0" t="s">
        <v>189</v>
      </c>
      <c r="DB207" s="0" t="s">
        <v>164</v>
      </c>
      <c r="DC207" s="0" t="s">
        <v>10244</v>
      </c>
      <c r="DD207" s="0" t="n">
        <v>0</v>
      </c>
      <c r="DE207" s="0" t="s">
        <v>164</v>
      </c>
      <c r="DF207" s="0" t="n">
        <v>3</v>
      </c>
      <c r="DG207" s="0" t="s">
        <v>5686</v>
      </c>
      <c r="DI207" s="0" t="s">
        <v>6054</v>
      </c>
      <c r="DJ207" s="0" t="s">
        <v>10245</v>
      </c>
      <c r="DK207" s="0" t="s">
        <v>5689</v>
      </c>
      <c r="DL207" s="0" t="n">
        <v>213</v>
      </c>
      <c r="DN207" s="0" t="n">
        <v>54</v>
      </c>
      <c r="DO207" s="0" t="n">
        <v>25</v>
      </c>
      <c r="DP207" s="0" t="n">
        <v>3</v>
      </c>
      <c r="DQ207" s="0" t="n">
        <v>4</v>
      </c>
      <c r="DR207" s="0" t="n">
        <v>5</v>
      </c>
      <c r="DS207" s="0" t="n">
        <v>10</v>
      </c>
      <c r="DT207" s="0" t="n">
        <v>7</v>
      </c>
      <c r="DU207" s="0" t="n">
        <f aca="false">IF($A207="","",IF(R207="Y",10,0))</f>
        <v>0</v>
      </c>
      <c r="DV207" s="0" t="n">
        <v>0</v>
      </c>
      <c r="DW207" s="0" t="s">
        <v>209</v>
      </c>
      <c r="DX207" s="0" t="s">
        <v>5814</v>
      </c>
      <c r="DY207" s="0" t="s">
        <v>10246</v>
      </c>
      <c r="DZ207" s="0" t="s">
        <v>10247</v>
      </c>
      <c r="EA207" s="0" t="s">
        <v>10248</v>
      </c>
      <c r="EV207" s="0" t="str">
        <f aca="false">IF($A207="","",IF(ISNUMBER(MATCH(U207,{"queued","contacted","replied","call_booked","call_done","yes_in_principle","materials_sent"},0)),"Y","N"))</f>
        <v>N</v>
      </c>
      <c r="EW207" s="0" t="str">
        <f aca="false">IF($A207="","",IF(OR(T207="Y",U207="do_not_contact",AQ207&amp;""&lt;&gt;""),"Y","N"))</f>
        <v>N</v>
      </c>
      <c r="EX207" s="0" t="str">
        <f aca="false">IF($A207="","",IF(AN207&amp;""&lt;&gt;"",AN207&amp;"",$A207))</f>
        <v>AB-034</v>
      </c>
      <c r="EY207" s="0" t="str">
        <f aca="false">IF($A207="","",IF(COUNTIFS($EX$2:$EX$1000,EX207,$EV$2:$EV$1000,"Y")+COUNTIFS($EX$2:$EX$1000,EX207,$EW$2:$EW$1000,"Y")&gt;0,"Y","N"))</f>
        <v>N</v>
      </c>
      <c r="EZ207" s="0" t="str">
        <f aca="false">IF($A207="","",IF(AND(U207="new",T207="N",EW207="N",AR207="Y",EY207="N"),"Y","N"))</f>
        <v>N</v>
      </c>
      <c r="FA207" s="0" t="str">
        <f aca="false">IF($A207="","",IF(EZ207&lt;&gt;"Y","N",IF(COUNTIFS($EX$2:$EX$1000,EX207,$EZ$2:$EZ$1000,"Y",$J$2:$J$1000,"&gt;"&amp;J207)+COUNTIFS($EX$2:$EX$1000,EX207,$EZ$2:$EZ$1000,"Y",$J$2:$J$1000,J207,$FG$2:$FG$1000,"&lt;"&amp;FG207)=0,"Y","N")))</f>
        <v>N</v>
      </c>
      <c r="FB207" s="0" t="str">
        <f aca="false">IF($A207="","",IF(AND(EZ207="Y",FA207="Y",Y207&amp;""&lt;&gt;""),IF(Y207&lt;=10,"Y","N"),"N"))</f>
        <v>N</v>
      </c>
      <c r="FC207" s="0" t="str">
        <f aca="false">IF(FB207="Y",Y207,"")</f>
        <v/>
      </c>
      <c r="FD207" s="0" t="str">
        <f aca="false">IF($A207="","",IF(AND(CK207="pass",AU207="Y",AV207&lt;&gt;"Y",U207="new",EW207="N"),"Y","N"))</f>
        <v>N</v>
      </c>
      <c r="FE207" s="0" t="str">
        <f aca="false">IF(FD207&lt;&gt;"Y","",IF(COUNTIFS($FD$2:$FD$1000,"Y",$J$2:$J$1000,"&gt;"&amp;J207)+COUNTIFS($FD$2:$FD$1000,"Y",$J$2:$J$1000,J207,$FG$2:$FG$1000,"&lt;"&amp;FG207)+1&lt;=30,COUNTIFS($FD$2:$FD$1000,"Y",$J$2:$J$1000,"&gt;"&amp;J207)+COUNTIFS($FD$2:$FD$1000,"Y",$J$2:$J$1000,J207,$FG$2:$FG$1000,"&lt;"&amp;FG207)+1,""))</f>
        <v/>
      </c>
      <c r="FF207" s="0" t="str">
        <f aca="false">IF(AND(_xlfn.ISFORMULA(C207),_xlfn.ISFORMULA(J207)),"Y","N")</f>
        <v>Y</v>
      </c>
      <c r="FG207" s="0" t="n">
        <f aca="false">ROW()-1</f>
        <v>206</v>
      </c>
    </row>
    <row r="208" customFormat="false" ht="15" hidden="false" customHeight="false" outlineLevel="0" collapsed="false">
      <c r="A208" s="0" t="s">
        <v>10249</v>
      </c>
      <c r="B208" s="0" t="s">
        <v>10250</v>
      </c>
      <c r="C208" s="0" t="str">
        <f aca="false">IF($A208="","",IF(AT208="Y",BL208&amp;"",AY208&amp;""))</f>
        <v>Caron</v>
      </c>
      <c r="D208" s="0" t="str">
        <f aca="false">IF($A208="","",IF(AT208="Y",BM208&amp;"",AZ208&amp;""))</f>
        <v>Proschan</v>
      </c>
      <c r="E208" s="0" t="str">
        <f aca="false">IF($A208="","",IF(AT208="Y",BN208&amp;"",BA208&amp;""))</f>
        <v>Founder and CEO</v>
      </c>
      <c r="F208" s="0" t="str">
        <f aca="false">IF($A208="","",IF(AT208="Y",BO208&amp;"",BB208&amp;""))</f>
        <v/>
      </c>
      <c r="G208" s="0" t="str">
        <f aca="false">IF($A208="","",IF(AT208="Y",BP208&amp;"",BC208&amp;""))</f>
        <v/>
      </c>
      <c r="H208" s="0" t="str">
        <f aca="false">IF($A208="","",IF(AT208="Y",BQ208&amp;"",BD208&amp;""))</f>
        <v>none</v>
      </c>
      <c r="I208" s="0" t="str">
        <f aca="false">IF($A208="","",IF(R208="Y","warm-intro",IF(H208="verified","email",IF(C208&lt;&gt;"","linkedin",CA208&amp;""))))</f>
        <v>linkedin</v>
      </c>
      <c r="J208" s="0" t="n">
        <f aca="false">IF($A208="","",IF(CK208="pass",ROUND(N(DO208)+N(DP208)+N(DQ208)+N(DR208)+N(DS208)+N(DT208)+N(DU208)+N(DV208),0),0))</f>
        <v>0</v>
      </c>
      <c r="K208" s="0" t="str">
        <f aca="false">IF($A208="","",IF(CK208&lt;&gt;"pass",BY208&amp;"",BY208&amp;", "&amp;IF(AT208="Y",BX208&amp;"",BK208&amp;"")&amp;BZ208&amp;IF(R208="Y","; known to the founder (+10)","")&amp;"."))</f>
        <v>Gated out: health-claim: explicit health claim in the brand's own copy (opened 2026-10-24): 'sweetened with xylitol to fight cavities and protect enamel while you chew' (h.</v>
      </c>
      <c r="M208" s="0" t="s">
        <v>5572</v>
      </c>
      <c r="N208" s="0" t="s">
        <v>5573</v>
      </c>
      <c r="O208" s="0" t="s">
        <v>10251</v>
      </c>
      <c r="P208" s="0" t="s">
        <v>10252</v>
      </c>
      <c r="Q208" s="0" t="s">
        <v>8201</v>
      </c>
      <c r="R208" s="5" t="s">
        <v>189</v>
      </c>
      <c r="S208" s="0" t="s">
        <v>209</v>
      </c>
      <c r="T208" s="5" t="s">
        <v>189</v>
      </c>
      <c r="U208" s="5" t="s">
        <v>3896</v>
      </c>
      <c r="V208" s="0" t="s">
        <v>10253</v>
      </c>
      <c r="W208" s="0" t="s">
        <v>263</v>
      </c>
      <c r="X208" s="0" t="s">
        <v>5578</v>
      </c>
      <c r="Y208" s="0" t="str">
        <f aca="false">IF(FA208&lt;&gt;"Y","",COUNTIFS($FA$2:$FA$1000,"Y",$J$2:$J$1000,"&gt;"&amp;J208)+COUNTIFS($FA$2:$FA$1000,"Y",$J$2:$J$1000,J208,$FG$2:$FG$1000,"&lt;"&amp;FG208)+1)</f>
        <v/>
      </c>
      <c r="AA208" s="0" t="s">
        <v>189</v>
      </c>
      <c r="AB208" s="0" t="str">
        <f aca="false">IF($A208="","",IF(AT208="Y",BW208&amp;"",BJ208&amp;""))</f>
        <v/>
      </c>
      <c r="AC208" s="0" t="str">
        <f aca="false">IF($A208="","",IF(AT208="Y",BR208&amp;"",BE208&amp;""))</f>
        <v>founder</v>
      </c>
      <c r="AD208" s="0" t="str">
        <f aca="false">IF($A208="","",IF(AT208="Y",BS208&amp;"",BF208&amp;""))</f>
        <v>verified-page</v>
      </c>
      <c r="AE208" s="0" t="str">
        <f aca="false">IF($A208="","",IF(AT208="Y",BT208&amp;"",BG208&amp;""))</f>
        <v>press, event or podcast page</v>
      </c>
      <c r="AF208" s="0" t="str">
        <f aca="false">IF($A208="","",IF(AT208="Y",BU208&amp;"",BH208&amp;""))</f>
        <v>https://www.snackandbakery.com/articles/112597-video-simply-on-vegan-candy-treats</v>
      </c>
      <c r="AG208" s="0" t="str">
        <f aca="false">IF($A208="","",IF(AT208="Y",BV208&amp;"",BI208&amp;""))</f>
        <v>2026-10-24</v>
      </c>
      <c r="AH208" s="0" t="s">
        <v>10254</v>
      </c>
      <c r="AI208" s="0" t="s">
        <v>5664</v>
      </c>
      <c r="AJ208" s="0" t="s">
        <v>10255</v>
      </c>
      <c r="AK208" s="0" t="s">
        <v>10256</v>
      </c>
      <c r="AL208" s="0" t="s">
        <v>164</v>
      </c>
      <c r="AM208" s="0" t="s">
        <v>10257</v>
      </c>
      <c r="AN208" s="0" t="s">
        <v>10249</v>
      </c>
      <c r="AO208" s="5" t="s">
        <v>189</v>
      </c>
      <c r="AR208" s="0" t="str">
        <f aca="false">IF($A208="","",IF(AND(CK208="pass",AO208&lt;&gt;"Y",C208&lt;&gt;"",OR(AU208&lt;&gt;"Y",AV208="Y")),"Y","N"))</f>
        <v>N</v>
      </c>
      <c r="AS208" s="0" t="str">
        <f aca="false">IF($A208="","",_xlfn.TEXTJOIN("; ",TRUE(),IF(CK208&lt;&gt;"pass","gated out",""),IF(AO208="Y","on hold: "&amp;AP208,""),IF(C208="","no contact named on an opened page",""),IF(AND(AU208="Y",AV208&lt;&gt;"Y"),"founder review pending (Founder review tab)","")))</f>
        <v>gated out; founder review pending (Founder review tab)</v>
      </c>
      <c r="AU208" s="0" t="s">
        <v>164</v>
      </c>
      <c r="AX208" s="0" t="s">
        <v>10258</v>
      </c>
      <c r="AY208" s="0" t="s">
        <v>10259</v>
      </c>
      <c r="AZ208" s="0" t="s">
        <v>10260</v>
      </c>
      <c r="BA208" s="0" t="s">
        <v>5670</v>
      </c>
      <c r="BC208" s="0" t="str">
        <f aca="false">IF($A208="","",IFERROR(INDEX(Enrichment!$A$2:$GZ$2000,MATCH($A208,INDEX(Enrichment!$A$2:$GZ$2000,0,MATCH("row_id",Enrichment!$A$1:$GZ$1,0)),0),MATCH("work_email",Enrichment!$A$1:$GZ$1,0))&amp;"",""))</f>
        <v/>
      </c>
      <c r="BD208" s="0" t="str">
        <f aca="false">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none</v>
      </c>
      <c r="BE208" s="0" t="s">
        <v>5589</v>
      </c>
      <c r="BF208" s="0" t="s">
        <v>169</v>
      </c>
      <c r="BG208" s="0" t="s">
        <v>1252</v>
      </c>
      <c r="BH208" s="0" t="s">
        <v>10261</v>
      </c>
      <c r="BI208" s="0" t="s">
        <v>172</v>
      </c>
      <c r="BK208" s="0" t="s">
        <v>5638</v>
      </c>
      <c r="BL208" s="0" t="s">
        <v>10262</v>
      </c>
      <c r="BM208" s="0" t="s">
        <v>10263</v>
      </c>
      <c r="BN208" s="0" t="s">
        <v>10264</v>
      </c>
      <c r="BP208" s="0" t="str">
        <f aca="false">IF($A208="","",IFERROR(INDEX(Enrichment!$A$2:$GZ$2000,MATCH($A208,INDEX(Enrichment!$A$2:$GZ$2000,0,MATCH("row_id",Enrichment!$A$1:$GZ$1,0)),0),MATCH("backup_work_email",Enrichment!$A$1:$GZ$1,0))&amp;"",""))</f>
        <v/>
      </c>
      <c r="BQ208" s="0" t="str">
        <f aca="false">IF($A208="","",IF(BP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none</v>
      </c>
      <c r="BR208" s="0" t="s">
        <v>5596</v>
      </c>
      <c r="BS208" s="0" t="s">
        <v>283</v>
      </c>
      <c r="BT208" s="0" t="s">
        <v>284</v>
      </c>
      <c r="BU208" s="0" t="s">
        <v>10265</v>
      </c>
      <c r="BV208" s="0" t="s">
        <v>172</v>
      </c>
      <c r="BX208" s="0" t="s">
        <v>5599</v>
      </c>
      <c r="BY208" s="0" t="s">
        <v>10266</v>
      </c>
      <c r="CB208" s="0" t="s">
        <v>10267</v>
      </c>
      <c r="CD208" s="0" t="s">
        <v>10268</v>
      </c>
      <c r="CF208" s="0" t="s">
        <v>10269</v>
      </c>
      <c r="CG208" s="0" t="s">
        <v>6195</v>
      </c>
      <c r="CH208" s="0" t="s">
        <v>10270</v>
      </c>
      <c r="CJ208" s="0" t="s">
        <v>5606</v>
      </c>
      <c r="CK208" s="0" t="s">
        <v>4627</v>
      </c>
      <c r="CL208" s="0" t="s">
        <v>10005</v>
      </c>
      <c r="CM208" s="0" t="s">
        <v>10271</v>
      </c>
      <c r="CN208" s="0" t="s">
        <v>6051</v>
      </c>
      <c r="CO208" s="0" t="s">
        <v>10256</v>
      </c>
      <c r="CP208" s="0" t="s">
        <v>5608</v>
      </c>
      <c r="CQ208" s="0" t="s">
        <v>5609</v>
      </c>
      <c r="CR208" s="0" t="s">
        <v>209</v>
      </c>
      <c r="CT208" s="0" t="s">
        <v>164</v>
      </c>
      <c r="CU208" s="0" t="s">
        <v>10272</v>
      </c>
      <c r="CV208" s="0" t="s">
        <v>164</v>
      </c>
      <c r="CW208" s="0" t="s">
        <v>164</v>
      </c>
      <c r="CX208" s="0" t="s">
        <v>209</v>
      </c>
      <c r="CZ208" s="0" t="s">
        <v>209</v>
      </c>
      <c r="DA208" s="0" t="s">
        <v>189</v>
      </c>
      <c r="DB208" s="0" t="s">
        <v>164</v>
      </c>
      <c r="DC208" s="0" t="s">
        <v>10273</v>
      </c>
      <c r="DD208" s="0" t="n">
        <v>0</v>
      </c>
      <c r="DE208" s="0" t="s">
        <v>164</v>
      </c>
      <c r="DF208" s="0" t="n">
        <v>3</v>
      </c>
      <c r="DG208" s="0" t="s">
        <v>5686</v>
      </c>
      <c r="DH208" s="0" t="s">
        <v>5969</v>
      </c>
      <c r="DI208" s="0" t="s">
        <v>10274</v>
      </c>
      <c r="DJ208" s="0" t="s">
        <v>10275</v>
      </c>
      <c r="DK208" s="0" t="s">
        <v>5689</v>
      </c>
      <c r="DL208" s="0" t="n">
        <v>241</v>
      </c>
      <c r="DN208" s="0" t="n">
        <v>70</v>
      </c>
      <c r="DO208" s="0" t="n">
        <v>25</v>
      </c>
      <c r="DP208" s="0" t="n">
        <v>20</v>
      </c>
      <c r="DQ208" s="0" t="n">
        <v>4</v>
      </c>
      <c r="DR208" s="0" t="n">
        <v>5</v>
      </c>
      <c r="DS208" s="0" t="n">
        <v>10</v>
      </c>
      <c r="DT208" s="0" t="n">
        <v>10</v>
      </c>
      <c r="DU208" s="0" t="n">
        <f aca="false">IF($A208="","",IF(R208="Y",10,0))</f>
        <v>0</v>
      </c>
      <c r="DV208" s="0" t="n">
        <v>-4</v>
      </c>
      <c r="DW208" s="0" t="s">
        <v>10276</v>
      </c>
      <c r="DX208" s="0" t="s">
        <v>5619</v>
      </c>
      <c r="DY208" s="0" t="s">
        <v>10277</v>
      </c>
      <c r="DZ208" s="0" t="s">
        <v>10278</v>
      </c>
      <c r="EA208" s="0" t="s">
        <v>10279</v>
      </c>
      <c r="EV208" s="0" t="str">
        <f aca="false">IF($A208="","",IF(ISNUMBER(MATCH(U208,{"queued","contacted","replied","call_booked","call_done","yes_in_principle","materials_sent"},0)),"Y","N"))</f>
        <v>N</v>
      </c>
      <c r="EW208" s="0" t="str">
        <f aca="false">IF($A208="","",IF(OR(T208="Y",U208="do_not_contact",AQ208&amp;""&lt;&gt;""),"Y","N"))</f>
        <v>N</v>
      </c>
      <c r="EX208" s="0" t="str">
        <f aca="false">IF($A208="","",IF(AN208&amp;""&lt;&gt;"",AN208&amp;"",$A208))</f>
        <v>AB-233</v>
      </c>
      <c r="EY208" s="0" t="str">
        <f aca="false">IF($A208="","",IF(COUNTIFS($EX$2:$EX$1000,EX208,$EV$2:$EV$1000,"Y")+COUNTIFS($EX$2:$EX$1000,EX208,$EW$2:$EW$1000,"Y")&gt;0,"Y","N"))</f>
        <v>N</v>
      </c>
      <c r="EZ208" s="0" t="str">
        <f aca="false">IF($A208="","",IF(AND(U208="new",T208="N",EW208="N",AR208="Y",EY208="N"),"Y","N"))</f>
        <v>N</v>
      </c>
      <c r="FA208" s="0" t="str">
        <f aca="false">IF($A208="","",IF(EZ208&lt;&gt;"Y","N",IF(COUNTIFS($EX$2:$EX$1000,EX208,$EZ$2:$EZ$1000,"Y",$J$2:$J$1000,"&gt;"&amp;J208)+COUNTIFS($EX$2:$EX$1000,EX208,$EZ$2:$EZ$1000,"Y",$J$2:$J$1000,J208,$FG$2:$FG$1000,"&lt;"&amp;FG208)=0,"Y","N")))</f>
        <v>N</v>
      </c>
      <c r="FB208" s="0" t="str">
        <f aca="false">IF($A208="","",IF(AND(EZ208="Y",FA208="Y",Y208&amp;""&lt;&gt;""),IF(Y208&lt;=10,"Y","N"),"N"))</f>
        <v>N</v>
      </c>
      <c r="FC208" s="0" t="str">
        <f aca="false">IF(FB208="Y",Y208,"")</f>
        <v/>
      </c>
      <c r="FD208" s="0" t="str">
        <f aca="false">IF($A208="","",IF(AND(CK208="pass",AU208="Y",AV208&lt;&gt;"Y",U208="new",EW208="N"),"Y","N"))</f>
        <v>N</v>
      </c>
      <c r="FE208" s="0" t="str">
        <f aca="false">IF(FD208&lt;&gt;"Y","",IF(COUNTIFS($FD$2:$FD$1000,"Y",$J$2:$J$1000,"&gt;"&amp;J208)+COUNTIFS($FD$2:$FD$1000,"Y",$J$2:$J$1000,J208,$FG$2:$FG$1000,"&lt;"&amp;FG208)+1&lt;=30,COUNTIFS($FD$2:$FD$1000,"Y",$J$2:$J$1000,"&gt;"&amp;J208)+COUNTIFS($FD$2:$FD$1000,"Y",$J$2:$J$1000,J208,$FG$2:$FG$1000,"&lt;"&amp;FG208)+1,""))</f>
        <v/>
      </c>
      <c r="FF208" s="0" t="str">
        <f aca="false">IF(AND(_xlfn.ISFORMULA(C208),_xlfn.ISFORMULA(J208)),"Y","N")</f>
        <v>Y</v>
      </c>
      <c r="FG208" s="0" t="n">
        <f aca="false">ROW()-1</f>
        <v>207</v>
      </c>
    </row>
    <row r="209" customFormat="false" ht="15" hidden="false" customHeight="false" outlineLevel="0" collapsed="false">
      <c r="A209" s="0" t="s">
        <v>10280</v>
      </c>
      <c r="B209" s="0" t="s">
        <v>10281</v>
      </c>
      <c r="C209" s="0" t="str">
        <f aca="false">IF($A209="","",IF(AT209="Y",BL209&amp;"",AY209&amp;""))</f>
        <v>Nicole</v>
      </c>
      <c r="D209" s="0" t="str">
        <f aca="false">IF($A209="","",IF(AT209="Y",BM209&amp;"",AZ209&amp;""))</f>
        <v>Ledoux</v>
      </c>
      <c r="E209" s="0" t="str">
        <f aca="false">IF($A209="","",IF(AT209="Y",BN209&amp;"",BA209&amp;""))</f>
        <v>Co-founder and CEO</v>
      </c>
      <c r="F209" s="0" t="str">
        <f aca="false">IF($A209="","",IF(AT209="Y",BO209&amp;"",BB209&amp;""))</f>
        <v/>
      </c>
      <c r="G209" s="0" t="str">
        <f aca="false">IF($A209="","",IF(AT209="Y",BP209&amp;"",BC209&amp;""))</f>
        <v/>
      </c>
      <c r="H209" s="0" t="str">
        <f aca="false">IF($A209="","",IF(AT209="Y",BQ209&amp;"",BD209&amp;""))</f>
        <v>none</v>
      </c>
      <c r="I209" s="0" t="str">
        <f aca="false">IF($A209="","",IF(R209="Y","warm-intro",IF(H209="verified","email",IF(C209&lt;&gt;"","linkedin",CA209&amp;""))))</f>
        <v>linkedin</v>
      </c>
      <c r="J209" s="0" t="n">
        <f aca="false">IF($A209="","",IF(CK209="pass",ROUND(N(DO209)+N(DP209)+N(DQ209)+N(DR209)+N(DS209)+N(DT209)+N(DU209)+N(DV209),0),0))</f>
        <v>0</v>
      </c>
      <c r="K209" s="0" t="str">
        <f aca="false">IF($A209="","",IF(CK209&lt;&gt;"pass",BY209&amp;"",BY209&amp;", "&amp;IF(AT209="Y",BX209&amp;"",BK209&amp;"")&amp;BZ209&amp;IF(R209="Y","; known to the founder (+10)","")&amp;"."))</f>
        <v>Gated out: health-claim: explicit health claim in the brand's own copy (opened 2026-10-24): 'dark chocolate ..; can help to lower blood pressure and reduce the risk of hea.</v>
      </c>
      <c r="M209" s="0" t="s">
        <v>5572</v>
      </c>
      <c r="N209" s="0" t="s">
        <v>5573</v>
      </c>
      <c r="R209" s="5" t="s">
        <v>189</v>
      </c>
      <c r="S209" s="0" t="s">
        <v>209</v>
      </c>
      <c r="T209" s="5" t="s">
        <v>189</v>
      </c>
      <c r="U209" s="5" t="s">
        <v>3896</v>
      </c>
      <c r="V209" s="0" t="s">
        <v>10282</v>
      </c>
      <c r="W209" s="0" t="s">
        <v>263</v>
      </c>
      <c r="X209" s="0" t="s">
        <v>5578</v>
      </c>
      <c r="Y209" s="0" t="str">
        <f aca="false">IF(FA209&lt;&gt;"Y","",COUNTIFS($FA$2:$FA$1000,"Y",$J$2:$J$1000,"&gt;"&amp;J209)+COUNTIFS($FA$2:$FA$1000,"Y",$J$2:$J$1000,J209,$FG$2:$FG$1000,"&lt;"&amp;FG209)+1)</f>
        <v/>
      </c>
      <c r="AA209" s="0" t="s">
        <v>189</v>
      </c>
      <c r="AB209" s="0" t="str">
        <f aca="false">IF($A209="","",IF(AT209="Y",BW209&amp;"",BJ209&amp;""))</f>
        <v/>
      </c>
      <c r="AC209" s="0" t="str">
        <f aca="false">IF($A209="","",IF(AT209="Y",BR209&amp;"",BE209&amp;""))</f>
        <v>founder</v>
      </c>
      <c r="AD209" s="0" t="str">
        <f aca="false">IF($A209="","",IF(AT209="Y",BS209&amp;"",BF209&amp;""))</f>
        <v>verified-page</v>
      </c>
      <c r="AE209" s="0" t="str">
        <f aca="false">IF($A209="","",IF(AT209="Y",BT209&amp;"",BG209&amp;""))</f>
        <v>employer's own site</v>
      </c>
      <c r="AF209" s="0" t="str">
        <f aca="false">IF($A209="","",IF(AT209="Y",BU209&amp;"",BH209&amp;""))</f>
        <v>https://88acres.com/pages/our-story</v>
      </c>
      <c r="AG209" s="0" t="str">
        <f aca="false">IF($A209="","",IF(AT209="Y",BV209&amp;"",BI209&amp;""))</f>
        <v>2026-10-24</v>
      </c>
      <c r="AH209" s="0" t="s">
        <v>10283</v>
      </c>
      <c r="AI209" s="0" t="s">
        <v>6007</v>
      </c>
      <c r="AJ209" s="0" t="s">
        <v>10284</v>
      </c>
      <c r="AK209" s="0" t="s">
        <v>10285</v>
      </c>
      <c r="AL209" s="0" t="s">
        <v>164</v>
      </c>
      <c r="AM209" s="0" t="s">
        <v>10286</v>
      </c>
      <c r="AN209" s="0" t="s">
        <v>10280</v>
      </c>
      <c r="AO209" s="5" t="s">
        <v>189</v>
      </c>
      <c r="AR209" s="0" t="str">
        <f aca="false">IF($A209="","",IF(AND(CK209="pass",AO209&lt;&gt;"Y",C209&lt;&gt;"",OR(AU209&lt;&gt;"Y",AV209="Y")),"Y","N"))</f>
        <v>N</v>
      </c>
      <c r="AS209" s="0" t="str">
        <f aca="false">IF($A209="","",_xlfn.TEXTJOIN("; ",TRUE(),IF(CK209&lt;&gt;"pass","gated out",""),IF(AO209="Y","on hold: "&amp;AP209,""),IF(C209="","no contact named on an opened page",""),IF(AND(AU209="Y",AV209&lt;&gt;"Y"),"founder review pending (Founder review tab)","")))</f>
        <v>gated out</v>
      </c>
      <c r="AU209" s="0" t="s">
        <v>189</v>
      </c>
      <c r="AX209" s="0" t="s">
        <v>10287</v>
      </c>
      <c r="AY209" s="0" t="s">
        <v>7960</v>
      </c>
      <c r="AZ209" s="0" t="s">
        <v>10288</v>
      </c>
      <c r="BA209" s="0" t="s">
        <v>5830</v>
      </c>
      <c r="BC209" s="0" t="str">
        <f aca="false">IF($A209="","",IFERROR(INDEX(Enrichment!$A$2:$GZ$2000,MATCH($A209,INDEX(Enrichment!$A$2:$GZ$2000,0,MATCH("row_id",Enrichment!$A$1:$GZ$1,0)),0),MATCH("work_email",Enrichment!$A$1:$GZ$1,0))&amp;"",""))</f>
        <v/>
      </c>
      <c r="BD209" s="0" t="str">
        <f aca="false">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none</v>
      </c>
      <c r="BE209" s="0" t="s">
        <v>5589</v>
      </c>
      <c r="BF209" s="0" t="s">
        <v>169</v>
      </c>
      <c r="BG209" s="0" t="s">
        <v>170</v>
      </c>
      <c r="BH209" s="0" t="s">
        <v>10282</v>
      </c>
      <c r="BI209" s="0" t="s">
        <v>172</v>
      </c>
      <c r="BK209" s="0" t="s">
        <v>5638</v>
      </c>
      <c r="BL209" s="0" t="s">
        <v>10289</v>
      </c>
      <c r="BM209" s="0" t="s">
        <v>10290</v>
      </c>
      <c r="BN209" s="0" t="s">
        <v>10291</v>
      </c>
      <c r="BP209" s="0" t="str">
        <f aca="false">IF($A209="","",IFERROR(INDEX(Enrichment!$A$2:$GZ$2000,MATCH($A209,INDEX(Enrichment!$A$2:$GZ$2000,0,MATCH("row_id",Enrichment!$A$1:$GZ$1,0)),0),MATCH("backup_work_email",Enrichment!$A$1:$GZ$1,0))&amp;"",""))</f>
        <v/>
      </c>
      <c r="BQ209" s="0" t="str">
        <f aca="false">IF($A209="","",IF(BP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none</v>
      </c>
      <c r="BR209" s="0" t="s">
        <v>5596</v>
      </c>
      <c r="BS209" s="0" t="s">
        <v>283</v>
      </c>
      <c r="BT209" s="0" t="s">
        <v>284</v>
      </c>
      <c r="BU209" s="0" t="s">
        <v>10292</v>
      </c>
      <c r="BV209" s="0" t="s">
        <v>172</v>
      </c>
      <c r="BX209" s="0" t="s">
        <v>5599</v>
      </c>
      <c r="BY209" s="0" t="s">
        <v>10293</v>
      </c>
      <c r="CB209" s="0" t="s">
        <v>10294</v>
      </c>
      <c r="CC209" s="0" t="s">
        <v>10295</v>
      </c>
      <c r="CD209" s="0" t="s">
        <v>10296</v>
      </c>
      <c r="CF209" s="0" t="s">
        <v>10297</v>
      </c>
      <c r="CG209" s="0" t="s">
        <v>10295</v>
      </c>
      <c r="CH209" s="0" t="s">
        <v>10298</v>
      </c>
      <c r="CJ209" s="0" t="s">
        <v>6764</v>
      </c>
      <c r="CK209" s="0" t="s">
        <v>4627</v>
      </c>
      <c r="CL209" s="0" t="s">
        <v>10005</v>
      </c>
      <c r="CM209" s="0" t="s">
        <v>10299</v>
      </c>
      <c r="CN209" s="0" t="s">
        <v>5607</v>
      </c>
      <c r="CO209" s="0" t="s">
        <v>10285</v>
      </c>
      <c r="CP209" s="0" t="s">
        <v>6083</v>
      </c>
      <c r="CQ209" s="0" t="s">
        <v>6084</v>
      </c>
      <c r="CR209" s="0" t="s">
        <v>209</v>
      </c>
      <c r="CT209" s="0" t="s">
        <v>164</v>
      </c>
      <c r="CU209" s="0" t="s">
        <v>10300</v>
      </c>
      <c r="CV209" s="0" t="s">
        <v>164</v>
      </c>
      <c r="CW209" s="0" t="s">
        <v>164</v>
      </c>
      <c r="CX209" s="0" t="s">
        <v>209</v>
      </c>
      <c r="CZ209" s="0" t="s">
        <v>209</v>
      </c>
      <c r="DA209" s="0" t="s">
        <v>189</v>
      </c>
      <c r="DB209" s="0" t="s">
        <v>164</v>
      </c>
      <c r="DC209" s="0" t="s">
        <v>10301</v>
      </c>
      <c r="DD209" s="0" t="n">
        <v>0</v>
      </c>
      <c r="DE209" s="0" t="s">
        <v>164</v>
      </c>
      <c r="DF209" s="0" t="n">
        <v>3</v>
      </c>
      <c r="DG209" s="0" t="s">
        <v>5686</v>
      </c>
      <c r="DI209" s="0" t="s">
        <v>10302</v>
      </c>
      <c r="DJ209" s="0" t="s">
        <v>10303</v>
      </c>
      <c r="DK209" s="0" t="s">
        <v>380</v>
      </c>
      <c r="DN209" s="0" t="n">
        <v>54</v>
      </c>
      <c r="DO209" s="0" t="n">
        <v>25</v>
      </c>
      <c r="DP209" s="0" t="n">
        <v>8</v>
      </c>
      <c r="DQ209" s="0" t="n">
        <v>0</v>
      </c>
      <c r="DR209" s="0" t="n">
        <v>5</v>
      </c>
      <c r="DS209" s="0" t="n">
        <v>10</v>
      </c>
      <c r="DT209" s="0" t="n">
        <v>10</v>
      </c>
      <c r="DU209" s="0" t="n">
        <f aca="false">IF($A209="","",IF(R209="Y",10,0))</f>
        <v>0</v>
      </c>
      <c r="DV209" s="0" t="n">
        <v>-4</v>
      </c>
      <c r="DW209" s="0" t="s">
        <v>10304</v>
      </c>
      <c r="DX209" s="0" t="s">
        <v>5691</v>
      </c>
      <c r="DY209" s="0" t="s">
        <v>10305</v>
      </c>
      <c r="DZ209" s="0" t="s">
        <v>10306</v>
      </c>
      <c r="EA209" s="0" t="s">
        <v>10307</v>
      </c>
      <c r="EV209" s="0" t="str">
        <f aca="false">IF($A209="","",IF(ISNUMBER(MATCH(U209,{"queued","contacted","replied","call_booked","call_done","yes_in_principle","materials_sent"},0)),"Y","N"))</f>
        <v>N</v>
      </c>
      <c r="EW209" s="0" t="str">
        <f aca="false">IF($A209="","",IF(OR(T209="Y",U209="do_not_contact",AQ209&amp;""&lt;&gt;""),"Y","N"))</f>
        <v>N</v>
      </c>
      <c r="EX209" s="0" t="str">
        <f aca="false">IF($A209="","",IF(AN209&amp;""&lt;&gt;"",AN209&amp;"",$A209))</f>
        <v>AB-104</v>
      </c>
      <c r="EY209" s="0" t="str">
        <f aca="false">IF($A209="","",IF(COUNTIFS($EX$2:$EX$1000,EX209,$EV$2:$EV$1000,"Y")+COUNTIFS($EX$2:$EX$1000,EX209,$EW$2:$EW$1000,"Y")&gt;0,"Y","N"))</f>
        <v>N</v>
      </c>
      <c r="EZ209" s="0" t="str">
        <f aca="false">IF($A209="","",IF(AND(U209="new",T209="N",EW209="N",AR209="Y",EY209="N"),"Y","N"))</f>
        <v>N</v>
      </c>
      <c r="FA209" s="0" t="str">
        <f aca="false">IF($A209="","",IF(EZ209&lt;&gt;"Y","N",IF(COUNTIFS($EX$2:$EX$1000,EX209,$EZ$2:$EZ$1000,"Y",$J$2:$J$1000,"&gt;"&amp;J209)+COUNTIFS($EX$2:$EX$1000,EX209,$EZ$2:$EZ$1000,"Y",$J$2:$J$1000,J209,$FG$2:$FG$1000,"&lt;"&amp;FG209)=0,"Y","N")))</f>
        <v>N</v>
      </c>
      <c r="FB209" s="0" t="str">
        <f aca="false">IF($A209="","",IF(AND(EZ209="Y",FA209="Y",Y209&amp;""&lt;&gt;""),IF(Y209&lt;=10,"Y","N"),"N"))</f>
        <v>N</v>
      </c>
      <c r="FC209" s="0" t="str">
        <f aca="false">IF(FB209="Y",Y209,"")</f>
        <v/>
      </c>
      <c r="FD209" s="0" t="str">
        <f aca="false">IF($A209="","",IF(AND(CK209="pass",AU209="Y",AV209&lt;&gt;"Y",U209="new",EW209="N"),"Y","N"))</f>
        <v>N</v>
      </c>
      <c r="FE209" s="0" t="str">
        <f aca="false">IF(FD209&lt;&gt;"Y","",IF(COUNTIFS($FD$2:$FD$1000,"Y",$J$2:$J$1000,"&gt;"&amp;J209)+COUNTIFS($FD$2:$FD$1000,"Y",$J$2:$J$1000,J209,$FG$2:$FG$1000,"&lt;"&amp;FG209)+1&lt;=30,COUNTIFS($FD$2:$FD$1000,"Y",$J$2:$J$1000,"&gt;"&amp;J209)+COUNTIFS($FD$2:$FD$1000,"Y",$J$2:$J$1000,J209,$FG$2:$FG$1000,"&lt;"&amp;FG209)+1,""))</f>
        <v/>
      </c>
      <c r="FF209" s="0" t="str">
        <f aca="false">IF(AND(_xlfn.ISFORMULA(C209),_xlfn.ISFORMULA(J209)),"Y","N")</f>
        <v>Y</v>
      </c>
      <c r="FG209" s="0" t="n">
        <f aca="false">ROW()-1</f>
        <v>208</v>
      </c>
    </row>
    <row r="210" customFormat="false" ht="15" hidden="false" customHeight="false" outlineLevel="0" collapsed="false">
      <c r="A210" s="0" t="s">
        <v>10308</v>
      </c>
      <c r="B210" s="0" t="s">
        <v>10309</v>
      </c>
      <c r="C210" s="0" t="str">
        <f aca="false">IF($A210="","",IF(AT210="Y",BL210&amp;"",AY210&amp;""))</f>
        <v>Aaron</v>
      </c>
      <c r="D210" s="0" t="str">
        <f aca="false">IF($A210="","",IF(AT210="Y",BM210&amp;"",AZ210&amp;""))</f>
        <v>Gatti</v>
      </c>
      <c r="E210" s="0" t="str">
        <f aca="false">IF($A210="","",IF(AT210="Y",BN210&amp;"",BA210&amp;""))</f>
        <v>Founder</v>
      </c>
      <c r="F210" s="0" t="str">
        <f aca="false">IF($A210="","",IF(AT210="Y",BO210&amp;"",BB210&amp;""))</f>
        <v/>
      </c>
      <c r="G210" s="0" t="str">
        <f aca="false">IF($A210="","",IF(AT210="Y",BP210&amp;"",BC210&amp;""))</f>
        <v/>
      </c>
      <c r="H210" s="0" t="str">
        <f aca="false">IF($A210="","",IF(AT210="Y",BQ210&amp;"",BD210&amp;""))</f>
        <v>none</v>
      </c>
      <c r="I210" s="0" t="str">
        <f aca="false">IF($A210="","",IF(R210="Y","warm-intro",IF(H210="verified","email",IF(C210&lt;&gt;"","linkedin",CA210&amp;""))))</f>
        <v>linkedin</v>
      </c>
      <c r="J210" s="0" t="n">
        <f aca="false">IF($A210="","",IF(CK210="pass",ROUND(N(DO210)+N(DP210)+N(DQ210)+N(DR210)+N(DS210)+N(DT210)+N(DU210)+N(DV210),0),0))</f>
        <v>0</v>
      </c>
      <c r="K210" s="0" t="str">
        <f aca="false">IF($A210="","",IF(CK210&lt;&gt;"pass",BY210&amp;"",BY210&amp;", "&amp;IF(AT210="Y",BX210&amp;"",BK210&amp;"")&amp;BZ210&amp;IF(R210="Y","; known to the founder (+10)","")&amp;"."))</f>
        <v>Gated out: health-claim: Explicit structure/function wording on brand FAQ: lupini 'support digestion', 'appetite-suppressing', 'without spiking your blood sugar'.</v>
      </c>
      <c r="M210" s="0" t="s">
        <v>5572</v>
      </c>
      <c r="N210" s="0" t="s">
        <v>5573</v>
      </c>
      <c r="R210" s="5" t="s">
        <v>189</v>
      </c>
      <c r="S210" s="0" t="s">
        <v>164</v>
      </c>
      <c r="T210" s="5" t="s">
        <v>189</v>
      </c>
      <c r="U210" s="5" t="s">
        <v>3896</v>
      </c>
      <c r="V210" s="0" t="s">
        <v>10310</v>
      </c>
      <c r="W210" s="0" t="s">
        <v>263</v>
      </c>
      <c r="X210" s="0" t="s">
        <v>5578</v>
      </c>
      <c r="Y210" s="0" t="str">
        <f aca="false">IF(FA210&lt;&gt;"Y","",COUNTIFS($FA$2:$FA$1000,"Y",$J$2:$J$1000,"&gt;"&amp;J210)+COUNTIFS($FA$2:$FA$1000,"Y",$J$2:$J$1000,J210,$FG$2:$FG$1000,"&lt;"&amp;FG210)+1)</f>
        <v/>
      </c>
      <c r="AA210" s="0" t="s">
        <v>189</v>
      </c>
      <c r="AB210" s="0" t="str">
        <f aca="false">IF($A210="","",IF(AT210="Y",BW210&amp;"",BJ210&amp;""))</f>
        <v/>
      </c>
      <c r="AC210" s="0" t="str">
        <f aca="false">IF($A210="","",IF(AT210="Y",BR210&amp;"",BE210&amp;""))</f>
        <v>founder</v>
      </c>
      <c r="AD210" s="0" t="str">
        <f aca="false">IF($A210="","",IF(AT210="Y",BS210&amp;"",BF210&amp;""))</f>
        <v>verified-page</v>
      </c>
      <c r="AE210" s="0" t="str">
        <f aca="false">IF($A210="","",IF(AT210="Y",BT210&amp;"",BG210&amp;""))</f>
        <v>employer's own site</v>
      </c>
      <c r="AF210" s="0" t="str">
        <f aca="false">IF($A210="","",IF(AT210="Y",BU210&amp;"",BH210&amp;""))</f>
        <v>https://enjoybrami.com/pages/brand-story</v>
      </c>
      <c r="AG210" s="0" t="str">
        <f aca="false">IF($A210="","",IF(AT210="Y",BV210&amp;"",BI210&amp;""))</f>
        <v>2026-10-23</v>
      </c>
      <c r="AH210" s="0" t="s">
        <v>10311</v>
      </c>
      <c r="AI210" s="0" t="s">
        <v>6042</v>
      </c>
      <c r="AJ210" s="0" t="s">
        <v>10312</v>
      </c>
      <c r="AK210" s="0" t="s">
        <v>10313</v>
      </c>
      <c r="AL210" s="0" t="s">
        <v>164</v>
      </c>
      <c r="AM210" s="0" t="s">
        <v>10314</v>
      </c>
      <c r="AN210" s="0" t="s">
        <v>10308</v>
      </c>
      <c r="AO210" s="5" t="s">
        <v>189</v>
      </c>
      <c r="AR210" s="0" t="str">
        <f aca="false">IF($A210="","",IF(AND(CK210="pass",AO210&lt;&gt;"Y",C210&lt;&gt;"",OR(AU210&lt;&gt;"Y",AV210="Y")),"Y","N"))</f>
        <v>N</v>
      </c>
      <c r="AS210" s="0" t="str">
        <f aca="false">IF($A210="","",_xlfn.TEXTJOIN("; ",TRUE(),IF(CK210&lt;&gt;"pass","gated out",""),IF(AO210="Y","on hold: "&amp;AP210,""),IF(C210="","no contact named on an opened page",""),IF(AND(AU210="Y",AV210&lt;&gt;"Y"),"founder review pending (Founder review tab)","")))</f>
        <v>gated out; founder review pending (Founder review tab)</v>
      </c>
      <c r="AU210" s="0" t="s">
        <v>164</v>
      </c>
      <c r="AX210" s="0" t="s">
        <v>10315</v>
      </c>
      <c r="AY210" s="0" t="s">
        <v>7624</v>
      </c>
      <c r="AZ210" s="0" t="s">
        <v>10316</v>
      </c>
      <c r="BA210" s="0" t="s">
        <v>5739</v>
      </c>
      <c r="BC210" s="0" t="str">
        <f aca="false">IF($A210="","",IFERROR(INDEX(Enrichment!$A$2:$GZ$2000,MATCH($A210,INDEX(Enrichment!$A$2:$GZ$2000,0,MATCH("row_id",Enrichment!$A$1:$GZ$1,0)),0),MATCH("work_email",Enrichment!$A$1:$GZ$1,0))&amp;"",""))</f>
        <v/>
      </c>
      <c r="BD210" s="0" t="str">
        <f aca="false">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none</v>
      </c>
      <c r="BE210" s="0" t="s">
        <v>5589</v>
      </c>
      <c r="BF210" s="0" t="s">
        <v>169</v>
      </c>
      <c r="BG210" s="0" t="s">
        <v>170</v>
      </c>
      <c r="BH210" s="0" t="s">
        <v>10317</v>
      </c>
      <c r="BI210" s="0" t="s">
        <v>263</v>
      </c>
      <c r="BK210" s="0" t="s">
        <v>5643</v>
      </c>
      <c r="BP210" s="0" t="str">
        <f aca="false">IF($A210="","",IFERROR(INDEX(Enrichment!$A$2:$GZ$2000,MATCH($A210,INDEX(Enrichment!$A$2:$GZ$2000,0,MATCH("row_id",Enrichment!$A$1:$GZ$1,0)),0),MATCH("backup_work_email",Enrichment!$A$1:$GZ$1,0))&amp;"",""))</f>
        <v/>
      </c>
      <c r="BQ210" s="0" t="str">
        <f aca="false">IF($A210="","",IF(BP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none</v>
      </c>
      <c r="BS210" s="0" t="s">
        <v>380</v>
      </c>
      <c r="BX210" s="0" t="s">
        <v>388</v>
      </c>
      <c r="BY210" s="0" t="s">
        <v>10318</v>
      </c>
      <c r="CB210" s="0" t="s">
        <v>10319</v>
      </c>
      <c r="CJ210" s="0" t="s">
        <v>7088</v>
      </c>
      <c r="CK210" s="0" t="s">
        <v>4627</v>
      </c>
      <c r="CL210" s="0" t="s">
        <v>10005</v>
      </c>
      <c r="CM210" s="0" t="s">
        <v>10320</v>
      </c>
      <c r="CN210" s="0" t="s">
        <v>6026</v>
      </c>
      <c r="CO210" s="0" t="s">
        <v>10321</v>
      </c>
      <c r="CP210" s="0" t="s">
        <v>10322</v>
      </c>
      <c r="CQ210" s="0" t="s">
        <v>7189</v>
      </c>
      <c r="CR210" s="0" t="s">
        <v>10323</v>
      </c>
      <c r="CT210" s="0" t="s">
        <v>164</v>
      </c>
      <c r="CU210" s="0" t="s">
        <v>10324</v>
      </c>
      <c r="CV210" s="0" t="s">
        <v>164</v>
      </c>
      <c r="CW210" s="0" t="s">
        <v>164</v>
      </c>
      <c r="CX210" s="0" t="s">
        <v>209</v>
      </c>
      <c r="CZ210" s="0" t="s">
        <v>209</v>
      </c>
      <c r="DA210" s="0" t="s">
        <v>164</v>
      </c>
      <c r="DB210" s="0" t="s">
        <v>164</v>
      </c>
      <c r="DC210" s="0" t="s">
        <v>10325</v>
      </c>
      <c r="DD210" s="0" t="n">
        <v>0</v>
      </c>
      <c r="DE210" s="0" t="s">
        <v>164</v>
      </c>
      <c r="DF210" s="0" t="n">
        <v>3</v>
      </c>
      <c r="DG210" s="0" t="s">
        <v>5686</v>
      </c>
      <c r="DH210" s="0" t="s">
        <v>5969</v>
      </c>
      <c r="DI210" s="0" t="s">
        <v>6054</v>
      </c>
      <c r="DJ210" s="0" t="s">
        <v>10326</v>
      </c>
      <c r="DK210" s="0" t="s">
        <v>380</v>
      </c>
      <c r="DM210" s="0" t="s">
        <v>10327</v>
      </c>
      <c r="DN210" s="0" t="n">
        <v>51</v>
      </c>
      <c r="DO210" s="0" t="n">
        <v>25</v>
      </c>
      <c r="DP210" s="0" t="n">
        <v>17</v>
      </c>
      <c r="DQ210" s="0" t="n">
        <v>0</v>
      </c>
      <c r="DR210" s="0" t="n">
        <v>5</v>
      </c>
      <c r="DS210" s="0" t="n">
        <v>10</v>
      </c>
      <c r="DT210" s="0" t="n">
        <v>6</v>
      </c>
      <c r="DU210" s="0" t="n">
        <f aca="false">IF($A210="","",IF(R210="Y",10,0))</f>
        <v>0</v>
      </c>
      <c r="DV210" s="0" t="n">
        <v>-12</v>
      </c>
      <c r="DX210" s="0" t="s">
        <v>5619</v>
      </c>
      <c r="DY210" s="0" t="s">
        <v>10328</v>
      </c>
      <c r="DZ210" s="0" t="s">
        <v>10329</v>
      </c>
      <c r="EV210" s="0" t="str">
        <f aca="false">IF($A210="","",IF(ISNUMBER(MATCH(U210,{"queued","contacted","replied","call_booked","call_done","yes_in_principle","materials_sent"},0)),"Y","N"))</f>
        <v>N</v>
      </c>
      <c r="EW210" s="0" t="str">
        <f aca="false">IF($A210="","",IF(OR(T210="Y",U210="do_not_contact",AQ210&amp;""&lt;&gt;""),"Y","N"))</f>
        <v>N</v>
      </c>
      <c r="EX210" s="0" t="str">
        <f aca="false">IF($A210="","",IF(AN210&amp;""&lt;&gt;"",AN210&amp;"",$A210))</f>
        <v>AB-209</v>
      </c>
      <c r="EY210" s="0" t="str">
        <f aca="false">IF($A210="","",IF(COUNTIFS($EX$2:$EX$1000,EX210,$EV$2:$EV$1000,"Y")+COUNTIFS($EX$2:$EX$1000,EX210,$EW$2:$EW$1000,"Y")&gt;0,"Y","N"))</f>
        <v>N</v>
      </c>
      <c r="EZ210" s="0" t="str">
        <f aca="false">IF($A210="","",IF(AND(U210="new",T210="N",EW210="N",AR210="Y",EY210="N"),"Y","N"))</f>
        <v>N</v>
      </c>
      <c r="FA210" s="0" t="str">
        <f aca="false">IF($A210="","",IF(EZ210&lt;&gt;"Y","N",IF(COUNTIFS($EX$2:$EX$1000,EX210,$EZ$2:$EZ$1000,"Y",$J$2:$J$1000,"&gt;"&amp;J210)+COUNTIFS($EX$2:$EX$1000,EX210,$EZ$2:$EZ$1000,"Y",$J$2:$J$1000,J210,$FG$2:$FG$1000,"&lt;"&amp;FG210)=0,"Y","N")))</f>
        <v>N</v>
      </c>
      <c r="FB210" s="0" t="str">
        <f aca="false">IF($A210="","",IF(AND(EZ210="Y",FA210="Y",Y210&amp;""&lt;&gt;""),IF(Y210&lt;=10,"Y","N"),"N"))</f>
        <v>N</v>
      </c>
      <c r="FC210" s="0" t="str">
        <f aca="false">IF(FB210="Y",Y210,"")</f>
        <v/>
      </c>
      <c r="FD210" s="0" t="str">
        <f aca="false">IF($A210="","",IF(AND(CK210="pass",AU210="Y",AV210&lt;&gt;"Y",U210="new",EW210="N"),"Y","N"))</f>
        <v>N</v>
      </c>
      <c r="FE210" s="0" t="str">
        <f aca="false">IF(FD210&lt;&gt;"Y","",IF(COUNTIFS($FD$2:$FD$1000,"Y",$J$2:$J$1000,"&gt;"&amp;J210)+COUNTIFS($FD$2:$FD$1000,"Y",$J$2:$J$1000,J210,$FG$2:$FG$1000,"&lt;"&amp;FG210)+1&lt;=30,COUNTIFS($FD$2:$FD$1000,"Y",$J$2:$J$1000,"&gt;"&amp;J210)+COUNTIFS($FD$2:$FD$1000,"Y",$J$2:$J$1000,J210,$FG$2:$FG$1000,"&lt;"&amp;FG210)+1,""))</f>
        <v/>
      </c>
      <c r="FF210" s="0" t="str">
        <f aca="false">IF(AND(_xlfn.ISFORMULA(C210),_xlfn.ISFORMULA(J210)),"Y","N")</f>
        <v>Y</v>
      </c>
      <c r="FG210" s="0" t="n">
        <f aca="false">ROW()-1</f>
        <v>209</v>
      </c>
    </row>
    <row r="211" customFormat="false" ht="15" hidden="false" customHeight="false" outlineLevel="0" collapsed="false">
      <c r="A211" s="0" t="s">
        <v>10330</v>
      </c>
      <c r="B211" s="0" t="s">
        <v>10331</v>
      </c>
      <c r="C211" s="0" t="str">
        <f aca="false">IF($A211="","",IF(AT211="Y",BL211&amp;"",AY211&amp;""))</f>
        <v>Bernie</v>
      </c>
      <c r="D211" s="0" t="str">
        <f aca="false">IF($A211="","",IF(AT211="Y",BM211&amp;"",AZ211&amp;""))</f>
        <v>Glassman</v>
      </c>
      <c r="E211" s="0" t="str">
        <f aca="false">IF($A211="","",IF(AT211="Y",BN211&amp;"",BA211&amp;""))</f>
        <v>Founder</v>
      </c>
      <c r="F211" s="0" t="str">
        <f aca="false">IF($A211="","",IF(AT211="Y",BO211&amp;"",BB211&amp;""))</f>
        <v/>
      </c>
      <c r="G211" s="0" t="str">
        <f aca="false">IF($A211="","",IF(AT211="Y",BP211&amp;"",BC211&amp;""))</f>
        <v/>
      </c>
      <c r="H211" s="0" t="str">
        <f aca="false">IF($A211="","",IF(AT211="Y",BQ211&amp;"",BD211&amp;""))</f>
        <v>none</v>
      </c>
      <c r="I211" s="0" t="str">
        <f aca="false">IF($A211="","",IF(R211="Y","warm-intro",IF(H211="verified","email",IF(C211&lt;&gt;"","linkedin",CA211&amp;""))))</f>
        <v>linkedin</v>
      </c>
      <c r="J211" s="0" t="n">
        <f aca="false">IF($A211="","",IF(CK211="pass",ROUND(N(DO211)+N(DP211)+N(DQ211)+N(DR211)+N(DS211)+N(DT211)+N(DU211)+N(DV211),0),0))</f>
        <v>0</v>
      </c>
      <c r="K211" s="0" t="str">
        <f aca="false">IF($A211="","",IF(CK211&lt;&gt;"pass",BY211&amp;"",BY211&amp;", "&amp;IF(AT211="Y",BX211&amp;"",BK211&amp;"")&amp;BZ211&amp;IF(R211="Y","; known to the founder (+10)","")&amp;"."))</f>
        <v>Gated out: not-shelf-stable: Shelf life 2 weeks at room temperature per brand FAQ (below 60 days).</v>
      </c>
      <c r="M211" s="0" t="s">
        <v>5572</v>
      </c>
      <c r="N211" s="0" t="s">
        <v>5573</v>
      </c>
      <c r="R211" s="5" t="s">
        <v>189</v>
      </c>
      <c r="S211" s="0" t="s">
        <v>209</v>
      </c>
      <c r="T211" s="5" t="s">
        <v>189</v>
      </c>
      <c r="U211" s="5" t="s">
        <v>3896</v>
      </c>
      <c r="V211" s="0" t="s">
        <v>10332</v>
      </c>
      <c r="W211" s="0" t="s">
        <v>263</v>
      </c>
      <c r="X211" s="0" t="s">
        <v>5578</v>
      </c>
      <c r="Y211" s="0" t="str">
        <f aca="false">IF(FA211&lt;&gt;"Y","",COUNTIFS($FA$2:$FA$1000,"Y",$J$2:$J$1000,"&gt;"&amp;J211)+COUNTIFS($FA$2:$FA$1000,"Y",$J$2:$J$1000,J211,$FG$2:$FG$1000,"&lt;"&amp;FG211)+1)</f>
        <v/>
      </c>
      <c r="AA211" s="0" t="s">
        <v>189</v>
      </c>
      <c r="AB211" s="0" t="str">
        <f aca="false">IF($A211="","",IF(AT211="Y",BW211&amp;"",BJ211&amp;""))</f>
        <v/>
      </c>
      <c r="AC211" s="0" t="str">
        <f aca="false">IF($A211="","",IF(AT211="Y",BR211&amp;"",BE211&amp;""))</f>
        <v>founder</v>
      </c>
      <c r="AD211" s="0" t="str">
        <f aca="false">IF($A211="","",IF(AT211="Y",BS211&amp;"",BF211&amp;""))</f>
        <v>verified-page</v>
      </c>
      <c r="AE211" s="0" t="str">
        <f aca="false">IF($A211="","",IF(AT211="Y",BT211&amp;"",BG211&amp;""))</f>
        <v>employer's own site</v>
      </c>
      <c r="AF211" s="0" t="str">
        <f aca="false">IF($A211="","",IF(AT211="Y",BU211&amp;"",BH211&amp;""))</f>
        <v>https://shop.greyston.org/pages/about-greyston</v>
      </c>
      <c r="AG211" s="0" t="str">
        <f aca="false">IF($A211="","",IF(AT211="Y",BV211&amp;"",BI211&amp;""))</f>
        <v>2026-10-23</v>
      </c>
      <c r="AH211" s="0" t="s">
        <v>10333</v>
      </c>
      <c r="AI211" s="0" t="s">
        <v>5702</v>
      </c>
      <c r="AJ211" s="0" t="s">
        <v>10334</v>
      </c>
      <c r="AK211" s="0" t="s">
        <v>10335</v>
      </c>
      <c r="AL211" s="0" t="s">
        <v>164</v>
      </c>
      <c r="AM211" s="0" t="s">
        <v>10336</v>
      </c>
      <c r="AN211" s="0" t="s">
        <v>10330</v>
      </c>
      <c r="AO211" s="5" t="s">
        <v>189</v>
      </c>
      <c r="AR211" s="0" t="str">
        <f aca="false">IF($A211="","",IF(AND(CK211="pass",AO211&lt;&gt;"Y",C211&lt;&gt;"",OR(AU211&lt;&gt;"Y",AV211="Y")),"Y","N"))</f>
        <v>N</v>
      </c>
      <c r="AS211" s="0" t="str">
        <f aca="false">IF($A211="","",_xlfn.TEXTJOIN("; ",TRUE(),IF(CK211&lt;&gt;"pass","gated out",""),IF(AO211="Y","on hold: "&amp;AP211,""),IF(C211="","no contact named on an opened page",""),IF(AND(AU211="Y",AV211&lt;&gt;"Y"),"founder review pending (Founder review tab)","")))</f>
        <v>gated out</v>
      </c>
      <c r="AU211" s="0" t="s">
        <v>189</v>
      </c>
      <c r="AX211" s="0" t="s">
        <v>10337</v>
      </c>
      <c r="AY211" s="0" t="s">
        <v>10338</v>
      </c>
      <c r="AZ211" s="0" t="s">
        <v>10339</v>
      </c>
      <c r="BA211" s="0" t="s">
        <v>5739</v>
      </c>
      <c r="BC211" s="0" t="str">
        <f aca="false">IF($A211="","",IFERROR(INDEX(Enrichment!$A$2:$GZ$2000,MATCH($A211,INDEX(Enrichment!$A$2:$GZ$2000,0,MATCH("row_id",Enrichment!$A$1:$GZ$1,0)),0),MATCH("work_email",Enrichment!$A$1:$GZ$1,0))&amp;"",""))</f>
        <v/>
      </c>
      <c r="BD211" s="0" t="str">
        <f aca="false">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none</v>
      </c>
      <c r="BE211" s="0" t="s">
        <v>5589</v>
      </c>
      <c r="BF211" s="0" t="s">
        <v>169</v>
      </c>
      <c r="BG211" s="0" t="s">
        <v>170</v>
      </c>
      <c r="BH211" s="0" t="s">
        <v>10340</v>
      </c>
      <c r="BI211" s="0" t="s">
        <v>263</v>
      </c>
      <c r="BK211" s="0" t="s">
        <v>5643</v>
      </c>
      <c r="BP211" s="0" t="str">
        <f aca="false">IF($A211="","",IFERROR(INDEX(Enrichment!$A$2:$GZ$2000,MATCH($A211,INDEX(Enrichment!$A$2:$GZ$2000,0,MATCH("row_id",Enrichment!$A$1:$GZ$1,0)),0),MATCH("backup_work_email",Enrichment!$A$1:$GZ$1,0))&amp;"",""))</f>
        <v/>
      </c>
      <c r="BQ211" s="0" t="str">
        <f aca="false">IF($A211="","",IF(BP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none</v>
      </c>
      <c r="BS211" s="0" t="s">
        <v>380</v>
      </c>
      <c r="BX211" s="0" t="s">
        <v>388</v>
      </c>
      <c r="BY211" s="0" t="s">
        <v>10341</v>
      </c>
      <c r="CB211" s="0" t="s">
        <v>10342</v>
      </c>
      <c r="CJ211" s="0" t="s">
        <v>7088</v>
      </c>
      <c r="CK211" s="0" t="s">
        <v>4627</v>
      </c>
      <c r="CL211" s="0" t="s">
        <v>10343</v>
      </c>
      <c r="CM211" s="0" t="s">
        <v>10344</v>
      </c>
      <c r="CN211" s="0" t="s">
        <v>443</v>
      </c>
      <c r="CO211" s="0" t="s">
        <v>10335</v>
      </c>
      <c r="CP211" s="0" t="s">
        <v>5608</v>
      </c>
      <c r="CQ211" s="0" t="s">
        <v>5870</v>
      </c>
      <c r="CR211" s="0" t="s">
        <v>10345</v>
      </c>
      <c r="CT211" s="0" t="s">
        <v>189</v>
      </c>
      <c r="CU211" s="0" t="s">
        <v>10346</v>
      </c>
      <c r="CV211" s="0" t="s">
        <v>164</v>
      </c>
      <c r="CW211" s="0" t="s">
        <v>164</v>
      </c>
      <c r="CX211" s="0" t="s">
        <v>209</v>
      </c>
      <c r="CZ211" s="0" t="s">
        <v>209</v>
      </c>
      <c r="DA211" s="0" t="s">
        <v>189</v>
      </c>
      <c r="DB211" s="0" t="s">
        <v>164</v>
      </c>
      <c r="DC211" s="0" t="s">
        <v>10347</v>
      </c>
      <c r="DD211" s="0" t="n">
        <v>0</v>
      </c>
      <c r="DE211" s="0" t="s">
        <v>164</v>
      </c>
      <c r="DF211" s="0" t="n">
        <v>3</v>
      </c>
      <c r="DG211" s="0" t="s">
        <v>5686</v>
      </c>
      <c r="DI211" s="0" t="s">
        <v>5687</v>
      </c>
      <c r="DJ211" s="0" t="s">
        <v>10348</v>
      </c>
      <c r="DK211" s="0" t="s">
        <v>380</v>
      </c>
      <c r="DN211" s="0" t="n">
        <v>53</v>
      </c>
      <c r="DO211" s="0" t="n">
        <v>25</v>
      </c>
      <c r="DP211" s="0" t="n">
        <v>13</v>
      </c>
      <c r="DQ211" s="0" t="n">
        <v>0</v>
      </c>
      <c r="DR211" s="0" t="n">
        <v>5</v>
      </c>
      <c r="DS211" s="0" t="n">
        <v>6</v>
      </c>
      <c r="DT211" s="0" t="n">
        <v>6</v>
      </c>
      <c r="DU211" s="0" t="n">
        <f aca="false">IF($A211="","",IF(R211="Y",10,0))</f>
        <v>0</v>
      </c>
      <c r="DV211" s="0" t="n">
        <v>-2</v>
      </c>
      <c r="DW211" s="0" t="s">
        <v>10349</v>
      </c>
      <c r="DX211" s="0" t="s">
        <v>5691</v>
      </c>
      <c r="DY211" s="0" t="s">
        <v>10350</v>
      </c>
      <c r="DZ211" s="0" t="s">
        <v>10351</v>
      </c>
      <c r="EV211" s="0" t="str">
        <f aca="false">IF($A211="","",IF(ISNUMBER(MATCH(U211,{"queued","contacted","replied","call_booked","call_done","yes_in_principle","materials_sent"},0)),"Y","N"))</f>
        <v>N</v>
      </c>
      <c r="EW211" s="0" t="str">
        <f aca="false">IF($A211="","",IF(OR(T211="Y",U211="do_not_contact",AQ211&amp;""&lt;&gt;""),"Y","N"))</f>
        <v>N</v>
      </c>
      <c r="EX211" s="0" t="str">
        <f aca="false">IF($A211="","",IF(AN211&amp;""&lt;&gt;"",AN211&amp;"",$A211))</f>
        <v>AB-078</v>
      </c>
      <c r="EY211" s="0" t="str">
        <f aca="false">IF($A211="","",IF(COUNTIFS($EX$2:$EX$1000,EX211,$EV$2:$EV$1000,"Y")+COUNTIFS($EX$2:$EX$1000,EX211,$EW$2:$EW$1000,"Y")&gt;0,"Y","N"))</f>
        <v>N</v>
      </c>
      <c r="EZ211" s="0" t="str">
        <f aca="false">IF($A211="","",IF(AND(U211="new",T211="N",EW211="N",AR211="Y",EY211="N"),"Y","N"))</f>
        <v>N</v>
      </c>
      <c r="FA211" s="0" t="str">
        <f aca="false">IF($A211="","",IF(EZ211&lt;&gt;"Y","N",IF(COUNTIFS($EX$2:$EX$1000,EX211,$EZ$2:$EZ$1000,"Y",$J$2:$J$1000,"&gt;"&amp;J211)+COUNTIFS($EX$2:$EX$1000,EX211,$EZ$2:$EZ$1000,"Y",$J$2:$J$1000,J211,$FG$2:$FG$1000,"&lt;"&amp;FG211)=0,"Y","N")))</f>
        <v>N</v>
      </c>
      <c r="FB211" s="0" t="str">
        <f aca="false">IF($A211="","",IF(AND(EZ211="Y",FA211="Y",Y211&amp;""&lt;&gt;""),IF(Y211&lt;=10,"Y","N"),"N"))</f>
        <v>N</v>
      </c>
      <c r="FC211" s="0" t="str">
        <f aca="false">IF(FB211="Y",Y211,"")</f>
        <v/>
      </c>
      <c r="FD211" s="0" t="str">
        <f aca="false">IF($A211="","",IF(AND(CK211="pass",AU211="Y",AV211&lt;&gt;"Y",U211="new",EW211="N"),"Y","N"))</f>
        <v>N</v>
      </c>
      <c r="FE211" s="0" t="str">
        <f aca="false">IF(FD211&lt;&gt;"Y","",IF(COUNTIFS($FD$2:$FD$1000,"Y",$J$2:$J$1000,"&gt;"&amp;J211)+COUNTIFS($FD$2:$FD$1000,"Y",$J$2:$J$1000,J211,$FG$2:$FG$1000,"&lt;"&amp;FG211)+1&lt;=30,COUNTIFS($FD$2:$FD$1000,"Y",$J$2:$J$1000,"&gt;"&amp;J211)+COUNTIFS($FD$2:$FD$1000,"Y",$J$2:$J$1000,J211,$FG$2:$FG$1000,"&lt;"&amp;FG211)+1,""))</f>
        <v/>
      </c>
      <c r="FF211" s="0" t="str">
        <f aca="false">IF(AND(_xlfn.ISFORMULA(C211),_xlfn.ISFORMULA(J211)),"Y","N")</f>
        <v>Y</v>
      </c>
      <c r="FG211" s="0" t="n">
        <f aca="false">ROW()-1</f>
        <v>210</v>
      </c>
    </row>
    <row r="212" customFormat="false" ht="15" hidden="false" customHeight="false" outlineLevel="0" collapsed="false">
      <c r="A212" s="0" t="s">
        <v>10352</v>
      </c>
      <c r="B212" s="0" t="s">
        <v>10353</v>
      </c>
      <c r="C212" s="0" t="str">
        <f aca="false">IF($A212="","",IF(AT212="Y",BL212&amp;"",AY212&amp;""))</f>
        <v>Tobin</v>
      </c>
      <c r="D212" s="0" t="str">
        <f aca="false">IF($A212="","",IF(AT212="Y",BM212&amp;"",AZ212&amp;""))</f>
        <v>Ludwig</v>
      </c>
      <c r="E212" s="0" t="str">
        <f aca="false">IF($A212="","",IF(AT212="Y",BN212&amp;"",BA212&amp;""))</f>
        <v>Co-founder and COO</v>
      </c>
      <c r="F212" s="0" t="str">
        <f aca="false">IF($A212="","",IF(AT212="Y",BO212&amp;"",BB212&amp;""))</f>
        <v/>
      </c>
      <c r="G212" s="0" t="str">
        <f aca="false">IF($A212="","",IF(AT212="Y",BP212&amp;"",BC212&amp;""))</f>
        <v/>
      </c>
      <c r="H212" s="0" t="str">
        <f aca="false">IF($A212="","",IF(AT212="Y",BQ212&amp;"",BD212&amp;""))</f>
        <v>none</v>
      </c>
      <c r="I212" s="0" t="str">
        <f aca="false">IF($A212="","",IF(R212="Y","warm-intro",IF(H212="verified","email",IF(C212&lt;&gt;"","linkedin",CA212&amp;""))))</f>
        <v>linkedin</v>
      </c>
      <c r="J212" s="0" t="n">
        <f aca="false">IF($A212="","",IF(CK212="pass",ROUND(N(DO212)+N(DP212)+N(DQ212)+N(DR212)+N(DS212)+N(DT212)+N(DU212)+N(DV212),0),0))</f>
        <v>0</v>
      </c>
      <c r="K212" s="0" t="str">
        <f aca="false">IF($A212="","",IF(CK212&lt;&gt;"pass",BY212&amp;"",BY212&amp;", "&amp;IF(AT212="Y",BX212&amp;"",BK212&amp;"")&amp;BZ212&amp;IF(R212="Y","; known to the founder (+10)","")&amp;"."))</f>
        <v>Gated out: health-claim: explicit health claim in the brand's own copy (opened 2026-10-24): 'can support healthy digestion by easing gas, bloating, and indigestion.*' (htt.</v>
      </c>
      <c r="M212" s="0" t="s">
        <v>5572</v>
      </c>
      <c r="N212" s="0" t="s">
        <v>5573</v>
      </c>
      <c r="R212" s="5" t="s">
        <v>189</v>
      </c>
      <c r="S212" s="0" t="s">
        <v>209</v>
      </c>
      <c r="T212" s="5" t="s">
        <v>189</v>
      </c>
      <c r="U212" s="5" t="s">
        <v>3896</v>
      </c>
      <c r="V212" s="0" t="s">
        <v>10354</v>
      </c>
      <c r="W212" s="0" t="s">
        <v>263</v>
      </c>
      <c r="X212" s="0" t="s">
        <v>5578</v>
      </c>
      <c r="Y212" s="0" t="str">
        <f aca="false">IF(FA212&lt;&gt;"Y","",COUNTIFS($FA$2:$FA$1000,"Y",$J$2:$J$1000,"&gt;"&amp;J212)+COUNTIFS($FA$2:$FA$1000,"Y",$J$2:$J$1000,J212,$FG$2:$FG$1000,"&lt;"&amp;FG212)+1)</f>
        <v/>
      </c>
      <c r="AA212" s="0" t="s">
        <v>189</v>
      </c>
      <c r="AB212" s="0" t="str">
        <f aca="false">IF($A212="","",IF(AT212="Y",BW212&amp;"",BJ212&amp;""))</f>
        <v/>
      </c>
      <c r="AC212" s="0" t="str">
        <f aca="false">IF($A212="","",IF(AT212="Y",BR212&amp;"",BE212&amp;""))</f>
        <v>founder</v>
      </c>
      <c r="AD212" s="0" t="str">
        <f aca="false">IF($A212="","",IF(AT212="Y",BS212&amp;"",BF212&amp;""))</f>
        <v>verified-page</v>
      </c>
      <c r="AE212" s="0" t="str">
        <f aca="false">IF($A212="","",IF(AT212="Y",BT212&amp;"",BG212&amp;""))</f>
        <v>employer's own site</v>
      </c>
      <c r="AF212" s="0" t="str">
        <f aca="false">IF($A212="","",IF(AT212="Y",BU212&amp;"",BH212&amp;""))</f>
        <v>https://hellacocktail.co/pages/meet-the-founders</v>
      </c>
      <c r="AG212" s="0" t="str">
        <f aca="false">IF($A212="","",IF(AT212="Y",BV212&amp;"",BI212&amp;""))</f>
        <v>2026-10-24</v>
      </c>
      <c r="AH212" s="0" t="s">
        <v>10355</v>
      </c>
      <c r="AI212" s="0" t="s">
        <v>5580</v>
      </c>
      <c r="AJ212" s="0" t="s">
        <v>10356</v>
      </c>
      <c r="AK212" s="0" t="s">
        <v>10357</v>
      </c>
      <c r="AL212" s="0" t="s">
        <v>164</v>
      </c>
      <c r="AM212" s="0" t="s">
        <v>10358</v>
      </c>
      <c r="AN212" s="0" t="s">
        <v>10352</v>
      </c>
      <c r="AO212" s="5" t="s">
        <v>189</v>
      </c>
      <c r="AR212" s="0" t="str">
        <f aca="false">IF($A212="","",IF(AND(CK212="pass",AO212&lt;&gt;"Y",C212&lt;&gt;"",OR(AU212&lt;&gt;"Y",AV212="Y")),"Y","N"))</f>
        <v>N</v>
      </c>
      <c r="AS212" s="0" t="str">
        <f aca="false">IF($A212="","",_xlfn.TEXTJOIN("; ",TRUE(),IF(CK212&lt;&gt;"pass","gated out",""),IF(AO212="Y","on hold: "&amp;AP212,""),IF(C212="","no contact named on an opened page",""),IF(AND(AU212="Y",AV212&lt;&gt;"Y"),"founder review pending (Founder review tab)","")))</f>
        <v>gated out; founder review pending (Founder review tab)</v>
      </c>
      <c r="AU212" s="0" t="s">
        <v>164</v>
      </c>
      <c r="AX212" s="0" t="s">
        <v>10359</v>
      </c>
      <c r="AY212" s="0" t="s">
        <v>10360</v>
      </c>
      <c r="AZ212" s="0" t="s">
        <v>10361</v>
      </c>
      <c r="BA212" s="0" t="s">
        <v>6283</v>
      </c>
      <c r="BC212" s="0" t="str">
        <f aca="false">IF($A212="","",IFERROR(INDEX(Enrichment!$A$2:$GZ$2000,MATCH($A212,INDEX(Enrichment!$A$2:$GZ$2000,0,MATCH("row_id",Enrichment!$A$1:$GZ$1,0)),0),MATCH("work_email",Enrichment!$A$1:$GZ$1,0))&amp;"",""))</f>
        <v/>
      </c>
      <c r="BD212" s="0" t="str">
        <f aca="false">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none</v>
      </c>
      <c r="BE212" s="0" t="s">
        <v>5589</v>
      </c>
      <c r="BF212" s="0" t="s">
        <v>169</v>
      </c>
      <c r="BG212" s="0" t="s">
        <v>170</v>
      </c>
      <c r="BH212" s="0" t="s">
        <v>10362</v>
      </c>
      <c r="BI212" s="0" t="s">
        <v>172</v>
      </c>
      <c r="BK212" s="0" t="s">
        <v>5638</v>
      </c>
      <c r="BL212" s="0" t="s">
        <v>10363</v>
      </c>
      <c r="BM212" s="0" t="s">
        <v>10364</v>
      </c>
      <c r="BN212" s="0" t="s">
        <v>10365</v>
      </c>
      <c r="BP212" s="0" t="str">
        <f aca="false">IF($A212="","",IFERROR(INDEX(Enrichment!$A$2:$GZ$2000,MATCH($A212,INDEX(Enrichment!$A$2:$GZ$2000,0,MATCH("row_id",Enrichment!$A$1:$GZ$1,0)),0),MATCH("backup_work_email",Enrichment!$A$1:$GZ$1,0))&amp;"",""))</f>
        <v/>
      </c>
      <c r="BQ212" s="0" t="str">
        <f aca="false">IF($A212="","",IF(BP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none</v>
      </c>
      <c r="BR212" s="0" t="s">
        <v>5596</v>
      </c>
      <c r="BS212" s="0" t="s">
        <v>169</v>
      </c>
      <c r="BT212" s="0" t="s">
        <v>170</v>
      </c>
      <c r="BU212" s="0" t="s">
        <v>10362</v>
      </c>
      <c r="BV212" s="0" t="s">
        <v>172</v>
      </c>
      <c r="BX212" s="0" t="s">
        <v>5643</v>
      </c>
      <c r="BY212" s="0" t="s">
        <v>10366</v>
      </c>
      <c r="CB212" s="0" t="s">
        <v>10367</v>
      </c>
      <c r="CD212" s="0" t="s">
        <v>10368</v>
      </c>
      <c r="CF212" s="0" t="s">
        <v>10369</v>
      </c>
      <c r="CH212" s="0" t="s">
        <v>10370</v>
      </c>
      <c r="CJ212" s="0" t="s">
        <v>5606</v>
      </c>
      <c r="CK212" s="0" t="s">
        <v>4627</v>
      </c>
      <c r="CL212" s="0" t="s">
        <v>10005</v>
      </c>
      <c r="CM212" s="0" t="s">
        <v>10371</v>
      </c>
      <c r="CN212" s="0" t="s">
        <v>6709</v>
      </c>
      <c r="CO212" s="0" t="s">
        <v>10357</v>
      </c>
      <c r="CP212" s="0" t="s">
        <v>209</v>
      </c>
      <c r="CQ212" s="0" t="s">
        <v>7189</v>
      </c>
      <c r="CR212" s="0" t="s">
        <v>209</v>
      </c>
      <c r="CT212" s="0" t="s">
        <v>164</v>
      </c>
      <c r="CU212" s="0" t="s">
        <v>10372</v>
      </c>
      <c r="CV212" s="0" t="s">
        <v>164</v>
      </c>
      <c r="CW212" s="0" t="s">
        <v>164</v>
      </c>
      <c r="CX212" s="0" t="s">
        <v>209</v>
      </c>
      <c r="CZ212" s="0" t="s">
        <v>209</v>
      </c>
      <c r="DA212" s="0" t="s">
        <v>189</v>
      </c>
      <c r="DB212" s="0" t="s">
        <v>164</v>
      </c>
      <c r="DC212" s="0" t="s">
        <v>10373</v>
      </c>
      <c r="DD212" s="0" t="n">
        <v>0</v>
      </c>
      <c r="DE212" s="0" t="s">
        <v>164</v>
      </c>
      <c r="DF212" s="0" t="n">
        <v>3</v>
      </c>
      <c r="DG212" s="0" t="s">
        <v>5686</v>
      </c>
      <c r="DH212" s="0" t="s">
        <v>5969</v>
      </c>
      <c r="DI212" s="0" t="s">
        <v>10374</v>
      </c>
      <c r="DJ212" s="0" t="s">
        <v>10375</v>
      </c>
      <c r="DK212" s="0" t="s">
        <v>380</v>
      </c>
      <c r="DN212" s="0" t="n">
        <v>62</v>
      </c>
      <c r="DO212" s="0" t="n">
        <v>25</v>
      </c>
      <c r="DP212" s="0" t="n">
        <v>17</v>
      </c>
      <c r="DQ212" s="0" t="n">
        <v>0</v>
      </c>
      <c r="DR212" s="0" t="n">
        <v>5</v>
      </c>
      <c r="DS212" s="0" t="n">
        <v>10</v>
      </c>
      <c r="DT212" s="0" t="n">
        <v>10</v>
      </c>
      <c r="DU212" s="0" t="n">
        <f aca="false">IF($A212="","",IF(R212="Y",10,0))</f>
        <v>0</v>
      </c>
      <c r="DV212" s="0" t="n">
        <v>-5</v>
      </c>
      <c r="DW212" s="0" t="s">
        <v>10376</v>
      </c>
      <c r="DX212" s="0" t="s">
        <v>5619</v>
      </c>
      <c r="DY212" s="0" t="s">
        <v>10377</v>
      </c>
      <c r="DZ212" s="0" t="s">
        <v>10378</v>
      </c>
      <c r="EA212" s="0" t="s">
        <v>10379</v>
      </c>
      <c r="EV212" s="0" t="str">
        <f aca="false">IF($A212="","",IF(ISNUMBER(MATCH(U212,{"queued","contacted","replied","call_booked","call_done","yes_in_principle","materials_sent"},0)),"Y","N"))</f>
        <v>N</v>
      </c>
      <c r="EW212" s="0" t="str">
        <f aca="false">IF($A212="","",IF(OR(T212="Y",U212="do_not_contact",AQ212&amp;""&lt;&gt;""),"Y","N"))</f>
        <v>N</v>
      </c>
      <c r="EX212" s="0" t="str">
        <f aca="false">IF($A212="","",IF(AN212&amp;""&lt;&gt;"",AN212&amp;"",$A212))</f>
        <v>AB-239</v>
      </c>
      <c r="EY212" s="0" t="str">
        <f aca="false">IF($A212="","",IF(COUNTIFS($EX$2:$EX$1000,EX212,$EV$2:$EV$1000,"Y")+COUNTIFS($EX$2:$EX$1000,EX212,$EW$2:$EW$1000,"Y")&gt;0,"Y","N"))</f>
        <v>N</v>
      </c>
      <c r="EZ212" s="0" t="str">
        <f aca="false">IF($A212="","",IF(AND(U212="new",T212="N",EW212="N",AR212="Y",EY212="N"),"Y","N"))</f>
        <v>N</v>
      </c>
      <c r="FA212" s="0" t="str">
        <f aca="false">IF($A212="","",IF(EZ212&lt;&gt;"Y","N",IF(COUNTIFS($EX$2:$EX$1000,EX212,$EZ$2:$EZ$1000,"Y",$J$2:$J$1000,"&gt;"&amp;J212)+COUNTIFS($EX$2:$EX$1000,EX212,$EZ$2:$EZ$1000,"Y",$J$2:$J$1000,J212,$FG$2:$FG$1000,"&lt;"&amp;FG212)=0,"Y","N")))</f>
        <v>N</v>
      </c>
      <c r="FB212" s="0" t="str">
        <f aca="false">IF($A212="","",IF(AND(EZ212="Y",FA212="Y",Y212&amp;""&lt;&gt;""),IF(Y212&lt;=10,"Y","N"),"N"))</f>
        <v>N</v>
      </c>
      <c r="FC212" s="0" t="str">
        <f aca="false">IF(FB212="Y",Y212,"")</f>
        <v/>
      </c>
      <c r="FD212" s="0" t="str">
        <f aca="false">IF($A212="","",IF(AND(CK212="pass",AU212="Y",AV212&lt;&gt;"Y",U212="new",EW212="N"),"Y","N"))</f>
        <v>N</v>
      </c>
      <c r="FE212" s="0" t="str">
        <f aca="false">IF(FD212&lt;&gt;"Y","",IF(COUNTIFS($FD$2:$FD$1000,"Y",$J$2:$J$1000,"&gt;"&amp;J212)+COUNTIFS($FD$2:$FD$1000,"Y",$J$2:$J$1000,J212,$FG$2:$FG$1000,"&lt;"&amp;FG212)+1&lt;=30,COUNTIFS($FD$2:$FD$1000,"Y",$J$2:$J$1000,"&gt;"&amp;J212)+COUNTIFS($FD$2:$FD$1000,"Y",$J$2:$J$1000,J212,$FG$2:$FG$1000,"&lt;"&amp;FG212)+1,""))</f>
        <v/>
      </c>
      <c r="FF212" s="0" t="str">
        <f aca="false">IF(AND(_xlfn.ISFORMULA(C212),_xlfn.ISFORMULA(J212)),"Y","N")</f>
        <v>Y</v>
      </c>
      <c r="FG212" s="0" t="n">
        <f aca="false">ROW()-1</f>
        <v>211</v>
      </c>
    </row>
    <row r="213" customFormat="false" ht="15" hidden="false" customHeight="false" outlineLevel="0" collapsed="false">
      <c r="A213" s="0" t="s">
        <v>10380</v>
      </c>
      <c r="B213" s="0" t="s">
        <v>10381</v>
      </c>
      <c r="C213" s="0" t="str">
        <f aca="false">IF($A213="","",IF(AT213="Y",BL213&amp;"",AY213&amp;""))</f>
        <v>David</v>
      </c>
      <c r="D213" s="0" t="str">
        <f aca="false">IF($A213="","",IF(AT213="Y",BM213&amp;"",AZ213&amp;""))</f>
        <v>Kohl</v>
      </c>
      <c r="E213" s="0" t="str">
        <f aca="false">IF($A213="","",IF(AT213="Y",BN213&amp;"",BA213&amp;""))</f>
        <v>Co-founder</v>
      </c>
      <c r="F213" s="0" t="str">
        <f aca="false">IF($A213="","",IF(AT213="Y",BO213&amp;"",BB213&amp;""))</f>
        <v/>
      </c>
      <c r="G213" s="0" t="str">
        <f aca="false">IF($A213="","",IF(AT213="Y",BP213&amp;"",BC213&amp;""))</f>
        <v/>
      </c>
      <c r="H213" s="0" t="str">
        <f aca="false">IF($A213="","",IF(AT213="Y",BQ213&amp;"",BD213&amp;""))</f>
        <v>none</v>
      </c>
      <c r="I213" s="0" t="str">
        <f aca="false">IF($A213="","",IF(R213="Y","warm-intro",IF(H213="verified","email",IF(C213&lt;&gt;"","linkedin",CA213&amp;""))))</f>
        <v>linkedin</v>
      </c>
      <c r="J213" s="0" t="n">
        <f aca="false">IF($A213="","",IF(CK213="pass",ROUND(N(DO213)+N(DP213)+N(DQ213)+N(DR213)+N(DS213)+N(DT213)+N(DU213)+N(DV213),0),0))</f>
        <v>0</v>
      </c>
      <c r="K213" s="0" t="str">
        <f aca="false">IF($A213="","",IF(CK213&lt;&gt;"pass",BY213&amp;"",BY213&amp;", "&amp;IF(AT213="Y",BX213&amp;"",BK213&amp;"")&amp;BZ213&amp;IF(R213="Y","; known to the founder (+10)","")&amp;"."))</f>
        <v>Gated out: health-claim: explicit health claim on the brand's homepage (opened 2026-10-24): 'Dates are naturally rich in fiber to support digestion and keep things moving'.</v>
      </c>
      <c r="M213" s="0" t="s">
        <v>5572</v>
      </c>
      <c r="N213" s="0" t="s">
        <v>5573</v>
      </c>
      <c r="R213" s="5" t="s">
        <v>189</v>
      </c>
      <c r="S213" s="0" t="s">
        <v>209</v>
      </c>
      <c r="T213" s="5" t="s">
        <v>189</v>
      </c>
      <c r="U213" s="5" t="s">
        <v>3896</v>
      </c>
      <c r="V213" s="0" t="s">
        <v>10382</v>
      </c>
      <c r="W213" s="0" t="s">
        <v>263</v>
      </c>
      <c r="X213" s="0" t="s">
        <v>5578</v>
      </c>
      <c r="Y213" s="0" t="str">
        <f aca="false">IF(FA213&lt;&gt;"Y","",COUNTIFS($FA$2:$FA$1000,"Y",$J$2:$J$1000,"&gt;"&amp;J213)+COUNTIFS($FA$2:$FA$1000,"Y",$J$2:$J$1000,J213,$FG$2:$FG$1000,"&lt;"&amp;FG213)+1)</f>
        <v/>
      </c>
      <c r="AA213" s="0" t="s">
        <v>189</v>
      </c>
      <c r="AB213" s="0" t="str">
        <f aca="false">IF($A213="","",IF(AT213="Y",BW213&amp;"",BJ213&amp;""))</f>
        <v/>
      </c>
      <c r="AC213" s="0" t="str">
        <f aca="false">IF($A213="","",IF(AT213="Y",BR213&amp;"",BE213&amp;""))</f>
        <v>founder</v>
      </c>
      <c r="AD213" s="0" t="str">
        <f aca="false">IF($A213="","",IF(AT213="Y",BS213&amp;"",BF213&amp;""))</f>
        <v>verified-page</v>
      </c>
      <c r="AE213" s="0" t="str">
        <f aca="false">IF($A213="","",IF(AT213="Y",BT213&amp;"",BG213&amp;""))</f>
        <v>employer's own site</v>
      </c>
      <c r="AF213" s="0" t="str">
        <f aca="false">IF($A213="","",IF(AT213="Y",BU213&amp;"",BH213&amp;""))</f>
        <v>https://joolies.com/pages/story-timeline</v>
      </c>
      <c r="AG213" s="0" t="str">
        <f aca="false">IF($A213="","",IF(AT213="Y",BV213&amp;"",BI213&amp;""))</f>
        <v>2026-10-23</v>
      </c>
      <c r="AH213" s="0" t="s">
        <v>10383</v>
      </c>
      <c r="AI213" s="0" t="s">
        <v>6532</v>
      </c>
      <c r="AJ213" s="0" t="s">
        <v>3538</v>
      </c>
      <c r="AK213" s="0" t="s">
        <v>10384</v>
      </c>
      <c r="AL213" s="0" t="s">
        <v>164</v>
      </c>
      <c r="AM213" s="0" t="s">
        <v>10385</v>
      </c>
      <c r="AN213" s="0" t="s">
        <v>10380</v>
      </c>
      <c r="AO213" s="5" t="s">
        <v>189</v>
      </c>
      <c r="AR213" s="0" t="str">
        <f aca="false">IF($A213="","",IF(AND(CK213="pass",AO213&lt;&gt;"Y",C213&lt;&gt;"",OR(AU213&lt;&gt;"Y",AV213="Y")),"Y","N"))</f>
        <v>N</v>
      </c>
      <c r="AS213" s="0" t="str">
        <f aca="false">IF($A213="","",_xlfn.TEXTJOIN("; ",TRUE(),IF(CK213&lt;&gt;"pass","gated out",""),IF(AO213="Y","on hold: "&amp;AP213,""),IF(C213="","no contact named on an opened page",""),IF(AND(AU213="Y",AV213&lt;&gt;"Y"),"founder review pending (Founder review tab)","")))</f>
        <v>gated out; founder review pending (Founder review tab)</v>
      </c>
      <c r="AU213" s="0" t="s">
        <v>164</v>
      </c>
      <c r="AX213" s="0" t="s">
        <v>10386</v>
      </c>
      <c r="AY213" s="0" t="s">
        <v>780</v>
      </c>
      <c r="AZ213" s="0" t="s">
        <v>10387</v>
      </c>
      <c r="BA213" s="0" t="s">
        <v>5636</v>
      </c>
      <c r="BC213" s="0" t="str">
        <f aca="false">IF($A213="","",IFERROR(INDEX(Enrichment!$A$2:$GZ$2000,MATCH($A213,INDEX(Enrichment!$A$2:$GZ$2000,0,MATCH("row_id",Enrichment!$A$1:$GZ$1,0)),0),MATCH("work_email",Enrichment!$A$1:$GZ$1,0))&amp;"",""))</f>
        <v/>
      </c>
      <c r="BD213" s="0" t="str">
        <f aca="false">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none</v>
      </c>
      <c r="BE213" s="0" t="s">
        <v>5589</v>
      </c>
      <c r="BF213" s="0" t="s">
        <v>169</v>
      </c>
      <c r="BG213" s="0" t="s">
        <v>170</v>
      </c>
      <c r="BH213" s="0" t="s">
        <v>10382</v>
      </c>
      <c r="BI213" s="0" t="s">
        <v>263</v>
      </c>
      <c r="BK213" s="0" t="s">
        <v>5643</v>
      </c>
      <c r="BL213" s="0" t="s">
        <v>10388</v>
      </c>
      <c r="BM213" s="0" t="s">
        <v>10389</v>
      </c>
      <c r="BN213" s="0" t="s">
        <v>5636</v>
      </c>
      <c r="BP213" s="0" t="str">
        <f aca="false">IF($A213="","",IFERROR(INDEX(Enrichment!$A$2:$GZ$2000,MATCH($A213,INDEX(Enrichment!$A$2:$GZ$2000,0,MATCH("row_id",Enrichment!$A$1:$GZ$1,0)),0),MATCH("backup_work_email",Enrichment!$A$1:$GZ$1,0))&amp;"",""))</f>
        <v/>
      </c>
      <c r="BQ213" s="0" t="str">
        <f aca="false">IF($A213="","",IF(BP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none</v>
      </c>
      <c r="BR213" s="0" t="s">
        <v>7748</v>
      </c>
      <c r="BS213" s="0" t="s">
        <v>169</v>
      </c>
      <c r="BT213" s="0" t="s">
        <v>170</v>
      </c>
      <c r="BU213" s="0" t="s">
        <v>10382</v>
      </c>
      <c r="BV213" s="0" t="s">
        <v>263</v>
      </c>
      <c r="BX213" s="0" t="s">
        <v>5643</v>
      </c>
      <c r="BY213" s="0" t="s">
        <v>10390</v>
      </c>
      <c r="CB213" s="0" t="s">
        <v>10391</v>
      </c>
      <c r="CF213" s="0" t="s">
        <v>10392</v>
      </c>
      <c r="CJ213" s="0" t="s">
        <v>7088</v>
      </c>
      <c r="CK213" s="0" t="s">
        <v>4627</v>
      </c>
      <c r="CL213" s="0" t="s">
        <v>10005</v>
      </c>
      <c r="CM213" s="0" t="s">
        <v>10393</v>
      </c>
      <c r="CN213" s="0" t="s">
        <v>10394</v>
      </c>
      <c r="CO213" s="0" t="s">
        <v>10384</v>
      </c>
      <c r="CP213" s="0" t="s">
        <v>6550</v>
      </c>
      <c r="CQ213" s="0" t="s">
        <v>6198</v>
      </c>
      <c r="CR213" s="0" t="s">
        <v>209</v>
      </c>
      <c r="CT213" s="0" t="s">
        <v>352</v>
      </c>
      <c r="CU213" s="0" t="s">
        <v>10395</v>
      </c>
      <c r="CV213" s="0" t="s">
        <v>209</v>
      </c>
      <c r="CW213" s="0" t="s">
        <v>164</v>
      </c>
      <c r="CX213" s="0" t="s">
        <v>209</v>
      </c>
      <c r="CZ213" s="0" t="s">
        <v>209</v>
      </c>
      <c r="DA213" s="0" t="s">
        <v>189</v>
      </c>
      <c r="DB213" s="0" t="s">
        <v>164</v>
      </c>
      <c r="DC213" s="0" t="s">
        <v>10396</v>
      </c>
      <c r="DD213" s="0" t="n">
        <v>0</v>
      </c>
      <c r="DE213" s="0" t="s">
        <v>164</v>
      </c>
      <c r="DF213" s="0" t="n">
        <v>3</v>
      </c>
      <c r="DG213" s="0" t="s">
        <v>5686</v>
      </c>
      <c r="DI213" s="0" t="s">
        <v>10397</v>
      </c>
      <c r="DJ213" s="0" t="s">
        <v>10398</v>
      </c>
      <c r="DK213" s="0" t="s">
        <v>380</v>
      </c>
      <c r="DN213" s="0" t="n">
        <v>33</v>
      </c>
      <c r="DO213" s="0" t="n">
        <v>25</v>
      </c>
      <c r="DP213" s="0" t="n">
        <v>3</v>
      </c>
      <c r="DQ213" s="0" t="n">
        <v>0</v>
      </c>
      <c r="DR213" s="0" t="n">
        <v>5</v>
      </c>
      <c r="DS213" s="0" t="n">
        <v>6</v>
      </c>
      <c r="DT213" s="0" t="n">
        <v>6</v>
      </c>
      <c r="DU213" s="0" t="n">
        <f aca="false">IF($A213="","",IF(R213="Y",10,0))</f>
        <v>0</v>
      </c>
      <c r="DV213" s="0" t="n">
        <v>-12</v>
      </c>
      <c r="DW213" s="0" t="s">
        <v>10399</v>
      </c>
      <c r="DX213" s="0" t="s">
        <v>5691</v>
      </c>
      <c r="DY213" s="0" t="s">
        <v>10400</v>
      </c>
      <c r="DZ213" s="0" t="s">
        <v>10401</v>
      </c>
      <c r="EA213" s="0" t="s">
        <v>10402</v>
      </c>
      <c r="EV213" s="0" t="str">
        <f aca="false">IF($A213="","",IF(ISNUMBER(MATCH(U213,{"queued","contacted","replied","call_booked","call_done","yes_in_principle","materials_sent"},0)),"Y","N"))</f>
        <v>N</v>
      </c>
      <c r="EW213" s="0" t="str">
        <f aca="false">IF($A213="","",IF(OR(T213="Y",U213="do_not_contact",AQ213&amp;""&lt;&gt;""),"Y","N"))</f>
        <v>N</v>
      </c>
      <c r="EX213" s="0" t="str">
        <f aca="false">IF($A213="","",IF(AN213&amp;""&lt;&gt;"",AN213&amp;"",$A213))</f>
        <v>AB-120</v>
      </c>
      <c r="EY213" s="0" t="str">
        <f aca="false">IF($A213="","",IF(COUNTIFS($EX$2:$EX$1000,EX213,$EV$2:$EV$1000,"Y")+COUNTIFS($EX$2:$EX$1000,EX213,$EW$2:$EW$1000,"Y")&gt;0,"Y","N"))</f>
        <v>N</v>
      </c>
      <c r="EZ213" s="0" t="str">
        <f aca="false">IF($A213="","",IF(AND(U213="new",T213="N",EW213="N",AR213="Y",EY213="N"),"Y","N"))</f>
        <v>N</v>
      </c>
      <c r="FA213" s="0" t="str">
        <f aca="false">IF($A213="","",IF(EZ213&lt;&gt;"Y","N",IF(COUNTIFS($EX$2:$EX$1000,EX213,$EZ$2:$EZ$1000,"Y",$J$2:$J$1000,"&gt;"&amp;J213)+COUNTIFS($EX$2:$EX$1000,EX213,$EZ$2:$EZ$1000,"Y",$J$2:$J$1000,J213,$FG$2:$FG$1000,"&lt;"&amp;FG213)=0,"Y","N")))</f>
        <v>N</v>
      </c>
      <c r="FB213" s="0" t="str">
        <f aca="false">IF($A213="","",IF(AND(EZ213="Y",FA213="Y",Y213&amp;""&lt;&gt;""),IF(Y213&lt;=10,"Y","N"),"N"))</f>
        <v>N</v>
      </c>
      <c r="FC213" s="0" t="str">
        <f aca="false">IF(FB213="Y",Y213,"")</f>
        <v/>
      </c>
      <c r="FD213" s="0" t="str">
        <f aca="false">IF($A213="","",IF(AND(CK213="pass",AU213="Y",AV213&lt;&gt;"Y",U213="new",EW213="N"),"Y","N"))</f>
        <v>N</v>
      </c>
      <c r="FE213" s="0" t="str">
        <f aca="false">IF(FD213&lt;&gt;"Y","",IF(COUNTIFS($FD$2:$FD$1000,"Y",$J$2:$J$1000,"&gt;"&amp;J213)+COUNTIFS($FD$2:$FD$1000,"Y",$J$2:$J$1000,J213,$FG$2:$FG$1000,"&lt;"&amp;FG213)+1&lt;=30,COUNTIFS($FD$2:$FD$1000,"Y",$J$2:$J$1000,"&gt;"&amp;J213)+COUNTIFS($FD$2:$FD$1000,"Y",$J$2:$J$1000,J213,$FG$2:$FG$1000,"&lt;"&amp;FG213)+1,""))</f>
        <v/>
      </c>
      <c r="FF213" s="0" t="str">
        <f aca="false">IF(AND(_xlfn.ISFORMULA(C213),_xlfn.ISFORMULA(J213)),"Y","N")</f>
        <v>Y</v>
      </c>
      <c r="FG213" s="0" t="n">
        <f aca="false">ROW()-1</f>
        <v>212</v>
      </c>
    </row>
    <row r="214" customFormat="false" ht="15" hidden="false" customHeight="false" outlineLevel="0" collapsed="false">
      <c r="A214" s="0" t="s">
        <v>10403</v>
      </c>
      <c r="B214" s="0" t="s">
        <v>10404</v>
      </c>
      <c r="C214" s="0" t="str">
        <f aca="false">IF($A214="","",IF(AT214="Y",BL214&amp;"",AY214&amp;""))</f>
        <v>Cordy</v>
      </c>
      <c r="D214" s="0" t="str">
        <f aca="false">IF($A214="","",IF(AT214="Y",BM214&amp;"",AZ214&amp;""))</f>
        <v>Kelly</v>
      </c>
      <c r="E214" s="0" t="str">
        <f aca="false">IF($A214="","",IF(AT214="Y",BN214&amp;"",BA214&amp;""))</f>
        <v>Founder</v>
      </c>
      <c r="F214" s="0" t="str">
        <f aca="false">IF($A214="","",IF(AT214="Y",BO214&amp;"",BB214&amp;""))</f>
        <v/>
      </c>
      <c r="G214" s="0" t="str">
        <f aca="false">IF($A214="","",IF(AT214="Y",BP214&amp;"",BC214&amp;""))</f>
        <v/>
      </c>
      <c r="H214" s="0" t="str">
        <f aca="false">IF($A214="","",IF(AT214="Y",BQ214&amp;"",BD214&amp;""))</f>
        <v>none</v>
      </c>
      <c r="I214" s="0" t="str">
        <f aca="false">IF($A214="","",IF(R214="Y","warm-intro",IF(H214="verified","email",IF(C214&lt;&gt;"","linkedin",CA214&amp;""))))</f>
        <v>linkedin</v>
      </c>
      <c r="J214" s="0" t="n">
        <f aca="false">IF($A214="","",IF(CK214="pass",ROUND(N(DO214)+N(DP214)+N(DQ214)+N(DR214)+N(DS214)+N(DT214)+N(DU214)+N(DV214),0),0))</f>
        <v>0</v>
      </c>
      <c r="K214" s="0" t="str">
        <f aca="false">IF($A214="","",IF(CK214&lt;&gt;"pass",BY214&amp;"",BY214&amp;", "&amp;IF(AT214="Y",BX214&amp;"",BK214&amp;"")&amp;BZ214&amp;IF(R214="Y","; known to the founder (+10)","")&amp;"."))</f>
        <v>Gated out: health-claim: explicit health claim in the brand's own copy (opened 2026-10-24): 'help reduce the absorption of cholesterol ..; This can help reduce risks assoc.</v>
      </c>
      <c r="M214" s="0" t="s">
        <v>5572</v>
      </c>
      <c r="N214" s="0" t="s">
        <v>5573</v>
      </c>
      <c r="R214" s="5" t="s">
        <v>189</v>
      </c>
      <c r="S214" s="0" t="s">
        <v>209</v>
      </c>
      <c r="T214" s="5" t="s">
        <v>189</v>
      </c>
      <c r="U214" s="5" t="s">
        <v>3896</v>
      </c>
      <c r="V214" s="0" t="s">
        <v>10405</v>
      </c>
      <c r="W214" s="0" t="s">
        <v>263</v>
      </c>
      <c r="X214" s="0" t="s">
        <v>5578</v>
      </c>
      <c r="Y214" s="0" t="str">
        <f aca="false">IF(FA214&lt;&gt;"Y","",COUNTIFS($FA$2:$FA$1000,"Y",$J$2:$J$1000,"&gt;"&amp;J214)+COUNTIFS($FA$2:$FA$1000,"Y",$J$2:$J$1000,J214,$FG$2:$FG$1000,"&lt;"&amp;FG214)+1)</f>
        <v/>
      </c>
      <c r="AA214" s="0" t="s">
        <v>189</v>
      </c>
      <c r="AB214" s="0" t="str">
        <f aca="false">IF($A214="","",IF(AT214="Y",BW214&amp;"",BJ214&amp;""))</f>
        <v/>
      </c>
      <c r="AC214" s="0" t="str">
        <f aca="false">IF($A214="","",IF(AT214="Y",BR214&amp;"",BE214&amp;""))</f>
        <v>founder</v>
      </c>
      <c r="AD214" s="0" t="str">
        <f aca="false">IF($A214="","",IF(AT214="Y",BS214&amp;"",BF214&amp;""))</f>
        <v>verified-page</v>
      </c>
      <c r="AE214" s="0" t="str">
        <f aca="false">IF($A214="","",IF(AT214="Y",BT214&amp;"",BG214&amp;""))</f>
        <v>employer's own site</v>
      </c>
      <c r="AF214" s="0" t="str">
        <f aca="false">IF($A214="","",IF(AT214="Y",BU214&amp;"",BH214&amp;""))</f>
        <v>https://www.kellysfourplus.com/pages/kfp-story</v>
      </c>
      <c r="AG214" s="0" t="str">
        <f aca="false">IF($A214="","",IF(AT214="Y",BV214&amp;"",BI214&amp;""))</f>
        <v>2026-10-23</v>
      </c>
      <c r="AH214" s="0" t="s">
        <v>10406</v>
      </c>
      <c r="AI214" s="0" t="s">
        <v>6042</v>
      </c>
      <c r="AJ214" s="0" t="s">
        <v>10407</v>
      </c>
      <c r="AK214" s="0" t="s">
        <v>10408</v>
      </c>
      <c r="AL214" s="0" t="s">
        <v>164</v>
      </c>
      <c r="AM214" s="0" t="s">
        <v>10409</v>
      </c>
      <c r="AN214" s="0" t="s">
        <v>10403</v>
      </c>
      <c r="AO214" s="5" t="s">
        <v>189</v>
      </c>
      <c r="AR214" s="0" t="str">
        <f aca="false">IF($A214="","",IF(AND(CK214="pass",AO214&lt;&gt;"Y",C214&lt;&gt;"",OR(AU214&lt;&gt;"Y",AV214="Y")),"Y","N"))</f>
        <v>N</v>
      </c>
      <c r="AS214" s="0" t="str">
        <f aca="false">IF($A214="","",_xlfn.TEXTJOIN("; ",TRUE(),IF(CK214&lt;&gt;"pass","gated out",""),IF(AO214="Y","on hold: "&amp;AP214,""),IF(C214="","no contact named on an opened page",""),IF(AND(AU214="Y",AV214&lt;&gt;"Y"),"founder review pending (Founder review tab)","")))</f>
        <v>gated out; founder review pending (Founder review tab)</v>
      </c>
      <c r="AU214" s="0" t="s">
        <v>164</v>
      </c>
      <c r="AX214" s="0" t="s">
        <v>10410</v>
      </c>
      <c r="AY214" s="0" t="s">
        <v>10411</v>
      </c>
      <c r="AZ214" s="0" t="s">
        <v>10412</v>
      </c>
      <c r="BA214" s="0" t="s">
        <v>5739</v>
      </c>
      <c r="BC214" s="0" t="str">
        <f aca="false">IF($A214="","",IFERROR(INDEX(Enrichment!$A$2:$GZ$2000,MATCH($A214,INDEX(Enrichment!$A$2:$GZ$2000,0,MATCH("row_id",Enrichment!$A$1:$GZ$1,0)),0),MATCH("work_email",Enrichment!$A$1:$GZ$1,0))&amp;"",""))</f>
        <v/>
      </c>
      <c r="BD214" s="0" t="str">
        <f aca="false">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none</v>
      </c>
      <c r="BE214" s="0" t="s">
        <v>5589</v>
      </c>
      <c r="BF214" s="0" t="s">
        <v>169</v>
      </c>
      <c r="BG214" s="0" t="s">
        <v>170</v>
      </c>
      <c r="BH214" s="0" t="s">
        <v>10405</v>
      </c>
      <c r="BI214" s="0" t="s">
        <v>263</v>
      </c>
      <c r="BK214" s="0" t="s">
        <v>5643</v>
      </c>
      <c r="BP214" s="0" t="str">
        <f aca="false">IF($A214="","",IFERROR(INDEX(Enrichment!$A$2:$GZ$2000,MATCH($A214,INDEX(Enrichment!$A$2:$GZ$2000,0,MATCH("row_id",Enrichment!$A$1:$GZ$1,0)),0),MATCH("backup_work_email",Enrichment!$A$1:$GZ$1,0))&amp;"",""))</f>
        <v/>
      </c>
      <c r="BQ214" s="0" t="str">
        <f aca="false">IF($A214="","",IF(BP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none</v>
      </c>
      <c r="BS214" s="0" t="s">
        <v>380</v>
      </c>
      <c r="BX214" s="0" t="s">
        <v>388</v>
      </c>
      <c r="BY214" s="0" t="s">
        <v>10413</v>
      </c>
      <c r="CB214" s="0" t="s">
        <v>10414</v>
      </c>
      <c r="CJ214" s="0" t="s">
        <v>7088</v>
      </c>
      <c r="CK214" s="0" t="s">
        <v>4627</v>
      </c>
      <c r="CL214" s="0" t="s">
        <v>10005</v>
      </c>
      <c r="CM214" s="0" t="s">
        <v>10415</v>
      </c>
      <c r="CN214" s="0" t="s">
        <v>5808</v>
      </c>
      <c r="CO214" s="0" t="s">
        <v>10408</v>
      </c>
      <c r="CP214" s="0" t="s">
        <v>7450</v>
      </c>
      <c r="CQ214" s="0" t="s">
        <v>6084</v>
      </c>
      <c r="CR214" s="0" t="s">
        <v>10416</v>
      </c>
      <c r="CS214" s="0" t="s">
        <v>10405</v>
      </c>
      <c r="CT214" s="0" t="s">
        <v>164</v>
      </c>
      <c r="CU214" s="0" t="s">
        <v>7261</v>
      </c>
      <c r="CV214" s="0" t="s">
        <v>189</v>
      </c>
      <c r="CW214" s="0" t="s">
        <v>164</v>
      </c>
      <c r="CX214" s="0" t="s">
        <v>209</v>
      </c>
      <c r="CZ214" s="0" t="s">
        <v>209</v>
      </c>
      <c r="DA214" s="0" t="s">
        <v>189</v>
      </c>
      <c r="DB214" s="0" t="s">
        <v>164</v>
      </c>
      <c r="DC214" s="0" t="s">
        <v>10417</v>
      </c>
      <c r="DD214" s="0" t="n">
        <v>0</v>
      </c>
      <c r="DE214" s="0" t="s">
        <v>164</v>
      </c>
      <c r="DF214" s="0" t="n">
        <v>2</v>
      </c>
      <c r="DG214" s="0" t="s">
        <v>5746</v>
      </c>
      <c r="DH214" s="0" t="s">
        <v>5969</v>
      </c>
      <c r="DI214" s="0" t="s">
        <v>10418</v>
      </c>
      <c r="DJ214" s="0" t="s">
        <v>10419</v>
      </c>
      <c r="DK214" s="0" t="s">
        <v>380</v>
      </c>
      <c r="DN214" s="0" t="n">
        <v>47</v>
      </c>
      <c r="DO214" s="0" t="n">
        <v>25</v>
      </c>
      <c r="DP214" s="0" t="n">
        <v>8</v>
      </c>
      <c r="DQ214" s="0" t="n">
        <v>0</v>
      </c>
      <c r="DR214" s="0" t="n">
        <v>5</v>
      </c>
      <c r="DS214" s="0" t="n">
        <v>7</v>
      </c>
      <c r="DT214" s="0" t="n">
        <v>6</v>
      </c>
      <c r="DU214" s="0" t="n">
        <f aca="false">IF($A214="","",IF(R214="Y",10,0))</f>
        <v>0</v>
      </c>
      <c r="DV214" s="0" t="n">
        <v>-4</v>
      </c>
      <c r="DX214" s="0" t="s">
        <v>5619</v>
      </c>
      <c r="DY214" s="0" t="s">
        <v>10420</v>
      </c>
      <c r="DZ214" s="0" t="s">
        <v>10421</v>
      </c>
      <c r="EA214" s="0" t="s">
        <v>10422</v>
      </c>
      <c r="EV214" s="0" t="str">
        <f aca="false">IF($A214="","",IF(ISNUMBER(MATCH(U214,{"queued","contacted","replied","call_booked","call_done","yes_in_principle","materials_sent"},0)),"Y","N"))</f>
        <v>N</v>
      </c>
      <c r="EW214" s="0" t="str">
        <f aca="false">IF($A214="","",IF(OR(T214="Y",U214="do_not_contact",AQ214&amp;""&lt;&gt;""),"Y","N"))</f>
        <v>N</v>
      </c>
      <c r="EX214" s="0" t="str">
        <f aca="false">IF($A214="","",IF(AN214&amp;""&lt;&gt;"",AN214&amp;"",$A214))</f>
        <v>AB-244</v>
      </c>
      <c r="EY214" s="0" t="str">
        <f aca="false">IF($A214="","",IF(COUNTIFS($EX$2:$EX$1000,EX214,$EV$2:$EV$1000,"Y")+COUNTIFS($EX$2:$EX$1000,EX214,$EW$2:$EW$1000,"Y")&gt;0,"Y","N"))</f>
        <v>N</v>
      </c>
      <c r="EZ214" s="0" t="str">
        <f aca="false">IF($A214="","",IF(AND(U214="new",T214="N",EW214="N",AR214="Y",EY214="N"),"Y","N"))</f>
        <v>N</v>
      </c>
      <c r="FA214" s="0" t="str">
        <f aca="false">IF($A214="","",IF(EZ214&lt;&gt;"Y","N",IF(COUNTIFS($EX$2:$EX$1000,EX214,$EZ$2:$EZ$1000,"Y",$J$2:$J$1000,"&gt;"&amp;J214)+COUNTIFS($EX$2:$EX$1000,EX214,$EZ$2:$EZ$1000,"Y",$J$2:$J$1000,J214,$FG$2:$FG$1000,"&lt;"&amp;FG214)=0,"Y","N")))</f>
        <v>N</v>
      </c>
      <c r="FB214" s="0" t="str">
        <f aca="false">IF($A214="","",IF(AND(EZ214="Y",FA214="Y",Y214&amp;""&lt;&gt;""),IF(Y214&lt;=10,"Y","N"),"N"))</f>
        <v>N</v>
      </c>
      <c r="FC214" s="0" t="str">
        <f aca="false">IF(FB214="Y",Y214,"")</f>
        <v/>
      </c>
      <c r="FD214" s="0" t="str">
        <f aca="false">IF($A214="","",IF(AND(CK214="pass",AU214="Y",AV214&lt;&gt;"Y",U214="new",EW214="N"),"Y","N"))</f>
        <v>N</v>
      </c>
      <c r="FE214" s="0" t="str">
        <f aca="false">IF(FD214&lt;&gt;"Y","",IF(COUNTIFS($FD$2:$FD$1000,"Y",$J$2:$J$1000,"&gt;"&amp;J214)+COUNTIFS($FD$2:$FD$1000,"Y",$J$2:$J$1000,J214,$FG$2:$FG$1000,"&lt;"&amp;FG214)+1&lt;=30,COUNTIFS($FD$2:$FD$1000,"Y",$J$2:$J$1000,"&gt;"&amp;J214)+COUNTIFS($FD$2:$FD$1000,"Y",$J$2:$J$1000,J214,$FG$2:$FG$1000,"&lt;"&amp;FG214)+1,""))</f>
        <v/>
      </c>
      <c r="FF214" s="0" t="str">
        <f aca="false">IF(AND(_xlfn.ISFORMULA(C214),_xlfn.ISFORMULA(J214)),"Y","N")</f>
        <v>Y</v>
      </c>
      <c r="FG214" s="0" t="n">
        <f aca="false">ROW()-1</f>
        <v>213</v>
      </c>
    </row>
    <row r="215" customFormat="false" ht="15" hidden="false" customHeight="false" outlineLevel="0" collapsed="false">
      <c r="A215" s="0" t="s">
        <v>10423</v>
      </c>
      <c r="B215" s="0" t="s">
        <v>10424</v>
      </c>
      <c r="C215" s="0" t="str">
        <f aca="false">IF($A215="","",IF(AT215="Y",BL215&amp;"",AY215&amp;""))</f>
        <v>Rachel</v>
      </c>
      <c r="D215" s="0" t="str">
        <f aca="false">IF($A215="","",IF(AT215="Y",BM215&amp;"",AZ215&amp;""))</f>
        <v>Simons</v>
      </c>
      <c r="E215" s="0" t="str">
        <f aca="false">IF($A215="","",IF(AT215="Y",BN215&amp;"",BA215&amp;""))</f>
        <v>CEO and Co-founder</v>
      </c>
      <c r="F215" s="0" t="str">
        <f aca="false">IF($A215="","",IF(AT215="Y",BO215&amp;"",BB215&amp;""))</f>
        <v/>
      </c>
      <c r="G215" s="0" t="str">
        <f aca="false">IF($A215="","",IF(AT215="Y",BP215&amp;"",BC215&amp;""))</f>
        <v/>
      </c>
      <c r="H215" s="0" t="str">
        <f aca="false">IF($A215="","",IF(AT215="Y",BQ215&amp;"",BD215&amp;""))</f>
        <v>none</v>
      </c>
      <c r="I215" s="0" t="str">
        <f aca="false">IF($A215="","",IF(R215="Y","warm-intro",IF(H215="verified","email",IF(C215&lt;&gt;"","linkedin",CA215&amp;""))))</f>
        <v>linkedin</v>
      </c>
      <c r="J215" s="0" t="n">
        <f aca="false">IF($A215="","",IF(CK215="pass",ROUND(N(DO215)+N(DP215)+N(DQ215)+N(DR215)+N(DS215)+N(DT215)+N(DU215)+N(DV215),0),0))</f>
        <v>0</v>
      </c>
      <c r="K215" s="0" t="str">
        <f aca="false">IF($A215="","",IF(CK215&lt;&gt;"pass",BY215&amp;"",BY215&amp;", "&amp;IF(AT215="Y",BX215&amp;"",BK215&amp;"")&amp;BZ215&amp;IF(R215="Y","; known to the founder (+10)","")&amp;"."))</f>
        <v>Gated out: health-claim: explicit health claim in the brand's own copy (opened 2026-10-24): 'Phytosterols are plant compounds known to help reduce cholesterol; Anti-Inflam.</v>
      </c>
      <c r="M215" s="0" t="s">
        <v>5572</v>
      </c>
      <c r="N215" s="0" t="s">
        <v>5573</v>
      </c>
      <c r="R215" s="5" t="s">
        <v>189</v>
      </c>
      <c r="S215" s="0" t="s">
        <v>209</v>
      </c>
      <c r="T215" s="5" t="s">
        <v>189</v>
      </c>
      <c r="U215" s="5" t="s">
        <v>3896</v>
      </c>
      <c r="V215" s="0" t="s">
        <v>10425</v>
      </c>
      <c r="W215" s="0" t="s">
        <v>263</v>
      </c>
      <c r="X215" s="0" t="s">
        <v>5578</v>
      </c>
      <c r="Y215" s="0" t="str">
        <f aca="false">IF(FA215&lt;&gt;"Y","",COUNTIFS($FA$2:$FA$1000,"Y",$J$2:$J$1000,"&gt;"&amp;J215)+COUNTIFS($FA$2:$FA$1000,"Y",$J$2:$J$1000,J215,$FG$2:$FG$1000,"&lt;"&amp;FG215)+1)</f>
        <v/>
      </c>
      <c r="AA215" s="0" t="s">
        <v>189</v>
      </c>
      <c r="AB215" s="0" t="str">
        <f aca="false">IF($A215="","",IF(AT215="Y",BW215&amp;"",BJ215&amp;""))</f>
        <v/>
      </c>
      <c r="AC215" s="0" t="str">
        <f aca="false">IF($A215="","",IF(AT215="Y",BR215&amp;"",BE215&amp;""))</f>
        <v>founder</v>
      </c>
      <c r="AD215" s="0" t="str">
        <f aca="false">IF($A215="","",IF(AT215="Y",BS215&amp;"",BF215&amp;""))</f>
        <v>verified-page</v>
      </c>
      <c r="AE215" s="0" t="str">
        <f aca="false">IF($A215="","",IF(AT215="Y",BT215&amp;"",BG215&amp;""))</f>
        <v>employer's own site</v>
      </c>
      <c r="AF215" s="0" t="str">
        <f aca="false">IF($A215="","",IF(AT215="Y",BU215&amp;"",BH215&amp;""))</f>
        <v>https://www.seedandmill.com/a/press-kit</v>
      </c>
      <c r="AG215" s="0" t="str">
        <f aca="false">IF($A215="","",IF(AT215="Y",BV215&amp;"",BI215&amp;""))</f>
        <v>2026-10-24</v>
      </c>
      <c r="AH215" s="0" t="s">
        <v>10426</v>
      </c>
      <c r="AI215" s="0" t="s">
        <v>5664</v>
      </c>
      <c r="AJ215" s="0" t="s">
        <v>10427</v>
      </c>
      <c r="AK215" s="0" t="s">
        <v>10428</v>
      </c>
      <c r="AL215" s="0" t="s">
        <v>164</v>
      </c>
      <c r="AM215" s="0" t="s">
        <v>10429</v>
      </c>
      <c r="AN215" s="0" t="s">
        <v>10423</v>
      </c>
      <c r="AO215" s="5" t="s">
        <v>189</v>
      </c>
      <c r="AR215" s="0" t="str">
        <f aca="false">IF($A215="","",IF(AND(CK215="pass",AO215&lt;&gt;"Y",C215&lt;&gt;"",OR(AU215&lt;&gt;"Y",AV215="Y")),"Y","N"))</f>
        <v>N</v>
      </c>
      <c r="AS215" s="0" t="str">
        <f aca="false">IF($A215="","",_xlfn.TEXTJOIN("; ",TRUE(),IF(CK215&lt;&gt;"pass","gated out",""),IF(AO215="Y","on hold: "&amp;AP215,""),IF(C215="","no contact named on an opened page",""),IF(AND(AU215="Y",AV215&lt;&gt;"Y"),"founder review pending (Founder review tab)","")))</f>
        <v>gated out; founder review pending (Founder review tab)</v>
      </c>
      <c r="AU215" s="0" t="s">
        <v>164</v>
      </c>
      <c r="AX215" s="0" t="s">
        <v>10430</v>
      </c>
      <c r="AY215" s="0" t="s">
        <v>1206</v>
      </c>
      <c r="AZ215" s="0" t="s">
        <v>10431</v>
      </c>
      <c r="BA215" s="0" t="s">
        <v>6671</v>
      </c>
      <c r="BC215" s="0" t="str">
        <f aca="false">IF($A215="","",IFERROR(INDEX(Enrichment!$A$2:$GZ$2000,MATCH($A215,INDEX(Enrichment!$A$2:$GZ$2000,0,MATCH("row_id",Enrichment!$A$1:$GZ$1,0)),0),MATCH("work_email",Enrichment!$A$1:$GZ$1,0))&amp;"",""))</f>
        <v/>
      </c>
      <c r="BD215" s="0" t="str">
        <f aca="false">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none</v>
      </c>
      <c r="BE215" s="0" t="s">
        <v>5589</v>
      </c>
      <c r="BF215" s="0" t="s">
        <v>169</v>
      </c>
      <c r="BG215" s="0" t="s">
        <v>170</v>
      </c>
      <c r="BH215" s="0" t="s">
        <v>10432</v>
      </c>
      <c r="BI215" s="0" t="s">
        <v>172</v>
      </c>
      <c r="BK215" s="0" t="s">
        <v>5643</v>
      </c>
      <c r="BL215" s="0" t="s">
        <v>7818</v>
      </c>
      <c r="BM215" s="0" t="s">
        <v>10433</v>
      </c>
      <c r="BN215" s="0" t="s">
        <v>5636</v>
      </c>
      <c r="BP215" s="0" t="str">
        <f aca="false">IF($A215="","",IFERROR(INDEX(Enrichment!$A$2:$GZ$2000,MATCH($A215,INDEX(Enrichment!$A$2:$GZ$2000,0,MATCH("row_id",Enrichment!$A$1:$GZ$1,0)),0),MATCH("backup_work_email",Enrichment!$A$1:$GZ$1,0))&amp;"",""))</f>
        <v/>
      </c>
      <c r="BQ215" s="0" t="str">
        <f aca="false">IF($A215="","",IF(BP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none</v>
      </c>
      <c r="BR215" s="0" t="s">
        <v>5712</v>
      </c>
      <c r="BS215" s="0" t="s">
        <v>169</v>
      </c>
      <c r="BT215" s="0" t="s">
        <v>170</v>
      </c>
      <c r="BU215" s="0" t="s">
        <v>10432</v>
      </c>
      <c r="BV215" s="0" t="s">
        <v>172</v>
      </c>
      <c r="BX215" s="0" t="s">
        <v>5643</v>
      </c>
      <c r="BY215" s="0" t="s">
        <v>10434</v>
      </c>
      <c r="CB215" s="0" t="s">
        <v>10435</v>
      </c>
      <c r="CD215" s="0" t="s">
        <v>10436</v>
      </c>
      <c r="CF215" s="0" t="s">
        <v>10437</v>
      </c>
      <c r="CH215" s="0" t="s">
        <v>6423</v>
      </c>
      <c r="CJ215" s="0" t="s">
        <v>5606</v>
      </c>
      <c r="CK215" s="0" t="s">
        <v>4627</v>
      </c>
      <c r="CL215" s="0" t="s">
        <v>10005</v>
      </c>
      <c r="CM215" s="0" t="s">
        <v>10438</v>
      </c>
      <c r="CN215" s="0" t="s">
        <v>8630</v>
      </c>
      <c r="CO215" s="0" t="s">
        <v>10428</v>
      </c>
      <c r="CP215" s="0" t="s">
        <v>5608</v>
      </c>
      <c r="CQ215" s="0" t="s">
        <v>5609</v>
      </c>
      <c r="CR215" s="0" t="s">
        <v>209</v>
      </c>
      <c r="CT215" s="0" t="s">
        <v>164</v>
      </c>
      <c r="CU215" s="0" t="s">
        <v>10439</v>
      </c>
      <c r="CV215" s="0" t="s">
        <v>189</v>
      </c>
      <c r="CW215" s="0" t="s">
        <v>164</v>
      </c>
      <c r="CX215" s="0" t="s">
        <v>209</v>
      </c>
      <c r="CZ215" s="0" t="s">
        <v>209</v>
      </c>
      <c r="DA215" s="0" t="s">
        <v>164</v>
      </c>
      <c r="DB215" s="0" t="s">
        <v>164</v>
      </c>
      <c r="DC215" s="0" t="s">
        <v>10440</v>
      </c>
      <c r="DD215" s="0" t="n">
        <v>0</v>
      </c>
      <c r="DE215" s="0" t="s">
        <v>164</v>
      </c>
      <c r="DF215" s="0" t="n">
        <v>6</v>
      </c>
      <c r="DG215" s="0" t="s">
        <v>10441</v>
      </c>
      <c r="DH215" s="0" t="s">
        <v>10442</v>
      </c>
      <c r="DI215" s="0" t="s">
        <v>10443</v>
      </c>
      <c r="DJ215" s="0" t="s">
        <v>10444</v>
      </c>
      <c r="DK215" s="0" t="s">
        <v>380</v>
      </c>
      <c r="DN215" s="0" t="n">
        <v>59</v>
      </c>
      <c r="DO215" s="0" t="n">
        <v>25</v>
      </c>
      <c r="DP215" s="0" t="n">
        <v>20</v>
      </c>
      <c r="DQ215" s="0" t="n">
        <v>0</v>
      </c>
      <c r="DR215" s="0" t="n">
        <v>5</v>
      </c>
      <c r="DS215" s="0" t="n">
        <v>7</v>
      </c>
      <c r="DT215" s="0" t="n">
        <v>6</v>
      </c>
      <c r="DU215" s="0" t="n">
        <f aca="false">IF($A215="","",IF(R215="Y",10,0))</f>
        <v>0</v>
      </c>
      <c r="DV215" s="0" t="n">
        <v>-4</v>
      </c>
      <c r="DW215" s="0" t="s">
        <v>10445</v>
      </c>
      <c r="DX215" s="0" t="s">
        <v>5691</v>
      </c>
      <c r="DY215" s="0" t="s">
        <v>10446</v>
      </c>
      <c r="DZ215" s="0" t="s">
        <v>10447</v>
      </c>
      <c r="EA215" s="0" t="s">
        <v>10448</v>
      </c>
      <c r="EV215" s="0" t="str">
        <f aca="false">IF($A215="","",IF(ISNUMBER(MATCH(U215,{"queued","contacted","replied","call_booked","call_done","yes_in_principle","materials_sent"},0)),"Y","N"))</f>
        <v>N</v>
      </c>
      <c r="EW215" s="0" t="str">
        <f aca="false">IF($A215="","",IF(OR(T215="Y",U215="do_not_contact",AQ215&amp;""&lt;&gt;""),"Y","N"))</f>
        <v>N</v>
      </c>
      <c r="EX215" s="0" t="str">
        <f aca="false">IF($A215="","",IF(AN215&amp;""&lt;&gt;"",AN215&amp;"",$A215))</f>
        <v>AB-073</v>
      </c>
      <c r="EY215" s="0" t="str">
        <f aca="false">IF($A215="","",IF(COUNTIFS($EX$2:$EX$1000,EX215,$EV$2:$EV$1000,"Y")+COUNTIFS($EX$2:$EX$1000,EX215,$EW$2:$EW$1000,"Y")&gt;0,"Y","N"))</f>
        <v>N</v>
      </c>
      <c r="EZ215" s="0" t="str">
        <f aca="false">IF($A215="","",IF(AND(U215="new",T215="N",EW215="N",AR215="Y",EY215="N"),"Y","N"))</f>
        <v>N</v>
      </c>
      <c r="FA215" s="0" t="str">
        <f aca="false">IF($A215="","",IF(EZ215&lt;&gt;"Y","N",IF(COUNTIFS($EX$2:$EX$1000,EX215,$EZ$2:$EZ$1000,"Y",$J$2:$J$1000,"&gt;"&amp;J215)+COUNTIFS($EX$2:$EX$1000,EX215,$EZ$2:$EZ$1000,"Y",$J$2:$J$1000,J215,$FG$2:$FG$1000,"&lt;"&amp;FG215)=0,"Y","N")))</f>
        <v>N</v>
      </c>
      <c r="FB215" s="0" t="str">
        <f aca="false">IF($A215="","",IF(AND(EZ215="Y",FA215="Y",Y215&amp;""&lt;&gt;""),IF(Y215&lt;=10,"Y","N"),"N"))</f>
        <v>N</v>
      </c>
      <c r="FC215" s="0" t="str">
        <f aca="false">IF(FB215="Y",Y215,"")</f>
        <v/>
      </c>
      <c r="FD215" s="0" t="str">
        <f aca="false">IF($A215="","",IF(AND(CK215="pass",AU215="Y",AV215&lt;&gt;"Y",U215="new",EW215="N"),"Y","N"))</f>
        <v>N</v>
      </c>
      <c r="FE215" s="0" t="str">
        <f aca="false">IF(FD215&lt;&gt;"Y","",IF(COUNTIFS($FD$2:$FD$1000,"Y",$J$2:$J$1000,"&gt;"&amp;J215)+COUNTIFS($FD$2:$FD$1000,"Y",$J$2:$J$1000,J215,$FG$2:$FG$1000,"&lt;"&amp;FG215)+1&lt;=30,COUNTIFS($FD$2:$FD$1000,"Y",$J$2:$J$1000,"&gt;"&amp;J215)+COUNTIFS($FD$2:$FD$1000,"Y",$J$2:$J$1000,J215,$FG$2:$FG$1000,"&lt;"&amp;FG215)+1,""))</f>
        <v/>
      </c>
      <c r="FF215" s="0" t="str">
        <f aca="false">IF(AND(_xlfn.ISFORMULA(C215),_xlfn.ISFORMULA(J215)),"Y","N")</f>
        <v>Y</v>
      </c>
      <c r="FG215" s="0" t="n">
        <f aca="false">ROW()-1</f>
        <v>214</v>
      </c>
    </row>
    <row r="216" customFormat="false" ht="15" hidden="false" customHeight="false" outlineLevel="0" collapsed="false">
      <c r="A216" s="0" t="s">
        <v>10449</v>
      </c>
      <c r="B216" s="0" t="s">
        <v>10450</v>
      </c>
      <c r="C216" s="0" t="str">
        <f aca="false">IF($A216="","",IF(AT216="Y",BL216&amp;"",AY216&amp;""))</f>
        <v>Justin</v>
      </c>
      <c r="D216" s="0" t="str">
        <f aca="false">IF($A216="","",IF(AT216="Y",BM216&amp;"",AZ216&amp;""))</f>
        <v>Bruckel</v>
      </c>
      <c r="E216" s="0" t="str">
        <f aca="false">IF($A216="","",IF(AT216="Y",BN216&amp;"",BA216&amp;""))</f>
        <v>Founder (exact title not stated)</v>
      </c>
      <c r="F216" s="0" t="str">
        <f aca="false">IF($A216="","",IF(AT216="Y",BO216&amp;"",BB216&amp;""))</f>
        <v/>
      </c>
      <c r="G216" s="0" t="str">
        <f aca="false">IF($A216="","",IF(AT216="Y",BP216&amp;"",BC216&amp;""))</f>
        <v/>
      </c>
      <c r="H216" s="0" t="str">
        <f aca="false">IF($A216="","",IF(AT216="Y",BQ216&amp;"",BD216&amp;""))</f>
        <v>none</v>
      </c>
      <c r="I216" s="0" t="str">
        <f aca="false">IF($A216="","",IF(R216="Y","warm-intro",IF(H216="verified","email",IF(C216&lt;&gt;"","linkedin",CA216&amp;""))))</f>
        <v>linkedin</v>
      </c>
      <c r="J216" s="0" t="n">
        <f aca="false">IF($A216="","",IF(CK216="pass",ROUND(N(DO216)+N(DP216)+N(DQ216)+N(DR216)+N(DS216)+N(DT216)+N(DU216)+N(DV216),0),0))</f>
        <v>0</v>
      </c>
      <c r="K216" s="0" t="str">
        <f aca="false">IF($A216="","",IF(CK216&lt;&gt;"pass",BY216&amp;"",BY216&amp;", "&amp;IF(AT216="Y",BX216&amp;"",BK216&amp;"")&amp;BZ216&amp;IF(R216="Y","; known to the founder (+10)","")&amp;"."))</f>
        <v>Gated out: health-claim: explicit health claim in the brand's own copy (opened 2026-10-24): 'From boosting hydration to aiding digestion and even improving heart health' (.</v>
      </c>
      <c r="M216" s="0" t="s">
        <v>10451</v>
      </c>
      <c r="N216" s="0" t="s">
        <v>5915</v>
      </c>
      <c r="O216" s="0" t="s">
        <v>10452</v>
      </c>
      <c r="P216" s="0" t="s">
        <v>10453</v>
      </c>
      <c r="Q216" s="0" t="s">
        <v>8492</v>
      </c>
      <c r="R216" s="5" t="s">
        <v>189</v>
      </c>
      <c r="S216" s="0" t="s">
        <v>209</v>
      </c>
      <c r="T216" s="5" t="s">
        <v>189</v>
      </c>
      <c r="U216" s="5" t="s">
        <v>3896</v>
      </c>
      <c r="V216" s="0" t="s">
        <v>10454</v>
      </c>
      <c r="W216" s="0" t="s">
        <v>263</v>
      </c>
      <c r="X216" s="0" t="s">
        <v>5578</v>
      </c>
      <c r="Y216" s="0" t="str">
        <f aca="false">IF(FA216&lt;&gt;"Y","",COUNTIFS($FA$2:$FA$1000,"Y",$J$2:$J$1000,"&gt;"&amp;J216)+COUNTIFS($FA$2:$FA$1000,"Y",$J$2:$J$1000,J216,$FG$2:$FG$1000,"&lt;"&amp;FG216)+1)</f>
        <v/>
      </c>
      <c r="AA216" s="0" t="s">
        <v>189</v>
      </c>
      <c r="AB216" s="0" t="str">
        <f aca="false">IF($A216="","",IF(AT216="Y",BW216&amp;"",BJ216&amp;""))</f>
        <v/>
      </c>
      <c r="AC216" s="0" t="str">
        <f aca="false">IF($A216="","",IF(AT216="Y",BR216&amp;"",BE216&amp;""))</f>
        <v>founder</v>
      </c>
      <c r="AD216" s="0" t="str">
        <f aca="false">IF($A216="","",IF(AT216="Y",BS216&amp;"",BF216&amp;""))</f>
        <v>verified-page</v>
      </c>
      <c r="AE216" s="0" t="str">
        <f aca="false">IF($A216="","",IF(AT216="Y",BT216&amp;"",BG216&amp;""))</f>
        <v>employer's own site</v>
      </c>
      <c r="AF216" s="0" t="str">
        <f aca="false">IF($A216="","",IF(AT216="Y",BU216&amp;"",BH216&amp;""))</f>
        <v>https://www.drinkcoaqua.com/pages/about-us</v>
      </c>
      <c r="AG216" s="0" t="str">
        <f aca="false">IF($A216="","",IF(AT216="Y",BV216&amp;"",BI216&amp;""))</f>
        <v>2026-10-23</v>
      </c>
      <c r="AH216" s="0" t="s">
        <v>10455</v>
      </c>
      <c r="AI216" s="0" t="s">
        <v>6621</v>
      </c>
      <c r="AJ216" s="0" t="s">
        <v>10456</v>
      </c>
      <c r="AK216" s="0" t="s">
        <v>10457</v>
      </c>
      <c r="AL216" s="0" t="s">
        <v>164</v>
      </c>
      <c r="AM216" s="0" t="s">
        <v>10458</v>
      </c>
      <c r="AN216" s="0" t="s">
        <v>10449</v>
      </c>
      <c r="AO216" s="5" t="s">
        <v>189</v>
      </c>
      <c r="AR216" s="0" t="str">
        <f aca="false">IF($A216="","",IF(AND(CK216="pass",AO216&lt;&gt;"Y",C216&lt;&gt;"",OR(AU216&lt;&gt;"Y",AV216="Y")),"Y","N"))</f>
        <v>N</v>
      </c>
      <c r="AS216" s="0" t="str">
        <f aca="false">IF($A216="","",_xlfn.TEXTJOIN("; ",TRUE(),IF(CK216&lt;&gt;"pass","gated out",""),IF(AO216="Y","on hold: "&amp;AP216,""),IF(C216="","no contact named on an opened page",""),IF(AND(AU216="Y",AV216&lt;&gt;"Y"),"founder review pending (Founder review tab)","")))</f>
        <v>gated out</v>
      </c>
      <c r="AU216" s="0" t="s">
        <v>189</v>
      </c>
      <c r="AY216" s="0" t="s">
        <v>8755</v>
      </c>
      <c r="AZ216" s="0" t="s">
        <v>10459</v>
      </c>
      <c r="BA216" s="0" t="s">
        <v>7084</v>
      </c>
      <c r="BC216" s="0" t="str">
        <f aca="false">IF($A216="","",IFERROR(INDEX(Enrichment!$A$2:$GZ$2000,MATCH($A216,INDEX(Enrichment!$A$2:$GZ$2000,0,MATCH("row_id",Enrichment!$A$1:$GZ$1,0)),0),MATCH("work_email",Enrichment!$A$1:$GZ$1,0))&amp;"",""))</f>
        <v/>
      </c>
      <c r="BD216" s="0" t="str">
        <f aca="false">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none</v>
      </c>
      <c r="BE216" s="0" t="s">
        <v>5589</v>
      </c>
      <c r="BF216" s="0" t="s">
        <v>169</v>
      </c>
      <c r="BG216" s="0" t="s">
        <v>170</v>
      </c>
      <c r="BH216" s="0" t="s">
        <v>10460</v>
      </c>
      <c r="BI216" s="0" t="s">
        <v>263</v>
      </c>
      <c r="BK216" s="0" t="s">
        <v>5643</v>
      </c>
      <c r="BL216" s="0" t="s">
        <v>10461</v>
      </c>
      <c r="BM216" s="0" t="s">
        <v>10462</v>
      </c>
      <c r="BN216" s="0" t="s">
        <v>10463</v>
      </c>
      <c r="BP216" s="0" t="str">
        <f aca="false">IF($A216="","",IFERROR(INDEX(Enrichment!$A$2:$GZ$2000,MATCH($A216,INDEX(Enrichment!$A$2:$GZ$2000,0,MATCH("row_id",Enrichment!$A$1:$GZ$1,0)),0),MATCH("backup_work_email",Enrichment!$A$1:$GZ$1,0))&amp;"",""))</f>
        <v/>
      </c>
      <c r="BQ216" s="0" t="str">
        <f aca="false">IF($A216="","",IF(BP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none</v>
      </c>
      <c r="BR216" s="0" t="s">
        <v>7748</v>
      </c>
      <c r="BS216" s="0" t="s">
        <v>169</v>
      </c>
      <c r="BT216" s="0" t="s">
        <v>170</v>
      </c>
      <c r="BU216" s="0" t="s">
        <v>10460</v>
      </c>
      <c r="BV216" s="0" t="s">
        <v>263</v>
      </c>
      <c r="BX216" s="0" t="s">
        <v>5643</v>
      </c>
      <c r="BY216" s="0" t="s">
        <v>10464</v>
      </c>
      <c r="CB216" s="0" t="s">
        <v>10465</v>
      </c>
      <c r="CF216" s="0" t="s">
        <v>10466</v>
      </c>
      <c r="CJ216" s="0" t="s">
        <v>7088</v>
      </c>
      <c r="CK216" s="0" t="s">
        <v>4627</v>
      </c>
      <c r="CL216" s="0" t="s">
        <v>10005</v>
      </c>
      <c r="CM216" s="0" t="s">
        <v>10467</v>
      </c>
      <c r="CN216" s="0" t="s">
        <v>443</v>
      </c>
      <c r="CO216" s="0" t="s">
        <v>10457</v>
      </c>
      <c r="CP216" s="0" t="s">
        <v>9289</v>
      </c>
      <c r="CQ216" s="0" t="s">
        <v>6198</v>
      </c>
      <c r="CR216" s="0" t="s">
        <v>209</v>
      </c>
      <c r="CT216" s="0" t="s">
        <v>209</v>
      </c>
      <c r="CU216" s="0" t="s">
        <v>10468</v>
      </c>
      <c r="CV216" s="0" t="s">
        <v>164</v>
      </c>
      <c r="CW216" s="0" t="s">
        <v>164</v>
      </c>
      <c r="CX216" s="0" t="s">
        <v>209</v>
      </c>
      <c r="CZ216" s="0" t="s">
        <v>6456</v>
      </c>
      <c r="DA216" s="0" t="s">
        <v>189</v>
      </c>
      <c r="DB216" s="0" t="s">
        <v>164</v>
      </c>
      <c r="DC216" s="0" t="s">
        <v>10469</v>
      </c>
      <c r="DD216" s="0" t="n">
        <v>0.9</v>
      </c>
      <c r="DE216" s="0" t="s">
        <v>189</v>
      </c>
      <c r="DF216" s="0" t="n">
        <v>8</v>
      </c>
      <c r="DG216" s="0" t="s">
        <v>10470</v>
      </c>
      <c r="DI216" s="0" t="s">
        <v>10471</v>
      </c>
      <c r="DJ216" s="0" t="s">
        <v>10472</v>
      </c>
      <c r="DK216" s="0" t="s">
        <v>5689</v>
      </c>
      <c r="DL216" s="0" t="n">
        <v>115</v>
      </c>
      <c r="DN216" s="0" t="n">
        <v>40</v>
      </c>
      <c r="DO216" s="0" t="n">
        <v>13</v>
      </c>
      <c r="DP216" s="0" t="n">
        <v>3</v>
      </c>
      <c r="DQ216" s="0" t="n">
        <v>8</v>
      </c>
      <c r="DR216" s="0" t="n">
        <v>5</v>
      </c>
      <c r="DS216" s="0" t="n">
        <v>7</v>
      </c>
      <c r="DT216" s="0" t="n">
        <v>6</v>
      </c>
      <c r="DU216" s="0" t="n">
        <f aca="false">IF($A216="","",IF(R216="Y",10,0))</f>
        <v>0</v>
      </c>
      <c r="DV216" s="0" t="n">
        <v>-2</v>
      </c>
      <c r="DW216" s="0" t="s">
        <v>10473</v>
      </c>
      <c r="DX216" s="0" t="s">
        <v>6462</v>
      </c>
      <c r="DY216" s="0" t="s">
        <v>10474</v>
      </c>
      <c r="DZ216" s="0" t="s">
        <v>10475</v>
      </c>
      <c r="EA216" s="0" t="s">
        <v>10476</v>
      </c>
      <c r="EV216" s="0" t="str">
        <f aca="false">IF($A216="","",IF(ISNUMBER(MATCH(U216,{"queued","contacted","replied","call_booked","call_done","yes_in_principle","materials_sent"},0)),"Y","N"))</f>
        <v>N</v>
      </c>
      <c r="EW216" s="0" t="str">
        <f aca="false">IF($A216="","",IF(OR(T216="Y",U216="do_not_contact",AQ216&amp;""&lt;&gt;""),"Y","N"))</f>
        <v>N</v>
      </c>
      <c r="EX216" s="0" t="str">
        <f aca="false">IF($A216="","",IF(AN216&amp;""&lt;&gt;"",AN216&amp;"",$A216))</f>
        <v>AB-162</v>
      </c>
      <c r="EY216" s="0" t="str">
        <f aca="false">IF($A216="","",IF(COUNTIFS($EX$2:$EX$1000,EX216,$EV$2:$EV$1000,"Y")+COUNTIFS($EX$2:$EX$1000,EX216,$EW$2:$EW$1000,"Y")&gt;0,"Y","N"))</f>
        <v>N</v>
      </c>
      <c r="EZ216" s="0" t="str">
        <f aca="false">IF($A216="","",IF(AND(U216="new",T216="N",EW216="N",AR216="Y",EY216="N"),"Y","N"))</f>
        <v>N</v>
      </c>
      <c r="FA216" s="0" t="str">
        <f aca="false">IF($A216="","",IF(EZ216&lt;&gt;"Y","N",IF(COUNTIFS($EX$2:$EX$1000,EX216,$EZ$2:$EZ$1000,"Y",$J$2:$J$1000,"&gt;"&amp;J216)+COUNTIFS($EX$2:$EX$1000,EX216,$EZ$2:$EZ$1000,"Y",$J$2:$J$1000,J216,$FG$2:$FG$1000,"&lt;"&amp;FG216)=0,"Y","N")))</f>
        <v>N</v>
      </c>
      <c r="FB216" s="0" t="str">
        <f aca="false">IF($A216="","",IF(AND(EZ216="Y",FA216="Y",Y216&amp;""&lt;&gt;""),IF(Y216&lt;=10,"Y","N"),"N"))</f>
        <v>N</v>
      </c>
      <c r="FC216" s="0" t="str">
        <f aca="false">IF(FB216="Y",Y216,"")</f>
        <v/>
      </c>
      <c r="FD216" s="0" t="str">
        <f aca="false">IF($A216="","",IF(AND(CK216="pass",AU216="Y",AV216&lt;&gt;"Y",U216="new",EW216="N"),"Y","N"))</f>
        <v>N</v>
      </c>
      <c r="FE216" s="0" t="str">
        <f aca="false">IF(FD216&lt;&gt;"Y","",IF(COUNTIFS($FD$2:$FD$1000,"Y",$J$2:$J$1000,"&gt;"&amp;J216)+COUNTIFS($FD$2:$FD$1000,"Y",$J$2:$J$1000,J216,$FG$2:$FG$1000,"&lt;"&amp;FG216)+1&lt;=30,COUNTIFS($FD$2:$FD$1000,"Y",$J$2:$J$1000,"&gt;"&amp;J216)+COUNTIFS($FD$2:$FD$1000,"Y",$J$2:$J$1000,J216,$FG$2:$FG$1000,"&lt;"&amp;FG216)+1,""))</f>
        <v/>
      </c>
      <c r="FF216" s="0" t="str">
        <f aca="false">IF(AND(_xlfn.ISFORMULA(C216),_xlfn.ISFORMULA(J216)),"Y","N")</f>
        <v>Y</v>
      </c>
      <c r="FG216" s="0" t="n">
        <f aca="false">ROW()-1</f>
        <v>215</v>
      </c>
    </row>
    <row r="217" customFormat="false" ht="15" hidden="false" customHeight="false" outlineLevel="0" collapsed="false">
      <c r="A217" s="0" t="s">
        <v>10477</v>
      </c>
      <c r="B217" s="0" t="s">
        <v>10478</v>
      </c>
      <c r="C217" s="0" t="str">
        <f aca="false">IF($A217="","",IF(AT217="Y",BL217&amp;"",AY217&amp;""))</f>
        <v>Anna</v>
      </c>
      <c r="D217" s="0" t="str">
        <f aca="false">IF($A217="","",IF(AT217="Y",BM217&amp;"",AZ217&amp;""))</f>
        <v>Zesbaugh</v>
      </c>
      <c r="E217" s="0" t="str">
        <f aca="false">IF($A217="","",IF(AT217="Y",BN217&amp;"",BA217&amp;""))</f>
        <v>Founder</v>
      </c>
      <c r="F217" s="0" t="str">
        <f aca="false">IF($A217="","",IF(AT217="Y",BO217&amp;"",BB217&amp;""))</f>
        <v/>
      </c>
      <c r="G217" s="0" t="str">
        <f aca="false">IF($A217="","",IF(AT217="Y",BP217&amp;"",BC217&amp;""))</f>
        <v/>
      </c>
      <c r="H217" s="0" t="str">
        <f aca="false">IF($A217="","",IF(AT217="Y",BQ217&amp;"",BD217&amp;""))</f>
        <v>none</v>
      </c>
      <c r="I217" s="0" t="str">
        <f aca="false">IF($A217="","",IF(R217="Y","warm-intro",IF(H217="verified","email",IF(C217&lt;&gt;"","linkedin",CA217&amp;""))))</f>
        <v>linkedin</v>
      </c>
      <c r="J217" s="0" t="n">
        <f aca="false">IF($A217="","",IF(CK217="pass",ROUND(N(DO217)+N(DP217)+N(DQ217)+N(DR217)+N(DS217)+N(DT217)+N(DU217)+N(DV217),0),0))</f>
        <v>0</v>
      </c>
      <c r="K217" s="0" t="str">
        <f aca="false">IF($A217="","",IF(CK217&lt;&gt;"pass",BY217&amp;"",BY217&amp;", "&amp;IF(AT217="Y",BX217&amp;"",BK217&amp;"")&amp;BZ217&amp;IF(R217="Y","; known to the founder (+10)","")&amp;"."))</f>
        <v>Gated out: health-claim: Structure or function claims: 'Zinc to support immunity', 'Magnesium to support energy and muscle comfort', 'L-theanine for calm, focused vibes'.</v>
      </c>
      <c r="M217" s="0" t="s">
        <v>10479</v>
      </c>
      <c r="N217" s="0" t="s">
        <v>5915</v>
      </c>
      <c r="R217" s="5" t="s">
        <v>189</v>
      </c>
      <c r="S217" s="0" t="s">
        <v>209</v>
      </c>
      <c r="T217" s="5" t="s">
        <v>189</v>
      </c>
      <c r="U217" s="5" t="s">
        <v>3896</v>
      </c>
      <c r="V217" s="0" t="s">
        <v>10480</v>
      </c>
      <c r="W217" s="0" t="s">
        <v>263</v>
      </c>
      <c r="X217" s="0" t="s">
        <v>5578</v>
      </c>
      <c r="Y217" s="0" t="str">
        <f aca="false">IF(FA217&lt;&gt;"Y","",COUNTIFS($FA$2:$FA$1000,"Y",$J$2:$J$1000,"&gt;"&amp;J217)+COUNTIFS($FA$2:$FA$1000,"Y",$J$2:$J$1000,J217,$FG$2:$FG$1000,"&lt;"&amp;FG217)+1)</f>
        <v/>
      </c>
      <c r="AA217" s="0" t="s">
        <v>189</v>
      </c>
      <c r="AB217" s="0" t="str">
        <f aca="false">IF($A217="","",IF(AT217="Y",BW217&amp;"",BJ217&amp;""))</f>
        <v/>
      </c>
      <c r="AC217" s="0" t="str">
        <f aca="false">IF($A217="","",IF(AT217="Y",BR217&amp;"",BE217&amp;""))</f>
        <v>founder</v>
      </c>
      <c r="AD217" s="0" t="str">
        <f aca="false">IF($A217="","",IF(AT217="Y",BS217&amp;"",BF217&amp;""))</f>
        <v>verified-page</v>
      </c>
      <c r="AE217" s="0" t="str">
        <f aca="false">IF($A217="","",IF(AT217="Y",BT217&amp;"",BG217&amp;""))</f>
        <v>employer's own site</v>
      </c>
      <c r="AF217" s="0" t="str">
        <f aca="false">IF($A217="","",IF(AT217="Y",BU217&amp;"",BH217&amp;""))</f>
        <v>https://drinkcorpsereviver.com/pages/about-us</v>
      </c>
      <c r="AG217" s="0" t="str">
        <f aca="false">IF($A217="","",IF(AT217="Y",BV217&amp;"",BI217&amp;""))</f>
        <v>2026-10-23</v>
      </c>
      <c r="AH217" s="0" t="s">
        <v>10481</v>
      </c>
      <c r="AI217" s="0" t="s">
        <v>6621</v>
      </c>
      <c r="AJ217" s="0" t="s">
        <v>209</v>
      </c>
      <c r="AK217" s="0" t="s">
        <v>10482</v>
      </c>
      <c r="AL217" s="0" t="s">
        <v>164</v>
      </c>
      <c r="AM217" s="0" t="s">
        <v>5666</v>
      </c>
      <c r="AN217" s="0" t="s">
        <v>10477</v>
      </c>
      <c r="AO217" s="5" t="s">
        <v>189</v>
      </c>
      <c r="AR217" s="0" t="str">
        <f aca="false">IF($A217="","",IF(AND(CK217="pass",AO217&lt;&gt;"Y",C217&lt;&gt;"",OR(AU217&lt;&gt;"Y",AV217="Y")),"Y","N"))</f>
        <v>N</v>
      </c>
      <c r="AS217" s="0" t="str">
        <f aca="false">IF($A217="","",_xlfn.TEXTJOIN("; ",TRUE(),IF(CK217&lt;&gt;"pass","gated out",""),IF(AO217="Y","on hold: "&amp;AP217,""),IF(C217="","no contact named on an opened page",""),IF(AND(AU217="Y",AV217&lt;&gt;"Y"),"founder review pending (Founder review tab)","")))</f>
        <v>gated out</v>
      </c>
      <c r="AU217" s="0" t="s">
        <v>189</v>
      </c>
      <c r="AY217" s="0" t="s">
        <v>10483</v>
      </c>
      <c r="AZ217" s="0" t="s">
        <v>10484</v>
      </c>
      <c r="BA217" s="0" t="s">
        <v>5739</v>
      </c>
      <c r="BC217" s="0" t="str">
        <f aca="false">IF($A217="","",IFERROR(INDEX(Enrichment!$A$2:$GZ$2000,MATCH($A217,INDEX(Enrichment!$A$2:$GZ$2000,0,MATCH("row_id",Enrichment!$A$1:$GZ$1,0)),0),MATCH("work_email",Enrichment!$A$1:$GZ$1,0))&amp;"",""))</f>
        <v/>
      </c>
      <c r="BD217" s="0" t="str">
        <f aca="false">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none</v>
      </c>
      <c r="BE217" s="0" t="s">
        <v>5589</v>
      </c>
      <c r="BF217" s="0" t="s">
        <v>169</v>
      </c>
      <c r="BG217" s="0" t="s">
        <v>170</v>
      </c>
      <c r="BH217" s="0" t="s">
        <v>10480</v>
      </c>
      <c r="BI217" s="0" t="s">
        <v>263</v>
      </c>
      <c r="BK217" s="0" t="s">
        <v>5643</v>
      </c>
      <c r="BP217" s="0" t="str">
        <f aca="false">IF($A217="","",IFERROR(INDEX(Enrichment!$A$2:$GZ$2000,MATCH($A217,INDEX(Enrichment!$A$2:$GZ$2000,0,MATCH("row_id",Enrichment!$A$1:$GZ$1,0)),0),MATCH("backup_work_email",Enrichment!$A$1:$GZ$1,0))&amp;"",""))</f>
        <v/>
      </c>
      <c r="BQ217" s="0" t="str">
        <f aca="false">IF($A217="","",IF(BP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none</v>
      </c>
      <c r="BS217" s="0" t="s">
        <v>380</v>
      </c>
      <c r="BX217" s="0" t="s">
        <v>388</v>
      </c>
      <c r="BY217" s="0" t="s">
        <v>10485</v>
      </c>
      <c r="CB217" s="0" t="s">
        <v>10486</v>
      </c>
      <c r="CJ217" s="0" t="s">
        <v>7088</v>
      </c>
      <c r="CK217" s="0" t="s">
        <v>4627</v>
      </c>
      <c r="CL217" s="0" t="s">
        <v>10005</v>
      </c>
      <c r="CM217" s="0" t="s">
        <v>10487</v>
      </c>
      <c r="CO217" s="0" t="s">
        <v>10482</v>
      </c>
      <c r="CP217" s="0" t="s">
        <v>209</v>
      </c>
      <c r="CQ217" s="0" t="s">
        <v>209</v>
      </c>
      <c r="CR217" s="0" t="s">
        <v>209</v>
      </c>
      <c r="CT217" s="0" t="s">
        <v>209</v>
      </c>
      <c r="CU217" s="0" t="s">
        <v>9076</v>
      </c>
      <c r="CV217" s="0" t="s">
        <v>164</v>
      </c>
      <c r="CW217" s="0" t="s">
        <v>164</v>
      </c>
      <c r="CX217" s="0" t="s">
        <v>209</v>
      </c>
      <c r="CZ217" s="0" t="s">
        <v>6456</v>
      </c>
      <c r="DA217" s="0" t="s">
        <v>164</v>
      </c>
      <c r="DB217" s="0" t="s">
        <v>164</v>
      </c>
      <c r="DC217" s="0" t="s">
        <v>10488</v>
      </c>
      <c r="DD217" s="0" t="n">
        <v>0</v>
      </c>
      <c r="DE217" s="0" t="s">
        <v>164</v>
      </c>
      <c r="DF217" s="0" t="n">
        <v>5</v>
      </c>
      <c r="DG217" s="0" t="s">
        <v>10489</v>
      </c>
      <c r="DI217" s="0" t="s">
        <v>10490</v>
      </c>
      <c r="DJ217" s="0" t="s">
        <v>10491</v>
      </c>
      <c r="DK217" s="0" t="s">
        <v>380</v>
      </c>
      <c r="DN217" s="0" t="n">
        <v>39</v>
      </c>
      <c r="DO217" s="0" t="n">
        <v>17</v>
      </c>
      <c r="DP217" s="0" t="n">
        <v>4</v>
      </c>
      <c r="DQ217" s="0" t="n">
        <v>0</v>
      </c>
      <c r="DR217" s="0" t="n">
        <v>5</v>
      </c>
      <c r="DS217" s="0" t="n">
        <v>7</v>
      </c>
      <c r="DT217" s="0" t="n">
        <v>6</v>
      </c>
      <c r="DU217" s="0" t="n">
        <f aca="false">IF($A217="","",IF(R217="Y",10,0))</f>
        <v>0</v>
      </c>
      <c r="DV217" s="0" t="n">
        <v>0</v>
      </c>
      <c r="DW217" s="0" t="s">
        <v>209</v>
      </c>
      <c r="DX217" s="0" t="s">
        <v>6462</v>
      </c>
      <c r="DY217" s="0" t="s">
        <v>10492</v>
      </c>
      <c r="DZ217" s="0" t="s">
        <v>10493</v>
      </c>
      <c r="EV217" s="0" t="str">
        <f aca="false">IF($A217="","",IF(ISNUMBER(MATCH(U217,{"queued","contacted","replied","call_booked","call_done","yes_in_principle","materials_sent"},0)),"Y","N"))</f>
        <v>N</v>
      </c>
      <c r="EW217" s="0" t="str">
        <f aca="false">IF($A217="","",IF(OR(T217="Y",U217="do_not_contact",AQ217&amp;""&lt;&gt;""),"Y","N"))</f>
        <v>N</v>
      </c>
      <c r="EX217" s="0" t="str">
        <f aca="false">IF($A217="","",IF(AN217&amp;""&lt;&gt;"",AN217&amp;"",$A217))</f>
        <v>AB-197</v>
      </c>
      <c r="EY217" s="0" t="str">
        <f aca="false">IF($A217="","",IF(COUNTIFS($EX$2:$EX$1000,EX217,$EV$2:$EV$1000,"Y")+COUNTIFS($EX$2:$EX$1000,EX217,$EW$2:$EW$1000,"Y")&gt;0,"Y","N"))</f>
        <v>N</v>
      </c>
      <c r="EZ217" s="0" t="str">
        <f aca="false">IF($A217="","",IF(AND(U217="new",T217="N",EW217="N",AR217="Y",EY217="N"),"Y","N"))</f>
        <v>N</v>
      </c>
      <c r="FA217" s="0" t="str">
        <f aca="false">IF($A217="","",IF(EZ217&lt;&gt;"Y","N",IF(COUNTIFS($EX$2:$EX$1000,EX217,$EZ$2:$EZ$1000,"Y",$J$2:$J$1000,"&gt;"&amp;J217)+COUNTIFS($EX$2:$EX$1000,EX217,$EZ$2:$EZ$1000,"Y",$J$2:$J$1000,J217,$FG$2:$FG$1000,"&lt;"&amp;FG217)=0,"Y","N")))</f>
        <v>N</v>
      </c>
      <c r="FB217" s="0" t="str">
        <f aca="false">IF($A217="","",IF(AND(EZ217="Y",FA217="Y",Y217&amp;""&lt;&gt;""),IF(Y217&lt;=10,"Y","N"),"N"))</f>
        <v>N</v>
      </c>
      <c r="FC217" s="0" t="str">
        <f aca="false">IF(FB217="Y",Y217,"")</f>
        <v/>
      </c>
      <c r="FD217" s="0" t="str">
        <f aca="false">IF($A217="","",IF(AND(CK217="pass",AU217="Y",AV217&lt;&gt;"Y",U217="new",EW217="N"),"Y","N"))</f>
        <v>N</v>
      </c>
      <c r="FE217" s="0" t="str">
        <f aca="false">IF(FD217&lt;&gt;"Y","",IF(COUNTIFS($FD$2:$FD$1000,"Y",$J$2:$J$1000,"&gt;"&amp;J217)+COUNTIFS($FD$2:$FD$1000,"Y",$J$2:$J$1000,J217,$FG$2:$FG$1000,"&lt;"&amp;FG217)+1&lt;=30,COUNTIFS($FD$2:$FD$1000,"Y",$J$2:$J$1000,"&gt;"&amp;J217)+COUNTIFS($FD$2:$FD$1000,"Y",$J$2:$J$1000,J217,$FG$2:$FG$1000,"&lt;"&amp;FG217)+1,""))</f>
        <v/>
      </c>
      <c r="FF217" s="0" t="str">
        <f aca="false">IF(AND(_xlfn.ISFORMULA(C217),_xlfn.ISFORMULA(J217)),"Y","N")</f>
        <v>Y</v>
      </c>
      <c r="FG217" s="0" t="n">
        <f aca="false">ROW()-1</f>
        <v>216</v>
      </c>
    </row>
    <row r="218" customFormat="false" ht="15" hidden="false" customHeight="false" outlineLevel="0" collapsed="false">
      <c r="A218" s="0" t="s">
        <v>10494</v>
      </c>
      <c r="B218" s="0" t="s">
        <v>10495</v>
      </c>
      <c r="C218" s="0" t="str">
        <f aca="false">IF($A218="","",IF(AT218="Y",BL218&amp;"",AY218&amp;""))</f>
        <v>Andrew</v>
      </c>
      <c r="D218" s="0" t="str">
        <f aca="false">IF($A218="","",IF(AT218="Y",BM218&amp;"",AZ218&amp;""))</f>
        <v>Schundler</v>
      </c>
      <c r="E218" s="0" t="str">
        <f aca="false">IF($A218="","",IF(AT218="Y",BN218&amp;"",BA218&amp;""))</f>
        <v>Co-founder</v>
      </c>
      <c r="F218" s="0" t="str">
        <f aca="false">IF($A218="","",IF(AT218="Y",BO218&amp;"",BB218&amp;""))</f>
        <v/>
      </c>
      <c r="G218" s="0" t="str">
        <f aca="false">IF($A218="","",IF(AT218="Y",BP218&amp;"",BC218&amp;""))</f>
        <v/>
      </c>
      <c r="H218" s="0" t="str">
        <f aca="false">IF($A218="","",IF(AT218="Y",BQ218&amp;"",BD218&amp;""))</f>
        <v>none</v>
      </c>
      <c r="I218" s="0" t="str">
        <f aca="false">IF($A218="","",IF(R218="Y","warm-intro",IF(H218="verified","email",IF(C218&lt;&gt;"","linkedin",CA218&amp;""))))</f>
        <v>linkedin</v>
      </c>
      <c r="J218" s="0" t="n">
        <f aca="false">IF($A218="","",IF(CK218="pass",ROUND(N(DO218)+N(DP218)+N(DQ218)+N(DR218)+N(DS218)+N(DT218)+N(DU218)+N(DV218),0),0))</f>
        <v>0</v>
      </c>
      <c r="K218" s="0" t="str">
        <f aca="false">IF($A218="","",IF(CK218&lt;&gt;"pass",BY218&amp;"",BY218&amp;", "&amp;IF(AT218="Y",BX218&amp;"",BK218&amp;"")&amp;BZ218&amp;IF(R218="Y","; known to the founder (+10)","")&amp;"."))</f>
        <v>Gated out: health-claim: explicit health claim on the brand's homepage (opened 2026-10-24): 'These antioxidants fight free radicals and support your immune system daily'.</v>
      </c>
      <c r="M218" s="0" t="s">
        <v>6144</v>
      </c>
      <c r="N218" s="0" t="s">
        <v>740</v>
      </c>
      <c r="O218" s="0" t="s">
        <v>10496</v>
      </c>
      <c r="P218" s="0" t="s">
        <v>10497</v>
      </c>
      <c r="Q218" s="0" t="s">
        <v>7025</v>
      </c>
      <c r="R218" s="5" t="s">
        <v>189</v>
      </c>
      <c r="S218" s="0" t="s">
        <v>164</v>
      </c>
      <c r="T218" s="5" t="s">
        <v>189</v>
      </c>
      <c r="U218" s="5" t="s">
        <v>3896</v>
      </c>
      <c r="V218" s="0" t="s">
        <v>10498</v>
      </c>
      <c r="W218" s="0" t="s">
        <v>263</v>
      </c>
      <c r="X218" s="0" t="s">
        <v>5578</v>
      </c>
      <c r="Y218" s="0" t="str">
        <f aca="false">IF(FA218&lt;&gt;"Y","",COUNTIFS($FA$2:$FA$1000,"Y",$J$2:$J$1000,"&gt;"&amp;J218)+COUNTIFS($FA$2:$FA$1000,"Y",$J$2:$J$1000,J218,$FG$2:$FG$1000,"&lt;"&amp;FG218)+1)</f>
        <v/>
      </c>
      <c r="AA218" s="0" t="s">
        <v>189</v>
      </c>
      <c r="AB218" s="0" t="str">
        <f aca="false">IF($A218="","",IF(AT218="Y",BW218&amp;"",BJ218&amp;""))</f>
        <v/>
      </c>
      <c r="AC218" s="0" t="str">
        <f aca="false">IF($A218="","",IF(AT218="Y",BR218&amp;"",BE218&amp;""))</f>
        <v>founder</v>
      </c>
      <c r="AD218" s="0" t="str">
        <f aca="false">IF($A218="","",IF(AT218="Y",BS218&amp;"",BF218&amp;""))</f>
        <v>verified-page</v>
      </c>
      <c r="AE218" s="0" t="str">
        <f aca="false">IF($A218="","",IF(AT218="Y",BT218&amp;"",BG218&amp;""))</f>
        <v>press, event or podcast page</v>
      </c>
      <c r="AF218" s="0" t="str">
        <f aca="false">IF($A218="","",IF(AT218="Y",BU218&amp;"",BH218&amp;""))</f>
        <v>https://startupcpg.com/startup-cpg-newswire-chuh-celebrates-successful-first-month-launch-with-2000-cans-sold-and-19-retail-accounts/</v>
      </c>
      <c r="AG218" s="0" t="str">
        <f aca="false">IF($A218="","",IF(AT218="Y",BV218&amp;"",BI218&amp;""))</f>
        <v>2026-10-23</v>
      </c>
      <c r="AH218" s="0" t="s">
        <v>10499</v>
      </c>
      <c r="AI218" s="0" t="s">
        <v>6621</v>
      </c>
      <c r="AJ218" s="0" t="s">
        <v>10500</v>
      </c>
      <c r="AK218" s="0" t="s">
        <v>10501</v>
      </c>
      <c r="AL218" s="0" t="s">
        <v>164</v>
      </c>
      <c r="AM218" s="0" t="s">
        <v>10502</v>
      </c>
      <c r="AN218" s="0" t="s">
        <v>10494</v>
      </c>
      <c r="AO218" s="5" t="s">
        <v>189</v>
      </c>
      <c r="AR218" s="0" t="str">
        <f aca="false">IF($A218="","",IF(AND(CK218="pass",AO218&lt;&gt;"Y",C218&lt;&gt;"",OR(AU218&lt;&gt;"Y",AV218="Y")),"Y","N"))</f>
        <v>N</v>
      </c>
      <c r="AS218" s="0" t="str">
        <f aca="false">IF($A218="","",_xlfn.TEXTJOIN("; ",TRUE(),IF(CK218&lt;&gt;"pass","gated out",""),IF(AO218="Y","on hold: "&amp;AP218,""),IF(C218="","no contact named on an opened page",""),IF(AND(AU218="Y",AV218&lt;&gt;"Y"),"founder review pending (Founder review tab)","")))</f>
        <v>gated out</v>
      </c>
      <c r="AU218" s="0" t="s">
        <v>189</v>
      </c>
      <c r="AY218" s="0" t="s">
        <v>5860</v>
      </c>
      <c r="AZ218" s="0" t="s">
        <v>10503</v>
      </c>
      <c r="BA218" s="0" t="s">
        <v>5636</v>
      </c>
      <c r="BC218" s="0" t="str">
        <f aca="false">IF($A218="","",IFERROR(INDEX(Enrichment!$A$2:$GZ$2000,MATCH($A218,INDEX(Enrichment!$A$2:$GZ$2000,0,MATCH("row_id",Enrichment!$A$1:$GZ$1,0)),0),MATCH("work_email",Enrichment!$A$1:$GZ$1,0))&amp;"",""))</f>
        <v/>
      </c>
      <c r="BD218" s="0" t="str">
        <f aca="false">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none</v>
      </c>
      <c r="BE218" s="0" t="s">
        <v>5589</v>
      </c>
      <c r="BF218" s="0" t="s">
        <v>169</v>
      </c>
      <c r="BG218" s="0" t="s">
        <v>1252</v>
      </c>
      <c r="BH218" s="0" t="s">
        <v>10504</v>
      </c>
      <c r="BI218" s="0" t="s">
        <v>263</v>
      </c>
      <c r="BK218" s="0" t="s">
        <v>5643</v>
      </c>
      <c r="BP218" s="0" t="str">
        <f aca="false">IF($A218="","",IFERROR(INDEX(Enrichment!$A$2:$GZ$2000,MATCH($A218,INDEX(Enrichment!$A$2:$GZ$2000,0,MATCH("row_id",Enrichment!$A$1:$GZ$1,0)),0),MATCH("backup_work_email",Enrichment!$A$1:$GZ$1,0))&amp;"",""))</f>
        <v/>
      </c>
      <c r="BQ218" s="0" t="str">
        <f aca="false">IF($A218="","",IF(BP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none</v>
      </c>
      <c r="BS218" s="0" t="s">
        <v>380</v>
      </c>
      <c r="BX218" s="0" t="s">
        <v>388</v>
      </c>
      <c r="BY218" s="0" t="s">
        <v>10505</v>
      </c>
      <c r="CB218" s="0" t="s">
        <v>10506</v>
      </c>
      <c r="CJ218" s="0" t="s">
        <v>7088</v>
      </c>
      <c r="CK218" s="0" t="s">
        <v>4627</v>
      </c>
      <c r="CL218" s="0" t="s">
        <v>10005</v>
      </c>
      <c r="CM218" s="0" t="s">
        <v>10507</v>
      </c>
      <c r="CN218" s="0" t="s">
        <v>5607</v>
      </c>
      <c r="CO218" s="0" t="s">
        <v>10501</v>
      </c>
      <c r="CP218" s="0" t="s">
        <v>8142</v>
      </c>
      <c r="CQ218" s="0" t="s">
        <v>6084</v>
      </c>
      <c r="CR218" s="0" t="s">
        <v>209</v>
      </c>
      <c r="CT218" s="0" t="s">
        <v>209</v>
      </c>
      <c r="CU218" s="0" t="s">
        <v>10508</v>
      </c>
      <c r="CV218" s="0" t="s">
        <v>164</v>
      </c>
      <c r="CW218" s="0" t="s">
        <v>164</v>
      </c>
      <c r="CX218" s="0" t="s">
        <v>209</v>
      </c>
      <c r="CZ218" s="0" t="s">
        <v>6456</v>
      </c>
      <c r="DA218" s="0" t="s">
        <v>189</v>
      </c>
      <c r="DB218" s="0" t="s">
        <v>164</v>
      </c>
      <c r="DC218" s="0" t="s">
        <v>10509</v>
      </c>
      <c r="DE218" s="0" t="s">
        <v>189</v>
      </c>
      <c r="DF218" s="0" t="n">
        <v>0</v>
      </c>
      <c r="DI218" s="0" t="s">
        <v>10510</v>
      </c>
      <c r="DJ218" s="0" t="s">
        <v>10511</v>
      </c>
      <c r="DK218" s="0" t="s">
        <v>5617</v>
      </c>
      <c r="DL218" s="0" t="n">
        <v>122</v>
      </c>
      <c r="DM218" s="0" t="s">
        <v>10497</v>
      </c>
      <c r="DN218" s="0" t="n">
        <v>43</v>
      </c>
      <c r="DO218" s="0" t="n">
        <v>6</v>
      </c>
      <c r="DP218" s="0" t="n">
        <v>8</v>
      </c>
      <c r="DQ218" s="0" t="n">
        <v>15</v>
      </c>
      <c r="DR218" s="0" t="n">
        <v>5</v>
      </c>
      <c r="DS218" s="0" t="n">
        <v>7</v>
      </c>
      <c r="DT218" s="0" t="n">
        <v>6</v>
      </c>
      <c r="DU218" s="0" t="n">
        <f aca="false">IF($A218="","",IF(R218="Y",10,0))</f>
        <v>0</v>
      </c>
      <c r="DV218" s="0" t="n">
        <v>-4</v>
      </c>
      <c r="DW218" s="0" t="s">
        <v>10512</v>
      </c>
      <c r="DX218" s="0" t="s">
        <v>6462</v>
      </c>
      <c r="DY218" s="0" t="s">
        <v>10513</v>
      </c>
      <c r="DZ218" s="0" t="s">
        <v>10514</v>
      </c>
      <c r="EA218" s="0" t="s">
        <v>10515</v>
      </c>
      <c r="EV218" s="0" t="str">
        <f aca="false">IF($A218="","",IF(ISNUMBER(MATCH(U218,{"queued","contacted","replied","call_booked","call_done","yes_in_principle","materials_sent"},0)),"Y","N"))</f>
        <v>N</v>
      </c>
      <c r="EW218" s="0" t="str">
        <f aca="false">IF($A218="","",IF(OR(T218="Y",U218="do_not_contact",AQ218&amp;""&lt;&gt;""),"Y","N"))</f>
        <v>N</v>
      </c>
      <c r="EX218" s="0" t="str">
        <f aca="false">IF($A218="","",IF(AN218&amp;""&lt;&gt;"",AN218&amp;"",$A218))</f>
        <v>AB-185</v>
      </c>
      <c r="EY218" s="0" t="str">
        <f aca="false">IF($A218="","",IF(COUNTIFS($EX$2:$EX$1000,EX218,$EV$2:$EV$1000,"Y")+COUNTIFS($EX$2:$EX$1000,EX218,$EW$2:$EW$1000,"Y")&gt;0,"Y","N"))</f>
        <v>N</v>
      </c>
      <c r="EZ218" s="0" t="str">
        <f aca="false">IF($A218="","",IF(AND(U218="new",T218="N",EW218="N",AR218="Y",EY218="N"),"Y","N"))</f>
        <v>N</v>
      </c>
      <c r="FA218" s="0" t="str">
        <f aca="false">IF($A218="","",IF(EZ218&lt;&gt;"Y","N",IF(COUNTIFS($EX$2:$EX$1000,EX218,$EZ$2:$EZ$1000,"Y",$J$2:$J$1000,"&gt;"&amp;J218)+COUNTIFS($EX$2:$EX$1000,EX218,$EZ$2:$EZ$1000,"Y",$J$2:$J$1000,J218,$FG$2:$FG$1000,"&lt;"&amp;FG218)=0,"Y","N")))</f>
        <v>N</v>
      </c>
      <c r="FB218" s="0" t="str">
        <f aca="false">IF($A218="","",IF(AND(EZ218="Y",FA218="Y",Y218&amp;""&lt;&gt;""),IF(Y218&lt;=10,"Y","N"),"N"))</f>
        <v>N</v>
      </c>
      <c r="FC218" s="0" t="str">
        <f aca="false">IF(FB218="Y",Y218,"")</f>
        <v/>
      </c>
      <c r="FD218" s="0" t="str">
        <f aca="false">IF($A218="","",IF(AND(CK218="pass",AU218="Y",AV218&lt;&gt;"Y",U218="new",EW218="N"),"Y","N"))</f>
        <v>N</v>
      </c>
      <c r="FE218" s="0" t="str">
        <f aca="false">IF(FD218&lt;&gt;"Y","",IF(COUNTIFS($FD$2:$FD$1000,"Y",$J$2:$J$1000,"&gt;"&amp;J218)+COUNTIFS($FD$2:$FD$1000,"Y",$J$2:$J$1000,J218,$FG$2:$FG$1000,"&lt;"&amp;FG218)+1&lt;=30,COUNTIFS($FD$2:$FD$1000,"Y",$J$2:$J$1000,"&gt;"&amp;J218)+COUNTIFS($FD$2:$FD$1000,"Y",$J$2:$J$1000,J218,$FG$2:$FG$1000,"&lt;"&amp;FG218)+1,""))</f>
        <v/>
      </c>
      <c r="FF218" s="0" t="str">
        <f aca="false">IF(AND(_xlfn.ISFORMULA(C218),_xlfn.ISFORMULA(J218)),"Y","N")</f>
        <v>Y</v>
      </c>
      <c r="FG218" s="0" t="n">
        <f aca="false">ROW()-1</f>
        <v>217</v>
      </c>
    </row>
    <row r="219" customFormat="false" ht="15" hidden="false" customHeight="false" outlineLevel="0" collapsed="false">
      <c r="A219" s="0" t="s">
        <v>10516</v>
      </c>
      <c r="B219" s="0" t="s">
        <v>10517</v>
      </c>
      <c r="C219" s="0" t="str">
        <f aca="false">IF($A219="","",IF(AT219="Y",BL219&amp;"",AY219&amp;""))</f>
        <v>Christina</v>
      </c>
      <c r="D219" s="0" t="str">
        <f aca="false">IF($A219="","",IF(AT219="Y",BM219&amp;"",AZ219&amp;""))</f>
        <v>Chen</v>
      </c>
      <c r="E219" s="0" t="str">
        <f aca="false">IF($A219="","",IF(AT219="Y",BN219&amp;"",BA219&amp;""))</f>
        <v>Co-founder</v>
      </c>
      <c r="F219" s="0" t="str">
        <f aca="false">IF($A219="","",IF(AT219="Y",BO219&amp;"",BB219&amp;""))</f>
        <v/>
      </c>
      <c r="G219" s="0" t="str">
        <f aca="false">IF($A219="","",IF(AT219="Y",BP219&amp;"",BC219&amp;""))</f>
        <v/>
      </c>
      <c r="H219" s="0" t="str">
        <f aca="false">IF($A219="","",IF(AT219="Y",BQ219&amp;"",BD219&amp;""))</f>
        <v>none</v>
      </c>
      <c r="I219" s="0" t="str">
        <f aca="false">IF($A219="","",IF(R219="Y","warm-intro",IF(H219="verified","email",IF(C219&lt;&gt;"","linkedin",CA219&amp;""))))</f>
        <v>linkedin</v>
      </c>
      <c r="J219" s="0" t="n">
        <f aca="false">IF($A219="","",IF(CK219="pass",ROUND(N(DO219)+N(DP219)+N(DQ219)+N(DR219)+N(DS219)+N(DT219)+N(DU219)+N(DV219),0),0))</f>
        <v>0</v>
      </c>
      <c r="K219" s="0" t="str">
        <f aca="false">IF($A219="","",IF(CK219&lt;&gt;"pass",BY219&amp;"",BY219&amp;", "&amp;IF(AT219="Y",BX219&amp;"",BK219&amp;"")&amp;BZ219&amp;IF(R219="Y","; known to the founder (+10)","")&amp;"."))</f>
        <v>Gated out: excluded-category: Frozen; needs preparation.</v>
      </c>
      <c r="M219" s="0" t="s">
        <v>6144</v>
      </c>
      <c r="N219" s="0" t="s">
        <v>740</v>
      </c>
      <c r="O219" s="0" t="s">
        <v>10518</v>
      </c>
      <c r="P219" s="0" t="s">
        <v>10519</v>
      </c>
      <c r="Q219" s="0" t="s">
        <v>7025</v>
      </c>
      <c r="R219" s="5" t="s">
        <v>189</v>
      </c>
      <c r="S219" s="0" t="s">
        <v>164</v>
      </c>
      <c r="T219" s="5" t="s">
        <v>189</v>
      </c>
      <c r="U219" s="5" t="s">
        <v>3896</v>
      </c>
      <c r="V219" s="0" t="s">
        <v>10519</v>
      </c>
      <c r="W219" s="0" t="s">
        <v>263</v>
      </c>
      <c r="X219" s="0" t="s">
        <v>5578</v>
      </c>
      <c r="Y219" s="0" t="str">
        <f aca="false">IF(FA219&lt;&gt;"Y","",COUNTIFS($FA$2:$FA$1000,"Y",$J$2:$J$1000,"&gt;"&amp;J219)+COUNTIFS($FA$2:$FA$1000,"Y",$J$2:$J$1000,J219,$FG$2:$FG$1000,"&lt;"&amp;FG219)+1)</f>
        <v/>
      </c>
      <c r="AA219" s="0" t="s">
        <v>189</v>
      </c>
      <c r="AB219" s="0" t="str">
        <f aca="false">IF($A219="","",IF(AT219="Y",BW219&amp;"",BJ219&amp;""))</f>
        <v/>
      </c>
      <c r="AC219" s="0" t="str">
        <f aca="false">IF($A219="","",IF(AT219="Y",BR219&amp;"",BE219&amp;""))</f>
        <v>founder</v>
      </c>
      <c r="AD219" s="0" t="str">
        <f aca="false">IF($A219="","",IF(AT219="Y",BS219&amp;"",BF219&amp;""))</f>
        <v>verified-page</v>
      </c>
      <c r="AE219" s="0" t="str">
        <f aca="false">IF($A219="","",IF(AT219="Y",BT219&amp;"",BG219&amp;""))</f>
        <v>press, event or podcast page</v>
      </c>
      <c r="AF219" s="0" t="str">
        <f aca="false">IF($A219="","",IF(AT219="Y",BU219&amp;"",BH219&amp;""))</f>
        <v>https://startupcpg.com/startup-cpg-newswire-chenzi-introduces-chinese-potato-ball-bringing-a-regional-chinese-dish-to-the-u-s-specialty-food-market/</v>
      </c>
      <c r="AG219" s="0" t="str">
        <f aca="false">IF($A219="","",IF(AT219="Y",BV219&amp;"",BI219&amp;""))</f>
        <v>2026-10-23</v>
      </c>
      <c r="AH219" s="0" t="s">
        <v>10520</v>
      </c>
      <c r="AI219" s="0" t="s">
        <v>6042</v>
      </c>
      <c r="AJ219" s="0" t="s">
        <v>10521</v>
      </c>
      <c r="AL219" s="0" t="s">
        <v>164</v>
      </c>
      <c r="AM219" s="0" t="s">
        <v>5760</v>
      </c>
      <c r="AN219" s="0" t="s">
        <v>10516</v>
      </c>
      <c r="AO219" s="5" t="s">
        <v>189</v>
      </c>
      <c r="AR219" s="0" t="str">
        <f aca="false">IF($A219="","",IF(AND(CK219="pass",AO219&lt;&gt;"Y",C219&lt;&gt;"",OR(AU219&lt;&gt;"Y",AV219="Y")),"Y","N"))</f>
        <v>N</v>
      </c>
      <c r="AS219" s="0" t="str">
        <f aca="false">IF($A219="","",_xlfn.TEXTJOIN("; ",TRUE(),IF(CK219&lt;&gt;"pass","gated out",""),IF(AO219="Y","on hold: "&amp;AP219,""),IF(C219="","no contact named on an opened page",""),IF(AND(AU219="Y",AV219&lt;&gt;"Y"),"founder review pending (Founder review tab)","")))</f>
        <v>gated out</v>
      </c>
      <c r="AU219" s="0" t="s">
        <v>189</v>
      </c>
      <c r="AY219" s="0" t="s">
        <v>10522</v>
      </c>
      <c r="AZ219" s="0" t="s">
        <v>10523</v>
      </c>
      <c r="BA219" s="0" t="s">
        <v>5636</v>
      </c>
      <c r="BC219" s="0" t="str">
        <f aca="false">IF($A219="","",IFERROR(INDEX(Enrichment!$A$2:$GZ$2000,MATCH($A219,INDEX(Enrichment!$A$2:$GZ$2000,0,MATCH("row_id",Enrichment!$A$1:$GZ$1,0)),0),MATCH("work_email",Enrichment!$A$1:$GZ$1,0))&amp;"",""))</f>
        <v/>
      </c>
      <c r="BD219" s="0" t="str">
        <f aca="false">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none</v>
      </c>
      <c r="BE219" s="0" t="s">
        <v>5589</v>
      </c>
      <c r="BF219" s="0" t="s">
        <v>169</v>
      </c>
      <c r="BG219" s="0" t="s">
        <v>1252</v>
      </c>
      <c r="BH219" s="0" t="s">
        <v>10519</v>
      </c>
      <c r="BI219" s="0" t="s">
        <v>263</v>
      </c>
      <c r="BK219" s="0" t="s">
        <v>5643</v>
      </c>
      <c r="BP219" s="0" t="str">
        <f aca="false">IF($A219="","",IFERROR(INDEX(Enrichment!$A$2:$GZ$2000,MATCH($A219,INDEX(Enrichment!$A$2:$GZ$2000,0,MATCH("row_id",Enrichment!$A$1:$GZ$1,0)),0),MATCH("backup_work_email",Enrichment!$A$1:$GZ$1,0))&amp;"",""))</f>
        <v/>
      </c>
      <c r="BQ219" s="0" t="str">
        <f aca="false">IF($A219="","",IF(BP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none</v>
      </c>
      <c r="BS219" s="0" t="s">
        <v>380</v>
      </c>
      <c r="BX219" s="0" t="s">
        <v>388</v>
      </c>
      <c r="BY219" s="0" t="s">
        <v>10524</v>
      </c>
      <c r="CB219" s="0" t="s">
        <v>10525</v>
      </c>
      <c r="CJ219" s="0" t="s">
        <v>7088</v>
      </c>
      <c r="CK219" s="0" t="s">
        <v>4627</v>
      </c>
      <c r="CL219" s="0" t="s">
        <v>10526</v>
      </c>
      <c r="CM219" s="0" t="s">
        <v>10527</v>
      </c>
      <c r="CN219" s="0" t="s">
        <v>5774</v>
      </c>
      <c r="CO219" s="0" t="s">
        <v>10528</v>
      </c>
      <c r="CP219" s="0" t="s">
        <v>5608</v>
      </c>
      <c r="CQ219" s="0" t="s">
        <v>5609</v>
      </c>
      <c r="CR219" s="0" t="s">
        <v>209</v>
      </c>
      <c r="CT219" s="0" t="s">
        <v>189</v>
      </c>
      <c r="CU219" s="0" t="s">
        <v>10529</v>
      </c>
      <c r="CV219" s="0" t="s">
        <v>209</v>
      </c>
      <c r="CW219" s="0" t="s">
        <v>209</v>
      </c>
      <c r="CX219" s="0" t="s">
        <v>209</v>
      </c>
      <c r="CZ219" s="0" t="s">
        <v>209</v>
      </c>
      <c r="DA219" s="0" t="s">
        <v>189</v>
      </c>
      <c r="DB219" s="0" t="s">
        <v>164</v>
      </c>
      <c r="DC219" s="0" t="s">
        <v>10530</v>
      </c>
      <c r="DE219" s="0" t="s">
        <v>189</v>
      </c>
      <c r="DF219" s="0" t="n">
        <v>0</v>
      </c>
      <c r="DK219" s="0" t="s">
        <v>5617</v>
      </c>
      <c r="DL219" s="0" t="n">
        <v>122</v>
      </c>
      <c r="DM219" s="0" t="s">
        <v>5979</v>
      </c>
      <c r="DN219" s="0" t="n">
        <v>48</v>
      </c>
      <c r="DO219" s="0" t="n">
        <v>0</v>
      </c>
      <c r="DP219" s="0" t="n">
        <v>20</v>
      </c>
      <c r="DQ219" s="0" t="n">
        <v>15</v>
      </c>
      <c r="DR219" s="0" t="n">
        <v>5</v>
      </c>
      <c r="DS219" s="0" t="n">
        <v>2</v>
      </c>
      <c r="DT219" s="0" t="n">
        <v>6</v>
      </c>
      <c r="DU219" s="0" t="n">
        <f aca="false">IF($A219="","",IF(R219="Y",10,0))</f>
        <v>0</v>
      </c>
      <c r="DV219" s="0" t="n">
        <v>0</v>
      </c>
      <c r="DX219" s="0" t="s">
        <v>5619</v>
      </c>
      <c r="DY219" s="0" t="s">
        <v>10531</v>
      </c>
      <c r="DZ219" s="0" t="s">
        <v>10532</v>
      </c>
      <c r="EV219" s="0" t="str">
        <f aca="false">IF($A219="","",IF(ISNUMBER(MATCH(U219,{"queued","contacted","replied","call_booked","call_done","yes_in_principle","materials_sent"},0)),"Y","N"))</f>
        <v>N</v>
      </c>
      <c r="EW219" s="0" t="str">
        <f aca="false">IF($A219="","",IF(OR(T219="Y",U219="do_not_contact",AQ219&amp;""&lt;&gt;""),"Y","N"))</f>
        <v>N</v>
      </c>
      <c r="EX219" s="0" t="str">
        <f aca="false">IF($A219="","",IF(AN219&amp;""&lt;&gt;"",AN219&amp;"",$A219))</f>
        <v>AB-257</v>
      </c>
      <c r="EY219" s="0" t="str">
        <f aca="false">IF($A219="","",IF(COUNTIFS($EX$2:$EX$1000,EX219,$EV$2:$EV$1000,"Y")+COUNTIFS($EX$2:$EX$1000,EX219,$EW$2:$EW$1000,"Y")&gt;0,"Y","N"))</f>
        <v>N</v>
      </c>
      <c r="EZ219" s="0" t="str">
        <f aca="false">IF($A219="","",IF(AND(U219="new",T219="N",EW219="N",AR219="Y",EY219="N"),"Y","N"))</f>
        <v>N</v>
      </c>
      <c r="FA219" s="0" t="str">
        <f aca="false">IF($A219="","",IF(EZ219&lt;&gt;"Y","N",IF(COUNTIFS($EX$2:$EX$1000,EX219,$EZ$2:$EZ$1000,"Y",$J$2:$J$1000,"&gt;"&amp;J219)+COUNTIFS($EX$2:$EX$1000,EX219,$EZ$2:$EZ$1000,"Y",$J$2:$J$1000,J219,$FG$2:$FG$1000,"&lt;"&amp;FG219)=0,"Y","N")))</f>
        <v>N</v>
      </c>
      <c r="FB219" s="0" t="str">
        <f aca="false">IF($A219="","",IF(AND(EZ219="Y",FA219="Y",Y219&amp;""&lt;&gt;""),IF(Y219&lt;=10,"Y","N"),"N"))</f>
        <v>N</v>
      </c>
      <c r="FC219" s="0" t="str">
        <f aca="false">IF(FB219="Y",Y219,"")</f>
        <v/>
      </c>
      <c r="FD219" s="0" t="str">
        <f aca="false">IF($A219="","",IF(AND(CK219="pass",AU219="Y",AV219&lt;&gt;"Y",U219="new",EW219="N"),"Y","N"))</f>
        <v>N</v>
      </c>
      <c r="FE219" s="0" t="str">
        <f aca="false">IF(FD219&lt;&gt;"Y","",IF(COUNTIFS($FD$2:$FD$1000,"Y",$J$2:$J$1000,"&gt;"&amp;J219)+COUNTIFS($FD$2:$FD$1000,"Y",$J$2:$J$1000,J219,$FG$2:$FG$1000,"&lt;"&amp;FG219)+1&lt;=30,COUNTIFS($FD$2:$FD$1000,"Y",$J$2:$J$1000,"&gt;"&amp;J219)+COUNTIFS($FD$2:$FD$1000,"Y",$J$2:$J$1000,J219,$FG$2:$FG$1000,"&lt;"&amp;FG219)+1,""))</f>
        <v/>
      </c>
      <c r="FF219" s="0" t="str">
        <f aca="false">IF(AND(_xlfn.ISFORMULA(C219),_xlfn.ISFORMULA(J219)),"Y","N")</f>
        <v>Y</v>
      </c>
      <c r="FG219" s="0" t="n">
        <f aca="false">ROW()-1</f>
        <v>218</v>
      </c>
    </row>
    <row r="220" customFormat="false" ht="15" hidden="false" customHeight="false" outlineLevel="0" collapsed="false">
      <c r="A220" s="0" t="s">
        <v>10533</v>
      </c>
      <c r="B220" s="0" t="s">
        <v>10534</v>
      </c>
      <c r="C220" s="0" t="str">
        <f aca="false">IF($A220="","",IF(AT220="Y",BL220&amp;"",AY220&amp;""))</f>
        <v>Rodolfo</v>
      </c>
      <c r="D220" s="0" t="str">
        <f aca="false">IF($A220="","",IF(AT220="Y",BM220&amp;"",AZ220&amp;""))</f>
        <v>Saccoman</v>
      </c>
      <c r="E220" s="0" t="str">
        <f aca="false">IF($A220="","",IF(AT220="Y",BN220&amp;"",BA220&amp;""))</f>
        <v>Co-founder and CEO</v>
      </c>
      <c r="F220" s="0" t="str">
        <f aca="false">IF($A220="","",IF(AT220="Y",BO220&amp;"",BB220&amp;""))</f>
        <v/>
      </c>
      <c r="G220" s="0" t="str">
        <f aca="false">IF($A220="","",IF(AT220="Y",BP220&amp;"",BC220&amp;""))</f>
        <v/>
      </c>
      <c r="H220" s="0" t="str">
        <f aca="false">IF($A220="","",IF(AT220="Y",BQ220&amp;"",BD220&amp;""))</f>
        <v>none</v>
      </c>
      <c r="I220" s="0" t="str">
        <f aca="false">IF($A220="","",IF(R220="Y","warm-intro",IF(H220="verified","email",IF(C220&lt;&gt;"","linkedin",CA220&amp;""))))</f>
        <v>linkedin</v>
      </c>
      <c r="J220" s="0" t="n">
        <f aca="false">IF($A220="","",IF(CK220="pass",ROUND(N(DO220)+N(DP220)+N(DQ220)+N(DR220)+N(DS220)+N(DT220)+N(DU220)+N(DV220),0),0))</f>
        <v>0</v>
      </c>
      <c r="K220" s="0" t="str">
        <f aca="false">IF($A220="","",IF(CK220&lt;&gt;"pass",BY220&amp;"",BY220&amp;", "&amp;IF(AT220="Y",BX220&amp;"",BK220&amp;"")&amp;BZ220&amp;IF(R220="Y","; known to the founder (+10)","")&amp;"."))</f>
        <v>Gated out: no-buy-path: no graded store within ten blocks and no online store shown (online store unknown).</v>
      </c>
      <c r="M220" s="0" t="s">
        <v>6144</v>
      </c>
      <c r="N220" s="0" t="s">
        <v>740</v>
      </c>
      <c r="O220" s="0" t="s">
        <v>10535</v>
      </c>
      <c r="P220" s="0" t="s">
        <v>10536</v>
      </c>
      <c r="Q220" s="0" t="s">
        <v>5100</v>
      </c>
      <c r="R220" s="5" t="s">
        <v>189</v>
      </c>
      <c r="S220" s="0" t="s">
        <v>209</v>
      </c>
      <c r="T220" s="5" t="s">
        <v>189</v>
      </c>
      <c r="U220" s="5" t="s">
        <v>3896</v>
      </c>
      <c r="V220" s="0" t="s">
        <v>10536</v>
      </c>
      <c r="W220" s="0" t="s">
        <v>263</v>
      </c>
      <c r="X220" s="0" t="s">
        <v>5578</v>
      </c>
      <c r="Y220" s="0" t="str">
        <f aca="false">IF(FA220&lt;&gt;"Y","",COUNTIFS($FA$2:$FA$1000,"Y",$J$2:$J$1000,"&gt;"&amp;J220)+COUNTIFS($FA$2:$FA$1000,"Y",$J$2:$J$1000,J220,$FG$2:$FG$1000,"&lt;"&amp;FG220)+1)</f>
        <v/>
      </c>
      <c r="AA220" s="0" t="s">
        <v>189</v>
      </c>
      <c r="AB220" s="0" t="str">
        <f aca="false">IF($A220="","",IF(AT220="Y",BW220&amp;"",BJ220&amp;""))</f>
        <v/>
      </c>
      <c r="AC220" s="0" t="str">
        <f aca="false">IF($A220="","",IF(AT220="Y",BR220&amp;"",BE220&amp;""))</f>
        <v>founder</v>
      </c>
      <c r="AD220" s="0" t="str">
        <f aca="false">IF($A220="","",IF(AT220="Y",BS220&amp;"",BF220&amp;""))</f>
        <v>verified-page</v>
      </c>
      <c r="AE220" s="0" t="str">
        <f aca="false">IF($A220="","",IF(AT220="Y",BT220&amp;"",BG220&amp;""))</f>
        <v>press, event or podcast page</v>
      </c>
      <c r="AF220" s="0" t="str">
        <f aca="false">IF($A220="","",IF(AT220="Y",BU220&amp;"",BH220&amp;""))</f>
        <v>https://www.snackandbakery.com/articles/116329-coditos-expands-crunchy-macaronis-snack-line</v>
      </c>
      <c r="AG220" s="0" t="str">
        <f aca="false">IF($A220="","",IF(AT220="Y",BV220&amp;"",BI220&amp;""))</f>
        <v>2026-10-23</v>
      </c>
      <c r="AH220" s="0" t="s">
        <v>10537</v>
      </c>
      <c r="AI220" s="0" t="s">
        <v>6042</v>
      </c>
      <c r="AJ220" s="0" t="s">
        <v>9636</v>
      </c>
      <c r="AL220" s="0" t="s">
        <v>189</v>
      </c>
      <c r="AN220" s="0" t="s">
        <v>10533</v>
      </c>
      <c r="AO220" s="5" t="s">
        <v>189</v>
      </c>
      <c r="AR220" s="0" t="str">
        <f aca="false">IF($A220="","",IF(AND(CK220="pass",AO220&lt;&gt;"Y",C220&lt;&gt;"",OR(AU220&lt;&gt;"Y",AV220="Y")),"Y","N"))</f>
        <v>N</v>
      </c>
      <c r="AS220" s="0" t="str">
        <f aca="false">IF($A220="","",_xlfn.TEXTJOIN("; ",TRUE(),IF(CK220&lt;&gt;"pass","gated out",""),IF(AO220="Y","on hold: "&amp;AP220,""),IF(C220="","no contact named on an opened page",""),IF(AND(AU220="Y",AV220&lt;&gt;"Y"),"founder review pending (Founder review tab)","")))</f>
        <v>gated out</v>
      </c>
      <c r="AU220" s="0" t="s">
        <v>189</v>
      </c>
      <c r="AY220" s="0" t="s">
        <v>10538</v>
      </c>
      <c r="AZ220" s="0" t="s">
        <v>10539</v>
      </c>
      <c r="BA220" s="0" t="s">
        <v>5830</v>
      </c>
      <c r="BC220" s="0" t="str">
        <f aca="false">IF($A220="","",IFERROR(INDEX(Enrichment!$A$2:$GZ$2000,MATCH($A220,INDEX(Enrichment!$A$2:$GZ$2000,0,MATCH("row_id",Enrichment!$A$1:$GZ$1,0)),0),MATCH("work_email",Enrichment!$A$1:$GZ$1,0))&amp;"",""))</f>
        <v/>
      </c>
      <c r="BD220" s="0" t="str">
        <f aca="false">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none</v>
      </c>
      <c r="BE220" s="0" t="s">
        <v>5589</v>
      </c>
      <c r="BF220" s="0" t="s">
        <v>169</v>
      </c>
      <c r="BG220" s="0" t="s">
        <v>1252</v>
      </c>
      <c r="BH220" s="0" t="s">
        <v>10536</v>
      </c>
      <c r="BI220" s="0" t="s">
        <v>263</v>
      </c>
      <c r="BK220" s="0" t="s">
        <v>5643</v>
      </c>
      <c r="BL220" s="0" t="s">
        <v>10540</v>
      </c>
      <c r="BM220" s="0" t="s">
        <v>10541</v>
      </c>
      <c r="BN220" s="0" t="s">
        <v>5636</v>
      </c>
      <c r="BP220" s="0" t="str">
        <f aca="false">IF($A220="","",IFERROR(INDEX(Enrichment!$A$2:$GZ$2000,MATCH($A220,INDEX(Enrichment!$A$2:$GZ$2000,0,MATCH("row_id",Enrichment!$A$1:$GZ$1,0)),0),MATCH("backup_work_email",Enrichment!$A$1:$GZ$1,0))&amp;"",""))</f>
        <v/>
      </c>
      <c r="BQ220" s="0" t="str">
        <f aca="false">IF($A220="","",IF(BP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none</v>
      </c>
      <c r="BR220" s="0" t="s">
        <v>7494</v>
      </c>
      <c r="BS220" s="0" t="s">
        <v>169</v>
      </c>
      <c r="BT220" s="0" t="s">
        <v>1252</v>
      </c>
      <c r="BU220" s="0" t="s">
        <v>10536</v>
      </c>
      <c r="BV220" s="0" t="s">
        <v>263</v>
      </c>
      <c r="BX220" s="0" t="s">
        <v>5643</v>
      </c>
      <c r="BY220" s="0" t="s">
        <v>10542</v>
      </c>
      <c r="CB220" s="0" t="s">
        <v>10543</v>
      </c>
      <c r="CF220" s="0" t="s">
        <v>10544</v>
      </c>
      <c r="CJ220" s="0" t="s">
        <v>7088</v>
      </c>
      <c r="CK220" s="0" t="s">
        <v>4627</v>
      </c>
      <c r="CL220" s="0" t="s">
        <v>10545</v>
      </c>
      <c r="CM220" s="0" t="s">
        <v>10546</v>
      </c>
      <c r="CO220" s="0" t="s">
        <v>10547</v>
      </c>
      <c r="CP220" s="0" t="s">
        <v>9289</v>
      </c>
      <c r="CQ220" s="0" t="s">
        <v>6198</v>
      </c>
      <c r="CR220" s="0" t="s">
        <v>209</v>
      </c>
      <c r="CT220" s="0" t="s">
        <v>164</v>
      </c>
      <c r="CU220" s="0" t="s">
        <v>10548</v>
      </c>
      <c r="CV220" s="0" t="s">
        <v>164</v>
      </c>
      <c r="CW220" s="0" t="s">
        <v>209</v>
      </c>
      <c r="CX220" s="0" t="s">
        <v>209</v>
      </c>
      <c r="CZ220" s="0" t="s">
        <v>209</v>
      </c>
      <c r="DA220" s="0" t="s">
        <v>189</v>
      </c>
      <c r="DB220" s="0" t="s">
        <v>189</v>
      </c>
      <c r="DE220" s="0" t="s">
        <v>189</v>
      </c>
      <c r="DF220" s="0" t="n">
        <v>0</v>
      </c>
      <c r="DI220" s="0" t="s">
        <v>10549</v>
      </c>
      <c r="DJ220" s="0" t="s">
        <v>10550</v>
      </c>
      <c r="DK220" s="0" t="s">
        <v>5617</v>
      </c>
      <c r="DL220" s="0" t="n">
        <v>38</v>
      </c>
      <c r="DN220" s="0" t="n">
        <v>41</v>
      </c>
      <c r="DO220" s="0" t="n">
        <v>0</v>
      </c>
      <c r="DP220" s="0" t="n">
        <v>3</v>
      </c>
      <c r="DQ220" s="0" t="n">
        <v>15</v>
      </c>
      <c r="DR220" s="0" t="n">
        <v>5</v>
      </c>
      <c r="DS220" s="0" t="n">
        <v>8</v>
      </c>
      <c r="DT220" s="0" t="n">
        <v>10</v>
      </c>
      <c r="DU220" s="0" t="n">
        <f aca="false">IF($A220="","",IF(R220="Y",10,0))</f>
        <v>0</v>
      </c>
      <c r="DV220" s="0" t="n">
        <v>0</v>
      </c>
      <c r="DW220" s="0" t="s">
        <v>209</v>
      </c>
      <c r="DX220" s="0" t="s">
        <v>5814</v>
      </c>
      <c r="DY220" s="0" t="s">
        <v>10551</v>
      </c>
      <c r="DZ220" s="0" t="s">
        <v>10552</v>
      </c>
      <c r="EV220" s="0" t="str">
        <f aca="false">IF($A220="","",IF(ISNUMBER(MATCH(U220,{"queued","contacted","replied","call_booked","call_done","yes_in_principle","materials_sent"},0)),"Y","N"))</f>
        <v>N</v>
      </c>
      <c r="EW220" s="0" t="str">
        <f aca="false">IF($A220="","",IF(OR(T220="Y",U220="do_not_contact",AQ220&amp;""&lt;&gt;""),"Y","N"))</f>
        <v>N</v>
      </c>
      <c r="EX220" s="0" t="str">
        <f aca="false">IF($A220="","",IF(AN220&amp;""&lt;&gt;"",AN220&amp;"",$A220))</f>
        <v>AB-054</v>
      </c>
      <c r="EY220" s="0" t="str">
        <f aca="false">IF($A220="","",IF(COUNTIFS($EX$2:$EX$1000,EX220,$EV$2:$EV$1000,"Y")+COUNTIFS($EX$2:$EX$1000,EX220,$EW$2:$EW$1000,"Y")&gt;0,"Y","N"))</f>
        <v>N</v>
      </c>
      <c r="EZ220" s="0" t="str">
        <f aca="false">IF($A220="","",IF(AND(U220="new",T220="N",EW220="N",AR220="Y",EY220="N"),"Y","N"))</f>
        <v>N</v>
      </c>
      <c r="FA220" s="0" t="str">
        <f aca="false">IF($A220="","",IF(EZ220&lt;&gt;"Y","N",IF(COUNTIFS($EX$2:$EX$1000,EX220,$EZ$2:$EZ$1000,"Y",$J$2:$J$1000,"&gt;"&amp;J220)+COUNTIFS($EX$2:$EX$1000,EX220,$EZ$2:$EZ$1000,"Y",$J$2:$J$1000,J220,$FG$2:$FG$1000,"&lt;"&amp;FG220)=0,"Y","N")))</f>
        <v>N</v>
      </c>
      <c r="FB220" s="0" t="str">
        <f aca="false">IF($A220="","",IF(AND(EZ220="Y",FA220="Y",Y220&amp;""&lt;&gt;""),IF(Y220&lt;=10,"Y","N"),"N"))</f>
        <v>N</v>
      </c>
      <c r="FC220" s="0" t="str">
        <f aca="false">IF(FB220="Y",Y220,"")</f>
        <v/>
      </c>
      <c r="FD220" s="0" t="str">
        <f aca="false">IF($A220="","",IF(AND(CK220="pass",AU220="Y",AV220&lt;&gt;"Y",U220="new",EW220="N"),"Y","N"))</f>
        <v>N</v>
      </c>
      <c r="FE220" s="0" t="str">
        <f aca="false">IF(FD220&lt;&gt;"Y","",IF(COUNTIFS($FD$2:$FD$1000,"Y",$J$2:$J$1000,"&gt;"&amp;J220)+COUNTIFS($FD$2:$FD$1000,"Y",$J$2:$J$1000,J220,$FG$2:$FG$1000,"&lt;"&amp;FG220)+1&lt;=30,COUNTIFS($FD$2:$FD$1000,"Y",$J$2:$J$1000,"&gt;"&amp;J220)+COUNTIFS($FD$2:$FD$1000,"Y",$J$2:$J$1000,J220,$FG$2:$FG$1000,"&lt;"&amp;FG220)+1,""))</f>
        <v/>
      </c>
      <c r="FF220" s="0" t="str">
        <f aca="false">IF(AND(_xlfn.ISFORMULA(C220),_xlfn.ISFORMULA(J220)),"Y","N")</f>
        <v>Y</v>
      </c>
      <c r="FG220" s="0" t="n">
        <f aca="false">ROW()-1</f>
        <v>219</v>
      </c>
    </row>
    <row r="221" customFormat="false" ht="15" hidden="false" customHeight="false" outlineLevel="0" collapsed="false">
      <c r="A221" s="0" t="s">
        <v>10553</v>
      </c>
      <c r="B221" s="0" t="s">
        <v>10554</v>
      </c>
      <c r="C221" s="0" t="str">
        <f aca="false">IF($A221="","",IF(AT221="Y",BL221&amp;"",AY221&amp;""))</f>
        <v>Darin</v>
      </c>
      <c r="D221" s="0" t="str">
        <f aca="false">IF($A221="","",IF(AT221="Y",BM221&amp;"",AZ221&amp;""))</f>
        <v>Alpert</v>
      </c>
      <c r="E221" s="0" t="str">
        <f aca="false">IF($A221="","",IF(AT221="Y",BN221&amp;"",BA221&amp;""))</f>
        <v>Founder/CEO</v>
      </c>
      <c r="F221" s="0" t="str">
        <f aca="false">IF($A221="","",IF(AT221="Y",BO221&amp;"",BB221&amp;""))</f>
        <v/>
      </c>
      <c r="G221" s="0" t="str">
        <f aca="false">IF($A221="","",IF(AT221="Y",BP221&amp;"",BC221&amp;""))</f>
        <v/>
      </c>
      <c r="H221" s="0" t="str">
        <f aca="false">IF($A221="","",IF(AT221="Y",BQ221&amp;"",BD221&amp;""))</f>
        <v>none</v>
      </c>
      <c r="I221" s="0" t="str">
        <f aca="false">IF($A221="","",IF(R221="Y","warm-intro",IF(H221="verified","email",IF(C221&lt;&gt;"","linkedin",CA221&amp;""))))</f>
        <v>linkedin</v>
      </c>
      <c r="J221" s="0" t="n">
        <f aca="false">IF($A221="","",IF(CK221="pass",ROUND(N(DO221)+N(DP221)+N(DQ221)+N(DR221)+N(DS221)+N(DT221)+N(DU221)+N(DV221),0),0))</f>
        <v>0</v>
      </c>
      <c r="K221" s="0" t="str">
        <f aca="false">IF($A221="","",IF(CK221&lt;&gt;"pass",BY221&amp;"",BY221&amp;", "&amp;IF(AT221="Y",BX221&amp;"",BK221&amp;"")&amp;BZ221&amp;IF(R221="Y","; known to the founder (+10)","")&amp;"."))</f>
        <v>Gated out: health-claim: explicit health claim in the brand's own copy (opened 2026-10-24): 'butyrate, a short-chain fatty acid linked to gut health' (https://www.gheelish.</v>
      </c>
      <c r="M221" s="0" t="s">
        <v>6144</v>
      </c>
      <c r="N221" s="0" t="s">
        <v>740</v>
      </c>
      <c r="O221" s="0" t="s">
        <v>10555</v>
      </c>
      <c r="P221" s="0" t="s">
        <v>10556</v>
      </c>
      <c r="Q221" s="0" t="s">
        <v>1605</v>
      </c>
      <c r="R221" s="5" t="s">
        <v>189</v>
      </c>
      <c r="S221" s="0" t="s">
        <v>209</v>
      </c>
      <c r="T221" s="5" t="s">
        <v>189</v>
      </c>
      <c r="U221" s="5" t="s">
        <v>3896</v>
      </c>
      <c r="V221" s="0" t="s">
        <v>10557</v>
      </c>
      <c r="W221" s="0" t="s">
        <v>263</v>
      </c>
      <c r="X221" s="0" t="s">
        <v>5578</v>
      </c>
      <c r="Y221" s="0" t="str">
        <f aca="false">IF(FA221&lt;&gt;"Y","",COUNTIFS($FA$2:$FA$1000,"Y",$J$2:$J$1000,"&gt;"&amp;J221)+COUNTIFS($FA$2:$FA$1000,"Y",$J$2:$J$1000,J221,$FG$2:$FG$1000,"&lt;"&amp;FG221)+1)</f>
        <v/>
      </c>
      <c r="AA221" s="0" t="s">
        <v>189</v>
      </c>
      <c r="AB221" s="0" t="str">
        <f aca="false">IF($A221="","",IF(AT221="Y",BW221&amp;"",BJ221&amp;""))</f>
        <v/>
      </c>
      <c r="AC221" s="0" t="str">
        <f aca="false">IF($A221="","",IF(AT221="Y",BR221&amp;"",BE221&amp;""))</f>
        <v>founder</v>
      </c>
      <c r="AD221" s="0" t="str">
        <f aca="false">IF($A221="","",IF(AT221="Y",BS221&amp;"",BF221&amp;""))</f>
        <v>verified-page</v>
      </c>
      <c r="AE221" s="0" t="str">
        <f aca="false">IF($A221="","",IF(AT221="Y",BT221&amp;"",BG221&amp;""))</f>
        <v>press, event or podcast page</v>
      </c>
      <c r="AF221" s="0" t="str">
        <f aca="false">IF($A221="","",IF(AT221="Y",BU221&amp;"",BH221&amp;""))</f>
        <v>https://www.snackandbakery.com/articles/116281-gheelish-clarifies-the-brands-better-for-you-snack-growth</v>
      </c>
      <c r="AG221" s="0" t="str">
        <f aca="false">IF($A221="","",IF(AT221="Y",BV221&amp;"",BI221&amp;""))</f>
        <v>2026-10-23</v>
      </c>
      <c r="AH221" s="0" t="s">
        <v>10558</v>
      </c>
      <c r="AI221" s="0" t="s">
        <v>5921</v>
      </c>
      <c r="AJ221" s="0" t="s">
        <v>10559</v>
      </c>
      <c r="AK221" s="0" t="s">
        <v>10560</v>
      </c>
      <c r="AL221" s="0" t="s">
        <v>164</v>
      </c>
      <c r="AM221" s="0" t="s">
        <v>10561</v>
      </c>
      <c r="AN221" s="0" t="s">
        <v>10553</v>
      </c>
      <c r="AO221" s="5" t="s">
        <v>189</v>
      </c>
      <c r="AR221" s="0" t="str">
        <f aca="false">IF($A221="","",IF(AND(CK221="pass",AO221&lt;&gt;"Y",C221&lt;&gt;"",OR(AU221&lt;&gt;"Y",AV221="Y")),"Y","N"))</f>
        <v>N</v>
      </c>
      <c r="AS221" s="0" t="str">
        <f aca="false">IF($A221="","",_xlfn.TEXTJOIN("; ",TRUE(),IF(CK221&lt;&gt;"pass","gated out",""),IF(AO221="Y","on hold: "&amp;AP221,""),IF(C221="","no contact named on an opened page",""),IF(AND(AU221="Y",AV221&lt;&gt;"Y"),"founder review pending (Founder review tab)","")))</f>
        <v>gated out; founder review pending (Founder review tab)</v>
      </c>
      <c r="AU221" s="0" t="s">
        <v>164</v>
      </c>
      <c r="AY221" s="0" t="s">
        <v>10562</v>
      </c>
      <c r="AZ221" s="0" t="s">
        <v>10563</v>
      </c>
      <c r="BA221" s="0" t="s">
        <v>10564</v>
      </c>
      <c r="BC221" s="0" t="str">
        <f aca="false">IF($A221="","",IFERROR(INDEX(Enrichment!$A$2:$GZ$2000,MATCH($A221,INDEX(Enrichment!$A$2:$GZ$2000,0,MATCH("row_id",Enrichment!$A$1:$GZ$1,0)),0),MATCH("work_email",Enrichment!$A$1:$GZ$1,0))&amp;"",""))</f>
        <v/>
      </c>
      <c r="BD221" s="0" t="str">
        <f aca="false">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none</v>
      </c>
      <c r="BE221" s="0" t="s">
        <v>5589</v>
      </c>
      <c r="BF221" s="0" t="s">
        <v>169</v>
      </c>
      <c r="BG221" s="0" t="s">
        <v>1252</v>
      </c>
      <c r="BH221" s="0" t="s">
        <v>10556</v>
      </c>
      <c r="BI221" s="0" t="s">
        <v>263</v>
      </c>
      <c r="BK221" s="0" t="s">
        <v>5643</v>
      </c>
      <c r="BP221" s="0" t="str">
        <f aca="false">IF($A221="","",IFERROR(INDEX(Enrichment!$A$2:$GZ$2000,MATCH($A221,INDEX(Enrichment!$A$2:$GZ$2000,0,MATCH("row_id",Enrichment!$A$1:$GZ$1,0)),0),MATCH("backup_work_email",Enrichment!$A$1:$GZ$1,0))&amp;"",""))</f>
        <v/>
      </c>
      <c r="BQ221" s="0" t="str">
        <f aca="false">IF($A221="","",IF(BP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none</v>
      </c>
      <c r="BS221" s="0" t="s">
        <v>380</v>
      </c>
      <c r="BX221" s="0" t="s">
        <v>388</v>
      </c>
      <c r="BY221" s="0" t="s">
        <v>10565</v>
      </c>
      <c r="CB221" s="0" t="s">
        <v>10566</v>
      </c>
      <c r="CJ221" s="0" t="s">
        <v>7088</v>
      </c>
      <c r="CK221" s="0" t="s">
        <v>4627</v>
      </c>
      <c r="CL221" s="0" t="s">
        <v>10005</v>
      </c>
      <c r="CM221" s="0" t="s">
        <v>10567</v>
      </c>
      <c r="CN221" s="0" t="s">
        <v>10568</v>
      </c>
      <c r="CO221" s="0" t="s">
        <v>10560</v>
      </c>
      <c r="CP221" s="0" t="s">
        <v>7845</v>
      </c>
      <c r="CQ221" s="0" t="s">
        <v>6198</v>
      </c>
      <c r="CR221" s="0" t="s">
        <v>209</v>
      </c>
      <c r="CT221" s="0" t="s">
        <v>164</v>
      </c>
      <c r="CU221" s="0" t="s">
        <v>10569</v>
      </c>
      <c r="CV221" s="0" t="s">
        <v>209</v>
      </c>
      <c r="CW221" s="0" t="s">
        <v>164</v>
      </c>
      <c r="CX221" s="0" t="s">
        <v>209</v>
      </c>
      <c r="CZ221" s="0" t="s">
        <v>209</v>
      </c>
      <c r="DA221" s="0" t="s">
        <v>189</v>
      </c>
      <c r="DB221" s="0" t="s">
        <v>164</v>
      </c>
      <c r="DC221" s="0" t="s">
        <v>10570</v>
      </c>
      <c r="DE221" s="0" t="s">
        <v>189</v>
      </c>
      <c r="DF221" s="0" t="n">
        <v>0</v>
      </c>
      <c r="DI221" s="0" t="s">
        <v>10571</v>
      </c>
      <c r="DJ221" s="0" t="s">
        <v>10572</v>
      </c>
      <c r="DK221" s="0" t="s">
        <v>5617</v>
      </c>
      <c r="DL221" s="0" t="n">
        <v>46</v>
      </c>
      <c r="DN221" s="0" t="n">
        <v>31</v>
      </c>
      <c r="DO221" s="0" t="n">
        <v>6</v>
      </c>
      <c r="DP221" s="0" t="n">
        <v>3</v>
      </c>
      <c r="DQ221" s="0" t="n">
        <v>15</v>
      </c>
      <c r="DR221" s="0" t="n">
        <v>5</v>
      </c>
      <c r="DS221" s="0" t="n">
        <v>8</v>
      </c>
      <c r="DT221" s="0" t="n">
        <v>6</v>
      </c>
      <c r="DU221" s="0" t="n">
        <f aca="false">IF($A221="","",IF(R221="Y",10,0))</f>
        <v>0</v>
      </c>
      <c r="DV221" s="0" t="n">
        <v>-12</v>
      </c>
      <c r="DW221" s="0" t="s">
        <v>209</v>
      </c>
      <c r="DX221" s="0" t="s">
        <v>5814</v>
      </c>
      <c r="DY221" s="0" t="s">
        <v>10573</v>
      </c>
      <c r="DZ221" s="0" t="s">
        <v>10574</v>
      </c>
      <c r="EA221" s="0" t="s">
        <v>10575</v>
      </c>
      <c r="EV221" s="0" t="str">
        <f aca="false">IF($A221="","",IF(ISNUMBER(MATCH(U221,{"queued","contacted","replied","call_booked","call_done","yes_in_principle","materials_sent"},0)),"Y","N"))</f>
        <v>N</v>
      </c>
      <c r="EW221" s="0" t="str">
        <f aca="false">IF($A221="","",IF(OR(T221="Y",U221="do_not_contact",AQ221&amp;""&lt;&gt;""),"Y","N"))</f>
        <v>N</v>
      </c>
      <c r="EX221" s="0" t="str">
        <f aca="false">IF($A221="","",IF(AN221&amp;""&lt;&gt;"",AN221&amp;"",$A221))</f>
        <v>AB-038</v>
      </c>
      <c r="EY221" s="0" t="str">
        <f aca="false">IF($A221="","",IF(COUNTIFS($EX$2:$EX$1000,EX221,$EV$2:$EV$1000,"Y")+COUNTIFS($EX$2:$EX$1000,EX221,$EW$2:$EW$1000,"Y")&gt;0,"Y","N"))</f>
        <v>N</v>
      </c>
      <c r="EZ221" s="0" t="str">
        <f aca="false">IF($A221="","",IF(AND(U221="new",T221="N",EW221="N",AR221="Y",EY221="N"),"Y","N"))</f>
        <v>N</v>
      </c>
      <c r="FA221" s="0" t="str">
        <f aca="false">IF($A221="","",IF(EZ221&lt;&gt;"Y","N",IF(COUNTIFS($EX$2:$EX$1000,EX221,$EZ$2:$EZ$1000,"Y",$J$2:$J$1000,"&gt;"&amp;J221)+COUNTIFS($EX$2:$EX$1000,EX221,$EZ$2:$EZ$1000,"Y",$J$2:$J$1000,J221,$FG$2:$FG$1000,"&lt;"&amp;FG221)=0,"Y","N")))</f>
        <v>N</v>
      </c>
      <c r="FB221" s="0" t="str">
        <f aca="false">IF($A221="","",IF(AND(EZ221="Y",FA221="Y",Y221&amp;""&lt;&gt;""),IF(Y221&lt;=10,"Y","N"),"N"))</f>
        <v>N</v>
      </c>
      <c r="FC221" s="0" t="str">
        <f aca="false">IF(FB221="Y",Y221,"")</f>
        <v/>
      </c>
      <c r="FD221" s="0" t="str">
        <f aca="false">IF($A221="","",IF(AND(CK221="pass",AU221="Y",AV221&lt;&gt;"Y",U221="new",EW221="N"),"Y","N"))</f>
        <v>N</v>
      </c>
      <c r="FE221" s="0" t="str">
        <f aca="false">IF(FD221&lt;&gt;"Y","",IF(COUNTIFS($FD$2:$FD$1000,"Y",$J$2:$J$1000,"&gt;"&amp;J221)+COUNTIFS($FD$2:$FD$1000,"Y",$J$2:$J$1000,J221,$FG$2:$FG$1000,"&lt;"&amp;FG221)+1&lt;=30,COUNTIFS($FD$2:$FD$1000,"Y",$J$2:$J$1000,"&gt;"&amp;J221)+COUNTIFS($FD$2:$FD$1000,"Y",$J$2:$J$1000,J221,$FG$2:$FG$1000,"&lt;"&amp;FG221)+1,""))</f>
        <v/>
      </c>
      <c r="FF221" s="0" t="str">
        <f aca="false">IF(AND(_xlfn.ISFORMULA(C221),_xlfn.ISFORMULA(J221)),"Y","N")</f>
        <v>Y</v>
      </c>
      <c r="FG221" s="0" t="n">
        <f aca="false">ROW()-1</f>
        <v>220</v>
      </c>
    </row>
    <row r="222" customFormat="false" ht="15" hidden="false" customHeight="false" outlineLevel="0" collapsed="false">
      <c r="A222" s="0" t="s">
        <v>10576</v>
      </c>
      <c r="B222" s="0" t="s">
        <v>10577</v>
      </c>
      <c r="C222" s="0" t="str">
        <f aca="false">IF($A222="","",IF(AT222="Y",BL222&amp;"",AY222&amp;""))</f>
        <v>Joseph</v>
      </c>
      <c r="D222" s="0" t="str">
        <f aca="false">IF($A222="","",IF(AT222="Y",BM222&amp;"",AZ222&amp;""))</f>
        <v>Chen</v>
      </c>
      <c r="E222" s="0" t="str">
        <f aca="false">IF($A222="","",IF(AT222="Y",BN222&amp;"",BA222&amp;""))</f>
        <v>Founder</v>
      </c>
      <c r="F222" s="0" t="str">
        <f aca="false">IF($A222="","",IF(AT222="Y",BO222&amp;"",BB222&amp;""))</f>
        <v/>
      </c>
      <c r="G222" s="0" t="str">
        <f aca="false">IF($A222="","",IF(AT222="Y",BP222&amp;"",BC222&amp;""))</f>
        <v/>
      </c>
      <c r="H222" s="0" t="str">
        <f aca="false">IF($A222="","",IF(AT222="Y",BQ222&amp;"",BD222&amp;""))</f>
        <v>none</v>
      </c>
      <c r="I222" s="0" t="str">
        <f aca="false">IF($A222="","",IF(R222="Y","warm-intro",IF(H222="verified","email",IF(C222&lt;&gt;"","linkedin",CA222&amp;""))))</f>
        <v>linkedin</v>
      </c>
      <c r="J222" s="0" t="n">
        <f aca="false">IF($A222="","",IF(CK222="pass",ROUND(N(DO222)+N(DP222)+N(DQ222)+N(DR222)+N(DS222)+N(DT222)+N(DU222)+N(DV222),0),0))</f>
        <v>0</v>
      </c>
      <c r="K222" s="0" t="str">
        <f aca="false">IF($A222="","",IF(CK222&lt;&gt;"pass",BY222&amp;"",BY222&amp;", "&amp;IF(AT222="Y",BX222&amp;"",BK222&amp;"")&amp;BZ222&amp;IF(R222="Y","; known to the founder (+10)","")&amp;"."))</f>
        <v>Gated out: health-claim: explicit health claim in the brand's own copy (opened 2026-10-24): 'these seeds help boost immunity and promote better sleep quality; sunflower se.</v>
      </c>
      <c r="M222" s="0" t="s">
        <v>6144</v>
      </c>
      <c r="N222" s="0" t="s">
        <v>740</v>
      </c>
      <c r="O222" s="0" t="s">
        <v>10578</v>
      </c>
      <c r="P222" s="0" t="s">
        <v>10579</v>
      </c>
      <c r="Q222" s="0" t="s">
        <v>6436</v>
      </c>
      <c r="R222" s="5" t="s">
        <v>189</v>
      </c>
      <c r="S222" s="0" t="s">
        <v>164</v>
      </c>
      <c r="T222" s="5" t="s">
        <v>189</v>
      </c>
      <c r="U222" s="5" t="s">
        <v>3896</v>
      </c>
      <c r="V222" s="0" t="s">
        <v>10580</v>
      </c>
      <c r="W222" s="0" t="s">
        <v>263</v>
      </c>
      <c r="X222" s="0" t="s">
        <v>5578</v>
      </c>
      <c r="Y222" s="0" t="str">
        <f aca="false">IF(FA222&lt;&gt;"Y","",COUNTIFS($FA$2:$FA$1000,"Y",$J$2:$J$1000,"&gt;"&amp;J222)+COUNTIFS($FA$2:$FA$1000,"Y",$J$2:$J$1000,J222,$FG$2:$FG$1000,"&lt;"&amp;FG222)+1)</f>
        <v/>
      </c>
      <c r="AA222" s="0" t="s">
        <v>189</v>
      </c>
      <c r="AB222" s="0" t="str">
        <f aca="false">IF($A222="","",IF(AT222="Y",BW222&amp;"",BJ222&amp;""))</f>
        <v/>
      </c>
      <c r="AC222" s="0" t="str">
        <f aca="false">IF($A222="","",IF(AT222="Y",BR222&amp;"",BE222&amp;""))</f>
        <v>founder</v>
      </c>
      <c r="AD222" s="0" t="str">
        <f aca="false">IF($A222="","",IF(AT222="Y",BS222&amp;"",BF222&amp;""))</f>
        <v>verified-page</v>
      </c>
      <c r="AE222" s="0" t="str">
        <f aca="false">IF($A222="","",IF(AT222="Y",BT222&amp;"",BG222&amp;""))</f>
        <v>employer's own site</v>
      </c>
      <c r="AF222" s="0" t="str">
        <f aca="false">IF($A222="","",IF(AT222="Y",BU222&amp;"",BH222&amp;""))</f>
        <v>https://joeynordicseedcrisps.com/pages/our-founder</v>
      </c>
      <c r="AG222" s="0" t="str">
        <f aca="false">IF($A222="","",IF(AT222="Y",BV222&amp;"",BI222&amp;""))</f>
        <v>2026-10-23</v>
      </c>
      <c r="AH222" s="0" t="s">
        <v>10581</v>
      </c>
      <c r="AI222" s="0" t="s">
        <v>5630</v>
      </c>
      <c r="AJ222" s="0" t="s">
        <v>10582</v>
      </c>
      <c r="AK222" s="0" t="s">
        <v>10583</v>
      </c>
      <c r="AL222" s="0" t="s">
        <v>164</v>
      </c>
      <c r="AM222" s="0" t="s">
        <v>10584</v>
      </c>
      <c r="AN222" s="0" t="s">
        <v>10576</v>
      </c>
      <c r="AO222" s="5" t="s">
        <v>189</v>
      </c>
      <c r="AR222" s="0" t="str">
        <f aca="false">IF($A222="","",IF(AND(CK222="pass",AO222&lt;&gt;"Y",C222&lt;&gt;"",OR(AU222&lt;&gt;"Y",AV222="Y")),"Y","N"))</f>
        <v>N</v>
      </c>
      <c r="AS222" s="0" t="str">
        <f aca="false">IF($A222="","",_xlfn.TEXTJOIN("; ",TRUE(),IF(CK222&lt;&gt;"pass","gated out",""),IF(AO222="Y","on hold: "&amp;AP222,""),IF(C222="","no contact named on an opened page",""),IF(AND(AU222="Y",AV222&lt;&gt;"Y"),"founder review pending (Founder review tab)","")))</f>
        <v>gated out</v>
      </c>
      <c r="AU222" s="0" t="s">
        <v>189</v>
      </c>
      <c r="AY222" s="0" t="s">
        <v>10585</v>
      </c>
      <c r="AZ222" s="0" t="s">
        <v>10523</v>
      </c>
      <c r="BA222" s="0" t="s">
        <v>5739</v>
      </c>
      <c r="BC222" s="0" t="str">
        <f aca="false">IF($A222="","",IFERROR(INDEX(Enrichment!$A$2:$GZ$2000,MATCH($A222,INDEX(Enrichment!$A$2:$GZ$2000,0,MATCH("row_id",Enrichment!$A$1:$GZ$1,0)),0),MATCH("work_email",Enrichment!$A$1:$GZ$1,0))&amp;"",""))</f>
        <v/>
      </c>
      <c r="BD222" s="0" t="str">
        <f aca="false">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none</v>
      </c>
      <c r="BE222" s="0" t="s">
        <v>5589</v>
      </c>
      <c r="BF222" s="0" t="s">
        <v>169</v>
      </c>
      <c r="BG222" s="0" t="s">
        <v>170</v>
      </c>
      <c r="BH222" s="0" t="s">
        <v>10580</v>
      </c>
      <c r="BI222" s="0" t="s">
        <v>263</v>
      </c>
      <c r="BK222" s="0" t="s">
        <v>5643</v>
      </c>
      <c r="BL222" s="0" t="s">
        <v>6625</v>
      </c>
      <c r="BM222" s="0" t="s">
        <v>10586</v>
      </c>
      <c r="BN222" s="0" t="s">
        <v>10587</v>
      </c>
      <c r="BP222" s="0" t="str">
        <f aca="false">IF($A222="","",IFERROR(INDEX(Enrichment!$A$2:$GZ$2000,MATCH($A222,INDEX(Enrichment!$A$2:$GZ$2000,0,MATCH("row_id",Enrichment!$A$1:$GZ$1,0)),0),MATCH("backup_work_email",Enrichment!$A$1:$GZ$1,0))&amp;"",""))</f>
        <v/>
      </c>
      <c r="BQ222" s="0" t="str">
        <f aca="false">IF($A222="","",IF(BP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none</v>
      </c>
      <c r="BR222" s="0" t="s">
        <v>7494</v>
      </c>
      <c r="BS222" s="0" t="s">
        <v>169</v>
      </c>
      <c r="BT222" s="0" t="s">
        <v>1252</v>
      </c>
      <c r="BU222" s="0" t="s">
        <v>10579</v>
      </c>
      <c r="BV222" s="0" t="s">
        <v>263</v>
      </c>
      <c r="BX222" s="0" t="s">
        <v>5643</v>
      </c>
      <c r="BY222" s="0" t="s">
        <v>10588</v>
      </c>
      <c r="CB222" s="0" t="s">
        <v>10589</v>
      </c>
      <c r="CF222" s="0" t="s">
        <v>10590</v>
      </c>
      <c r="CJ222" s="0" t="s">
        <v>7088</v>
      </c>
      <c r="CK222" s="0" t="s">
        <v>4627</v>
      </c>
      <c r="CL222" s="0" t="s">
        <v>10005</v>
      </c>
      <c r="CM222" s="0" t="s">
        <v>10591</v>
      </c>
      <c r="CN222" s="0" t="s">
        <v>7171</v>
      </c>
      <c r="CO222" s="0" t="s">
        <v>10583</v>
      </c>
      <c r="CP222" s="0" t="s">
        <v>8974</v>
      </c>
      <c r="CQ222" s="0" t="s">
        <v>6198</v>
      </c>
      <c r="CR222" s="0" t="s">
        <v>209</v>
      </c>
      <c r="CT222" s="0" t="s">
        <v>164</v>
      </c>
      <c r="CU222" s="0" t="s">
        <v>10592</v>
      </c>
      <c r="CV222" s="0" t="s">
        <v>209</v>
      </c>
      <c r="CW222" s="0" t="s">
        <v>164</v>
      </c>
      <c r="CX222" s="0" t="s">
        <v>209</v>
      </c>
      <c r="CZ222" s="0" t="s">
        <v>209</v>
      </c>
      <c r="DA222" s="0" t="s">
        <v>189</v>
      </c>
      <c r="DB222" s="0" t="s">
        <v>164</v>
      </c>
      <c r="DC222" s="0" t="s">
        <v>10593</v>
      </c>
      <c r="DE222" s="0" t="s">
        <v>189</v>
      </c>
      <c r="DF222" s="0" t="n">
        <v>0</v>
      </c>
      <c r="DH222" s="0" t="s">
        <v>7473</v>
      </c>
      <c r="DI222" s="0" t="s">
        <v>9368</v>
      </c>
      <c r="DJ222" s="0" t="s">
        <v>10594</v>
      </c>
      <c r="DK222" s="0" t="s">
        <v>5617</v>
      </c>
      <c r="DL222" s="0" t="n">
        <v>43</v>
      </c>
      <c r="DM222" s="0" t="s">
        <v>10579</v>
      </c>
      <c r="DN222" s="0" t="n">
        <v>45</v>
      </c>
      <c r="DO222" s="0" t="n">
        <v>6</v>
      </c>
      <c r="DP222" s="0" t="n">
        <v>3</v>
      </c>
      <c r="DQ222" s="0" t="n">
        <v>15</v>
      </c>
      <c r="DR222" s="0" t="n">
        <v>5</v>
      </c>
      <c r="DS222" s="0" t="n">
        <v>8</v>
      </c>
      <c r="DT222" s="0" t="n">
        <v>10</v>
      </c>
      <c r="DU222" s="0" t="n">
        <f aca="false">IF($A222="","",IF(R222="Y",10,0))</f>
        <v>0</v>
      </c>
      <c r="DV222" s="0" t="n">
        <v>-2</v>
      </c>
      <c r="DW222" s="0" t="s">
        <v>10595</v>
      </c>
      <c r="DX222" s="0" t="s">
        <v>5814</v>
      </c>
      <c r="DY222" s="0" t="s">
        <v>10596</v>
      </c>
      <c r="DZ222" s="0" t="s">
        <v>10597</v>
      </c>
      <c r="EA222" s="0" t="s">
        <v>10598</v>
      </c>
      <c r="EV222" s="0" t="str">
        <f aca="false">IF($A222="","",IF(ISNUMBER(MATCH(U222,{"queued","contacted","replied","call_booked","call_done","yes_in_principle","materials_sent"},0)),"Y","N"))</f>
        <v>N</v>
      </c>
      <c r="EW222" s="0" t="str">
        <f aca="false">IF($A222="","",IF(OR(T222="Y",U222="do_not_contact",AQ222&amp;""&lt;&gt;""),"Y","N"))</f>
        <v>N</v>
      </c>
      <c r="EX222" s="0" t="str">
        <f aca="false">IF($A222="","",IF(AN222&amp;""&lt;&gt;"",AN222&amp;"",$A222))</f>
        <v>AB-011</v>
      </c>
      <c r="EY222" s="0" t="str">
        <f aca="false">IF($A222="","",IF(COUNTIFS($EX$2:$EX$1000,EX222,$EV$2:$EV$1000,"Y")+COUNTIFS($EX$2:$EX$1000,EX222,$EW$2:$EW$1000,"Y")&gt;0,"Y","N"))</f>
        <v>N</v>
      </c>
      <c r="EZ222" s="0" t="str">
        <f aca="false">IF($A222="","",IF(AND(U222="new",T222="N",EW222="N",AR222="Y",EY222="N"),"Y","N"))</f>
        <v>N</v>
      </c>
      <c r="FA222" s="0" t="str">
        <f aca="false">IF($A222="","",IF(EZ222&lt;&gt;"Y","N",IF(COUNTIFS($EX$2:$EX$1000,EX222,$EZ$2:$EZ$1000,"Y",$J$2:$J$1000,"&gt;"&amp;J222)+COUNTIFS($EX$2:$EX$1000,EX222,$EZ$2:$EZ$1000,"Y",$J$2:$J$1000,J222,$FG$2:$FG$1000,"&lt;"&amp;FG222)=0,"Y","N")))</f>
        <v>N</v>
      </c>
      <c r="FB222" s="0" t="str">
        <f aca="false">IF($A222="","",IF(AND(EZ222="Y",FA222="Y",Y222&amp;""&lt;&gt;""),IF(Y222&lt;=10,"Y","N"),"N"))</f>
        <v>N</v>
      </c>
      <c r="FC222" s="0" t="str">
        <f aca="false">IF(FB222="Y",Y222,"")</f>
        <v/>
      </c>
      <c r="FD222" s="0" t="str">
        <f aca="false">IF($A222="","",IF(AND(CK222="pass",AU222="Y",AV222&lt;&gt;"Y",U222="new",EW222="N"),"Y","N"))</f>
        <v>N</v>
      </c>
      <c r="FE222" s="0" t="str">
        <f aca="false">IF(FD222&lt;&gt;"Y","",IF(COUNTIFS($FD$2:$FD$1000,"Y",$J$2:$J$1000,"&gt;"&amp;J222)+COUNTIFS($FD$2:$FD$1000,"Y",$J$2:$J$1000,J222,$FG$2:$FG$1000,"&lt;"&amp;FG222)+1&lt;=30,COUNTIFS($FD$2:$FD$1000,"Y",$J$2:$J$1000,"&gt;"&amp;J222)+COUNTIFS($FD$2:$FD$1000,"Y",$J$2:$J$1000,J222,$FG$2:$FG$1000,"&lt;"&amp;FG222)+1,""))</f>
        <v/>
      </c>
      <c r="FF222" s="0" t="str">
        <f aca="false">IF(AND(_xlfn.ISFORMULA(C222),_xlfn.ISFORMULA(J222)),"Y","N")</f>
        <v>Y</v>
      </c>
      <c r="FG222" s="0" t="n">
        <f aca="false">ROW()-1</f>
        <v>221</v>
      </c>
    </row>
    <row r="223" customFormat="false" ht="15" hidden="false" customHeight="false" outlineLevel="0" collapsed="false">
      <c r="A223" s="0" t="s">
        <v>10599</v>
      </c>
      <c r="B223" s="0" t="s">
        <v>10600</v>
      </c>
      <c r="C223" s="0" t="str">
        <f aca="false">IF($A223="","",IF(AT223="Y",BL223&amp;"",AY223&amp;""))</f>
        <v>Jane</v>
      </c>
      <c r="D223" s="0" t="str">
        <f aca="false">IF($A223="","",IF(AT223="Y",BM223&amp;"",AZ223&amp;""))</f>
        <v>Kate Wong</v>
      </c>
      <c r="E223" s="0" t="str">
        <f aca="false">IF($A223="","",IF(AT223="Y",BN223&amp;"",BA223&amp;""))</f>
        <v>Co-founder and CEO</v>
      </c>
      <c r="F223" s="0" t="str">
        <f aca="false">IF($A223="","",IF(AT223="Y",BO223&amp;"",BB223&amp;""))</f>
        <v/>
      </c>
      <c r="G223" s="0" t="str">
        <f aca="false">IF($A223="","",IF(AT223="Y",BP223&amp;"",BC223&amp;""))</f>
        <v/>
      </c>
      <c r="H223" s="0" t="str">
        <f aca="false">IF($A223="","",IF(AT223="Y",BQ223&amp;"",BD223&amp;""))</f>
        <v>none</v>
      </c>
      <c r="I223" s="0" t="str">
        <f aca="false">IF($A223="","",IF(R223="Y","warm-intro",IF(H223="verified","email",IF(C223&lt;&gt;"","linkedin",CA223&amp;""))))</f>
        <v>linkedin</v>
      </c>
      <c r="J223" s="0" t="n">
        <f aca="false">IF($A223="","",IF(CK223="pass",ROUND(N(DO223)+N(DP223)+N(DQ223)+N(DR223)+N(DS223)+N(DT223)+N(DU223)+N(DV223),0),0))</f>
        <v>0</v>
      </c>
      <c r="K223" s="0" t="str">
        <f aca="false">IF($A223="","",IF(CK223&lt;&gt;"pass",BY223&amp;"",BY223&amp;", "&amp;IF(AT223="Y",BX223&amp;"",BK223&amp;"")&amp;BZ223&amp;IF(R223="Y","; known to the founder (+10)","")&amp;"."))</f>
        <v>Gated out: excluded-category: Dietary supplement with cognitive-wellness claims (sold in Target's supplement assortment).</v>
      </c>
      <c r="M223" s="0" t="s">
        <v>6144</v>
      </c>
      <c r="N223" s="0" t="s">
        <v>740</v>
      </c>
      <c r="O223" s="0" t="s">
        <v>10601</v>
      </c>
      <c r="P223" s="0" t="s">
        <v>10602</v>
      </c>
      <c r="Q223" s="0" t="s">
        <v>4307</v>
      </c>
      <c r="R223" s="5" t="s">
        <v>189</v>
      </c>
      <c r="S223" s="0" t="s">
        <v>164</v>
      </c>
      <c r="T223" s="5" t="s">
        <v>189</v>
      </c>
      <c r="U223" s="5" t="s">
        <v>3896</v>
      </c>
      <c r="V223" s="0" t="s">
        <v>10602</v>
      </c>
      <c r="W223" s="0" t="s">
        <v>263</v>
      </c>
      <c r="X223" s="0" t="s">
        <v>5578</v>
      </c>
      <c r="Y223" s="0" t="str">
        <f aca="false">IF(FA223&lt;&gt;"Y","",COUNTIFS($FA$2:$FA$1000,"Y",$J$2:$J$1000,"&gt;"&amp;J223)+COUNTIFS($FA$2:$FA$1000,"Y",$J$2:$J$1000,J223,$FG$2:$FG$1000,"&lt;"&amp;FG223)+1)</f>
        <v/>
      </c>
      <c r="AA223" s="0" t="s">
        <v>189</v>
      </c>
      <c r="AB223" s="0" t="str">
        <f aca="false">IF($A223="","",IF(AT223="Y",BW223&amp;"",BJ223&amp;""))</f>
        <v/>
      </c>
      <c r="AC223" s="0" t="str">
        <f aca="false">IF($A223="","",IF(AT223="Y",BR223&amp;"",BE223&amp;""))</f>
        <v>founder</v>
      </c>
      <c r="AD223" s="0" t="str">
        <f aca="false">IF($A223="","",IF(AT223="Y",BS223&amp;"",BF223&amp;""))</f>
        <v>verified-page</v>
      </c>
      <c r="AE223" s="0" t="str">
        <f aca="false">IF($A223="","",IF(AT223="Y",BT223&amp;"",BG223&amp;""))</f>
        <v>press, event or podcast page</v>
      </c>
      <c r="AF223" s="0" t="str">
        <f aca="false">IF($A223="","",IF(AT223="Y",BU223&amp;"",BH223&amp;""))</f>
        <v>https://startupcpg.com/startup-cpg-newswire-noon-world-launches-into-878-target-doors/</v>
      </c>
      <c r="AG223" s="0" t="str">
        <f aca="false">IF($A223="","",IF(AT223="Y",BV223&amp;"",BI223&amp;""))</f>
        <v>2026-10-23</v>
      </c>
      <c r="AH223" s="0" t="s">
        <v>10603</v>
      </c>
      <c r="AI223" s="0" t="s">
        <v>6699</v>
      </c>
      <c r="AJ223" s="0" t="s">
        <v>10521</v>
      </c>
      <c r="AL223" s="0" t="s">
        <v>164</v>
      </c>
      <c r="AM223" s="0" t="s">
        <v>10604</v>
      </c>
      <c r="AN223" s="0" t="s">
        <v>10599</v>
      </c>
      <c r="AO223" s="5" t="s">
        <v>189</v>
      </c>
      <c r="AR223" s="0" t="str">
        <f aca="false">IF($A223="","",IF(AND(CK223="pass",AO223&lt;&gt;"Y",C223&lt;&gt;"",OR(AU223&lt;&gt;"Y",AV223="Y")),"Y","N"))</f>
        <v>N</v>
      </c>
      <c r="AS223" s="0" t="str">
        <f aca="false">IF($A223="","",_xlfn.TEXTJOIN("; ",TRUE(),IF(CK223&lt;&gt;"pass","gated out",""),IF(AO223="Y","on hold: "&amp;AP223,""),IF(C223="","no contact named on an opened page",""),IF(AND(AU223="Y",AV223&lt;&gt;"Y"),"founder review pending (Founder review tab)","")))</f>
        <v>gated out</v>
      </c>
      <c r="AU223" s="0" t="s">
        <v>189</v>
      </c>
      <c r="AY223" s="0" t="s">
        <v>10605</v>
      </c>
      <c r="AZ223" s="0" t="s">
        <v>10606</v>
      </c>
      <c r="BA223" s="0" t="s">
        <v>5830</v>
      </c>
      <c r="BC223" s="0" t="str">
        <f aca="false">IF($A223="","",IFERROR(INDEX(Enrichment!$A$2:$GZ$2000,MATCH($A223,INDEX(Enrichment!$A$2:$GZ$2000,0,MATCH("row_id",Enrichment!$A$1:$GZ$1,0)),0),MATCH("work_email",Enrichment!$A$1:$GZ$1,0))&amp;"",""))</f>
        <v/>
      </c>
      <c r="BD223" s="0" t="str">
        <f aca="false">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none</v>
      </c>
      <c r="BE223" s="0" t="s">
        <v>5589</v>
      </c>
      <c r="BF223" s="0" t="s">
        <v>169</v>
      </c>
      <c r="BG223" s="0" t="s">
        <v>1252</v>
      </c>
      <c r="BH223" s="0" t="s">
        <v>10602</v>
      </c>
      <c r="BI223" s="0" t="s">
        <v>263</v>
      </c>
      <c r="BK223" s="0" t="s">
        <v>5643</v>
      </c>
      <c r="BP223" s="0" t="str">
        <f aca="false">IF($A223="","",IFERROR(INDEX(Enrichment!$A$2:$GZ$2000,MATCH($A223,INDEX(Enrichment!$A$2:$GZ$2000,0,MATCH("row_id",Enrichment!$A$1:$GZ$1,0)),0),MATCH("backup_work_email",Enrichment!$A$1:$GZ$1,0))&amp;"",""))</f>
        <v/>
      </c>
      <c r="BQ223" s="0" t="str">
        <f aca="false">IF($A223="","",IF(BP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none</v>
      </c>
      <c r="BS223" s="0" t="s">
        <v>380</v>
      </c>
      <c r="BX223" s="0" t="s">
        <v>388</v>
      </c>
      <c r="BY223" s="0" t="s">
        <v>10607</v>
      </c>
      <c r="CB223" s="0" t="s">
        <v>10608</v>
      </c>
      <c r="CJ223" s="0" t="s">
        <v>7088</v>
      </c>
      <c r="CK223" s="0" t="s">
        <v>4627</v>
      </c>
      <c r="CL223" s="0" t="s">
        <v>10609</v>
      </c>
      <c r="CM223" s="0" t="s">
        <v>10610</v>
      </c>
      <c r="CN223" s="0" t="s">
        <v>5774</v>
      </c>
      <c r="CO223" s="0" t="s">
        <v>10611</v>
      </c>
      <c r="CP223" s="0" t="s">
        <v>5608</v>
      </c>
      <c r="CQ223" s="0" t="s">
        <v>5609</v>
      </c>
      <c r="CR223" s="0" t="s">
        <v>209</v>
      </c>
      <c r="CT223" s="0" t="s">
        <v>209</v>
      </c>
      <c r="CV223" s="0" t="s">
        <v>209</v>
      </c>
      <c r="CW223" s="0" t="s">
        <v>209</v>
      </c>
      <c r="CX223" s="0" t="s">
        <v>209</v>
      </c>
      <c r="CZ223" s="0" t="s">
        <v>209</v>
      </c>
      <c r="DA223" s="0" t="s">
        <v>164</v>
      </c>
      <c r="DB223" s="0" t="s">
        <v>164</v>
      </c>
      <c r="DC223" s="0" t="s">
        <v>10612</v>
      </c>
      <c r="DE223" s="0" t="s">
        <v>189</v>
      </c>
      <c r="DF223" s="0" t="n">
        <v>0</v>
      </c>
      <c r="DK223" s="0" t="s">
        <v>5617</v>
      </c>
      <c r="DL223" s="0" t="n">
        <v>137</v>
      </c>
      <c r="DM223" s="0" t="s">
        <v>10602</v>
      </c>
      <c r="DN223" s="0" t="n">
        <v>49</v>
      </c>
      <c r="DO223" s="0" t="n">
        <v>0</v>
      </c>
      <c r="DP223" s="0" t="n">
        <v>20</v>
      </c>
      <c r="DQ223" s="0" t="n">
        <v>15</v>
      </c>
      <c r="DR223" s="0" t="n">
        <v>5</v>
      </c>
      <c r="DS223" s="0" t="n">
        <v>3</v>
      </c>
      <c r="DT223" s="0" t="n">
        <v>6</v>
      </c>
      <c r="DU223" s="0" t="n">
        <f aca="false">IF($A223="","",IF(R223="Y",10,0))</f>
        <v>0</v>
      </c>
      <c r="DV223" s="0" t="n">
        <v>0</v>
      </c>
      <c r="DX223" s="0" t="s">
        <v>5619</v>
      </c>
      <c r="DY223" s="0" t="s">
        <v>10613</v>
      </c>
      <c r="DZ223" s="0" t="s">
        <v>10532</v>
      </c>
      <c r="EV223" s="0" t="str">
        <f aca="false">IF($A223="","",IF(ISNUMBER(MATCH(U223,{"queued","contacted","replied","call_booked","call_done","yes_in_principle","materials_sent"},0)),"Y","N"))</f>
        <v>N</v>
      </c>
      <c r="EW223" s="0" t="str">
        <f aca="false">IF($A223="","",IF(OR(T223="Y",U223="do_not_contact",AQ223&amp;""&lt;&gt;""),"Y","N"))</f>
        <v>N</v>
      </c>
      <c r="EX223" s="0" t="str">
        <f aca="false">IF($A223="","",IF(AN223&amp;""&lt;&gt;"",AN223&amp;"",$A223))</f>
        <v>AB-254</v>
      </c>
      <c r="EY223" s="0" t="str">
        <f aca="false">IF($A223="","",IF(COUNTIFS($EX$2:$EX$1000,EX223,$EV$2:$EV$1000,"Y")+COUNTIFS($EX$2:$EX$1000,EX223,$EW$2:$EW$1000,"Y")&gt;0,"Y","N"))</f>
        <v>N</v>
      </c>
      <c r="EZ223" s="0" t="str">
        <f aca="false">IF($A223="","",IF(AND(U223="new",T223="N",EW223="N",AR223="Y",EY223="N"),"Y","N"))</f>
        <v>N</v>
      </c>
      <c r="FA223" s="0" t="str">
        <f aca="false">IF($A223="","",IF(EZ223&lt;&gt;"Y","N",IF(COUNTIFS($EX$2:$EX$1000,EX223,$EZ$2:$EZ$1000,"Y",$J$2:$J$1000,"&gt;"&amp;J223)+COUNTIFS($EX$2:$EX$1000,EX223,$EZ$2:$EZ$1000,"Y",$J$2:$J$1000,J223,$FG$2:$FG$1000,"&lt;"&amp;FG223)=0,"Y","N")))</f>
        <v>N</v>
      </c>
      <c r="FB223" s="0" t="str">
        <f aca="false">IF($A223="","",IF(AND(EZ223="Y",FA223="Y",Y223&amp;""&lt;&gt;""),IF(Y223&lt;=10,"Y","N"),"N"))</f>
        <v>N</v>
      </c>
      <c r="FC223" s="0" t="str">
        <f aca="false">IF(FB223="Y",Y223,"")</f>
        <v/>
      </c>
      <c r="FD223" s="0" t="str">
        <f aca="false">IF($A223="","",IF(AND(CK223="pass",AU223="Y",AV223&lt;&gt;"Y",U223="new",EW223="N"),"Y","N"))</f>
        <v>N</v>
      </c>
      <c r="FE223" s="0" t="str">
        <f aca="false">IF(FD223&lt;&gt;"Y","",IF(COUNTIFS($FD$2:$FD$1000,"Y",$J$2:$J$1000,"&gt;"&amp;J223)+COUNTIFS($FD$2:$FD$1000,"Y",$J$2:$J$1000,J223,$FG$2:$FG$1000,"&lt;"&amp;FG223)+1&lt;=30,COUNTIFS($FD$2:$FD$1000,"Y",$J$2:$J$1000,"&gt;"&amp;J223)+COUNTIFS($FD$2:$FD$1000,"Y",$J$2:$J$1000,J223,$FG$2:$FG$1000,"&lt;"&amp;FG223)+1,""))</f>
        <v/>
      </c>
      <c r="FF223" s="0" t="str">
        <f aca="false">IF(AND(_xlfn.ISFORMULA(C223),_xlfn.ISFORMULA(J223)),"Y","N")</f>
        <v>Y</v>
      </c>
      <c r="FG223" s="0" t="n">
        <f aca="false">ROW()-1</f>
        <v>222</v>
      </c>
    </row>
    <row r="224" customFormat="false" ht="15" hidden="false" customHeight="false" outlineLevel="0" collapsed="false">
      <c r="A224" s="0" t="s">
        <v>10614</v>
      </c>
      <c r="B224" s="0" t="s">
        <v>10615</v>
      </c>
      <c r="C224" s="0" t="str">
        <f aca="false">IF($A224="","",IF(AT224="Y",BL224&amp;"",AY224&amp;""))</f>
        <v>Nick</v>
      </c>
      <c r="D224" s="0" t="str">
        <f aca="false">IF($A224="","",IF(AT224="Y",BM224&amp;"",AZ224&amp;""))</f>
        <v>Wallace</v>
      </c>
      <c r="E224" s="0" t="str">
        <f aca="false">IF($A224="","",IF(AT224="Y",BN224&amp;"",BA224&amp;""))</f>
        <v>Founder</v>
      </c>
      <c r="F224" s="0" t="str">
        <f aca="false">IF($A224="","",IF(AT224="Y",BO224&amp;"",BB224&amp;""))</f>
        <v/>
      </c>
      <c r="G224" s="0" t="str">
        <f aca="false">IF($A224="","",IF(AT224="Y",BP224&amp;"",BC224&amp;""))</f>
        <v/>
      </c>
      <c r="H224" s="0" t="str">
        <f aca="false">IF($A224="","",IF(AT224="Y",BQ224&amp;"",BD224&amp;""))</f>
        <v>none</v>
      </c>
      <c r="I224" s="0" t="str">
        <f aca="false">IF($A224="","",IF(R224="Y","warm-intro",IF(H224="verified","email",IF(C224&lt;&gt;"","linkedin",CA224&amp;""))))</f>
        <v>linkedin</v>
      </c>
      <c r="J224" s="0" t="n">
        <f aca="false">IF($A224="","",IF(CK224="pass",ROUND(N(DO224)+N(DP224)+N(DQ224)+N(DR224)+N(DS224)+N(DT224)+N(DU224)+N(DV224),0),0))</f>
        <v>0</v>
      </c>
      <c r="K224" s="0" t="str">
        <f aca="false">IF($A224="","",IF(CK224&lt;&gt;"pass",BY224&amp;"",BY224&amp;", "&amp;IF(AT224="Y",BX224&amp;"",BK224&amp;"")&amp;BZ224&amp;IF(R224="Y","; known to the founder (+10)","")&amp;"."))</f>
        <v>Gated out: no-buy-path: no graded store within ten blocks and no online store shown (online store unknown).</v>
      </c>
      <c r="M224" s="0" t="s">
        <v>6144</v>
      </c>
      <c r="N224" s="0" t="s">
        <v>740</v>
      </c>
      <c r="O224" s="0" t="s">
        <v>10616</v>
      </c>
      <c r="P224" s="0" t="s">
        <v>10617</v>
      </c>
      <c r="Q224" s="0" t="s">
        <v>2985</v>
      </c>
      <c r="R224" s="5" t="s">
        <v>189</v>
      </c>
      <c r="S224" s="0" t="s">
        <v>209</v>
      </c>
      <c r="T224" s="5" t="s">
        <v>189</v>
      </c>
      <c r="U224" s="5" t="s">
        <v>3896</v>
      </c>
      <c r="V224" s="0" t="s">
        <v>10617</v>
      </c>
      <c r="W224" s="0" t="s">
        <v>263</v>
      </c>
      <c r="X224" s="0" t="s">
        <v>5578</v>
      </c>
      <c r="Y224" s="0" t="str">
        <f aca="false">IF(FA224&lt;&gt;"Y","",COUNTIFS($FA$2:$FA$1000,"Y",$J$2:$J$1000,"&gt;"&amp;J224)+COUNTIFS($FA$2:$FA$1000,"Y",$J$2:$J$1000,J224,$FG$2:$FG$1000,"&lt;"&amp;FG224)+1)</f>
        <v/>
      </c>
      <c r="AA224" s="0" t="s">
        <v>189</v>
      </c>
      <c r="AB224" s="0" t="str">
        <f aca="false">IF($A224="","",IF(AT224="Y",BW224&amp;"",BJ224&amp;""))</f>
        <v/>
      </c>
      <c r="AC224" s="0" t="str">
        <f aca="false">IF($A224="","",IF(AT224="Y",BR224&amp;"",BE224&amp;""))</f>
        <v>founder</v>
      </c>
      <c r="AD224" s="0" t="str">
        <f aca="false">IF($A224="","",IF(AT224="Y",BS224&amp;"",BF224&amp;""))</f>
        <v>verified-page</v>
      </c>
      <c r="AE224" s="0" t="str">
        <f aca="false">IF($A224="","",IF(AT224="Y",BT224&amp;"",BG224&amp;""))</f>
        <v>press, event or podcast page</v>
      </c>
      <c r="AF224" s="0" t="str">
        <f aca="false">IF($A224="","",IF(AT224="Y",BU224&amp;"",BH224&amp;""))</f>
        <v>https://www.cspdailynews.com/snacks-candy/wenzels-farm-buys-nicks-sticks</v>
      </c>
      <c r="AG224" s="0" t="str">
        <f aca="false">IF($A224="","",IF(AT224="Y",BV224&amp;"",BI224&amp;""))</f>
        <v>2026-10-23</v>
      </c>
      <c r="AH224" s="0" t="s">
        <v>10618</v>
      </c>
      <c r="AI224" s="0" t="s">
        <v>6306</v>
      </c>
      <c r="AJ224" s="0" t="s">
        <v>10619</v>
      </c>
      <c r="AL224" s="0" t="s">
        <v>164</v>
      </c>
      <c r="AM224" s="0" t="s">
        <v>10620</v>
      </c>
      <c r="AN224" s="0" t="s">
        <v>10614</v>
      </c>
      <c r="AO224" s="5" t="s">
        <v>189</v>
      </c>
      <c r="AR224" s="0" t="str">
        <f aca="false">IF($A224="","",IF(AND(CK224="pass",AO224&lt;&gt;"Y",C224&lt;&gt;"",OR(AU224&lt;&gt;"Y",AV224="Y")),"Y","N"))</f>
        <v>N</v>
      </c>
      <c r="AS224" s="0" t="str">
        <f aca="false">IF($A224="","",_xlfn.TEXTJOIN("; ",TRUE(),IF(CK224&lt;&gt;"pass","gated out",""),IF(AO224="Y","on hold: "&amp;AP224,""),IF(C224="","no contact named on an opened page",""),IF(AND(AU224="Y",AV224&lt;&gt;"Y"),"founder review pending (Founder review tab)","")))</f>
        <v>gated out</v>
      </c>
      <c r="AU224" s="0" t="s">
        <v>189</v>
      </c>
      <c r="AY224" s="0" t="s">
        <v>10621</v>
      </c>
      <c r="AZ224" s="0" t="s">
        <v>10622</v>
      </c>
      <c r="BA224" s="0" t="s">
        <v>5739</v>
      </c>
      <c r="BC224" s="0" t="str">
        <f aca="false">IF($A224="","",IFERROR(INDEX(Enrichment!$A$2:$GZ$2000,MATCH($A224,INDEX(Enrichment!$A$2:$GZ$2000,0,MATCH("row_id",Enrichment!$A$1:$GZ$1,0)),0),MATCH("work_email",Enrichment!$A$1:$GZ$1,0))&amp;"",""))</f>
        <v/>
      </c>
      <c r="BD224" s="0" t="str">
        <f aca="false">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none</v>
      </c>
      <c r="BE224" s="0" t="s">
        <v>5589</v>
      </c>
      <c r="BF224" s="0" t="s">
        <v>169</v>
      </c>
      <c r="BG224" s="0" t="s">
        <v>1252</v>
      </c>
      <c r="BH224" s="0" t="s">
        <v>10623</v>
      </c>
      <c r="BI224" s="0" t="s">
        <v>263</v>
      </c>
      <c r="BK224" s="0" t="s">
        <v>5643</v>
      </c>
      <c r="BP224" s="0" t="str">
        <f aca="false">IF($A224="","",IFERROR(INDEX(Enrichment!$A$2:$GZ$2000,MATCH($A224,INDEX(Enrichment!$A$2:$GZ$2000,0,MATCH("row_id",Enrichment!$A$1:$GZ$1,0)),0),MATCH("backup_work_email",Enrichment!$A$1:$GZ$1,0))&amp;"",""))</f>
        <v/>
      </c>
      <c r="BQ224" s="0" t="str">
        <f aca="false">IF($A224="","",IF(BP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none</v>
      </c>
      <c r="BS224" s="0" t="s">
        <v>380</v>
      </c>
      <c r="BX224" s="0" t="s">
        <v>388</v>
      </c>
      <c r="BY224" s="0" t="s">
        <v>10542</v>
      </c>
      <c r="CB224" s="0" t="s">
        <v>10624</v>
      </c>
      <c r="CD224" s="0" t="s">
        <v>10625</v>
      </c>
      <c r="CJ224" s="0" t="s">
        <v>7088</v>
      </c>
      <c r="CK224" s="0" t="s">
        <v>4627</v>
      </c>
      <c r="CL224" s="0" t="s">
        <v>10545</v>
      </c>
      <c r="CM224" s="0" t="s">
        <v>10546</v>
      </c>
      <c r="CN224" s="0" t="s">
        <v>5607</v>
      </c>
      <c r="CO224" s="0" t="s">
        <v>10626</v>
      </c>
      <c r="CP224" s="0" t="s">
        <v>6606</v>
      </c>
      <c r="CQ224" s="0" t="s">
        <v>6198</v>
      </c>
      <c r="CR224" s="0" t="s">
        <v>209</v>
      </c>
      <c r="CT224" s="0" t="s">
        <v>164</v>
      </c>
      <c r="CU224" s="0" t="s">
        <v>10627</v>
      </c>
      <c r="CV224" s="0" t="s">
        <v>164</v>
      </c>
      <c r="CW224" s="0" t="s">
        <v>209</v>
      </c>
      <c r="CX224" s="0" t="s">
        <v>209</v>
      </c>
      <c r="CZ224" s="0" t="s">
        <v>209</v>
      </c>
      <c r="DA224" s="0" t="s">
        <v>189</v>
      </c>
      <c r="DB224" s="0" t="s">
        <v>189</v>
      </c>
      <c r="DE224" s="0" t="s">
        <v>189</v>
      </c>
      <c r="DF224" s="0" t="n">
        <v>0</v>
      </c>
      <c r="DI224" s="0" t="s">
        <v>209</v>
      </c>
      <c r="DJ224" s="0" t="s">
        <v>10628</v>
      </c>
      <c r="DK224" s="0" t="s">
        <v>5617</v>
      </c>
      <c r="DL224" s="0" t="n">
        <v>5</v>
      </c>
      <c r="DN224" s="0" t="n">
        <v>33</v>
      </c>
      <c r="DO224" s="0" t="n">
        <v>0</v>
      </c>
      <c r="DP224" s="0" t="n">
        <v>3</v>
      </c>
      <c r="DQ224" s="0" t="n">
        <v>15</v>
      </c>
      <c r="DR224" s="0" t="n">
        <v>5</v>
      </c>
      <c r="DS224" s="0" t="n">
        <v>8</v>
      </c>
      <c r="DT224" s="0" t="n">
        <v>6</v>
      </c>
      <c r="DU224" s="0" t="n">
        <f aca="false">IF($A224="","",IF(R224="Y",10,0))</f>
        <v>0</v>
      </c>
      <c r="DV224" s="0" t="n">
        <v>-4</v>
      </c>
      <c r="DW224" s="0" t="s">
        <v>209</v>
      </c>
      <c r="DX224" s="0" t="s">
        <v>5814</v>
      </c>
      <c r="DY224" s="0" t="s">
        <v>10629</v>
      </c>
      <c r="DZ224" s="0" t="s">
        <v>10630</v>
      </c>
      <c r="EA224" s="0" t="s">
        <v>10631</v>
      </c>
      <c r="EV224" s="0" t="str">
        <f aca="false">IF($A224="","",IF(ISNUMBER(MATCH(U224,{"queued","contacted","replied","call_booked","call_done","yes_in_principle","materials_sent"},0)),"Y","N"))</f>
        <v>N</v>
      </c>
      <c r="EW224" s="0" t="str">
        <f aca="false">IF($A224="","",IF(OR(T224="Y",U224="do_not_contact",AQ224&amp;""&lt;&gt;""),"Y","N"))</f>
        <v>N</v>
      </c>
      <c r="EX224" s="0" t="str">
        <f aca="false">IF($A224="","",IF(AN224&amp;""&lt;&gt;"",AN224&amp;"",$A224))</f>
        <v>AB-053</v>
      </c>
      <c r="EY224" s="0" t="str">
        <f aca="false">IF($A224="","",IF(COUNTIFS($EX$2:$EX$1000,EX224,$EV$2:$EV$1000,"Y")+COUNTIFS($EX$2:$EX$1000,EX224,$EW$2:$EW$1000,"Y")&gt;0,"Y","N"))</f>
        <v>N</v>
      </c>
      <c r="EZ224" s="0" t="str">
        <f aca="false">IF($A224="","",IF(AND(U224="new",T224="N",EW224="N",AR224="Y",EY224="N"),"Y","N"))</f>
        <v>N</v>
      </c>
      <c r="FA224" s="0" t="str">
        <f aca="false">IF($A224="","",IF(EZ224&lt;&gt;"Y","N",IF(COUNTIFS($EX$2:$EX$1000,EX224,$EZ$2:$EZ$1000,"Y",$J$2:$J$1000,"&gt;"&amp;J224)+COUNTIFS($EX$2:$EX$1000,EX224,$EZ$2:$EZ$1000,"Y",$J$2:$J$1000,J224,$FG$2:$FG$1000,"&lt;"&amp;FG224)=0,"Y","N")))</f>
        <v>N</v>
      </c>
      <c r="FB224" s="0" t="str">
        <f aca="false">IF($A224="","",IF(AND(EZ224="Y",FA224="Y",Y224&amp;""&lt;&gt;""),IF(Y224&lt;=10,"Y","N"),"N"))</f>
        <v>N</v>
      </c>
      <c r="FC224" s="0" t="str">
        <f aca="false">IF(FB224="Y",Y224,"")</f>
        <v/>
      </c>
      <c r="FD224" s="0" t="str">
        <f aca="false">IF($A224="","",IF(AND(CK224="pass",AU224="Y",AV224&lt;&gt;"Y",U224="new",EW224="N"),"Y","N"))</f>
        <v>N</v>
      </c>
      <c r="FE224" s="0" t="str">
        <f aca="false">IF(FD224&lt;&gt;"Y","",IF(COUNTIFS($FD$2:$FD$1000,"Y",$J$2:$J$1000,"&gt;"&amp;J224)+COUNTIFS($FD$2:$FD$1000,"Y",$J$2:$J$1000,J224,$FG$2:$FG$1000,"&lt;"&amp;FG224)+1&lt;=30,COUNTIFS($FD$2:$FD$1000,"Y",$J$2:$J$1000,"&gt;"&amp;J224)+COUNTIFS($FD$2:$FD$1000,"Y",$J$2:$J$1000,J224,$FG$2:$FG$1000,"&lt;"&amp;FG224)+1,""))</f>
        <v/>
      </c>
      <c r="FF224" s="0" t="str">
        <f aca="false">IF(AND(_xlfn.ISFORMULA(C224),_xlfn.ISFORMULA(J224)),"Y","N")</f>
        <v>Y</v>
      </c>
      <c r="FG224" s="0" t="n">
        <f aca="false">ROW()-1</f>
        <v>223</v>
      </c>
    </row>
    <row r="225" customFormat="false" ht="15" hidden="false" customHeight="false" outlineLevel="0" collapsed="false">
      <c r="A225" s="0" t="s">
        <v>10632</v>
      </c>
      <c r="B225" s="0" t="s">
        <v>10633</v>
      </c>
      <c r="C225" s="0" t="str">
        <f aca="false">IF($A225="","",IF(AT225="Y",BL225&amp;"",AY225&amp;""))</f>
        <v>Halli</v>
      </c>
      <c r="D225" s="0" t="str">
        <f aca="false">IF($A225="","",IF(AT225="Y",BM225&amp;"",AZ225&amp;""))</f>
        <v>Sigel</v>
      </c>
      <c r="E225" s="0" t="str">
        <f aca="false">IF($A225="","",IF(AT225="Y",BN225&amp;"",BA225&amp;""))</f>
        <v>Co-founder and CEO</v>
      </c>
      <c r="F225" s="0" t="str">
        <f aca="false">IF($A225="","",IF(AT225="Y",BO225&amp;"",BB225&amp;""))</f>
        <v/>
      </c>
      <c r="G225" s="0" t="str">
        <f aca="false">IF($A225="","",IF(AT225="Y",BP225&amp;"",BC225&amp;""))</f>
        <v/>
      </c>
      <c r="H225" s="0" t="str">
        <f aca="false">IF($A225="","",IF(AT225="Y",BQ225&amp;"",BD225&amp;""))</f>
        <v>none</v>
      </c>
      <c r="I225" s="0" t="str">
        <f aca="false">IF($A225="","",IF(R225="Y","warm-intro",IF(H225="verified","email",IF(C225&lt;&gt;"","linkedin",CA225&amp;""))))</f>
        <v>linkedin</v>
      </c>
      <c r="J225" s="0" t="n">
        <f aca="false">IF($A225="","",IF(CK225="pass",ROUND(N(DO225)+N(DP225)+N(DQ225)+N(DR225)+N(DS225)+N(DT225)+N(DU225)+N(DV225),0),0))</f>
        <v>0</v>
      </c>
      <c r="K225" s="0" t="str">
        <f aca="false">IF($A225="","",IF(CK225&lt;&gt;"pass",BY225&amp;"",BY225&amp;", "&amp;IF(AT225="Y",BX225&amp;"",BK225&amp;"")&amp;BZ225&amp;IF(R225="Y","; known to the founder (+10)","")&amp;"."))</f>
        <v>Gated out: excluded-category: Cocktail mixer and garnish in a multi-serve jar: needs preparation, not individually packaged, and tied to alcohol use.</v>
      </c>
      <c r="M225" s="0" t="s">
        <v>6144</v>
      </c>
      <c r="N225" s="0" t="s">
        <v>740</v>
      </c>
      <c r="O225" s="0" t="s">
        <v>10634</v>
      </c>
      <c r="P225" s="0" t="s">
        <v>10635</v>
      </c>
      <c r="Q225" s="0" t="s">
        <v>8087</v>
      </c>
      <c r="R225" s="5" t="s">
        <v>189</v>
      </c>
      <c r="S225" s="0" t="s">
        <v>164</v>
      </c>
      <c r="T225" s="5" t="s">
        <v>189</v>
      </c>
      <c r="U225" s="5" t="s">
        <v>3896</v>
      </c>
      <c r="V225" s="0" t="s">
        <v>10635</v>
      </c>
      <c r="W225" s="0" t="s">
        <v>263</v>
      </c>
      <c r="X225" s="0" t="s">
        <v>5578</v>
      </c>
      <c r="Y225" s="0" t="str">
        <f aca="false">IF(FA225&lt;&gt;"Y","",COUNTIFS($FA$2:$FA$1000,"Y",$J$2:$J$1000,"&gt;"&amp;J225)+COUNTIFS($FA$2:$FA$1000,"Y",$J$2:$J$1000,J225,$FG$2:$FG$1000,"&lt;"&amp;FG225)+1)</f>
        <v/>
      </c>
      <c r="AA225" s="0" t="s">
        <v>189</v>
      </c>
      <c r="AB225" s="0" t="str">
        <f aca="false">IF($A225="","",IF(AT225="Y",BW225&amp;"",BJ225&amp;""))</f>
        <v/>
      </c>
      <c r="AC225" s="0" t="str">
        <f aca="false">IF($A225="","",IF(AT225="Y",BR225&amp;"",BE225&amp;""))</f>
        <v>founder</v>
      </c>
      <c r="AD225" s="0" t="str">
        <f aca="false">IF($A225="","",IF(AT225="Y",BS225&amp;"",BF225&amp;""))</f>
        <v>verified-page</v>
      </c>
      <c r="AE225" s="0" t="str">
        <f aca="false">IF($A225="","",IF(AT225="Y",BT225&amp;"",BG225&amp;""))</f>
        <v>press, event or podcast page</v>
      </c>
      <c r="AF225" s="0" t="str">
        <f aca="false">IF($A225="","",IF(AT225="Y",BU225&amp;"",BH225&amp;""))</f>
        <v>https://startupcpg.com/startup-cpg-newswire-quincy-launches-in-178-doors-with-the-fresh-market/</v>
      </c>
      <c r="AG225" s="0" t="str">
        <f aca="false">IF($A225="","",IF(AT225="Y",BV225&amp;"",BI225&amp;""))</f>
        <v>2026-10-23</v>
      </c>
      <c r="AH225" s="0" t="s">
        <v>10636</v>
      </c>
      <c r="AI225" s="0" t="s">
        <v>6699</v>
      </c>
      <c r="AJ225" s="0" t="s">
        <v>10521</v>
      </c>
      <c r="AL225" s="0" t="s">
        <v>164</v>
      </c>
      <c r="AM225" s="0" t="s">
        <v>10637</v>
      </c>
      <c r="AN225" s="0" t="s">
        <v>10632</v>
      </c>
      <c r="AO225" s="5" t="s">
        <v>189</v>
      </c>
      <c r="AR225" s="0" t="str">
        <f aca="false">IF($A225="","",IF(AND(CK225="pass",AO225&lt;&gt;"Y",C225&lt;&gt;"",OR(AU225&lt;&gt;"Y",AV225="Y")),"Y","N"))</f>
        <v>N</v>
      </c>
      <c r="AS225" s="0" t="str">
        <f aca="false">IF($A225="","",_xlfn.TEXTJOIN("; ",TRUE(),IF(CK225&lt;&gt;"pass","gated out",""),IF(AO225="Y","on hold: "&amp;AP225,""),IF(C225="","no contact named on an opened page",""),IF(AND(AU225="Y",AV225&lt;&gt;"Y"),"founder review pending (Founder review tab)","")))</f>
        <v>gated out; founder review pending (Founder review tab)</v>
      </c>
      <c r="AU225" s="0" t="s">
        <v>164</v>
      </c>
      <c r="AY225" s="0" t="s">
        <v>10638</v>
      </c>
      <c r="AZ225" s="0" t="s">
        <v>10639</v>
      </c>
      <c r="BA225" s="0" t="s">
        <v>5830</v>
      </c>
      <c r="BC225" s="0" t="str">
        <f aca="false">IF($A225="","",IFERROR(INDEX(Enrichment!$A$2:$GZ$2000,MATCH($A225,INDEX(Enrichment!$A$2:$GZ$2000,0,MATCH("row_id",Enrichment!$A$1:$GZ$1,0)),0),MATCH("work_email",Enrichment!$A$1:$GZ$1,0))&amp;"",""))</f>
        <v/>
      </c>
      <c r="BD225" s="0" t="str">
        <f aca="false">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none</v>
      </c>
      <c r="BE225" s="0" t="s">
        <v>5589</v>
      </c>
      <c r="BF225" s="0" t="s">
        <v>169</v>
      </c>
      <c r="BG225" s="0" t="s">
        <v>1252</v>
      </c>
      <c r="BH225" s="0" t="s">
        <v>10635</v>
      </c>
      <c r="BI225" s="0" t="s">
        <v>263</v>
      </c>
      <c r="BK225" s="0" t="s">
        <v>5643</v>
      </c>
      <c r="BP225" s="0" t="str">
        <f aca="false">IF($A225="","",IFERROR(INDEX(Enrichment!$A$2:$GZ$2000,MATCH($A225,INDEX(Enrichment!$A$2:$GZ$2000,0,MATCH("row_id",Enrichment!$A$1:$GZ$1,0)),0),MATCH("backup_work_email",Enrichment!$A$1:$GZ$1,0))&amp;"",""))</f>
        <v/>
      </c>
      <c r="BQ225" s="0" t="str">
        <f aca="false">IF($A225="","",IF(BP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none</v>
      </c>
      <c r="BS225" s="0" t="s">
        <v>380</v>
      </c>
      <c r="BX225" s="0" t="s">
        <v>388</v>
      </c>
      <c r="BY225" s="0" t="s">
        <v>10640</v>
      </c>
      <c r="CB225" s="0" t="s">
        <v>10641</v>
      </c>
      <c r="CJ225" s="0" t="s">
        <v>7088</v>
      </c>
      <c r="CK225" s="0" t="s">
        <v>4627</v>
      </c>
      <c r="CL225" s="0" t="s">
        <v>10642</v>
      </c>
      <c r="CM225" s="0" t="s">
        <v>10643</v>
      </c>
      <c r="CN225" s="0" t="s">
        <v>5808</v>
      </c>
      <c r="CO225" s="0" t="s">
        <v>10644</v>
      </c>
      <c r="CP225" s="0" t="s">
        <v>5608</v>
      </c>
      <c r="CQ225" s="0" t="s">
        <v>5609</v>
      </c>
      <c r="CR225" s="0" t="s">
        <v>209</v>
      </c>
      <c r="CT225" s="0" t="s">
        <v>209</v>
      </c>
      <c r="CU225" s="0" t="s">
        <v>10645</v>
      </c>
      <c r="CV225" s="0" t="s">
        <v>189</v>
      </c>
      <c r="CW225" s="0" t="s">
        <v>209</v>
      </c>
      <c r="CX225" s="0" t="s">
        <v>209</v>
      </c>
      <c r="CZ225" s="0" t="s">
        <v>209</v>
      </c>
      <c r="DA225" s="0" t="s">
        <v>189</v>
      </c>
      <c r="DB225" s="0" t="s">
        <v>164</v>
      </c>
      <c r="DC225" s="0" t="s">
        <v>10646</v>
      </c>
      <c r="DE225" s="0" t="s">
        <v>189</v>
      </c>
      <c r="DF225" s="0" t="n">
        <v>0</v>
      </c>
      <c r="DI225" s="0" t="s">
        <v>10647</v>
      </c>
      <c r="DK225" s="0" t="s">
        <v>5617</v>
      </c>
      <c r="DL225" s="0" t="n">
        <v>87</v>
      </c>
      <c r="DM225" s="0" t="s">
        <v>10635</v>
      </c>
      <c r="DN225" s="0" t="n">
        <v>44</v>
      </c>
      <c r="DO225" s="0" t="n">
        <v>0</v>
      </c>
      <c r="DP225" s="0" t="n">
        <v>20</v>
      </c>
      <c r="DQ225" s="0" t="n">
        <v>15</v>
      </c>
      <c r="DR225" s="0" t="n">
        <v>5</v>
      </c>
      <c r="DS225" s="0" t="n">
        <v>2</v>
      </c>
      <c r="DT225" s="0" t="n">
        <v>6</v>
      </c>
      <c r="DU225" s="0" t="n">
        <f aca="false">IF($A225="","",IF(R225="Y",10,0))</f>
        <v>0</v>
      </c>
      <c r="DV225" s="0" t="n">
        <v>-4</v>
      </c>
      <c r="DX225" s="0" t="s">
        <v>5619</v>
      </c>
      <c r="DY225" s="0" t="s">
        <v>10648</v>
      </c>
      <c r="DZ225" s="0" t="s">
        <v>10649</v>
      </c>
      <c r="EV225" s="0" t="str">
        <f aca="false">IF($A225="","",IF(ISNUMBER(MATCH(U225,{"queued","contacted","replied","call_booked","call_done","yes_in_principle","materials_sent"},0)),"Y","N"))</f>
        <v>N</v>
      </c>
      <c r="EW225" s="0" t="str">
        <f aca="false">IF($A225="","",IF(OR(T225="Y",U225="do_not_contact",AQ225&amp;""&lt;&gt;""),"Y","N"))</f>
        <v>N</v>
      </c>
      <c r="EX225" s="0" t="str">
        <f aca="false">IF($A225="","",IF(AN225&amp;""&lt;&gt;"",AN225&amp;"",$A225))</f>
        <v>AB-221</v>
      </c>
      <c r="EY225" s="0" t="str">
        <f aca="false">IF($A225="","",IF(COUNTIFS($EX$2:$EX$1000,EX225,$EV$2:$EV$1000,"Y")+COUNTIFS($EX$2:$EX$1000,EX225,$EW$2:$EW$1000,"Y")&gt;0,"Y","N"))</f>
        <v>N</v>
      </c>
      <c r="EZ225" s="0" t="str">
        <f aca="false">IF($A225="","",IF(AND(U225="new",T225="N",EW225="N",AR225="Y",EY225="N"),"Y","N"))</f>
        <v>N</v>
      </c>
      <c r="FA225" s="0" t="str">
        <f aca="false">IF($A225="","",IF(EZ225&lt;&gt;"Y","N",IF(COUNTIFS($EX$2:$EX$1000,EX225,$EZ$2:$EZ$1000,"Y",$J$2:$J$1000,"&gt;"&amp;J225)+COUNTIFS($EX$2:$EX$1000,EX225,$EZ$2:$EZ$1000,"Y",$J$2:$J$1000,J225,$FG$2:$FG$1000,"&lt;"&amp;FG225)=0,"Y","N")))</f>
        <v>N</v>
      </c>
      <c r="FB225" s="0" t="str">
        <f aca="false">IF($A225="","",IF(AND(EZ225="Y",FA225="Y",Y225&amp;""&lt;&gt;""),IF(Y225&lt;=10,"Y","N"),"N"))</f>
        <v>N</v>
      </c>
      <c r="FC225" s="0" t="str">
        <f aca="false">IF(FB225="Y",Y225,"")</f>
        <v/>
      </c>
      <c r="FD225" s="0" t="str">
        <f aca="false">IF($A225="","",IF(AND(CK225="pass",AU225="Y",AV225&lt;&gt;"Y",U225="new",EW225="N"),"Y","N"))</f>
        <v>N</v>
      </c>
      <c r="FE225" s="0" t="str">
        <f aca="false">IF(FD225&lt;&gt;"Y","",IF(COUNTIFS($FD$2:$FD$1000,"Y",$J$2:$J$1000,"&gt;"&amp;J225)+COUNTIFS($FD$2:$FD$1000,"Y",$J$2:$J$1000,J225,$FG$2:$FG$1000,"&lt;"&amp;FG225)+1&lt;=30,COUNTIFS($FD$2:$FD$1000,"Y",$J$2:$J$1000,"&gt;"&amp;J225)+COUNTIFS($FD$2:$FD$1000,"Y",$J$2:$J$1000,J225,$FG$2:$FG$1000,"&lt;"&amp;FG225)+1,""))</f>
        <v/>
      </c>
      <c r="FF225" s="0" t="str">
        <f aca="false">IF(AND(_xlfn.ISFORMULA(C225),_xlfn.ISFORMULA(J225)),"Y","N")</f>
        <v>Y</v>
      </c>
      <c r="FG225" s="0" t="n">
        <f aca="false">ROW()-1</f>
        <v>224</v>
      </c>
    </row>
    <row r="226" customFormat="false" ht="15" hidden="false" customHeight="false" outlineLevel="0" collapsed="false">
      <c r="A226" s="0" t="s">
        <v>10650</v>
      </c>
      <c r="B226" s="0" t="s">
        <v>10651</v>
      </c>
      <c r="C226" s="0" t="str">
        <f aca="false">IF($A226="","",IF(AT226="Y",BL226&amp;"",AY226&amp;""))</f>
        <v>Lori</v>
      </c>
      <c r="D226" s="0" t="str">
        <f aca="false">IF($A226="","",IF(AT226="Y",BM226&amp;"",AZ226&amp;""))</f>
        <v>Levine</v>
      </c>
      <c r="E226" s="0" t="str">
        <f aca="false">IF($A226="","",IF(AT226="Y",BN226&amp;"",BA226&amp;""))</f>
        <v>CEO and Co-founder</v>
      </c>
      <c r="F226" s="0" t="str">
        <f aca="false">IF($A226="","",IF(AT226="Y",BO226&amp;"",BB226&amp;""))</f>
        <v/>
      </c>
      <c r="G226" s="0" t="str">
        <f aca="false">IF($A226="","",IF(AT226="Y",BP226&amp;"",BC226&amp;""))</f>
        <v/>
      </c>
      <c r="H226" s="0" t="str">
        <f aca="false">IF($A226="","",IF(AT226="Y",BQ226&amp;"",BD226&amp;""))</f>
        <v>none</v>
      </c>
      <c r="I226" s="0" t="str">
        <f aca="false">IF($A226="","",IF(R226="Y","warm-intro",IF(H226="verified","email",IF(C226&lt;&gt;"","linkedin",CA226&amp;""))))</f>
        <v>linkedin</v>
      </c>
      <c r="J226" s="0" t="n">
        <f aca="false">IF($A226="","",IF(CK226="pass",ROUND(N(DO226)+N(DP226)+N(DQ226)+N(DR226)+N(DS226)+N(DT226)+N(DU226)+N(DV226),0),0))</f>
        <v>0</v>
      </c>
      <c r="K226" s="0" t="str">
        <f aca="false">IF($A226="","",IF(CK226&lt;&gt;"pass",BY226&amp;"",BY226&amp;", "&amp;IF(AT226="Y",BX226&amp;"",BK226&amp;"")&amp;BZ226&amp;IF(R226="Y","; known to the founder (+10)","")&amp;"."))</f>
        <v>Gated out: not-shelf-stable: Refrigerated.</v>
      </c>
      <c r="M226" s="0" t="s">
        <v>6144</v>
      </c>
      <c r="N226" s="0" t="s">
        <v>740</v>
      </c>
      <c r="O226" s="0" t="s">
        <v>10652</v>
      </c>
      <c r="P226" s="0" t="s">
        <v>10653</v>
      </c>
      <c r="Q226" s="0" t="s">
        <v>2709</v>
      </c>
      <c r="R226" s="5" t="s">
        <v>189</v>
      </c>
      <c r="S226" s="0" t="s">
        <v>164</v>
      </c>
      <c r="T226" s="5" t="s">
        <v>189</v>
      </c>
      <c r="U226" s="5" t="s">
        <v>3896</v>
      </c>
      <c r="V226" s="0" t="s">
        <v>10653</v>
      </c>
      <c r="W226" s="0" t="s">
        <v>263</v>
      </c>
      <c r="X226" s="0" t="s">
        <v>5578</v>
      </c>
      <c r="Y226" s="0" t="str">
        <f aca="false">IF(FA226&lt;&gt;"Y","",COUNTIFS($FA$2:$FA$1000,"Y",$J$2:$J$1000,"&gt;"&amp;J226)+COUNTIFS($FA$2:$FA$1000,"Y",$J$2:$J$1000,J226,$FG$2:$FG$1000,"&lt;"&amp;FG226)+1)</f>
        <v/>
      </c>
      <c r="AA226" s="0" t="s">
        <v>189</v>
      </c>
      <c r="AB226" s="0" t="str">
        <f aca="false">IF($A226="","",IF(AT226="Y",BW226&amp;"",BJ226&amp;""))</f>
        <v/>
      </c>
      <c r="AC226" s="0" t="str">
        <f aca="false">IF($A226="","",IF(AT226="Y",BR226&amp;"",BE226&amp;""))</f>
        <v>founder</v>
      </c>
      <c r="AD226" s="0" t="str">
        <f aca="false">IF($A226="","",IF(AT226="Y",BS226&amp;"",BF226&amp;""))</f>
        <v>verified-page</v>
      </c>
      <c r="AE226" s="0" t="str">
        <f aca="false">IF($A226="","",IF(AT226="Y",BT226&amp;"",BG226&amp;""))</f>
        <v>press, event or podcast page</v>
      </c>
      <c r="AF226" s="0" t="str">
        <f aca="false">IF($A226="","",IF(AT226="Y",BU226&amp;"",BH226&amp;""))</f>
        <v>https://startupcpg.com/startup-cpg-newswire-scotts-protein-balls-expands-from-86-to-350-target-stores-nationwide-in-four-months/</v>
      </c>
      <c r="AG226" s="0" t="str">
        <f aca="false">IF($A226="","",IF(AT226="Y",BV226&amp;"",BI226&amp;""))</f>
        <v>2026-10-23</v>
      </c>
      <c r="AH226" s="0" t="s">
        <v>10654</v>
      </c>
      <c r="AI226" s="0" t="s">
        <v>6042</v>
      </c>
      <c r="AJ226" s="0" t="s">
        <v>10655</v>
      </c>
      <c r="AL226" s="0" t="s">
        <v>164</v>
      </c>
      <c r="AM226" s="0" t="s">
        <v>5760</v>
      </c>
      <c r="AN226" s="0" t="s">
        <v>10650</v>
      </c>
      <c r="AO226" s="5" t="s">
        <v>189</v>
      </c>
      <c r="AR226" s="0" t="str">
        <f aca="false">IF($A226="","",IF(AND(CK226="pass",AO226&lt;&gt;"Y",C226&lt;&gt;"",OR(AU226&lt;&gt;"Y",AV226="Y")),"Y","N"))</f>
        <v>N</v>
      </c>
      <c r="AS226" s="0" t="str">
        <f aca="false">IF($A226="","",_xlfn.TEXTJOIN("; ",TRUE(),IF(CK226&lt;&gt;"pass","gated out",""),IF(AO226="Y","on hold: "&amp;AP226,""),IF(C226="","no contact named on an opened page",""),IF(AND(AU226="Y",AV226&lt;&gt;"Y"),"founder review pending (Founder review tab)","")))</f>
        <v>gated out</v>
      </c>
      <c r="AU226" s="0" t="s">
        <v>189</v>
      </c>
      <c r="AY226" s="0" t="s">
        <v>10656</v>
      </c>
      <c r="AZ226" s="0" t="s">
        <v>1128</v>
      </c>
      <c r="BA226" s="0" t="s">
        <v>6671</v>
      </c>
      <c r="BC226" s="0" t="str">
        <f aca="false">IF($A226="","",IFERROR(INDEX(Enrichment!$A$2:$GZ$2000,MATCH($A226,INDEX(Enrichment!$A$2:$GZ$2000,0,MATCH("row_id",Enrichment!$A$1:$GZ$1,0)),0),MATCH("work_email",Enrichment!$A$1:$GZ$1,0))&amp;"",""))</f>
        <v/>
      </c>
      <c r="BD226" s="0" t="str">
        <f aca="false">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none</v>
      </c>
      <c r="BE226" s="0" t="s">
        <v>5589</v>
      </c>
      <c r="BF226" s="0" t="s">
        <v>169</v>
      </c>
      <c r="BG226" s="0" t="s">
        <v>1252</v>
      </c>
      <c r="BH226" s="0" t="s">
        <v>10653</v>
      </c>
      <c r="BI226" s="0" t="s">
        <v>263</v>
      </c>
      <c r="BK226" s="0" t="s">
        <v>5643</v>
      </c>
      <c r="BP226" s="0" t="str">
        <f aca="false">IF($A226="","",IFERROR(INDEX(Enrichment!$A$2:$GZ$2000,MATCH($A226,INDEX(Enrichment!$A$2:$GZ$2000,0,MATCH("row_id",Enrichment!$A$1:$GZ$1,0)),0),MATCH("backup_work_email",Enrichment!$A$1:$GZ$1,0))&amp;"",""))</f>
        <v/>
      </c>
      <c r="BQ226" s="0" t="str">
        <f aca="false">IF($A226="","",IF(BP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none</v>
      </c>
      <c r="BS226" s="0" t="s">
        <v>380</v>
      </c>
      <c r="BX226" s="0" t="s">
        <v>388</v>
      </c>
      <c r="BY226" s="0" t="s">
        <v>10657</v>
      </c>
      <c r="CB226" s="0" t="s">
        <v>10658</v>
      </c>
      <c r="CJ226" s="0" t="s">
        <v>7088</v>
      </c>
      <c r="CK226" s="0" t="s">
        <v>4627</v>
      </c>
      <c r="CL226" s="0" t="s">
        <v>10659</v>
      </c>
      <c r="CM226" s="0" t="s">
        <v>10660</v>
      </c>
      <c r="CN226" s="0" t="s">
        <v>7925</v>
      </c>
      <c r="CO226" s="0" t="s">
        <v>10661</v>
      </c>
      <c r="CP226" s="0" t="s">
        <v>5608</v>
      </c>
      <c r="CQ226" s="0" t="s">
        <v>5870</v>
      </c>
      <c r="CR226" s="0" t="s">
        <v>209</v>
      </c>
      <c r="CT226" s="0" t="s">
        <v>189</v>
      </c>
      <c r="CU226" s="0" t="s">
        <v>10662</v>
      </c>
      <c r="CV226" s="0" t="s">
        <v>209</v>
      </c>
      <c r="CW226" s="0" t="s">
        <v>209</v>
      </c>
      <c r="CX226" s="0" t="s">
        <v>209</v>
      </c>
      <c r="CZ226" s="0" t="s">
        <v>209</v>
      </c>
      <c r="DA226" s="0" t="s">
        <v>189</v>
      </c>
      <c r="DB226" s="0" t="s">
        <v>164</v>
      </c>
      <c r="DC226" s="0" t="s">
        <v>10663</v>
      </c>
      <c r="DE226" s="0" t="s">
        <v>189</v>
      </c>
      <c r="DF226" s="0" t="n">
        <v>0</v>
      </c>
      <c r="DI226" s="0" t="s">
        <v>10664</v>
      </c>
      <c r="DK226" s="0" t="s">
        <v>5617</v>
      </c>
      <c r="DL226" s="0" t="n">
        <v>106</v>
      </c>
      <c r="DM226" s="0" t="s">
        <v>10653</v>
      </c>
      <c r="DN226" s="0" t="n">
        <v>37</v>
      </c>
      <c r="DO226" s="0" t="n">
        <v>0</v>
      </c>
      <c r="DP226" s="0" t="n">
        <v>13</v>
      </c>
      <c r="DQ226" s="0" t="n">
        <v>15</v>
      </c>
      <c r="DR226" s="0" t="n">
        <v>5</v>
      </c>
      <c r="DS226" s="0" t="n">
        <v>2</v>
      </c>
      <c r="DT226" s="0" t="n">
        <v>6</v>
      </c>
      <c r="DU226" s="0" t="n">
        <f aca="false">IF($A226="","",IF(R226="Y",10,0))</f>
        <v>0</v>
      </c>
      <c r="DV226" s="0" t="n">
        <v>-4</v>
      </c>
      <c r="DX226" s="0" t="s">
        <v>5619</v>
      </c>
      <c r="DY226" s="0" t="s">
        <v>10665</v>
      </c>
      <c r="DZ226" s="0" t="s">
        <v>10532</v>
      </c>
      <c r="EV226" s="0" t="str">
        <f aca="false">IF($A226="","",IF(ISNUMBER(MATCH(U226,{"queued","contacted","replied","call_booked","call_done","yes_in_principle","materials_sent"},0)),"Y","N"))</f>
        <v>N</v>
      </c>
      <c r="EW226" s="0" t="str">
        <f aca="false">IF($A226="","",IF(OR(T226="Y",U226="do_not_contact",AQ226&amp;""&lt;&gt;""),"Y","N"))</f>
        <v>N</v>
      </c>
      <c r="EX226" s="0" t="str">
        <f aca="false">IF($A226="","",IF(AN226&amp;""&lt;&gt;"",AN226&amp;"",$A226))</f>
        <v>AB-255</v>
      </c>
      <c r="EY226" s="0" t="str">
        <f aca="false">IF($A226="","",IF(COUNTIFS($EX$2:$EX$1000,EX226,$EV$2:$EV$1000,"Y")+COUNTIFS($EX$2:$EX$1000,EX226,$EW$2:$EW$1000,"Y")&gt;0,"Y","N"))</f>
        <v>N</v>
      </c>
      <c r="EZ226" s="0" t="str">
        <f aca="false">IF($A226="","",IF(AND(U226="new",T226="N",EW226="N",AR226="Y",EY226="N"),"Y","N"))</f>
        <v>N</v>
      </c>
      <c r="FA226" s="0" t="str">
        <f aca="false">IF($A226="","",IF(EZ226&lt;&gt;"Y","N",IF(COUNTIFS($EX$2:$EX$1000,EX226,$EZ$2:$EZ$1000,"Y",$J$2:$J$1000,"&gt;"&amp;J226)+COUNTIFS($EX$2:$EX$1000,EX226,$EZ$2:$EZ$1000,"Y",$J$2:$J$1000,J226,$FG$2:$FG$1000,"&lt;"&amp;FG226)=0,"Y","N")))</f>
        <v>N</v>
      </c>
      <c r="FB226" s="0" t="str">
        <f aca="false">IF($A226="","",IF(AND(EZ226="Y",FA226="Y",Y226&amp;""&lt;&gt;""),IF(Y226&lt;=10,"Y","N"),"N"))</f>
        <v>N</v>
      </c>
      <c r="FC226" s="0" t="str">
        <f aca="false">IF(FB226="Y",Y226,"")</f>
        <v/>
      </c>
      <c r="FD226" s="0" t="str">
        <f aca="false">IF($A226="","",IF(AND(CK226="pass",AU226="Y",AV226&lt;&gt;"Y",U226="new",EW226="N"),"Y","N"))</f>
        <v>N</v>
      </c>
      <c r="FE226" s="0" t="str">
        <f aca="false">IF(FD226&lt;&gt;"Y","",IF(COUNTIFS($FD$2:$FD$1000,"Y",$J$2:$J$1000,"&gt;"&amp;J226)+COUNTIFS($FD$2:$FD$1000,"Y",$J$2:$J$1000,J226,$FG$2:$FG$1000,"&lt;"&amp;FG226)+1&lt;=30,COUNTIFS($FD$2:$FD$1000,"Y",$J$2:$J$1000,"&gt;"&amp;J226)+COUNTIFS($FD$2:$FD$1000,"Y",$J$2:$J$1000,J226,$FG$2:$FG$1000,"&lt;"&amp;FG226)+1,""))</f>
        <v/>
      </c>
      <c r="FF226" s="0" t="str">
        <f aca="false">IF(AND(_xlfn.ISFORMULA(C226),_xlfn.ISFORMULA(J226)),"Y","N")</f>
        <v>Y</v>
      </c>
      <c r="FG226" s="0" t="n">
        <f aca="false">ROW()-1</f>
        <v>225</v>
      </c>
    </row>
    <row r="227" customFormat="false" ht="15" hidden="false" customHeight="false" outlineLevel="0" collapsed="false">
      <c r="A227" s="0" t="s">
        <v>10666</v>
      </c>
      <c r="B227" s="0" t="s">
        <v>10667</v>
      </c>
      <c r="C227" s="0" t="str">
        <f aca="false">IF($A227="","",IF(AT227="Y",BL227&amp;"",AY227&amp;""))</f>
        <v>Manny</v>
      </c>
      <c r="D227" s="0" t="str">
        <f aca="false">IF($A227="","",IF(AT227="Y",BM227&amp;"",AZ227&amp;""))</f>
        <v>Lubin</v>
      </c>
      <c r="E227" s="0" t="str">
        <f aca="false">IF($A227="","",IF(AT227="Y",BN227&amp;"",BA227&amp;""))</f>
        <v>Co-founder</v>
      </c>
      <c r="F227" s="0" t="str">
        <f aca="false">IF($A227="","",IF(AT227="Y",BO227&amp;"",BB227&amp;""))</f>
        <v/>
      </c>
      <c r="G227" s="0" t="str">
        <f aca="false">IF($A227="","",IF(AT227="Y",BP227&amp;"",BC227&amp;""))</f>
        <v/>
      </c>
      <c r="H227" s="0" t="str">
        <f aca="false">IF($A227="","",IF(AT227="Y",BQ227&amp;"",BD227&amp;""))</f>
        <v>none</v>
      </c>
      <c r="I227" s="0" t="str">
        <f aca="false">IF($A227="","",IF(R227="Y","warm-intro",IF(H227="verified","email",IF(C227&lt;&gt;"","linkedin",CA227&amp;""))))</f>
        <v>linkedin</v>
      </c>
      <c r="J227" s="0" t="n">
        <f aca="false">IF($A227="","",IF(CK227="pass",ROUND(N(DO227)+N(DP227)+N(DQ227)+N(DR227)+N(DS227)+N(DT227)+N(DU227)+N(DV227),0),0))</f>
        <v>0</v>
      </c>
      <c r="K227" s="0" t="str">
        <f aca="false">IF($A227="","",IF(CK227&lt;&gt;"pass",BY227&amp;"",BY227&amp;", "&amp;IF(AT227="Y",BX227&amp;"",BK227&amp;"")&amp;BZ227&amp;IF(R227="Y","; known to the founder (+10)","")&amp;"."))</f>
        <v>Gated out: health-claim: explicit health claim in the brand's own copy (opened 2026-10-24): 'Our products aid in muscle recovery, strength-building' (https://slatemilk.com.</v>
      </c>
      <c r="M227" s="0" t="s">
        <v>6144</v>
      </c>
      <c r="N227" s="0" t="s">
        <v>740</v>
      </c>
      <c r="O227" s="0" t="s">
        <v>10668</v>
      </c>
      <c r="P227" s="0" t="s">
        <v>10669</v>
      </c>
      <c r="Q227" s="0" t="s">
        <v>6529</v>
      </c>
      <c r="R227" s="5" t="s">
        <v>189</v>
      </c>
      <c r="S227" s="0" t="s">
        <v>209</v>
      </c>
      <c r="T227" s="5" t="s">
        <v>189</v>
      </c>
      <c r="U227" s="5" t="s">
        <v>3896</v>
      </c>
      <c r="V227" s="0" t="s">
        <v>10670</v>
      </c>
      <c r="W227" s="0" t="s">
        <v>263</v>
      </c>
      <c r="X227" s="0" t="s">
        <v>5578</v>
      </c>
      <c r="Y227" s="0" t="str">
        <f aca="false">IF(FA227&lt;&gt;"Y","",COUNTIFS($FA$2:$FA$1000,"Y",$J$2:$J$1000,"&gt;"&amp;J227)+COUNTIFS($FA$2:$FA$1000,"Y",$J$2:$J$1000,J227,$FG$2:$FG$1000,"&lt;"&amp;FG227)+1)</f>
        <v/>
      </c>
      <c r="AA227" s="0" t="s">
        <v>189</v>
      </c>
      <c r="AB227" s="0" t="str">
        <f aca="false">IF($A227="","",IF(AT227="Y",BW227&amp;"",BJ227&amp;""))</f>
        <v/>
      </c>
      <c r="AC227" s="0" t="str">
        <f aca="false">IF($A227="","",IF(AT227="Y",BR227&amp;"",BE227&amp;""))</f>
        <v>founder</v>
      </c>
      <c r="AD227" s="0" t="str">
        <f aca="false">IF($A227="","",IF(AT227="Y",BS227&amp;"",BF227&amp;""))</f>
        <v>verified-page</v>
      </c>
      <c r="AE227" s="0" t="str">
        <f aca="false">IF($A227="","",IF(AT227="Y",BT227&amp;"",BG227&amp;""))</f>
        <v>employer's own site</v>
      </c>
      <c r="AF227" s="0" t="str">
        <f aca="false">IF($A227="","",IF(AT227="Y",BU227&amp;"",BH227&amp;""))</f>
        <v>https://slatemilk.com/pages/our-story</v>
      </c>
      <c r="AG227" s="0" t="str">
        <f aca="false">IF($A227="","",IF(AT227="Y",BV227&amp;"",BI227&amp;""))</f>
        <v>2026-10-23</v>
      </c>
      <c r="AH227" s="0" t="s">
        <v>10671</v>
      </c>
      <c r="AI227" s="0" t="s">
        <v>6699</v>
      </c>
      <c r="AJ227" s="0" t="s">
        <v>10672</v>
      </c>
      <c r="AK227" s="0" t="s">
        <v>10673</v>
      </c>
      <c r="AL227" s="0" t="s">
        <v>164</v>
      </c>
      <c r="AM227" s="0" t="s">
        <v>10674</v>
      </c>
      <c r="AN227" s="0" t="s">
        <v>10666</v>
      </c>
      <c r="AO227" s="5" t="s">
        <v>189</v>
      </c>
      <c r="AR227" s="0" t="str">
        <f aca="false">IF($A227="","",IF(AND(CK227="pass",AO227&lt;&gt;"Y",C227&lt;&gt;"",OR(AU227&lt;&gt;"Y",AV227="Y")),"Y","N"))</f>
        <v>N</v>
      </c>
      <c r="AS227" s="0" t="str">
        <f aca="false">IF($A227="","",_xlfn.TEXTJOIN("; ",TRUE(),IF(CK227&lt;&gt;"pass","gated out",""),IF(AO227="Y","on hold: "&amp;AP227,""),IF(C227="","no contact named on an opened page",""),IF(AND(AU227="Y",AV227&lt;&gt;"Y"),"founder review pending (Founder review tab)","")))</f>
        <v>gated out; founder review pending (Founder review tab)</v>
      </c>
      <c r="AU227" s="0" t="s">
        <v>164</v>
      </c>
      <c r="AY227" s="0" t="s">
        <v>10675</v>
      </c>
      <c r="AZ227" s="0" t="s">
        <v>10676</v>
      </c>
      <c r="BA227" s="0" t="s">
        <v>5636</v>
      </c>
      <c r="BC227" s="0" t="str">
        <f aca="false">IF($A227="","",IFERROR(INDEX(Enrichment!$A$2:$GZ$2000,MATCH($A227,INDEX(Enrichment!$A$2:$GZ$2000,0,MATCH("row_id",Enrichment!$A$1:$GZ$1,0)),0),MATCH("work_email",Enrichment!$A$1:$GZ$1,0))&amp;"",""))</f>
        <v/>
      </c>
      <c r="BD227" s="0" t="str">
        <f aca="false">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none</v>
      </c>
      <c r="BE227" s="0" t="s">
        <v>5589</v>
      </c>
      <c r="BF227" s="0" t="s">
        <v>169</v>
      </c>
      <c r="BG227" s="0" t="s">
        <v>170</v>
      </c>
      <c r="BH227" s="0" t="s">
        <v>10670</v>
      </c>
      <c r="BI227" s="0" t="s">
        <v>263</v>
      </c>
      <c r="BK227" s="0" t="s">
        <v>5643</v>
      </c>
      <c r="BL227" s="0" t="s">
        <v>10677</v>
      </c>
      <c r="BM227" s="0" t="s">
        <v>10678</v>
      </c>
      <c r="BN227" s="0" t="s">
        <v>5636</v>
      </c>
      <c r="BP227" s="0" t="str">
        <f aca="false">IF($A227="","",IFERROR(INDEX(Enrichment!$A$2:$GZ$2000,MATCH($A227,INDEX(Enrichment!$A$2:$GZ$2000,0,MATCH("row_id",Enrichment!$A$1:$GZ$1,0)),0),MATCH("backup_work_email",Enrichment!$A$1:$GZ$1,0))&amp;"",""))</f>
        <v/>
      </c>
      <c r="BQ227" s="0" t="str">
        <f aca="false">IF($A227="","",IF(BP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none</v>
      </c>
      <c r="BR227" s="0" t="s">
        <v>7748</v>
      </c>
      <c r="BS227" s="0" t="s">
        <v>169</v>
      </c>
      <c r="BT227" s="0" t="s">
        <v>170</v>
      </c>
      <c r="BU227" s="0" t="s">
        <v>10670</v>
      </c>
      <c r="BV227" s="0" t="s">
        <v>263</v>
      </c>
      <c r="BX227" s="0" t="s">
        <v>5643</v>
      </c>
      <c r="BY227" s="0" t="s">
        <v>10679</v>
      </c>
      <c r="CB227" s="0" t="s">
        <v>10680</v>
      </c>
      <c r="CF227" s="0" t="s">
        <v>10681</v>
      </c>
      <c r="CJ227" s="0" t="s">
        <v>7088</v>
      </c>
      <c r="CK227" s="0" t="s">
        <v>4627</v>
      </c>
      <c r="CL227" s="0" t="s">
        <v>10005</v>
      </c>
      <c r="CM227" s="0" t="s">
        <v>10682</v>
      </c>
      <c r="CN227" s="0" t="s">
        <v>6108</v>
      </c>
      <c r="CO227" s="0" t="s">
        <v>10673</v>
      </c>
      <c r="CP227" s="0" t="s">
        <v>6083</v>
      </c>
      <c r="CQ227" s="0" t="s">
        <v>6084</v>
      </c>
      <c r="CR227" s="0" t="s">
        <v>10683</v>
      </c>
      <c r="CT227" s="0" t="s">
        <v>164</v>
      </c>
      <c r="CU227" s="0" t="s">
        <v>10684</v>
      </c>
      <c r="CV227" s="0" t="s">
        <v>164</v>
      </c>
      <c r="CW227" s="0" t="s">
        <v>164</v>
      </c>
      <c r="CX227" s="0" t="s">
        <v>209</v>
      </c>
      <c r="CZ227" s="0" t="s">
        <v>6456</v>
      </c>
      <c r="DA227" s="0" t="s">
        <v>189</v>
      </c>
      <c r="DB227" s="0" t="s">
        <v>164</v>
      </c>
      <c r="DC227" s="0" t="s">
        <v>10685</v>
      </c>
      <c r="DE227" s="0" t="s">
        <v>189</v>
      </c>
      <c r="DF227" s="0" t="n">
        <v>0</v>
      </c>
      <c r="DI227" s="0" t="s">
        <v>10686</v>
      </c>
      <c r="DK227" s="0" t="s">
        <v>5617</v>
      </c>
      <c r="DL227" s="0" t="n">
        <v>66</v>
      </c>
      <c r="DN227" s="0" t="n">
        <v>38</v>
      </c>
      <c r="DO227" s="0" t="n">
        <v>6</v>
      </c>
      <c r="DP227" s="0" t="n">
        <v>8</v>
      </c>
      <c r="DQ227" s="0" t="n">
        <v>15</v>
      </c>
      <c r="DR227" s="0" t="n">
        <v>5</v>
      </c>
      <c r="DS227" s="0" t="n">
        <v>10</v>
      </c>
      <c r="DT227" s="0" t="n">
        <v>6</v>
      </c>
      <c r="DU227" s="0" t="n">
        <f aca="false">IF($A227="","",IF(R227="Y",10,0))</f>
        <v>0</v>
      </c>
      <c r="DV227" s="0" t="n">
        <v>-12</v>
      </c>
      <c r="DW227" s="0" t="s">
        <v>10687</v>
      </c>
      <c r="DX227" s="0" t="s">
        <v>6462</v>
      </c>
      <c r="DY227" s="0" t="s">
        <v>10688</v>
      </c>
      <c r="DZ227" s="0" t="s">
        <v>10689</v>
      </c>
      <c r="EA227" s="0" t="s">
        <v>10690</v>
      </c>
      <c r="EV227" s="0" t="str">
        <f aca="false">IF($A227="","",IF(ISNUMBER(MATCH(U227,{"queued","contacted","replied","call_booked","call_done","yes_in_principle","materials_sent"},0)),"Y","N"))</f>
        <v>N</v>
      </c>
      <c r="EW227" s="0" t="str">
        <f aca="false">IF($A227="","",IF(OR(T227="Y",U227="do_not_contact",AQ227&amp;""&lt;&gt;""),"Y","N"))</f>
        <v>N</v>
      </c>
      <c r="EX227" s="0" t="str">
        <f aca="false">IF($A227="","",IF(AN227&amp;""&lt;&gt;"",AN227&amp;"",$A227))</f>
        <v>AB-156</v>
      </c>
      <c r="EY227" s="0" t="str">
        <f aca="false">IF($A227="","",IF(COUNTIFS($EX$2:$EX$1000,EX227,$EV$2:$EV$1000,"Y")+COUNTIFS($EX$2:$EX$1000,EX227,$EW$2:$EW$1000,"Y")&gt;0,"Y","N"))</f>
        <v>N</v>
      </c>
      <c r="EZ227" s="0" t="str">
        <f aca="false">IF($A227="","",IF(AND(U227="new",T227="N",EW227="N",AR227="Y",EY227="N"),"Y","N"))</f>
        <v>N</v>
      </c>
      <c r="FA227" s="0" t="str">
        <f aca="false">IF($A227="","",IF(EZ227&lt;&gt;"Y","N",IF(COUNTIFS($EX$2:$EX$1000,EX227,$EZ$2:$EZ$1000,"Y",$J$2:$J$1000,"&gt;"&amp;J227)+COUNTIFS($EX$2:$EX$1000,EX227,$EZ$2:$EZ$1000,"Y",$J$2:$J$1000,J227,$FG$2:$FG$1000,"&lt;"&amp;FG227)=0,"Y","N")))</f>
        <v>N</v>
      </c>
      <c r="FB227" s="0" t="str">
        <f aca="false">IF($A227="","",IF(AND(EZ227="Y",FA227="Y",Y227&amp;""&lt;&gt;""),IF(Y227&lt;=10,"Y","N"),"N"))</f>
        <v>N</v>
      </c>
      <c r="FC227" s="0" t="str">
        <f aca="false">IF(FB227="Y",Y227,"")</f>
        <v/>
      </c>
      <c r="FD227" s="0" t="str">
        <f aca="false">IF($A227="","",IF(AND(CK227="pass",AU227="Y",AV227&lt;&gt;"Y",U227="new",EW227="N"),"Y","N"))</f>
        <v>N</v>
      </c>
      <c r="FE227" s="0" t="str">
        <f aca="false">IF(FD227&lt;&gt;"Y","",IF(COUNTIFS($FD$2:$FD$1000,"Y",$J$2:$J$1000,"&gt;"&amp;J227)+COUNTIFS($FD$2:$FD$1000,"Y",$J$2:$J$1000,J227,$FG$2:$FG$1000,"&lt;"&amp;FG227)+1&lt;=30,COUNTIFS($FD$2:$FD$1000,"Y",$J$2:$J$1000,"&gt;"&amp;J227)+COUNTIFS($FD$2:$FD$1000,"Y",$J$2:$J$1000,J227,$FG$2:$FG$1000,"&lt;"&amp;FG227)+1,""))</f>
        <v/>
      </c>
      <c r="FF227" s="0" t="str">
        <f aca="false">IF(AND(_xlfn.ISFORMULA(C227),_xlfn.ISFORMULA(J227)),"Y","N")</f>
        <v>Y</v>
      </c>
      <c r="FG227" s="0" t="n">
        <f aca="false">ROW()-1</f>
        <v>226</v>
      </c>
    </row>
    <row r="228" customFormat="false" ht="15" hidden="false" customHeight="false" outlineLevel="0" collapsed="false">
      <c r="A228" s="0" t="s">
        <v>10691</v>
      </c>
      <c r="B228" s="0" t="s">
        <v>10692</v>
      </c>
      <c r="C228" s="0" t="str">
        <f aca="false">IF($A228="","",IF(AT228="Y",BL228&amp;"",AY228&amp;""))</f>
        <v>Cori</v>
      </c>
      <c r="D228" s="0" t="str">
        <f aca="false">IF($A228="","",IF(AT228="Y",BM228&amp;"",AZ228&amp;""))</f>
        <v>Deans</v>
      </c>
      <c r="E228" s="0" t="str">
        <f aca="false">IF($A228="","",IF(AT228="Y",BN228&amp;"",BA228&amp;""))</f>
        <v>Founder</v>
      </c>
      <c r="F228" s="0" t="str">
        <f aca="false">IF($A228="","",IF(AT228="Y",BO228&amp;"",BB228&amp;""))</f>
        <v/>
      </c>
      <c r="G228" s="0" t="str">
        <f aca="false">IF($A228="","",IF(AT228="Y",BP228&amp;"",BC228&amp;""))</f>
        <v/>
      </c>
      <c r="H228" s="0" t="str">
        <f aca="false">IF($A228="","",IF(AT228="Y",BQ228&amp;"",BD228&amp;""))</f>
        <v>none</v>
      </c>
      <c r="I228" s="0" t="str">
        <f aca="false">IF($A228="","",IF(R228="Y","warm-intro",IF(H228="verified","email",IF(C228&lt;&gt;"","linkedin",CA228&amp;""))))</f>
        <v>linkedin</v>
      </c>
      <c r="J228" s="0" t="n">
        <f aca="false">IF($A228="","",IF(CK228="pass",ROUND(N(DO228)+N(DP228)+N(DQ228)+N(DR228)+N(DS228)+N(DT228)+N(DU228)+N(DV228),0),0))</f>
        <v>0</v>
      </c>
      <c r="K228" s="0" t="str">
        <f aca="false">IF($A228="","",IF(CK228&lt;&gt;"pass",BY228&amp;"",BY228&amp;", "&amp;IF(AT228="Y",BX228&amp;"",BK228&amp;"")&amp;BZ228&amp;IF(R228="Y","; known to the founder (+10)","")&amp;"."))</f>
        <v>Gated out: health-claim: Fresh fermented product (refrigerated) and gut-health positioning ('support gut health').</v>
      </c>
      <c r="M228" s="0" t="s">
        <v>6144</v>
      </c>
      <c r="N228" s="0" t="s">
        <v>740</v>
      </c>
      <c r="O228" s="0" t="s">
        <v>10693</v>
      </c>
      <c r="P228" s="0" t="s">
        <v>10694</v>
      </c>
      <c r="Q228" s="0" t="s">
        <v>7025</v>
      </c>
      <c r="R228" s="5" t="s">
        <v>189</v>
      </c>
      <c r="S228" s="0" t="s">
        <v>164</v>
      </c>
      <c r="T228" s="5" t="s">
        <v>189</v>
      </c>
      <c r="U228" s="5" t="s">
        <v>3896</v>
      </c>
      <c r="V228" s="0" t="s">
        <v>10694</v>
      </c>
      <c r="W228" s="0" t="s">
        <v>263</v>
      </c>
      <c r="X228" s="0" t="s">
        <v>5578</v>
      </c>
      <c r="Y228" s="0" t="str">
        <f aca="false">IF(FA228&lt;&gt;"Y","",COUNTIFS($FA$2:$FA$1000,"Y",$J$2:$J$1000,"&gt;"&amp;J228)+COUNTIFS($FA$2:$FA$1000,"Y",$J$2:$J$1000,J228,$FG$2:$FG$1000,"&lt;"&amp;FG228)+1)</f>
        <v/>
      </c>
      <c r="AA228" s="0" t="s">
        <v>189</v>
      </c>
      <c r="AB228" s="0" t="str">
        <f aca="false">IF($A228="","",IF(AT228="Y",BW228&amp;"",BJ228&amp;""))</f>
        <v/>
      </c>
      <c r="AC228" s="0" t="str">
        <f aca="false">IF($A228="","",IF(AT228="Y",BR228&amp;"",BE228&amp;""))</f>
        <v>founder</v>
      </c>
      <c r="AD228" s="0" t="str">
        <f aca="false">IF($A228="","",IF(AT228="Y",BS228&amp;"",BF228&amp;""))</f>
        <v>verified-page</v>
      </c>
      <c r="AE228" s="0" t="str">
        <f aca="false">IF($A228="","",IF(AT228="Y",BT228&amp;"",BG228&amp;""))</f>
        <v>press, event or podcast page</v>
      </c>
      <c r="AF228" s="0" t="str">
        <f aca="false">IF($A228="","",IF(AT228="Y",BU228&amp;"",BH228&amp;""))</f>
        <v>https://startupcpg.com/startup-cpg-newswire-west-indies-peppa-sauce-wips-celebrates-caribbean-heritage-month-at-the-summer-fancy-food-show-and-essence-festival-of-culture/</v>
      </c>
      <c r="AG228" s="0" t="str">
        <f aca="false">IF($A228="","",IF(AT228="Y",BV228&amp;"",BI228&amp;""))</f>
        <v>2026-10-23</v>
      </c>
      <c r="AH228" s="0" t="s">
        <v>10695</v>
      </c>
      <c r="AI228" s="0" t="s">
        <v>6042</v>
      </c>
      <c r="AJ228" s="0" t="s">
        <v>10696</v>
      </c>
      <c r="AL228" s="0" t="s">
        <v>164</v>
      </c>
      <c r="AM228" s="0" t="s">
        <v>5760</v>
      </c>
      <c r="AN228" s="0" t="s">
        <v>10691</v>
      </c>
      <c r="AO228" s="5" t="s">
        <v>189</v>
      </c>
      <c r="AR228" s="0" t="str">
        <f aca="false">IF($A228="","",IF(AND(CK228="pass",AO228&lt;&gt;"Y",C228&lt;&gt;"",OR(AU228&lt;&gt;"Y",AV228="Y")),"Y","N"))</f>
        <v>N</v>
      </c>
      <c r="AS228" s="0" t="str">
        <f aca="false">IF($A228="","",_xlfn.TEXTJOIN("; ",TRUE(),IF(CK228&lt;&gt;"pass","gated out",""),IF(AO228="Y","on hold: "&amp;AP228,""),IF(C228="","no contact named on an opened page",""),IF(AND(AU228="Y",AV228&lt;&gt;"Y"),"founder review pending (Founder review tab)","")))</f>
        <v>gated out</v>
      </c>
      <c r="AU228" s="0" t="s">
        <v>189</v>
      </c>
      <c r="AY228" s="0" t="s">
        <v>10697</v>
      </c>
      <c r="AZ228" s="0" t="s">
        <v>10698</v>
      </c>
      <c r="BA228" s="0" t="s">
        <v>5739</v>
      </c>
      <c r="BC228" s="0" t="str">
        <f aca="false">IF($A228="","",IFERROR(INDEX(Enrichment!$A$2:$GZ$2000,MATCH($A228,INDEX(Enrichment!$A$2:$GZ$2000,0,MATCH("row_id",Enrichment!$A$1:$GZ$1,0)),0),MATCH("work_email",Enrichment!$A$1:$GZ$1,0))&amp;"",""))</f>
        <v/>
      </c>
      <c r="BD228" s="0" t="str">
        <f aca="false">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none</v>
      </c>
      <c r="BE228" s="0" t="s">
        <v>5589</v>
      </c>
      <c r="BF228" s="0" t="s">
        <v>169</v>
      </c>
      <c r="BG228" s="0" t="s">
        <v>1252</v>
      </c>
      <c r="BH228" s="0" t="s">
        <v>10694</v>
      </c>
      <c r="BI228" s="0" t="s">
        <v>263</v>
      </c>
      <c r="BK228" s="0" t="s">
        <v>5643</v>
      </c>
      <c r="BP228" s="0" t="str">
        <f aca="false">IF($A228="","",IFERROR(INDEX(Enrichment!$A$2:$GZ$2000,MATCH($A228,INDEX(Enrichment!$A$2:$GZ$2000,0,MATCH("row_id",Enrichment!$A$1:$GZ$1,0)),0),MATCH("backup_work_email",Enrichment!$A$1:$GZ$1,0))&amp;"",""))</f>
        <v/>
      </c>
      <c r="BQ228" s="0" t="str">
        <f aca="false">IF($A228="","",IF(BP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none</v>
      </c>
      <c r="BS228" s="0" t="s">
        <v>380</v>
      </c>
      <c r="BX228" s="0" t="s">
        <v>388</v>
      </c>
      <c r="BY228" s="0" t="s">
        <v>10699</v>
      </c>
      <c r="CB228" s="0" t="s">
        <v>10700</v>
      </c>
      <c r="CJ228" s="0" t="s">
        <v>7088</v>
      </c>
      <c r="CK228" s="0" t="s">
        <v>4627</v>
      </c>
      <c r="CL228" s="0" t="s">
        <v>10701</v>
      </c>
      <c r="CM228" s="0" t="s">
        <v>10702</v>
      </c>
      <c r="CN228" s="0" t="s">
        <v>5774</v>
      </c>
      <c r="CO228" s="0" t="s">
        <v>10703</v>
      </c>
      <c r="CP228" s="0" t="s">
        <v>5608</v>
      </c>
      <c r="CQ228" s="0" t="s">
        <v>5870</v>
      </c>
      <c r="CR228" s="0" t="s">
        <v>209</v>
      </c>
      <c r="CT228" s="0" t="s">
        <v>189</v>
      </c>
      <c r="CU228" s="0" t="s">
        <v>10704</v>
      </c>
      <c r="CV228" s="0" t="s">
        <v>209</v>
      </c>
      <c r="CW228" s="0" t="s">
        <v>209</v>
      </c>
      <c r="CX228" s="0" t="s">
        <v>209</v>
      </c>
      <c r="CZ228" s="0" t="s">
        <v>209</v>
      </c>
      <c r="DA228" s="0" t="s">
        <v>164</v>
      </c>
      <c r="DB228" s="0" t="s">
        <v>164</v>
      </c>
      <c r="DC228" s="0" t="s">
        <v>10705</v>
      </c>
      <c r="DE228" s="0" t="s">
        <v>189</v>
      </c>
      <c r="DF228" s="0" t="n">
        <v>0</v>
      </c>
      <c r="DK228" s="0" t="s">
        <v>5617</v>
      </c>
      <c r="DL228" s="0" t="n">
        <v>122</v>
      </c>
      <c r="DM228" s="0" t="s">
        <v>10694</v>
      </c>
      <c r="DN228" s="0" t="n">
        <v>41</v>
      </c>
      <c r="DO228" s="0" t="n">
        <v>0</v>
      </c>
      <c r="DP228" s="0" t="n">
        <v>13</v>
      </c>
      <c r="DQ228" s="0" t="n">
        <v>15</v>
      </c>
      <c r="DR228" s="0" t="n">
        <v>5</v>
      </c>
      <c r="DS228" s="0" t="n">
        <v>2</v>
      </c>
      <c r="DT228" s="0" t="n">
        <v>6</v>
      </c>
      <c r="DU228" s="0" t="n">
        <f aca="false">IF($A228="","",IF(R228="Y",10,0))</f>
        <v>0</v>
      </c>
      <c r="DV228" s="0" t="n">
        <v>0</v>
      </c>
      <c r="DX228" s="0" t="s">
        <v>5619</v>
      </c>
      <c r="DY228" s="0" t="s">
        <v>10706</v>
      </c>
      <c r="DZ228" s="0" t="s">
        <v>10707</v>
      </c>
      <c r="EV228" s="0" t="str">
        <f aca="false">IF($A228="","",IF(ISNUMBER(MATCH(U228,{"queued","contacted","replied","call_booked","call_done","yes_in_principle","materials_sent"},0)),"Y","N"))</f>
        <v>N</v>
      </c>
      <c r="EW228" s="0" t="str">
        <f aca="false">IF($A228="","",IF(OR(T228="Y",U228="do_not_contact",AQ228&amp;""&lt;&gt;""),"Y","N"))</f>
        <v>N</v>
      </c>
      <c r="EX228" s="0" t="str">
        <f aca="false">IF($A228="","",IF(AN228&amp;""&lt;&gt;"",AN228&amp;"",$A228))</f>
        <v>AB-256</v>
      </c>
      <c r="EY228" s="0" t="str">
        <f aca="false">IF($A228="","",IF(COUNTIFS($EX$2:$EX$1000,EX228,$EV$2:$EV$1000,"Y")+COUNTIFS($EX$2:$EX$1000,EX228,$EW$2:$EW$1000,"Y")&gt;0,"Y","N"))</f>
        <v>N</v>
      </c>
      <c r="EZ228" s="0" t="str">
        <f aca="false">IF($A228="","",IF(AND(U228="new",T228="N",EW228="N",AR228="Y",EY228="N"),"Y","N"))</f>
        <v>N</v>
      </c>
      <c r="FA228" s="0" t="str">
        <f aca="false">IF($A228="","",IF(EZ228&lt;&gt;"Y","N",IF(COUNTIFS($EX$2:$EX$1000,EX228,$EZ$2:$EZ$1000,"Y",$J$2:$J$1000,"&gt;"&amp;J228)+COUNTIFS($EX$2:$EX$1000,EX228,$EZ$2:$EZ$1000,"Y",$J$2:$J$1000,J228,$FG$2:$FG$1000,"&lt;"&amp;FG228)=0,"Y","N")))</f>
        <v>N</v>
      </c>
      <c r="FB228" s="0" t="str">
        <f aca="false">IF($A228="","",IF(AND(EZ228="Y",FA228="Y",Y228&amp;""&lt;&gt;""),IF(Y228&lt;=10,"Y","N"),"N"))</f>
        <v>N</v>
      </c>
      <c r="FC228" s="0" t="str">
        <f aca="false">IF(FB228="Y",Y228,"")</f>
        <v/>
      </c>
      <c r="FD228" s="0" t="str">
        <f aca="false">IF($A228="","",IF(AND(CK228="pass",AU228="Y",AV228&lt;&gt;"Y",U228="new",EW228="N"),"Y","N"))</f>
        <v>N</v>
      </c>
      <c r="FE228" s="0" t="str">
        <f aca="false">IF(FD228&lt;&gt;"Y","",IF(COUNTIFS($FD$2:$FD$1000,"Y",$J$2:$J$1000,"&gt;"&amp;J228)+COUNTIFS($FD$2:$FD$1000,"Y",$J$2:$J$1000,J228,$FG$2:$FG$1000,"&lt;"&amp;FG228)+1&lt;=30,COUNTIFS($FD$2:$FD$1000,"Y",$J$2:$J$1000,"&gt;"&amp;J228)+COUNTIFS($FD$2:$FD$1000,"Y",$J$2:$J$1000,J228,$FG$2:$FG$1000,"&lt;"&amp;FG228)+1,""))</f>
        <v/>
      </c>
      <c r="FF228" s="0" t="str">
        <f aca="false">IF(AND(_xlfn.ISFORMULA(C228),_xlfn.ISFORMULA(J228)),"Y","N")</f>
        <v>Y</v>
      </c>
      <c r="FG228" s="0" t="n">
        <f aca="false">ROW()-1</f>
        <v>227</v>
      </c>
    </row>
    <row r="229" customFormat="false" ht="15" hidden="false" customHeight="false" outlineLevel="0" collapsed="false">
      <c r="A229" s="0" t="s">
        <v>10708</v>
      </c>
      <c r="B229" s="0" t="s">
        <v>10709</v>
      </c>
      <c r="C229" s="0" t="str">
        <f aca="false">IF($A229="","",IF(AT229="Y",BL229&amp;"",AY229&amp;""))</f>
        <v>Tina</v>
      </c>
      <c r="D229" s="0" t="str">
        <f aca="false">IF($A229="","",IF(AT229="Y",BM229&amp;"",AZ229&amp;""))</f>
        <v>Chamoun</v>
      </c>
      <c r="E229" s="0" t="str">
        <f aca="false">IF($A229="","",IF(AT229="Y",BN229&amp;"",BA229&amp;""))</f>
        <v>Founder, CPCO</v>
      </c>
      <c r="F229" s="0" t="str">
        <f aca="false">IF($A229="","",IF(AT229="Y",BO229&amp;"",BB229&amp;""))</f>
        <v/>
      </c>
      <c r="G229" s="0" t="str">
        <f aca="false">IF($A229="","",IF(AT229="Y",BP229&amp;"",BC229&amp;""))</f>
        <v/>
      </c>
      <c r="H229" s="0" t="str">
        <f aca="false">IF($A229="","",IF(AT229="Y",BQ229&amp;"",BD229&amp;""))</f>
        <v>none</v>
      </c>
      <c r="I229" s="0" t="str">
        <f aca="false">IF($A229="","",IF(R229="Y","warm-intro",IF(H229="verified","email",IF(C229&lt;&gt;"","linkedin",CA229&amp;""))))</f>
        <v>linkedin</v>
      </c>
      <c r="J229" s="0" t="n">
        <f aca="false">IF($A229="","",IF(CK229="pass",ROUND(N(DO229)+N(DP229)+N(DQ229)+N(DR229)+N(DS229)+N(DT229)+N(DU229)+N(DV229),0),0))</f>
        <v>0</v>
      </c>
      <c r="K229" s="0" t="str">
        <f aca="false">IF($A229="","",IF(CK229&lt;&gt;"pass",BY229&amp;"",BY229&amp;", "&amp;IF(AT229="Y",BX229&amp;"",BK229&amp;"")&amp;BZ229&amp;IF(R229="Y","; known to the founder (+10)","")&amp;"."))</f>
        <v>Gated out: health-claim: explicit health claim in the brand's own copy (opened 2026-10-24): 'even regulates blood sugar; It lowers inflammation and can reduce cholesterol'.</v>
      </c>
      <c r="M229" s="0" t="s">
        <v>6144</v>
      </c>
      <c r="N229" s="0" t="s">
        <v>740</v>
      </c>
      <c r="O229" s="0" t="s">
        <v>10710</v>
      </c>
      <c r="P229" s="0" t="s">
        <v>10711</v>
      </c>
      <c r="Q229" s="0" t="s">
        <v>9013</v>
      </c>
      <c r="R229" s="5" t="s">
        <v>189</v>
      </c>
      <c r="S229" s="0" t="s">
        <v>164</v>
      </c>
      <c r="T229" s="5" t="s">
        <v>189</v>
      </c>
      <c r="U229" s="5" t="s">
        <v>3896</v>
      </c>
      <c r="V229" s="0" t="s">
        <v>10712</v>
      </c>
      <c r="W229" s="0" t="s">
        <v>263</v>
      </c>
      <c r="X229" s="0" t="s">
        <v>5578</v>
      </c>
      <c r="Y229" s="0" t="str">
        <f aca="false">IF(FA229&lt;&gt;"Y","",COUNTIFS($FA$2:$FA$1000,"Y",$J$2:$J$1000,"&gt;"&amp;J229)+COUNTIFS($FA$2:$FA$1000,"Y",$J$2:$J$1000,J229,$FG$2:$FG$1000,"&lt;"&amp;FG229)+1)</f>
        <v/>
      </c>
      <c r="AA229" s="0" t="s">
        <v>189</v>
      </c>
      <c r="AB229" s="0" t="str">
        <f aca="false">IF($A229="","",IF(AT229="Y",BW229&amp;"",BJ229&amp;""))</f>
        <v/>
      </c>
      <c r="AC229" s="0" t="str">
        <f aca="false">IF($A229="","",IF(AT229="Y",BR229&amp;"",BE229&amp;""))</f>
        <v>founder</v>
      </c>
      <c r="AD229" s="0" t="str">
        <f aca="false">IF($A229="","",IF(AT229="Y",BS229&amp;"",BF229&amp;""))</f>
        <v>verified-page</v>
      </c>
      <c r="AE229" s="0" t="str">
        <f aca="false">IF($A229="","",IF(AT229="Y",BT229&amp;"",BG229&amp;""))</f>
        <v>employer's own site</v>
      </c>
      <c r="AF229" s="0" t="str">
        <f aca="false">IF($A229="","",IF(AT229="Y",BU229&amp;"",BH229&amp;""))</f>
        <v>https://terraneanherbs.com/pages/about-us</v>
      </c>
      <c r="AG229" s="0" t="str">
        <f aca="false">IF($A229="","",IF(AT229="Y",BV229&amp;"",BI229&amp;""))</f>
        <v>2026-10-23</v>
      </c>
      <c r="AH229" s="0" t="s">
        <v>10713</v>
      </c>
      <c r="AI229" s="0" t="s">
        <v>5789</v>
      </c>
      <c r="AJ229" s="0" t="s">
        <v>8465</v>
      </c>
      <c r="AK229" s="0" t="s">
        <v>10714</v>
      </c>
      <c r="AL229" s="0" t="s">
        <v>164</v>
      </c>
      <c r="AM229" s="0" t="s">
        <v>7540</v>
      </c>
      <c r="AN229" s="0" t="s">
        <v>10708</v>
      </c>
      <c r="AO229" s="5" t="s">
        <v>189</v>
      </c>
      <c r="AR229" s="0" t="str">
        <f aca="false">IF($A229="","",IF(AND(CK229="pass",AO229&lt;&gt;"Y",C229&lt;&gt;"",OR(AU229&lt;&gt;"Y",AV229="Y")),"Y","N"))</f>
        <v>N</v>
      </c>
      <c r="AS229" s="0" t="str">
        <f aca="false">IF($A229="","",_xlfn.TEXTJOIN("; ",TRUE(),IF(CK229&lt;&gt;"pass","gated out",""),IF(AO229="Y","on hold: "&amp;AP229,""),IF(C229="","no contact named on an opened page",""),IF(AND(AU229="Y",AV229&lt;&gt;"Y"),"founder review pending (Founder review tab)","")))</f>
        <v>gated out; founder review pending (Founder review tab)</v>
      </c>
      <c r="AU229" s="0" t="s">
        <v>164</v>
      </c>
      <c r="AY229" s="0" t="s">
        <v>1291</v>
      </c>
      <c r="AZ229" s="0" t="s">
        <v>10715</v>
      </c>
      <c r="BA229" s="0" t="s">
        <v>10716</v>
      </c>
      <c r="BC229" s="0" t="str">
        <f aca="false">IF($A229="","",IFERROR(INDEX(Enrichment!$A$2:$GZ$2000,MATCH($A229,INDEX(Enrichment!$A$2:$GZ$2000,0,MATCH("row_id",Enrichment!$A$1:$GZ$1,0)),0),MATCH("work_email",Enrichment!$A$1:$GZ$1,0))&amp;"",""))</f>
        <v/>
      </c>
      <c r="BD229" s="0" t="str">
        <f aca="false">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none</v>
      </c>
      <c r="BE229" s="0" t="s">
        <v>5589</v>
      </c>
      <c r="BF229" s="0" t="s">
        <v>169</v>
      </c>
      <c r="BG229" s="0" t="s">
        <v>170</v>
      </c>
      <c r="BH229" s="0" t="s">
        <v>10712</v>
      </c>
      <c r="BI229" s="0" t="s">
        <v>263</v>
      </c>
      <c r="BK229" s="0" t="s">
        <v>5643</v>
      </c>
      <c r="BL229" s="0" t="s">
        <v>10717</v>
      </c>
      <c r="BM229" s="0" t="s">
        <v>10718</v>
      </c>
      <c r="BN229" s="0" t="s">
        <v>10719</v>
      </c>
      <c r="BP229" s="0" t="str">
        <f aca="false">IF($A229="","",IFERROR(INDEX(Enrichment!$A$2:$GZ$2000,MATCH($A229,INDEX(Enrichment!$A$2:$GZ$2000,0,MATCH("row_id",Enrichment!$A$1:$GZ$1,0)),0),MATCH("backup_work_email",Enrichment!$A$1:$GZ$1,0))&amp;"",""))</f>
        <v/>
      </c>
      <c r="BQ229" s="0" t="str">
        <f aca="false">IF($A229="","",IF(BP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none</v>
      </c>
      <c r="BR229" s="0" t="s">
        <v>7494</v>
      </c>
      <c r="BS229" s="0" t="s">
        <v>169</v>
      </c>
      <c r="BT229" s="0" t="s">
        <v>170</v>
      </c>
      <c r="BU229" s="0" t="s">
        <v>10720</v>
      </c>
      <c r="BV229" s="0" t="s">
        <v>263</v>
      </c>
      <c r="BX229" s="0" t="s">
        <v>5643</v>
      </c>
      <c r="BY229" s="0" t="s">
        <v>10721</v>
      </c>
      <c r="CB229" s="0" t="s">
        <v>10722</v>
      </c>
      <c r="CF229" s="0" t="s">
        <v>10723</v>
      </c>
      <c r="CJ229" s="0" t="s">
        <v>7088</v>
      </c>
      <c r="CK229" s="0" t="s">
        <v>4627</v>
      </c>
      <c r="CL229" s="0" t="s">
        <v>10005</v>
      </c>
      <c r="CM229" s="0" t="s">
        <v>10724</v>
      </c>
      <c r="CN229" s="0" t="s">
        <v>5808</v>
      </c>
      <c r="CO229" s="0" t="s">
        <v>10714</v>
      </c>
      <c r="CP229" s="0" t="s">
        <v>8481</v>
      </c>
      <c r="CQ229" s="0" t="s">
        <v>6198</v>
      </c>
      <c r="CR229" s="0" t="s">
        <v>209</v>
      </c>
      <c r="CT229" s="0" t="s">
        <v>164</v>
      </c>
      <c r="CU229" s="0" t="s">
        <v>10725</v>
      </c>
      <c r="CV229" s="0" t="s">
        <v>189</v>
      </c>
      <c r="CW229" s="0" t="s">
        <v>164</v>
      </c>
      <c r="CX229" s="0" t="s">
        <v>209</v>
      </c>
      <c r="CZ229" s="0" t="s">
        <v>209</v>
      </c>
      <c r="DA229" s="0" t="s">
        <v>189</v>
      </c>
      <c r="DB229" s="0" t="s">
        <v>164</v>
      </c>
      <c r="DC229" s="0" t="s">
        <v>10726</v>
      </c>
      <c r="DE229" s="0" t="s">
        <v>189</v>
      </c>
      <c r="DF229" s="0" t="n">
        <v>0</v>
      </c>
      <c r="DH229" s="0" t="s">
        <v>7473</v>
      </c>
      <c r="DI229" s="0" t="s">
        <v>10727</v>
      </c>
      <c r="DJ229" s="0" t="s">
        <v>10728</v>
      </c>
      <c r="DK229" s="0" t="s">
        <v>5617</v>
      </c>
      <c r="DL229" s="0" t="n">
        <v>164</v>
      </c>
      <c r="DM229" s="0" t="s">
        <v>10711</v>
      </c>
      <c r="DN229" s="0" t="n">
        <v>42</v>
      </c>
      <c r="DO229" s="0" t="n">
        <v>6</v>
      </c>
      <c r="DP229" s="0" t="n">
        <v>3</v>
      </c>
      <c r="DQ229" s="0" t="n">
        <v>15</v>
      </c>
      <c r="DR229" s="0" t="n">
        <v>5</v>
      </c>
      <c r="DS229" s="0" t="n">
        <v>7</v>
      </c>
      <c r="DT229" s="0" t="n">
        <v>10</v>
      </c>
      <c r="DU229" s="0" t="n">
        <f aca="false">IF($A229="","",IF(R229="Y",10,0))</f>
        <v>0</v>
      </c>
      <c r="DV229" s="0" t="n">
        <v>-4</v>
      </c>
      <c r="DW229" s="0" t="s">
        <v>10729</v>
      </c>
      <c r="DX229" s="0" t="s">
        <v>5814</v>
      </c>
      <c r="DY229" s="0" t="s">
        <v>10730</v>
      </c>
      <c r="DZ229" s="0" t="s">
        <v>10731</v>
      </c>
      <c r="EA229" s="0" t="s">
        <v>10732</v>
      </c>
      <c r="EV229" s="0" t="str">
        <f aca="false">IF($A229="","",IF(ISNUMBER(MATCH(U229,{"queued","contacted","replied","call_booked","call_done","yes_in_principle","materials_sent"},0)),"Y","N"))</f>
        <v>N</v>
      </c>
      <c r="EW229" s="0" t="str">
        <f aca="false">IF($A229="","",IF(OR(T229="Y",U229="do_not_contact",AQ229&amp;""&lt;&gt;""),"Y","N"))</f>
        <v>N</v>
      </c>
      <c r="EX229" s="0" t="str">
        <f aca="false">IF($A229="","",IF(AN229&amp;""&lt;&gt;"",AN229&amp;"",$A229))</f>
        <v>AB-042</v>
      </c>
      <c r="EY229" s="0" t="str">
        <f aca="false">IF($A229="","",IF(COUNTIFS($EX$2:$EX$1000,EX229,$EV$2:$EV$1000,"Y")+COUNTIFS($EX$2:$EX$1000,EX229,$EW$2:$EW$1000,"Y")&gt;0,"Y","N"))</f>
        <v>N</v>
      </c>
      <c r="EZ229" s="0" t="str">
        <f aca="false">IF($A229="","",IF(AND(U229="new",T229="N",EW229="N",AR229="Y",EY229="N"),"Y","N"))</f>
        <v>N</v>
      </c>
      <c r="FA229" s="0" t="str">
        <f aca="false">IF($A229="","",IF(EZ229&lt;&gt;"Y","N",IF(COUNTIFS($EX$2:$EX$1000,EX229,$EZ$2:$EZ$1000,"Y",$J$2:$J$1000,"&gt;"&amp;J229)+COUNTIFS($EX$2:$EX$1000,EX229,$EZ$2:$EZ$1000,"Y",$J$2:$J$1000,J229,$FG$2:$FG$1000,"&lt;"&amp;FG229)=0,"Y","N")))</f>
        <v>N</v>
      </c>
      <c r="FB229" s="0" t="str">
        <f aca="false">IF($A229="","",IF(AND(EZ229="Y",FA229="Y",Y229&amp;""&lt;&gt;""),IF(Y229&lt;=10,"Y","N"),"N"))</f>
        <v>N</v>
      </c>
      <c r="FC229" s="0" t="str">
        <f aca="false">IF(FB229="Y",Y229,"")</f>
        <v/>
      </c>
      <c r="FD229" s="0" t="str">
        <f aca="false">IF($A229="","",IF(AND(CK229="pass",AU229="Y",AV229&lt;&gt;"Y",U229="new",EW229="N"),"Y","N"))</f>
        <v>N</v>
      </c>
      <c r="FE229" s="0" t="str">
        <f aca="false">IF(FD229&lt;&gt;"Y","",IF(COUNTIFS($FD$2:$FD$1000,"Y",$J$2:$J$1000,"&gt;"&amp;J229)+COUNTIFS($FD$2:$FD$1000,"Y",$J$2:$J$1000,J229,$FG$2:$FG$1000,"&lt;"&amp;FG229)+1&lt;=30,COUNTIFS($FD$2:$FD$1000,"Y",$J$2:$J$1000,"&gt;"&amp;J229)+COUNTIFS($FD$2:$FD$1000,"Y",$J$2:$J$1000,J229,$FG$2:$FG$1000,"&lt;"&amp;FG229)+1,""))</f>
        <v/>
      </c>
      <c r="FF229" s="0" t="str">
        <f aca="false">IF(AND(_xlfn.ISFORMULA(C229),_xlfn.ISFORMULA(J229)),"Y","N")</f>
        <v>Y</v>
      </c>
      <c r="FG229" s="0" t="n">
        <f aca="false">ROW()-1</f>
        <v>228</v>
      </c>
    </row>
    <row r="230" customFormat="false" ht="15" hidden="false" customHeight="false" outlineLevel="0" collapsed="false">
      <c r="A230" s="0" t="s">
        <v>10733</v>
      </c>
      <c r="B230" s="0" t="s">
        <v>10734</v>
      </c>
      <c r="C230" s="0" t="str">
        <f aca="false">IF($A230="","",IF(AT230="Y",BL230&amp;"",AY230&amp;""))</f>
        <v>Byron</v>
      </c>
      <c r="D230" s="0" t="str">
        <f aca="false">IF($A230="","",IF(AT230="Y",BM230&amp;"",AZ230&amp;""))</f>
        <v>Sorrells</v>
      </c>
      <c r="E230" s="0" t="str">
        <f aca="false">IF($A230="","",IF(AT230="Y",BN230&amp;"",BA230&amp;""))</f>
        <v>Co-founder</v>
      </c>
      <c r="F230" s="0" t="str">
        <f aca="false">IF($A230="","",IF(AT230="Y",BO230&amp;"",BB230&amp;""))</f>
        <v/>
      </c>
      <c r="G230" s="0" t="str">
        <f aca="false">IF($A230="","",IF(AT230="Y",BP230&amp;"",BC230&amp;""))</f>
        <v/>
      </c>
      <c r="H230" s="0" t="str">
        <f aca="false">IF($A230="","",IF(AT230="Y",BQ230&amp;"",BD230&amp;""))</f>
        <v>none</v>
      </c>
      <c r="I230" s="0" t="str">
        <f aca="false">IF($A230="","",IF(R230="Y","warm-intro",IF(H230="verified","email",IF(C230&lt;&gt;"","linkedin",CA230&amp;""))))</f>
        <v>linkedin</v>
      </c>
      <c r="J230" s="0" t="n">
        <f aca="false">IF($A230="","",IF(CK230="pass",ROUND(N(DO230)+N(DP230)+N(DQ230)+N(DR230)+N(DS230)+N(DT230)+N(DU230)+N(DV230),0),0))</f>
        <v>0</v>
      </c>
      <c r="K230" s="0" t="str">
        <f aca="false">IF($A230="","",IF(CK230&lt;&gt;"pass",BY230&amp;"",BY230&amp;", "&amp;IF(AT230="Y",BX230&amp;"",BK230&amp;"")&amp;BZ230&amp;IF(R230="Y","; known to the founder (+10)","")&amp;"."))</f>
        <v>Gated out: health-claim: explicit health claim in the brand's own copy (opened 2026-10-24): 'L-theanine ..; Paired with caffeine, it smooths the curve, steady focus on the.</v>
      </c>
      <c r="M230" s="0" t="s">
        <v>6144</v>
      </c>
      <c r="N230" s="0" t="s">
        <v>740</v>
      </c>
      <c r="O230" s="0" t="s">
        <v>10735</v>
      </c>
      <c r="P230" s="0" t="s">
        <v>10736</v>
      </c>
      <c r="Q230" s="0" t="s">
        <v>9996</v>
      </c>
      <c r="R230" s="5" t="s">
        <v>189</v>
      </c>
      <c r="S230" s="0" t="s">
        <v>164</v>
      </c>
      <c r="T230" s="5" t="s">
        <v>189</v>
      </c>
      <c r="U230" s="5" t="s">
        <v>3896</v>
      </c>
      <c r="V230" s="0" t="s">
        <v>10737</v>
      </c>
      <c r="W230" s="0" t="s">
        <v>263</v>
      </c>
      <c r="X230" s="0" t="s">
        <v>5578</v>
      </c>
      <c r="Y230" s="0" t="str">
        <f aca="false">IF(FA230&lt;&gt;"Y","",COUNTIFS($FA$2:$FA$1000,"Y",$J$2:$J$1000,"&gt;"&amp;J230)+COUNTIFS($FA$2:$FA$1000,"Y",$J$2:$J$1000,J230,$FG$2:$FG$1000,"&lt;"&amp;FG230)+1)</f>
        <v/>
      </c>
      <c r="AA230" s="0" t="s">
        <v>189</v>
      </c>
      <c r="AB230" s="0" t="str">
        <f aca="false">IF($A230="","",IF(AT230="Y",BW230&amp;"",BJ230&amp;""))</f>
        <v/>
      </c>
      <c r="AC230" s="0" t="str">
        <f aca="false">IF($A230="","",IF(AT230="Y",BR230&amp;"",BE230&amp;""))</f>
        <v>founder</v>
      </c>
      <c r="AD230" s="0" t="str">
        <f aca="false">IF($A230="","",IF(AT230="Y",BS230&amp;"",BF230&amp;""))</f>
        <v>verified-page</v>
      </c>
      <c r="AE230" s="0" t="str">
        <f aca="false">IF($A230="","",IF(AT230="Y",BT230&amp;"",BG230&amp;""))</f>
        <v>press, event or podcast page</v>
      </c>
      <c r="AF230" s="0" t="str">
        <f aca="false">IF($A230="","",IF(AT230="Y",BU230&amp;"",BH230&amp;""))</f>
        <v>https://startupcpg.com/startup-cpg-newswire-unhinged-raises-1-1m-pre-seed/</v>
      </c>
      <c r="AG230" s="0" t="str">
        <f aca="false">IF($A230="","",IF(AT230="Y",BV230&amp;"",BI230&amp;""))</f>
        <v>2026-10-24</v>
      </c>
      <c r="AH230" s="0" t="s">
        <v>10738</v>
      </c>
      <c r="AI230" s="0" t="s">
        <v>6007</v>
      </c>
      <c r="AJ230" s="0" t="s">
        <v>10739</v>
      </c>
      <c r="AK230" s="0" t="s">
        <v>10740</v>
      </c>
      <c r="AL230" s="0" t="s">
        <v>164</v>
      </c>
      <c r="AM230" s="0" t="s">
        <v>10741</v>
      </c>
      <c r="AN230" s="0" t="s">
        <v>10733</v>
      </c>
      <c r="AO230" s="5" t="s">
        <v>189</v>
      </c>
      <c r="AR230" s="0" t="str">
        <f aca="false">IF($A230="","",IF(AND(CK230="pass",AO230&lt;&gt;"Y",C230&lt;&gt;"",OR(AU230&lt;&gt;"Y",AV230="Y")),"Y","N"))</f>
        <v>N</v>
      </c>
      <c r="AS230" s="0" t="str">
        <f aca="false">IF($A230="","",_xlfn.TEXTJOIN("; ",TRUE(),IF(CK230&lt;&gt;"pass","gated out",""),IF(AO230="Y","on hold: "&amp;AP230,""),IF(C230="","no contact named on an opened page",""),IF(AND(AU230="Y",AV230&lt;&gt;"Y"),"founder review pending (Founder review tab)","")))</f>
        <v>gated out</v>
      </c>
      <c r="AU230" s="0" t="s">
        <v>189</v>
      </c>
      <c r="AY230" s="0" t="s">
        <v>10742</v>
      </c>
      <c r="AZ230" s="0" t="s">
        <v>10743</v>
      </c>
      <c r="BA230" s="0" t="s">
        <v>5636</v>
      </c>
      <c r="BC230" s="0" t="str">
        <f aca="false">IF($A230="","",IFERROR(INDEX(Enrichment!$A$2:$GZ$2000,MATCH($A230,INDEX(Enrichment!$A$2:$GZ$2000,0,MATCH("row_id",Enrichment!$A$1:$GZ$1,0)),0),MATCH("work_email",Enrichment!$A$1:$GZ$1,0))&amp;"",""))</f>
        <v/>
      </c>
      <c r="BD230" s="0" t="str">
        <f aca="false">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none</v>
      </c>
      <c r="BE230" s="0" t="s">
        <v>5589</v>
      </c>
      <c r="BF230" s="0" t="s">
        <v>169</v>
      </c>
      <c r="BG230" s="0" t="s">
        <v>1252</v>
      </c>
      <c r="BH230" s="0" t="s">
        <v>10736</v>
      </c>
      <c r="BI230" s="0" t="s">
        <v>172</v>
      </c>
      <c r="BK230" s="0" t="s">
        <v>5643</v>
      </c>
      <c r="BP230" s="0" t="str">
        <f aca="false">IF($A230="","",IFERROR(INDEX(Enrichment!$A$2:$GZ$2000,MATCH($A230,INDEX(Enrichment!$A$2:$GZ$2000,0,MATCH("row_id",Enrichment!$A$1:$GZ$1,0)),0),MATCH("backup_work_email",Enrichment!$A$1:$GZ$1,0))&amp;"",""))</f>
        <v/>
      </c>
      <c r="BQ230" s="0" t="str">
        <f aca="false">IF($A230="","",IF(BP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none</v>
      </c>
      <c r="BR230" s="0" t="s">
        <v>5712</v>
      </c>
      <c r="BS230" s="0" t="s">
        <v>740</v>
      </c>
      <c r="BT230" s="0" t="s">
        <v>741</v>
      </c>
      <c r="BU230" s="0" t="s">
        <v>10744</v>
      </c>
      <c r="BV230" s="0" t="s">
        <v>172</v>
      </c>
      <c r="BX230" s="0" t="s">
        <v>5834</v>
      </c>
      <c r="BY230" s="0" t="s">
        <v>10745</v>
      </c>
      <c r="CB230" s="0" t="s">
        <v>10746</v>
      </c>
      <c r="CD230" s="0" t="s">
        <v>10747</v>
      </c>
      <c r="CF230" s="0" t="s">
        <v>10748</v>
      </c>
      <c r="CH230" s="0" t="s">
        <v>10749</v>
      </c>
      <c r="CJ230" s="0" t="s">
        <v>5606</v>
      </c>
      <c r="CK230" s="0" t="s">
        <v>4627</v>
      </c>
      <c r="CL230" s="0" t="s">
        <v>10005</v>
      </c>
      <c r="CM230" s="0" t="s">
        <v>10750</v>
      </c>
      <c r="CN230" s="0" t="s">
        <v>7729</v>
      </c>
      <c r="CO230" s="0" t="s">
        <v>10740</v>
      </c>
      <c r="CP230" s="0" t="s">
        <v>5608</v>
      </c>
      <c r="CQ230" s="0" t="s">
        <v>7189</v>
      </c>
      <c r="CR230" s="0" t="s">
        <v>10751</v>
      </c>
      <c r="CS230" s="0" t="s">
        <v>10736</v>
      </c>
      <c r="CT230" s="0" t="s">
        <v>209</v>
      </c>
      <c r="CU230" s="0" t="s">
        <v>10752</v>
      </c>
      <c r="CV230" s="0" t="s">
        <v>164</v>
      </c>
      <c r="CW230" s="0" t="s">
        <v>164</v>
      </c>
      <c r="CX230" s="0" t="s">
        <v>209</v>
      </c>
      <c r="CZ230" s="0" t="s">
        <v>10753</v>
      </c>
      <c r="DA230" s="0" t="s">
        <v>189</v>
      </c>
      <c r="DB230" s="0" t="s">
        <v>164</v>
      </c>
      <c r="DC230" s="0" t="s">
        <v>10754</v>
      </c>
      <c r="DE230" s="0" t="s">
        <v>189</v>
      </c>
      <c r="DF230" s="0" t="n">
        <v>0</v>
      </c>
      <c r="DI230" s="0" t="s">
        <v>10755</v>
      </c>
      <c r="DJ230" s="0" t="s">
        <v>10756</v>
      </c>
      <c r="DK230" s="0" t="s">
        <v>5617</v>
      </c>
      <c r="DL230" s="0" t="n">
        <v>15</v>
      </c>
      <c r="DM230" s="0" t="s">
        <v>10736</v>
      </c>
      <c r="DN230" s="0" t="n">
        <v>51</v>
      </c>
      <c r="DO230" s="0" t="n">
        <v>6</v>
      </c>
      <c r="DP230" s="0" t="n">
        <v>17</v>
      </c>
      <c r="DQ230" s="0" t="n">
        <v>15</v>
      </c>
      <c r="DR230" s="0" t="n">
        <v>5</v>
      </c>
      <c r="DS230" s="0" t="n">
        <v>7</v>
      </c>
      <c r="DT230" s="0" t="n">
        <v>6</v>
      </c>
      <c r="DU230" s="0" t="n">
        <f aca="false">IF($A230="","",IF(R230="Y",10,0))</f>
        <v>0</v>
      </c>
      <c r="DV230" s="0" t="n">
        <v>-5</v>
      </c>
      <c r="DW230" s="0" t="s">
        <v>10757</v>
      </c>
      <c r="DX230" s="0" t="s">
        <v>5619</v>
      </c>
      <c r="DY230" s="0" t="s">
        <v>10758</v>
      </c>
      <c r="DZ230" s="0" t="s">
        <v>10759</v>
      </c>
      <c r="EA230" s="0" t="s">
        <v>10760</v>
      </c>
      <c r="EV230" s="0" t="str">
        <f aca="false">IF($A230="","",IF(ISNUMBER(MATCH(U230,{"queued","contacted","replied","call_booked","call_done","yes_in_principle","materials_sent"},0)),"Y","N"))</f>
        <v>N</v>
      </c>
      <c r="EW230" s="0" t="str">
        <f aca="false">IF($A230="","",IF(OR(T230="Y",U230="do_not_contact",AQ230&amp;""&lt;&gt;""),"Y","N"))</f>
        <v>N</v>
      </c>
      <c r="EX230" s="0" t="str">
        <f aca="false">IF($A230="","",IF(AN230&amp;""&lt;&gt;"",AN230&amp;"",$A230))</f>
        <v>AB-220</v>
      </c>
      <c r="EY230" s="0" t="str">
        <f aca="false">IF($A230="","",IF(COUNTIFS($EX$2:$EX$1000,EX230,$EV$2:$EV$1000,"Y")+COUNTIFS($EX$2:$EX$1000,EX230,$EW$2:$EW$1000,"Y")&gt;0,"Y","N"))</f>
        <v>N</v>
      </c>
      <c r="EZ230" s="0" t="str">
        <f aca="false">IF($A230="","",IF(AND(U230="new",T230="N",EW230="N",AR230="Y",EY230="N"),"Y","N"))</f>
        <v>N</v>
      </c>
      <c r="FA230" s="0" t="str">
        <f aca="false">IF($A230="","",IF(EZ230&lt;&gt;"Y","N",IF(COUNTIFS($EX$2:$EX$1000,EX230,$EZ$2:$EZ$1000,"Y",$J$2:$J$1000,"&gt;"&amp;J230)+COUNTIFS($EX$2:$EX$1000,EX230,$EZ$2:$EZ$1000,"Y",$J$2:$J$1000,J230,$FG$2:$FG$1000,"&lt;"&amp;FG230)=0,"Y","N")))</f>
        <v>N</v>
      </c>
      <c r="FB230" s="0" t="str">
        <f aca="false">IF($A230="","",IF(AND(EZ230="Y",FA230="Y",Y230&amp;""&lt;&gt;""),IF(Y230&lt;=10,"Y","N"),"N"))</f>
        <v>N</v>
      </c>
      <c r="FC230" s="0" t="str">
        <f aca="false">IF(FB230="Y",Y230,"")</f>
        <v/>
      </c>
      <c r="FD230" s="0" t="str">
        <f aca="false">IF($A230="","",IF(AND(CK230="pass",AU230="Y",AV230&lt;&gt;"Y",U230="new",EW230="N"),"Y","N"))</f>
        <v>N</v>
      </c>
      <c r="FE230" s="0" t="str">
        <f aca="false">IF(FD230&lt;&gt;"Y","",IF(COUNTIFS($FD$2:$FD$1000,"Y",$J$2:$J$1000,"&gt;"&amp;J230)+COUNTIFS($FD$2:$FD$1000,"Y",$J$2:$J$1000,J230,$FG$2:$FG$1000,"&lt;"&amp;FG230)+1&lt;=30,COUNTIFS($FD$2:$FD$1000,"Y",$J$2:$J$1000,"&gt;"&amp;J230)+COUNTIFS($FD$2:$FD$1000,"Y",$J$2:$J$1000,J230,$FG$2:$FG$1000,"&lt;"&amp;FG230)+1,""))</f>
        <v/>
      </c>
      <c r="FF230" s="0" t="str">
        <f aca="false">IF(AND(_xlfn.ISFORMULA(C230),_xlfn.ISFORMULA(J230)),"Y","N")</f>
        <v>Y</v>
      </c>
      <c r="FG230" s="0" t="n">
        <f aca="false">ROW()-1</f>
        <v>229</v>
      </c>
    </row>
    <row r="231" customFormat="false" ht="15" hidden="false" customHeight="false" outlineLevel="0" collapsed="false">
      <c r="A231" s="0" t="s">
        <v>10761</v>
      </c>
      <c r="B231" s="0" t="s">
        <v>10762</v>
      </c>
      <c r="C231" s="0" t="str">
        <f aca="false">IF($A231="","",IF(AT231="Y",BL231&amp;"",AY231&amp;""))</f>
        <v>Michael</v>
      </c>
      <c r="D231" s="0" t="str">
        <f aca="false">IF($A231="","",IF(AT231="Y",BM231&amp;"",AZ231&amp;""))</f>
        <v>Gu</v>
      </c>
      <c r="E231" s="0" t="str">
        <f aca="false">IF($A231="","",IF(AT231="Y",BN231&amp;"",BA231&amp;""))</f>
        <v>Co-founder</v>
      </c>
      <c r="F231" s="0" t="str">
        <f aca="false">IF($A231="","",IF(AT231="Y",BO231&amp;"",BB231&amp;""))</f>
        <v/>
      </c>
      <c r="G231" s="0" t="str">
        <f aca="false">IF($A231="","",IF(AT231="Y",BP231&amp;"",BC231&amp;""))</f>
        <v/>
      </c>
      <c r="H231" s="0" t="str">
        <f aca="false">IF($A231="","",IF(AT231="Y",BQ231&amp;"",BD231&amp;""))</f>
        <v>none</v>
      </c>
      <c r="I231" s="0" t="str">
        <f aca="false">IF($A231="","",IF(R231="Y","warm-intro",IF(H231="verified","email",IF(C231&lt;&gt;"","linkedin",CA231&amp;""))))</f>
        <v>linkedin</v>
      </c>
      <c r="J231" s="0" t="n">
        <f aca="false">IF($A231="","",IF(CK231="pass",ROUND(N(DO231)+N(DP231)+N(DQ231)+N(DR231)+N(DS231)+N(DT231)+N(DU231)+N(DV231),0),0))</f>
        <v>0</v>
      </c>
      <c r="K231" s="0" t="str">
        <f aca="false">IF($A231="","",IF(CK231&lt;&gt;"pass",BY231&amp;"",BY231&amp;", "&amp;IF(AT231="Y",BX231&amp;"",BK231&amp;"")&amp;BZ231&amp;IF(R231="Y","; known to the founder (+10)","")&amp;"."))</f>
        <v>Gated out: excluded-category: Alcohol (13% ABV).</v>
      </c>
      <c r="M231" s="0" t="s">
        <v>6144</v>
      </c>
      <c r="N231" s="0" t="s">
        <v>740</v>
      </c>
      <c r="O231" s="0" t="s">
        <v>10763</v>
      </c>
      <c r="P231" s="0" t="s">
        <v>10764</v>
      </c>
      <c r="Q231" s="0" t="s">
        <v>6436</v>
      </c>
      <c r="R231" s="5" t="s">
        <v>189</v>
      </c>
      <c r="S231" s="0" t="s">
        <v>164</v>
      </c>
      <c r="T231" s="5" t="s">
        <v>189</v>
      </c>
      <c r="U231" s="5" t="s">
        <v>3896</v>
      </c>
      <c r="V231" s="0" t="s">
        <v>10764</v>
      </c>
      <c r="W231" s="0" t="s">
        <v>263</v>
      </c>
      <c r="X231" s="0" t="s">
        <v>5578</v>
      </c>
      <c r="Y231" s="0" t="str">
        <f aca="false">IF(FA231&lt;&gt;"Y","",COUNTIFS($FA$2:$FA$1000,"Y",$J$2:$J$1000,"&gt;"&amp;J231)+COUNTIFS($FA$2:$FA$1000,"Y",$J$2:$J$1000,J231,$FG$2:$FG$1000,"&lt;"&amp;FG231)+1)</f>
        <v/>
      </c>
      <c r="AA231" s="0" t="s">
        <v>189</v>
      </c>
      <c r="AB231" s="0" t="str">
        <f aca="false">IF($A231="","",IF(AT231="Y",BW231&amp;"",BJ231&amp;""))</f>
        <v/>
      </c>
      <c r="AC231" s="0" t="str">
        <f aca="false">IF($A231="","",IF(AT231="Y",BR231&amp;"",BE231&amp;""))</f>
        <v>founder</v>
      </c>
      <c r="AD231" s="0" t="str">
        <f aca="false">IF($A231="","",IF(AT231="Y",BS231&amp;"",BF231&amp;""))</f>
        <v>verified-page</v>
      </c>
      <c r="AE231" s="0" t="str">
        <f aca="false">IF($A231="","",IF(AT231="Y",BT231&amp;"",BG231&amp;""))</f>
        <v>press, event or podcast page</v>
      </c>
      <c r="AF231" s="0" t="str">
        <f aca="false">IF($A231="","",IF(AT231="Y",BU231&amp;"",BH231&amp;""))</f>
        <v>https://startupcpg.com/startup-cpg-newswire-wild-mannered-expands-its-ready-to-serve-cocktail-portfolio-into-new-jersey-retail-chains/</v>
      </c>
      <c r="AG231" s="0" t="str">
        <f aca="false">IF($A231="","",IF(AT231="Y",BV231&amp;"",BI231&amp;""))</f>
        <v>2026-10-23</v>
      </c>
      <c r="AH231" s="0" t="s">
        <v>10765</v>
      </c>
      <c r="AI231" s="0" t="s">
        <v>6699</v>
      </c>
      <c r="AJ231" s="0" t="s">
        <v>10521</v>
      </c>
      <c r="AL231" s="0" t="s">
        <v>164</v>
      </c>
      <c r="AM231" s="0" t="s">
        <v>10604</v>
      </c>
      <c r="AN231" s="0" t="s">
        <v>10761</v>
      </c>
      <c r="AO231" s="5" t="s">
        <v>189</v>
      </c>
      <c r="AR231" s="0" t="str">
        <f aca="false">IF($A231="","",IF(AND(CK231="pass",AO231&lt;&gt;"Y",C231&lt;&gt;"",OR(AU231&lt;&gt;"Y",AV231="Y")),"Y","N"))</f>
        <v>N</v>
      </c>
      <c r="AS231" s="0" t="str">
        <f aca="false">IF($A231="","",_xlfn.TEXTJOIN("; ",TRUE(),IF(CK231&lt;&gt;"pass","gated out",""),IF(AO231="Y","on hold: "&amp;AP231,""),IF(C231="","no contact named on an opened page",""),IF(AND(AU231="Y",AV231&lt;&gt;"Y"),"founder review pending (Founder review tab)","")))</f>
        <v>gated out</v>
      </c>
      <c r="AU231" s="0" t="s">
        <v>189</v>
      </c>
      <c r="AY231" s="0" t="s">
        <v>6480</v>
      </c>
      <c r="AZ231" s="0" t="s">
        <v>10766</v>
      </c>
      <c r="BA231" s="0" t="s">
        <v>5636</v>
      </c>
      <c r="BC231" s="0" t="str">
        <f aca="false">IF($A231="","",IFERROR(INDEX(Enrichment!$A$2:$GZ$2000,MATCH($A231,INDEX(Enrichment!$A$2:$GZ$2000,0,MATCH("row_id",Enrichment!$A$1:$GZ$1,0)),0),MATCH("work_email",Enrichment!$A$1:$GZ$1,0))&amp;"",""))</f>
        <v/>
      </c>
      <c r="BD231" s="0" t="str">
        <f aca="false">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none</v>
      </c>
      <c r="BE231" s="0" t="s">
        <v>5589</v>
      </c>
      <c r="BF231" s="0" t="s">
        <v>169</v>
      </c>
      <c r="BG231" s="0" t="s">
        <v>1252</v>
      </c>
      <c r="BH231" s="0" t="s">
        <v>10764</v>
      </c>
      <c r="BI231" s="0" t="s">
        <v>263</v>
      </c>
      <c r="BK231" s="0" t="s">
        <v>5643</v>
      </c>
      <c r="BP231" s="0" t="str">
        <f aca="false">IF($A231="","",IFERROR(INDEX(Enrichment!$A$2:$GZ$2000,MATCH($A231,INDEX(Enrichment!$A$2:$GZ$2000,0,MATCH("row_id",Enrichment!$A$1:$GZ$1,0)),0),MATCH("backup_work_email",Enrichment!$A$1:$GZ$1,0))&amp;"",""))</f>
        <v/>
      </c>
      <c r="BQ231" s="0" t="str">
        <f aca="false">IF($A231="","",IF(BP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none</v>
      </c>
      <c r="BS231" s="0" t="s">
        <v>380</v>
      </c>
      <c r="BX231" s="0" t="s">
        <v>388</v>
      </c>
      <c r="BY231" s="0" t="s">
        <v>10767</v>
      </c>
      <c r="CB231" s="0" t="s">
        <v>10768</v>
      </c>
      <c r="CJ231" s="0" t="s">
        <v>7088</v>
      </c>
      <c r="CK231" s="0" t="s">
        <v>4627</v>
      </c>
      <c r="CL231" s="0" t="s">
        <v>10642</v>
      </c>
      <c r="CM231" s="0" t="s">
        <v>10769</v>
      </c>
      <c r="CN231" s="0" t="s">
        <v>5774</v>
      </c>
      <c r="CO231" s="0" t="s">
        <v>10770</v>
      </c>
      <c r="CP231" s="0" t="s">
        <v>5608</v>
      </c>
      <c r="CQ231" s="0" t="s">
        <v>5609</v>
      </c>
      <c r="CR231" s="0" t="s">
        <v>209</v>
      </c>
      <c r="CT231" s="0" t="s">
        <v>209</v>
      </c>
      <c r="CV231" s="0" t="s">
        <v>209</v>
      </c>
      <c r="CW231" s="0" t="s">
        <v>209</v>
      </c>
      <c r="CX231" s="0" t="s">
        <v>209</v>
      </c>
      <c r="CZ231" s="0" t="s">
        <v>209</v>
      </c>
      <c r="DA231" s="0" t="s">
        <v>189</v>
      </c>
      <c r="DB231" s="0" t="s">
        <v>164</v>
      </c>
      <c r="DC231" s="0" t="s">
        <v>10771</v>
      </c>
      <c r="DE231" s="0" t="s">
        <v>189</v>
      </c>
      <c r="DF231" s="0" t="n">
        <v>0</v>
      </c>
      <c r="DK231" s="0" t="s">
        <v>5617</v>
      </c>
      <c r="DL231" s="0" t="n">
        <v>43</v>
      </c>
      <c r="DM231" s="0" t="s">
        <v>10764</v>
      </c>
      <c r="DN231" s="0" t="n">
        <v>49</v>
      </c>
      <c r="DO231" s="0" t="n">
        <v>0</v>
      </c>
      <c r="DP231" s="0" t="n">
        <v>20</v>
      </c>
      <c r="DQ231" s="0" t="n">
        <v>15</v>
      </c>
      <c r="DR231" s="0" t="n">
        <v>5</v>
      </c>
      <c r="DS231" s="0" t="n">
        <v>3</v>
      </c>
      <c r="DT231" s="0" t="n">
        <v>6</v>
      </c>
      <c r="DU231" s="0" t="n">
        <f aca="false">IF($A231="","",IF(R231="Y",10,0))</f>
        <v>0</v>
      </c>
      <c r="DV231" s="0" t="n">
        <v>0</v>
      </c>
      <c r="DX231" s="0" t="s">
        <v>5619</v>
      </c>
      <c r="DY231" s="0" t="s">
        <v>10772</v>
      </c>
      <c r="DZ231" s="0" t="s">
        <v>10532</v>
      </c>
      <c r="EV231" s="0" t="str">
        <f aca="false">IF($A231="","",IF(ISNUMBER(MATCH(U231,{"queued","contacted","replied","call_booked","call_done","yes_in_principle","materials_sent"},0)),"Y","N"))</f>
        <v>N</v>
      </c>
      <c r="EW231" s="0" t="str">
        <f aca="false">IF($A231="","",IF(OR(T231="Y",U231="do_not_contact",AQ231&amp;""&lt;&gt;""),"Y","N"))</f>
        <v>N</v>
      </c>
      <c r="EX231" s="0" t="str">
        <f aca="false">IF($A231="","",IF(AN231&amp;""&lt;&gt;"",AN231&amp;"",$A231))</f>
        <v>AB-258</v>
      </c>
      <c r="EY231" s="0" t="str">
        <f aca="false">IF($A231="","",IF(COUNTIFS($EX$2:$EX$1000,EX231,$EV$2:$EV$1000,"Y")+COUNTIFS($EX$2:$EX$1000,EX231,$EW$2:$EW$1000,"Y")&gt;0,"Y","N"))</f>
        <v>N</v>
      </c>
      <c r="EZ231" s="0" t="str">
        <f aca="false">IF($A231="","",IF(AND(U231="new",T231="N",EW231="N",AR231="Y",EY231="N"),"Y","N"))</f>
        <v>N</v>
      </c>
      <c r="FA231" s="0" t="str">
        <f aca="false">IF($A231="","",IF(EZ231&lt;&gt;"Y","N",IF(COUNTIFS($EX$2:$EX$1000,EX231,$EZ$2:$EZ$1000,"Y",$J$2:$J$1000,"&gt;"&amp;J231)+COUNTIFS($EX$2:$EX$1000,EX231,$EZ$2:$EZ$1000,"Y",$J$2:$J$1000,J231,$FG$2:$FG$1000,"&lt;"&amp;FG231)=0,"Y","N")))</f>
        <v>N</v>
      </c>
      <c r="FB231" s="0" t="str">
        <f aca="false">IF($A231="","",IF(AND(EZ231="Y",FA231="Y",Y231&amp;""&lt;&gt;""),IF(Y231&lt;=10,"Y","N"),"N"))</f>
        <v>N</v>
      </c>
      <c r="FC231" s="0" t="str">
        <f aca="false">IF(FB231="Y",Y231,"")</f>
        <v/>
      </c>
      <c r="FD231" s="0" t="str">
        <f aca="false">IF($A231="","",IF(AND(CK231="pass",AU231="Y",AV231&lt;&gt;"Y",U231="new",EW231="N"),"Y","N"))</f>
        <v>N</v>
      </c>
      <c r="FE231" s="0" t="str">
        <f aca="false">IF(FD231&lt;&gt;"Y","",IF(COUNTIFS($FD$2:$FD$1000,"Y",$J$2:$J$1000,"&gt;"&amp;J231)+COUNTIFS($FD$2:$FD$1000,"Y",$J$2:$J$1000,J231,$FG$2:$FG$1000,"&lt;"&amp;FG231)+1&lt;=30,COUNTIFS($FD$2:$FD$1000,"Y",$J$2:$J$1000,"&gt;"&amp;J231)+COUNTIFS($FD$2:$FD$1000,"Y",$J$2:$J$1000,J231,$FG$2:$FG$1000,"&lt;"&amp;FG231)+1,""))</f>
        <v/>
      </c>
      <c r="FF231" s="0" t="str">
        <f aca="false">IF(AND(_xlfn.ISFORMULA(C231),_xlfn.ISFORMULA(J231)),"Y","N")</f>
        <v>Y</v>
      </c>
      <c r="FG231" s="0" t="n">
        <f aca="false">ROW()-1</f>
        <v>230</v>
      </c>
    </row>
    <row r="232" customFormat="false" ht="15" hidden="false" customHeight="false" outlineLevel="0" collapsed="false">
      <c r="A232" s="0" t="s">
        <v>10773</v>
      </c>
      <c r="B232" s="0" t="s">
        <v>10774</v>
      </c>
      <c r="C232" s="0" t="str">
        <f aca="false">IF($A232="","",IF(AT232="Y",BL232&amp;"",AY232&amp;""))</f>
        <v>Marcos</v>
      </c>
      <c r="D232" s="0" t="str">
        <f aca="false">IF($A232="","",IF(AT232="Y",BM232&amp;"",AZ232&amp;""))</f>
        <v>Della Pia</v>
      </c>
      <c r="E232" s="0" t="str">
        <f aca="false">IF($A232="","",IF(AT232="Y",BN232&amp;"",BA232&amp;""))</f>
        <v>Co-founder</v>
      </c>
      <c r="F232" s="0" t="str">
        <f aca="false">IF($A232="","",IF(AT232="Y",BO232&amp;"",BB232&amp;""))</f>
        <v/>
      </c>
      <c r="G232" s="0" t="str">
        <f aca="false">IF($A232="","",IF(AT232="Y",BP232&amp;"",BC232&amp;""))</f>
        <v/>
      </c>
      <c r="H232" s="0" t="str">
        <f aca="false">IF($A232="","",IF(AT232="Y",BQ232&amp;"",BD232&amp;""))</f>
        <v>none</v>
      </c>
      <c r="I232" s="0" t="str">
        <f aca="false">IF($A232="","",IF(R232="Y","warm-intro",IF(H232="verified","email",IF(C232&lt;&gt;"","linkedin",CA232&amp;""))))</f>
        <v>linkedin</v>
      </c>
      <c r="J232" s="0" t="n">
        <f aca="false">IF($A232="","",IF(CK232="pass",ROUND(N(DO232)+N(DP232)+N(DQ232)+N(DR232)+N(DS232)+N(DT232)+N(DU232)+N(DV232),0),0))</f>
        <v>0</v>
      </c>
      <c r="K232" s="0" t="str">
        <f aca="false">IF($A232="","",IF(CK232&lt;&gt;"pass",BY232&amp;"",BY232&amp;", "&amp;IF(AT232="Y",BX232&amp;"",BK232&amp;"")&amp;BZ232&amp;IF(R232="Y","; known to the founder (+10)","")&amp;"."))</f>
        <v>Gated out: not-shelf-stable: Frozen product (refrigerated or perishable).</v>
      </c>
      <c r="M232" s="0" t="s">
        <v>6144</v>
      </c>
      <c r="N232" s="0" t="s">
        <v>740</v>
      </c>
      <c r="O232" s="0" t="s">
        <v>10775</v>
      </c>
      <c r="P232" s="0" t="s">
        <v>10776</v>
      </c>
      <c r="Q232" s="0" t="s">
        <v>10777</v>
      </c>
      <c r="R232" s="5" t="s">
        <v>189</v>
      </c>
      <c r="S232" s="0" t="s">
        <v>164</v>
      </c>
      <c r="T232" s="5" t="s">
        <v>189</v>
      </c>
      <c r="U232" s="5" t="s">
        <v>3896</v>
      </c>
      <c r="V232" s="0" t="s">
        <v>10776</v>
      </c>
      <c r="W232" s="0" t="s">
        <v>263</v>
      </c>
      <c r="X232" s="0" t="s">
        <v>5578</v>
      </c>
      <c r="Y232" s="0" t="str">
        <f aca="false">IF(FA232&lt;&gt;"Y","",COUNTIFS($FA$2:$FA$1000,"Y",$J$2:$J$1000,"&gt;"&amp;J232)+COUNTIFS($FA$2:$FA$1000,"Y",$J$2:$J$1000,J232,$FG$2:$FG$1000,"&lt;"&amp;FG232)+1)</f>
        <v/>
      </c>
      <c r="AA232" s="0" t="s">
        <v>189</v>
      </c>
      <c r="AB232" s="0" t="str">
        <f aca="false">IF($A232="","",IF(AT232="Y",BW232&amp;"",BJ232&amp;""))</f>
        <v/>
      </c>
      <c r="AC232" s="0" t="str">
        <f aca="false">IF($A232="","",IF(AT232="Y",BR232&amp;"",BE232&amp;""))</f>
        <v>founder</v>
      </c>
      <c r="AD232" s="0" t="str">
        <f aca="false">IF($A232="","",IF(AT232="Y",BS232&amp;"",BF232&amp;""))</f>
        <v>verified-page</v>
      </c>
      <c r="AE232" s="0" t="str">
        <f aca="false">IF($A232="","",IF(AT232="Y",BT232&amp;"",BG232&amp;""))</f>
        <v>press, event or podcast page</v>
      </c>
      <c r="AF232" s="0" t="str">
        <f aca="false">IF($A232="","",IF(AT232="Y",BU232&amp;"",BH232&amp;""))</f>
        <v>https://startupcpg.com/startup-cpg-newswire-baris-sprouts-national-launch-with-exclusive-matcha-flavor/</v>
      </c>
      <c r="AG232" s="0" t="str">
        <f aca="false">IF($A232="","",IF(AT232="Y",BV232&amp;"",BI232&amp;""))</f>
        <v>2026-10-23</v>
      </c>
      <c r="AH232" s="0" t="s">
        <v>10778</v>
      </c>
      <c r="AI232" s="0" t="s">
        <v>5664</v>
      </c>
      <c r="AJ232" s="0" t="s">
        <v>10521</v>
      </c>
      <c r="AL232" s="0" t="s">
        <v>164</v>
      </c>
      <c r="AM232" s="0" t="s">
        <v>5760</v>
      </c>
      <c r="AN232" s="0" t="s">
        <v>10773</v>
      </c>
      <c r="AO232" s="5" t="s">
        <v>189</v>
      </c>
      <c r="AR232" s="0" t="str">
        <f aca="false">IF($A232="","",IF(AND(CK232="pass",AO232&lt;&gt;"Y",C232&lt;&gt;"",OR(AU232&lt;&gt;"Y",AV232="Y")),"Y","N"))</f>
        <v>N</v>
      </c>
      <c r="AS232" s="0" t="str">
        <f aca="false">IF($A232="","",_xlfn.TEXTJOIN("; ",TRUE(),IF(CK232&lt;&gt;"pass","gated out",""),IF(AO232="Y","on hold: "&amp;AP232,""),IF(C232="","no contact named on an opened page",""),IF(AND(AU232="Y",AV232&lt;&gt;"Y"),"founder review pending (Founder review tab)","")))</f>
        <v>gated out</v>
      </c>
      <c r="AU232" s="0" t="s">
        <v>189</v>
      </c>
      <c r="AY232" s="0" t="s">
        <v>10779</v>
      </c>
      <c r="AZ232" s="0" t="s">
        <v>10780</v>
      </c>
      <c r="BA232" s="0" t="s">
        <v>5636</v>
      </c>
      <c r="BC232" s="0" t="str">
        <f aca="false">IF($A232="","",IFERROR(INDEX(Enrichment!$A$2:$GZ$2000,MATCH($A232,INDEX(Enrichment!$A$2:$GZ$2000,0,MATCH("row_id",Enrichment!$A$1:$GZ$1,0)),0),MATCH("work_email",Enrichment!$A$1:$GZ$1,0))&amp;"",""))</f>
        <v/>
      </c>
      <c r="BD232" s="0" t="str">
        <f aca="false">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none</v>
      </c>
      <c r="BE232" s="0" t="s">
        <v>5589</v>
      </c>
      <c r="BF232" s="0" t="s">
        <v>169</v>
      </c>
      <c r="BG232" s="0" t="s">
        <v>1252</v>
      </c>
      <c r="BH232" s="0" t="s">
        <v>10776</v>
      </c>
      <c r="BI232" s="0" t="s">
        <v>263</v>
      </c>
      <c r="BK232" s="0" t="s">
        <v>5643</v>
      </c>
      <c r="BP232" s="0" t="str">
        <f aca="false">IF($A232="","",IFERROR(INDEX(Enrichment!$A$2:$GZ$2000,MATCH($A232,INDEX(Enrichment!$A$2:$GZ$2000,0,MATCH("row_id",Enrichment!$A$1:$GZ$1,0)),0),MATCH("backup_work_email",Enrichment!$A$1:$GZ$1,0))&amp;"",""))</f>
        <v/>
      </c>
      <c r="BQ232" s="0" t="str">
        <f aca="false">IF($A232="","",IF(BP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none</v>
      </c>
      <c r="BS232" s="0" t="s">
        <v>380</v>
      </c>
      <c r="BX232" s="0" t="s">
        <v>388</v>
      </c>
      <c r="BY232" s="0" t="s">
        <v>10781</v>
      </c>
      <c r="CB232" s="0" t="s">
        <v>10782</v>
      </c>
      <c r="CJ232" s="0" t="s">
        <v>7088</v>
      </c>
      <c r="CK232" s="0" t="s">
        <v>4627</v>
      </c>
      <c r="CL232" s="0" t="s">
        <v>10659</v>
      </c>
      <c r="CM232" s="0" t="s">
        <v>10783</v>
      </c>
      <c r="CN232" s="0" t="s">
        <v>5774</v>
      </c>
      <c r="CO232" s="0" t="s">
        <v>10784</v>
      </c>
      <c r="CP232" s="0" t="s">
        <v>5608</v>
      </c>
      <c r="CQ232" s="0" t="s">
        <v>5609</v>
      </c>
      <c r="CR232" s="0" t="s">
        <v>209</v>
      </c>
      <c r="CT232" s="0" t="s">
        <v>189</v>
      </c>
      <c r="CU232" s="0" t="s">
        <v>10785</v>
      </c>
      <c r="CV232" s="0" t="s">
        <v>209</v>
      </c>
      <c r="CW232" s="0" t="s">
        <v>209</v>
      </c>
      <c r="CX232" s="0" t="s">
        <v>209</v>
      </c>
      <c r="CZ232" s="0" t="s">
        <v>209</v>
      </c>
      <c r="DA232" s="0" t="s">
        <v>189</v>
      </c>
      <c r="DB232" s="0" t="s">
        <v>164</v>
      </c>
      <c r="DC232" s="0" t="s">
        <v>10786</v>
      </c>
      <c r="DE232" s="0" t="s">
        <v>189</v>
      </c>
      <c r="DF232" s="0" t="n">
        <v>0</v>
      </c>
      <c r="DI232" s="0" t="s">
        <v>10787</v>
      </c>
      <c r="DK232" s="0" t="s">
        <v>5617</v>
      </c>
      <c r="DL232" s="0" t="n">
        <v>236</v>
      </c>
      <c r="DM232" s="0" t="s">
        <v>10776</v>
      </c>
      <c r="DN232" s="0" t="n">
        <v>41</v>
      </c>
      <c r="DO232" s="0" t="n">
        <v>0</v>
      </c>
      <c r="DP232" s="0" t="n">
        <v>20</v>
      </c>
      <c r="DQ232" s="0" t="n">
        <v>8</v>
      </c>
      <c r="DR232" s="0" t="n">
        <v>5</v>
      </c>
      <c r="DS232" s="0" t="n">
        <v>2</v>
      </c>
      <c r="DT232" s="0" t="n">
        <v>6</v>
      </c>
      <c r="DU232" s="0" t="n">
        <f aca="false">IF($A232="","",IF(R232="Y",10,0))</f>
        <v>0</v>
      </c>
      <c r="DV232" s="0" t="n">
        <v>0</v>
      </c>
      <c r="DX232" s="0" t="s">
        <v>5619</v>
      </c>
      <c r="DY232" s="0" t="s">
        <v>10788</v>
      </c>
      <c r="DZ232" s="0" t="s">
        <v>10532</v>
      </c>
      <c r="EV232" s="0" t="str">
        <f aca="false">IF($A232="","",IF(ISNUMBER(MATCH(U232,{"queued","contacted","replied","call_booked","call_done","yes_in_principle","materials_sent"},0)),"Y","N"))</f>
        <v>N</v>
      </c>
      <c r="EW232" s="0" t="str">
        <f aca="false">IF($A232="","",IF(OR(T232="Y",U232="do_not_contact",AQ232&amp;""&lt;&gt;""),"Y","N"))</f>
        <v>N</v>
      </c>
      <c r="EX232" s="0" t="str">
        <f aca="false">IF($A232="","",IF(AN232&amp;""&lt;&gt;"",AN232&amp;"",$A232))</f>
        <v>AB-228</v>
      </c>
      <c r="EY232" s="0" t="str">
        <f aca="false">IF($A232="","",IF(COUNTIFS($EX$2:$EX$1000,EX232,$EV$2:$EV$1000,"Y")+COUNTIFS($EX$2:$EX$1000,EX232,$EW$2:$EW$1000,"Y")&gt;0,"Y","N"))</f>
        <v>N</v>
      </c>
      <c r="EZ232" s="0" t="str">
        <f aca="false">IF($A232="","",IF(AND(U232="new",T232="N",EW232="N",AR232="Y",EY232="N"),"Y","N"))</f>
        <v>N</v>
      </c>
      <c r="FA232" s="0" t="str">
        <f aca="false">IF($A232="","",IF(EZ232&lt;&gt;"Y","N",IF(COUNTIFS($EX$2:$EX$1000,EX232,$EZ$2:$EZ$1000,"Y",$J$2:$J$1000,"&gt;"&amp;J232)+COUNTIFS($EX$2:$EX$1000,EX232,$EZ$2:$EZ$1000,"Y",$J$2:$J$1000,J232,$FG$2:$FG$1000,"&lt;"&amp;FG232)=0,"Y","N")))</f>
        <v>N</v>
      </c>
      <c r="FB232" s="0" t="str">
        <f aca="false">IF($A232="","",IF(AND(EZ232="Y",FA232="Y",Y232&amp;""&lt;&gt;""),IF(Y232&lt;=10,"Y","N"),"N"))</f>
        <v>N</v>
      </c>
      <c r="FC232" s="0" t="str">
        <f aca="false">IF(FB232="Y",Y232,"")</f>
        <v/>
      </c>
      <c r="FD232" s="0" t="str">
        <f aca="false">IF($A232="","",IF(AND(CK232="pass",AU232="Y",AV232&lt;&gt;"Y",U232="new",EW232="N"),"Y","N"))</f>
        <v>N</v>
      </c>
      <c r="FE232" s="0" t="str">
        <f aca="false">IF(FD232&lt;&gt;"Y","",IF(COUNTIFS($FD$2:$FD$1000,"Y",$J$2:$J$1000,"&gt;"&amp;J232)+COUNTIFS($FD$2:$FD$1000,"Y",$J$2:$J$1000,J232,$FG$2:$FG$1000,"&lt;"&amp;FG232)+1&lt;=30,COUNTIFS($FD$2:$FD$1000,"Y",$J$2:$J$1000,"&gt;"&amp;J232)+COUNTIFS($FD$2:$FD$1000,"Y",$J$2:$J$1000,J232,$FG$2:$FG$1000,"&lt;"&amp;FG232)+1,""))</f>
        <v/>
      </c>
      <c r="FF232" s="0" t="str">
        <f aca="false">IF(AND(_xlfn.ISFORMULA(C232),_xlfn.ISFORMULA(J232)),"Y","N")</f>
        <v>Y</v>
      </c>
      <c r="FG232" s="0" t="n">
        <f aca="false">ROW()-1</f>
        <v>231</v>
      </c>
    </row>
    <row r="233" customFormat="false" ht="15" hidden="false" customHeight="false" outlineLevel="0" collapsed="false">
      <c r="A233" s="0" t="s">
        <v>10789</v>
      </c>
      <c r="B233" s="0" t="s">
        <v>10790</v>
      </c>
      <c r="C233" s="0" t="str">
        <f aca="false">IF($A233="","",IF(AT233="Y",BL233&amp;"",AY233&amp;""))</f>
        <v>Novak</v>
      </c>
      <c r="D233" s="0" t="str">
        <f aca="false">IF($A233="","",IF(AT233="Y",BM233&amp;"",AZ233&amp;""))</f>
        <v>Djokovic</v>
      </c>
      <c r="E233" s="0" t="str">
        <f aca="false">IF($A233="","",IF(AT233="Y",BN233&amp;"",BA233&amp;""))</f>
        <v>Co-founder</v>
      </c>
      <c r="F233" s="0" t="str">
        <f aca="false">IF($A233="","",IF(AT233="Y",BO233&amp;"",BB233&amp;""))</f>
        <v/>
      </c>
      <c r="G233" s="0" t="str">
        <f aca="false">IF($A233="","",IF(AT233="Y",BP233&amp;"",BC233&amp;""))</f>
        <v/>
      </c>
      <c r="H233" s="0" t="str">
        <f aca="false">IF($A233="","",IF(AT233="Y",BQ233&amp;"",BD233&amp;""))</f>
        <v>none</v>
      </c>
      <c r="I233" s="0" t="str">
        <f aca="false">IF($A233="","",IF(R233="Y","warm-intro",IF(H233="verified","email",IF(C233&lt;&gt;"","linkedin",CA233&amp;""))))</f>
        <v>linkedin</v>
      </c>
      <c r="J233" s="0" t="n">
        <f aca="false">IF($A233="","",IF(CK233="pass",ROUND(N(DO233)+N(DP233)+N(DQ233)+N(DR233)+N(DS233)+N(DT233)+N(DU233)+N(DV233),0),0))</f>
        <v>0</v>
      </c>
      <c r="K233" s="0" t="str">
        <f aca="false">IF($A233="","",IF(CK233&lt;&gt;"pass",BY233&amp;"",BY233&amp;", "&amp;IF(AT233="Y",BX233&amp;"",BK233&amp;"")&amp;BZ233&amp;IF(R233="Y","; known to the founder (+10)","")&amp;"."))</f>
        <v>Gated out: health-claim: Site title positions the snack 'for Energy, Digestion &amp; Performance' (structure/function wording); founder may clear if this is not on pack.</v>
      </c>
      <c r="M233" s="0" t="s">
        <v>6144</v>
      </c>
      <c r="N233" s="0" t="s">
        <v>740</v>
      </c>
      <c r="O233" s="0" t="s">
        <v>10791</v>
      </c>
      <c r="P233" s="0" t="s">
        <v>10792</v>
      </c>
      <c r="Q233" s="0" t="s">
        <v>795</v>
      </c>
      <c r="R233" s="5" t="s">
        <v>189</v>
      </c>
      <c r="S233" s="0" t="s">
        <v>209</v>
      </c>
      <c r="T233" s="5" t="s">
        <v>189</v>
      </c>
      <c r="U233" s="5" t="s">
        <v>3896</v>
      </c>
      <c r="V233" s="0" t="s">
        <v>10793</v>
      </c>
      <c r="W233" s="0" t="s">
        <v>263</v>
      </c>
      <c r="X233" s="0" t="s">
        <v>5578</v>
      </c>
      <c r="Y233" s="0" t="str">
        <f aca="false">IF(FA233&lt;&gt;"Y","",COUNTIFS($FA$2:$FA$1000,"Y",$J$2:$J$1000,"&gt;"&amp;J233)+COUNTIFS($FA$2:$FA$1000,"Y",$J$2:$J$1000,J233,$FG$2:$FG$1000,"&lt;"&amp;FG233)+1)</f>
        <v/>
      </c>
      <c r="AA233" s="0" t="s">
        <v>189</v>
      </c>
      <c r="AB233" s="0" t="str">
        <f aca="false">IF($A233="","",IF(AT233="Y",BW233&amp;"",BJ233&amp;""))</f>
        <v/>
      </c>
      <c r="AC233" s="0" t="str">
        <f aca="false">IF($A233="","",IF(AT233="Y",BR233&amp;"",BE233&amp;""))</f>
        <v>founder</v>
      </c>
      <c r="AD233" s="0" t="str">
        <f aca="false">IF($A233="","",IF(AT233="Y",BS233&amp;"",BF233&amp;""))</f>
        <v>verified-page</v>
      </c>
      <c r="AE233" s="0" t="str">
        <f aca="false">IF($A233="","",IF(AT233="Y",BT233&amp;"",BG233&amp;""))</f>
        <v>employer's own site</v>
      </c>
      <c r="AF233" s="0" t="str">
        <f aca="false">IF($A233="","",IF(AT233="Y",BU233&amp;"",BH233&amp;""))</f>
        <v>https://cobfoods.com/pages/our-story</v>
      </c>
      <c r="AG233" s="0" t="str">
        <f aca="false">IF($A233="","",IF(AT233="Y",BV233&amp;"",BI233&amp;""))</f>
        <v>2026-10-23</v>
      </c>
      <c r="AH233" s="0" t="s">
        <v>10794</v>
      </c>
      <c r="AI233" s="0" t="s">
        <v>5921</v>
      </c>
      <c r="AJ233" s="0" t="s">
        <v>10795</v>
      </c>
      <c r="AK233" s="0" t="s">
        <v>10796</v>
      </c>
      <c r="AL233" s="0" t="s">
        <v>164</v>
      </c>
      <c r="AM233" s="0" t="s">
        <v>10797</v>
      </c>
      <c r="AN233" s="0" t="s">
        <v>10789</v>
      </c>
      <c r="AO233" s="5" t="s">
        <v>189</v>
      </c>
      <c r="AR233" s="0" t="str">
        <f aca="false">IF($A233="","",IF(AND(CK233="pass",AO233&lt;&gt;"Y",C233&lt;&gt;"",OR(AU233&lt;&gt;"Y",AV233="Y")),"Y","N"))</f>
        <v>N</v>
      </c>
      <c r="AS233" s="0" t="str">
        <f aca="false">IF($A233="","",_xlfn.TEXTJOIN("; ",TRUE(),IF(CK233&lt;&gt;"pass","gated out",""),IF(AO233="Y","on hold: "&amp;AP233,""),IF(C233="","no contact named on an opened page",""),IF(AND(AU233="Y",AV233&lt;&gt;"Y"),"founder review pending (Founder review tab)","")))</f>
        <v>gated out; founder review pending (Founder review tab)</v>
      </c>
      <c r="AU233" s="0" t="s">
        <v>164</v>
      </c>
      <c r="AY233" s="0" t="s">
        <v>10798</v>
      </c>
      <c r="AZ233" s="0" t="s">
        <v>10799</v>
      </c>
      <c r="BA233" s="0" t="s">
        <v>5636</v>
      </c>
      <c r="BC233" s="0" t="str">
        <f aca="false">IF($A233="","",IFERROR(INDEX(Enrichment!$A$2:$GZ$2000,MATCH($A233,INDEX(Enrichment!$A$2:$GZ$2000,0,MATCH("row_id",Enrichment!$A$1:$GZ$1,0)),0),MATCH("work_email",Enrichment!$A$1:$GZ$1,0))&amp;"",""))</f>
        <v/>
      </c>
      <c r="BD233" s="0" t="str">
        <f aca="false">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none</v>
      </c>
      <c r="BE233" s="0" t="s">
        <v>5589</v>
      </c>
      <c r="BF233" s="0" t="s">
        <v>169</v>
      </c>
      <c r="BG233" s="0" t="s">
        <v>170</v>
      </c>
      <c r="BH233" s="0" t="s">
        <v>10793</v>
      </c>
      <c r="BI233" s="0" t="s">
        <v>263</v>
      </c>
      <c r="BK233" s="0" t="s">
        <v>5643</v>
      </c>
      <c r="BL233" s="0" t="s">
        <v>10800</v>
      </c>
      <c r="BM233" s="0" t="s">
        <v>209</v>
      </c>
      <c r="BN233" s="0" t="s">
        <v>5636</v>
      </c>
      <c r="BP233" s="0" t="str">
        <f aca="false">IF($A233="","",IFERROR(INDEX(Enrichment!$A$2:$GZ$2000,MATCH($A233,INDEX(Enrichment!$A$2:$GZ$2000,0,MATCH("row_id",Enrichment!$A$1:$GZ$1,0)),0),MATCH("backup_work_email",Enrichment!$A$1:$GZ$1,0))&amp;"",""))</f>
        <v/>
      </c>
      <c r="BQ233" s="0" t="str">
        <f aca="false">IF($A233="","",IF(BP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none</v>
      </c>
      <c r="BR233" s="0" t="s">
        <v>7748</v>
      </c>
      <c r="BS233" s="0" t="s">
        <v>5896</v>
      </c>
      <c r="BT233" s="0" t="s">
        <v>170</v>
      </c>
      <c r="BU233" s="0" t="s">
        <v>10793</v>
      </c>
      <c r="BV233" s="0" t="s">
        <v>263</v>
      </c>
      <c r="BX233" s="0" t="s">
        <v>5898</v>
      </c>
      <c r="BY233" s="0" t="s">
        <v>10801</v>
      </c>
      <c r="CB233" s="0" t="s">
        <v>10802</v>
      </c>
      <c r="CD233" s="0" t="s">
        <v>8098</v>
      </c>
      <c r="CF233" s="0" t="s">
        <v>10800</v>
      </c>
      <c r="CH233" s="0" t="s">
        <v>8098</v>
      </c>
      <c r="CJ233" s="0" t="s">
        <v>7088</v>
      </c>
      <c r="CK233" s="0" t="s">
        <v>4627</v>
      </c>
      <c r="CL233" s="0" t="s">
        <v>10005</v>
      </c>
      <c r="CM233" s="0" t="s">
        <v>10803</v>
      </c>
      <c r="CN233" s="0" t="s">
        <v>6799</v>
      </c>
      <c r="CO233" s="0" t="s">
        <v>10796</v>
      </c>
      <c r="CP233" s="0" t="s">
        <v>5608</v>
      </c>
      <c r="CQ233" s="0" t="s">
        <v>5609</v>
      </c>
      <c r="CR233" s="0" t="s">
        <v>209</v>
      </c>
      <c r="CT233" s="0" t="s">
        <v>164</v>
      </c>
      <c r="CU233" s="0" t="s">
        <v>10804</v>
      </c>
      <c r="CV233" s="0" t="s">
        <v>209</v>
      </c>
      <c r="CW233" s="0" t="s">
        <v>164</v>
      </c>
      <c r="CX233" s="0" t="s">
        <v>209</v>
      </c>
      <c r="CZ233" s="0" t="s">
        <v>209</v>
      </c>
      <c r="DA233" s="0" t="s">
        <v>164</v>
      </c>
      <c r="DB233" s="0" t="s">
        <v>164</v>
      </c>
      <c r="DC233" s="0" t="s">
        <v>10805</v>
      </c>
      <c r="DE233" s="0" t="s">
        <v>189</v>
      </c>
      <c r="DF233" s="0" t="n">
        <v>0</v>
      </c>
      <c r="DH233" s="0" t="s">
        <v>7473</v>
      </c>
      <c r="DI233" s="0" t="s">
        <v>7474</v>
      </c>
      <c r="DJ233" s="0" t="s">
        <v>10806</v>
      </c>
      <c r="DK233" s="0" t="s">
        <v>5689</v>
      </c>
      <c r="DL233" s="0" t="n">
        <v>57</v>
      </c>
      <c r="DN233" s="0" t="n">
        <v>41</v>
      </c>
      <c r="DO233" s="0" t="n">
        <v>6</v>
      </c>
      <c r="DP233" s="0" t="n">
        <v>20</v>
      </c>
      <c r="DQ233" s="0" t="n">
        <v>8</v>
      </c>
      <c r="DR233" s="0" t="n">
        <v>5</v>
      </c>
      <c r="DS233" s="0" t="n">
        <v>8</v>
      </c>
      <c r="DT233" s="0" t="n">
        <v>6</v>
      </c>
      <c r="DU233" s="0" t="n">
        <f aca="false">IF($A233="","",IF(R233="Y",10,0))</f>
        <v>0</v>
      </c>
      <c r="DV233" s="0" t="n">
        <v>-12</v>
      </c>
      <c r="DW233" s="0" t="s">
        <v>10807</v>
      </c>
      <c r="DX233" s="0" t="s">
        <v>5814</v>
      </c>
      <c r="DY233" s="0" t="s">
        <v>10808</v>
      </c>
      <c r="DZ233" s="0" t="s">
        <v>10809</v>
      </c>
      <c r="EV233" s="0" t="str">
        <f aca="false">IF($A233="","",IF(ISNUMBER(MATCH(U233,{"queued","contacted","replied","call_booked","call_done","yes_in_principle","materials_sent"},0)),"Y","N"))</f>
        <v>N</v>
      </c>
      <c r="EW233" s="0" t="str">
        <f aca="false">IF($A233="","",IF(OR(T233="Y",U233="do_not_contact",AQ233&amp;""&lt;&gt;""),"Y","N"))</f>
        <v>N</v>
      </c>
      <c r="EX233" s="0" t="str">
        <f aca="false">IF($A233="","",IF(AN233&amp;""&lt;&gt;"",AN233&amp;"",$A233))</f>
        <v>AB-014</v>
      </c>
      <c r="EY233" s="0" t="str">
        <f aca="false">IF($A233="","",IF(COUNTIFS($EX$2:$EX$1000,EX233,$EV$2:$EV$1000,"Y")+COUNTIFS($EX$2:$EX$1000,EX233,$EW$2:$EW$1000,"Y")&gt;0,"Y","N"))</f>
        <v>N</v>
      </c>
      <c r="EZ233" s="0" t="str">
        <f aca="false">IF($A233="","",IF(AND(U233="new",T233="N",EW233="N",AR233="Y",EY233="N"),"Y","N"))</f>
        <v>N</v>
      </c>
      <c r="FA233" s="0" t="str">
        <f aca="false">IF($A233="","",IF(EZ233&lt;&gt;"Y","N",IF(COUNTIFS($EX$2:$EX$1000,EX233,$EZ$2:$EZ$1000,"Y",$J$2:$J$1000,"&gt;"&amp;J233)+COUNTIFS($EX$2:$EX$1000,EX233,$EZ$2:$EZ$1000,"Y",$J$2:$J$1000,J233,$FG$2:$FG$1000,"&lt;"&amp;FG233)=0,"Y","N")))</f>
        <v>N</v>
      </c>
      <c r="FB233" s="0" t="str">
        <f aca="false">IF($A233="","",IF(AND(EZ233="Y",FA233="Y",Y233&amp;""&lt;&gt;""),IF(Y233&lt;=10,"Y","N"),"N"))</f>
        <v>N</v>
      </c>
      <c r="FC233" s="0" t="str">
        <f aca="false">IF(FB233="Y",Y233,"")</f>
        <v/>
      </c>
      <c r="FD233" s="0" t="str">
        <f aca="false">IF($A233="","",IF(AND(CK233="pass",AU233="Y",AV233&lt;&gt;"Y",U233="new",EW233="N"),"Y","N"))</f>
        <v>N</v>
      </c>
      <c r="FE233" s="0" t="str">
        <f aca="false">IF(FD233&lt;&gt;"Y","",IF(COUNTIFS($FD$2:$FD$1000,"Y",$J$2:$J$1000,"&gt;"&amp;J233)+COUNTIFS($FD$2:$FD$1000,"Y",$J$2:$J$1000,J233,$FG$2:$FG$1000,"&lt;"&amp;FG233)+1&lt;=30,COUNTIFS($FD$2:$FD$1000,"Y",$J$2:$J$1000,"&gt;"&amp;J233)+COUNTIFS($FD$2:$FD$1000,"Y",$J$2:$J$1000,J233,$FG$2:$FG$1000,"&lt;"&amp;FG233)+1,""))</f>
        <v/>
      </c>
      <c r="FF233" s="0" t="str">
        <f aca="false">IF(AND(_xlfn.ISFORMULA(C233),_xlfn.ISFORMULA(J233)),"Y","N")</f>
        <v>Y</v>
      </c>
      <c r="FG233" s="0" t="n">
        <f aca="false">ROW()-1</f>
        <v>232</v>
      </c>
    </row>
    <row r="234" customFormat="false" ht="15" hidden="false" customHeight="false" outlineLevel="0" collapsed="false">
      <c r="A234" s="0" t="s">
        <v>10810</v>
      </c>
      <c r="B234" s="0" t="s">
        <v>10811</v>
      </c>
      <c r="C234" s="0" t="str">
        <f aca="false">IF($A234="","",IF(AT234="Y",BL234&amp;"",AY234&amp;""))</f>
        <v>Chris</v>
      </c>
      <c r="D234" s="0" t="str">
        <f aca="false">IF($A234="","",IF(AT234="Y",BM234&amp;"",AZ234&amp;""))</f>
        <v>Li</v>
      </c>
      <c r="E234" s="0" t="str">
        <f aca="false">IF($A234="","",IF(AT234="Y",BN234&amp;"",BA234&amp;""))</f>
        <v>Founder</v>
      </c>
      <c r="F234" s="0" t="str">
        <f aca="false">IF($A234="","",IF(AT234="Y",BO234&amp;"",BB234&amp;""))</f>
        <v/>
      </c>
      <c r="G234" s="0" t="str">
        <f aca="false">IF($A234="","",IF(AT234="Y",BP234&amp;"",BC234&amp;""))</f>
        <v/>
      </c>
      <c r="H234" s="0" t="str">
        <f aca="false">IF($A234="","",IF(AT234="Y",BQ234&amp;"",BD234&amp;""))</f>
        <v>none</v>
      </c>
      <c r="I234" s="0" t="str">
        <f aca="false">IF($A234="","",IF(R234="Y","warm-intro",IF(H234="verified","email",IF(C234&lt;&gt;"","linkedin",CA234&amp;""))))</f>
        <v>linkedin</v>
      </c>
      <c r="J234" s="0" t="n">
        <f aca="false">IF($A234="","",IF(CK234="pass",ROUND(N(DO234)+N(DP234)+N(DQ234)+N(DR234)+N(DS234)+N(DT234)+N(DU234)+N(DV234),0),0))</f>
        <v>0</v>
      </c>
      <c r="K234" s="0" t="str">
        <f aca="false">IF($A234="","",IF(CK234&lt;&gt;"pass",BY234&amp;"",BY234&amp;", "&amp;IF(AT234="Y",BX234&amp;"",BK234&amp;"")&amp;BZ234&amp;IF(R234="Y","; known to the founder (+10)","")&amp;"."))</f>
        <v>Gated out: not-shelf-stable: Refrigerated: brand says to refrigerate on arrival (living kombucha).</v>
      </c>
      <c r="M234" s="0" t="s">
        <v>6144</v>
      </c>
      <c r="N234" s="0" t="s">
        <v>740</v>
      </c>
      <c r="O234" s="0" t="s">
        <v>10812</v>
      </c>
      <c r="P234" s="0" t="s">
        <v>10813</v>
      </c>
      <c r="Q234" s="0" t="s">
        <v>9278</v>
      </c>
      <c r="R234" s="5" t="s">
        <v>189</v>
      </c>
      <c r="S234" s="0" t="s">
        <v>209</v>
      </c>
      <c r="T234" s="5" t="s">
        <v>189</v>
      </c>
      <c r="U234" s="5" t="s">
        <v>3896</v>
      </c>
      <c r="V234" s="0" t="s">
        <v>10814</v>
      </c>
      <c r="W234" s="0" t="s">
        <v>263</v>
      </c>
      <c r="X234" s="0" t="s">
        <v>5578</v>
      </c>
      <c r="Y234" s="0" t="str">
        <f aca="false">IF(FA234&lt;&gt;"Y","",COUNTIFS($FA$2:$FA$1000,"Y",$J$2:$J$1000,"&gt;"&amp;J234)+COUNTIFS($FA$2:$FA$1000,"Y",$J$2:$J$1000,J234,$FG$2:$FG$1000,"&lt;"&amp;FG234)+1)</f>
        <v/>
      </c>
      <c r="AA234" s="0" t="s">
        <v>189</v>
      </c>
      <c r="AB234" s="0" t="str">
        <f aca="false">IF($A234="","",IF(AT234="Y",BW234&amp;"",BJ234&amp;""))</f>
        <v/>
      </c>
      <c r="AC234" s="0" t="str">
        <f aca="false">IF($A234="","",IF(AT234="Y",BR234&amp;"",BE234&amp;""))</f>
        <v>founder</v>
      </c>
      <c r="AD234" s="0" t="str">
        <f aca="false">IF($A234="","",IF(AT234="Y",BS234&amp;"",BF234&amp;""))</f>
        <v>verified-page</v>
      </c>
      <c r="AE234" s="0" t="str">
        <f aca="false">IF($A234="","",IF(AT234="Y",BT234&amp;"",BG234&amp;""))</f>
        <v>employer's own site</v>
      </c>
      <c r="AF234" s="0" t="str">
        <f aca="false">IF($A234="","",IF(AT234="Y",BU234&amp;"",BH234&amp;""))</f>
        <v>https://goodmoodkombucha.com/pages/about-us</v>
      </c>
      <c r="AG234" s="0" t="str">
        <f aca="false">IF($A234="","",IF(AT234="Y",BV234&amp;"",BI234&amp;""))</f>
        <v>2026-10-23</v>
      </c>
      <c r="AH234" s="0" t="s">
        <v>10815</v>
      </c>
      <c r="AI234" s="0" t="s">
        <v>6621</v>
      </c>
      <c r="AJ234" s="0" t="s">
        <v>5631</v>
      </c>
      <c r="AK234" s="0" t="s">
        <v>10816</v>
      </c>
      <c r="AL234" s="0" t="s">
        <v>189</v>
      </c>
      <c r="AN234" s="0" t="s">
        <v>10810</v>
      </c>
      <c r="AO234" s="5" t="s">
        <v>189</v>
      </c>
      <c r="AR234" s="0" t="str">
        <f aca="false">IF($A234="","",IF(AND(CK234="pass",AO234&lt;&gt;"Y",C234&lt;&gt;"",OR(AU234&lt;&gt;"Y",AV234="Y")),"Y","N"))</f>
        <v>N</v>
      </c>
      <c r="AS234" s="0" t="str">
        <f aca="false">IF($A234="","",_xlfn.TEXTJOIN("; ",TRUE(),IF(CK234&lt;&gt;"pass","gated out",""),IF(AO234="Y","on hold: "&amp;AP234,""),IF(C234="","no contact named on an opened page",""),IF(AND(AU234="Y",AV234&lt;&gt;"Y"),"founder review pending (Founder review tab)","")))</f>
        <v>gated out</v>
      </c>
      <c r="AU234" s="0" t="s">
        <v>189</v>
      </c>
      <c r="AY234" s="0" t="s">
        <v>5951</v>
      </c>
      <c r="AZ234" s="0" t="s">
        <v>10817</v>
      </c>
      <c r="BA234" s="0" t="s">
        <v>5739</v>
      </c>
      <c r="BC234" s="0" t="str">
        <f aca="false">IF($A234="","",IFERROR(INDEX(Enrichment!$A$2:$GZ$2000,MATCH($A234,INDEX(Enrichment!$A$2:$GZ$2000,0,MATCH("row_id",Enrichment!$A$1:$GZ$1,0)),0),MATCH("work_email",Enrichment!$A$1:$GZ$1,0))&amp;"",""))</f>
        <v/>
      </c>
      <c r="BD234" s="0" t="str">
        <f aca="false">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none</v>
      </c>
      <c r="BE234" s="0" t="s">
        <v>5589</v>
      </c>
      <c r="BF234" s="0" t="s">
        <v>169</v>
      </c>
      <c r="BG234" s="0" t="s">
        <v>170</v>
      </c>
      <c r="BH234" s="0" t="s">
        <v>10814</v>
      </c>
      <c r="BI234" s="0" t="s">
        <v>263</v>
      </c>
      <c r="BK234" s="0" t="s">
        <v>5643</v>
      </c>
      <c r="BP234" s="0" t="str">
        <f aca="false">IF($A234="","",IFERROR(INDEX(Enrichment!$A$2:$GZ$2000,MATCH($A234,INDEX(Enrichment!$A$2:$GZ$2000,0,MATCH("row_id",Enrichment!$A$1:$GZ$1,0)),0),MATCH("backup_work_email",Enrichment!$A$1:$GZ$1,0))&amp;"",""))</f>
        <v/>
      </c>
      <c r="BQ234" s="0" t="str">
        <f aca="false">IF($A234="","",IF(BP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none</v>
      </c>
      <c r="BS234" s="0" t="s">
        <v>380</v>
      </c>
      <c r="BX234" s="0" t="s">
        <v>388</v>
      </c>
      <c r="BY234" s="0" t="s">
        <v>10818</v>
      </c>
      <c r="CB234" s="0" t="s">
        <v>10819</v>
      </c>
      <c r="CJ234" s="0" t="s">
        <v>7088</v>
      </c>
      <c r="CK234" s="0" t="s">
        <v>4627</v>
      </c>
      <c r="CL234" s="0" t="s">
        <v>10343</v>
      </c>
      <c r="CM234" s="0" t="s">
        <v>10820</v>
      </c>
      <c r="CO234" s="0" t="s">
        <v>10816</v>
      </c>
      <c r="CP234" s="0" t="s">
        <v>5608</v>
      </c>
      <c r="CQ234" s="0" t="s">
        <v>5609</v>
      </c>
      <c r="CR234" s="0" t="s">
        <v>209</v>
      </c>
      <c r="CT234" s="0" t="s">
        <v>189</v>
      </c>
      <c r="CU234" s="0" t="s">
        <v>10821</v>
      </c>
      <c r="CV234" s="0" t="s">
        <v>164</v>
      </c>
      <c r="CW234" s="0" t="s">
        <v>164</v>
      </c>
      <c r="CX234" s="0" t="s">
        <v>209</v>
      </c>
      <c r="CZ234" s="0" t="s">
        <v>6456</v>
      </c>
      <c r="DA234" s="0" t="s">
        <v>189</v>
      </c>
      <c r="DB234" s="0" t="s">
        <v>164</v>
      </c>
      <c r="DC234" s="0" t="s">
        <v>10822</v>
      </c>
      <c r="DE234" s="0" t="s">
        <v>189</v>
      </c>
      <c r="DF234" s="0" t="n">
        <v>0</v>
      </c>
      <c r="DH234" s="0" t="s">
        <v>8505</v>
      </c>
      <c r="DI234" s="0" t="s">
        <v>10823</v>
      </c>
      <c r="DJ234" s="0" t="s">
        <v>10813</v>
      </c>
      <c r="DK234" s="0" t="s">
        <v>5689</v>
      </c>
      <c r="DL234" s="0" t="n">
        <v>25</v>
      </c>
      <c r="DN234" s="0" t="n">
        <v>51</v>
      </c>
      <c r="DO234" s="0" t="n">
        <v>6</v>
      </c>
      <c r="DP234" s="0" t="n">
        <v>20</v>
      </c>
      <c r="DQ234" s="0" t="n">
        <v>8</v>
      </c>
      <c r="DR234" s="0" t="n">
        <v>5</v>
      </c>
      <c r="DS234" s="0" t="n">
        <v>6</v>
      </c>
      <c r="DT234" s="0" t="n">
        <v>6</v>
      </c>
      <c r="DU234" s="0" t="n">
        <f aca="false">IF($A234="","",IF(R234="Y",10,0))</f>
        <v>0</v>
      </c>
      <c r="DV234" s="0" t="n">
        <v>0</v>
      </c>
      <c r="DW234" s="0" t="s">
        <v>209</v>
      </c>
      <c r="DX234" s="0" t="s">
        <v>6462</v>
      </c>
      <c r="DY234" s="0" t="s">
        <v>10824</v>
      </c>
      <c r="DZ234" s="0" t="s">
        <v>10825</v>
      </c>
      <c r="EV234" s="0" t="str">
        <f aca="false">IF($A234="","",IF(ISNUMBER(MATCH(U234,{"queued","contacted","replied","call_booked","call_done","yes_in_principle","materials_sent"},0)),"Y","N"))</f>
        <v>N</v>
      </c>
      <c r="EW234" s="0" t="str">
        <f aca="false">IF($A234="","",IF(OR(T234="Y",U234="do_not_contact",AQ234&amp;""&lt;&gt;""),"Y","N"))</f>
        <v>N</v>
      </c>
      <c r="EX234" s="0" t="str">
        <f aca="false">IF($A234="","",IF(AN234&amp;""&lt;&gt;"",AN234&amp;"",$A234))</f>
        <v>AB-203</v>
      </c>
      <c r="EY234" s="0" t="str">
        <f aca="false">IF($A234="","",IF(COUNTIFS($EX$2:$EX$1000,EX234,$EV$2:$EV$1000,"Y")+COUNTIFS($EX$2:$EX$1000,EX234,$EW$2:$EW$1000,"Y")&gt;0,"Y","N"))</f>
        <v>N</v>
      </c>
      <c r="EZ234" s="0" t="str">
        <f aca="false">IF($A234="","",IF(AND(U234="new",T234="N",EW234="N",AR234="Y",EY234="N"),"Y","N"))</f>
        <v>N</v>
      </c>
      <c r="FA234" s="0" t="str">
        <f aca="false">IF($A234="","",IF(EZ234&lt;&gt;"Y","N",IF(COUNTIFS($EX$2:$EX$1000,EX234,$EZ$2:$EZ$1000,"Y",$J$2:$J$1000,"&gt;"&amp;J234)+COUNTIFS($EX$2:$EX$1000,EX234,$EZ$2:$EZ$1000,"Y",$J$2:$J$1000,J234,$FG$2:$FG$1000,"&lt;"&amp;FG234)=0,"Y","N")))</f>
        <v>N</v>
      </c>
      <c r="FB234" s="0" t="str">
        <f aca="false">IF($A234="","",IF(AND(EZ234="Y",FA234="Y",Y234&amp;""&lt;&gt;""),IF(Y234&lt;=10,"Y","N"),"N"))</f>
        <v>N</v>
      </c>
      <c r="FC234" s="0" t="str">
        <f aca="false">IF(FB234="Y",Y234,"")</f>
        <v/>
      </c>
      <c r="FD234" s="0" t="str">
        <f aca="false">IF($A234="","",IF(AND(CK234="pass",AU234="Y",AV234&lt;&gt;"Y",U234="new",EW234="N"),"Y","N"))</f>
        <v>N</v>
      </c>
      <c r="FE234" s="0" t="str">
        <f aca="false">IF(FD234&lt;&gt;"Y","",IF(COUNTIFS($FD$2:$FD$1000,"Y",$J$2:$J$1000,"&gt;"&amp;J234)+COUNTIFS($FD$2:$FD$1000,"Y",$J$2:$J$1000,J234,$FG$2:$FG$1000,"&lt;"&amp;FG234)+1&lt;=30,COUNTIFS($FD$2:$FD$1000,"Y",$J$2:$J$1000,"&gt;"&amp;J234)+COUNTIFS($FD$2:$FD$1000,"Y",$J$2:$J$1000,J234,$FG$2:$FG$1000,"&lt;"&amp;FG234)+1,""))</f>
        <v/>
      </c>
      <c r="FF234" s="0" t="str">
        <f aca="false">IF(AND(_xlfn.ISFORMULA(C234),_xlfn.ISFORMULA(J234)),"Y","N")</f>
        <v>Y</v>
      </c>
      <c r="FG234" s="0" t="n">
        <f aca="false">ROW()-1</f>
        <v>233</v>
      </c>
    </row>
    <row r="235" customFormat="false" ht="15" hidden="false" customHeight="false" outlineLevel="0" collapsed="false">
      <c r="A235" s="0" t="s">
        <v>10826</v>
      </c>
      <c r="B235" s="0" t="s">
        <v>10827</v>
      </c>
      <c r="C235" s="0" t="str">
        <f aca="false">IF($A235="","",IF(AT235="Y",BL235&amp;"",AY235&amp;""))</f>
        <v>John</v>
      </c>
      <c r="D235" s="0" t="str">
        <f aca="false">IF($A235="","",IF(AT235="Y",BM235&amp;"",AZ235&amp;""))</f>
        <v>Harney</v>
      </c>
      <c r="E235" s="0" t="str">
        <f aca="false">IF($A235="","",IF(AT235="Y",BN235&amp;"",BA235&amp;""))</f>
        <v>Founder and President</v>
      </c>
      <c r="F235" s="0" t="str">
        <f aca="false">IF($A235="","",IF(AT235="Y",BO235&amp;"",BB235&amp;""))</f>
        <v/>
      </c>
      <c r="G235" s="0" t="str">
        <f aca="false">IF($A235="","",IF(AT235="Y",BP235&amp;"",BC235&amp;""))</f>
        <v/>
      </c>
      <c r="H235" s="0" t="str">
        <f aca="false">IF($A235="","",IF(AT235="Y",BQ235&amp;"",BD235&amp;""))</f>
        <v>none</v>
      </c>
      <c r="I235" s="0" t="str">
        <f aca="false">IF($A235="","",IF(R235="Y","warm-intro",IF(H235="verified","email",IF(C235&lt;&gt;"","linkedin",CA235&amp;""))))</f>
        <v>linkedin</v>
      </c>
      <c r="J235" s="0" t="n">
        <f aca="false">IF($A235="","",IF(CK235="pass",ROUND(N(DO235)+N(DP235)+N(DQ235)+N(DR235)+N(DS235)+N(DT235)+N(DU235)+N(DV235),0),0))</f>
        <v>0</v>
      </c>
      <c r="K235" s="0" t="str">
        <f aca="false">IF($A235="","",IF(CK235&lt;&gt;"pass",BY235&amp;"",BY235&amp;", "&amp;IF(AT235="Y",BX235&amp;"",BK235&amp;"")&amp;BZ235&amp;IF(R235="Y","; known to the founder (+10)","")&amp;"."))</f>
        <v>Gated out: excluded-category: explicit health claim in the brand's own copy (opened 2026-10-24): 'this unique combination supports joint health, immunity, healthy digestio.</v>
      </c>
      <c r="M235" s="0" t="s">
        <v>6144</v>
      </c>
      <c r="N235" s="0" t="s">
        <v>740</v>
      </c>
      <c r="O235" s="0" t="s">
        <v>10828</v>
      </c>
      <c r="P235" s="0" t="s">
        <v>10829</v>
      </c>
      <c r="Q235" s="0" t="s">
        <v>6762</v>
      </c>
      <c r="R235" s="5" t="s">
        <v>189</v>
      </c>
      <c r="S235" s="0" t="s">
        <v>209</v>
      </c>
      <c r="T235" s="5" t="s">
        <v>189</v>
      </c>
      <c r="U235" s="5" t="s">
        <v>3896</v>
      </c>
      <c r="V235" s="0" t="s">
        <v>10830</v>
      </c>
      <c r="W235" s="0" t="s">
        <v>263</v>
      </c>
      <c r="X235" s="0" t="s">
        <v>5578</v>
      </c>
      <c r="Y235" s="0" t="str">
        <f aca="false">IF(FA235&lt;&gt;"Y","",COUNTIFS($FA$2:$FA$1000,"Y",$J$2:$J$1000,"&gt;"&amp;J235)+COUNTIFS($FA$2:$FA$1000,"Y",$J$2:$J$1000,J235,$FG$2:$FG$1000,"&lt;"&amp;FG235)+1)</f>
        <v/>
      </c>
      <c r="AA235" s="0" t="s">
        <v>189</v>
      </c>
      <c r="AB235" s="0" t="str">
        <f aca="false">IF($A235="","",IF(AT235="Y",BW235&amp;"",BJ235&amp;""))</f>
        <v/>
      </c>
      <c r="AC235" s="0" t="str">
        <f aca="false">IF($A235="","",IF(AT235="Y",BR235&amp;"",BE235&amp;""))</f>
        <v>founder</v>
      </c>
      <c r="AD235" s="0" t="str">
        <f aca="false">IF($A235="","",IF(AT235="Y",BS235&amp;"",BF235&amp;""))</f>
        <v>verified-page</v>
      </c>
      <c r="AE235" s="0" t="str">
        <f aca="false">IF($A235="","",IF(AT235="Y",BT235&amp;"",BG235&amp;""))</f>
        <v>employer's own site</v>
      </c>
      <c r="AF235" s="0" t="str">
        <f aca="false">IF($A235="","",IF(AT235="Y",BU235&amp;"",BH235&amp;""))</f>
        <v>https://www.harney.com/pages/about-us</v>
      </c>
      <c r="AG235" s="0" t="str">
        <f aca="false">IF($A235="","",IF(AT235="Y",BV235&amp;"",BI235&amp;""))</f>
        <v>2026-10-23</v>
      </c>
      <c r="AH235" s="0" t="s">
        <v>10831</v>
      </c>
      <c r="AI235" s="0" t="s">
        <v>6621</v>
      </c>
      <c r="AJ235" s="0" t="s">
        <v>10832</v>
      </c>
      <c r="AK235" s="0" t="s">
        <v>10833</v>
      </c>
      <c r="AL235" s="0" t="s">
        <v>164</v>
      </c>
      <c r="AM235" s="0" t="s">
        <v>10834</v>
      </c>
      <c r="AN235" s="0" t="s">
        <v>10826</v>
      </c>
      <c r="AO235" s="5" t="s">
        <v>189</v>
      </c>
      <c r="AR235" s="0" t="str">
        <f aca="false">IF($A235="","",IF(AND(CK235="pass",AO235&lt;&gt;"Y",C235&lt;&gt;"",OR(AU235&lt;&gt;"Y",AV235="Y")),"Y","N"))</f>
        <v>N</v>
      </c>
      <c r="AS235" s="0" t="str">
        <f aca="false">IF($A235="","",_xlfn.TEXTJOIN("; ",TRUE(),IF(CK235&lt;&gt;"pass","gated out",""),IF(AO235="Y","on hold: "&amp;AP235,""),IF(C235="","no contact named on an opened page",""),IF(AND(AU235="Y",AV235&lt;&gt;"Y"),"founder review pending (Founder review tab)","")))</f>
        <v>gated out; founder review pending (Founder review tab)</v>
      </c>
      <c r="AU235" s="0" t="s">
        <v>164</v>
      </c>
      <c r="AY235" s="0" t="s">
        <v>9658</v>
      </c>
      <c r="AZ235" s="0" t="s">
        <v>10835</v>
      </c>
      <c r="BA235" s="0" t="s">
        <v>10836</v>
      </c>
      <c r="BC235" s="0" t="str">
        <f aca="false">IF($A235="","",IFERROR(INDEX(Enrichment!$A$2:$GZ$2000,MATCH($A235,INDEX(Enrichment!$A$2:$GZ$2000,0,MATCH("row_id",Enrichment!$A$1:$GZ$1,0)),0),MATCH("work_email",Enrichment!$A$1:$GZ$1,0))&amp;"",""))</f>
        <v/>
      </c>
      <c r="BD235" s="0" t="str">
        <f aca="false">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none</v>
      </c>
      <c r="BE235" s="0" t="s">
        <v>5589</v>
      </c>
      <c r="BF235" s="0" t="s">
        <v>169</v>
      </c>
      <c r="BG235" s="0" t="s">
        <v>170</v>
      </c>
      <c r="BH235" s="0" t="s">
        <v>10837</v>
      </c>
      <c r="BI235" s="0" t="s">
        <v>263</v>
      </c>
      <c r="BK235" s="0" t="s">
        <v>5643</v>
      </c>
      <c r="BP235" s="0" t="str">
        <f aca="false">IF($A235="","",IFERROR(INDEX(Enrichment!$A$2:$GZ$2000,MATCH($A235,INDEX(Enrichment!$A$2:$GZ$2000,0,MATCH("row_id",Enrichment!$A$1:$GZ$1,0)),0),MATCH("backup_work_email",Enrichment!$A$1:$GZ$1,0))&amp;"",""))</f>
        <v/>
      </c>
      <c r="BQ235" s="0" t="str">
        <f aca="false">IF($A235="","",IF(BP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none</v>
      </c>
      <c r="BS235" s="0" t="s">
        <v>380</v>
      </c>
      <c r="BX235" s="0" t="s">
        <v>388</v>
      </c>
      <c r="BY235" s="0" t="s">
        <v>10838</v>
      </c>
      <c r="CB235" s="0" t="s">
        <v>10839</v>
      </c>
      <c r="CJ235" s="0" t="s">
        <v>7088</v>
      </c>
      <c r="CK235" s="0" t="s">
        <v>4627</v>
      </c>
      <c r="CL235" s="0" t="s">
        <v>10840</v>
      </c>
      <c r="CM235" s="0" t="s">
        <v>10841</v>
      </c>
      <c r="CN235" s="0" t="s">
        <v>10842</v>
      </c>
      <c r="CO235" s="0" t="s">
        <v>10843</v>
      </c>
      <c r="CP235" s="0" t="s">
        <v>5608</v>
      </c>
      <c r="CQ235" s="0" t="s">
        <v>5870</v>
      </c>
      <c r="CR235" s="0" t="s">
        <v>10844</v>
      </c>
      <c r="CS235" s="0" t="s">
        <v>10837</v>
      </c>
      <c r="CT235" s="0" t="s">
        <v>209</v>
      </c>
      <c r="CU235" s="0" t="s">
        <v>10845</v>
      </c>
      <c r="CV235" s="0" t="s">
        <v>164</v>
      </c>
      <c r="CW235" s="0" t="s">
        <v>164</v>
      </c>
      <c r="CX235" s="0" t="s">
        <v>209</v>
      </c>
      <c r="CZ235" s="0" t="s">
        <v>6456</v>
      </c>
      <c r="DA235" s="0" t="s">
        <v>189</v>
      </c>
      <c r="DB235" s="0" t="s">
        <v>164</v>
      </c>
      <c r="DC235" s="0" t="s">
        <v>10846</v>
      </c>
      <c r="DE235" s="0" t="s">
        <v>189</v>
      </c>
      <c r="DF235" s="0" t="n">
        <v>0</v>
      </c>
      <c r="DI235" s="0" t="s">
        <v>10847</v>
      </c>
      <c r="DK235" s="0" t="s">
        <v>5689</v>
      </c>
      <c r="DL235" s="0" t="n">
        <v>120</v>
      </c>
      <c r="DN235" s="0" t="n">
        <v>41</v>
      </c>
      <c r="DO235" s="0" t="n">
        <v>6</v>
      </c>
      <c r="DP235" s="0" t="n">
        <v>13</v>
      </c>
      <c r="DQ235" s="0" t="n">
        <v>8</v>
      </c>
      <c r="DR235" s="0" t="n">
        <v>5</v>
      </c>
      <c r="DS235" s="0" t="n">
        <v>7</v>
      </c>
      <c r="DT235" s="0" t="n">
        <v>6</v>
      </c>
      <c r="DU235" s="0" t="n">
        <f aca="false">IF($A235="","",IF(R235="Y",10,0))</f>
        <v>0</v>
      </c>
      <c r="DV235" s="0" t="n">
        <v>-4</v>
      </c>
      <c r="DW235" s="0" t="s">
        <v>10848</v>
      </c>
      <c r="DX235" s="0" t="s">
        <v>6462</v>
      </c>
      <c r="DY235" s="0" t="s">
        <v>10849</v>
      </c>
      <c r="DZ235" s="0" t="s">
        <v>10850</v>
      </c>
      <c r="EA235" s="0" t="s">
        <v>10851</v>
      </c>
      <c r="EV235" s="0" t="str">
        <f aca="false">IF($A235="","",IF(ISNUMBER(MATCH(U235,{"queued","contacted","replied","call_booked","call_done","yes_in_principle","materials_sent"},0)),"Y","N"))</f>
        <v>N</v>
      </c>
      <c r="EW235" s="0" t="str">
        <f aca="false">IF($A235="","",IF(OR(T235="Y",U235="do_not_contact",AQ235&amp;""&lt;&gt;""),"Y","N"))</f>
        <v>N</v>
      </c>
      <c r="EX235" s="0" t="str">
        <f aca="false">IF($A235="","",IF(AN235&amp;""&lt;&gt;"",AN235&amp;"",$A235))</f>
        <v>AB-150</v>
      </c>
      <c r="EY235" s="0" t="str">
        <f aca="false">IF($A235="","",IF(COUNTIFS($EX$2:$EX$1000,EX235,$EV$2:$EV$1000,"Y")+COUNTIFS($EX$2:$EX$1000,EX235,$EW$2:$EW$1000,"Y")&gt;0,"Y","N"))</f>
        <v>N</v>
      </c>
      <c r="EZ235" s="0" t="str">
        <f aca="false">IF($A235="","",IF(AND(U235="new",T235="N",EW235="N",AR235="Y",EY235="N"),"Y","N"))</f>
        <v>N</v>
      </c>
      <c r="FA235" s="0" t="str">
        <f aca="false">IF($A235="","",IF(EZ235&lt;&gt;"Y","N",IF(COUNTIFS($EX$2:$EX$1000,EX235,$EZ$2:$EZ$1000,"Y",$J$2:$J$1000,"&gt;"&amp;J235)+COUNTIFS($EX$2:$EX$1000,EX235,$EZ$2:$EZ$1000,"Y",$J$2:$J$1000,J235,$FG$2:$FG$1000,"&lt;"&amp;FG235)=0,"Y","N")))</f>
        <v>N</v>
      </c>
      <c r="FB235" s="0" t="str">
        <f aca="false">IF($A235="","",IF(AND(EZ235="Y",FA235="Y",Y235&amp;""&lt;&gt;""),IF(Y235&lt;=10,"Y","N"),"N"))</f>
        <v>N</v>
      </c>
      <c r="FC235" s="0" t="str">
        <f aca="false">IF(FB235="Y",Y235,"")</f>
        <v/>
      </c>
      <c r="FD235" s="0" t="str">
        <f aca="false">IF($A235="","",IF(AND(CK235="pass",AU235="Y",AV235&lt;&gt;"Y",U235="new",EW235="N"),"Y","N"))</f>
        <v>N</v>
      </c>
      <c r="FE235" s="0" t="str">
        <f aca="false">IF(FD235&lt;&gt;"Y","",IF(COUNTIFS($FD$2:$FD$1000,"Y",$J$2:$J$1000,"&gt;"&amp;J235)+COUNTIFS($FD$2:$FD$1000,"Y",$J$2:$J$1000,J235,$FG$2:$FG$1000,"&lt;"&amp;FG235)+1&lt;=30,COUNTIFS($FD$2:$FD$1000,"Y",$J$2:$J$1000,"&gt;"&amp;J235)+COUNTIFS($FD$2:$FD$1000,"Y",$J$2:$J$1000,J235,$FG$2:$FG$1000,"&lt;"&amp;FG235)+1,""))</f>
        <v/>
      </c>
      <c r="FF235" s="0" t="str">
        <f aca="false">IF(AND(_xlfn.ISFORMULA(C235),_xlfn.ISFORMULA(J235)),"Y","N")</f>
        <v>Y</v>
      </c>
      <c r="FG235" s="0" t="n">
        <f aca="false">ROW()-1</f>
        <v>234</v>
      </c>
    </row>
    <row r="236" customFormat="false" ht="15" hidden="false" customHeight="false" outlineLevel="0" collapsed="false">
      <c r="A236" s="0" t="s">
        <v>10852</v>
      </c>
      <c r="B236" s="0" t="s">
        <v>10853</v>
      </c>
      <c r="C236" s="0" t="str">
        <f aca="false">IF($A236="","",IF(AT236="Y",BL236&amp;"",AY236&amp;""))</f>
        <v>Carol</v>
      </c>
      <c r="D236" s="0" t="str">
        <f aca="false">IF($A236="","",IF(AT236="Y",BM236&amp;"",AZ236&amp;""))</f>
        <v>Fitzgerald</v>
      </c>
      <c r="E236" s="0" t="str">
        <f aca="false">IF($A236="","",IF(AT236="Y",BN236&amp;"",BA236&amp;""))</f>
        <v>Founder</v>
      </c>
      <c r="F236" s="0" t="str">
        <f aca="false">IF($A236="","",IF(AT236="Y",BO236&amp;"",BB236&amp;""))</f>
        <v/>
      </c>
      <c r="G236" s="0" t="str">
        <f aca="false">IF($A236="","",IF(AT236="Y",BP236&amp;"",BC236&amp;""))</f>
        <v/>
      </c>
      <c r="H236" s="0" t="str">
        <f aca="false">IF($A236="","",IF(AT236="Y",BQ236&amp;"",BD236&amp;""))</f>
        <v>none</v>
      </c>
      <c r="I236" s="0" t="str">
        <f aca="false">IF($A236="","",IF(R236="Y","warm-intro",IF(H236="verified","email",IF(C236&lt;&gt;"","linkedin",CA236&amp;""))))</f>
        <v>linkedin</v>
      </c>
      <c r="J236" s="0" t="n">
        <f aca="false">IF($A236="","",IF(CK236="pass",ROUND(N(DO236)+N(DP236)+N(DQ236)+N(DR236)+N(DS236)+N(DT236)+N(DU236)+N(DV236),0),0))</f>
        <v>0</v>
      </c>
      <c r="K236" s="0" t="str">
        <f aca="false">IF($A236="","",IF(CK236&lt;&gt;"pass",BY236&amp;"",BY236&amp;", "&amp;IF(AT236="Y",BX236&amp;"",BK236&amp;"")&amp;BZ236&amp;IF(R236="Y","; known to the founder (+10)","")&amp;"."))</f>
        <v>Gated out: excluded-category: Alcohol: homepage describes the fudge as 'Alcohol Infused' (bourbon and Cabernet Sauvignon).</v>
      </c>
      <c r="M236" s="0" t="s">
        <v>6144</v>
      </c>
      <c r="N236" s="0" t="s">
        <v>740</v>
      </c>
      <c r="O236" s="0" t="s">
        <v>10854</v>
      </c>
      <c r="P236" s="0" t="s">
        <v>10855</v>
      </c>
      <c r="Q236" s="0" t="s">
        <v>10856</v>
      </c>
      <c r="R236" s="5" t="s">
        <v>189</v>
      </c>
      <c r="S236" s="0" t="s">
        <v>164</v>
      </c>
      <c r="T236" s="5" t="s">
        <v>189</v>
      </c>
      <c r="U236" s="5" t="s">
        <v>3896</v>
      </c>
      <c r="V236" s="0" t="s">
        <v>10857</v>
      </c>
      <c r="W236" s="0" t="s">
        <v>263</v>
      </c>
      <c r="X236" s="0" t="s">
        <v>5578</v>
      </c>
      <c r="Y236" s="0" t="str">
        <f aca="false">IF(FA236&lt;&gt;"Y","",COUNTIFS($FA$2:$FA$1000,"Y",$J$2:$J$1000,"&gt;"&amp;J236)+COUNTIFS($FA$2:$FA$1000,"Y",$J$2:$J$1000,J236,$FG$2:$FG$1000,"&lt;"&amp;FG236)+1)</f>
        <v/>
      </c>
      <c r="AA236" s="0" t="s">
        <v>189</v>
      </c>
      <c r="AB236" s="0" t="str">
        <f aca="false">IF($A236="","",IF(AT236="Y",BW236&amp;"",BJ236&amp;""))</f>
        <v/>
      </c>
      <c r="AC236" s="0" t="str">
        <f aca="false">IF($A236="","",IF(AT236="Y",BR236&amp;"",BE236&amp;""))</f>
        <v>founder</v>
      </c>
      <c r="AD236" s="0" t="str">
        <f aca="false">IF($A236="","",IF(AT236="Y",BS236&amp;"",BF236&amp;""))</f>
        <v>verified-page</v>
      </c>
      <c r="AE236" s="0" t="str">
        <f aca="false">IF($A236="","",IF(AT236="Y",BT236&amp;"",BG236&amp;""))</f>
        <v>press, event or podcast page</v>
      </c>
      <c r="AF236" s="0" t="str">
        <f aca="false">IF($A236="","",IF(AT236="Y",BU236&amp;"",BH236&amp;""))</f>
        <v>https://startupcpg.com/startup-cpg-newswire-hazy-fudge-named-2026-sofi-gold-finalist-in-chocolate-confections/</v>
      </c>
      <c r="AG236" s="0" t="str">
        <f aca="false">IF($A236="","",IF(AT236="Y",BV236&amp;"",BI236&amp;""))</f>
        <v>2026-10-23</v>
      </c>
      <c r="AH236" s="0" t="s">
        <v>10858</v>
      </c>
      <c r="AI236" s="0" t="s">
        <v>5664</v>
      </c>
      <c r="AJ236" s="0" t="s">
        <v>10859</v>
      </c>
      <c r="AK236" s="0" t="s">
        <v>10860</v>
      </c>
      <c r="AL236" s="0" t="s">
        <v>164</v>
      </c>
      <c r="AM236" s="0" t="s">
        <v>10604</v>
      </c>
      <c r="AN236" s="0" t="s">
        <v>10852</v>
      </c>
      <c r="AO236" s="5" t="s">
        <v>189</v>
      </c>
      <c r="AR236" s="0" t="str">
        <f aca="false">IF($A236="","",IF(AND(CK236="pass",AO236&lt;&gt;"Y",C236&lt;&gt;"",OR(AU236&lt;&gt;"Y",AV236="Y")),"Y","N"))</f>
        <v>N</v>
      </c>
      <c r="AS236" s="0" t="str">
        <f aca="false">IF($A236="","",_xlfn.TEXTJOIN("; ",TRUE(),IF(CK236&lt;&gt;"pass","gated out",""),IF(AO236="Y","on hold: "&amp;AP236,""),IF(C236="","no contact named on an opened page",""),IF(AND(AU236="Y",AV236&lt;&gt;"Y"),"founder review pending (Founder review tab)","")))</f>
        <v>gated out</v>
      </c>
      <c r="AU236" s="0" t="s">
        <v>189</v>
      </c>
      <c r="AY236" s="0" t="s">
        <v>9069</v>
      </c>
      <c r="AZ236" s="0" t="s">
        <v>10861</v>
      </c>
      <c r="BA236" s="0" t="s">
        <v>5739</v>
      </c>
      <c r="BC236" s="0" t="str">
        <f aca="false">IF($A236="","",IFERROR(INDEX(Enrichment!$A$2:$GZ$2000,MATCH($A236,INDEX(Enrichment!$A$2:$GZ$2000,0,MATCH("row_id",Enrichment!$A$1:$GZ$1,0)),0),MATCH("work_email",Enrichment!$A$1:$GZ$1,0))&amp;"",""))</f>
        <v/>
      </c>
      <c r="BD236" s="0" t="str">
        <f aca="false">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none</v>
      </c>
      <c r="BE236" s="0" t="s">
        <v>5589</v>
      </c>
      <c r="BF236" s="0" t="s">
        <v>169</v>
      </c>
      <c r="BG236" s="0" t="s">
        <v>1252</v>
      </c>
      <c r="BH236" s="0" t="s">
        <v>10855</v>
      </c>
      <c r="BI236" s="0" t="s">
        <v>263</v>
      </c>
      <c r="BK236" s="0" t="s">
        <v>5643</v>
      </c>
      <c r="BP236" s="0" t="str">
        <f aca="false">IF($A236="","",IFERROR(INDEX(Enrichment!$A$2:$GZ$2000,MATCH($A236,INDEX(Enrichment!$A$2:$GZ$2000,0,MATCH("row_id",Enrichment!$A$1:$GZ$1,0)),0),MATCH("backup_work_email",Enrichment!$A$1:$GZ$1,0))&amp;"",""))</f>
        <v/>
      </c>
      <c r="BQ236" s="0" t="str">
        <f aca="false">IF($A236="","",IF(BP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none</v>
      </c>
      <c r="BS236" s="0" t="s">
        <v>380</v>
      </c>
      <c r="BX236" s="0" t="s">
        <v>388</v>
      </c>
      <c r="BY236" s="0" t="s">
        <v>10862</v>
      </c>
      <c r="CB236" s="0" t="s">
        <v>10863</v>
      </c>
      <c r="CJ236" s="0" t="s">
        <v>7088</v>
      </c>
      <c r="CK236" s="0" t="s">
        <v>4627</v>
      </c>
      <c r="CL236" s="0" t="s">
        <v>10864</v>
      </c>
      <c r="CM236" s="0" t="s">
        <v>10865</v>
      </c>
      <c r="CN236" s="0" t="s">
        <v>5774</v>
      </c>
      <c r="CO236" s="0" t="s">
        <v>10860</v>
      </c>
      <c r="CP236" s="0" t="s">
        <v>5608</v>
      </c>
      <c r="CQ236" s="0" t="s">
        <v>5870</v>
      </c>
      <c r="CR236" s="0" t="s">
        <v>10866</v>
      </c>
      <c r="CT236" s="0" t="s">
        <v>209</v>
      </c>
      <c r="CU236" s="0" t="s">
        <v>10867</v>
      </c>
      <c r="CV236" s="0" t="s">
        <v>209</v>
      </c>
      <c r="CW236" s="0" t="s">
        <v>164</v>
      </c>
      <c r="CX236" s="0" t="s">
        <v>209</v>
      </c>
      <c r="CZ236" s="0" t="s">
        <v>10868</v>
      </c>
      <c r="DA236" s="0" t="s">
        <v>189</v>
      </c>
      <c r="DB236" s="0" t="s">
        <v>164</v>
      </c>
      <c r="DC236" s="0" t="s">
        <v>10869</v>
      </c>
      <c r="DE236" s="0" t="s">
        <v>189</v>
      </c>
      <c r="DF236" s="0" t="n">
        <v>0</v>
      </c>
      <c r="DI236" s="0" t="s">
        <v>10870</v>
      </c>
      <c r="DK236" s="0" t="s">
        <v>5617</v>
      </c>
      <c r="DL236" s="0" t="n">
        <v>309</v>
      </c>
      <c r="DM236" s="0" t="s">
        <v>10855</v>
      </c>
      <c r="DN236" s="0" t="n">
        <v>43</v>
      </c>
      <c r="DO236" s="0" t="n">
        <v>6</v>
      </c>
      <c r="DP236" s="0" t="n">
        <v>13</v>
      </c>
      <c r="DQ236" s="0" t="n">
        <v>8</v>
      </c>
      <c r="DR236" s="0" t="n">
        <v>5</v>
      </c>
      <c r="DS236" s="0" t="n">
        <v>5</v>
      </c>
      <c r="DT236" s="0" t="n">
        <v>6</v>
      </c>
      <c r="DU236" s="0" t="n">
        <f aca="false">IF($A236="","",IF(R236="Y",10,0))</f>
        <v>0</v>
      </c>
      <c r="DV236" s="0" t="n">
        <v>0</v>
      </c>
      <c r="DX236" s="0" t="s">
        <v>5619</v>
      </c>
      <c r="DY236" s="0" t="s">
        <v>10871</v>
      </c>
      <c r="DZ236" s="0" t="s">
        <v>10872</v>
      </c>
      <c r="EV236" s="0" t="str">
        <f aca="false">IF($A236="","",IF(ISNUMBER(MATCH(U236,{"queued","contacted","replied","call_booked","call_done","yes_in_principle","materials_sent"},0)),"Y","N"))</f>
        <v>N</v>
      </c>
      <c r="EW236" s="0" t="str">
        <f aca="false">IF($A236="","",IF(OR(T236="Y",U236="do_not_contact",AQ236&amp;""&lt;&gt;""),"Y","N"))</f>
        <v>N</v>
      </c>
      <c r="EX236" s="0" t="str">
        <f aca="false">IF($A236="","",IF(AN236&amp;""&lt;&gt;"",AN236&amp;"",$A236))</f>
        <v>AB-227</v>
      </c>
      <c r="EY236" s="0" t="str">
        <f aca="false">IF($A236="","",IF(COUNTIFS($EX$2:$EX$1000,EX236,$EV$2:$EV$1000,"Y")+COUNTIFS($EX$2:$EX$1000,EX236,$EW$2:$EW$1000,"Y")&gt;0,"Y","N"))</f>
        <v>N</v>
      </c>
      <c r="EZ236" s="0" t="str">
        <f aca="false">IF($A236="","",IF(AND(U236="new",T236="N",EW236="N",AR236="Y",EY236="N"),"Y","N"))</f>
        <v>N</v>
      </c>
      <c r="FA236" s="0" t="str">
        <f aca="false">IF($A236="","",IF(EZ236&lt;&gt;"Y","N",IF(COUNTIFS($EX$2:$EX$1000,EX236,$EZ$2:$EZ$1000,"Y",$J$2:$J$1000,"&gt;"&amp;J236)+COUNTIFS($EX$2:$EX$1000,EX236,$EZ$2:$EZ$1000,"Y",$J$2:$J$1000,J236,$FG$2:$FG$1000,"&lt;"&amp;FG236)=0,"Y","N")))</f>
        <v>N</v>
      </c>
      <c r="FB236" s="0" t="str">
        <f aca="false">IF($A236="","",IF(AND(EZ236="Y",FA236="Y",Y236&amp;""&lt;&gt;""),IF(Y236&lt;=10,"Y","N"),"N"))</f>
        <v>N</v>
      </c>
      <c r="FC236" s="0" t="str">
        <f aca="false">IF(FB236="Y",Y236,"")</f>
        <v/>
      </c>
      <c r="FD236" s="0" t="str">
        <f aca="false">IF($A236="","",IF(AND(CK236="pass",AU236="Y",AV236&lt;&gt;"Y",U236="new",EW236="N"),"Y","N"))</f>
        <v>N</v>
      </c>
      <c r="FE236" s="0" t="str">
        <f aca="false">IF(FD236&lt;&gt;"Y","",IF(COUNTIFS($FD$2:$FD$1000,"Y",$J$2:$J$1000,"&gt;"&amp;J236)+COUNTIFS($FD$2:$FD$1000,"Y",$J$2:$J$1000,J236,$FG$2:$FG$1000,"&lt;"&amp;FG236)+1&lt;=30,COUNTIFS($FD$2:$FD$1000,"Y",$J$2:$J$1000,"&gt;"&amp;J236)+COUNTIFS($FD$2:$FD$1000,"Y",$J$2:$J$1000,J236,$FG$2:$FG$1000,"&lt;"&amp;FG236)+1,""))</f>
        <v/>
      </c>
      <c r="FF236" s="0" t="str">
        <f aca="false">IF(AND(_xlfn.ISFORMULA(C236),_xlfn.ISFORMULA(J236)),"Y","N")</f>
        <v>Y</v>
      </c>
      <c r="FG236" s="0" t="n">
        <f aca="false">ROW()-1</f>
        <v>235</v>
      </c>
    </row>
    <row r="237" customFormat="false" ht="15" hidden="false" customHeight="false" outlineLevel="0" collapsed="false">
      <c r="A237" s="0" t="s">
        <v>10873</v>
      </c>
      <c r="B237" s="0" t="s">
        <v>10874</v>
      </c>
      <c r="C237" s="0" t="str">
        <f aca="false">IF($A237="","",IF(AT237="Y",BL237&amp;"",AY237&amp;""))</f>
        <v>Alex</v>
      </c>
      <c r="D237" s="0" t="str">
        <f aca="false">IF($A237="","",IF(AT237="Y",BM237&amp;"",AZ237&amp;""))</f>
        <v>Russell</v>
      </c>
      <c r="E237" s="0" t="str">
        <f aca="false">IF($A237="","",IF(AT237="Y",BN237&amp;"",BA237&amp;""))</f>
        <v>Founder, KEANU / Nothing Special</v>
      </c>
      <c r="F237" s="0" t="str">
        <f aca="false">IF($A237="","",IF(AT237="Y",BO237&amp;"",BB237&amp;""))</f>
        <v/>
      </c>
      <c r="G237" s="0" t="str">
        <f aca="false">IF($A237="","",IF(AT237="Y",BP237&amp;"",BC237&amp;""))</f>
        <v/>
      </c>
      <c r="H237" s="0" t="str">
        <f aca="false">IF($A237="","",IF(AT237="Y",BQ237&amp;"",BD237&amp;""))</f>
        <v>none</v>
      </c>
      <c r="I237" s="0" t="str">
        <f aca="false">IF($A237="","",IF(R237="Y","warm-intro",IF(H237="verified","email",IF(C237&lt;&gt;"","linkedin",CA237&amp;""))))</f>
        <v>linkedin</v>
      </c>
      <c r="J237" s="0" t="n">
        <f aca="false">IF($A237="","",IF(CK237="pass",ROUND(N(DO237)+N(DP237)+N(DQ237)+N(DR237)+N(DS237)+N(DT237)+N(DU237)+N(DV237),0),0))</f>
        <v>0</v>
      </c>
      <c r="K237" s="0" t="str">
        <f aca="false">IF($A237="","",IF(CK237&lt;&gt;"pass",BY237&amp;"",BY237&amp;", "&amp;IF(AT237="Y",BX237&amp;"",BK237&amp;"")&amp;BZ237&amp;IF(R237="Y","; known to the founder (+10)","")&amp;"."))</f>
        <v>Gated out: excluded-category: Needs preparation (powder to whisk with water); kava is a functional/relaxant product with supplement-like positioning.</v>
      </c>
      <c r="M237" s="0" t="s">
        <v>6144</v>
      </c>
      <c r="N237" s="0" t="s">
        <v>740</v>
      </c>
      <c r="O237" s="0" t="s">
        <v>10875</v>
      </c>
      <c r="P237" s="0" t="s">
        <v>10876</v>
      </c>
      <c r="Q237" s="0" t="s">
        <v>9187</v>
      </c>
      <c r="R237" s="5" t="s">
        <v>189</v>
      </c>
      <c r="S237" s="0" t="s">
        <v>164</v>
      </c>
      <c r="T237" s="5" t="s">
        <v>189</v>
      </c>
      <c r="U237" s="5" t="s">
        <v>3896</v>
      </c>
      <c r="V237" s="0" t="s">
        <v>10876</v>
      </c>
      <c r="W237" s="0" t="s">
        <v>263</v>
      </c>
      <c r="X237" s="0" t="s">
        <v>5578</v>
      </c>
      <c r="Y237" s="0" t="str">
        <f aca="false">IF(FA237&lt;&gt;"Y","",COUNTIFS($FA$2:$FA$1000,"Y",$J$2:$J$1000,"&gt;"&amp;J237)+COUNTIFS($FA$2:$FA$1000,"Y",$J$2:$J$1000,J237,$FG$2:$FG$1000,"&lt;"&amp;FG237)+1)</f>
        <v/>
      </c>
      <c r="AA237" s="0" t="s">
        <v>189</v>
      </c>
      <c r="AB237" s="0" t="str">
        <f aca="false">IF($A237="","",IF(AT237="Y",BW237&amp;"",BJ237&amp;""))</f>
        <v/>
      </c>
      <c r="AC237" s="0" t="str">
        <f aca="false">IF($A237="","",IF(AT237="Y",BR237&amp;"",BE237&amp;""))</f>
        <v>founder</v>
      </c>
      <c r="AD237" s="0" t="str">
        <f aca="false">IF($A237="","",IF(AT237="Y",BS237&amp;"",BF237&amp;""))</f>
        <v>verified-page</v>
      </c>
      <c r="AE237" s="0" t="str">
        <f aca="false">IF($A237="","",IF(AT237="Y",BT237&amp;"",BG237&amp;""))</f>
        <v>press, event or podcast page</v>
      </c>
      <c r="AF237" s="0" t="str">
        <f aca="false">IF($A237="","",IF(AT237="Y",BU237&amp;"",BH237&amp;""))</f>
        <v>https://startupcpg.com/startup-cpg-newswire-keanu-launches-their-inaugural-product-after-5-years-of-work-on-kava/</v>
      </c>
      <c r="AG237" s="0" t="str">
        <f aca="false">IF($A237="","",IF(AT237="Y",BV237&amp;"",BI237&amp;""))</f>
        <v>2026-10-23</v>
      </c>
      <c r="AH237" s="0" t="s">
        <v>10877</v>
      </c>
      <c r="AI237" s="0" t="s">
        <v>6699</v>
      </c>
      <c r="AJ237" s="0" t="s">
        <v>10521</v>
      </c>
      <c r="AK237" s="0" t="s">
        <v>10878</v>
      </c>
      <c r="AL237" s="0" t="s">
        <v>189</v>
      </c>
      <c r="AN237" s="0" t="s">
        <v>10873</v>
      </c>
      <c r="AO237" s="5" t="s">
        <v>189</v>
      </c>
      <c r="AR237" s="0" t="str">
        <f aca="false">IF($A237="","",IF(AND(CK237="pass",AO237&lt;&gt;"Y",C237&lt;&gt;"",OR(AU237&lt;&gt;"Y",AV237="Y")),"Y","N"))</f>
        <v>N</v>
      </c>
      <c r="AS237" s="0" t="str">
        <f aca="false">IF($A237="","",_xlfn.TEXTJOIN("; ",TRUE(),IF(CK237&lt;&gt;"pass","gated out",""),IF(AO237="Y","on hold: "&amp;AP237,""),IF(C237="","no contact named on an opened page",""),IF(AND(AU237="Y",AV237&lt;&gt;"Y"),"founder review pending (Founder review tab)","")))</f>
        <v>gated out</v>
      </c>
      <c r="AU237" s="0" t="s">
        <v>189</v>
      </c>
      <c r="AY237" s="0" t="s">
        <v>2598</v>
      </c>
      <c r="AZ237" s="0" t="s">
        <v>5952</v>
      </c>
      <c r="BA237" s="0" t="s">
        <v>10879</v>
      </c>
      <c r="BC237" s="0" t="str">
        <f aca="false">IF($A237="","",IFERROR(INDEX(Enrichment!$A$2:$GZ$2000,MATCH($A237,INDEX(Enrichment!$A$2:$GZ$2000,0,MATCH("row_id",Enrichment!$A$1:$GZ$1,0)),0),MATCH("work_email",Enrichment!$A$1:$GZ$1,0))&amp;"",""))</f>
        <v/>
      </c>
      <c r="BD237" s="0" t="str">
        <f aca="false">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none</v>
      </c>
      <c r="BE237" s="0" t="s">
        <v>5589</v>
      </c>
      <c r="BF237" s="0" t="s">
        <v>169</v>
      </c>
      <c r="BG237" s="0" t="s">
        <v>1252</v>
      </c>
      <c r="BH237" s="0" t="s">
        <v>10876</v>
      </c>
      <c r="BI237" s="0" t="s">
        <v>263</v>
      </c>
      <c r="BK237" s="0" t="s">
        <v>5643</v>
      </c>
      <c r="BP237" s="0" t="str">
        <f aca="false">IF($A237="","",IFERROR(INDEX(Enrichment!$A$2:$GZ$2000,MATCH($A237,INDEX(Enrichment!$A$2:$GZ$2000,0,MATCH("row_id",Enrichment!$A$1:$GZ$1,0)),0),MATCH("backup_work_email",Enrichment!$A$1:$GZ$1,0))&amp;"",""))</f>
        <v/>
      </c>
      <c r="BQ237" s="0" t="str">
        <f aca="false">IF($A237="","",IF(BP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none</v>
      </c>
      <c r="BS237" s="0" t="s">
        <v>380</v>
      </c>
      <c r="BX237" s="0" t="s">
        <v>388</v>
      </c>
      <c r="BY237" s="0" t="s">
        <v>10880</v>
      </c>
      <c r="CB237" s="0" t="s">
        <v>10881</v>
      </c>
      <c r="CJ237" s="0" t="s">
        <v>7088</v>
      </c>
      <c r="CK237" s="0" t="s">
        <v>4627</v>
      </c>
      <c r="CL237" s="0" t="s">
        <v>10840</v>
      </c>
      <c r="CM237" s="0" t="s">
        <v>10882</v>
      </c>
      <c r="CO237" s="0" t="s">
        <v>10878</v>
      </c>
      <c r="CP237" s="0" t="s">
        <v>5608</v>
      </c>
      <c r="CQ237" s="0" t="s">
        <v>5609</v>
      </c>
      <c r="CR237" s="0" t="s">
        <v>209</v>
      </c>
      <c r="CT237" s="0" t="s">
        <v>164</v>
      </c>
      <c r="CU237" s="0" t="s">
        <v>10883</v>
      </c>
      <c r="CV237" s="0" t="s">
        <v>164</v>
      </c>
      <c r="CW237" s="0" t="s">
        <v>164</v>
      </c>
      <c r="CX237" s="0" t="s">
        <v>10884</v>
      </c>
      <c r="CY237" s="0" t="s">
        <v>9030</v>
      </c>
      <c r="CZ237" s="0" t="s">
        <v>10885</v>
      </c>
      <c r="DA237" s="0" t="s">
        <v>189</v>
      </c>
      <c r="DB237" s="0" t="s">
        <v>164</v>
      </c>
      <c r="DC237" s="0" t="s">
        <v>10886</v>
      </c>
      <c r="DE237" s="0" t="s">
        <v>189</v>
      </c>
      <c r="DF237" s="0" t="n">
        <v>0</v>
      </c>
      <c r="DI237" s="0" t="s">
        <v>10887</v>
      </c>
      <c r="DK237" s="0" t="s">
        <v>5617</v>
      </c>
      <c r="DL237" s="0" t="n">
        <v>344</v>
      </c>
      <c r="DM237" s="0" t="s">
        <v>10876</v>
      </c>
      <c r="DN237" s="0" t="n">
        <v>52</v>
      </c>
      <c r="DO237" s="0" t="n">
        <v>6</v>
      </c>
      <c r="DP237" s="0" t="n">
        <v>20</v>
      </c>
      <c r="DQ237" s="0" t="n">
        <v>8</v>
      </c>
      <c r="DR237" s="0" t="n">
        <v>2</v>
      </c>
      <c r="DS237" s="0" t="n">
        <v>10</v>
      </c>
      <c r="DT237" s="0" t="n">
        <v>6</v>
      </c>
      <c r="DU237" s="0" t="n">
        <f aca="false">IF($A237="","",IF(R237="Y",10,0))</f>
        <v>0</v>
      </c>
      <c r="DV237" s="0" t="n">
        <v>0</v>
      </c>
      <c r="DX237" s="0" t="s">
        <v>5619</v>
      </c>
      <c r="DY237" s="0" t="s">
        <v>10888</v>
      </c>
      <c r="DZ237" s="0" t="s">
        <v>10532</v>
      </c>
      <c r="EV237" s="0" t="str">
        <f aca="false">IF($A237="","",IF(ISNUMBER(MATCH(U237,{"queued","contacted","replied","call_booked","call_done","yes_in_principle","materials_sent"},0)),"Y","N"))</f>
        <v>N</v>
      </c>
      <c r="EW237" s="0" t="str">
        <f aca="false">IF($A237="","",IF(OR(T237="Y",U237="do_not_contact",AQ237&amp;""&lt;&gt;""),"Y","N"))</f>
        <v>N</v>
      </c>
      <c r="EX237" s="0" t="str">
        <f aca="false">IF($A237="","",IF(AN237&amp;""&lt;&gt;"",AN237&amp;"",$A237))</f>
        <v>AB-230</v>
      </c>
      <c r="EY237" s="0" t="str">
        <f aca="false">IF($A237="","",IF(COUNTIFS($EX$2:$EX$1000,EX237,$EV$2:$EV$1000,"Y")+COUNTIFS($EX$2:$EX$1000,EX237,$EW$2:$EW$1000,"Y")&gt;0,"Y","N"))</f>
        <v>N</v>
      </c>
      <c r="EZ237" s="0" t="str">
        <f aca="false">IF($A237="","",IF(AND(U237="new",T237="N",EW237="N",AR237="Y",EY237="N"),"Y","N"))</f>
        <v>N</v>
      </c>
      <c r="FA237" s="0" t="str">
        <f aca="false">IF($A237="","",IF(EZ237&lt;&gt;"Y","N",IF(COUNTIFS($EX$2:$EX$1000,EX237,$EZ$2:$EZ$1000,"Y",$J$2:$J$1000,"&gt;"&amp;J237)+COUNTIFS($EX$2:$EX$1000,EX237,$EZ$2:$EZ$1000,"Y",$J$2:$J$1000,J237,$FG$2:$FG$1000,"&lt;"&amp;FG237)=0,"Y","N")))</f>
        <v>N</v>
      </c>
      <c r="FB237" s="0" t="str">
        <f aca="false">IF($A237="","",IF(AND(EZ237="Y",FA237="Y",Y237&amp;""&lt;&gt;""),IF(Y237&lt;=10,"Y","N"),"N"))</f>
        <v>N</v>
      </c>
      <c r="FC237" s="0" t="str">
        <f aca="false">IF(FB237="Y",Y237,"")</f>
        <v/>
      </c>
      <c r="FD237" s="0" t="str">
        <f aca="false">IF($A237="","",IF(AND(CK237="pass",AU237="Y",AV237&lt;&gt;"Y",U237="new",EW237="N"),"Y","N"))</f>
        <v>N</v>
      </c>
      <c r="FE237" s="0" t="str">
        <f aca="false">IF(FD237&lt;&gt;"Y","",IF(COUNTIFS($FD$2:$FD$1000,"Y",$J$2:$J$1000,"&gt;"&amp;J237)+COUNTIFS($FD$2:$FD$1000,"Y",$J$2:$J$1000,J237,$FG$2:$FG$1000,"&lt;"&amp;FG237)+1&lt;=30,COUNTIFS($FD$2:$FD$1000,"Y",$J$2:$J$1000,"&gt;"&amp;J237)+COUNTIFS($FD$2:$FD$1000,"Y",$J$2:$J$1000,J237,$FG$2:$FG$1000,"&lt;"&amp;FG237)+1,""))</f>
        <v/>
      </c>
      <c r="FF237" s="0" t="str">
        <f aca="false">IF(AND(_xlfn.ISFORMULA(C237),_xlfn.ISFORMULA(J237)),"Y","N")</f>
        <v>Y</v>
      </c>
      <c r="FG237" s="0" t="n">
        <f aca="false">ROW()-1</f>
        <v>236</v>
      </c>
    </row>
    <row r="238" customFormat="false" ht="15" hidden="false" customHeight="false" outlineLevel="0" collapsed="false">
      <c r="A238" s="0" t="s">
        <v>10889</v>
      </c>
      <c r="B238" s="0" t="s">
        <v>10890</v>
      </c>
      <c r="C238" s="0" t="str">
        <f aca="false">IF($A238="","",IF(AT238="Y",BL238&amp;"",AY238&amp;""))</f>
        <v>Laura</v>
      </c>
      <c r="D238" s="0" t="str">
        <f aca="false">IF($A238="","",IF(AT238="Y",BM238&amp;"",AZ238&amp;""))</f>
        <v>Taylor</v>
      </c>
      <c r="E238" s="0" t="str">
        <f aca="false">IF($A238="","",IF(AT238="Y",BN238&amp;"",BA238&amp;""))</f>
        <v>Founder and Chief Mingle Officer</v>
      </c>
      <c r="F238" s="0" t="str">
        <f aca="false">IF($A238="","",IF(AT238="Y",BO238&amp;"",BB238&amp;""))</f>
        <v/>
      </c>
      <c r="G238" s="0" t="str">
        <f aca="false">IF($A238="","",IF(AT238="Y",BP238&amp;"",BC238&amp;""))</f>
        <v/>
      </c>
      <c r="H238" s="0" t="str">
        <f aca="false">IF($A238="","",IF(AT238="Y",BQ238&amp;"",BD238&amp;""))</f>
        <v>none</v>
      </c>
      <c r="I238" s="0" t="str">
        <f aca="false">IF($A238="","",IF(R238="Y","warm-intro",IF(H238="verified","email",IF(C238&lt;&gt;"","linkedin",CA238&amp;""))))</f>
        <v>linkedin</v>
      </c>
      <c r="J238" s="0" t="n">
        <f aca="false">IF($A238="","",IF(CK238="pass",ROUND(N(DO238)+N(DP238)+N(DQ238)+N(DR238)+N(DS238)+N(DT238)+N(DU238)+N(DV238),0),0))</f>
        <v>0</v>
      </c>
      <c r="K238" s="0" t="str">
        <f aca="false">IF($A238="","",IF(CK238&lt;&gt;"pass",BY238&amp;"",BY238&amp;", "&amp;IF(AT238="Y",BX238&amp;"",BK238&amp;"")&amp;BZ238&amp;IF(R238="Y","; known to the founder (+10)","")&amp;"."))</f>
        <v>Gated out: health-claim: explicit health claim in the brand's own copy (opened 2026-10-24): 'Functional drinks ..; Supports calm, focus, and overall wellness' (https://www.</v>
      </c>
      <c r="M238" s="0" t="s">
        <v>6144</v>
      </c>
      <c r="N238" s="0" t="s">
        <v>740</v>
      </c>
      <c r="O238" s="0" t="s">
        <v>10891</v>
      </c>
      <c r="P238" s="0" t="s">
        <v>10892</v>
      </c>
      <c r="Q238" s="0" t="s">
        <v>10893</v>
      </c>
      <c r="R238" s="5" t="s">
        <v>189</v>
      </c>
      <c r="S238" s="0" t="s">
        <v>209</v>
      </c>
      <c r="T238" s="5" t="s">
        <v>189</v>
      </c>
      <c r="U238" s="5" t="s">
        <v>3896</v>
      </c>
      <c r="V238" s="0" t="s">
        <v>10894</v>
      </c>
      <c r="W238" s="0" t="s">
        <v>263</v>
      </c>
      <c r="X238" s="0" t="s">
        <v>5578</v>
      </c>
      <c r="Y238" s="0" t="str">
        <f aca="false">IF(FA238&lt;&gt;"Y","",COUNTIFS($FA$2:$FA$1000,"Y",$J$2:$J$1000,"&gt;"&amp;J238)+COUNTIFS($FA$2:$FA$1000,"Y",$J$2:$J$1000,J238,$FG$2:$FG$1000,"&lt;"&amp;FG238)+1)</f>
        <v/>
      </c>
      <c r="AA238" s="0" t="s">
        <v>189</v>
      </c>
      <c r="AB238" s="0" t="str">
        <f aca="false">IF($A238="","",IF(AT238="Y",BW238&amp;"",BJ238&amp;""))</f>
        <v/>
      </c>
      <c r="AC238" s="0" t="str">
        <f aca="false">IF($A238="","",IF(AT238="Y",BR238&amp;"",BE238&amp;""))</f>
        <v>founder</v>
      </c>
      <c r="AD238" s="0" t="str">
        <f aca="false">IF($A238="","",IF(AT238="Y",BS238&amp;"",BF238&amp;""))</f>
        <v>verified-page</v>
      </c>
      <c r="AE238" s="0" t="str">
        <f aca="false">IF($A238="","",IF(AT238="Y",BT238&amp;"",BG238&amp;""))</f>
        <v>press, event or podcast page</v>
      </c>
      <c r="AF238" s="0" t="str">
        <f aca="false">IF($A238="","",IF(AT238="Y",BU238&amp;"",BH238&amp;""))</f>
        <v>https://channel.io/blog/articles/77035651</v>
      </c>
      <c r="AG238" s="0" t="str">
        <f aca="false">IF($A238="","",IF(AT238="Y",BV238&amp;"",BI238&amp;""))</f>
        <v>2026-10-23</v>
      </c>
      <c r="AH238" s="0" t="s">
        <v>10895</v>
      </c>
      <c r="AI238" s="0" t="s">
        <v>6699</v>
      </c>
      <c r="AJ238" s="0" t="s">
        <v>10896</v>
      </c>
      <c r="AK238" s="0" t="s">
        <v>10897</v>
      </c>
      <c r="AL238" s="0" t="s">
        <v>164</v>
      </c>
      <c r="AM238" s="0" t="s">
        <v>10898</v>
      </c>
      <c r="AN238" s="0" t="s">
        <v>10889</v>
      </c>
      <c r="AO238" s="5" t="s">
        <v>189</v>
      </c>
      <c r="AR238" s="0" t="str">
        <f aca="false">IF($A238="","",IF(AND(CK238="pass",AO238&lt;&gt;"Y",C238&lt;&gt;"",OR(AU238&lt;&gt;"Y",AV238="Y")),"Y","N"))</f>
        <v>N</v>
      </c>
      <c r="AS238" s="0" t="str">
        <f aca="false">IF($A238="","",_xlfn.TEXTJOIN("; ",TRUE(),IF(CK238&lt;&gt;"pass","gated out",""),IF(AO238="Y","on hold: "&amp;AP238,""),IF(C238="","no contact named on an opened page",""),IF(AND(AU238="Y",AV238&lt;&gt;"Y"),"founder review pending (Founder review tab)","")))</f>
        <v>gated out; founder review pending (Founder review tab)</v>
      </c>
      <c r="AU238" s="0" t="s">
        <v>164</v>
      </c>
      <c r="AY238" s="0" t="s">
        <v>1300</v>
      </c>
      <c r="AZ238" s="0" t="s">
        <v>1210</v>
      </c>
      <c r="BA238" s="0" t="s">
        <v>10899</v>
      </c>
      <c r="BC238" s="0" t="str">
        <f aca="false">IF($A238="","",IFERROR(INDEX(Enrichment!$A$2:$GZ$2000,MATCH($A238,INDEX(Enrichment!$A$2:$GZ$2000,0,MATCH("row_id",Enrichment!$A$1:$GZ$1,0)),0),MATCH("work_email",Enrichment!$A$1:$GZ$1,0))&amp;"",""))</f>
        <v/>
      </c>
      <c r="BD238" s="0" t="str">
        <f aca="false">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none</v>
      </c>
      <c r="BE238" s="0" t="s">
        <v>5589</v>
      </c>
      <c r="BF238" s="0" t="s">
        <v>169</v>
      </c>
      <c r="BG238" s="0" t="s">
        <v>1252</v>
      </c>
      <c r="BH238" s="0" t="s">
        <v>10900</v>
      </c>
      <c r="BI238" s="0" t="s">
        <v>263</v>
      </c>
      <c r="BK238" s="0" t="s">
        <v>5643</v>
      </c>
      <c r="BP238" s="0" t="str">
        <f aca="false">IF($A238="","",IFERROR(INDEX(Enrichment!$A$2:$GZ$2000,MATCH($A238,INDEX(Enrichment!$A$2:$GZ$2000,0,MATCH("row_id",Enrichment!$A$1:$GZ$1,0)),0),MATCH("backup_work_email",Enrichment!$A$1:$GZ$1,0))&amp;"",""))</f>
        <v/>
      </c>
      <c r="BQ238" s="0" t="str">
        <f aca="false">IF($A238="","",IF(BP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none</v>
      </c>
      <c r="BS238" s="0" t="s">
        <v>380</v>
      </c>
      <c r="BX238" s="0" t="s">
        <v>388</v>
      </c>
      <c r="BY238" s="0" t="s">
        <v>10901</v>
      </c>
      <c r="CB238" s="0" t="s">
        <v>10902</v>
      </c>
      <c r="CJ238" s="0" t="s">
        <v>7088</v>
      </c>
      <c r="CK238" s="0" t="s">
        <v>4627</v>
      </c>
      <c r="CL238" s="0" t="s">
        <v>10005</v>
      </c>
      <c r="CM238" s="0" t="s">
        <v>10903</v>
      </c>
      <c r="CN238" s="0" t="s">
        <v>6051</v>
      </c>
      <c r="CO238" s="0" t="s">
        <v>10897</v>
      </c>
      <c r="CP238" s="0" t="s">
        <v>7376</v>
      </c>
      <c r="CQ238" s="0" t="s">
        <v>6084</v>
      </c>
      <c r="CR238" s="0" t="s">
        <v>209</v>
      </c>
      <c r="CT238" s="0" t="s">
        <v>209</v>
      </c>
      <c r="CU238" s="0" t="s">
        <v>9076</v>
      </c>
      <c r="CV238" s="0" t="s">
        <v>164</v>
      </c>
      <c r="CW238" s="0" t="s">
        <v>164</v>
      </c>
      <c r="CX238" s="0" t="s">
        <v>209</v>
      </c>
      <c r="CZ238" s="0" t="s">
        <v>6456</v>
      </c>
      <c r="DA238" s="0" t="s">
        <v>164</v>
      </c>
      <c r="DB238" s="0" t="s">
        <v>164</v>
      </c>
      <c r="DC238" s="0" t="s">
        <v>10904</v>
      </c>
      <c r="DE238" s="0" t="s">
        <v>189</v>
      </c>
      <c r="DF238" s="0" t="n">
        <v>0</v>
      </c>
      <c r="DI238" s="0" t="s">
        <v>8592</v>
      </c>
      <c r="DK238" s="0" t="s">
        <v>5689</v>
      </c>
      <c r="DL238" s="0" t="n">
        <v>28</v>
      </c>
      <c r="DN238" s="0" t="n">
        <v>36</v>
      </c>
      <c r="DO238" s="0" t="n">
        <v>6</v>
      </c>
      <c r="DP238" s="0" t="n">
        <v>8</v>
      </c>
      <c r="DQ238" s="0" t="n">
        <v>8</v>
      </c>
      <c r="DR238" s="0" t="n">
        <v>5</v>
      </c>
      <c r="DS238" s="0" t="n">
        <v>7</v>
      </c>
      <c r="DT238" s="0" t="n">
        <v>6</v>
      </c>
      <c r="DU238" s="0" t="n">
        <f aca="false">IF($A238="","",IF(R238="Y",10,0))</f>
        <v>0</v>
      </c>
      <c r="DV238" s="0" t="n">
        <v>-4</v>
      </c>
      <c r="DW238" s="0" t="s">
        <v>10905</v>
      </c>
      <c r="DX238" s="0" t="s">
        <v>6462</v>
      </c>
      <c r="DY238" s="0" t="s">
        <v>10906</v>
      </c>
      <c r="DZ238" s="0" t="s">
        <v>10907</v>
      </c>
      <c r="EA238" s="0" t="s">
        <v>10908</v>
      </c>
      <c r="EV238" s="0" t="str">
        <f aca="false">IF($A238="","",IF(ISNUMBER(MATCH(U238,{"queued","contacted","replied","call_booked","call_done","yes_in_principle","materials_sent"},0)),"Y","N"))</f>
        <v>N</v>
      </c>
      <c r="EW238" s="0" t="str">
        <f aca="false">IF($A238="","",IF(OR(T238="Y",U238="do_not_contact",AQ238&amp;""&lt;&gt;""),"Y","N"))</f>
        <v>N</v>
      </c>
      <c r="EX238" s="0" t="str">
        <f aca="false">IF($A238="","",IF(AN238&amp;""&lt;&gt;"",AN238&amp;"",$A238))</f>
        <v>AB-147</v>
      </c>
      <c r="EY238" s="0" t="str">
        <f aca="false">IF($A238="","",IF(COUNTIFS($EX$2:$EX$1000,EX238,$EV$2:$EV$1000,"Y")+COUNTIFS($EX$2:$EX$1000,EX238,$EW$2:$EW$1000,"Y")&gt;0,"Y","N"))</f>
        <v>N</v>
      </c>
      <c r="EZ238" s="0" t="str">
        <f aca="false">IF($A238="","",IF(AND(U238="new",T238="N",EW238="N",AR238="Y",EY238="N"),"Y","N"))</f>
        <v>N</v>
      </c>
      <c r="FA238" s="0" t="str">
        <f aca="false">IF($A238="","",IF(EZ238&lt;&gt;"Y","N",IF(COUNTIFS($EX$2:$EX$1000,EX238,$EZ$2:$EZ$1000,"Y",$J$2:$J$1000,"&gt;"&amp;J238)+COUNTIFS($EX$2:$EX$1000,EX238,$EZ$2:$EZ$1000,"Y",$J$2:$J$1000,J238,$FG$2:$FG$1000,"&lt;"&amp;FG238)=0,"Y","N")))</f>
        <v>N</v>
      </c>
      <c r="FB238" s="0" t="str">
        <f aca="false">IF($A238="","",IF(AND(EZ238="Y",FA238="Y",Y238&amp;""&lt;&gt;""),IF(Y238&lt;=10,"Y","N"),"N"))</f>
        <v>N</v>
      </c>
      <c r="FC238" s="0" t="str">
        <f aca="false">IF(FB238="Y",Y238,"")</f>
        <v/>
      </c>
      <c r="FD238" s="0" t="str">
        <f aca="false">IF($A238="","",IF(AND(CK238="pass",AU238="Y",AV238&lt;&gt;"Y",U238="new",EW238="N"),"Y","N"))</f>
        <v>N</v>
      </c>
      <c r="FE238" s="0" t="str">
        <f aca="false">IF(FD238&lt;&gt;"Y","",IF(COUNTIFS($FD$2:$FD$1000,"Y",$J$2:$J$1000,"&gt;"&amp;J238)+COUNTIFS($FD$2:$FD$1000,"Y",$J$2:$J$1000,J238,$FG$2:$FG$1000,"&lt;"&amp;FG238)+1&lt;=30,COUNTIFS($FD$2:$FD$1000,"Y",$J$2:$J$1000,"&gt;"&amp;J238)+COUNTIFS($FD$2:$FD$1000,"Y",$J$2:$J$1000,J238,$FG$2:$FG$1000,"&lt;"&amp;FG238)+1,""))</f>
        <v/>
      </c>
      <c r="FF238" s="0" t="str">
        <f aca="false">IF(AND(_xlfn.ISFORMULA(C238),_xlfn.ISFORMULA(J238)),"Y","N")</f>
        <v>Y</v>
      </c>
      <c r="FG238" s="0" t="n">
        <f aca="false">ROW()-1</f>
        <v>237</v>
      </c>
    </row>
    <row r="239" customFormat="false" ht="15" hidden="false" customHeight="false" outlineLevel="0" collapsed="false">
      <c r="A239" s="0" t="s">
        <v>10909</v>
      </c>
      <c r="B239" s="0" t="s">
        <v>10910</v>
      </c>
      <c r="C239" s="0" t="str">
        <f aca="false">IF($A239="","",IF(AT239="Y",BL239&amp;"",AY239&amp;""))</f>
        <v>Aditi</v>
      </c>
      <c r="D239" s="0" t="str">
        <f aca="false">IF($A239="","",IF(AT239="Y",BM239&amp;"",AZ239&amp;""))</f>
        <v>Luthra</v>
      </c>
      <c r="E239" s="0" t="str">
        <f aca="false">IF($A239="","",IF(AT239="Y",BN239&amp;"",BA239&amp;""))</f>
        <v>Founder</v>
      </c>
      <c r="F239" s="0" t="str">
        <f aca="false">IF($A239="","",IF(AT239="Y",BO239&amp;"",BB239&amp;""))</f>
        <v/>
      </c>
      <c r="G239" s="0" t="str">
        <f aca="false">IF($A239="","",IF(AT239="Y",BP239&amp;"",BC239&amp;""))</f>
        <v/>
      </c>
      <c r="H239" s="0" t="str">
        <f aca="false">IF($A239="","",IF(AT239="Y",BQ239&amp;"",BD239&amp;""))</f>
        <v>none</v>
      </c>
      <c r="I239" s="0" t="str">
        <f aca="false">IF($A239="","",IF(R239="Y","warm-intro",IF(H239="verified","email",IF(C239&lt;&gt;"","linkedin",CA239&amp;""))))</f>
        <v>linkedin</v>
      </c>
      <c r="J239" s="0" t="n">
        <f aca="false">IF($A239="","",IF(CK239="pass",ROUND(N(DO239)+N(DP239)+N(DQ239)+N(DR239)+N(DS239)+N(DT239)+N(DU239)+N(DV239),0),0))</f>
        <v>0</v>
      </c>
      <c r="K239" s="0" t="str">
        <f aca="false">IF($A239="","",IF(CK239&lt;&gt;"pass",BY239&amp;"",BY239&amp;", "&amp;IF(AT239="Y",BX239&amp;"",BK239&amp;"")&amp;BZ239&amp;IF(R239="Y","; known to the founder (+10)","")&amp;"."))</f>
        <v>Gated out: excluded-category: Needs preparation (coffee blends to brew, not ready-to-drink).</v>
      </c>
      <c r="M239" s="0" t="s">
        <v>6144</v>
      </c>
      <c r="N239" s="0" t="s">
        <v>740</v>
      </c>
      <c r="O239" s="0" t="s">
        <v>10911</v>
      </c>
      <c r="P239" s="0" t="s">
        <v>10912</v>
      </c>
      <c r="Q239" s="0" t="s">
        <v>10913</v>
      </c>
      <c r="R239" s="5" t="s">
        <v>189</v>
      </c>
      <c r="S239" s="0" t="s">
        <v>164</v>
      </c>
      <c r="T239" s="5" t="s">
        <v>189</v>
      </c>
      <c r="U239" s="5" t="s">
        <v>3896</v>
      </c>
      <c r="V239" s="0" t="s">
        <v>10912</v>
      </c>
      <c r="W239" s="0" t="s">
        <v>263</v>
      </c>
      <c r="X239" s="0" t="s">
        <v>5578</v>
      </c>
      <c r="Y239" s="0" t="str">
        <f aca="false">IF(FA239&lt;&gt;"Y","",COUNTIFS($FA$2:$FA$1000,"Y",$J$2:$J$1000,"&gt;"&amp;J239)+COUNTIFS($FA$2:$FA$1000,"Y",$J$2:$J$1000,J239,$FG$2:$FG$1000,"&lt;"&amp;FG239)+1)</f>
        <v/>
      </c>
      <c r="AA239" s="0" t="s">
        <v>189</v>
      </c>
      <c r="AB239" s="0" t="str">
        <f aca="false">IF($A239="","",IF(AT239="Y",BW239&amp;"",BJ239&amp;""))</f>
        <v/>
      </c>
      <c r="AC239" s="0" t="str">
        <f aca="false">IF($A239="","",IF(AT239="Y",BR239&amp;"",BE239&amp;""))</f>
        <v>founder</v>
      </c>
      <c r="AD239" s="0" t="str">
        <f aca="false">IF($A239="","",IF(AT239="Y",BS239&amp;"",BF239&amp;""))</f>
        <v>verified-page</v>
      </c>
      <c r="AE239" s="0" t="str">
        <f aca="false">IF($A239="","",IF(AT239="Y",BT239&amp;"",BG239&amp;""))</f>
        <v>press, event or podcast page</v>
      </c>
      <c r="AF239" s="0" t="str">
        <f aca="false">IF($A239="","",IF(AT239="Y",BU239&amp;"",BH239&amp;""))</f>
        <v>https://startupcpg.com/startup-cpg-newswire-pitara-co-launches/</v>
      </c>
      <c r="AG239" s="0" t="str">
        <f aca="false">IF($A239="","",IF(AT239="Y",BV239&amp;"",BI239&amp;""))</f>
        <v>2026-10-23</v>
      </c>
      <c r="AH239" s="0" t="s">
        <v>10914</v>
      </c>
      <c r="AI239" s="0" t="s">
        <v>6699</v>
      </c>
      <c r="AJ239" s="0" t="s">
        <v>10521</v>
      </c>
      <c r="AK239" s="0" t="s">
        <v>10915</v>
      </c>
      <c r="AL239" s="0" t="s">
        <v>164</v>
      </c>
      <c r="AM239" s="0" t="s">
        <v>7540</v>
      </c>
      <c r="AN239" s="0" t="s">
        <v>10909</v>
      </c>
      <c r="AO239" s="5" t="s">
        <v>189</v>
      </c>
      <c r="AR239" s="0" t="str">
        <f aca="false">IF($A239="","",IF(AND(CK239="pass",AO239&lt;&gt;"Y",C239&lt;&gt;"",OR(AU239&lt;&gt;"Y",AV239="Y")),"Y","N"))</f>
        <v>N</v>
      </c>
      <c r="AS239" s="0" t="str">
        <f aca="false">IF($A239="","",_xlfn.TEXTJOIN("; ",TRUE(),IF(CK239&lt;&gt;"pass","gated out",""),IF(AO239="Y","on hold: "&amp;AP239,""),IF(C239="","no contact named on an opened page",""),IF(AND(AU239="Y",AV239&lt;&gt;"Y"),"founder review pending (Founder review tab)","")))</f>
        <v>gated out; founder review pending (Founder review tab)</v>
      </c>
      <c r="AU239" s="0" t="s">
        <v>164</v>
      </c>
      <c r="AY239" s="0" t="s">
        <v>10916</v>
      </c>
      <c r="AZ239" s="0" t="s">
        <v>10917</v>
      </c>
      <c r="BA239" s="0" t="s">
        <v>5739</v>
      </c>
      <c r="BC239" s="0" t="str">
        <f aca="false">IF($A239="","",IFERROR(INDEX(Enrichment!$A$2:$GZ$2000,MATCH($A239,INDEX(Enrichment!$A$2:$GZ$2000,0,MATCH("row_id",Enrichment!$A$1:$GZ$1,0)),0),MATCH("work_email",Enrichment!$A$1:$GZ$1,0))&amp;"",""))</f>
        <v/>
      </c>
      <c r="BD239" s="0" t="str">
        <f aca="false">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none</v>
      </c>
      <c r="BE239" s="0" t="s">
        <v>5589</v>
      </c>
      <c r="BF239" s="0" t="s">
        <v>169</v>
      </c>
      <c r="BG239" s="0" t="s">
        <v>1252</v>
      </c>
      <c r="BH239" s="0" t="s">
        <v>10912</v>
      </c>
      <c r="BI239" s="0" t="s">
        <v>263</v>
      </c>
      <c r="BK239" s="0" t="s">
        <v>5643</v>
      </c>
      <c r="BP239" s="0" t="str">
        <f aca="false">IF($A239="","",IFERROR(INDEX(Enrichment!$A$2:$GZ$2000,MATCH($A239,INDEX(Enrichment!$A$2:$GZ$2000,0,MATCH("row_id",Enrichment!$A$1:$GZ$1,0)),0),MATCH("backup_work_email",Enrichment!$A$1:$GZ$1,0))&amp;"",""))</f>
        <v/>
      </c>
      <c r="BQ239" s="0" t="str">
        <f aca="false">IF($A239="","",IF(BP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none</v>
      </c>
      <c r="BS239" s="0" t="s">
        <v>380</v>
      </c>
      <c r="BX239" s="0" t="s">
        <v>388</v>
      </c>
      <c r="BY239" s="0" t="s">
        <v>10918</v>
      </c>
      <c r="CB239" s="0" t="s">
        <v>10919</v>
      </c>
      <c r="CJ239" s="0" t="s">
        <v>7088</v>
      </c>
      <c r="CK239" s="0" t="s">
        <v>4627</v>
      </c>
      <c r="CL239" s="0" t="s">
        <v>10864</v>
      </c>
      <c r="CM239" s="0" t="s">
        <v>10920</v>
      </c>
      <c r="CN239" s="0" t="s">
        <v>5808</v>
      </c>
      <c r="CO239" s="0" t="s">
        <v>10915</v>
      </c>
      <c r="CP239" s="0" t="s">
        <v>5608</v>
      </c>
      <c r="CQ239" s="0" t="s">
        <v>5609</v>
      </c>
      <c r="CR239" s="0" t="s">
        <v>209</v>
      </c>
      <c r="CT239" s="0" t="s">
        <v>164</v>
      </c>
      <c r="CU239" s="0" t="s">
        <v>10921</v>
      </c>
      <c r="CV239" s="0" t="s">
        <v>189</v>
      </c>
      <c r="CW239" s="0" t="s">
        <v>164</v>
      </c>
      <c r="CX239" s="0" t="s">
        <v>209</v>
      </c>
      <c r="CZ239" s="0" t="s">
        <v>10922</v>
      </c>
      <c r="DA239" s="0" t="s">
        <v>189</v>
      </c>
      <c r="DB239" s="0" t="s">
        <v>164</v>
      </c>
      <c r="DC239" s="0" t="s">
        <v>10923</v>
      </c>
      <c r="DE239" s="0" t="s">
        <v>189</v>
      </c>
      <c r="DF239" s="0" t="n">
        <v>0</v>
      </c>
      <c r="DI239" s="0" t="s">
        <v>10924</v>
      </c>
      <c r="DK239" s="0" t="s">
        <v>5617</v>
      </c>
      <c r="DL239" s="0" t="n">
        <v>352</v>
      </c>
      <c r="DM239" s="0" t="s">
        <v>10912</v>
      </c>
      <c r="DN239" s="0" t="n">
        <v>48</v>
      </c>
      <c r="DO239" s="0" t="n">
        <v>6</v>
      </c>
      <c r="DP239" s="0" t="n">
        <v>20</v>
      </c>
      <c r="DQ239" s="0" t="n">
        <v>8</v>
      </c>
      <c r="DR239" s="0" t="n">
        <v>5</v>
      </c>
      <c r="DS239" s="0" t="n">
        <v>7</v>
      </c>
      <c r="DT239" s="0" t="n">
        <v>6</v>
      </c>
      <c r="DU239" s="0" t="n">
        <f aca="false">IF($A239="","",IF(R239="Y",10,0))</f>
        <v>0</v>
      </c>
      <c r="DV239" s="0" t="n">
        <v>-4</v>
      </c>
      <c r="DX239" s="0" t="s">
        <v>5619</v>
      </c>
      <c r="DY239" s="0" t="s">
        <v>10925</v>
      </c>
      <c r="DZ239" s="0" t="s">
        <v>10926</v>
      </c>
      <c r="EV239" s="0" t="str">
        <f aca="false">IF($A239="","",IF(ISNUMBER(MATCH(U239,{"queued","contacted","replied","call_booked","call_done","yes_in_principle","materials_sent"},0)),"Y","N"))</f>
        <v>N</v>
      </c>
      <c r="EW239" s="0" t="str">
        <f aca="false">IF($A239="","",IF(OR(T239="Y",U239="do_not_contact",AQ239&amp;""&lt;&gt;""),"Y","N"))</f>
        <v>N</v>
      </c>
      <c r="EX239" s="0" t="str">
        <f aca="false">IF($A239="","",IF(AN239&amp;""&lt;&gt;"",AN239&amp;"",$A239))</f>
        <v>AB-229</v>
      </c>
      <c r="EY239" s="0" t="str">
        <f aca="false">IF($A239="","",IF(COUNTIFS($EX$2:$EX$1000,EX239,$EV$2:$EV$1000,"Y")+COUNTIFS($EX$2:$EX$1000,EX239,$EW$2:$EW$1000,"Y")&gt;0,"Y","N"))</f>
        <v>N</v>
      </c>
      <c r="EZ239" s="0" t="str">
        <f aca="false">IF($A239="","",IF(AND(U239="new",T239="N",EW239="N",AR239="Y",EY239="N"),"Y","N"))</f>
        <v>N</v>
      </c>
      <c r="FA239" s="0" t="str">
        <f aca="false">IF($A239="","",IF(EZ239&lt;&gt;"Y","N",IF(COUNTIFS($EX$2:$EX$1000,EX239,$EZ$2:$EZ$1000,"Y",$J$2:$J$1000,"&gt;"&amp;J239)+COUNTIFS($EX$2:$EX$1000,EX239,$EZ$2:$EZ$1000,"Y",$J$2:$J$1000,J239,$FG$2:$FG$1000,"&lt;"&amp;FG239)=0,"Y","N")))</f>
        <v>N</v>
      </c>
      <c r="FB239" s="0" t="str">
        <f aca="false">IF($A239="","",IF(AND(EZ239="Y",FA239="Y",Y239&amp;""&lt;&gt;""),IF(Y239&lt;=10,"Y","N"),"N"))</f>
        <v>N</v>
      </c>
      <c r="FC239" s="0" t="str">
        <f aca="false">IF(FB239="Y",Y239,"")</f>
        <v/>
      </c>
      <c r="FD239" s="0" t="str">
        <f aca="false">IF($A239="","",IF(AND(CK239="pass",AU239="Y",AV239&lt;&gt;"Y",U239="new",EW239="N"),"Y","N"))</f>
        <v>N</v>
      </c>
      <c r="FE239" s="0" t="str">
        <f aca="false">IF(FD239&lt;&gt;"Y","",IF(COUNTIFS($FD$2:$FD$1000,"Y",$J$2:$J$1000,"&gt;"&amp;J239)+COUNTIFS($FD$2:$FD$1000,"Y",$J$2:$J$1000,J239,$FG$2:$FG$1000,"&lt;"&amp;FG239)+1&lt;=30,COUNTIFS($FD$2:$FD$1000,"Y",$J$2:$J$1000,"&gt;"&amp;J239)+COUNTIFS($FD$2:$FD$1000,"Y",$J$2:$J$1000,J239,$FG$2:$FG$1000,"&lt;"&amp;FG239)+1,""))</f>
        <v/>
      </c>
      <c r="FF239" s="0" t="str">
        <f aca="false">IF(AND(_xlfn.ISFORMULA(C239),_xlfn.ISFORMULA(J239)),"Y","N")</f>
        <v>Y</v>
      </c>
      <c r="FG239" s="0" t="n">
        <f aca="false">ROW()-1</f>
        <v>238</v>
      </c>
    </row>
    <row r="240" customFormat="false" ht="15" hidden="false" customHeight="false" outlineLevel="0" collapsed="false">
      <c r="A240" s="0" t="s">
        <v>10927</v>
      </c>
      <c r="B240" s="0" t="s">
        <v>10928</v>
      </c>
      <c r="C240" s="0" t="str">
        <f aca="false">IF($A240="","",IF(AT240="Y",BL240&amp;"",AY240&amp;""))</f>
        <v>Jash</v>
      </c>
      <c r="D240" s="0" t="str">
        <f aca="false">IF($A240="","",IF(AT240="Y",BM240&amp;"",AZ240&amp;""))</f>
        <v>Mehta</v>
      </c>
      <c r="E240" s="0" t="str">
        <f aca="false">IF($A240="","",IF(AT240="Y",BN240&amp;"",BA240&amp;""))</f>
        <v>Co-Founder and CEO</v>
      </c>
      <c r="F240" s="0" t="str">
        <f aca="false">IF($A240="","",IF(AT240="Y",BO240&amp;"",BB240&amp;""))</f>
        <v/>
      </c>
      <c r="G240" s="0" t="str">
        <f aca="false">IF($A240="","",IF(AT240="Y",BP240&amp;"",BC240&amp;""))</f>
        <v/>
      </c>
      <c r="H240" s="0" t="str">
        <f aca="false">IF($A240="","",IF(AT240="Y",BQ240&amp;"",BD240&amp;""))</f>
        <v>none</v>
      </c>
      <c r="I240" s="0" t="str">
        <f aca="false">IF($A240="","",IF(R240="Y","warm-intro",IF(H240="verified","email",IF(C240&lt;&gt;"","linkedin",CA240&amp;""))))</f>
        <v>linkedin</v>
      </c>
      <c r="J240" s="0" t="n">
        <f aca="false">IF($A240="","",IF(CK240="pass",ROUND(N(DO240)+N(DP240)+N(DQ240)+N(DR240)+N(DS240)+N(DT240)+N(DU240)+N(DV240),0),0))</f>
        <v>0</v>
      </c>
      <c r="K240" s="0" t="str">
        <f aca="false">IF($A240="","",IF(CK240&lt;&gt;"pass",BY240&amp;"",BY240&amp;", "&amp;IF(AT240="Y",BX240&amp;"",BK240&amp;"")&amp;BZ240&amp;IF(R240="Y","; known to the founder (+10)","")&amp;"."))</f>
        <v>Gated out: health-claim: explicit health claim in the brand's own copy (opened 2026-10-24): 'boosted with functional mushrooms to help you reduce your stress levels and su.</v>
      </c>
      <c r="M240" s="0" t="s">
        <v>6144</v>
      </c>
      <c r="N240" s="0" t="s">
        <v>740</v>
      </c>
      <c r="O240" s="0" t="s">
        <v>10929</v>
      </c>
      <c r="P240" s="0" t="s">
        <v>10930</v>
      </c>
      <c r="Q240" s="0" t="s">
        <v>5661</v>
      </c>
      <c r="R240" s="5" t="s">
        <v>189</v>
      </c>
      <c r="S240" s="0" t="s">
        <v>209</v>
      </c>
      <c r="T240" s="5" t="s">
        <v>189</v>
      </c>
      <c r="U240" s="5" t="s">
        <v>3896</v>
      </c>
      <c r="V240" s="0" t="s">
        <v>10931</v>
      </c>
      <c r="W240" s="0" t="s">
        <v>263</v>
      </c>
      <c r="X240" s="0" t="s">
        <v>5578</v>
      </c>
      <c r="Y240" s="0" t="str">
        <f aca="false">IF(FA240&lt;&gt;"Y","",COUNTIFS($FA$2:$FA$1000,"Y",$J$2:$J$1000,"&gt;"&amp;J240)+COUNTIFS($FA$2:$FA$1000,"Y",$J$2:$J$1000,J240,$FG$2:$FG$1000,"&lt;"&amp;FG240)+1)</f>
        <v/>
      </c>
      <c r="AA240" s="0" t="s">
        <v>189</v>
      </c>
      <c r="AB240" s="0" t="str">
        <f aca="false">IF($A240="","",IF(AT240="Y",BW240&amp;"",BJ240&amp;""))</f>
        <v/>
      </c>
      <c r="AC240" s="0" t="str">
        <f aca="false">IF($A240="","",IF(AT240="Y",BR240&amp;"",BE240&amp;""))</f>
        <v>founder</v>
      </c>
      <c r="AD240" s="0" t="str">
        <f aca="false">IF($A240="","",IF(AT240="Y",BS240&amp;"",BF240&amp;""))</f>
        <v>verified-page</v>
      </c>
      <c r="AE240" s="0" t="str">
        <f aca="false">IF($A240="","",IF(AT240="Y",BT240&amp;"",BG240&amp;""))</f>
        <v>press, event or podcast page</v>
      </c>
      <c r="AF240" s="0" t="str">
        <f aca="false">IF($A240="","",IF(AT240="Y",BU240&amp;"",BH240&amp;""))</f>
        <v>https://karagoldin.com/podcasts/jash-mehta/</v>
      </c>
      <c r="AG240" s="0" t="str">
        <f aca="false">IF($A240="","",IF(AT240="Y",BV240&amp;"",BI240&amp;""))</f>
        <v>2026-10-23</v>
      </c>
      <c r="AH240" s="0" t="s">
        <v>10932</v>
      </c>
      <c r="AI240" s="0" t="s">
        <v>6473</v>
      </c>
      <c r="AJ240" s="0" t="s">
        <v>209</v>
      </c>
      <c r="AK240" s="0" t="s">
        <v>10933</v>
      </c>
      <c r="AL240" s="0" t="s">
        <v>164</v>
      </c>
      <c r="AM240" s="0" t="s">
        <v>10934</v>
      </c>
      <c r="AN240" s="0" t="s">
        <v>10927</v>
      </c>
      <c r="AO240" s="5" t="s">
        <v>189</v>
      </c>
      <c r="AR240" s="0" t="str">
        <f aca="false">IF($A240="","",IF(AND(CK240="pass",AO240&lt;&gt;"Y",C240&lt;&gt;"",OR(AU240&lt;&gt;"Y",AV240="Y")),"Y","N"))</f>
        <v>N</v>
      </c>
      <c r="AS240" s="0" t="str">
        <f aca="false">IF($A240="","",_xlfn.TEXTJOIN("; ",TRUE(),IF(CK240&lt;&gt;"pass","gated out",""),IF(AO240="Y","on hold: "&amp;AP240,""),IF(C240="","no contact named on an opened page",""),IF(AND(AU240="Y",AV240&lt;&gt;"Y"),"founder review pending (Founder review tab)","")))</f>
        <v>gated out</v>
      </c>
      <c r="AU240" s="0" t="s">
        <v>189</v>
      </c>
      <c r="AY240" s="0" t="s">
        <v>10935</v>
      </c>
      <c r="AZ240" s="0" t="s">
        <v>10936</v>
      </c>
      <c r="BA240" s="0" t="s">
        <v>10937</v>
      </c>
      <c r="BC240" s="0" t="str">
        <f aca="false">IF($A240="","",IFERROR(INDEX(Enrichment!$A$2:$GZ$2000,MATCH($A240,INDEX(Enrichment!$A$2:$GZ$2000,0,MATCH("row_id",Enrichment!$A$1:$GZ$1,0)),0),MATCH("work_email",Enrichment!$A$1:$GZ$1,0))&amp;"",""))</f>
        <v/>
      </c>
      <c r="BD240" s="0" t="str">
        <f aca="false">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none</v>
      </c>
      <c r="BE240" s="0" t="s">
        <v>5589</v>
      </c>
      <c r="BF240" s="0" t="s">
        <v>169</v>
      </c>
      <c r="BG240" s="0" t="s">
        <v>1252</v>
      </c>
      <c r="BH240" s="0" t="s">
        <v>10938</v>
      </c>
      <c r="BI240" s="0" t="s">
        <v>263</v>
      </c>
      <c r="BK240" s="0" t="s">
        <v>5643</v>
      </c>
      <c r="BL240" s="0" t="s">
        <v>10939</v>
      </c>
      <c r="BM240" s="0" t="s">
        <v>542</v>
      </c>
      <c r="BN240" s="0" t="s">
        <v>10940</v>
      </c>
      <c r="BP240" s="0" t="str">
        <f aca="false">IF($A240="","",IFERROR(INDEX(Enrichment!$A$2:$GZ$2000,MATCH($A240,INDEX(Enrichment!$A$2:$GZ$2000,0,MATCH("row_id",Enrichment!$A$1:$GZ$1,0)),0),MATCH("backup_work_email",Enrichment!$A$1:$GZ$1,0))&amp;"",""))</f>
        <v/>
      </c>
      <c r="BQ240" s="0" t="str">
        <f aca="false">IF($A240="","",IF(BP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none</v>
      </c>
      <c r="BR240" s="0" t="s">
        <v>7494</v>
      </c>
      <c r="BS240" s="0" t="s">
        <v>169</v>
      </c>
      <c r="BT240" s="0" t="s">
        <v>1252</v>
      </c>
      <c r="BU240" s="0" t="s">
        <v>10941</v>
      </c>
      <c r="BV240" s="0" t="s">
        <v>263</v>
      </c>
      <c r="BX240" s="0" t="s">
        <v>5643</v>
      </c>
      <c r="BY240" s="0" t="s">
        <v>10942</v>
      </c>
      <c r="CB240" s="0" t="s">
        <v>10943</v>
      </c>
      <c r="CF240" s="0" t="s">
        <v>10944</v>
      </c>
      <c r="CJ240" s="0" t="s">
        <v>7088</v>
      </c>
      <c r="CK240" s="0" t="s">
        <v>4627</v>
      </c>
      <c r="CL240" s="0" t="s">
        <v>10005</v>
      </c>
      <c r="CM240" s="0" t="s">
        <v>10945</v>
      </c>
      <c r="CN240" s="0" t="s">
        <v>5607</v>
      </c>
      <c r="CO240" s="0" t="s">
        <v>10933</v>
      </c>
      <c r="CP240" s="0" t="s">
        <v>209</v>
      </c>
      <c r="CQ240" s="0" t="s">
        <v>209</v>
      </c>
      <c r="CR240" s="0" t="s">
        <v>209</v>
      </c>
      <c r="CT240" s="0" t="s">
        <v>164</v>
      </c>
      <c r="CU240" s="0" t="s">
        <v>10946</v>
      </c>
      <c r="CV240" s="0" t="s">
        <v>164</v>
      </c>
      <c r="CW240" s="0" t="s">
        <v>164</v>
      </c>
      <c r="CX240" s="0" t="s">
        <v>209</v>
      </c>
      <c r="CZ240" s="0" t="s">
        <v>6456</v>
      </c>
      <c r="DA240" s="0" t="s">
        <v>189</v>
      </c>
      <c r="DB240" s="0" t="s">
        <v>164</v>
      </c>
      <c r="DC240" s="0" t="s">
        <v>10947</v>
      </c>
      <c r="DE240" s="0" t="s">
        <v>189</v>
      </c>
      <c r="DF240" s="0" t="n">
        <v>0</v>
      </c>
      <c r="DI240" s="0" t="s">
        <v>10948</v>
      </c>
      <c r="DJ240" s="0" t="s">
        <v>10949</v>
      </c>
      <c r="DK240" s="0" t="s">
        <v>5689</v>
      </c>
      <c r="DL240" s="0" t="n">
        <v>22</v>
      </c>
      <c r="DN240" s="0" t="n">
        <v>39</v>
      </c>
      <c r="DO240" s="0" t="n">
        <v>6</v>
      </c>
      <c r="DP240" s="0" t="n">
        <v>4</v>
      </c>
      <c r="DQ240" s="0" t="n">
        <v>8</v>
      </c>
      <c r="DR240" s="0" t="n">
        <v>5</v>
      </c>
      <c r="DS240" s="0" t="n">
        <v>10</v>
      </c>
      <c r="DT240" s="0" t="n">
        <v>10</v>
      </c>
      <c r="DU240" s="0" t="n">
        <f aca="false">IF($A240="","",IF(R240="Y",10,0))</f>
        <v>0</v>
      </c>
      <c r="DV240" s="0" t="n">
        <v>-4</v>
      </c>
      <c r="DW240" s="0" t="s">
        <v>10950</v>
      </c>
      <c r="DX240" s="0" t="s">
        <v>6462</v>
      </c>
      <c r="DY240" s="0" t="s">
        <v>10951</v>
      </c>
      <c r="DZ240" s="0" t="s">
        <v>10952</v>
      </c>
      <c r="EA240" s="0" t="s">
        <v>10953</v>
      </c>
      <c r="EV240" s="0" t="str">
        <f aca="false">IF($A240="","",IF(ISNUMBER(MATCH(U240,{"queued","contacted","replied","call_booked","call_done","yes_in_principle","materials_sent"},0)),"Y","N"))</f>
        <v>N</v>
      </c>
      <c r="EW240" s="0" t="str">
        <f aca="false">IF($A240="","",IF(OR(T240="Y",U240="do_not_contact",AQ240&amp;""&lt;&gt;""),"Y","N"))</f>
        <v>N</v>
      </c>
      <c r="EX240" s="0" t="str">
        <f aca="false">IF($A240="","",IF(AN240&amp;""&lt;&gt;"",AN240&amp;"",$A240))</f>
        <v>AB-191</v>
      </c>
      <c r="EY240" s="0" t="str">
        <f aca="false">IF($A240="","",IF(COUNTIFS($EX$2:$EX$1000,EX240,$EV$2:$EV$1000,"Y")+COUNTIFS($EX$2:$EX$1000,EX240,$EW$2:$EW$1000,"Y")&gt;0,"Y","N"))</f>
        <v>N</v>
      </c>
      <c r="EZ240" s="0" t="str">
        <f aca="false">IF($A240="","",IF(AND(U240="new",T240="N",EW240="N",AR240="Y",EY240="N"),"Y","N"))</f>
        <v>N</v>
      </c>
      <c r="FA240" s="0" t="str">
        <f aca="false">IF($A240="","",IF(EZ240&lt;&gt;"Y","N",IF(COUNTIFS($EX$2:$EX$1000,EX240,$EZ$2:$EZ$1000,"Y",$J$2:$J$1000,"&gt;"&amp;J240)+COUNTIFS($EX$2:$EX$1000,EX240,$EZ$2:$EZ$1000,"Y",$J$2:$J$1000,J240,$FG$2:$FG$1000,"&lt;"&amp;FG240)=0,"Y","N")))</f>
        <v>N</v>
      </c>
      <c r="FB240" s="0" t="str">
        <f aca="false">IF($A240="","",IF(AND(EZ240="Y",FA240="Y",Y240&amp;""&lt;&gt;""),IF(Y240&lt;=10,"Y","N"),"N"))</f>
        <v>N</v>
      </c>
      <c r="FC240" s="0" t="str">
        <f aca="false">IF(FB240="Y",Y240,"")</f>
        <v/>
      </c>
      <c r="FD240" s="0" t="str">
        <f aca="false">IF($A240="","",IF(AND(CK240="pass",AU240="Y",AV240&lt;&gt;"Y",U240="new",EW240="N"),"Y","N"))</f>
        <v>N</v>
      </c>
      <c r="FE240" s="0" t="str">
        <f aca="false">IF(FD240&lt;&gt;"Y","",IF(COUNTIFS($FD$2:$FD$1000,"Y",$J$2:$J$1000,"&gt;"&amp;J240)+COUNTIFS($FD$2:$FD$1000,"Y",$J$2:$J$1000,J240,$FG$2:$FG$1000,"&lt;"&amp;FG240)+1&lt;=30,COUNTIFS($FD$2:$FD$1000,"Y",$J$2:$J$1000,"&gt;"&amp;J240)+COUNTIFS($FD$2:$FD$1000,"Y",$J$2:$J$1000,J240,$FG$2:$FG$1000,"&lt;"&amp;FG240)+1,""))</f>
        <v/>
      </c>
      <c r="FF240" s="0" t="str">
        <f aca="false">IF(AND(_xlfn.ISFORMULA(C240),_xlfn.ISFORMULA(J240)),"Y","N")</f>
        <v>Y</v>
      </c>
      <c r="FG240" s="0" t="n">
        <f aca="false">ROW()-1</f>
        <v>239</v>
      </c>
    </row>
    <row r="241" customFormat="false" ht="15" hidden="false" customHeight="false" outlineLevel="0" collapsed="false">
      <c r="A241" s="0" t="s">
        <v>10954</v>
      </c>
      <c r="B241" s="0" t="s">
        <v>10955</v>
      </c>
      <c r="C241" s="0" t="str">
        <f aca="false">IF($A241="","",IF(AT241="Y",BL241&amp;"",AY241&amp;""))</f>
        <v>Matt</v>
      </c>
      <c r="D241" s="0" t="str">
        <f aca="false">IF($A241="","",IF(AT241="Y",BM241&amp;"",AZ241&amp;""))</f>
        <v>Weiss</v>
      </c>
      <c r="E241" s="0" t="str">
        <f aca="false">IF($A241="","",IF(AT241="Y",BN241&amp;"",BA241&amp;""))</f>
        <v>Founder and CEO</v>
      </c>
      <c r="F241" s="0" t="str">
        <f aca="false">IF($A241="","",IF(AT241="Y",BO241&amp;"",BB241&amp;""))</f>
        <v/>
      </c>
      <c r="G241" s="0" t="str">
        <f aca="false">IF($A241="","",IF(AT241="Y",BP241&amp;"",BC241&amp;""))</f>
        <v/>
      </c>
      <c r="H241" s="0" t="str">
        <f aca="false">IF($A241="","",IF(AT241="Y",BQ241&amp;"",BD241&amp;""))</f>
        <v>none</v>
      </c>
      <c r="I241" s="0" t="str">
        <f aca="false">IF($A241="","",IF(R241="Y","warm-intro",IF(H241="verified","email",IF(C241&lt;&gt;"","linkedin",CA241&amp;""))))</f>
        <v>linkedin</v>
      </c>
      <c r="J241" s="0" t="n">
        <f aca="false">IF($A241="","",IF(CK241="pass",ROUND(N(DO241)+N(DP241)+N(DQ241)+N(DR241)+N(DS241)+N(DT241)+N(DU241)+N(DV241),0),0))</f>
        <v>0</v>
      </c>
      <c r="K241" s="0" t="str">
        <f aca="false">IF($A241="","",IF(CK241&lt;&gt;"pass",BY241&amp;"",BY241&amp;", "&amp;IF(AT241="Y",BX241&amp;"",BK241&amp;"")&amp;BZ241&amp;IF(R241="Y","; known to the founder (+10)","")&amp;"."))</f>
        <v>Gated out: health-claim: explicit health claim in the brand's own copy (opened 2026-10-24): 'essential minerals ..; to enhance your immune system' (https://www.rindsnacks.</v>
      </c>
      <c r="M241" s="0" t="s">
        <v>6144</v>
      </c>
      <c r="N241" s="0" t="s">
        <v>740</v>
      </c>
      <c r="O241" s="0" t="s">
        <v>10956</v>
      </c>
      <c r="P241" s="0" t="s">
        <v>10957</v>
      </c>
      <c r="Q241" s="0" t="s">
        <v>10958</v>
      </c>
      <c r="R241" s="5" t="s">
        <v>189</v>
      </c>
      <c r="S241" s="0" t="s">
        <v>209</v>
      </c>
      <c r="T241" s="5" t="s">
        <v>189</v>
      </c>
      <c r="U241" s="5" t="s">
        <v>3896</v>
      </c>
      <c r="V241" s="0" t="s">
        <v>10959</v>
      </c>
      <c r="W241" s="0" t="s">
        <v>263</v>
      </c>
      <c r="X241" s="0" t="s">
        <v>5578</v>
      </c>
      <c r="Y241" s="0" t="str">
        <f aca="false">IF(FA241&lt;&gt;"Y","",COUNTIFS($FA$2:$FA$1000,"Y",$J$2:$J$1000,"&gt;"&amp;J241)+COUNTIFS($FA$2:$FA$1000,"Y",$J$2:$J$1000,J241,$FG$2:$FG$1000,"&lt;"&amp;FG241)+1)</f>
        <v/>
      </c>
      <c r="AA241" s="0" t="s">
        <v>189</v>
      </c>
      <c r="AB241" s="0" t="str">
        <f aca="false">IF($A241="","",IF(AT241="Y",BW241&amp;"",BJ241&amp;""))</f>
        <v/>
      </c>
      <c r="AC241" s="0" t="str">
        <f aca="false">IF($A241="","",IF(AT241="Y",BR241&amp;"",BE241&amp;""))</f>
        <v>founder</v>
      </c>
      <c r="AD241" s="0" t="str">
        <f aca="false">IF($A241="","",IF(AT241="Y",BS241&amp;"",BF241&amp;""))</f>
        <v>verified-page</v>
      </c>
      <c r="AE241" s="0" t="str">
        <f aca="false">IF($A241="","",IF(AT241="Y",BT241&amp;"",BG241&amp;""))</f>
        <v>employer's own site</v>
      </c>
      <c r="AF241" s="0" t="str">
        <f aca="false">IF($A241="","",IF(AT241="Y",BU241&amp;"",BH241&amp;""))</f>
        <v>https://www.rindsnacks.com/pages/about</v>
      </c>
      <c r="AG241" s="0" t="str">
        <f aca="false">IF($A241="","",IF(AT241="Y",BV241&amp;"",BI241&amp;""))</f>
        <v>2026-10-23</v>
      </c>
      <c r="AH241" s="0" t="s">
        <v>10960</v>
      </c>
      <c r="AI241" s="0" t="s">
        <v>6532</v>
      </c>
      <c r="AJ241" s="0" t="s">
        <v>259</v>
      </c>
      <c r="AK241" s="0" t="s">
        <v>10961</v>
      </c>
      <c r="AL241" s="0" t="s">
        <v>164</v>
      </c>
      <c r="AM241" s="0" t="s">
        <v>10962</v>
      </c>
      <c r="AN241" s="0" t="s">
        <v>10954</v>
      </c>
      <c r="AO241" s="5" t="s">
        <v>189</v>
      </c>
      <c r="AR241" s="0" t="str">
        <f aca="false">IF($A241="","",IF(AND(CK241="pass",AO241&lt;&gt;"Y",C241&lt;&gt;"",OR(AU241&lt;&gt;"Y",AV241="Y")),"Y","N"))</f>
        <v>N</v>
      </c>
      <c r="AS241" s="0" t="str">
        <f aca="false">IF($A241="","",_xlfn.TEXTJOIN("; ",TRUE(),IF(CK241&lt;&gt;"pass","gated out",""),IF(AO241="Y","on hold: "&amp;AP241,""),IF(C241="","no contact named on an opened page",""),IF(AND(AU241="Y",AV241&lt;&gt;"Y"),"founder review pending (Founder review tab)","")))</f>
        <v>gated out</v>
      </c>
      <c r="AU241" s="0" t="s">
        <v>189</v>
      </c>
      <c r="AY241" s="0" t="s">
        <v>6749</v>
      </c>
      <c r="AZ241" s="0" t="s">
        <v>10963</v>
      </c>
      <c r="BA241" s="0" t="s">
        <v>5670</v>
      </c>
      <c r="BC241" s="0" t="str">
        <f aca="false">IF($A241="","",IFERROR(INDEX(Enrichment!$A$2:$GZ$2000,MATCH($A241,INDEX(Enrichment!$A$2:$GZ$2000,0,MATCH("row_id",Enrichment!$A$1:$GZ$1,0)),0),MATCH("work_email",Enrichment!$A$1:$GZ$1,0))&amp;"",""))</f>
        <v/>
      </c>
      <c r="BD241" s="0" t="str">
        <f aca="false">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none</v>
      </c>
      <c r="BE241" s="0" t="s">
        <v>5589</v>
      </c>
      <c r="BF241" s="0" t="s">
        <v>169</v>
      </c>
      <c r="BG241" s="0" t="s">
        <v>170</v>
      </c>
      <c r="BH241" s="0" t="s">
        <v>10959</v>
      </c>
      <c r="BI241" s="0" t="s">
        <v>263</v>
      </c>
      <c r="BK241" s="0" t="s">
        <v>5643</v>
      </c>
      <c r="BP241" s="0" t="str">
        <f aca="false">IF($A241="","",IFERROR(INDEX(Enrichment!$A$2:$GZ$2000,MATCH($A241,INDEX(Enrichment!$A$2:$GZ$2000,0,MATCH("row_id",Enrichment!$A$1:$GZ$1,0)),0),MATCH("backup_work_email",Enrichment!$A$1:$GZ$1,0))&amp;"",""))</f>
        <v/>
      </c>
      <c r="BQ241" s="0" t="str">
        <f aca="false">IF($A241="","",IF(BP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none</v>
      </c>
      <c r="BS241" s="0" t="s">
        <v>380</v>
      </c>
      <c r="BX241" s="0" t="s">
        <v>388</v>
      </c>
      <c r="BY241" s="0" t="s">
        <v>10964</v>
      </c>
      <c r="CB241" s="0" t="s">
        <v>10965</v>
      </c>
      <c r="CJ241" s="0" t="s">
        <v>7088</v>
      </c>
      <c r="CK241" s="0" t="s">
        <v>4627</v>
      </c>
      <c r="CL241" s="0" t="s">
        <v>10005</v>
      </c>
      <c r="CM241" s="0" t="s">
        <v>10966</v>
      </c>
      <c r="CN241" s="0" t="s">
        <v>7171</v>
      </c>
      <c r="CO241" s="0" t="s">
        <v>10961</v>
      </c>
      <c r="CP241" s="0" t="s">
        <v>5608</v>
      </c>
      <c r="CQ241" s="0" t="s">
        <v>5609</v>
      </c>
      <c r="CR241" s="0" t="s">
        <v>10967</v>
      </c>
      <c r="CT241" s="0" t="s">
        <v>352</v>
      </c>
      <c r="CU241" s="0" t="s">
        <v>10968</v>
      </c>
      <c r="CV241" s="0" t="s">
        <v>209</v>
      </c>
      <c r="CW241" s="0" t="s">
        <v>164</v>
      </c>
      <c r="CX241" s="0" t="s">
        <v>209</v>
      </c>
      <c r="CZ241" s="0" t="s">
        <v>209</v>
      </c>
      <c r="DA241" s="0" t="s">
        <v>189</v>
      </c>
      <c r="DB241" s="0" t="s">
        <v>164</v>
      </c>
      <c r="DC241" s="0" t="s">
        <v>10969</v>
      </c>
      <c r="DE241" s="0" t="s">
        <v>189</v>
      </c>
      <c r="DF241" s="0" t="n">
        <v>0</v>
      </c>
      <c r="DI241" s="0" t="s">
        <v>10970</v>
      </c>
      <c r="DJ241" s="0" t="s">
        <v>10971</v>
      </c>
      <c r="DK241" s="0" t="s">
        <v>5617</v>
      </c>
      <c r="DL241" s="0" t="n">
        <v>346</v>
      </c>
      <c r="DN241" s="0" t="n">
        <v>49</v>
      </c>
      <c r="DO241" s="0" t="n">
        <v>6</v>
      </c>
      <c r="DP241" s="0" t="n">
        <v>20</v>
      </c>
      <c r="DQ241" s="0" t="n">
        <v>8</v>
      </c>
      <c r="DR241" s="0" t="n">
        <v>5</v>
      </c>
      <c r="DS241" s="0" t="n">
        <v>6</v>
      </c>
      <c r="DT241" s="0" t="n">
        <v>6</v>
      </c>
      <c r="DU241" s="0" t="n">
        <f aca="false">IF($A241="","",IF(R241="Y",10,0))</f>
        <v>0</v>
      </c>
      <c r="DV241" s="0" t="n">
        <v>-2</v>
      </c>
      <c r="DW241" s="0" t="s">
        <v>10972</v>
      </c>
      <c r="DX241" s="0" t="s">
        <v>5691</v>
      </c>
      <c r="DY241" s="0" t="s">
        <v>10973</v>
      </c>
      <c r="DZ241" s="0" t="s">
        <v>10974</v>
      </c>
      <c r="EA241" s="0" t="s">
        <v>10975</v>
      </c>
      <c r="EV241" s="0" t="str">
        <f aca="false">IF($A241="","",IF(ISNUMBER(MATCH(U241,{"queued","contacted","replied","call_booked","call_done","yes_in_principle","materials_sent"},0)),"Y","N"))</f>
        <v>N</v>
      </c>
      <c r="EW241" s="0" t="str">
        <f aca="false">IF($A241="","",IF(OR(T241="Y",U241="do_not_contact",AQ241&amp;""&lt;&gt;""),"Y","N"))</f>
        <v>N</v>
      </c>
      <c r="EX241" s="0" t="str">
        <f aca="false">IF($A241="","",IF(AN241&amp;""&lt;&gt;"",AN241&amp;"",$A241))</f>
        <v>AB-311</v>
      </c>
      <c r="EY241" s="0" t="str">
        <f aca="false">IF($A241="","",IF(COUNTIFS($EX$2:$EX$1000,EX241,$EV$2:$EV$1000,"Y")+COUNTIFS($EX$2:$EX$1000,EX241,$EW$2:$EW$1000,"Y")&gt;0,"Y","N"))</f>
        <v>N</v>
      </c>
      <c r="EZ241" s="0" t="str">
        <f aca="false">IF($A241="","",IF(AND(U241="new",T241="N",EW241="N",AR241="Y",EY241="N"),"Y","N"))</f>
        <v>N</v>
      </c>
      <c r="FA241" s="0" t="str">
        <f aca="false">IF($A241="","",IF(EZ241&lt;&gt;"Y","N",IF(COUNTIFS($EX$2:$EX$1000,EX241,$EZ$2:$EZ$1000,"Y",$J$2:$J$1000,"&gt;"&amp;J241)+COUNTIFS($EX$2:$EX$1000,EX241,$EZ$2:$EZ$1000,"Y",$J$2:$J$1000,J241,$FG$2:$FG$1000,"&lt;"&amp;FG241)=0,"Y","N")))</f>
        <v>N</v>
      </c>
      <c r="FB241" s="0" t="str">
        <f aca="false">IF($A241="","",IF(AND(EZ241="Y",FA241="Y",Y241&amp;""&lt;&gt;""),IF(Y241&lt;=10,"Y","N"),"N"))</f>
        <v>N</v>
      </c>
      <c r="FC241" s="0" t="str">
        <f aca="false">IF(FB241="Y",Y241,"")</f>
        <v/>
      </c>
      <c r="FD241" s="0" t="str">
        <f aca="false">IF($A241="","",IF(AND(CK241="pass",AU241="Y",AV241&lt;&gt;"Y",U241="new",EW241="N"),"Y","N"))</f>
        <v>N</v>
      </c>
      <c r="FE241" s="0" t="str">
        <f aca="false">IF(FD241&lt;&gt;"Y","",IF(COUNTIFS($FD$2:$FD$1000,"Y",$J$2:$J$1000,"&gt;"&amp;J241)+COUNTIFS($FD$2:$FD$1000,"Y",$J$2:$J$1000,J241,$FG$2:$FG$1000,"&lt;"&amp;FG241)+1&lt;=30,COUNTIFS($FD$2:$FD$1000,"Y",$J$2:$J$1000,"&gt;"&amp;J241)+COUNTIFS($FD$2:$FD$1000,"Y",$J$2:$J$1000,J241,$FG$2:$FG$1000,"&lt;"&amp;FG241)+1,""))</f>
        <v/>
      </c>
      <c r="FF241" s="0" t="str">
        <f aca="false">IF(AND(_xlfn.ISFORMULA(C241),_xlfn.ISFORMULA(J241)),"Y","N")</f>
        <v>Y</v>
      </c>
      <c r="FG241" s="0" t="n">
        <f aca="false">ROW()-1</f>
        <v>240</v>
      </c>
    </row>
    <row r="242" customFormat="false" ht="15" hidden="false" customHeight="false" outlineLevel="0" collapsed="false">
      <c r="A242" s="0" t="s">
        <v>10976</v>
      </c>
      <c r="B242" s="0" t="s">
        <v>10977</v>
      </c>
      <c r="C242" s="0" t="str">
        <f aca="false">IF($A242="","",IF(AT242="Y",BL242&amp;"",AY242&amp;""))</f>
        <v>Brendan</v>
      </c>
      <c r="D242" s="0" t="str">
        <f aca="false">IF($A242="","",IF(AT242="Y",BM242&amp;"",AZ242&amp;""))</f>
        <v>Cawley</v>
      </c>
      <c r="E242" s="0" t="str">
        <f aca="false">IF($A242="","",IF(AT242="Y",BN242&amp;"",BA242&amp;""))</f>
        <v>Founder &amp; CEO</v>
      </c>
      <c r="F242" s="0" t="str">
        <f aca="false">IF($A242="","",IF(AT242="Y",BO242&amp;"",BB242&amp;""))</f>
        <v/>
      </c>
      <c r="G242" s="0" t="str">
        <f aca="false">IF($A242="","",IF(AT242="Y",BP242&amp;"",BC242&amp;""))</f>
        <v/>
      </c>
      <c r="H242" s="0" t="str">
        <f aca="false">IF($A242="","",IF(AT242="Y",BQ242&amp;"",BD242&amp;""))</f>
        <v>none</v>
      </c>
      <c r="I242" s="0" t="str">
        <f aca="false">IF($A242="","",IF(R242="Y","warm-intro",IF(H242="verified","email",IF(C242&lt;&gt;"","linkedin",CA242&amp;""))))</f>
        <v>linkedin</v>
      </c>
      <c r="J242" s="0" t="n">
        <f aca="false">IF($A242="","",IF(CK242="pass",ROUND(N(DO242)+N(DP242)+N(DQ242)+N(DR242)+N(DS242)+N(DT242)+N(DU242)+N(DV242),0),0))</f>
        <v>0</v>
      </c>
      <c r="K242" s="0" t="str">
        <f aca="false">IF($A242="","",IF(CK242&lt;&gt;"pass",BY242&amp;"",BY242&amp;", "&amp;IF(AT242="Y",BX242&amp;"",BK242&amp;"")&amp;BZ242&amp;IF(R242="Y","; known to the founder (+10)","")&amp;"."))</f>
        <v>Gated out: health-claim: explicit health claim in the brand's own copy (opened 2026-10-24): 'Supports Immunity, Digestion, and a Smooth Skin &amp; Coat (the brand's jerky trea.</v>
      </c>
      <c r="M242" s="0" t="s">
        <v>6144</v>
      </c>
      <c r="N242" s="0" t="s">
        <v>740</v>
      </c>
      <c r="O242" s="0" t="s">
        <v>10978</v>
      </c>
      <c r="P242" s="0" t="s">
        <v>10979</v>
      </c>
      <c r="Q242" s="0" t="s">
        <v>5147</v>
      </c>
      <c r="R242" s="5" t="s">
        <v>189</v>
      </c>
      <c r="S242" s="0" t="s">
        <v>164</v>
      </c>
      <c r="T242" s="5" t="s">
        <v>189</v>
      </c>
      <c r="U242" s="5" t="s">
        <v>3896</v>
      </c>
      <c r="V242" s="0" t="s">
        <v>10980</v>
      </c>
      <c r="W242" s="0" t="s">
        <v>263</v>
      </c>
      <c r="X242" s="0" t="s">
        <v>5578</v>
      </c>
      <c r="Y242" s="0" t="str">
        <f aca="false">IF(FA242&lt;&gt;"Y","",COUNTIFS($FA$2:$FA$1000,"Y",$J$2:$J$1000,"&gt;"&amp;J242)+COUNTIFS($FA$2:$FA$1000,"Y",$J$2:$J$1000,J242,$FG$2:$FG$1000,"&lt;"&amp;FG242)+1)</f>
        <v/>
      </c>
      <c r="AA242" s="0" t="s">
        <v>189</v>
      </c>
      <c r="AB242" s="0" t="str">
        <f aca="false">IF($A242="","",IF(AT242="Y",BW242&amp;"",BJ242&amp;""))</f>
        <v/>
      </c>
      <c r="AC242" s="0" t="str">
        <f aca="false">IF($A242="","",IF(AT242="Y",BR242&amp;"",BE242&amp;""))</f>
        <v>founder</v>
      </c>
      <c r="AD242" s="0" t="str">
        <f aca="false">IF($A242="","",IF(AT242="Y",BS242&amp;"",BF242&amp;""))</f>
        <v>verified-page</v>
      </c>
      <c r="AE242" s="0" t="str">
        <f aca="false">IF($A242="","",IF(AT242="Y",BT242&amp;"",BG242&amp;""))</f>
        <v>press, event or podcast page</v>
      </c>
      <c r="AF242" s="0" t="str">
        <f aca="false">IF($A242="","",IF(AT242="Y",BU242&amp;"",BH242&amp;""))</f>
        <v>https://startupcpg.com/startup-cpg-newswire-righteous-felon-craft-jerky-hits-the-gas-on-the-getaway-car-expands-retail-presence-dominates-holiday-gifting-season/</v>
      </c>
      <c r="AG242" s="0" t="str">
        <f aca="false">IF($A242="","",IF(AT242="Y",BV242&amp;"",BI242&amp;""))</f>
        <v>2026-10-23</v>
      </c>
      <c r="AH242" s="0" t="s">
        <v>10981</v>
      </c>
      <c r="AI242" s="0" t="s">
        <v>6306</v>
      </c>
      <c r="AJ242" s="0" t="s">
        <v>10982</v>
      </c>
      <c r="AK242" s="0" t="s">
        <v>10983</v>
      </c>
      <c r="AL242" s="0" t="s">
        <v>189</v>
      </c>
      <c r="AN242" s="0" t="s">
        <v>10976</v>
      </c>
      <c r="AO242" s="5" t="s">
        <v>189</v>
      </c>
      <c r="AR242" s="0" t="str">
        <f aca="false">IF($A242="","",IF(AND(CK242="pass",AO242&lt;&gt;"Y",C242&lt;&gt;"",OR(AU242&lt;&gt;"Y",AV242="Y")),"Y","N"))</f>
        <v>N</v>
      </c>
      <c r="AS242" s="0" t="str">
        <f aca="false">IF($A242="","",_xlfn.TEXTJOIN("; ",TRUE(),IF(CK242&lt;&gt;"pass","gated out",""),IF(AO242="Y","on hold: "&amp;AP242,""),IF(C242="","no contact named on an opened page",""),IF(AND(AU242="Y",AV242&lt;&gt;"Y"),"founder review pending (Founder review tab)","")))</f>
        <v>gated out</v>
      </c>
      <c r="AU242" s="0" t="s">
        <v>189</v>
      </c>
      <c r="AY242" s="0" t="s">
        <v>10984</v>
      </c>
      <c r="AZ242" s="0" t="s">
        <v>10985</v>
      </c>
      <c r="BA242" s="0" t="s">
        <v>9363</v>
      </c>
      <c r="BC242" s="0" t="str">
        <f aca="false">IF($A242="","",IFERROR(INDEX(Enrichment!$A$2:$GZ$2000,MATCH($A242,INDEX(Enrichment!$A$2:$GZ$2000,0,MATCH("row_id",Enrichment!$A$1:$GZ$1,0)),0),MATCH("work_email",Enrichment!$A$1:$GZ$1,0))&amp;"",""))</f>
        <v/>
      </c>
      <c r="BD242" s="0" t="str">
        <f aca="false">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none</v>
      </c>
      <c r="BE242" s="0" t="s">
        <v>5589</v>
      </c>
      <c r="BF242" s="0" t="s">
        <v>169</v>
      </c>
      <c r="BG242" s="0" t="s">
        <v>1252</v>
      </c>
      <c r="BH242" s="0" t="s">
        <v>10986</v>
      </c>
      <c r="BI242" s="0" t="s">
        <v>263</v>
      </c>
      <c r="BK242" s="0" t="s">
        <v>5643</v>
      </c>
      <c r="BP242" s="0" t="str">
        <f aca="false">IF($A242="","",IFERROR(INDEX(Enrichment!$A$2:$GZ$2000,MATCH($A242,INDEX(Enrichment!$A$2:$GZ$2000,0,MATCH("row_id",Enrichment!$A$1:$GZ$1,0)),0),MATCH("backup_work_email",Enrichment!$A$1:$GZ$1,0))&amp;"",""))</f>
        <v/>
      </c>
      <c r="BQ242" s="0" t="str">
        <f aca="false">IF($A242="","",IF(BP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none</v>
      </c>
      <c r="BS242" s="0" t="s">
        <v>380</v>
      </c>
      <c r="BX242" s="0" t="s">
        <v>388</v>
      </c>
      <c r="BY242" s="0" t="s">
        <v>10987</v>
      </c>
      <c r="CB242" s="0" t="s">
        <v>10988</v>
      </c>
      <c r="CJ242" s="0" t="s">
        <v>7088</v>
      </c>
      <c r="CK242" s="0" t="s">
        <v>4627</v>
      </c>
      <c r="CL242" s="0" t="s">
        <v>10005</v>
      </c>
      <c r="CM242" s="0" t="s">
        <v>10989</v>
      </c>
      <c r="CO242" s="0" t="s">
        <v>10983</v>
      </c>
      <c r="CP242" s="0" t="s">
        <v>7376</v>
      </c>
      <c r="CQ242" s="0" t="s">
        <v>6084</v>
      </c>
      <c r="CR242" s="0" t="s">
        <v>209</v>
      </c>
      <c r="CT242" s="0" t="s">
        <v>164</v>
      </c>
      <c r="CU242" s="0" t="s">
        <v>10990</v>
      </c>
      <c r="CV242" s="0" t="s">
        <v>164</v>
      </c>
      <c r="CW242" s="0" t="s">
        <v>164</v>
      </c>
      <c r="CX242" s="0" t="s">
        <v>209</v>
      </c>
      <c r="CZ242" s="0" t="s">
        <v>209</v>
      </c>
      <c r="DA242" s="0" t="s">
        <v>189</v>
      </c>
      <c r="DB242" s="0" t="s">
        <v>164</v>
      </c>
      <c r="DC242" s="0" t="s">
        <v>10991</v>
      </c>
      <c r="DE242" s="0" t="s">
        <v>189</v>
      </c>
      <c r="DF242" s="0" t="n">
        <v>0</v>
      </c>
      <c r="DI242" s="0" t="s">
        <v>10992</v>
      </c>
      <c r="DJ242" s="0" t="s">
        <v>10993</v>
      </c>
      <c r="DK242" s="0" t="s">
        <v>5689</v>
      </c>
      <c r="DL242" s="0" t="n">
        <v>80</v>
      </c>
      <c r="DM242" s="0" t="s">
        <v>10986</v>
      </c>
      <c r="DN242" s="0" t="n">
        <v>43</v>
      </c>
      <c r="DO242" s="0" t="n">
        <v>6</v>
      </c>
      <c r="DP242" s="0" t="n">
        <v>8</v>
      </c>
      <c r="DQ242" s="0" t="n">
        <v>8</v>
      </c>
      <c r="DR242" s="0" t="n">
        <v>5</v>
      </c>
      <c r="DS242" s="0" t="n">
        <v>10</v>
      </c>
      <c r="DT242" s="0" t="n">
        <v>6</v>
      </c>
      <c r="DU242" s="0" t="n">
        <f aca="false">IF($A242="","",IF(R242="Y",10,0))</f>
        <v>0</v>
      </c>
      <c r="DV242" s="0" t="n">
        <v>0</v>
      </c>
      <c r="DW242" s="0" t="s">
        <v>209</v>
      </c>
      <c r="DX242" s="0" t="s">
        <v>5814</v>
      </c>
      <c r="DY242" s="0" t="s">
        <v>10994</v>
      </c>
      <c r="DZ242" s="0" t="s">
        <v>10995</v>
      </c>
      <c r="EA242" s="0" t="s">
        <v>10996</v>
      </c>
      <c r="EV242" s="0" t="str">
        <f aca="false">IF($A242="","",IF(ISNUMBER(MATCH(U242,{"queued","contacted","replied","call_booked","call_done","yes_in_principle","materials_sent"},0)),"Y","N"))</f>
        <v>N</v>
      </c>
      <c r="EW242" s="0" t="str">
        <f aca="false">IF($A242="","",IF(OR(T242="Y",U242="do_not_contact",AQ242&amp;""&lt;&gt;""),"Y","N"))</f>
        <v>N</v>
      </c>
      <c r="EX242" s="0" t="str">
        <f aca="false">IF($A242="","",IF(AN242&amp;""&lt;&gt;"",AN242&amp;"",$A242))</f>
        <v>AB-026</v>
      </c>
      <c r="EY242" s="0" t="str">
        <f aca="false">IF($A242="","",IF(COUNTIFS($EX$2:$EX$1000,EX242,$EV$2:$EV$1000,"Y")+COUNTIFS($EX$2:$EX$1000,EX242,$EW$2:$EW$1000,"Y")&gt;0,"Y","N"))</f>
        <v>N</v>
      </c>
      <c r="EZ242" s="0" t="str">
        <f aca="false">IF($A242="","",IF(AND(U242="new",T242="N",EW242="N",AR242="Y",EY242="N"),"Y","N"))</f>
        <v>N</v>
      </c>
      <c r="FA242" s="0" t="str">
        <f aca="false">IF($A242="","",IF(EZ242&lt;&gt;"Y","N",IF(COUNTIFS($EX$2:$EX$1000,EX242,$EZ$2:$EZ$1000,"Y",$J$2:$J$1000,"&gt;"&amp;J242)+COUNTIFS($EX$2:$EX$1000,EX242,$EZ$2:$EZ$1000,"Y",$J$2:$J$1000,J242,$FG$2:$FG$1000,"&lt;"&amp;FG242)=0,"Y","N")))</f>
        <v>N</v>
      </c>
      <c r="FB242" s="0" t="str">
        <f aca="false">IF($A242="","",IF(AND(EZ242="Y",FA242="Y",Y242&amp;""&lt;&gt;""),IF(Y242&lt;=10,"Y","N"),"N"))</f>
        <v>N</v>
      </c>
      <c r="FC242" s="0" t="str">
        <f aca="false">IF(FB242="Y",Y242,"")</f>
        <v/>
      </c>
      <c r="FD242" s="0" t="str">
        <f aca="false">IF($A242="","",IF(AND(CK242="pass",AU242="Y",AV242&lt;&gt;"Y",U242="new",EW242="N"),"Y","N"))</f>
        <v>N</v>
      </c>
      <c r="FE242" s="0" t="str">
        <f aca="false">IF(FD242&lt;&gt;"Y","",IF(COUNTIFS($FD$2:$FD$1000,"Y",$J$2:$J$1000,"&gt;"&amp;J242)+COUNTIFS($FD$2:$FD$1000,"Y",$J$2:$J$1000,J242,$FG$2:$FG$1000,"&lt;"&amp;FG242)+1&lt;=30,COUNTIFS($FD$2:$FD$1000,"Y",$J$2:$J$1000,"&gt;"&amp;J242)+COUNTIFS($FD$2:$FD$1000,"Y",$J$2:$J$1000,J242,$FG$2:$FG$1000,"&lt;"&amp;FG242)+1,""))</f>
        <v/>
      </c>
      <c r="FF242" s="0" t="str">
        <f aca="false">IF(AND(_xlfn.ISFORMULA(C242),_xlfn.ISFORMULA(J242)),"Y","N")</f>
        <v>Y</v>
      </c>
      <c r="FG242" s="0" t="n">
        <f aca="false">ROW()-1</f>
        <v>241</v>
      </c>
    </row>
    <row r="243" customFormat="false" ht="15" hidden="false" customHeight="false" outlineLevel="0" collapsed="false">
      <c r="A243" s="0" t="s">
        <v>10997</v>
      </c>
      <c r="B243" s="0" t="s">
        <v>10998</v>
      </c>
      <c r="C243" s="0" t="str">
        <f aca="false">IF($A243="","",IF(AT243="Y",BL243&amp;"",AY243&amp;""))</f>
        <v>Alison</v>
      </c>
      <c r="D243" s="0" t="str">
        <f aca="false">IF($A243="","",IF(AT243="Y",BM243&amp;"",AZ243&amp;""))</f>
        <v>Evans</v>
      </c>
      <c r="E243" s="0" t="str">
        <f aca="false">IF($A243="","",IF(AT243="Y",BN243&amp;"",BA243&amp;""))</f>
        <v>Co-founder</v>
      </c>
      <c r="F243" s="0" t="str">
        <f aca="false">IF($A243="","",IF(AT243="Y",BO243&amp;"",BB243&amp;""))</f>
        <v/>
      </c>
      <c r="G243" s="0" t="str">
        <f aca="false">IF($A243="","",IF(AT243="Y",BP243&amp;"",BC243&amp;""))</f>
        <v/>
      </c>
      <c r="H243" s="0" t="str">
        <f aca="false">IF($A243="","",IF(AT243="Y",BQ243&amp;"",BD243&amp;""))</f>
        <v>none</v>
      </c>
      <c r="I243" s="0" t="str">
        <f aca="false">IF($A243="","",IF(R243="Y","warm-intro",IF(H243="verified","email",IF(C243&lt;&gt;"","linkedin",CA243&amp;""))))</f>
        <v>linkedin</v>
      </c>
      <c r="J243" s="0" t="n">
        <f aca="false">IF($A243="","",IF(CK243="pass",ROUND(N(DO243)+N(DP243)+N(DQ243)+N(DR243)+N(DS243)+N(DT243)+N(DU243)+N(DV243),0),0))</f>
        <v>0</v>
      </c>
      <c r="K243" s="0" t="str">
        <f aca="false">IF($A243="","",IF(CK243&lt;&gt;"pass",BY243&amp;"",BY243&amp;", "&amp;IF(AT243="Y",BX243&amp;"",BK243&amp;"")&amp;BZ243&amp;IF(R243="Y","; known to the founder (+10)","")&amp;"."))</f>
        <v>Gated out: excluded-category: Needs preparation (drink-mix stick packs); cocktail-mixer positioning.</v>
      </c>
      <c r="M243" s="0" t="s">
        <v>6144</v>
      </c>
      <c r="N243" s="0" t="s">
        <v>740</v>
      </c>
      <c r="O243" s="0" t="s">
        <v>10999</v>
      </c>
      <c r="P243" s="0" t="s">
        <v>11000</v>
      </c>
      <c r="Q243" s="0" t="s">
        <v>9480</v>
      </c>
      <c r="R243" s="5" t="s">
        <v>189</v>
      </c>
      <c r="S243" s="0" t="s">
        <v>164</v>
      </c>
      <c r="T243" s="5" t="s">
        <v>189</v>
      </c>
      <c r="U243" s="5" t="s">
        <v>3896</v>
      </c>
      <c r="V243" s="0" t="s">
        <v>11000</v>
      </c>
      <c r="W243" s="0" t="s">
        <v>263</v>
      </c>
      <c r="X243" s="0" t="s">
        <v>5578</v>
      </c>
      <c r="Y243" s="0" t="str">
        <f aca="false">IF(FA243&lt;&gt;"Y","",COUNTIFS($FA$2:$FA$1000,"Y",$J$2:$J$1000,"&gt;"&amp;J243)+COUNTIFS($FA$2:$FA$1000,"Y",$J$2:$J$1000,J243,$FG$2:$FG$1000,"&lt;"&amp;FG243)+1)</f>
        <v/>
      </c>
      <c r="AA243" s="0" t="s">
        <v>189</v>
      </c>
      <c r="AB243" s="0" t="str">
        <f aca="false">IF($A243="","",IF(AT243="Y",BW243&amp;"",BJ243&amp;""))</f>
        <v/>
      </c>
      <c r="AC243" s="0" t="str">
        <f aca="false">IF($A243="","",IF(AT243="Y",BR243&amp;"",BE243&amp;""))</f>
        <v>founder</v>
      </c>
      <c r="AD243" s="0" t="str">
        <f aca="false">IF($A243="","",IF(AT243="Y",BS243&amp;"",BF243&amp;""))</f>
        <v>verified-page</v>
      </c>
      <c r="AE243" s="0" t="str">
        <f aca="false">IF($A243="","",IF(AT243="Y",BT243&amp;"",BG243&amp;""))</f>
        <v>press, event or podcast page</v>
      </c>
      <c r="AF243" s="0" t="str">
        <f aca="false">IF($A243="","",IF(AT243="Y",BU243&amp;"",BH243&amp;""))</f>
        <v>https://startupcpg.com/startup-cpg-newswire-sayso-expands-with-launch-of-new-stick-pack-line-after-viral-sell-out/</v>
      </c>
      <c r="AG243" s="0" t="str">
        <f aca="false">IF($A243="","",IF(AT243="Y",BV243&amp;"",BI243&amp;""))</f>
        <v>2026-10-23</v>
      </c>
      <c r="AH243" s="0" t="s">
        <v>11001</v>
      </c>
      <c r="AI243" s="0" t="s">
        <v>6699</v>
      </c>
      <c r="AJ243" s="0" t="s">
        <v>11002</v>
      </c>
      <c r="AL243" s="0" t="s">
        <v>164</v>
      </c>
      <c r="AM243" s="0" t="s">
        <v>10604</v>
      </c>
      <c r="AN243" s="0" t="s">
        <v>10997</v>
      </c>
      <c r="AO243" s="5" t="s">
        <v>189</v>
      </c>
      <c r="AR243" s="0" t="str">
        <f aca="false">IF($A243="","",IF(AND(CK243="pass",AO243&lt;&gt;"Y",C243&lt;&gt;"",OR(AU243&lt;&gt;"Y",AV243="Y")),"Y","N"))</f>
        <v>N</v>
      </c>
      <c r="AS243" s="0" t="str">
        <f aca="false">IF($A243="","",_xlfn.TEXTJOIN("; ",TRUE(),IF(CK243&lt;&gt;"pass","gated out",""),IF(AO243="Y","on hold: "&amp;AP243,""),IF(C243="","no contact named on an opened page",""),IF(AND(AU243="Y",AV243&lt;&gt;"Y"),"founder review pending (Founder review tab)","")))</f>
        <v>gated out</v>
      </c>
      <c r="AU243" s="0" t="s">
        <v>189</v>
      </c>
      <c r="AY243" s="0" t="s">
        <v>11003</v>
      </c>
      <c r="AZ243" s="0" t="s">
        <v>11004</v>
      </c>
      <c r="BA243" s="0" t="s">
        <v>5636</v>
      </c>
      <c r="BC243" s="0" t="str">
        <f aca="false">IF($A243="","",IFERROR(INDEX(Enrichment!$A$2:$GZ$2000,MATCH($A243,INDEX(Enrichment!$A$2:$GZ$2000,0,MATCH("row_id",Enrichment!$A$1:$GZ$1,0)),0),MATCH("work_email",Enrichment!$A$1:$GZ$1,0))&amp;"",""))</f>
        <v/>
      </c>
      <c r="BD243" s="0" t="str">
        <f aca="false">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none</v>
      </c>
      <c r="BE243" s="0" t="s">
        <v>5589</v>
      </c>
      <c r="BF243" s="0" t="s">
        <v>169</v>
      </c>
      <c r="BG243" s="0" t="s">
        <v>1252</v>
      </c>
      <c r="BH243" s="0" t="s">
        <v>11000</v>
      </c>
      <c r="BI243" s="0" t="s">
        <v>263</v>
      </c>
      <c r="BK243" s="0" t="s">
        <v>5643</v>
      </c>
      <c r="BP243" s="0" t="str">
        <f aca="false">IF($A243="","",IFERROR(INDEX(Enrichment!$A$2:$GZ$2000,MATCH($A243,INDEX(Enrichment!$A$2:$GZ$2000,0,MATCH("row_id",Enrichment!$A$1:$GZ$1,0)),0),MATCH("backup_work_email",Enrichment!$A$1:$GZ$1,0))&amp;"",""))</f>
        <v/>
      </c>
      <c r="BQ243" s="0" t="str">
        <f aca="false">IF($A243="","",IF(BP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none</v>
      </c>
      <c r="BS243" s="0" t="s">
        <v>380</v>
      </c>
      <c r="BX243" s="0" t="s">
        <v>388</v>
      </c>
      <c r="BY243" s="0" t="s">
        <v>11005</v>
      </c>
      <c r="CB243" s="0" t="s">
        <v>11006</v>
      </c>
      <c r="CJ243" s="0" t="s">
        <v>7088</v>
      </c>
      <c r="CK243" s="0" t="s">
        <v>4627</v>
      </c>
      <c r="CL243" s="0" t="s">
        <v>10642</v>
      </c>
      <c r="CM243" s="0" t="s">
        <v>11007</v>
      </c>
      <c r="CN243" s="0" t="s">
        <v>5774</v>
      </c>
      <c r="CO243" s="0" t="s">
        <v>11008</v>
      </c>
      <c r="CP243" s="0" t="s">
        <v>5608</v>
      </c>
      <c r="CQ243" s="0" t="s">
        <v>5609</v>
      </c>
      <c r="CR243" s="0" t="s">
        <v>209</v>
      </c>
      <c r="CT243" s="0" t="s">
        <v>209</v>
      </c>
      <c r="CV243" s="0" t="s">
        <v>209</v>
      </c>
      <c r="CW243" s="0" t="s">
        <v>209</v>
      </c>
      <c r="CX243" s="0" t="s">
        <v>209</v>
      </c>
      <c r="CZ243" s="0" t="s">
        <v>209</v>
      </c>
      <c r="DA243" s="0" t="s">
        <v>189</v>
      </c>
      <c r="DB243" s="0" t="s">
        <v>164</v>
      </c>
      <c r="DC243" s="0" t="s">
        <v>11009</v>
      </c>
      <c r="DE243" s="0" t="s">
        <v>189</v>
      </c>
      <c r="DF243" s="0" t="n">
        <v>0</v>
      </c>
      <c r="DK243" s="0" t="s">
        <v>5617</v>
      </c>
      <c r="DL243" s="0" t="n">
        <v>359</v>
      </c>
      <c r="DM243" s="0" t="s">
        <v>11000</v>
      </c>
      <c r="DN243" s="0" t="n">
        <v>42</v>
      </c>
      <c r="DO243" s="0" t="n">
        <v>0</v>
      </c>
      <c r="DP243" s="0" t="n">
        <v>20</v>
      </c>
      <c r="DQ243" s="0" t="n">
        <v>8</v>
      </c>
      <c r="DR243" s="0" t="n">
        <v>5</v>
      </c>
      <c r="DS243" s="0" t="n">
        <v>3</v>
      </c>
      <c r="DT243" s="0" t="n">
        <v>6</v>
      </c>
      <c r="DU243" s="0" t="n">
        <f aca="false">IF($A243="","",IF(R243="Y",10,0))</f>
        <v>0</v>
      </c>
      <c r="DV243" s="0" t="n">
        <v>0</v>
      </c>
      <c r="DX243" s="0" t="s">
        <v>5619</v>
      </c>
      <c r="DY243" s="0" t="s">
        <v>11010</v>
      </c>
      <c r="DZ243" s="0" t="s">
        <v>10532</v>
      </c>
      <c r="EV243" s="0" t="str">
        <f aca="false">IF($A243="","",IF(ISNUMBER(MATCH(U243,{"queued","contacted","replied","call_booked","call_done","yes_in_principle","materials_sent"},0)),"Y","N"))</f>
        <v>N</v>
      </c>
      <c r="EW243" s="0" t="str">
        <f aca="false">IF($A243="","",IF(OR(T243="Y",U243="do_not_contact",AQ243&amp;""&lt;&gt;""),"Y","N"))</f>
        <v>N</v>
      </c>
      <c r="EX243" s="0" t="str">
        <f aca="false">IF($A243="","",IF(AN243&amp;""&lt;&gt;"",AN243&amp;"",$A243))</f>
        <v>AB-259</v>
      </c>
      <c r="EY243" s="0" t="str">
        <f aca="false">IF($A243="","",IF(COUNTIFS($EX$2:$EX$1000,EX243,$EV$2:$EV$1000,"Y")+COUNTIFS($EX$2:$EX$1000,EX243,$EW$2:$EW$1000,"Y")&gt;0,"Y","N"))</f>
        <v>N</v>
      </c>
      <c r="EZ243" s="0" t="str">
        <f aca="false">IF($A243="","",IF(AND(U243="new",T243="N",EW243="N",AR243="Y",EY243="N"),"Y","N"))</f>
        <v>N</v>
      </c>
      <c r="FA243" s="0" t="str">
        <f aca="false">IF($A243="","",IF(EZ243&lt;&gt;"Y","N",IF(COUNTIFS($EX$2:$EX$1000,EX243,$EZ$2:$EZ$1000,"Y",$J$2:$J$1000,"&gt;"&amp;J243)+COUNTIFS($EX$2:$EX$1000,EX243,$EZ$2:$EZ$1000,"Y",$J$2:$J$1000,J243,$FG$2:$FG$1000,"&lt;"&amp;FG243)=0,"Y","N")))</f>
        <v>N</v>
      </c>
      <c r="FB243" s="0" t="str">
        <f aca="false">IF($A243="","",IF(AND(EZ243="Y",FA243="Y",Y243&amp;""&lt;&gt;""),IF(Y243&lt;=10,"Y","N"),"N"))</f>
        <v>N</v>
      </c>
      <c r="FC243" s="0" t="str">
        <f aca="false">IF(FB243="Y",Y243,"")</f>
        <v/>
      </c>
      <c r="FD243" s="0" t="str">
        <f aca="false">IF($A243="","",IF(AND(CK243="pass",AU243="Y",AV243&lt;&gt;"Y",U243="new",EW243="N"),"Y","N"))</f>
        <v>N</v>
      </c>
      <c r="FE243" s="0" t="str">
        <f aca="false">IF(FD243&lt;&gt;"Y","",IF(COUNTIFS($FD$2:$FD$1000,"Y",$J$2:$J$1000,"&gt;"&amp;J243)+COUNTIFS($FD$2:$FD$1000,"Y",$J$2:$J$1000,J243,$FG$2:$FG$1000,"&lt;"&amp;FG243)+1&lt;=30,COUNTIFS($FD$2:$FD$1000,"Y",$J$2:$J$1000,"&gt;"&amp;J243)+COUNTIFS($FD$2:$FD$1000,"Y",$J$2:$J$1000,J243,$FG$2:$FG$1000,"&lt;"&amp;FG243)+1,""))</f>
        <v/>
      </c>
      <c r="FF243" s="0" t="str">
        <f aca="false">IF(AND(_xlfn.ISFORMULA(C243),_xlfn.ISFORMULA(J243)),"Y","N")</f>
        <v>Y</v>
      </c>
      <c r="FG243" s="0" t="n">
        <f aca="false">ROW()-1</f>
        <v>242</v>
      </c>
    </row>
    <row r="244" customFormat="false" ht="15" hidden="false" customHeight="false" outlineLevel="0" collapsed="false">
      <c r="A244" s="0" t="s">
        <v>11011</v>
      </c>
      <c r="B244" s="0" t="s">
        <v>11012</v>
      </c>
      <c r="C244" s="0" t="str">
        <f aca="false">IF($A244="","",IF(AT244="Y",BL244&amp;"",AY244&amp;""))</f>
        <v>Gunther</v>
      </c>
      <c r="D244" s="0" t="str">
        <f aca="false">IF($A244="","",IF(AT244="Y",BM244&amp;"",AZ244&amp;""))</f>
        <v>Fishgold</v>
      </c>
      <c r="E244" s="0" t="str">
        <f aca="false">IF($A244="","",IF(AT244="Y",BN244&amp;"",BA244&amp;""))</f>
        <v>Founder</v>
      </c>
      <c r="F244" s="0" t="str">
        <f aca="false">IF($A244="","",IF(AT244="Y",BO244&amp;"",BB244&amp;""))</f>
        <v/>
      </c>
      <c r="G244" s="0" t="str">
        <f aca="false">IF($A244="","",IF(AT244="Y",BP244&amp;"",BC244&amp;""))</f>
        <v/>
      </c>
      <c r="H244" s="0" t="str">
        <f aca="false">IF($A244="","",IF(AT244="Y",BQ244&amp;"",BD244&amp;""))</f>
        <v>none</v>
      </c>
      <c r="I244" s="0" t="str">
        <f aca="false">IF($A244="","",IF(R244="Y","warm-intro",IF(H244="verified","email",IF(C244&lt;&gt;"","linkedin",CA244&amp;""))))</f>
        <v>linkedin</v>
      </c>
      <c r="J244" s="0" t="n">
        <f aca="false">IF($A244="","",IF(CK244="pass",ROUND(N(DO244)+N(DP244)+N(DQ244)+N(DR244)+N(DS244)+N(DT244)+N(DU244)+N(DV244),0),0))</f>
        <v>0</v>
      </c>
      <c r="K244" s="0" t="str">
        <f aca="false">IF($A244="","",IF(CK244&lt;&gt;"pass",BY244&amp;"",BY244&amp;", "&amp;IF(AT244="Y",BX244&amp;"",BK244&amp;"")&amp;BZ244&amp;IF(R244="Y","; known to the founder (+10)","")&amp;"."))</f>
        <v>Gated out: health-claim: explicit health claim in the brand's own copy (opened 2026-10-24): 'Immunity Tea aims to support your immune system and balance your energy; 'Slim.</v>
      </c>
      <c r="M244" s="0" t="s">
        <v>6144</v>
      </c>
      <c r="N244" s="0" t="s">
        <v>740</v>
      </c>
      <c r="O244" s="0" t="s">
        <v>11013</v>
      </c>
      <c r="P244" s="0" t="s">
        <v>11014</v>
      </c>
      <c r="Q244" s="0" t="s">
        <v>11015</v>
      </c>
      <c r="R244" s="5" t="s">
        <v>189</v>
      </c>
      <c r="S244" s="0" t="s">
        <v>209</v>
      </c>
      <c r="T244" s="5" t="s">
        <v>189</v>
      </c>
      <c r="U244" s="5" t="s">
        <v>3896</v>
      </c>
      <c r="V244" s="0" t="s">
        <v>11016</v>
      </c>
      <c r="W244" s="0" t="s">
        <v>263</v>
      </c>
      <c r="X244" s="0" t="s">
        <v>5578</v>
      </c>
      <c r="Y244" s="0" t="str">
        <f aca="false">IF(FA244&lt;&gt;"Y","",COUNTIFS($FA$2:$FA$1000,"Y",$J$2:$J$1000,"&gt;"&amp;J244)+COUNTIFS($FA$2:$FA$1000,"Y",$J$2:$J$1000,J244,$FG$2:$FG$1000,"&lt;"&amp;FG244)+1)</f>
        <v/>
      </c>
      <c r="AA244" s="0" t="s">
        <v>189</v>
      </c>
      <c r="AB244" s="0" t="str">
        <f aca="false">IF($A244="","",IF(AT244="Y",BW244&amp;"",BJ244&amp;""))</f>
        <v/>
      </c>
      <c r="AC244" s="0" t="str">
        <f aca="false">IF($A244="","",IF(AT244="Y",BR244&amp;"",BE244&amp;""))</f>
        <v>founder</v>
      </c>
      <c r="AD244" s="0" t="str">
        <f aca="false">IF($A244="","",IF(AT244="Y",BS244&amp;"",BF244&amp;""))</f>
        <v>verified-page</v>
      </c>
      <c r="AE244" s="0" t="str">
        <f aca="false">IF($A244="","",IF(AT244="Y",BT244&amp;"",BG244&amp;""))</f>
        <v>press, event or podcast page</v>
      </c>
      <c r="AF244" s="0" t="str">
        <f aca="false">IF($A244="","",IF(AT244="Y",BU244&amp;"",BH244&amp;""))</f>
        <v>https://mainstreetmag.com/keeping-it-simple/</v>
      </c>
      <c r="AG244" s="0" t="str">
        <f aca="false">IF($A244="","",IF(AT244="Y",BV244&amp;"",BI244&amp;""))</f>
        <v>2026-10-23</v>
      </c>
      <c r="AH244" s="0" t="s">
        <v>11017</v>
      </c>
      <c r="AI244" s="0" t="s">
        <v>6240</v>
      </c>
      <c r="AJ244" s="0" t="s">
        <v>11018</v>
      </c>
      <c r="AK244" s="0" t="s">
        <v>11019</v>
      </c>
      <c r="AL244" s="0" t="s">
        <v>164</v>
      </c>
      <c r="AM244" s="0" t="s">
        <v>11020</v>
      </c>
      <c r="AN244" s="0" t="s">
        <v>11011</v>
      </c>
      <c r="AO244" s="5" t="s">
        <v>189</v>
      </c>
      <c r="AR244" s="0" t="str">
        <f aca="false">IF($A244="","",IF(AND(CK244="pass",AO244&lt;&gt;"Y",C244&lt;&gt;"",OR(AU244&lt;&gt;"Y",AV244="Y")),"Y","N"))</f>
        <v>N</v>
      </c>
      <c r="AS244" s="0" t="str">
        <f aca="false">IF($A244="","",_xlfn.TEXTJOIN("; ",TRUE(),IF(CK244&lt;&gt;"pass","gated out",""),IF(AO244="Y","on hold: "&amp;AP244,""),IF(C244="","no contact named on an opened page",""),IF(AND(AU244="Y",AV244&lt;&gt;"Y"),"founder review pending (Founder review tab)","")))</f>
        <v>gated out; founder review pending (Founder review tab)</v>
      </c>
      <c r="AU244" s="0" t="s">
        <v>164</v>
      </c>
      <c r="AY244" s="0" t="s">
        <v>11021</v>
      </c>
      <c r="AZ244" s="0" t="s">
        <v>11022</v>
      </c>
      <c r="BA244" s="0" t="s">
        <v>5739</v>
      </c>
      <c r="BC244" s="0" t="str">
        <f aca="false">IF($A244="","",IFERROR(INDEX(Enrichment!$A$2:$GZ$2000,MATCH($A244,INDEX(Enrichment!$A$2:$GZ$2000,0,MATCH("row_id",Enrichment!$A$1:$GZ$1,0)),0),MATCH("work_email",Enrichment!$A$1:$GZ$1,0))&amp;"",""))</f>
        <v/>
      </c>
      <c r="BD244" s="0" t="str">
        <f aca="false">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none</v>
      </c>
      <c r="BE244" s="0" t="s">
        <v>5589</v>
      </c>
      <c r="BF244" s="0" t="s">
        <v>169</v>
      </c>
      <c r="BG244" s="0" t="s">
        <v>1252</v>
      </c>
      <c r="BH244" s="0" t="s">
        <v>11023</v>
      </c>
      <c r="BI244" s="0" t="s">
        <v>263</v>
      </c>
      <c r="BK244" s="0" t="s">
        <v>5643</v>
      </c>
      <c r="BP244" s="0" t="str">
        <f aca="false">IF($A244="","",IFERROR(INDEX(Enrichment!$A$2:$GZ$2000,MATCH($A244,INDEX(Enrichment!$A$2:$GZ$2000,0,MATCH("row_id",Enrichment!$A$1:$GZ$1,0)),0),MATCH("backup_work_email",Enrichment!$A$1:$GZ$1,0))&amp;"",""))</f>
        <v/>
      </c>
      <c r="BQ244" s="0" t="str">
        <f aca="false">IF($A244="","",IF(BP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none</v>
      </c>
      <c r="BS244" s="0" t="s">
        <v>380</v>
      </c>
      <c r="BX244" s="0" t="s">
        <v>388</v>
      </c>
      <c r="BY244" s="0" t="s">
        <v>11024</v>
      </c>
      <c r="CB244" s="0" t="s">
        <v>11025</v>
      </c>
      <c r="CJ244" s="0" t="s">
        <v>7088</v>
      </c>
      <c r="CK244" s="0" t="s">
        <v>4627</v>
      </c>
      <c r="CL244" s="0" t="s">
        <v>10005</v>
      </c>
      <c r="CM244" s="0" t="s">
        <v>11026</v>
      </c>
      <c r="CN244" s="0" t="s">
        <v>11027</v>
      </c>
      <c r="CO244" s="0" t="s">
        <v>11019</v>
      </c>
      <c r="CP244" s="0" t="s">
        <v>5608</v>
      </c>
      <c r="CQ244" s="0" t="s">
        <v>5870</v>
      </c>
      <c r="CR244" s="0" t="s">
        <v>11028</v>
      </c>
      <c r="CT244" s="0" t="s">
        <v>164</v>
      </c>
      <c r="CU244" s="0" t="s">
        <v>11029</v>
      </c>
      <c r="CV244" s="0" t="s">
        <v>209</v>
      </c>
      <c r="CW244" s="0" t="s">
        <v>164</v>
      </c>
      <c r="CX244" s="0" t="s">
        <v>9029</v>
      </c>
      <c r="CY244" s="0" t="s">
        <v>11030</v>
      </c>
      <c r="CZ244" s="0" t="s">
        <v>11031</v>
      </c>
      <c r="DA244" s="0" t="s">
        <v>189</v>
      </c>
      <c r="DB244" s="0" t="s">
        <v>164</v>
      </c>
      <c r="DC244" s="0" t="s">
        <v>11032</v>
      </c>
      <c r="DE244" s="0" t="s">
        <v>189</v>
      </c>
      <c r="DF244" s="0" t="n">
        <v>0</v>
      </c>
      <c r="DI244" s="0" t="s">
        <v>11033</v>
      </c>
      <c r="DJ244" s="0" t="s">
        <v>11034</v>
      </c>
      <c r="DK244" s="0" t="s">
        <v>5689</v>
      </c>
      <c r="DL244" s="0" t="n">
        <v>40</v>
      </c>
      <c r="DN244" s="0" t="n">
        <v>6</v>
      </c>
      <c r="DO244" s="0" t="n">
        <v>6</v>
      </c>
      <c r="DP244" s="0" t="n">
        <v>13</v>
      </c>
      <c r="DQ244" s="0" t="n">
        <v>8</v>
      </c>
      <c r="DR244" s="0" t="n">
        <v>0</v>
      </c>
      <c r="DS244" s="0" t="n">
        <v>8</v>
      </c>
      <c r="DT244" s="0" t="n">
        <v>6</v>
      </c>
      <c r="DU244" s="0" t="n">
        <f aca="false">IF($A244="","",IF(R244="Y",10,0))</f>
        <v>0</v>
      </c>
      <c r="DV244" s="0" t="n">
        <v>-35</v>
      </c>
      <c r="DW244" s="0" t="s">
        <v>209</v>
      </c>
      <c r="DX244" s="0" t="s">
        <v>5814</v>
      </c>
      <c r="DY244" s="0" t="s">
        <v>11035</v>
      </c>
      <c r="DZ244" s="0" t="s">
        <v>11036</v>
      </c>
      <c r="EA244" s="0" t="s">
        <v>11037</v>
      </c>
      <c r="EV244" s="0" t="str">
        <f aca="false">IF($A244="","",IF(ISNUMBER(MATCH(U244,{"queued","contacted","replied","call_booked","call_done","yes_in_principle","materials_sent"},0)),"Y","N"))</f>
        <v>N</v>
      </c>
      <c r="EW244" s="0" t="str">
        <f aca="false">IF($A244="","",IF(OR(T244="Y",U244="do_not_contact",AQ244&amp;""&lt;&gt;""),"Y","N"))</f>
        <v>N</v>
      </c>
      <c r="EX244" s="0" t="str">
        <f aca="false">IF($A244="","",IF(AN244&amp;""&lt;&gt;"",AN244&amp;"",$A244))</f>
        <v>AB-021</v>
      </c>
      <c r="EY244" s="0" t="str">
        <f aca="false">IF($A244="","",IF(COUNTIFS($EX$2:$EX$1000,EX244,$EV$2:$EV$1000,"Y")+COUNTIFS($EX$2:$EX$1000,EX244,$EW$2:$EW$1000,"Y")&gt;0,"Y","N"))</f>
        <v>N</v>
      </c>
      <c r="EZ244" s="0" t="str">
        <f aca="false">IF($A244="","",IF(AND(U244="new",T244="N",EW244="N",AR244="Y",EY244="N"),"Y","N"))</f>
        <v>N</v>
      </c>
      <c r="FA244" s="0" t="str">
        <f aca="false">IF($A244="","",IF(EZ244&lt;&gt;"Y","N",IF(COUNTIFS($EX$2:$EX$1000,EX244,$EZ$2:$EZ$1000,"Y",$J$2:$J$1000,"&gt;"&amp;J244)+COUNTIFS($EX$2:$EX$1000,EX244,$EZ$2:$EZ$1000,"Y",$J$2:$J$1000,J244,$FG$2:$FG$1000,"&lt;"&amp;FG244)=0,"Y","N")))</f>
        <v>N</v>
      </c>
      <c r="FB244" s="0" t="str">
        <f aca="false">IF($A244="","",IF(AND(EZ244="Y",FA244="Y",Y244&amp;""&lt;&gt;""),IF(Y244&lt;=10,"Y","N"),"N"))</f>
        <v>N</v>
      </c>
      <c r="FC244" s="0" t="str">
        <f aca="false">IF(FB244="Y",Y244,"")</f>
        <v/>
      </c>
      <c r="FD244" s="0" t="str">
        <f aca="false">IF($A244="","",IF(AND(CK244="pass",AU244="Y",AV244&lt;&gt;"Y",U244="new",EW244="N"),"Y","N"))</f>
        <v>N</v>
      </c>
      <c r="FE244" s="0" t="str">
        <f aca="false">IF(FD244&lt;&gt;"Y","",IF(COUNTIFS($FD$2:$FD$1000,"Y",$J$2:$J$1000,"&gt;"&amp;J244)+COUNTIFS($FD$2:$FD$1000,"Y",$J$2:$J$1000,J244,$FG$2:$FG$1000,"&lt;"&amp;FG244)+1&lt;=30,COUNTIFS($FD$2:$FD$1000,"Y",$J$2:$J$1000,"&gt;"&amp;J244)+COUNTIFS($FD$2:$FD$1000,"Y",$J$2:$J$1000,J244,$FG$2:$FG$1000,"&lt;"&amp;FG244)+1,""))</f>
        <v/>
      </c>
      <c r="FF244" s="0" t="str">
        <f aca="false">IF(AND(_xlfn.ISFORMULA(C244),_xlfn.ISFORMULA(J244)),"Y","N")</f>
        <v>Y</v>
      </c>
      <c r="FG244" s="0" t="n">
        <f aca="false">ROW()-1</f>
        <v>243</v>
      </c>
    </row>
    <row r="245" customFormat="false" ht="15" hidden="false" customHeight="false" outlineLevel="0" collapsed="false">
      <c r="A245" s="0" t="s">
        <v>11038</v>
      </c>
      <c r="B245" s="0" t="s">
        <v>11039</v>
      </c>
      <c r="C245" s="0" t="str">
        <f aca="false">IF($A245="","",IF(AT245="Y",BL245&amp;"",AY245&amp;""))</f>
        <v>Rebecca</v>
      </c>
      <c r="D245" s="0" t="str">
        <f aca="false">IF($A245="","",IF(AT245="Y",BM245&amp;"",AZ245&amp;""))</f>
        <v>Brady</v>
      </c>
      <c r="E245" s="0" t="str">
        <f aca="false">IF($A245="","",IF(AT245="Y",BN245&amp;"",BA245&amp;""))</f>
        <v>Founder</v>
      </c>
      <c r="F245" s="0" t="str">
        <f aca="false">IF($A245="","",IF(AT245="Y",BO245&amp;"",BB245&amp;""))</f>
        <v/>
      </c>
      <c r="G245" s="0" t="str">
        <f aca="false">IF($A245="","",IF(AT245="Y",BP245&amp;"",BC245&amp;""))</f>
        <v/>
      </c>
      <c r="H245" s="0" t="str">
        <f aca="false">IF($A245="","",IF(AT245="Y",BQ245&amp;"",BD245&amp;""))</f>
        <v>none</v>
      </c>
      <c r="I245" s="0" t="str">
        <f aca="false">IF($A245="","",IF(R245="Y","warm-intro",IF(H245="verified","email",IF(C245&lt;&gt;"","linkedin",CA245&amp;""))))</f>
        <v>linkedin</v>
      </c>
      <c r="J245" s="0" t="n">
        <f aca="false">IF($A245="","",IF(CK245="pass",ROUND(N(DO245)+N(DP245)+N(DQ245)+N(DR245)+N(DS245)+N(DT245)+N(DU245)+N(DV245),0),0))</f>
        <v>0</v>
      </c>
      <c r="K245" s="0" t="str">
        <f aca="false">IF($A245="","",IF(CK245&lt;&gt;"pass",BY245&amp;"",BY245&amp;", "&amp;IF(AT245="Y",BX245&amp;"",BK245&amp;"")&amp;BZ245&amp;IF(R245="Y","; known to the founder (+10)","")&amp;"."))</f>
        <v>Gated out: health-claim: explicit health claim in the brand's own copy (opened 2026-10-24): 'With a high fiber content, seeds are often considered a probiotic and can supp.</v>
      </c>
      <c r="M245" s="0" t="s">
        <v>6144</v>
      </c>
      <c r="N245" s="0" t="s">
        <v>740</v>
      </c>
      <c r="O245" s="0" t="s">
        <v>11040</v>
      </c>
      <c r="P245" s="0" t="s">
        <v>11041</v>
      </c>
      <c r="Q245" s="0" t="s">
        <v>2326</v>
      </c>
      <c r="R245" s="5" t="s">
        <v>189</v>
      </c>
      <c r="S245" s="0" t="s">
        <v>209</v>
      </c>
      <c r="T245" s="5" t="s">
        <v>189</v>
      </c>
      <c r="U245" s="5" t="s">
        <v>3896</v>
      </c>
      <c r="V245" s="0" t="s">
        <v>11042</v>
      </c>
      <c r="W245" s="0" t="s">
        <v>263</v>
      </c>
      <c r="X245" s="0" t="s">
        <v>5578</v>
      </c>
      <c r="Y245" s="0" t="str">
        <f aca="false">IF(FA245&lt;&gt;"Y","",COUNTIFS($FA$2:$FA$1000,"Y",$J$2:$J$1000,"&gt;"&amp;J245)+COUNTIFS($FA$2:$FA$1000,"Y",$J$2:$J$1000,J245,$FG$2:$FG$1000,"&lt;"&amp;FG245)+1)</f>
        <v/>
      </c>
      <c r="AA245" s="0" t="s">
        <v>189</v>
      </c>
      <c r="AB245" s="0" t="str">
        <f aca="false">IF($A245="","",IF(AT245="Y",BW245&amp;"",BJ245&amp;""))</f>
        <v/>
      </c>
      <c r="AC245" s="0" t="str">
        <f aca="false">IF($A245="","",IF(AT245="Y",BR245&amp;"",BE245&amp;""))</f>
        <v>founder</v>
      </c>
      <c r="AD245" s="0" t="str">
        <f aca="false">IF($A245="","",IF(AT245="Y",BS245&amp;"",BF245&amp;""))</f>
        <v>verified-page</v>
      </c>
      <c r="AE245" s="0" t="str">
        <f aca="false">IF($A245="","",IF(AT245="Y",BT245&amp;"",BG245&amp;""))</f>
        <v>employer's own site</v>
      </c>
      <c r="AF245" s="0" t="str">
        <f aca="false">IF($A245="","",IF(AT245="Y",BU245&amp;"",BH245&amp;""))</f>
        <v>https://topseedz.com/</v>
      </c>
      <c r="AG245" s="0" t="str">
        <f aca="false">IF($A245="","",IF(AT245="Y",BV245&amp;"",BI245&amp;""))</f>
        <v>2026-10-23</v>
      </c>
      <c r="AH245" s="0" t="s">
        <v>11043</v>
      </c>
      <c r="AI245" s="0" t="s">
        <v>5630</v>
      </c>
      <c r="AJ245" s="0" t="s">
        <v>11044</v>
      </c>
      <c r="AK245" s="0" t="s">
        <v>11045</v>
      </c>
      <c r="AL245" s="0" t="s">
        <v>164</v>
      </c>
      <c r="AM245" s="0" t="s">
        <v>11046</v>
      </c>
      <c r="AN245" s="0" t="s">
        <v>11038</v>
      </c>
      <c r="AO245" s="5" t="s">
        <v>189</v>
      </c>
      <c r="AR245" s="0" t="str">
        <f aca="false">IF($A245="","",IF(AND(CK245="pass",AO245&lt;&gt;"Y",C245&lt;&gt;"",OR(AU245&lt;&gt;"Y",AV245="Y")),"Y","N"))</f>
        <v>N</v>
      </c>
      <c r="AS245" s="0" t="str">
        <f aca="false">IF($A245="","",_xlfn.TEXTJOIN("; ",TRUE(),IF(CK245&lt;&gt;"pass","gated out",""),IF(AO245="Y","on hold: "&amp;AP245,""),IF(C245="","no contact named on an opened page",""),IF(AND(AU245="Y",AV245&lt;&gt;"Y"),"founder review pending (Founder review tab)","")))</f>
        <v>gated out; founder review pending (Founder review tab)</v>
      </c>
      <c r="AU245" s="0" t="s">
        <v>164</v>
      </c>
      <c r="AY245" s="0" t="s">
        <v>462</v>
      </c>
      <c r="AZ245" s="0" t="s">
        <v>11047</v>
      </c>
      <c r="BA245" s="0" t="s">
        <v>5739</v>
      </c>
      <c r="BC245" s="0" t="str">
        <f aca="false">IF($A245="","",IFERROR(INDEX(Enrichment!$A$2:$GZ$2000,MATCH($A245,INDEX(Enrichment!$A$2:$GZ$2000,0,MATCH("row_id",Enrichment!$A$1:$GZ$1,0)),0),MATCH("work_email",Enrichment!$A$1:$GZ$1,0))&amp;"",""))</f>
        <v/>
      </c>
      <c r="BD245" s="0" t="str">
        <f aca="false">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none</v>
      </c>
      <c r="BE245" s="0" t="s">
        <v>5589</v>
      </c>
      <c r="BF245" s="0" t="s">
        <v>169</v>
      </c>
      <c r="BG245" s="0" t="s">
        <v>170</v>
      </c>
      <c r="BH245" s="0" t="s">
        <v>11042</v>
      </c>
      <c r="BI245" s="0" t="s">
        <v>263</v>
      </c>
      <c r="BK245" s="0" t="s">
        <v>5643</v>
      </c>
      <c r="BP245" s="0" t="str">
        <f aca="false">IF($A245="","",IFERROR(INDEX(Enrichment!$A$2:$GZ$2000,MATCH($A245,INDEX(Enrichment!$A$2:$GZ$2000,0,MATCH("row_id",Enrichment!$A$1:$GZ$1,0)),0),MATCH("backup_work_email",Enrichment!$A$1:$GZ$1,0))&amp;"",""))</f>
        <v/>
      </c>
      <c r="BQ245" s="0" t="str">
        <f aca="false">IF($A245="","",IF(BP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none</v>
      </c>
      <c r="BS245" s="0" t="s">
        <v>380</v>
      </c>
      <c r="BX245" s="0" t="s">
        <v>388</v>
      </c>
      <c r="BY245" s="0" t="s">
        <v>11048</v>
      </c>
      <c r="CB245" s="0" t="s">
        <v>11049</v>
      </c>
      <c r="CJ245" s="0" t="s">
        <v>7088</v>
      </c>
      <c r="CK245" s="0" t="s">
        <v>4627</v>
      </c>
      <c r="CL245" s="0" t="s">
        <v>10005</v>
      </c>
      <c r="CM245" s="0" t="s">
        <v>11050</v>
      </c>
      <c r="CN245" s="0" t="s">
        <v>7260</v>
      </c>
      <c r="CO245" s="0" t="s">
        <v>11045</v>
      </c>
      <c r="CP245" s="0" t="s">
        <v>5608</v>
      </c>
      <c r="CQ245" s="0" t="s">
        <v>5870</v>
      </c>
      <c r="CR245" s="0" t="s">
        <v>209</v>
      </c>
      <c r="CT245" s="0" t="s">
        <v>164</v>
      </c>
      <c r="CU245" s="0" t="s">
        <v>11051</v>
      </c>
      <c r="CV245" s="0" t="s">
        <v>209</v>
      </c>
      <c r="CW245" s="0" t="s">
        <v>164</v>
      </c>
      <c r="CX245" s="0" t="s">
        <v>209</v>
      </c>
      <c r="CZ245" s="0" t="s">
        <v>209</v>
      </c>
      <c r="DA245" s="0" t="s">
        <v>189</v>
      </c>
      <c r="DB245" s="0" t="s">
        <v>164</v>
      </c>
      <c r="DC245" s="0" t="s">
        <v>11052</v>
      </c>
      <c r="DE245" s="0" t="s">
        <v>189</v>
      </c>
      <c r="DF245" s="0" t="n">
        <v>0</v>
      </c>
      <c r="DI245" s="0" t="s">
        <v>11053</v>
      </c>
      <c r="DJ245" s="0" t="s">
        <v>11054</v>
      </c>
      <c r="DK245" s="0" t="s">
        <v>5689</v>
      </c>
      <c r="DL245" s="0" t="n">
        <v>2</v>
      </c>
      <c r="DN245" s="0" t="n">
        <v>42</v>
      </c>
      <c r="DO245" s="0" t="n">
        <v>6</v>
      </c>
      <c r="DP245" s="0" t="n">
        <v>13</v>
      </c>
      <c r="DQ245" s="0" t="n">
        <v>8</v>
      </c>
      <c r="DR245" s="0" t="n">
        <v>5</v>
      </c>
      <c r="DS245" s="0" t="n">
        <v>8</v>
      </c>
      <c r="DT245" s="0" t="n">
        <v>6</v>
      </c>
      <c r="DU245" s="0" t="n">
        <f aca="false">IF($A245="","",IF(R245="Y",10,0))</f>
        <v>0</v>
      </c>
      <c r="DV245" s="0" t="n">
        <v>-4</v>
      </c>
      <c r="DX245" s="0" t="s">
        <v>5619</v>
      </c>
      <c r="DY245" s="0" t="s">
        <v>11055</v>
      </c>
      <c r="DZ245" s="0" t="s">
        <v>11056</v>
      </c>
      <c r="EA245" s="0" t="s">
        <v>11057</v>
      </c>
      <c r="EV245" s="0" t="str">
        <f aca="false">IF($A245="","",IF(ISNUMBER(MATCH(U245,{"queued","contacted","replied","call_booked","call_done","yes_in_principle","materials_sent"},0)),"Y","N"))</f>
        <v>N</v>
      </c>
      <c r="EW245" s="0" t="str">
        <f aca="false">IF($A245="","",IF(OR(T245="Y",U245="do_not_contact",AQ245&amp;""&lt;&gt;""),"Y","N"))</f>
        <v>N</v>
      </c>
      <c r="EX245" s="0" t="str">
        <f aca="false">IF($A245="","",IF(AN245&amp;""&lt;&gt;"",AN245&amp;"",$A245))</f>
        <v>AB-261</v>
      </c>
      <c r="EY245" s="0" t="str">
        <f aca="false">IF($A245="","",IF(COUNTIFS($EX$2:$EX$1000,EX245,$EV$2:$EV$1000,"Y")+COUNTIFS($EX$2:$EX$1000,EX245,$EW$2:$EW$1000,"Y")&gt;0,"Y","N"))</f>
        <v>N</v>
      </c>
      <c r="EZ245" s="0" t="str">
        <f aca="false">IF($A245="","",IF(AND(U245="new",T245="N",EW245="N",AR245="Y",EY245="N"),"Y","N"))</f>
        <v>N</v>
      </c>
      <c r="FA245" s="0" t="str">
        <f aca="false">IF($A245="","",IF(EZ245&lt;&gt;"Y","N",IF(COUNTIFS($EX$2:$EX$1000,EX245,$EZ$2:$EZ$1000,"Y",$J$2:$J$1000,"&gt;"&amp;J245)+COUNTIFS($EX$2:$EX$1000,EX245,$EZ$2:$EZ$1000,"Y",$J$2:$J$1000,J245,$FG$2:$FG$1000,"&lt;"&amp;FG245)=0,"Y","N")))</f>
        <v>N</v>
      </c>
      <c r="FB245" s="0" t="str">
        <f aca="false">IF($A245="","",IF(AND(EZ245="Y",FA245="Y",Y245&amp;""&lt;&gt;""),IF(Y245&lt;=10,"Y","N"),"N"))</f>
        <v>N</v>
      </c>
      <c r="FC245" s="0" t="str">
        <f aca="false">IF(FB245="Y",Y245,"")</f>
        <v/>
      </c>
      <c r="FD245" s="0" t="str">
        <f aca="false">IF($A245="","",IF(AND(CK245="pass",AU245="Y",AV245&lt;&gt;"Y",U245="new",EW245="N"),"Y","N"))</f>
        <v>N</v>
      </c>
      <c r="FE245" s="0" t="str">
        <f aca="false">IF(FD245&lt;&gt;"Y","",IF(COUNTIFS($FD$2:$FD$1000,"Y",$J$2:$J$1000,"&gt;"&amp;J245)+COUNTIFS($FD$2:$FD$1000,"Y",$J$2:$J$1000,J245,$FG$2:$FG$1000,"&lt;"&amp;FG245)+1&lt;=30,COUNTIFS($FD$2:$FD$1000,"Y",$J$2:$J$1000,"&gt;"&amp;J245)+COUNTIFS($FD$2:$FD$1000,"Y",$J$2:$J$1000,J245,$FG$2:$FG$1000,"&lt;"&amp;FG245)+1,""))</f>
        <v/>
      </c>
      <c r="FF245" s="0" t="str">
        <f aca="false">IF(AND(_xlfn.ISFORMULA(C245),_xlfn.ISFORMULA(J245)),"Y","N")</f>
        <v>Y</v>
      </c>
      <c r="FG245" s="0" t="n">
        <f aca="false">ROW()-1</f>
        <v>244</v>
      </c>
    </row>
    <row r="246" customFormat="false" ht="15" hidden="false" customHeight="false" outlineLevel="0" collapsed="false">
      <c r="A246" s="0" t="s">
        <v>11058</v>
      </c>
      <c r="B246" s="0" t="s">
        <v>11059</v>
      </c>
      <c r="C246" s="0" t="str">
        <f aca="false">IF($A246="","",IF(AT246="Y",BL246&amp;"",AY246&amp;""))</f>
        <v>Melissa</v>
      </c>
      <c r="D246" s="0" t="str">
        <f aca="false">IF($A246="","",IF(AT246="Y",BM246&amp;"",AZ246&amp;""))</f>
        <v>Bermudez</v>
      </c>
      <c r="E246" s="0" t="str">
        <f aca="false">IF($A246="","",IF(AT246="Y",BN246&amp;"",BA246&amp;""))</f>
        <v>Founder and CEO</v>
      </c>
      <c r="F246" s="0" t="str">
        <f aca="false">IF($A246="","",IF(AT246="Y",BO246&amp;"",BB246&amp;""))</f>
        <v/>
      </c>
      <c r="G246" s="0" t="str">
        <f aca="false">IF($A246="","",IF(AT246="Y",BP246&amp;"",BC246&amp;""))</f>
        <v/>
      </c>
      <c r="H246" s="0" t="str">
        <f aca="false">IF($A246="","",IF(AT246="Y",BQ246&amp;"",BD246&amp;""))</f>
        <v>none</v>
      </c>
      <c r="I246" s="0" t="str">
        <f aca="false">IF($A246="","",IF(R246="Y","warm-intro",IF(H246="verified","email",IF(C246&lt;&gt;"","linkedin",CA246&amp;""))))</f>
        <v>linkedin</v>
      </c>
      <c r="J246" s="0" t="n">
        <f aca="false">IF($A246="","",IF(CK246="pass",ROUND(N(DO246)+N(DP246)+N(DQ246)+N(DR246)+N(DS246)+N(DT246)+N(DU246)+N(DV246),0),0))</f>
        <v>0</v>
      </c>
      <c r="K246" s="0" t="str">
        <f aca="false">IF($A246="","",IF(CK246&lt;&gt;"pass",BY246&amp;"",BY246&amp;", "&amp;IF(AT246="Y",BX246&amp;"",BK246&amp;"")&amp;BZ246&amp;IF(R246="Y","; known to the founder (+10)","")&amp;"."))</f>
        <v>Gated out: not-shelf-stable: Frozen product.</v>
      </c>
      <c r="M246" s="0" t="s">
        <v>6144</v>
      </c>
      <c r="N246" s="0" t="s">
        <v>740</v>
      </c>
      <c r="O246" s="0" t="s">
        <v>11060</v>
      </c>
      <c r="P246" s="0" t="s">
        <v>11061</v>
      </c>
      <c r="Q246" s="0" t="s">
        <v>9187</v>
      </c>
      <c r="R246" s="5" t="s">
        <v>189</v>
      </c>
      <c r="S246" s="0" t="s">
        <v>164</v>
      </c>
      <c r="T246" s="5" t="s">
        <v>189</v>
      </c>
      <c r="U246" s="5" t="s">
        <v>3896</v>
      </c>
      <c r="V246" s="0" t="s">
        <v>11061</v>
      </c>
      <c r="W246" s="0" t="s">
        <v>263</v>
      </c>
      <c r="X246" s="0" t="s">
        <v>5578</v>
      </c>
      <c r="Y246" s="0" t="str">
        <f aca="false">IF(FA246&lt;&gt;"Y","",COUNTIFS($FA$2:$FA$1000,"Y",$J$2:$J$1000,"&gt;"&amp;J246)+COUNTIFS($FA$2:$FA$1000,"Y",$J$2:$J$1000,J246,$FG$2:$FG$1000,"&lt;"&amp;FG246)+1)</f>
        <v/>
      </c>
      <c r="AA246" s="0" t="s">
        <v>189</v>
      </c>
      <c r="AB246" s="0" t="str">
        <f aca="false">IF($A246="","",IF(AT246="Y",BW246&amp;"",BJ246&amp;""))</f>
        <v/>
      </c>
      <c r="AC246" s="0" t="str">
        <f aca="false">IF($A246="","",IF(AT246="Y",BR246&amp;"",BE246&amp;""))</f>
        <v>founder</v>
      </c>
      <c r="AD246" s="0" t="str">
        <f aca="false">IF($A246="","",IF(AT246="Y",BS246&amp;"",BF246&amp;""))</f>
        <v>verified-page</v>
      </c>
      <c r="AE246" s="0" t="str">
        <f aca="false">IF($A246="","",IF(AT246="Y",BT246&amp;"",BG246&amp;""))</f>
        <v>press, event or podcast page</v>
      </c>
      <c r="AF246" s="0" t="str">
        <f aca="false">IF($A246="","",IF(AT246="Y",BU246&amp;"",BH246&amp;""))</f>
        <v>https://startupcpg.com/startup-cpg-newswire-unrefined-foods-reaches-production-milestone-announces-fundraising-round/</v>
      </c>
      <c r="AG246" s="0" t="str">
        <f aca="false">IF($A246="","",IF(AT246="Y",BV246&amp;"",BI246&amp;""))</f>
        <v>2026-10-23</v>
      </c>
      <c r="AH246" s="0" t="s">
        <v>11062</v>
      </c>
      <c r="AI246" s="0" t="s">
        <v>5702</v>
      </c>
      <c r="AJ246" s="0" t="s">
        <v>11063</v>
      </c>
      <c r="AL246" s="0" t="s">
        <v>164</v>
      </c>
      <c r="AM246" s="0" t="s">
        <v>5760</v>
      </c>
      <c r="AN246" s="0" t="s">
        <v>11058</v>
      </c>
      <c r="AO246" s="5" t="s">
        <v>189</v>
      </c>
      <c r="AR246" s="0" t="str">
        <f aca="false">IF($A246="","",IF(AND(CK246="pass",AO246&lt;&gt;"Y",C246&lt;&gt;"",OR(AU246&lt;&gt;"Y",AV246="Y")),"Y","N"))</f>
        <v>N</v>
      </c>
      <c r="AS246" s="0" t="str">
        <f aca="false">IF($A246="","",_xlfn.TEXTJOIN("; ",TRUE(),IF(CK246&lt;&gt;"pass","gated out",""),IF(AO246="Y","on hold: "&amp;AP246,""),IF(C246="","no contact named on an opened page",""),IF(AND(AU246="Y",AV246&lt;&gt;"Y"),"founder review pending (Founder review tab)","")))</f>
        <v>gated out</v>
      </c>
      <c r="AU246" s="0" t="s">
        <v>189</v>
      </c>
      <c r="AY246" s="0" t="s">
        <v>628</v>
      </c>
      <c r="AZ246" s="0" t="s">
        <v>11064</v>
      </c>
      <c r="BA246" s="0" t="s">
        <v>5670</v>
      </c>
      <c r="BC246" s="0" t="str">
        <f aca="false">IF($A246="","",IFERROR(INDEX(Enrichment!$A$2:$GZ$2000,MATCH($A246,INDEX(Enrichment!$A$2:$GZ$2000,0,MATCH("row_id",Enrichment!$A$1:$GZ$1,0)),0),MATCH("work_email",Enrichment!$A$1:$GZ$1,0))&amp;"",""))</f>
        <v/>
      </c>
      <c r="BD246" s="0" t="str">
        <f aca="false">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none</v>
      </c>
      <c r="BE246" s="0" t="s">
        <v>5589</v>
      </c>
      <c r="BF246" s="0" t="s">
        <v>169</v>
      </c>
      <c r="BG246" s="0" t="s">
        <v>1252</v>
      </c>
      <c r="BH246" s="0" t="s">
        <v>11061</v>
      </c>
      <c r="BI246" s="0" t="s">
        <v>263</v>
      </c>
      <c r="BK246" s="0" t="s">
        <v>5643</v>
      </c>
      <c r="BP246" s="0" t="str">
        <f aca="false">IF($A246="","",IFERROR(INDEX(Enrichment!$A$2:$GZ$2000,MATCH($A246,INDEX(Enrichment!$A$2:$GZ$2000,0,MATCH("row_id",Enrichment!$A$1:$GZ$1,0)),0),MATCH("backup_work_email",Enrichment!$A$1:$GZ$1,0))&amp;"",""))</f>
        <v/>
      </c>
      <c r="BQ246" s="0" t="str">
        <f aca="false">IF($A246="","",IF(BP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none</v>
      </c>
      <c r="BS246" s="0" t="s">
        <v>380</v>
      </c>
      <c r="BX246" s="0" t="s">
        <v>388</v>
      </c>
      <c r="BY246" s="0" t="s">
        <v>11065</v>
      </c>
      <c r="CB246" s="0" t="s">
        <v>11066</v>
      </c>
      <c r="CJ246" s="0" t="s">
        <v>7088</v>
      </c>
      <c r="CK246" s="0" t="s">
        <v>4627</v>
      </c>
      <c r="CL246" s="0" t="s">
        <v>10659</v>
      </c>
      <c r="CM246" s="0" t="s">
        <v>11067</v>
      </c>
      <c r="CN246" s="0" t="s">
        <v>5774</v>
      </c>
      <c r="CO246" s="0" t="s">
        <v>11068</v>
      </c>
      <c r="CP246" s="0" t="s">
        <v>6083</v>
      </c>
      <c r="CQ246" s="0" t="s">
        <v>6084</v>
      </c>
      <c r="CR246" s="0" t="s">
        <v>209</v>
      </c>
      <c r="CT246" s="0" t="s">
        <v>189</v>
      </c>
      <c r="CU246" s="0" t="s">
        <v>11069</v>
      </c>
      <c r="CV246" s="0" t="s">
        <v>209</v>
      </c>
      <c r="CW246" s="0" t="s">
        <v>209</v>
      </c>
      <c r="CX246" s="0" t="s">
        <v>10884</v>
      </c>
      <c r="CY246" s="0" t="s">
        <v>9030</v>
      </c>
      <c r="CZ246" s="0" t="s">
        <v>11070</v>
      </c>
      <c r="DA246" s="0" t="s">
        <v>189</v>
      </c>
      <c r="DB246" s="0" t="s">
        <v>164</v>
      </c>
      <c r="DC246" s="0" t="s">
        <v>11071</v>
      </c>
      <c r="DE246" s="0" t="s">
        <v>189</v>
      </c>
      <c r="DF246" s="0" t="n">
        <v>0</v>
      </c>
      <c r="DK246" s="0" t="s">
        <v>5617</v>
      </c>
      <c r="DL246" s="0" t="n">
        <v>344</v>
      </c>
      <c r="DM246" s="0" t="s">
        <v>11061</v>
      </c>
      <c r="DN246" s="0" t="n">
        <v>26</v>
      </c>
      <c r="DO246" s="0" t="n">
        <v>0</v>
      </c>
      <c r="DP246" s="0" t="n">
        <v>8</v>
      </c>
      <c r="DQ246" s="0" t="n">
        <v>8</v>
      </c>
      <c r="DR246" s="0" t="n">
        <v>2</v>
      </c>
      <c r="DS246" s="0" t="n">
        <v>2</v>
      </c>
      <c r="DT246" s="0" t="n">
        <v>6</v>
      </c>
      <c r="DU246" s="0" t="n">
        <f aca="false">IF($A246="","",IF(R246="Y",10,0))</f>
        <v>0</v>
      </c>
      <c r="DV246" s="0" t="n">
        <v>0</v>
      </c>
      <c r="DX246" s="0" t="s">
        <v>5619</v>
      </c>
      <c r="DY246" s="0" t="s">
        <v>11072</v>
      </c>
      <c r="DZ246" s="0" t="s">
        <v>10532</v>
      </c>
      <c r="EV246" s="0" t="str">
        <f aca="false">IF($A246="","",IF(ISNUMBER(MATCH(U246,{"queued","contacted","replied","call_booked","call_done","yes_in_principle","materials_sent"},0)),"Y","N"))</f>
        <v>N</v>
      </c>
      <c r="EW246" s="0" t="str">
        <f aca="false">IF($A246="","",IF(OR(T246="Y",U246="do_not_contact",AQ246&amp;""&lt;&gt;""),"Y","N"))</f>
        <v>N</v>
      </c>
      <c r="EX246" s="0" t="str">
        <f aca="false">IF($A246="","",IF(AN246&amp;""&lt;&gt;"",AN246&amp;"",$A246))</f>
        <v>AB-262</v>
      </c>
      <c r="EY246" s="0" t="str">
        <f aca="false">IF($A246="","",IF(COUNTIFS($EX$2:$EX$1000,EX246,$EV$2:$EV$1000,"Y")+COUNTIFS($EX$2:$EX$1000,EX246,$EW$2:$EW$1000,"Y")&gt;0,"Y","N"))</f>
        <v>N</v>
      </c>
      <c r="EZ246" s="0" t="str">
        <f aca="false">IF($A246="","",IF(AND(U246="new",T246="N",EW246="N",AR246="Y",EY246="N"),"Y","N"))</f>
        <v>N</v>
      </c>
      <c r="FA246" s="0" t="str">
        <f aca="false">IF($A246="","",IF(EZ246&lt;&gt;"Y","N",IF(COUNTIFS($EX$2:$EX$1000,EX246,$EZ$2:$EZ$1000,"Y",$J$2:$J$1000,"&gt;"&amp;J246)+COUNTIFS($EX$2:$EX$1000,EX246,$EZ$2:$EZ$1000,"Y",$J$2:$J$1000,J246,$FG$2:$FG$1000,"&lt;"&amp;FG246)=0,"Y","N")))</f>
        <v>N</v>
      </c>
      <c r="FB246" s="0" t="str">
        <f aca="false">IF($A246="","",IF(AND(EZ246="Y",FA246="Y",Y246&amp;""&lt;&gt;""),IF(Y246&lt;=10,"Y","N"),"N"))</f>
        <v>N</v>
      </c>
      <c r="FC246" s="0" t="str">
        <f aca="false">IF(FB246="Y",Y246,"")</f>
        <v/>
      </c>
      <c r="FD246" s="0" t="str">
        <f aca="false">IF($A246="","",IF(AND(CK246="pass",AU246="Y",AV246&lt;&gt;"Y",U246="new",EW246="N"),"Y","N"))</f>
        <v>N</v>
      </c>
      <c r="FE246" s="0" t="str">
        <f aca="false">IF(FD246&lt;&gt;"Y","",IF(COUNTIFS($FD$2:$FD$1000,"Y",$J$2:$J$1000,"&gt;"&amp;J246)+COUNTIFS($FD$2:$FD$1000,"Y",$J$2:$J$1000,J246,$FG$2:$FG$1000,"&lt;"&amp;FG246)+1&lt;=30,COUNTIFS($FD$2:$FD$1000,"Y",$J$2:$J$1000,"&gt;"&amp;J246)+COUNTIFS($FD$2:$FD$1000,"Y",$J$2:$J$1000,J246,$FG$2:$FG$1000,"&lt;"&amp;FG246)+1,""))</f>
        <v/>
      </c>
      <c r="FF246" s="0" t="str">
        <f aca="false">IF(AND(_xlfn.ISFORMULA(C246),_xlfn.ISFORMULA(J246)),"Y","N")</f>
        <v>Y</v>
      </c>
      <c r="FG246" s="0" t="n">
        <f aca="false">ROW()-1</f>
        <v>245</v>
      </c>
    </row>
    <row r="247" customFormat="false" ht="15" hidden="false" customHeight="false" outlineLevel="0" collapsed="false">
      <c r="A247" s="0" t="s">
        <v>11073</v>
      </c>
      <c r="B247" s="0" t="s">
        <v>11074</v>
      </c>
      <c r="C247" s="0" t="str">
        <f aca="false">IF($A247="","",IF(AT247="Y",BL247&amp;"",AY247&amp;""))</f>
        <v>Bill</v>
      </c>
      <c r="D247" s="0" t="str">
        <f aca="false">IF($A247="","",IF(AT247="Y",BM247&amp;"",AZ247&amp;""))</f>
        <v>Butrymowicz</v>
      </c>
      <c r="E247" s="0" t="str">
        <f aca="false">IF($A247="","",IF(AT247="Y",BN247&amp;"",BA247&amp;""))</f>
        <v>Founder</v>
      </c>
      <c r="F247" s="0" t="str">
        <f aca="false">IF($A247="","",IF(AT247="Y",BO247&amp;"",BB247&amp;""))</f>
        <v/>
      </c>
      <c r="G247" s="0" t="str">
        <f aca="false">IF($A247="","",IF(AT247="Y",BP247&amp;"",BC247&amp;""))</f>
        <v/>
      </c>
      <c r="H247" s="0" t="str">
        <f aca="false">IF($A247="","",IF(AT247="Y",BQ247&amp;"",BD247&amp;""))</f>
        <v>none</v>
      </c>
      <c r="I247" s="0" t="str">
        <f aca="false">IF($A247="","",IF(R247="Y","warm-intro",IF(H247="verified","email",IF(C247&lt;&gt;"","linkedin",CA247&amp;""))))</f>
        <v>linkedin</v>
      </c>
      <c r="J247" s="0" t="n">
        <f aca="false">IF($A247="","",IF(CK247="pass",ROUND(N(DO247)+N(DP247)+N(DQ247)+N(DR247)+N(DS247)+N(DT247)+N(DU247)+N(DV247),0),0))</f>
        <v>0</v>
      </c>
      <c r="K247" s="0" t="str">
        <f aca="false">IF($A247="","",IF(CK247&lt;&gt;"pass",BY247&amp;"",BY247&amp;", "&amp;IF(AT247="Y",BX247&amp;"",BK247&amp;"")&amp;BZ247&amp;IF(R247="Y","; known to the founder (+10)","")&amp;"."))</f>
        <v>Gated out: health-claim: explicit health claim in the brand's own copy (opened 2026-10-24): 'a testimonial the brand publishes on its homepage: 'helped my mother specifica.</v>
      </c>
      <c r="M247" s="0" t="s">
        <v>6144</v>
      </c>
      <c r="N247" s="0" t="s">
        <v>740</v>
      </c>
      <c r="O247" s="0" t="s">
        <v>11075</v>
      </c>
      <c r="P247" s="0" t="s">
        <v>11076</v>
      </c>
      <c r="Q247" s="0" t="s">
        <v>11077</v>
      </c>
      <c r="R247" s="5" t="s">
        <v>189</v>
      </c>
      <c r="S247" s="0" t="s">
        <v>209</v>
      </c>
      <c r="T247" s="5" t="s">
        <v>189</v>
      </c>
      <c r="U247" s="5" t="s">
        <v>3896</v>
      </c>
      <c r="V247" s="0" t="s">
        <v>11078</v>
      </c>
      <c r="W247" s="0" t="s">
        <v>263</v>
      </c>
      <c r="X247" s="0" t="s">
        <v>5578</v>
      </c>
      <c r="Y247" s="0" t="str">
        <f aca="false">IF(FA247&lt;&gt;"Y","",COUNTIFS($FA$2:$FA$1000,"Y",$J$2:$J$1000,"&gt;"&amp;J247)+COUNTIFS($FA$2:$FA$1000,"Y",$J$2:$J$1000,J247,$FG$2:$FG$1000,"&lt;"&amp;FG247)+1)</f>
        <v/>
      </c>
      <c r="AA247" s="0" t="s">
        <v>189</v>
      </c>
      <c r="AB247" s="0" t="str">
        <f aca="false">IF($A247="","",IF(AT247="Y",BW247&amp;"",BJ247&amp;""))</f>
        <v/>
      </c>
      <c r="AC247" s="0" t="str">
        <f aca="false">IF($A247="","",IF(AT247="Y",BR247&amp;"",BE247&amp;""))</f>
        <v>founder</v>
      </c>
      <c r="AD247" s="0" t="str">
        <f aca="false">IF($A247="","",IF(AT247="Y",BS247&amp;"",BF247&amp;""))</f>
        <v>verified-page</v>
      </c>
      <c r="AE247" s="0" t="str">
        <f aca="false">IF($A247="","",IF(AT247="Y",BT247&amp;"",BG247&amp;""))</f>
        <v>employer's own site</v>
      </c>
      <c r="AF247" s="0" t="str">
        <f aca="false">IF($A247="","",IF(AT247="Y",BU247&amp;"",BH247&amp;""))</f>
        <v>https://www.drinkloom.com/pages/about</v>
      </c>
      <c r="AG247" s="0" t="str">
        <f aca="false">IF($A247="","",IF(AT247="Y",BV247&amp;"",BI247&amp;""))</f>
        <v>2026-10-23</v>
      </c>
      <c r="AH247" s="0" t="s">
        <v>11079</v>
      </c>
      <c r="AI247" s="0" t="s">
        <v>6621</v>
      </c>
      <c r="AJ247" s="0" t="s">
        <v>11080</v>
      </c>
      <c r="AK247" s="0" t="s">
        <v>11081</v>
      </c>
      <c r="AL247" s="0" t="s">
        <v>164</v>
      </c>
      <c r="AM247" s="0" t="s">
        <v>11082</v>
      </c>
      <c r="AN247" s="0" t="s">
        <v>11073</v>
      </c>
      <c r="AO247" s="5" t="s">
        <v>189</v>
      </c>
      <c r="AR247" s="0" t="str">
        <f aca="false">IF($A247="","",IF(AND(CK247="pass",AO247&lt;&gt;"Y",C247&lt;&gt;"",OR(AU247&lt;&gt;"Y",AV247="Y")),"Y","N"))</f>
        <v>N</v>
      </c>
      <c r="AS247" s="0" t="str">
        <f aca="false">IF($A247="","",_xlfn.TEXTJOIN("; ",TRUE(),IF(CK247&lt;&gt;"pass","gated out",""),IF(AO247="Y","on hold: "&amp;AP247,""),IF(C247="","no contact named on an opened page",""),IF(AND(AU247="Y",AV247&lt;&gt;"Y"),"founder review pending (Founder review tab)","")))</f>
        <v>gated out</v>
      </c>
      <c r="AU247" s="0" t="s">
        <v>189</v>
      </c>
      <c r="AY247" s="0" t="s">
        <v>11083</v>
      </c>
      <c r="AZ247" s="0" t="s">
        <v>11084</v>
      </c>
      <c r="BA247" s="0" t="s">
        <v>5739</v>
      </c>
      <c r="BC247" s="0" t="str">
        <f aca="false">IF($A247="","",IFERROR(INDEX(Enrichment!$A$2:$GZ$2000,MATCH($A247,INDEX(Enrichment!$A$2:$GZ$2000,0,MATCH("row_id",Enrichment!$A$1:$GZ$1,0)),0),MATCH("work_email",Enrichment!$A$1:$GZ$1,0))&amp;"",""))</f>
        <v/>
      </c>
      <c r="BD247" s="0" t="str">
        <f aca="false">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none</v>
      </c>
      <c r="BE247" s="0" t="s">
        <v>5589</v>
      </c>
      <c r="BF247" s="0" t="s">
        <v>169</v>
      </c>
      <c r="BG247" s="0" t="s">
        <v>170</v>
      </c>
      <c r="BH247" s="0" t="s">
        <v>11078</v>
      </c>
      <c r="BI247" s="0" t="s">
        <v>263</v>
      </c>
      <c r="BK247" s="0" t="s">
        <v>5643</v>
      </c>
      <c r="BP247" s="0" t="str">
        <f aca="false">IF($A247="","",IFERROR(INDEX(Enrichment!$A$2:$GZ$2000,MATCH($A247,INDEX(Enrichment!$A$2:$GZ$2000,0,MATCH("row_id",Enrichment!$A$1:$GZ$1,0)),0),MATCH("backup_work_email",Enrichment!$A$1:$GZ$1,0))&amp;"",""))</f>
        <v/>
      </c>
      <c r="BQ247" s="0" t="str">
        <f aca="false">IF($A247="","",IF(BP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none</v>
      </c>
      <c r="BS247" s="0" t="s">
        <v>380</v>
      </c>
      <c r="BX247" s="0" t="s">
        <v>388</v>
      </c>
      <c r="BY247" s="0" t="s">
        <v>11085</v>
      </c>
      <c r="CB247" s="0" t="s">
        <v>11086</v>
      </c>
      <c r="CJ247" s="0" t="s">
        <v>7088</v>
      </c>
      <c r="CK247" s="0" t="s">
        <v>4627</v>
      </c>
      <c r="CL247" s="0" t="s">
        <v>10005</v>
      </c>
      <c r="CM247" s="0" t="s">
        <v>11087</v>
      </c>
      <c r="CN247" s="0" t="s">
        <v>5607</v>
      </c>
      <c r="CO247" s="0" t="s">
        <v>11081</v>
      </c>
      <c r="CP247" s="0" t="s">
        <v>5840</v>
      </c>
      <c r="CQ247" s="0" t="s">
        <v>6084</v>
      </c>
      <c r="CR247" s="0" t="s">
        <v>209</v>
      </c>
      <c r="CT247" s="0" t="s">
        <v>209</v>
      </c>
      <c r="CU247" s="0" t="s">
        <v>11088</v>
      </c>
      <c r="CV247" s="0" t="s">
        <v>164</v>
      </c>
      <c r="CW247" s="0" t="s">
        <v>164</v>
      </c>
      <c r="CX247" s="0" t="s">
        <v>209</v>
      </c>
      <c r="CZ247" s="0" t="s">
        <v>6456</v>
      </c>
      <c r="DA247" s="0" t="s">
        <v>189</v>
      </c>
      <c r="DB247" s="0" t="s">
        <v>164</v>
      </c>
      <c r="DC247" s="0" t="s">
        <v>11089</v>
      </c>
      <c r="DE247" s="0" t="s">
        <v>189</v>
      </c>
      <c r="DF247" s="0" t="n">
        <v>0</v>
      </c>
      <c r="DI247" s="0" t="s">
        <v>11090</v>
      </c>
      <c r="DJ247" s="0" t="s">
        <v>11091</v>
      </c>
      <c r="DK247" s="0" t="s">
        <v>5689</v>
      </c>
      <c r="DL247" s="0" t="n">
        <v>223</v>
      </c>
      <c r="DN247" s="0" t="n">
        <v>32</v>
      </c>
      <c r="DO247" s="0" t="n">
        <v>6</v>
      </c>
      <c r="DP247" s="0" t="n">
        <v>8</v>
      </c>
      <c r="DQ247" s="0" t="n">
        <v>4</v>
      </c>
      <c r="DR247" s="0" t="n">
        <v>5</v>
      </c>
      <c r="DS247" s="0" t="n">
        <v>7</v>
      </c>
      <c r="DT247" s="0" t="n">
        <v>6</v>
      </c>
      <c r="DU247" s="0" t="n">
        <f aca="false">IF($A247="","",IF(R247="Y",10,0))</f>
        <v>0</v>
      </c>
      <c r="DV247" s="0" t="n">
        <v>-4</v>
      </c>
      <c r="DW247" s="0" t="s">
        <v>11092</v>
      </c>
      <c r="DX247" s="0" t="s">
        <v>6462</v>
      </c>
      <c r="DY247" s="0" t="s">
        <v>11093</v>
      </c>
      <c r="DZ247" s="0" t="s">
        <v>11094</v>
      </c>
      <c r="EA247" s="0" t="s">
        <v>11095</v>
      </c>
      <c r="EV247" s="0" t="str">
        <f aca="false">IF($A247="","",IF(ISNUMBER(MATCH(U247,{"queued","contacted","replied","call_booked","call_done","yes_in_principle","materials_sent"},0)),"Y","N"))</f>
        <v>N</v>
      </c>
      <c r="EW247" s="0" t="str">
        <f aca="false">IF($A247="","",IF(OR(T247="Y",U247="do_not_contact",AQ247&amp;""&lt;&gt;""),"Y","N"))</f>
        <v>N</v>
      </c>
      <c r="EX247" s="0" t="str">
        <f aca="false">IF($A247="","",IF(AN247&amp;""&lt;&gt;"",AN247&amp;"",$A247))</f>
        <v>AB-188</v>
      </c>
      <c r="EY247" s="0" t="str">
        <f aca="false">IF($A247="","",IF(COUNTIFS($EX$2:$EX$1000,EX247,$EV$2:$EV$1000,"Y")+COUNTIFS($EX$2:$EX$1000,EX247,$EW$2:$EW$1000,"Y")&gt;0,"Y","N"))</f>
        <v>N</v>
      </c>
      <c r="EZ247" s="0" t="str">
        <f aca="false">IF($A247="","",IF(AND(U247="new",T247="N",EW247="N",AR247="Y",EY247="N"),"Y","N"))</f>
        <v>N</v>
      </c>
      <c r="FA247" s="0" t="str">
        <f aca="false">IF($A247="","",IF(EZ247&lt;&gt;"Y","N",IF(COUNTIFS($EX$2:$EX$1000,EX247,$EZ$2:$EZ$1000,"Y",$J$2:$J$1000,"&gt;"&amp;J247)+COUNTIFS($EX$2:$EX$1000,EX247,$EZ$2:$EZ$1000,"Y",$J$2:$J$1000,J247,$FG$2:$FG$1000,"&lt;"&amp;FG247)=0,"Y","N")))</f>
        <v>N</v>
      </c>
      <c r="FB247" s="0" t="str">
        <f aca="false">IF($A247="","",IF(AND(EZ247="Y",FA247="Y",Y247&amp;""&lt;&gt;""),IF(Y247&lt;=10,"Y","N"),"N"))</f>
        <v>N</v>
      </c>
      <c r="FC247" s="0" t="str">
        <f aca="false">IF(FB247="Y",Y247,"")</f>
        <v/>
      </c>
      <c r="FD247" s="0" t="str">
        <f aca="false">IF($A247="","",IF(AND(CK247="pass",AU247="Y",AV247&lt;&gt;"Y",U247="new",EW247="N"),"Y","N"))</f>
        <v>N</v>
      </c>
      <c r="FE247" s="0" t="str">
        <f aca="false">IF(FD247&lt;&gt;"Y","",IF(COUNTIFS($FD$2:$FD$1000,"Y",$J$2:$J$1000,"&gt;"&amp;J247)+COUNTIFS($FD$2:$FD$1000,"Y",$J$2:$J$1000,J247,$FG$2:$FG$1000,"&lt;"&amp;FG247)+1&lt;=30,COUNTIFS($FD$2:$FD$1000,"Y",$J$2:$J$1000,"&gt;"&amp;J247)+COUNTIFS($FD$2:$FD$1000,"Y",$J$2:$J$1000,J247,$FG$2:$FG$1000,"&lt;"&amp;FG247)+1,""))</f>
        <v/>
      </c>
      <c r="FF247" s="0" t="str">
        <f aca="false">IF(AND(_xlfn.ISFORMULA(C247),_xlfn.ISFORMULA(J247)),"Y","N")</f>
        <v>Y</v>
      </c>
      <c r="FG247" s="0" t="n">
        <f aca="false">ROW()-1</f>
        <v>246</v>
      </c>
    </row>
    <row r="248" customFormat="false" ht="15" hidden="false" customHeight="false" outlineLevel="0" collapsed="false">
      <c r="A248" s="0" t="s">
        <v>11096</v>
      </c>
      <c r="B248" s="0" t="s">
        <v>11097</v>
      </c>
      <c r="C248" s="0" t="str">
        <f aca="false">IF($A248="","",IF(AT248="Y",BL248&amp;"",AY248&amp;""))</f>
        <v>Terry</v>
      </c>
      <c r="D248" s="0" t="str">
        <f aca="false">IF($A248="","",IF(AT248="Y",BM248&amp;"",AZ248&amp;""))</f>
        <v>Tang</v>
      </c>
      <c r="E248" s="0" t="str">
        <f aca="false">IF($A248="","",IF(AT248="Y",BN248&amp;"",BA248&amp;""))</f>
        <v>Owner</v>
      </c>
      <c r="F248" s="0" t="str">
        <f aca="false">IF($A248="","",IF(AT248="Y",BO248&amp;"",BB248&amp;""))</f>
        <v/>
      </c>
      <c r="G248" s="0" t="str">
        <f aca="false">IF($A248="","",IF(AT248="Y",BP248&amp;"",BC248&amp;""))</f>
        <v/>
      </c>
      <c r="H248" s="0" t="str">
        <f aca="false">IF($A248="","",IF(AT248="Y",BQ248&amp;"",BD248&amp;""))</f>
        <v>none</v>
      </c>
      <c r="I248" s="0" t="str">
        <f aca="false">IF($A248="","",IF(R248="Y","warm-intro",IF(H248="verified","email",IF(C248&lt;&gt;"","linkedin",CA248&amp;""))))</f>
        <v>linkedin</v>
      </c>
      <c r="J248" s="0" t="n">
        <f aca="false">IF($A248="","",IF(CK248="pass",ROUND(N(DO248)+N(DP248)+N(DQ248)+N(DR248)+N(DS248)+N(DT248)+N(DU248)+N(DV248),0),0))</f>
        <v>0</v>
      </c>
      <c r="K248" s="0" t="str">
        <f aca="false">IF($A248="","",IF(CK248&lt;&gt;"pass",BY248&amp;"",BY248&amp;", "&amp;IF(AT248="Y",BX248&amp;"",BK248&amp;"")&amp;BZ248&amp;IF(R248="Y","; known to the founder (+10)","")&amp;"."))</f>
        <v>Gated out: no-buy-path: no graded store within ten blocks and no online store shown.</v>
      </c>
      <c r="M248" s="0" t="s">
        <v>6144</v>
      </c>
      <c r="N248" s="0" t="s">
        <v>740</v>
      </c>
      <c r="R248" s="5" t="s">
        <v>189</v>
      </c>
      <c r="S248" s="0" t="s">
        <v>209</v>
      </c>
      <c r="T248" s="5" t="s">
        <v>189</v>
      </c>
      <c r="U248" s="5" t="s">
        <v>3896</v>
      </c>
      <c r="V248" s="0" t="s">
        <v>11098</v>
      </c>
      <c r="W248" s="0" t="s">
        <v>263</v>
      </c>
      <c r="X248" s="0" t="s">
        <v>5578</v>
      </c>
      <c r="Y248" s="0" t="str">
        <f aca="false">IF(FA248&lt;&gt;"Y","",COUNTIFS($FA$2:$FA$1000,"Y",$J$2:$J$1000,"&gt;"&amp;J248)+COUNTIFS($FA$2:$FA$1000,"Y",$J$2:$J$1000,J248,$FG$2:$FG$1000,"&lt;"&amp;FG248)+1)</f>
        <v/>
      </c>
      <c r="AA248" s="0" t="s">
        <v>189</v>
      </c>
      <c r="AB248" s="0" t="str">
        <f aca="false">IF($A248="","",IF(AT248="Y",BW248&amp;"",BJ248&amp;""))</f>
        <v/>
      </c>
      <c r="AC248" s="0" t="str">
        <f aca="false">IF($A248="","",IF(AT248="Y",BR248&amp;"",BE248&amp;""))</f>
        <v>founder</v>
      </c>
      <c r="AD248" s="0" t="str">
        <f aca="false">IF($A248="","",IF(AT248="Y",BS248&amp;"",BF248&amp;""))</f>
        <v>verified-page</v>
      </c>
      <c r="AE248" s="0" t="str">
        <f aca="false">IF($A248="","",IF(AT248="Y",BT248&amp;"",BG248&amp;""))</f>
        <v>press, event or podcast page</v>
      </c>
      <c r="AF248" s="0" t="str">
        <f aca="false">IF($A248="","",IF(AT248="Y",BU248&amp;"",BH248&amp;""))</f>
        <v>https://ediblebrooklyn.com/?p=78713</v>
      </c>
      <c r="AG248" s="0" t="str">
        <f aca="false">IF($A248="","",IF(AT248="Y",BV248&amp;"",BI248&amp;""))</f>
        <v>2026-10-23</v>
      </c>
      <c r="AH248" s="0" t="s">
        <v>11099</v>
      </c>
      <c r="AI248" s="0" t="s">
        <v>5580</v>
      </c>
      <c r="AJ248" s="0" t="s">
        <v>5631</v>
      </c>
      <c r="AK248" s="0" t="s">
        <v>209</v>
      </c>
      <c r="AL248" s="0" t="s">
        <v>164</v>
      </c>
      <c r="AM248" s="0" t="s">
        <v>11100</v>
      </c>
      <c r="AN248" s="0" t="s">
        <v>6441</v>
      </c>
      <c r="AO248" s="5" t="s">
        <v>189</v>
      </c>
      <c r="AR248" s="0" t="str">
        <f aca="false">IF($A248="","",IF(AND(CK248="pass",AO248&lt;&gt;"Y",C248&lt;&gt;"",OR(AU248&lt;&gt;"Y",AV248="Y")),"Y","N"))</f>
        <v>N</v>
      </c>
      <c r="AS248" s="0" t="str">
        <f aca="false">IF($A248="","",_xlfn.TEXTJOIN("; ",TRUE(),IF(CK248&lt;&gt;"pass","gated out",""),IF(AO248="Y","on hold: "&amp;AP248,""),IF(C248="","no contact named on an opened page",""),IF(AND(AU248="Y",AV248&lt;&gt;"Y"),"founder review pending (Founder review tab)","")))</f>
        <v>gated out</v>
      </c>
      <c r="AU248" s="0" t="s">
        <v>189</v>
      </c>
      <c r="AY248" s="0" t="s">
        <v>11101</v>
      </c>
      <c r="AZ248" s="0" t="s">
        <v>11102</v>
      </c>
      <c r="BA248" s="0" t="s">
        <v>6597</v>
      </c>
      <c r="BC248" s="0" t="str">
        <f aca="false">IF($A248="","",IFERROR(INDEX(Enrichment!$A$2:$GZ$2000,MATCH($A248,INDEX(Enrichment!$A$2:$GZ$2000,0,MATCH("row_id",Enrichment!$A$1:$GZ$1,0)),0),MATCH("work_email",Enrichment!$A$1:$GZ$1,0))&amp;"",""))</f>
        <v/>
      </c>
      <c r="BD248" s="0" t="str">
        <f aca="false">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none</v>
      </c>
      <c r="BE248" s="0" t="s">
        <v>5589</v>
      </c>
      <c r="BF248" s="0" t="s">
        <v>169</v>
      </c>
      <c r="BG248" s="0" t="s">
        <v>1252</v>
      </c>
      <c r="BH248" s="0" t="s">
        <v>11103</v>
      </c>
      <c r="BI248" s="0" t="s">
        <v>263</v>
      </c>
      <c r="BK248" s="0" t="s">
        <v>5643</v>
      </c>
      <c r="BL248" s="0" t="s">
        <v>6446</v>
      </c>
      <c r="BM248" s="0" t="s">
        <v>6447</v>
      </c>
      <c r="BN248" s="0" t="s">
        <v>6448</v>
      </c>
      <c r="BP248" s="0" t="str">
        <f aca="false">IF($A248="","",IFERROR(INDEX(Enrichment!$A$2:$GZ$2000,MATCH($A248,INDEX(Enrichment!$A$2:$GZ$2000,0,MATCH("row_id",Enrichment!$A$1:$GZ$1,0)),0),MATCH("backup_work_email",Enrichment!$A$1:$GZ$1,0))&amp;"",""))</f>
        <v/>
      </c>
      <c r="BQ248" s="0" t="str">
        <f aca="false">IF($A248="","",IF(BP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none</v>
      </c>
      <c r="BR248" s="0" t="s">
        <v>7494</v>
      </c>
      <c r="BS248" s="0" t="s">
        <v>169</v>
      </c>
      <c r="BT248" s="0" t="s">
        <v>1252</v>
      </c>
      <c r="BU248" s="0" t="s">
        <v>6444</v>
      </c>
      <c r="BV248" s="0" t="s">
        <v>263</v>
      </c>
      <c r="BX248" s="0" t="s">
        <v>5643</v>
      </c>
      <c r="BY248" s="0" t="s">
        <v>11104</v>
      </c>
      <c r="CB248" s="0" t="s">
        <v>7107</v>
      </c>
      <c r="CF248" s="0" t="s">
        <v>6453</v>
      </c>
      <c r="CJ248" s="0" t="s">
        <v>7088</v>
      </c>
      <c r="CK248" s="0" t="s">
        <v>4627</v>
      </c>
      <c r="CL248" s="0" t="s">
        <v>10545</v>
      </c>
      <c r="CM248" s="0" t="s">
        <v>11105</v>
      </c>
      <c r="CN248" s="0" t="s">
        <v>443</v>
      </c>
      <c r="CO248" s="0" t="s">
        <v>11098</v>
      </c>
      <c r="CP248" s="0" t="s">
        <v>5608</v>
      </c>
      <c r="CQ248" s="0" t="s">
        <v>5609</v>
      </c>
      <c r="CR248" s="0" t="s">
        <v>209</v>
      </c>
      <c r="CT248" s="0" t="s">
        <v>209</v>
      </c>
      <c r="CU248" s="0" t="s">
        <v>7111</v>
      </c>
      <c r="CV248" s="0" t="s">
        <v>164</v>
      </c>
      <c r="CW248" s="0" t="s">
        <v>189</v>
      </c>
      <c r="CX248" s="0" t="s">
        <v>209</v>
      </c>
      <c r="CZ248" s="0" t="s">
        <v>6456</v>
      </c>
      <c r="DA248" s="0" t="s">
        <v>189</v>
      </c>
      <c r="DB248" s="0" t="s">
        <v>189</v>
      </c>
      <c r="DE248" s="0" t="s">
        <v>189</v>
      </c>
      <c r="DF248" s="0" t="n">
        <v>0</v>
      </c>
      <c r="DI248" s="0" t="s">
        <v>11106</v>
      </c>
      <c r="DK248" s="0" t="s">
        <v>380</v>
      </c>
      <c r="DN248" s="0" t="n">
        <v>37</v>
      </c>
      <c r="DO248" s="0" t="n">
        <v>0</v>
      </c>
      <c r="DP248" s="0" t="n">
        <v>20</v>
      </c>
      <c r="DQ248" s="0" t="n">
        <v>0</v>
      </c>
      <c r="DR248" s="0" t="n">
        <v>5</v>
      </c>
      <c r="DS248" s="0" t="n">
        <v>4</v>
      </c>
      <c r="DT248" s="0" t="n">
        <v>10</v>
      </c>
      <c r="DU248" s="0" t="n">
        <f aca="false">IF($A248="","",IF(R248="Y",10,0))</f>
        <v>0</v>
      </c>
      <c r="DV248" s="0" t="n">
        <v>-2</v>
      </c>
      <c r="DW248" s="0" t="s">
        <v>11107</v>
      </c>
      <c r="DX248" s="0" t="s">
        <v>6462</v>
      </c>
      <c r="DY248" s="0" t="s">
        <v>11108</v>
      </c>
      <c r="DZ248" s="0" t="s">
        <v>11109</v>
      </c>
      <c r="EA248" s="0" t="s">
        <v>6465</v>
      </c>
      <c r="EC248" s="0" t="s">
        <v>11110</v>
      </c>
      <c r="EV248" s="0" t="str">
        <f aca="false">IF($A248="","",IF(ISNUMBER(MATCH(U248,{"queued","contacted","replied","call_booked","call_done","yes_in_principle","materials_sent"},0)),"Y","N"))</f>
        <v>N</v>
      </c>
      <c r="EW248" s="0" t="str">
        <f aca="false">IF($A248="","",IF(OR(T248="Y",U248="do_not_contact",AQ248&amp;""&lt;&gt;""),"Y","N"))</f>
        <v>N</v>
      </c>
      <c r="EX248" s="0" t="str">
        <f aca="false">IF($A248="","",IF(AN248&amp;""&lt;&gt;"",AN248&amp;"",$A248))</f>
        <v>grp-130-131-132</v>
      </c>
      <c r="EY248" s="0" t="str">
        <f aca="false">IF($A248="","",IF(COUNTIFS($EX$2:$EX$1000,EX248,$EV$2:$EV$1000,"Y")+COUNTIFS($EX$2:$EX$1000,EX248,$EW$2:$EW$1000,"Y")&gt;0,"Y","N"))</f>
        <v>Y</v>
      </c>
      <c r="EZ248" s="0" t="str">
        <f aca="false">IF($A248="","",IF(AND(U248="new",T248="N",EW248="N",AR248="Y",EY248="N"),"Y","N"))</f>
        <v>N</v>
      </c>
      <c r="FA248" s="0" t="str">
        <f aca="false">IF($A248="","",IF(EZ248&lt;&gt;"Y","N",IF(COUNTIFS($EX$2:$EX$1000,EX248,$EZ$2:$EZ$1000,"Y",$J$2:$J$1000,"&gt;"&amp;J248)+COUNTIFS($EX$2:$EX$1000,EX248,$EZ$2:$EZ$1000,"Y",$J$2:$J$1000,J248,$FG$2:$FG$1000,"&lt;"&amp;FG248)=0,"Y","N")))</f>
        <v>N</v>
      </c>
      <c r="FB248" s="0" t="str">
        <f aca="false">IF($A248="","",IF(AND(EZ248="Y",FA248="Y",Y248&amp;""&lt;&gt;""),IF(Y248&lt;=10,"Y","N"),"N"))</f>
        <v>N</v>
      </c>
      <c r="FC248" s="0" t="str">
        <f aca="false">IF(FB248="Y",Y248,"")</f>
        <v/>
      </c>
      <c r="FD248" s="0" t="str">
        <f aca="false">IF($A248="","",IF(AND(CK248="pass",AU248="Y",AV248&lt;&gt;"Y",U248="new",EW248="N"),"Y","N"))</f>
        <v>N</v>
      </c>
      <c r="FE248" s="0" t="str">
        <f aca="false">IF(FD248&lt;&gt;"Y","",IF(COUNTIFS($FD$2:$FD$1000,"Y",$J$2:$J$1000,"&gt;"&amp;J248)+COUNTIFS($FD$2:$FD$1000,"Y",$J$2:$J$1000,J248,$FG$2:$FG$1000,"&lt;"&amp;FG248)+1&lt;=30,COUNTIFS($FD$2:$FD$1000,"Y",$J$2:$J$1000,"&gt;"&amp;J248)+COUNTIFS($FD$2:$FD$1000,"Y",$J$2:$J$1000,J248,$FG$2:$FG$1000,"&lt;"&amp;FG248)+1,""))</f>
        <v/>
      </c>
      <c r="FF248" s="0" t="str">
        <f aca="false">IF(AND(_xlfn.ISFORMULA(C248),_xlfn.ISFORMULA(J248)),"Y","N")</f>
        <v>Y</v>
      </c>
      <c r="FG248" s="0" t="n">
        <f aca="false">ROW()-1</f>
        <v>247</v>
      </c>
    </row>
    <row r="249" customFormat="false" ht="15" hidden="false" customHeight="false" outlineLevel="0" collapsed="false">
      <c r="A249" s="0" t="s">
        <v>11111</v>
      </c>
      <c r="B249" s="0" t="s">
        <v>11112</v>
      </c>
      <c r="C249" s="0" t="str">
        <f aca="false">IF($A249="","",IF(AT249="Y",BL249&amp;"",AY249&amp;""))</f>
        <v>Susan</v>
      </c>
      <c r="D249" s="0" t="str">
        <f aca="false">IF($A249="","",IF(AT249="Y",BM249&amp;"",AZ249&amp;""))</f>
        <v>O'Brien</v>
      </c>
      <c r="E249" s="0" t="str">
        <f aca="false">IF($A249="","",IF(AT249="Y",BN249&amp;"",BA249&amp;""))</f>
        <v>Founder</v>
      </c>
      <c r="F249" s="0" t="str">
        <f aca="false">IF($A249="","",IF(AT249="Y",BO249&amp;"",BB249&amp;""))</f>
        <v/>
      </c>
      <c r="G249" s="0" t="str">
        <f aca="false">IF($A249="","",IF(AT249="Y",BP249&amp;"",BC249&amp;""))</f>
        <v/>
      </c>
      <c r="H249" s="0" t="str">
        <f aca="false">IF($A249="","",IF(AT249="Y",BQ249&amp;"",BD249&amp;""))</f>
        <v>none</v>
      </c>
      <c r="I249" s="0" t="str">
        <f aca="false">IF($A249="","",IF(R249="Y","warm-intro",IF(H249="verified","email",IF(C249&lt;&gt;"","linkedin",CA249&amp;""))))</f>
        <v>linkedin</v>
      </c>
      <c r="J249" s="0" t="n">
        <f aca="false">IF($A249="","",IF(CK249="pass",ROUND(N(DO249)+N(DP249)+N(DQ249)+N(DR249)+N(DS249)+N(DT249)+N(DU249)+N(DV249),0),0))</f>
        <v>0</v>
      </c>
      <c r="K249" s="0" t="str">
        <f aca="false">IF($A249="","",IF(CK249&lt;&gt;"pass",BY249&amp;"",BY249&amp;", "&amp;IF(AT249="Y",BX249&amp;"",BK249&amp;"")&amp;BZ249&amp;IF(R249="Y","; known to the founder (+10)","")&amp;"."))</f>
        <v>Gated out: not-shelf-stable: Refrigerated product (brand FAQ).</v>
      </c>
      <c r="M249" s="0" t="s">
        <v>6144</v>
      </c>
      <c r="N249" s="0" t="s">
        <v>740</v>
      </c>
      <c r="R249" s="5" t="s">
        <v>189</v>
      </c>
      <c r="S249" s="0" t="s">
        <v>209</v>
      </c>
      <c r="T249" s="5" t="s">
        <v>189</v>
      </c>
      <c r="U249" s="5" t="s">
        <v>3896</v>
      </c>
      <c r="V249" s="0" t="s">
        <v>11113</v>
      </c>
      <c r="W249" s="0" t="s">
        <v>263</v>
      </c>
      <c r="X249" s="0" t="s">
        <v>5578</v>
      </c>
      <c r="Y249" s="0" t="str">
        <f aca="false">IF(FA249&lt;&gt;"Y","",COUNTIFS($FA$2:$FA$1000,"Y",$J$2:$J$1000,"&gt;"&amp;J249)+COUNTIFS($FA$2:$FA$1000,"Y",$J$2:$J$1000,J249,$FG$2:$FG$1000,"&lt;"&amp;FG249)+1)</f>
        <v/>
      </c>
      <c r="AA249" s="0" t="s">
        <v>189</v>
      </c>
      <c r="AB249" s="0" t="str">
        <f aca="false">IF($A249="","",IF(AT249="Y",BW249&amp;"",BJ249&amp;""))</f>
        <v/>
      </c>
      <c r="AC249" s="0" t="str">
        <f aca="false">IF($A249="","",IF(AT249="Y",BR249&amp;"",BE249&amp;""))</f>
        <v>founder</v>
      </c>
      <c r="AD249" s="0" t="str">
        <f aca="false">IF($A249="","",IF(AT249="Y",BS249&amp;"",BF249&amp;""))</f>
        <v>verified-page</v>
      </c>
      <c r="AE249" s="0" t="str">
        <f aca="false">IF($A249="","",IF(AT249="Y",BT249&amp;"",BG249&amp;""))</f>
        <v>employer's own site</v>
      </c>
      <c r="AF249" s="0" t="str">
        <f aca="false">IF($A249="","",IF(AT249="Y",BU249&amp;"",BH249&amp;""))</f>
        <v>https://hailmerry.com/pages/our-story</v>
      </c>
      <c r="AG249" s="0" t="str">
        <f aca="false">IF($A249="","",IF(AT249="Y",BV249&amp;"",BI249&amp;""))</f>
        <v>2026-10-23</v>
      </c>
      <c r="AH249" s="0" t="s">
        <v>11114</v>
      </c>
      <c r="AI249" s="0" t="s">
        <v>5664</v>
      </c>
      <c r="AJ249" s="0" t="s">
        <v>209</v>
      </c>
      <c r="AK249" s="0" t="s">
        <v>11115</v>
      </c>
      <c r="AL249" s="0" t="s">
        <v>189</v>
      </c>
      <c r="AN249" s="0" t="s">
        <v>11111</v>
      </c>
      <c r="AO249" s="5" t="s">
        <v>189</v>
      </c>
      <c r="AR249" s="0" t="str">
        <f aca="false">IF($A249="","",IF(AND(CK249="pass",AO249&lt;&gt;"Y",C249&lt;&gt;"",OR(AU249&lt;&gt;"Y",AV249="Y")),"Y","N"))</f>
        <v>N</v>
      </c>
      <c r="AS249" s="0" t="str">
        <f aca="false">IF($A249="","",_xlfn.TEXTJOIN("; ",TRUE(),IF(CK249&lt;&gt;"pass","gated out",""),IF(AO249="Y","on hold: "&amp;AP249,""),IF(C249="","no contact named on an opened page",""),IF(AND(AU249="Y",AV249&lt;&gt;"Y"),"founder review pending (Founder review tab)","")))</f>
        <v>gated out</v>
      </c>
      <c r="AU249" s="0" t="s">
        <v>189</v>
      </c>
      <c r="AY249" s="0" t="s">
        <v>11116</v>
      </c>
      <c r="AZ249" s="0" t="s">
        <v>11117</v>
      </c>
      <c r="BA249" s="0" t="s">
        <v>5739</v>
      </c>
      <c r="BC249" s="0" t="str">
        <f aca="false">IF($A249="","",IFERROR(INDEX(Enrichment!$A$2:$GZ$2000,MATCH($A249,INDEX(Enrichment!$A$2:$GZ$2000,0,MATCH("row_id",Enrichment!$A$1:$GZ$1,0)),0),MATCH("work_email",Enrichment!$A$1:$GZ$1,0))&amp;"",""))</f>
        <v/>
      </c>
      <c r="BD249" s="0" t="str">
        <f aca="false">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none</v>
      </c>
      <c r="BE249" s="0" t="s">
        <v>5589</v>
      </c>
      <c r="BF249" s="0" t="s">
        <v>169</v>
      </c>
      <c r="BG249" s="0" t="s">
        <v>170</v>
      </c>
      <c r="BH249" s="0" t="s">
        <v>11118</v>
      </c>
      <c r="BI249" s="0" t="s">
        <v>263</v>
      </c>
      <c r="BK249" s="0" t="s">
        <v>5643</v>
      </c>
      <c r="BP249" s="0" t="str">
        <f aca="false">IF($A249="","",IFERROR(INDEX(Enrichment!$A$2:$GZ$2000,MATCH($A249,INDEX(Enrichment!$A$2:$GZ$2000,0,MATCH("row_id",Enrichment!$A$1:$GZ$1,0)),0),MATCH("backup_work_email",Enrichment!$A$1:$GZ$1,0))&amp;"",""))</f>
        <v/>
      </c>
      <c r="BQ249" s="0" t="str">
        <f aca="false">IF($A249="","",IF(BP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none</v>
      </c>
      <c r="BS249" s="0" t="s">
        <v>380</v>
      </c>
      <c r="BX249" s="0" t="s">
        <v>388</v>
      </c>
      <c r="BY249" s="0" t="s">
        <v>11119</v>
      </c>
      <c r="CB249" s="0" t="s">
        <v>11120</v>
      </c>
      <c r="CJ249" s="0" t="s">
        <v>7088</v>
      </c>
      <c r="CK249" s="0" t="s">
        <v>4627</v>
      </c>
      <c r="CL249" s="0" t="s">
        <v>10343</v>
      </c>
      <c r="CM249" s="0" t="s">
        <v>11121</v>
      </c>
      <c r="CO249" s="0" t="s">
        <v>11115</v>
      </c>
      <c r="CP249" s="0" t="s">
        <v>209</v>
      </c>
      <c r="CQ249" s="0" t="s">
        <v>209</v>
      </c>
      <c r="CR249" s="0" t="s">
        <v>209</v>
      </c>
      <c r="CT249" s="0" t="s">
        <v>189</v>
      </c>
      <c r="CU249" s="0" t="s">
        <v>11122</v>
      </c>
      <c r="CV249" s="0" t="s">
        <v>164</v>
      </c>
      <c r="CW249" s="0" t="s">
        <v>164</v>
      </c>
      <c r="CX249" s="0" t="s">
        <v>209</v>
      </c>
      <c r="CZ249" s="0" t="s">
        <v>209</v>
      </c>
      <c r="DA249" s="0" t="s">
        <v>189</v>
      </c>
      <c r="DB249" s="0" t="s">
        <v>164</v>
      </c>
      <c r="DC249" s="0" t="s">
        <v>11123</v>
      </c>
      <c r="DE249" s="0" t="s">
        <v>189</v>
      </c>
      <c r="DF249" s="0" t="n">
        <v>0</v>
      </c>
      <c r="DI249" s="0" t="s">
        <v>11124</v>
      </c>
      <c r="DJ249" s="0" t="s">
        <v>11125</v>
      </c>
      <c r="DK249" s="0" t="s">
        <v>380</v>
      </c>
      <c r="DN249" s="0" t="n">
        <v>27</v>
      </c>
      <c r="DO249" s="0" t="n">
        <v>6</v>
      </c>
      <c r="DP249" s="0" t="n">
        <v>4</v>
      </c>
      <c r="DQ249" s="0" t="n">
        <v>0</v>
      </c>
      <c r="DR249" s="0" t="n">
        <v>5</v>
      </c>
      <c r="DS249" s="0" t="n">
        <v>6</v>
      </c>
      <c r="DT249" s="0" t="n">
        <v>6</v>
      </c>
      <c r="DU249" s="0" t="n">
        <f aca="false">IF($A249="","",IF(R249="Y",10,0))</f>
        <v>0</v>
      </c>
      <c r="DV249" s="0" t="n">
        <v>0</v>
      </c>
      <c r="DW249" s="0" t="s">
        <v>11126</v>
      </c>
      <c r="DX249" s="0" t="s">
        <v>5691</v>
      </c>
      <c r="DY249" s="0" t="s">
        <v>11127</v>
      </c>
      <c r="DZ249" s="0" t="s">
        <v>11128</v>
      </c>
      <c r="EV249" s="0" t="str">
        <f aca="false">IF($A249="","",IF(ISNUMBER(MATCH(U249,{"queued","contacted","replied","call_booked","call_done","yes_in_principle","materials_sent"},0)),"Y","N"))</f>
        <v>N</v>
      </c>
      <c r="EW249" s="0" t="str">
        <f aca="false">IF($A249="","",IF(OR(T249="Y",U249="do_not_contact",AQ249&amp;""&lt;&gt;""),"Y","N"))</f>
        <v>N</v>
      </c>
      <c r="EX249" s="0" t="str">
        <f aca="false">IF($A249="","",IF(AN249&amp;""&lt;&gt;"",AN249&amp;"",$A249))</f>
        <v>AB-122</v>
      </c>
      <c r="EY249" s="0" t="str">
        <f aca="false">IF($A249="","",IF(COUNTIFS($EX$2:$EX$1000,EX249,$EV$2:$EV$1000,"Y")+COUNTIFS($EX$2:$EX$1000,EX249,$EW$2:$EW$1000,"Y")&gt;0,"Y","N"))</f>
        <v>N</v>
      </c>
      <c r="EZ249" s="0" t="str">
        <f aca="false">IF($A249="","",IF(AND(U249="new",T249="N",EW249="N",AR249="Y",EY249="N"),"Y","N"))</f>
        <v>N</v>
      </c>
      <c r="FA249" s="0" t="str">
        <f aca="false">IF($A249="","",IF(EZ249&lt;&gt;"Y","N",IF(COUNTIFS($EX$2:$EX$1000,EX249,$EZ$2:$EZ$1000,"Y",$J$2:$J$1000,"&gt;"&amp;J249)+COUNTIFS($EX$2:$EX$1000,EX249,$EZ$2:$EZ$1000,"Y",$J$2:$J$1000,J249,$FG$2:$FG$1000,"&lt;"&amp;FG249)=0,"Y","N")))</f>
        <v>N</v>
      </c>
      <c r="FB249" s="0" t="str">
        <f aca="false">IF($A249="","",IF(AND(EZ249="Y",FA249="Y",Y249&amp;""&lt;&gt;""),IF(Y249&lt;=10,"Y","N"),"N"))</f>
        <v>N</v>
      </c>
      <c r="FC249" s="0" t="str">
        <f aca="false">IF(FB249="Y",Y249,"")</f>
        <v/>
      </c>
      <c r="FD249" s="0" t="str">
        <f aca="false">IF($A249="","",IF(AND(CK249="pass",AU249="Y",AV249&lt;&gt;"Y",U249="new",EW249="N"),"Y","N"))</f>
        <v>N</v>
      </c>
      <c r="FE249" s="0" t="str">
        <f aca="false">IF(FD249&lt;&gt;"Y","",IF(COUNTIFS($FD$2:$FD$1000,"Y",$J$2:$J$1000,"&gt;"&amp;J249)+COUNTIFS($FD$2:$FD$1000,"Y",$J$2:$J$1000,J249,$FG$2:$FG$1000,"&lt;"&amp;FG249)+1&lt;=30,COUNTIFS($FD$2:$FD$1000,"Y",$J$2:$J$1000,"&gt;"&amp;J249)+COUNTIFS($FD$2:$FD$1000,"Y",$J$2:$J$1000,J249,$FG$2:$FG$1000,"&lt;"&amp;FG249)+1,""))</f>
        <v/>
      </c>
      <c r="FF249" s="0" t="str">
        <f aca="false">IF(AND(_xlfn.ISFORMULA(C249),_xlfn.ISFORMULA(J249)),"Y","N")</f>
        <v>Y</v>
      </c>
      <c r="FG249" s="0" t="n">
        <f aca="false">ROW()-1</f>
        <v>248</v>
      </c>
    </row>
    <row r="250" customFormat="false" ht="15" hidden="false" customHeight="false" outlineLevel="0" collapsed="false">
      <c r="A250" s="0" t="s">
        <v>11129</v>
      </c>
      <c r="B250" s="0" t="s">
        <v>11130</v>
      </c>
      <c r="C250" s="0" t="str">
        <f aca="false">IF($A250="","",IF(AT250="Y",BL250&amp;"",AY250&amp;""))</f>
        <v>Christy</v>
      </c>
      <c r="D250" s="0" t="str">
        <f aca="false">IF($A250="","",IF(AT250="Y",BM250&amp;"",AZ250&amp;""))</f>
        <v>Goldsby</v>
      </c>
      <c r="E250" s="0" t="str">
        <f aca="false">IF($A250="","",IF(AT250="Y",BN250&amp;"",BA250&amp;""))</f>
        <v>Founder</v>
      </c>
      <c r="F250" s="0" t="str">
        <f aca="false">IF($A250="","",IF(AT250="Y",BO250&amp;"",BB250&amp;""))</f>
        <v/>
      </c>
      <c r="G250" s="0" t="str">
        <f aca="false">IF($A250="","",IF(AT250="Y",BP250&amp;"",BC250&amp;""))</f>
        <v/>
      </c>
      <c r="H250" s="0" t="str">
        <f aca="false">IF($A250="","",IF(AT250="Y",BQ250&amp;"",BD250&amp;""))</f>
        <v>none</v>
      </c>
      <c r="I250" s="0" t="str">
        <f aca="false">IF($A250="","",IF(R250="Y","warm-intro",IF(H250="verified","email",IF(C250&lt;&gt;"","linkedin",CA250&amp;""))))</f>
        <v>linkedin</v>
      </c>
      <c r="J250" s="0" t="n">
        <f aca="false">IF($A250="","",IF(CK250="pass",ROUND(N(DO250)+N(DP250)+N(DQ250)+N(DR250)+N(DS250)+N(DT250)+N(DU250)+N(DV250),0),0))</f>
        <v>0</v>
      </c>
      <c r="K250" s="0" t="str">
        <f aca="false">IF($A250="","",IF(CK250&lt;&gt;"pass",BY250&amp;"",BY250&amp;", "&amp;IF(AT250="Y",BX250&amp;"",BK250&amp;"")&amp;BZ250&amp;IF(R250="Y","; known to the founder (+10)","")&amp;"."))</f>
        <v>Gated out: not-shelf-stable: Refrigerated product (brand FAQ).</v>
      </c>
      <c r="M250" s="0" t="s">
        <v>6144</v>
      </c>
      <c r="N250" s="0" t="s">
        <v>740</v>
      </c>
      <c r="R250" s="5" t="s">
        <v>189</v>
      </c>
      <c r="S250" s="0" t="s">
        <v>209</v>
      </c>
      <c r="T250" s="5" t="s">
        <v>189</v>
      </c>
      <c r="U250" s="5" t="s">
        <v>3896</v>
      </c>
      <c r="V250" s="0" t="s">
        <v>11131</v>
      </c>
      <c r="W250" s="0" t="s">
        <v>263</v>
      </c>
      <c r="X250" s="0" t="s">
        <v>5578</v>
      </c>
      <c r="Y250" s="0" t="str">
        <f aca="false">IF(FA250&lt;&gt;"Y","",COUNTIFS($FA$2:$FA$1000,"Y",$J$2:$J$1000,"&gt;"&amp;J250)+COUNTIFS($FA$2:$FA$1000,"Y",$J$2:$J$1000,J250,$FG$2:$FG$1000,"&lt;"&amp;FG250)+1)</f>
        <v/>
      </c>
      <c r="AA250" s="0" t="s">
        <v>189</v>
      </c>
      <c r="AB250" s="0" t="str">
        <f aca="false">IF($A250="","",IF(AT250="Y",BW250&amp;"",BJ250&amp;""))</f>
        <v/>
      </c>
      <c r="AC250" s="0" t="str">
        <f aca="false">IF($A250="","",IF(AT250="Y",BR250&amp;"",BE250&amp;""))</f>
        <v>founder</v>
      </c>
      <c r="AD250" s="0" t="str">
        <f aca="false">IF($A250="","",IF(AT250="Y",BS250&amp;"",BF250&amp;""))</f>
        <v>verified-page</v>
      </c>
      <c r="AE250" s="0" t="str">
        <f aca="false">IF($A250="","",IF(AT250="Y",BT250&amp;"",BG250&amp;""))</f>
        <v>employer's own site</v>
      </c>
      <c r="AF250" s="0" t="str">
        <f aca="false">IF($A250="","",IF(AT250="Y",BU250&amp;"",BH250&amp;""))</f>
        <v>https://honeymamas.com/</v>
      </c>
      <c r="AG250" s="0" t="str">
        <f aca="false">IF($A250="","",IF(AT250="Y",BV250&amp;"",BI250&amp;""))</f>
        <v>2026-10-23</v>
      </c>
      <c r="AH250" s="0" t="s">
        <v>11132</v>
      </c>
      <c r="AI250" s="0" t="s">
        <v>5664</v>
      </c>
      <c r="AJ250" s="0" t="s">
        <v>11133</v>
      </c>
      <c r="AK250" s="0" t="s">
        <v>11134</v>
      </c>
      <c r="AL250" s="0" t="s">
        <v>189</v>
      </c>
      <c r="AN250" s="0" t="s">
        <v>11129</v>
      </c>
      <c r="AO250" s="5" t="s">
        <v>189</v>
      </c>
      <c r="AR250" s="0" t="str">
        <f aca="false">IF($A250="","",IF(AND(CK250="pass",AO250&lt;&gt;"Y",C250&lt;&gt;"",OR(AU250&lt;&gt;"Y",AV250="Y")),"Y","N"))</f>
        <v>N</v>
      </c>
      <c r="AS250" s="0" t="str">
        <f aca="false">IF($A250="","",_xlfn.TEXTJOIN("; ",TRUE(),IF(CK250&lt;&gt;"pass","gated out",""),IF(AO250="Y","on hold: "&amp;AP250,""),IF(C250="","no contact named on an opened page",""),IF(AND(AU250="Y",AV250&lt;&gt;"Y"),"founder review pending (Founder review tab)","")))</f>
        <v>gated out</v>
      </c>
      <c r="AU250" s="0" t="s">
        <v>189</v>
      </c>
      <c r="AY250" s="0" t="s">
        <v>11135</v>
      </c>
      <c r="AZ250" s="0" t="s">
        <v>11136</v>
      </c>
      <c r="BA250" s="0" t="s">
        <v>5739</v>
      </c>
      <c r="BC250" s="0" t="str">
        <f aca="false">IF($A250="","",IFERROR(INDEX(Enrichment!$A$2:$GZ$2000,MATCH($A250,INDEX(Enrichment!$A$2:$GZ$2000,0,MATCH("row_id",Enrichment!$A$1:$GZ$1,0)),0),MATCH("work_email",Enrichment!$A$1:$GZ$1,0))&amp;"",""))</f>
        <v/>
      </c>
      <c r="BD250" s="0" t="str">
        <f aca="false">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none</v>
      </c>
      <c r="BE250" s="0" t="s">
        <v>5589</v>
      </c>
      <c r="BF250" s="0" t="s">
        <v>169</v>
      </c>
      <c r="BG250" s="0" t="s">
        <v>170</v>
      </c>
      <c r="BH250" s="0" t="s">
        <v>11137</v>
      </c>
      <c r="BI250" s="0" t="s">
        <v>263</v>
      </c>
      <c r="BK250" s="0" t="s">
        <v>5643</v>
      </c>
      <c r="BP250" s="0" t="str">
        <f aca="false">IF($A250="","",IFERROR(INDEX(Enrichment!$A$2:$GZ$2000,MATCH($A250,INDEX(Enrichment!$A$2:$GZ$2000,0,MATCH("row_id",Enrichment!$A$1:$GZ$1,0)),0),MATCH("backup_work_email",Enrichment!$A$1:$GZ$1,0))&amp;"",""))</f>
        <v/>
      </c>
      <c r="BQ250" s="0" t="str">
        <f aca="false">IF($A250="","",IF(BP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none</v>
      </c>
      <c r="BS250" s="0" t="s">
        <v>380</v>
      </c>
      <c r="BX250" s="0" t="s">
        <v>388</v>
      </c>
      <c r="BY250" s="0" t="s">
        <v>11119</v>
      </c>
      <c r="CB250" s="0" t="s">
        <v>11138</v>
      </c>
      <c r="CJ250" s="0" t="s">
        <v>7088</v>
      </c>
      <c r="CK250" s="0" t="s">
        <v>4627</v>
      </c>
      <c r="CL250" s="0" t="s">
        <v>10343</v>
      </c>
      <c r="CM250" s="0" t="s">
        <v>11121</v>
      </c>
      <c r="CO250" s="0" t="s">
        <v>11134</v>
      </c>
      <c r="CP250" s="0" t="s">
        <v>11139</v>
      </c>
      <c r="CQ250" s="0" t="s">
        <v>6198</v>
      </c>
      <c r="CR250" s="0" t="s">
        <v>209</v>
      </c>
      <c r="CT250" s="0" t="s">
        <v>189</v>
      </c>
      <c r="CU250" s="0" t="s">
        <v>11140</v>
      </c>
      <c r="CV250" s="0" t="s">
        <v>164</v>
      </c>
      <c r="CW250" s="0" t="s">
        <v>164</v>
      </c>
      <c r="CX250" s="0" t="s">
        <v>209</v>
      </c>
      <c r="CZ250" s="0" t="s">
        <v>209</v>
      </c>
      <c r="DA250" s="0" t="s">
        <v>189</v>
      </c>
      <c r="DB250" s="0" t="s">
        <v>164</v>
      </c>
      <c r="DC250" s="0" t="s">
        <v>11123</v>
      </c>
      <c r="DE250" s="0" t="s">
        <v>189</v>
      </c>
      <c r="DF250" s="0" t="n">
        <v>0</v>
      </c>
      <c r="DI250" s="0" t="s">
        <v>11141</v>
      </c>
      <c r="DJ250" s="0" t="s">
        <v>11142</v>
      </c>
      <c r="DK250" s="0" t="s">
        <v>380</v>
      </c>
      <c r="DN250" s="0" t="n">
        <v>26</v>
      </c>
      <c r="DO250" s="0" t="n">
        <v>6</v>
      </c>
      <c r="DP250" s="0" t="n">
        <v>3</v>
      </c>
      <c r="DQ250" s="0" t="n">
        <v>0</v>
      </c>
      <c r="DR250" s="0" t="n">
        <v>5</v>
      </c>
      <c r="DS250" s="0" t="n">
        <v>6</v>
      </c>
      <c r="DT250" s="0" t="n">
        <v>6</v>
      </c>
      <c r="DU250" s="0" t="n">
        <f aca="false">IF($A250="","",IF(R250="Y",10,0))</f>
        <v>0</v>
      </c>
      <c r="DV250" s="0" t="n">
        <v>0</v>
      </c>
      <c r="DW250" s="0" t="s">
        <v>11143</v>
      </c>
      <c r="DX250" s="0" t="s">
        <v>5691</v>
      </c>
      <c r="DY250" s="0" t="s">
        <v>11144</v>
      </c>
      <c r="DZ250" s="0" t="s">
        <v>11145</v>
      </c>
      <c r="EV250" s="0" t="str">
        <f aca="false">IF($A250="","",IF(ISNUMBER(MATCH(U250,{"queued","contacted","replied","call_booked","call_done","yes_in_principle","materials_sent"},0)),"Y","N"))</f>
        <v>N</v>
      </c>
      <c r="EW250" s="0" t="str">
        <f aca="false">IF($A250="","",IF(OR(T250="Y",U250="do_not_contact",AQ250&amp;""&lt;&gt;""),"Y","N"))</f>
        <v>N</v>
      </c>
      <c r="EX250" s="0" t="str">
        <f aca="false">IF($A250="","",IF(AN250&amp;""&lt;&gt;"",AN250&amp;"",$A250))</f>
        <v>AB-121</v>
      </c>
      <c r="EY250" s="0" t="str">
        <f aca="false">IF($A250="","",IF(COUNTIFS($EX$2:$EX$1000,EX250,$EV$2:$EV$1000,"Y")+COUNTIFS($EX$2:$EX$1000,EX250,$EW$2:$EW$1000,"Y")&gt;0,"Y","N"))</f>
        <v>N</v>
      </c>
      <c r="EZ250" s="0" t="str">
        <f aca="false">IF($A250="","",IF(AND(U250="new",T250="N",EW250="N",AR250="Y",EY250="N"),"Y","N"))</f>
        <v>N</v>
      </c>
      <c r="FA250" s="0" t="str">
        <f aca="false">IF($A250="","",IF(EZ250&lt;&gt;"Y","N",IF(COUNTIFS($EX$2:$EX$1000,EX250,$EZ$2:$EZ$1000,"Y",$J$2:$J$1000,"&gt;"&amp;J250)+COUNTIFS($EX$2:$EX$1000,EX250,$EZ$2:$EZ$1000,"Y",$J$2:$J$1000,J250,$FG$2:$FG$1000,"&lt;"&amp;FG250)=0,"Y","N")))</f>
        <v>N</v>
      </c>
      <c r="FB250" s="0" t="str">
        <f aca="false">IF($A250="","",IF(AND(EZ250="Y",FA250="Y",Y250&amp;""&lt;&gt;""),IF(Y250&lt;=10,"Y","N"),"N"))</f>
        <v>N</v>
      </c>
      <c r="FC250" s="0" t="str">
        <f aca="false">IF(FB250="Y",Y250,"")</f>
        <v/>
      </c>
      <c r="FD250" s="0" t="str">
        <f aca="false">IF($A250="","",IF(AND(CK250="pass",AU250="Y",AV250&lt;&gt;"Y",U250="new",EW250="N"),"Y","N"))</f>
        <v>N</v>
      </c>
      <c r="FE250" s="0" t="str">
        <f aca="false">IF(FD250&lt;&gt;"Y","",IF(COUNTIFS($FD$2:$FD$1000,"Y",$J$2:$J$1000,"&gt;"&amp;J250)+COUNTIFS($FD$2:$FD$1000,"Y",$J$2:$J$1000,J250,$FG$2:$FG$1000,"&lt;"&amp;FG250)+1&lt;=30,COUNTIFS($FD$2:$FD$1000,"Y",$J$2:$J$1000,"&gt;"&amp;J250)+COUNTIFS($FD$2:$FD$1000,"Y",$J$2:$J$1000,J250,$FG$2:$FG$1000,"&lt;"&amp;FG250)+1,""))</f>
        <v/>
      </c>
      <c r="FF250" s="0" t="str">
        <f aca="false">IF(AND(_xlfn.ISFORMULA(C250),_xlfn.ISFORMULA(J250)),"Y","N")</f>
        <v>Y</v>
      </c>
      <c r="FG250" s="0" t="n">
        <f aca="false">ROW()-1</f>
        <v>249</v>
      </c>
    </row>
    <row r="251" customFormat="false" ht="15" hidden="false" customHeight="false" outlineLevel="0" collapsed="false">
      <c r="A251" s="0" t="s">
        <v>11146</v>
      </c>
      <c r="B251" s="0" t="s">
        <v>11147</v>
      </c>
      <c r="C251" s="0" t="str">
        <f aca="false">IF($A251="","",IF(AT251="Y",BL251&amp;"",AY251&amp;""))</f>
        <v>Nicole</v>
      </c>
      <c r="D251" s="0" t="str">
        <f aca="false">IF($A251="","",IF(AT251="Y",BM251&amp;"",AZ251&amp;""))</f>
        <v>Khoury</v>
      </c>
      <c r="E251" s="0" t="str">
        <f aca="false">IF($A251="","",IF(AT251="Y",BN251&amp;"",BA251&amp;""))</f>
        <v>Co-founder</v>
      </c>
      <c r="F251" s="0" t="str">
        <f aca="false">IF($A251="","",IF(AT251="Y",BO251&amp;"",BB251&amp;""))</f>
        <v/>
      </c>
      <c r="G251" s="0" t="str">
        <f aca="false">IF($A251="","",IF(AT251="Y",BP251&amp;"",BC251&amp;""))</f>
        <v/>
      </c>
      <c r="H251" s="0" t="str">
        <f aca="false">IF($A251="","",IF(AT251="Y",BQ251&amp;"",BD251&amp;""))</f>
        <v>none</v>
      </c>
      <c r="I251" s="0" t="str">
        <f aca="false">IF($A251="","",IF(R251="Y","warm-intro",IF(H251="verified","email",IF(C251&lt;&gt;"","linkedin",CA251&amp;""))))</f>
        <v>linkedin</v>
      </c>
      <c r="J251" s="0" t="n">
        <f aca="false">IF($A251="","",IF(CK251="pass",ROUND(N(DO251)+N(DP251)+N(DQ251)+N(DR251)+N(DS251)+N(DT251)+N(DU251)+N(DV251),0),0))</f>
        <v>0</v>
      </c>
      <c r="K251" s="0" t="str">
        <f aca="false">IF($A251="","",IF(CK251&lt;&gt;"pass",BY251&amp;"",BY251&amp;", "&amp;IF(AT251="Y",BX251&amp;"",BK251&amp;"")&amp;BZ251&amp;IF(R251="Y","; known to the founder (+10)","")&amp;"."))</f>
        <v>Gated out: health-claim: Explicit health/function positioning: 'Cognitive Wellness', 'caring for your brain' (release); functional mushroom energy drink.</v>
      </c>
      <c r="M251" s="0" t="s">
        <v>6144</v>
      </c>
      <c r="N251" s="0" t="s">
        <v>740</v>
      </c>
      <c r="R251" s="5" t="s">
        <v>189</v>
      </c>
      <c r="S251" s="0" t="s">
        <v>164</v>
      </c>
      <c r="T251" s="5" t="s">
        <v>189</v>
      </c>
      <c r="U251" s="5" t="s">
        <v>3896</v>
      </c>
      <c r="V251" s="0" t="s">
        <v>11148</v>
      </c>
      <c r="W251" s="0" t="s">
        <v>263</v>
      </c>
      <c r="X251" s="0" t="s">
        <v>5578</v>
      </c>
      <c r="Y251" s="0" t="str">
        <f aca="false">IF(FA251&lt;&gt;"Y","",COUNTIFS($FA$2:$FA$1000,"Y",$J$2:$J$1000,"&gt;"&amp;J251)+COUNTIFS($FA$2:$FA$1000,"Y",$J$2:$J$1000,J251,$FG$2:$FG$1000,"&lt;"&amp;FG251)+1)</f>
        <v/>
      </c>
      <c r="AA251" s="0" t="s">
        <v>189</v>
      </c>
      <c r="AB251" s="0" t="str">
        <f aca="false">IF($A251="","",IF(AT251="Y",BW251&amp;"",BJ251&amp;""))</f>
        <v/>
      </c>
      <c r="AC251" s="0" t="str">
        <f aca="false">IF($A251="","",IF(AT251="Y",BR251&amp;"",BE251&amp;""))</f>
        <v>founder</v>
      </c>
      <c r="AD251" s="0" t="str">
        <f aca="false">IF($A251="","",IF(AT251="Y",BS251&amp;"",BF251&amp;""))</f>
        <v>verified-page</v>
      </c>
      <c r="AE251" s="0" t="str">
        <f aca="false">IF($A251="","",IF(AT251="Y",BT251&amp;"",BG251&amp;""))</f>
        <v>press, event or podcast page</v>
      </c>
      <c r="AF251" s="0" t="str">
        <f aca="false">IF($A251="","",IF(AT251="Y",BU251&amp;"",BH251&amp;""))</f>
        <v>https://startupcpg.com/startup-cpg-newswire-journee-launches-mushroom-based-drink-for-juicy-energy-cognitive-wellness/</v>
      </c>
      <c r="AG251" s="0" t="str">
        <f aca="false">IF($A251="","",IF(AT251="Y",BV251&amp;"",BI251&amp;""))</f>
        <v>2026-10-23</v>
      </c>
      <c r="AH251" s="0" t="s">
        <v>11149</v>
      </c>
      <c r="AI251" s="0" t="s">
        <v>6699</v>
      </c>
      <c r="AJ251" s="0" t="s">
        <v>11002</v>
      </c>
      <c r="AK251" s="0" t="s">
        <v>11150</v>
      </c>
      <c r="AL251" s="0" t="s">
        <v>164</v>
      </c>
      <c r="AM251" s="0" t="s">
        <v>5666</v>
      </c>
      <c r="AN251" s="0" t="s">
        <v>11146</v>
      </c>
      <c r="AO251" s="5" t="s">
        <v>189</v>
      </c>
      <c r="AR251" s="0" t="str">
        <f aca="false">IF($A251="","",IF(AND(CK251="pass",AO251&lt;&gt;"Y",C251&lt;&gt;"",OR(AU251&lt;&gt;"Y",AV251="Y")),"Y","N"))</f>
        <v>N</v>
      </c>
      <c r="AS251" s="0" t="str">
        <f aca="false">IF($A251="","",_xlfn.TEXTJOIN("; ",TRUE(),IF(CK251&lt;&gt;"pass","gated out",""),IF(AO251="Y","on hold: "&amp;AP251,""),IF(C251="","no contact named on an opened page",""),IF(AND(AU251="Y",AV251&lt;&gt;"Y"),"founder review pending (Founder review tab)","")))</f>
        <v>gated out</v>
      </c>
      <c r="AU251" s="0" t="s">
        <v>189</v>
      </c>
      <c r="AY251" s="0" t="s">
        <v>7960</v>
      </c>
      <c r="AZ251" s="0" t="s">
        <v>11151</v>
      </c>
      <c r="BA251" s="0" t="s">
        <v>5636</v>
      </c>
      <c r="BC251" s="0" t="str">
        <f aca="false">IF($A251="","",IFERROR(INDEX(Enrichment!$A$2:$GZ$2000,MATCH($A251,INDEX(Enrichment!$A$2:$GZ$2000,0,MATCH("row_id",Enrichment!$A$1:$GZ$1,0)),0),MATCH("work_email",Enrichment!$A$1:$GZ$1,0))&amp;"",""))</f>
        <v/>
      </c>
      <c r="BD251" s="0" t="str">
        <f aca="false">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none</v>
      </c>
      <c r="BE251" s="0" t="s">
        <v>5589</v>
      </c>
      <c r="BF251" s="0" t="s">
        <v>169</v>
      </c>
      <c r="BG251" s="0" t="s">
        <v>1252</v>
      </c>
      <c r="BH251" s="0" t="s">
        <v>11148</v>
      </c>
      <c r="BI251" s="0" t="s">
        <v>263</v>
      </c>
      <c r="BK251" s="0" t="s">
        <v>5643</v>
      </c>
      <c r="BP251" s="0" t="str">
        <f aca="false">IF($A251="","",IFERROR(INDEX(Enrichment!$A$2:$GZ$2000,MATCH($A251,INDEX(Enrichment!$A$2:$GZ$2000,0,MATCH("row_id",Enrichment!$A$1:$GZ$1,0)),0),MATCH("backup_work_email",Enrichment!$A$1:$GZ$1,0))&amp;"",""))</f>
        <v/>
      </c>
      <c r="BQ251" s="0" t="str">
        <f aca="false">IF($A251="","",IF(BP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none</v>
      </c>
      <c r="BS251" s="0" t="s">
        <v>380</v>
      </c>
      <c r="BX251" s="0" t="s">
        <v>388</v>
      </c>
      <c r="BY251" s="0" t="s">
        <v>11152</v>
      </c>
      <c r="CB251" s="0" t="s">
        <v>11153</v>
      </c>
      <c r="CJ251" s="0" t="s">
        <v>7088</v>
      </c>
      <c r="CK251" s="0" t="s">
        <v>4627</v>
      </c>
      <c r="CL251" s="0" t="s">
        <v>10005</v>
      </c>
      <c r="CM251" s="0" t="s">
        <v>11154</v>
      </c>
      <c r="CO251" s="0" t="s">
        <v>11150</v>
      </c>
      <c r="CP251" s="0" t="s">
        <v>5608</v>
      </c>
      <c r="CQ251" s="0" t="s">
        <v>5609</v>
      </c>
      <c r="CR251" s="0" t="s">
        <v>209</v>
      </c>
      <c r="CT251" s="0" t="s">
        <v>209</v>
      </c>
      <c r="CU251" s="0" t="s">
        <v>11155</v>
      </c>
      <c r="CV251" s="0" t="s">
        <v>164</v>
      </c>
      <c r="CW251" s="0" t="s">
        <v>164</v>
      </c>
      <c r="CX251" s="0" t="s">
        <v>209</v>
      </c>
      <c r="CZ251" s="0" t="s">
        <v>11156</v>
      </c>
      <c r="DA251" s="0" t="s">
        <v>164</v>
      </c>
      <c r="DB251" s="0" t="s">
        <v>164</v>
      </c>
      <c r="DC251" s="0" t="s">
        <v>11157</v>
      </c>
      <c r="DE251" s="0" t="s">
        <v>189</v>
      </c>
      <c r="DF251" s="0" t="n">
        <v>0</v>
      </c>
      <c r="DI251" s="0" t="s">
        <v>11158</v>
      </c>
      <c r="DK251" s="0" t="s">
        <v>380</v>
      </c>
      <c r="DM251" s="0" t="s">
        <v>11148</v>
      </c>
      <c r="DN251" s="0" t="n">
        <v>44</v>
      </c>
      <c r="DO251" s="0" t="n">
        <v>6</v>
      </c>
      <c r="DP251" s="0" t="n">
        <v>20</v>
      </c>
      <c r="DQ251" s="0" t="n">
        <v>0</v>
      </c>
      <c r="DR251" s="0" t="n">
        <v>5</v>
      </c>
      <c r="DS251" s="0" t="n">
        <v>7</v>
      </c>
      <c r="DT251" s="0" t="n">
        <v>6</v>
      </c>
      <c r="DU251" s="0" t="n">
        <f aca="false">IF($A251="","",IF(R251="Y",10,0))</f>
        <v>0</v>
      </c>
      <c r="DV251" s="0" t="n">
        <v>0</v>
      </c>
      <c r="DX251" s="0" t="s">
        <v>5619</v>
      </c>
      <c r="DY251" s="0" t="s">
        <v>11159</v>
      </c>
      <c r="DZ251" s="0" t="s">
        <v>11160</v>
      </c>
      <c r="EV251" s="0" t="str">
        <f aca="false">IF($A251="","",IF(ISNUMBER(MATCH(U251,{"queued","contacted","replied","call_booked","call_done","yes_in_principle","materials_sent"},0)),"Y","N"))</f>
        <v>N</v>
      </c>
      <c r="EW251" s="0" t="str">
        <f aca="false">IF($A251="","",IF(OR(T251="Y",U251="do_not_contact",AQ251&amp;""&lt;&gt;""),"Y","N"))</f>
        <v>N</v>
      </c>
      <c r="EX251" s="0" t="str">
        <f aca="false">IF($A251="","",IF(AN251&amp;""&lt;&gt;"",AN251&amp;"",$A251))</f>
        <v>AB-232</v>
      </c>
      <c r="EY251" s="0" t="str">
        <f aca="false">IF($A251="","",IF(COUNTIFS($EX$2:$EX$1000,EX251,$EV$2:$EV$1000,"Y")+COUNTIFS($EX$2:$EX$1000,EX251,$EW$2:$EW$1000,"Y")&gt;0,"Y","N"))</f>
        <v>N</v>
      </c>
      <c r="EZ251" s="0" t="str">
        <f aca="false">IF($A251="","",IF(AND(U251="new",T251="N",EW251="N",AR251="Y",EY251="N"),"Y","N"))</f>
        <v>N</v>
      </c>
      <c r="FA251" s="0" t="str">
        <f aca="false">IF($A251="","",IF(EZ251&lt;&gt;"Y","N",IF(COUNTIFS($EX$2:$EX$1000,EX251,$EZ$2:$EZ$1000,"Y",$J$2:$J$1000,"&gt;"&amp;J251)+COUNTIFS($EX$2:$EX$1000,EX251,$EZ$2:$EZ$1000,"Y",$J$2:$J$1000,J251,$FG$2:$FG$1000,"&lt;"&amp;FG251)=0,"Y","N")))</f>
        <v>N</v>
      </c>
      <c r="FB251" s="0" t="str">
        <f aca="false">IF($A251="","",IF(AND(EZ251="Y",FA251="Y",Y251&amp;""&lt;&gt;""),IF(Y251&lt;=10,"Y","N"),"N"))</f>
        <v>N</v>
      </c>
      <c r="FC251" s="0" t="str">
        <f aca="false">IF(FB251="Y",Y251,"")</f>
        <v/>
      </c>
      <c r="FD251" s="0" t="str">
        <f aca="false">IF($A251="","",IF(AND(CK251="pass",AU251="Y",AV251&lt;&gt;"Y",U251="new",EW251="N"),"Y","N"))</f>
        <v>N</v>
      </c>
      <c r="FE251" s="0" t="str">
        <f aca="false">IF(FD251&lt;&gt;"Y","",IF(COUNTIFS($FD$2:$FD$1000,"Y",$J$2:$J$1000,"&gt;"&amp;J251)+COUNTIFS($FD$2:$FD$1000,"Y",$J$2:$J$1000,J251,$FG$2:$FG$1000,"&lt;"&amp;FG251)+1&lt;=30,COUNTIFS($FD$2:$FD$1000,"Y",$J$2:$J$1000,"&gt;"&amp;J251)+COUNTIFS($FD$2:$FD$1000,"Y",$J$2:$J$1000,J251,$FG$2:$FG$1000,"&lt;"&amp;FG251)+1,""))</f>
        <v/>
      </c>
      <c r="FF251" s="0" t="str">
        <f aca="false">IF(AND(_xlfn.ISFORMULA(C251),_xlfn.ISFORMULA(J251)),"Y","N")</f>
        <v>Y</v>
      </c>
      <c r="FG251" s="0" t="n">
        <f aca="false">ROW()-1</f>
        <v>250</v>
      </c>
    </row>
    <row r="252" customFormat="false" ht="15" hidden="false" customHeight="false" outlineLevel="0" collapsed="false">
      <c r="A252" s="0" t="s">
        <v>11161</v>
      </c>
      <c r="B252" s="0" t="s">
        <v>11162</v>
      </c>
      <c r="C252" s="0" t="str">
        <f aca="false">IF($A252="","",IF(AT252="Y",BL252&amp;"",AY252&amp;""))</f>
        <v>Chris</v>
      </c>
      <c r="D252" s="0" t="str">
        <f aca="false">IF($A252="","",IF(AT252="Y",BM252&amp;"",AZ252&amp;""))</f>
        <v>Woehrle</v>
      </c>
      <c r="E252" s="0" t="str">
        <f aca="false">IF($A252="","",IF(AT252="Y",BN252&amp;"",BA252&amp;""))</f>
        <v>Co-founder</v>
      </c>
      <c r="F252" s="0" t="str">
        <f aca="false">IF($A252="","",IF(AT252="Y",BO252&amp;"",BB252&amp;""))</f>
        <v/>
      </c>
      <c r="G252" s="0" t="str">
        <f aca="false">IF($A252="","",IF(AT252="Y",BP252&amp;"",BC252&amp;""))</f>
        <v/>
      </c>
      <c r="H252" s="0" t="str">
        <f aca="false">IF($A252="","",IF(AT252="Y",BQ252&amp;"",BD252&amp;""))</f>
        <v>none</v>
      </c>
      <c r="I252" s="0" t="str">
        <f aca="false">IF($A252="","",IF(R252="Y","warm-intro",IF(H252="verified","email",IF(C252&lt;&gt;"","linkedin",CA252&amp;""))))</f>
        <v>linkedin</v>
      </c>
      <c r="J252" s="0" t="n">
        <f aca="false">IF($A252="","",IF(CK252="pass",ROUND(N(DO252)+N(DP252)+N(DQ252)+N(DR252)+N(DS252)+N(DT252)+N(DU252)+N(DV252),0),0))</f>
        <v>0</v>
      </c>
      <c r="K252" s="0" t="str">
        <f aca="false">IF($A252="","",IF(CK252&lt;&gt;"pass",BY252&amp;"",BY252&amp;", "&amp;IF(AT252="Y",BX252&amp;"",BK252&amp;"")&amp;BZ252&amp;IF(R252="Y","; known to the founder (+10)","")&amp;"."))</f>
        <v>Gated out: no-buy-path: No working online store (kingscountyjerky.com returned HTTP 521 on 2026-10-23) and no retailer found near cluster; may be inactive.</v>
      </c>
      <c r="M252" s="0" t="s">
        <v>6144</v>
      </c>
      <c r="N252" s="0" t="s">
        <v>740</v>
      </c>
      <c r="R252" s="5" t="s">
        <v>189</v>
      </c>
      <c r="S252" s="0" t="s">
        <v>209</v>
      </c>
      <c r="T252" s="5" t="s">
        <v>189</v>
      </c>
      <c r="U252" s="5" t="s">
        <v>3896</v>
      </c>
      <c r="V252" s="0" t="s">
        <v>11163</v>
      </c>
      <c r="W252" s="0" t="s">
        <v>263</v>
      </c>
      <c r="X252" s="0" t="s">
        <v>5578</v>
      </c>
      <c r="Y252" s="0" t="str">
        <f aca="false">IF(FA252&lt;&gt;"Y","",COUNTIFS($FA$2:$FA$1000,"Y",$J$2:$J$1000,"&gt;"&amp;J252)+COUNTIFS($FA$2:$FA$1000,"Y",$J$2:$J$1000,J252,$FG$2:$FG$1000,"&lt;"&amp;FG252)+1)</f>
        <v/>
      </c>
      <c r="AA252" s="0" t="s">
        <v>189</v>
      </c>
      <c r="AB252" s="0" t="str">
        <f aca="false">IF($A252="","",IF(AT252="Y",BW252&amp;"",BJ252&amp;""))</f>
        <v/>
      </c>
      <c r="AC252" s="0" t="str">
        <f aca="false">IF($A252="","",IF(AT252="Y",BR252&amp;"",BE252&amp;""))</f>
        <v>founder</v>
      </c>
      <c r="AD252" s="0" t="str">
        <f aca="false">IF($A252="","",IF(AT252="Y",BS252&amp;"",BF252&amp;""))</f>
        <v>verified-page</v>
      </c>
      <c r="AE252" s="0" t="str">
        <f aca="false">IF($A252="","",IF(AT252="Y",BT252&amp;"",BG252&amp;""))</f>
        <v>unknown</v>
      </c>
      <c r="AF252" s="0" t="str">
        <f aca="false">IF($A252="","",IF(AT252="Y",BU252&amp;"",BH252&amp;""))</f>
        <v/>
      </c>
      <c r="AG252" s="0" t="str">
        <f aca="false">IF($A252="","",IF(AT252="Y",BV252&amp;"",BI252&amp;""))</f>
        <v>2026-10-23</v>
      </c>
      <c r="AH252" s="0" t="s">
        <v>11164</v>
      </c>
      <c r="AI252" s="0" t="s">
        <v>6306</v>
      </c>
      <c r="AJ252" s="0" t="s">
        <v>5631</v>
      </c>
      <c r="AL252" s="0" t="s">
        <v>164</v>
      </c>
      <c r="AM252" s="0" t="s">
        <v>10604</v>
      </c>
      <c r="AN252" s="0" t="s">
        <v>11161</v>
      </c>
      <c r="AO252" s="5" t="s">
        <v>189</v>
      </c>
      <c r="AR252" s="0" t="str">
        <f aca="false">IF($A252="","",IF(AND(CK252="pass",AO252&lt;&gt;"Y",C252&lt;&gt;"",OR(AU252&lt;&gt;"Y",AV252="Y")),"Y","N"))</f>
        <v>N</v>
      </c>
      <c r="AS252" s="0" t="str">
        <f aca="false">IF($A252="","",_xlfn.TEXTJOIN("; ",TRUE(),IF(CK252&lt;&gt;"pass","gated out",""),IF(AO252="Y","on hold: "&amp;AP252,""),IF(C252="","no contact named on an opened page",""),IF(AND(AU252="Y",AV252&lt;&gt;"Y"),"founder review pending (Founder review tab)","")))</f>
        <v>gated out</v>
      </c>
      <c r="AU252" s="0" t="s">
        <v>189</v>
      </c>
      <c r="AY252" s="0" t="s">
        <v>5951</v>
      </c>
      <c r="AZ252" s="0" t="s">
        <v>11165</v>
      </c>
      <c r="BA252" s="0" t="s">
        <v>5636</v>
      </c>
      <c r="BC252" s="0" t="str">
        <f aca="false">IF($A252="","",IFERROR(INDEX(Enrichment!$A$2:$GZ$2000,MATCH($A252,INDEX(Enrichment!$A$2:$GZ$2000,0,MATCH("row_id",Enrichment!$A$1:$GZ$1,0)),0),MATCH("work_email",Enrichment!$A$1:$GZ$1,0))&amp;"",""))</f>
        <v/>
      </c>
      <c r="BD252" s="0" t="str">
        <f aca="false">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none</v>
      </c>
      <c r="BE252" s="0" t="s">
        <v>5589</v>
      </c>
      <c r="BF252" s="0" t="s">
        <v>169</v>
      </c>
      <c r="BG252" s="0" t="s">
        <v>209</v>
      </c>
      <c r="BI252" s="0" t="s">
        <v>263</v>
      </c>
      <c r="BK252" s="0" t="s">
        <v>5643</v>
      </c>
      <c r="BL252" s="0" t="s">
        <v>6245</v>
      </c>
      <c r="BM252" s="0" t="s">
        <v>11166</v>
      </c>
      <c r="BN252" s="0" t="s">
        <v>5636</v>
      </c>
      <c r="BP252" s="0" t="str">
        <f aca="false">IF($A252="","",IFERROR(INDEX(Enrichment!$A$2:$GZ$2000,MATCH($A252,INDEX(Enrichment!$A$2:$GZ$2000,0,MATCH("row_id",Enrichment!$A$1:$GZ$1,0)),0),MATCH("backup_work_email",Enrichment!$A$1:$GZ$1,0))&amp;"",""))</f>
        <v/>
      </c>
      <c r="BQ252" s="0" t="str">
        <f aca="false">IF($A252="","",IF(BP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none</v>
      </c>
      <c r="BR252" s="0" t="s">
        <v>7748</v>
      </c>
      <c r="BS252" s="0" t="s">
        <v>169</v>
      </c>
      <c r="BT252" s="0" t="s">
        <v>209</v>
      </c>
      <c r="BV252" s="0" t="s">
        <v>263</v>
      </c>
      <c r="BX252" s="0" t="s">
        <v>5643</v>
      </c>
      <c r="BY252" s="0" t="s">
        <v>11167</v>
      </c>
      <c r="CB252" s="0" t="s">
        <v>11168</v>
      </c>
      <c r="CF252" s="0" t="s">
        <v>11169</v>
      </c>
      <c r="CJ252" s="0" t="s">
        <v>7088</v>
      </c>
      <c r="CK252" s="0" t="s">
        <v>4627</v>
      </c>
      <c r="CL252" s="0" t="s">
        <v>10545</v>
      </c>
      <c r="CM252" s="0" t="s">
        <v>11170</v>
      </c>
      <c r="CN252" s="0" t="s">
        <v>5774</v>
      </c>
      <c r="CO252" s="0" t="s">
        <v>11163</v>
      </c>
      <c r="CP252" s="0" t="s">
        <v>5608</v>
      </c>
      <c r="CQ252" s="0" t="s">
        <v>5609</v>
      </c>
      <c r="CR252" s="0" t="s">
        <v>209</v>
      </c>
      <c r="CT252" s="0" t="s">
        <v>209</v>
      </c>
      <c r="CV252" s="0" t="s">
        <v>209</v>
      </c>
      <c r="CW252" s="0" t="s">
        <v>189</v>
      </c>
      <c r="CX252" s="0" t="s">
        <v>209</v>
      </c>
      <c r="CZ252" s="0" t="s">
        <v>209</v>
      </c>
      <c r="DA252" s="0" t="s">
        <v>189</v>
      </c>
      <c r="DB252" s="0" t="s">
        <v>164</v>
      </c>
      <c r="DC252" s="0" t="s">
        <v>11171</v>
      </c>
      <c r="DE252" s="0" t="s">
        <v>189</v>
      </c>
      <c r="DF252" s="0" t="n">
        <v>0</v>
      </c>
      <c r="DJ252" s="0" t="s">
        <v>11172</v>
      </c>
      <c r="DK252" s="0" t="s">
        <v>380</v>
      </c>
      <c r="DN252" s="0" t="n">
        <v>33</v>
      </c>
      <c r="DO252" s="0" t="n">
        <v>0</v>
      </c>
      <c r="DP252" s="0" t="n">
        <v>20</v>
      </c>
      <c r="DQ252" s="0" t="n">
        <v>0</v>
      </c>
      <c r="DR252" s="0" t="n">
        <v>5</v>
      </c>
      <c r="DS252" s="0" t="n">
        <v>2</v>
      </c>
      <c r="DT252" s="0" t="n">
        <v>6</v>
      </c>
      <c r="DU252" s="0" t="n">
        <f aca="false">IF($A252="","",IF(R252="Y",10,0))</f>
        <v>0</v>
      </c>
      <c r="DV252" s="0" t="n">
        <v>0</v>
      </c>
      <c r="DW252" s="0" t="s">
        <v>209</v>
      </c>
      <c r="DX252" s="0" t="s">
        <v>5814</v>
      </c>
      <c r="DY252" s="0" t="s">
        <v>11173</v>
      </c>
      <c r="DZ252" s="0" t="s">
        <v>11174</v>
      </c>
      <c r="EV252" s="0" t="str">
        <f aca="false">IF($A252="","",IF(ISNUMBER(MATCH(U252,{"queued","contacted","replied","call_booked","call_done","yes_in_principle","materials_sent"},0)),"Y","N"))</f>
        <v>N</v>
      </c>
      <c r="EW252" s="0" t="str">
        <f aca="false">IF($A252="","",IF(OR(T252="Y",U252="do_not_contact",AQ252&amp;""&lt;&gt;""),"Y","N"))</f>
        <v>N</v>
      </c>
      <c r="EX252" s="0" t="str">
        <f aca="false">IF($A252="","",IF(AN252&amp;""&lt;&gt;"",AN252&amp;"",$A252))</f>
        <v>AB-005</v>
      </c>
      <c r="EY252" s="0" t="str">
        <f aca="false">IF($A252="","",IF(COUNTIFS($EX$2:$EX$1000,EX252,$EV$2:$EV$1000,"Y")+COUNTIFS($EX$2:$EX$1000,EX252,$EW$2:$EW$1000,"Y")&gt;0,"Y","N"))</f>
        <v>N</v>
      </c>
      <c r="EZ252" s="0" t="str">
        <f aca="false">IF($A252="","",IF(AND(U252="new",T252="N",EW252="N",AR252="Y",EY252="N"),"Y","N"))</f>
        <v>N</v>
      </c>
      <c r="FA252" s="0" t="str">
        <f aca="false">IF($A252="","",IF(EZ252&lt;&gt;"Y","N",IF(COUNTIFS($EX$2:$EX$1000,EX252,$EZ$2:$EZ$1000,"Y",$J$2:$J$1000,"&gt;"&amp;J252)+COUNTIFS($EX$2:$EX$1000,EX252,$EZ$2:$EZ$1000,"Y",$J$2:$J$1000,J252,$FG$2:$FG$1000,"&lt;"&amp;FG252)=0,"Y","N")))</f>
        <v>N</v>
      </c>
      <c r="FB252" s="0" t="str">
        <f aca="false">IF($A252="","",IF(AND(EZ252="Y",FA252="Y",Y252&amp;""&lt;&gt;""),IF(Y252&lt;=10,"Y","N"),"N"))</f>
        <v>N</v>
      </c>
      <c r="FC252" s="0" t="str">
        <f aca="false">IF(FB252="Y",Y252,"")</f>
        <v/>
      </c>
      <c r="FD252" s="0" t="str">
        <f aca="false">IF($A252="","",IF(AND(CK252="pass",AU252="Y",AV252&lt;&gt;"Y",U252="new",EW252="N"),"Y","N"))</f>
        <v>N</v>
      </c>
      <c r="FE252" s="0" t="str">
        <f aca="false">IF(FD252&lt;&gt;"Y","",IF(COUNTIFS($FD$2:$FD$1000,"Y",$J$2:$J$1000,"&gt;"&amp;J252)+COUNTIFS($FD$2:$FD$1000,"Y",$J$2:$J$1000,J252,$FG$2:$FG$1000,"&lt;"&amp;FG252)+1&lt;=30,COUNTIFS($FD$2:$FD$1000,"Y",$J$2:$J$1000,"&gt;"&amp;J252)+COUNTIFS($FD$2:$FD$1000,"Y",$J$2:$J$1000,J252,$FG$2:$FG$1000,"&lt;"&amp;FG252)+1,""))</f>
        <v/>
      </c>
      <c r="FF252" s="0" t="str">
        <f aca="false">IF(AND(_xlfn.ISFORMULA(C252),_xlfn.ISFORMULA(J252)),"Y","N")</f>
        <v>Y</v>
      </c>
      <c r="FG252" s="0" t="n">
        <f aca="false">ROW()-1</f>
        <v>251</v>
      </c>
    </row>
    <row r="253" customFormat="false" ht="15" hidden="false" customHeight="false" outlineLevel="0" collapsed="false">
      <c r="A253" s="0" t="s">
        <v>11175</v>
      </c>
      <c r="B253" s="0" t="s">
        <v>11176</v>
      </c>
      <c r="C253" s="0" t="str">
        <f aca="false">IF($A253="","",IF(AT253="Y",BL253&amp;"",AY253&amp;""))</f>
        <v>Karen</v>
      </c>
      <c r="D253" s="0" t="str">
        <f aca="false">IF($A253="","",IF(AT253="Y",BM253&amp;"",AZ253&amp;""))</f>
        <v>Getz</v>
      </c>
      <c r="E253" s="0" t="str">
        <f aca="false">IF($A253="","",IF(AT253="Y",BN253&amp;"",BA253&amp;""))</f>
        <v>Founder</v>
      </c>
      <c r="F253" s="0" t="str">
        <f aca="false">IF($A253="","",IF(AT253="Y",BO253&amp;"",BB253&amp;""))</f>
        <v/>
      </c>
      <c r="G253" s="0" t="str">
        <f aca="false">IF($A253="","",IF(AT253="Y",BP253&amp;"",BC253&amp;""))</f>
        <v/>
      </c>
      <c r="H253" s="0" t="str">
        <f aca="false">IF($A253="","",IF(AT253="Y",BQ253&amp;"",BD253&amp;""))</f>
        <v>none</v>
      </c>
      <c r="I253" s="0" t="str">
        <f aca="false">IF($A253="","",IF(R253="Y","warm-intro",IF(H253="verified","email",IF(C253&lt;&gt;"","linkedin",CA253&amp;""))))</f>
        <v>linkedin</v>
      </c>
      <c r="J253" s="0" t="n">
        <f aca="false">IF($A253="","",IF(CK253="pass",ROUND(N(DO253)+N(DP253)+N(DQ253)+N(DR253)+N(DS253)+N(DT253)+N(DU253)+N(DV253),0),0))</f>
        <v>0</v>
      </c>
      <c r="K253" s="0" t="str">
        <f aca="false">IF($A253="","",IF(CK253&lt;&gt;"pass",BY253&amp;"",BY253&amp;", "&amp;IF(AT253="Y",BX253&amp;"",BK253&amp;"")&amp;BZ253&amp;IF(R253="Y","; known to the founder (+10)","")&amp;"."))</f>
        <v>Gated out: health-claim: explicit health claim on the brand's homepage (opened 2026-10-24): buckwheat is 'gluten-free, grain-free, low glycemic, anti-inflammatory, rich in.</v>
      </c>
      <c r="M253" s="0" t="s">
        <v>5625</v>
      </c>
      <c r="N253" s="0" t="s">
        <v>740</v>
      </c>
      <c r="R253" s="5" t="s">
        <v>189</v>
      </c>
      <c r="S253" s="0" t="s">
        <v>209</v>
      </c>
      <c r="T253" s="5" t="s">
        <v>189</v>
      </c>
      <c r="U253" s="5" t="s">
        <v>3896</v>
      </c>
      <c r="V253" s="0" t="s">
        <v>11177</v>
      </c>
      <c r="W253" s="0" t="s">
        <v>263</v>
      </c>
      <c r="X253" s="0" t="s">
        <v>5578</v>
      </c>
      <c r="Y253" s="0" t="str">
        <f aca="false">IF(FA253&lt;&gt;"Y","",COUNTIFS($FA$2:$FA$1000,"Y",$J$2:$J$1000,"&gt;"&amp;J253)+COUNTIFS($FA$2:$FA$1000,"Y",$J$2:$J$1000,J253,$FG$2:$FG$1000,"&lt;"&amp;FG253)+1)</f>
        <v/>
      </c>
      <c r="AA253" s="0" t="s">
        <v>189</v>
      </c>
      <c r="AB253" s="0" t="str">
        <f aca="false">IF($A253="","",IF(AT253="Y",BW253&amp;"",BJ253&amp;""))</f>
        <v/>
      </c>
      <c r="AC253" s="0" t="str">
        <f aca="false">IF($A253="","",IF(AT253="Y",BR253&amp;"",BE253&amp;""))</f>
        <v>founder</v>
      </c>
      <c r="AD253" s="0" t="str">
        <f aca="false">IF($A253="","",IF(AT253="Y",BS253&amp;"",BF253&amp;""))</f>
        <v>verified-page</v>
      </c>
      <c r="AE253" s="0" t="str">
        <f aca="false">IF($A253="","",IF(AT253="Y",BT253&amp;"",BG253&amp;""))</f>
        <v>employer's own site</v>
      </c>
      <c r="AF253" s="0" t="str">
        <f aca="false">IF($A253="","",IF(AT253="Y",BU253&amp;"",BH253&amp;""))</f>
        <v>https://www.mainecrisp.com/pages/about-us</v>
      </c>
      <c r="AG253" s="0" t="str">
        <f aca="false">IF($A253="","",IF(AT253="Y",BV253&amp;"",BI253&amp;""))</f>
        <v>2026-10-23</v>
      </c>
      <c r="AH253" s="0" t="s">
        <v>11178</v>
      </c>
      <c r="AI253" s="0" t="s">
        <v>5630</v>
      </c>
      <c r="AJ253" s="0" t="s">
        <v>11179</v>
      </c>
      <c r="AK253" s="0" t="s">
        <v>11180</v>
      </c>
      <c r="AL253" s="0" t="s">
        <v>164</v>
      </c>
      <c r="AM253" s="0" t="s">
        <v>7540</v>
      </c>
      <c r="AN253" s="0" t="s">
        <v>11175</v>
      </c>
      <c r="AO253" s="5" t="s">
        <v>189</v>
      </c>
      <c r="AR253" s="0" t="str">
        <f aca="false">IF($A253="","",IF(AND(CK253="pass",AO253&lt;&gt;"Y",C253&lt;&gt;"",OR(AU253&lt;&gt;"Y",AV253="Y")),"Y","N"))</f>
        <v>N</v>
      </c>
      <c r="AS253" s="0" t="str">
        <f aca="false">IF($A253="","",_xlfn.TEXTJOIN("; ",TRUE(),IF(CK253&lt;&gt;"pass","gated out",""),IF(AO253="Y","on hold: "&amp;AP253,""),IF(C253="","no contact named on an opened page",""),IF(AND(AU253="Y",AV253&lt;&gt;"Y"),"founder review pending (Founder review tab)","")))</f>
        <v>gated out; founder review pending (Founder review tab)</v>
      </c>
      <c r="AU253" s="0" t="s">
        <v>164</v>
      </c>
      <c r="AY253" s="0" t="s">
        <v>1498</v>
      </c>
      <c r="AZ253" s="0" t="s">
        <v>11181</v>
      </c>
      <c r="BA253" s="0" t="s">
        <v>5739</v>
      </c>
      <c r="BC253" s="0" t="str">
        <f aca="false">IF($A253="","",IFERROR(INDEX(Enrichment!$A$2:$GZ$2000,MATCH($A253,INDEX(Enrichment!$A$2:$GZ$2000,0,MATCH("row_id",Enrichment!$A$1:$GZ$1,0)),0),MATCH("work_email",Enrichment!$A$1:$GZ$1,0))&amp;"",""))</f>
        <v/>
      </c>
      <c r="BD253" s="0" t="str">
        <f aca="false">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none</v>
      </c>
      <c r="BE253" s="0" t="s">
        <v>5589</v>
      </c>
      <c r="BF253" s="0" t="s">
        <v>169</v>
      </c>
      <c r="BG253" s="0" t="s">
        <v>170</v>
      </c>
      <c r="BH253" s="0" t="s">
        <v>11182</v>
      </c>
      <c r="BI253" s="0" t="s">
        <v>263</v>
      </c>
      <c r="BK253" s="0" t="s">
        <v>5643</v>
      </c>
      <c r="BP253" s="0" t="str">
        <f aca="false">IF($A253="","",IFERROR(INDEX(Enrichment!$A$2:$GZ$2000,MATCH($A253,INDEX(Enrichment!$A$2:$GZ$2000,0,MATCH("row_id",Enrichment!$A$1:$GZ$1,0)),0),MATCH("backup_work_email",Enrichment!$A$1:$GZ$1,0))&amp;"",""))</f>
        <v/>
      </c>
      <c r="BQ253" s="0" t="str">
        <f aca="false">IF($A253="","",IF(BP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none</v>
      </c>
      <c r="BS253" s="0" t="s">
        <v>380</v>
      </c>
      <c r="BX253" s="0" t="s">
        <v>388</v>
      </c>
      <c r="BY253" s="0" t="s">
        <v>11183</v>
      </c>
      <c r="CB253" s="0" t="s">
        <v>11184</v>
      </c>
      <c r="CJ253" s="0" t="s">
        <v>7088</v>
      </c>
      <c r="CK253" s="0" t="s">
        <v>4627</v>
      </c>
      <c r="CL253" s="0" t="s">
        <v>10005</v>
      </c>
      <c r="CM253" s="0" t="s">
        <v>11185</v>
      </c>
      <c r="CN253" s="0" t="s">
        <v>5808</v>
      </c>
      <c r="CO253" s="0" t="s">
        <v>11180</v>
      </c>
      <c r="CP253" s="0" t="s">
        <v>8142</v>
      </c>
      <c r="CQ253" s="0" t="s">
        <v>6084</v>
      </c>
      <c r="CR253" s="0" t="s">
        <v>209</v>
      </c>
      <c r="CT253" s="0" t="s">
        <v>164</v>
      </c>
      <c r="CU253" s="0" t="s">
        <v>11186</v>
      </c>
      <c r="CV253" s="0" t="s">
        <v>189</v>
      </c>
      <c r="CW253" s="0" t="s">
        <v>164</v>
      </c>
      <c r="CX253" s="0" t="s">
        <v>209</v>
      </c>
      <c r="CZ253" s="0" t="s">
        <v>209</v>
      </c>
      <c r="DA253" s="0" t="s">
        <v>189</v>
      </c>
      <c r="DB253" s="0" t="s">
        <v>164</v>
      </c>
      <c r="DC253" s="0" t="s">
        <v>11187</v>
      </c>
      <c r="DD253" s="0" t="n">
        <v>0</v>
      </c>
      <c r="DE253" s="0" t="s">
        <v>164</v>
      </c>
      <c r="DF253" s="0" t="n">
        <v>0</v>
      </c>
      <c r="DG253" s="0" t="s">
        <v>11188</v>
      </c>
      <c r="DI253" s="0" t="s">
        <v>6054</v>
      </c>
      <c r="DJ253" s="0" t="s">
        <v>11189</v>
      </c>
      <c r="DK253" s="0" t="s">
        <v>380</v>
      </c>
      <c r="DN253" s="0" t="n">
        <v>28</v>
      </c>
      <c r="DO253" s="0" t="n">
        <v>6</v>
      </c>
      <c r="DP253" s="0" t="n">
        <v>8</v>
      </c>
      <c r="DQ253" s="0" t="n">
        <v>0</v>
      </c>
      <c r="DR253" s="0" t="n">
        <v>5</v>
      </c>
      <c r="DS253" s="0" t="n">
        <v>7</v>
      </c>
      <c r="DT253" s="0" t="n">
        <v>6</v>
      </c>
      <c r="DU253" s="0" t="n">
        <f aca="false">IF($A253="","",IF(R253="Y",10,0))</f>
        <v>0</v>
      </c>
      <c r="DV253" s="0" t="n">
        <v>-4</v>
      </c>
      <c r="DW253" s="0" t="s">
        <v>209</v>
      </c>
      <c r="DX253" s="0" t="s">
        <v>5814</v>
      </c>
      <c r="DY253" s="0" t="s">
        <v>11190</v>
      </c>
      <c r="DZ253" s="0" t="s">
        <v>11191</v>
      </c>
      <c r="EA253" s="0" t="s">
        <v>11192</v>
      </c>
      <c r="EV253" s="0" t="str">
        <f aca="false">IF($A253="","",IF(ISNUMBER(MATCH(U253,{"queued","contacted","replied","call_booked","call_done","yes_in_principle","materials_sent"},0)),"Y","N"))</f>
        <v>N</v>
      </c>
      <c r="EW253" s="0" t="str">
        <f aca="false">IF($A253="","",IF(OR(T253="Y",U253="do_not_contact",AQ253&amp;""&lt;&gt;""),"Y","N"))</f>
        <v>N</v>
      </c>
      <c r="EX253" s="0" t="str">
        <f aca="false">IF($A253="","",IF(AN253&amp;""&lt;&gt;"",AN253&amp;"",$A253))</f>
        <v>AB-030</v>
      </c>
      <c r="EY253" s="0" t="str">
        <f aca="false">IF($A253="","",IF(COUNTIFS($EX$2:$EX$1000,EX253,$EV$2:$EV$1000,"Y")+COUNTIFS($EX$2:$EX$1000,EX253,$EW$2:$EW$1000,"Y")&gt;0,"Y","N"))</f>
        <v>N</v>
      </c>
      <c r="EZ253" s="0" t="str">
        <f aca="false">IF($A253="","",IF(AND(U253="new",T253="N",EW253="N",AR253="Y",EY253="N"),"Y","N"))</f>
        <v>N</v>
      </c>
      <c r="FA253" s="0" t="str">
        <f aca="false">IF($A253="","",IF(EZ253&lt;&gt;"Y","N",IF(COUNTIFS($EX$2:$EX$1000,EX253,$EZ$2:$EZ$1000,"Y",$J$2:$J$1000,"&gt;"&amp;J253)+COUNTIFS($EX$2:$EX$1000,EX253,$EZ$2:$EZ$1000,"Y",$J$2:$J$1000,J253,$FG$2:$FG$1000,"&lt;"&amp;FG253)=0,"Y","N")))</f>
        <v>N</v>
      </c>
      <c r="FB253" s="0" t="str">
        <f aca="false">IF($A253="","",IF(AND(EZ253="Y",FA253="Y",Y253&amp;""&lt;&gt;""),IF(Y253&lt;=10,"Y","N"),"N"))</f>
        <v>N</v>
      </c>
      <c r="FC253" s="0" t="str">
        <f aca="false">IF(FB253="Y",Y253,"")</f>
        <v/>
      </c>
      <c r="FD253" s="0" t="str">
        <f aca="false">IF($A253="","",IF(AND(CK253="pass",AU253="Y",AV253&lt;&gt;"Y",U253="new",EW253="N"),"Y","N"))</f>
        <v>N</v>
      </c>
      <c r="FE253" s="0" t="str">
        <f aca="false">IF(FD253&lt;&gt;"Y","",IF(COUNTIFS($FD$2:$FD$1000,"Y",$J$2:$J$1000,"&gt;"&amp;J253)+COUNTIFS($FD$2:$FD$1000,"Y",$J$2:$J$1000,J253,$FG$2:$FG$1000,"&lt;"&amp;FG253)+1&lt;=30,COUNTIFS($FD$2:$FD$1000,"Y",$J$2:$J$1000,"&gt;"&amp;J253)+COUNTIFS($FD$2:$FD$1000,"Y",$J$2:$J$1000,J253,$FG$2:$FG$1000,"&lt;"&amp;FG253)+1,""))</f>
        <v/>
      </c>
      <c r="FF253" s="0" t="str">
        <f aca="false">IF(AND(_xlfn.ISFORMULA(C253),_xlfn.ISFORMULA(J253)),"Y","N")</f>
        <v>Y</v>
      </c>
      <c r="FG253" s="0" t="n">
        <f aca="false">ROW()-1</f>
        <v>252</v>
      </c>
    </row>
    <row r="254" customFormat="false" ht="15" hidden="false" customHeight="false" outlineLevel="0" collapsed="false">
      <c r="A254" s="0" t="s">
        <v>11193</v>
      </c>
      <c r="B254" s="0" t="s">
        <v>11194</v>
      </c>
      <c r="C254" s="0" t="str">
        <f aca="false">IF($A254="","",IF(AT254="Y",BL254&amp;"",AY254&amp;""))</f>
        <v>Martin</v>
      </c>
      <c r="D254" s="0" t="str">
        <f aca="false">IF($A254="","",IF(AT254="Y",BM254&amp;"",AZ254&amp;""))</f>
        <v>Sidor</v>
      </c>
      <c r="E254" s="0" t="str">
        <f aca="false">IF($A254="","",IF(AT254="Y",BN254&amp;"",BA254&amp;""))</f>
        <v>Farmer and owner, Martin Sidor Farms</v>
      </c>
      <c r="F254" s="0" t="str">
        <f aca="false">IF($A254="","",IF(AT254="Y",BO254&amp;"",BB254&amp;""))</f>
        <v/>
      </c>
      <c r="G254" s="0" t="str">
        <f aca="false">IF($A254="","",IF(AT254="Y",BP254&amp;"",BC254&amp;""))</f>
        <v/>
      </c>
      <c r="H254" s="0" t="str">
        <f aca="false">IF($A254="","",IF(AT254="Y",BQ254&amp;"",BD254&amp;""))</f>
        <v>none</v>
      </c>
      <c r="I254" s="0" t="str">
        <f aca="false">IF($A254="","",IF(R254="Y","warm-intro",IF(H254="verified","email",IF(C254&lt;&gt;"","linkedin",CA254&amp;""))))</f>
        <v>linkedin</v>
      </c>
      <c r="J254" s="0" t="n">
        <f aca="false">IF($A254="","",IF(CK254="pass",ROUND(N(DO254)+N(DP254)+N(DQ254)+N(DR254)+N(DS254)+N(DT254)+N(DU254)+N(DV254),0),0))</f>
        <v>0</v>
      </c>
      <c r="K254" s="0" t="str">
        <f aca="false">IF($A254="","",IF(CK254&lt;&gt;"pass",BY254&amp;"",BY254&amp;", "&amp;IF(AT254="Y",BX254&amp;"",BK254&amp;"")&amp;BZ254&amp;IF(R254="Y","; known to the founder (+10)","")&amp;"."))</f>
        <v>Gated out: health-claim: explicit health claim in the brand's own copy (opened 2026-10-24): 'This Heart-Healthy oil is also proven to lower cholesterol levels' (https://no.</v>
      </c>
      <c r="M254" s="0" t="s">
        <v>6144</v>
      </c>
      <c r="N254" s="0" t="s">
        <v>740</v>
      </c>
      <c r="R254" s="5" t="s">
        <v>189</v>
      </c>
      <c r="S254" s="0" t="s">
        <v>209</v>
      </c>
      <c r="T254" s="5" t="s">
        <v>189</v>
      </c>
      <c r="U254" s="5" t="s">
        <v>3896</v>
      </c>
      <c r="V254" s="0" t="s">
        <v>11195</v>
      </c>
      <c r="W254" s="0" t="s">
        <v>263</v>
      </c>
      <c r="X254" s="0" t="s">
        <v>5578</v>
      </c>
      <c r="Y254" s="0" t="str">
        <f aca="false">IF(FA254&lt;&gt;"Y","",COUNTIFS($FA$2:$FA$1000,"Y",$J$2:$J$1000,"&gt;"&amp;J254)+COUNTIFS($FA$2:$FA$1000,"Y",$J$2:$J$1000,J254,$FG$2:$FG$1000,"&lt;"&amp;FG254)+1)</f>
        <v/>
      </c>
      <c r="AA254" s="0" t="s">
        <v>189</v>
      </c>
      <c r="AB254" s="0" t="str">
        <f aca="false">IF($A254="","",IF(AT254="Y",BW254&amp;"",BJ254&amp;""))</f>
        <v/>
      </c>
      <c r="AC254" s="0" t="str">
        <f aca="false">IF($A254="","",IF(AT254="Y",BR254&amp;"",BE254&amp;""))</f>
        <v>founder</v>
      </c>
      <c r="AD254" s="0" t="str">
        <f aca="false">IF($A254="","",IF(AT254="Y",BS254&amp;"",BF254&amp;""))</f>
        <v>verified-page</v>
      </c>
      <c r="AE254" s="0" t="str">
        <f aca="false">IF($A254="","",IF(AT254="Y",BT254&amp;"",BG254&amp;""))</f>
        <v>employer's own site</v>
      </c>
      <c r="AF254" s="0" t="str">
        <f aca="false">IF($A254="","",IF(AT254="Y",BU254&amp;"",BH254&amp;""))</f>
        <v>https://northforkchips.com/our-story/</v>
      </c>
      <c r="AG254" s="0" t="str">
        <f aca="false">IF($A254="","",IF(AT254="Y",BV254&amp;"",BI254&amp;""))</f>
        <v>2026-10-23</v>
      </c>
      <c r="AH254" s="0" t="s">
        <v>11196</v>
      </c>
      <c r="AI254" s="0" t="s">
        <v>5789</v>
      </c>
      <c r="AJ254" s="0" t="s">
        <v>11197</v>
      </c>
      <c r="AK254" s="0" t="s">
        <v>11198</v>
      </c>
      <c r="AL254" s="0" t="s">
        <v>164</v>
      </c>
      <c r="AM254" s="0" t="s">
        <v>11199</v>
      </c>
      <c r="AN254" s="0" t="s">
        <v>11193</v>
      </c>
      <c r="AO254" s="5" t="s">
        <v>189</v>
      </c>
      <c r="AR254" s="0" t="str">
        <f aca="false">IF($A254="","",IF(AND(CK254="pass",AO254&lt;&gt;"Y",C254&lt;&gt;"",OR(AU254&lt;&gt;"Y",AV254="Y")),"Y","N"))</f>
        <v>N</v>
      </c>
      <c r="AS254" s="0" t="str">
        <f aca="false">IF($A254="","",_xlfn.TEXTJOIN("; ",TRUE(),IF(CK254&lt;&gt;"pass","gated out",""),IF(AO254="Y","on hold: "&amp;AP254,""),IF(C254="","no contact named on an opened page",""),IF(AND(AU254="Y",AV254&lt;&gt;"Y"),"founder review pending (Founder review tab)","")))</f>
        <v>gated out</v>
      </c>
      <c r="AU254" s="0" t="s">
        <v>189</v>
      </c>
      <c r="AY254" s="0" t="s">
        <v>9885</v>
      </c>
      <c r="AZ254" s="0" t="s">
        <v>11200</v>
      </c>
      <c r="BA254" s="0" t="s">
        <v>11201</v>
      </c>
      <c r="BC254" s="0" t="str">
        <f aca="false">IF($A254="","",IFERROR(INDEX(Enrichment!$A$2:$GZ$2000,MATCH($A254,INDEX(Enrichment!$A$2:$GZ$2000,0,MATCH("row_id",Enrichment!$A$1:$GZ$1,0)),0),MATCH("work_email",Enrichment!$A$1:$GZ$1,0))&amp;"",""))</f>
        <v/>
      </c>
      <c r="BD254" s="0" t="str">
        <f aca="false">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none</v>
      </c>
      <c r="BE254" s="0" t="s">
        <v>5589</v>
      </c>
      <c r="BF254" s="0" t="s">
        <v>169</v>
      </c>
      <c r="BG254" s="0" t="s">
        <v>170</v>
      </c>
      <c r="BH254" s="0" t="s">
        <v>11195</v>
      </c>
      <c r="BI254" s="0" t="s">
        <v>263</v>
      </c>
      <c r="BK254" s="0" t="s">
        <v>5643</v>
      </c>
      <c r="BP254" s="0" t="str">
        <f aca="false">IF($A254="","",IFERROR(INDEX(Enrichment!$A$2:$GZ$2000,MATCH($A254,INDEX(Enrichment!$A$2:$GZ$2000,0,MATCH("row_id",Enrichment!$A$1:$GZ$1,0)),0),MATCH("backup_work_email",Enrichment!$A$1:$GZ$1,0))&amp;"",""))</f>
        <v/>
      </c>
      <c r="BQ254" s="0" t="str">
        <f aca="false">IF($A254="","",IF(BP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none</v>
      </c>
      <c r="BS254" s="0" t="s">
        <v>380</v>
      </c>
      <c r="BX254" s="0" t="s">
        <v>388</v>
      </c>
      <c r="BY254" s="0" t="s">
        <v>11202</v>
      </c>
      <c r="CB254" s="0" t="s">
        <v>11203</v>
      </c>
      <c r="CJ254" s="0" t="s">
        <v>7088</v>
      </c>
      <c r="CK254" s="0" t="s">
        <v>4627</v>
      </c>
      <c r="CL254" s="0" t="s">
        <v>10005</v>
      </c>
      <c r="CM254" s="0" t="s">
        <v>11204</v>
      </c>
      <c r="CN254" s="0" t="s">
        <v>443</v>
      </c>
      <c r="CO254" s="0" t="s">
        <v>11198</v>
      </c>
      <c r="CP254" s="0" t="s">
        <v>5608</v>
      </c>
      <c r="CQ254" s="0" t="s">
        <v>5870</v>
      </c>
      <c r="CR254" s="0" t="s">
        <v>11205</v>
      </c>
      <c r="CS254" s="0" t="s">
        <v>11195</v>
      </c>
      <c r="CT254" s="0" t="s">
        <v>164</v>
      </c>
      <c r="CU254" s="0" t="s">
        <v>11206</v>
      </c>
      <c r="CV254" s="0" t="s">
        <v>164</v>
      </c>
      <c r="CW254" s="0" t="s">
        <v>164</v>
      </c>
      <c r="CX254" s="0" t="s">
        <v>209</v>
      </c>
      <c r="CZ254" s="0" t="s">
        <v>209</v>
      </c>
      <c r="DA254" s="0" t="s">
        <v>189</v>
      </c>
      <c r="DB254" s="0" t="s">
        <v>164</v>
      </c>
      <c r="DC254" s="0" t="s">
        <v>11207</v>
      </c>
      <c r="DE254" s="0" t="s">
        <v>189</v>
      </c>
      <c r="DF254" s="0" t="n">
        <v>0</v>
      </c>
      <c r="DI254" s="0" t="s">
        <v>11208</v>
      </c>
      <c r="DJ254" s="0" t="s">
        <v>11209</v>
      </c>
      <c r="DK254" s="0" t="s">
        <v>380</v>
      </c>
      <c r="DN254" s="0" t="n">
        <v>38</v>
      </c>
      <c r="DO254" s="0" t="n">
        <v>6</v>
      </c>
      <c r="DP254" s="0" t="n">
        <v>13</v>
      </c>
      <c r="DQ254" s="0" t="n">
        <v>0</v>
      </c>
      <c r="DR254" s="0" t="n">
        <v>5</v>
      </c>
      <c r="DS254" s="0" t="n">
        <v>10</v>
      </c>
      <c r="DT254" s="0" t="n">
        <v>6</v>
      </c>
      <c r="DU254" s="0" t="n">
        <f aca="false">IF($A254="","",IF(R254="Y",10,0))</f>
        <v>0</v>
      </c>
      <c r="DV254" s="0" t="n">
        <v>-2</v>
      </c>
      <c r="DW254" s="0" t="s">
        <v>11210</v>
      </c>
      <c r="DX254" s="0" t="s">
        <v>5619</v>
      </c>
      <c r="DY254" s="0" t="s">
        <v>11211</v>
      </c>
      <c r="DZ254" s="0" t="s">
        <v>11212</v>
      </c>
      <c r="EA254" s="0" t="s">
        <v>11213</v>
      </c>
      <c r="EV254" s="0" t="str">
        <f aca="false">IF($A254="","",IF(ISNUMBER(MATCH(U254,{"queued","contacted","replied","call_booked","call_done","yes_in_principle","materials_sent"},0)),"Y","N"))</f>
        <v>N</v>
      </c>
      <c r="EW254" s="0" t="str">
        <f aca="false">IF($A254="","",IF(OR(T254="Y",U254="do_not_contact",AQ254&amp;""&lt;&gt;""),"Y","N"))</f>
        <v>N</v>
      </c>
      <c r="EX254" s="0" t="str">
        <f aca="false">IF($A254="","",IF(AN254&amp;""&lt;&gt;"",AN254&amp;"",$A254))</f>
        <v>AB-212</v>
      </c>
      <c r="EY254" s="0" t="str">
        <f aca="false">IF($A254="","",IF(COUNTIFS($EX$2:$EX$1000,EX254,$EV$2:$EV$1000,"Y")+COUNTIFS($EX$2:$EX$1000,EX254,$EW$2:$EW$1000,"Y")&gt;0,"Y","N"))</f>
        <v>N</v>
      </c>
      <c r="EZ254" s="0" t="str">
        <f aca="false">IF($A254="","",IF(AND(U254="new",T254="N",EW254="N",AR254="Y",EY254="N"),"Y","N"))</f>
        <v>N</v>
      </c>
      <c r="FA254" s="0" t="str">
        <f aca="false">IF($A254="","",IF(EZ254&lt;&gt;"Y","N",IF(COUNTIFS($EX$2:$EX$1000,EX254,$EZ$2:$EZ$1000,"Y",$J$2:$J$1000,"&gt;"&amp;J254)+COUNTIFS($EX$2:$EX$1000,EX254,$EZ$2:$EZ$1000,"Y",$J$2:$J$1000,J254,$FG$2:$FG$1000,"&lt;"&amp;FG254)=0,"Y","N")))</f>
        <v>N</v>
      </c>
      <c r="FB254" s="0" t="str">
        <f aca="false">IF($A254="","",IF(AND(EZ254="Y",FA254="Y",Y254&amp;""&lt;&gt;""),IF(Y254&lt;=10,"Y","N"),"N"))</f>
        <v>N</v>
      </c>
      <c r="FC254" s="0" t="str">
        <f aca="false">IF(FB254="Y",Y254,"")</f>
        <v/>
      </c>
      <c r="FD254" s="0" t="str">
        <f aca="false">IF($A254="","",IF(AND(CK254="pass",AU254="Y",AV254&lt;&gt;"Y",U254="new",EW254="N"),"Y","N"))</f>
        <v>N</v>
      </c>
      <c r="FE254" s="0" t="str">
        <f aca="false">IF(FD254&lt;&gt;"Y","",IF(COUNTIFS($FD$2:$FD$1000,"Y",$J$2:$J$1000,"&gt;"&amp;J254)+COUNTIFS($FD$2:$FD$1000,"Y",$J$2:$J$1000,J254,$FG$2:$FG$1000,"&lt;"&amp;FG254)+1&lt;=30,COUNTIFS($FD$2:$FD$1000,"Y",$J$2:$J$1000,"&gt;"&amp;J254)+COUNTIFS($FD$2:$FD$1000,"Y",$J$2:$J$1000,J254,$FG$2:$FG$1000,"&lt;"&amp;FG254)+1,""))</f>
        <v/>
      </c>
      <c r="FF254" s="0" t="str">
        <f aca="false">IF(AND(_xlfn.ISFORMULA(C254),_xlfn.ISFORMULA(J254)),"Y","N")</f>
        <v>Y</v>
      </c>
      <c r="FG254" s="0" t="n">
        <f aca="false">ROW()-1</f>
        <v>253</v>
      </c>
    </row>
    <row r="255" customFormat="false" ht="15" hidden="false" customHeight="false" outlineLevel="0" collapsed="false">
      <c r="A255" s="0" t="s">
        <v>11214</v>
      </c>
      <c r="B255" s="0" t="s">
        <v>11215</v>
      </c>
      <c r="C255" s="0" t="str">
        <f aca="false">IF($A255="","",IF(AT255="Y",BL255&amp;"",AY255&amp;""))</f>
        <v>Nancy</v>
      </c>
      <c r="D255" s="0" t="str">
        <f aca="false">IF($A255="","",IF(AT255="Y",BM255&amp;"",AZ255&amp;""))</f>
        <v>Kalish</v>
      </c>
      <c r="E255" s="0" t="str">
        <f aca="false">IF($A255="","",IF(AT255="Y",BN255&amp;"",BA255&amp;""))</f>
        <v>Founder and CEO</v>
      </c>
      <c r="F255" s="0" t="str">
        <f aca="false">IF($A255="","",IF(AT255="Y",BO255&amp;"",BB255&amp;""))</f>
        <v/>
      </c>
      <c r="G255" s="0" t="str">
        <f aca="false">IF($A255="","",IF(AT255="Y",BP255&amp;"",BC255&amp;""))</f>
        <v/>
      </c>
      <c r="H255" s="0" t="str">
        <f aca="false">IF($A255="","",IF(AT255="Y",BQ255&amp;"",BD255&amp;""))</f>
        <v>none</v>
      </c>
      <c r="I255" s="0" t="str">
        <f aca="false">IF($A255="","",IF(R255="Y","warm-intro",IF(H255="verified","email",IF(C255&lt;&gt;"","linkedin",CA255&amp;""))))</f>
        <v>linkedin</v>
      </c>
      <c r="J255" s="0" t="n">
        <f aca="false">IF($A255="","",IF(CK255="pass",ROUND(N(DO255)+N(DP255)+N(DQ255)+N(DR255)+N(DS255)+N(DT255)+N(DU255)+N(DV255),0),0))</f>
        <v>0</v>
      </c>
      <c r="K255" s="0" t="str">
        <f aca="false">IF($A255="","",IF(CK255&lt;&gt;"pass",BY255&amp;"",BY255&amp;", "&amp;IF(AT255="Y",BX255&amp;"",BK255&amp;"")&amp;BZ255&amp;IF(R255="Y","; known to the founder (+10)","")&amp;"."))</f>
        <v>Gated out: health-claim: explicit health claim in the brand's own copy (opened 2026-10-24): 'Prebiotics are naturally occurring compounds in food that help establish and m.</v>
      </c>
      <c r="M255" s="0" t="s">
        <v>6144</v>
      </c>
      <c r="N255" s="0" t="s">
        <v>740</v>
      </c>
      <c r="R255" s="5" t="s">
        <v>189</v>
      </c>
      <c r="S255" s="0" t="s">
        <v>209</v>
      </c>
      <c r="T255" s="5" t="s">
        <v>189</v>
      </c>
      <c r="U255" s="5" t="s">
        <v>3896</v>
      </c>
      <c r="V255" s="0" t="s">
        <v>11216</v>
      </c>
      <c r="W255" s="0" t="s">
        <v>263</v>
      </c>
      <c r="X255" s="0" t="s">
        <v>5578</v>
      </c>
      <c r="Y255" s="0" t="str">
        <f aca="false">IF(FA255&lt;&gt;"Y","",COUNTIFS($FA$2:$FA$1000,"Y",$J$2:$J$1000,"&gt;"&amp;J255)+COUNTIFS($FA$2:$FA$1000,"Y",$J$2:$J$1000,J255,$FG$2:$FG$1000,"&lt;"&amp;FG255)+1)</f>
        <v/>
      </c>
      <c r="AA255" s="0" t="s">
        <v>189</v>
      </c>
      <c r="AB255" s="0" t="str">
        <f aca="false">IF($A255="","",IF(AT255="Y",BW255&amp;"",BJ255&amp;""))</f>
        <v/>
      </c>
      <c r="AC255" s="0" t="str">
        <f aca="false">IF($A255="","",IF(AT255="Y",BR255&amp;"",BE255&amp;""))</f>
        <v>founder</v>
      </c>
      <c r="AD255" s="0" t="str">
        <f aca="false">IF($A255="","",IF(AT255="Y",BS255&amp;"",BF255&amp;""))</f>
        <v>verified-page</v>
      </c>
      <c r="AE255" s="0" t="str">
        <f aca="false">IF($A255="","",IF(AT255="Y",BT255&amp;"",BG255&amp;""))</f>
        <v>press, event or podcast page</v>
      </c>
      <c r="AF255" s="0" t="str">
        <f aca="false">IF($A255="","",IF(AT255="Y",BU255&amp;"",BH255&amp;""))</f>
        <v>https://www.bakeryandsnacks.com/Article/2022/03/30/Bimbo-backed-Rule-Breaker-sets-its-sights-on-2.2m-in-2022</v>
      </c>
      <c r="AG255" s="0" t="str">
        <f aca="false">IF($A255="","",IF(AT255="Y",BV255&amp;"",BI255&amp;""))</f>
        <v>2026-10-23</v>
      </c>
      <c r="AH255" s="0" t="s">
        <v>11217</v>
      </c>
      <c r="AI255" s="0" t="s">
        <v>5702</v>
      </c>
      <c r="AJ255" s="0" t="s">
        <v>5631</v>
      </c>
      <c r="AK255" s="0" t="s">
        <v>11218</v>
      </c>
      <c r="AL255" s="0" t="s">
        <v>164</v>
      </c>
      <c r="AM255" s="0" t="s">
        <v>11219</v>
      </c>
      <c r="AN255" s="0" t="s">
        <v>11214</v>
      </c>
      <c r="AO255" s="5" t="s">
        <v>189</v>
      </c>
      <c r="AR255" s="0" t="str">
        <f aca="false">IF($A255="","",IF(AND(CK255="pass",AO255&lt;&gt;"Y",C255&lt;&gt;"",OR(AU255&lt;&gt;"Y",AV255="Y")),"Y","N"))</f>
        <v>N</v>
      </c>
      <c r="AS255" s="0" t="str">
        <f aca="false">IF($A255="","",_xlfn.TEXTJOIN("; ",TRUE(),IF(CK255&lt;&gt;"pass","gated out",""),IF(AO255="Y","on hold: "&amp;AP255,""),IF(C255="","no contact named on an opened page",""),IF(AND(AU255="Y",AV255&lt;&gt;"Y"),"founder review pending (Founder review tab)","")))</f>
        <v>gated out</v>
      </c>
      <c r="AU255" s="0" t="s">
        <v>189</v>
      </c>
      <c r="AY255" s="0" t="s">
        <v>11220</v>
      </c>
      <c r="AZ255" s="0" t="s">
        <v>11221</v>
      </c>
      <c r="BA255" s="0" t="s">
        <v>5670</v>
      </c>
      <c r="BC255" s="0" t="str">
        <f aca="false">IF($A255="","",IFERROR(INDEX(Enrichment!$A$2:$GZ$2000,MATCH($A255,INDEX(Enrichment!$A$2:$GZ$2000,0,MATCH("row_id",Enrichment!$A$1:$GZ$1,0)),0),MATCH("work_email",Enrichment!$A$1:$GZ$1,0))&amp;"",""))</f>
        <v/>
      </c>
      <c r="BD255" s="0" t="str">
        <f aca="false">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none</v>
      </c>
      <c r="BE255" s="0" t="s">
        <v>5589</v>
      </c>
      <c r="BF255" s="0" t="s">
        <v>169</v>
      </c>
      <c r="BG255" s="0" t="s">
        <v>1252</v>
      </c>
      <c r="BH255" s="0" t="s">
        <v>11222</v>
      </c>
      <c r="BI255" s="0" t="s">
        <v>263</v>
      </c>
      <c r="BK255" s="0" t="s">
        <v>5643</v>
      </c>
      <c r="BP255" s="0" t="str">
        <f aca="false">IF($A255="","",IFERROR(INDEX(Enrichment!$A$2:$GZ$2000,MATCH($A255,INDEX(Enrichment!$A$2:$GZ$2000,0,MATCH("row_id",Enrichment!$A$1:$GZ$1,0)),0),MATCH("backup_work_email",Enrichment!$A$1:$GZ$1,0))&amp;"",""))</f>
        <v/>
      </c>
      <c r="BQ255" s="0" t="str">
        <f aca="false">IF($A255="","",IF(BP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none</v>
      </c>
      <c r="BS255" s="0" t="s">
        <v>380</v>
      </c>
      <c r="BX255" s="0" t="s">
        <v>388</v>
      </c>
      <c r="BY255" s="0" t="s">
        <v>11223</v>
      </c>
      <c r="CB255" s="0" t="s">
        <v>11224</v>
      </c>
      <c r="CJ255" s="0" t="s">
        <v>7088</v>
      </c>
      <c r="CK255" s="0" t="s">
        <v>4627</v>
      </c>
      <c r="CL255" s="0" t="s">
        <v>10005</v>
      </c>
      <c r="CM255" s="0" t="s">
        <v>11225</v>
      </c>
      <c r="CN255" s="0" t="s">
        <v>5607</v>
      </c>
      <c r="CO255" s="0" t="s">
        <v>11218</v>
      </c>
      <c r="CP255" s="0" t="s">
        <v>5608</v>
      </c>
      <c r="CQ255" s="0" t="s">
        <v>5609</v>
      </c>
      <c r="CR255" s="0" t="s">
        <v>11226</v>
      </c>
      <c r="CS255" s="0" t="s">
        <v>11222</v>
      </c>
      <c r="CT255" s="0" t="s">
        <v>164</v>
      </c>
      <c r="CU255" s="0" t="s">
        <v>11227</v>
      </c>
      <c r="CV255" s="0" t="s">
        <v>164</v>
      </c>
      <c r="CW255" s="0" t="s">
        <v>164</v>
      </c>
      <c r="CX255" s="0" t="s">
        <v>7409</v>
      </c>
      <c r="CY255" s="0" t="s">
        <v>9030</v>
      </c>
      <c r="CZ255" s="0" t="s">
        <v>11228</v>
      </c>
      <c r="DA255" s="0" t="s">
        <v>189</v>
      </c>
      <c r="DB255" s="0" t="s">
        <v>164</v>
      </c>
      <c r="DC255" s="0" t="s">
        <v>11229</v>
      </c>
      <c r="DE255" s="0" t="s">
        <v>189</v>
      </c>
      <c r="DF255" s="0" t="n">
        <v>0</v>
      </c>
      <c r="DI255" s="0" t="s">
        <v>11230</v>
      </c>
      <c r="DJ255" s="0" t="s">
        <v>11231</v>
      </c>
      <c r="DK255" s="0" t="s">
        <v>380</v>
      </c>
      <c r="DN255" s="0" t="n">
        <v>48</v>
      </c>
      <c r="DO255" s="0" t="n">
        <v>6</v>
      </c>
      <c r="DP255" s="0" t="n">
        <v>20</v>
      </c>
      <c r="DQ255" s="0" t="n">
        <v>0</v>
      </c>
      <c r="DR255" s="0" t="n">
        <v>10</v>
      </c>
      <c r="DS255" s="0" t="n">
        <v>10</v>
      </c>
      <c r="DT255" s="0" t="n">
        <v>6</v>
      </c>
      <c r="DU255" s="0" t="n">
        <f aca="false">IF($A255="","",IF(R255="Y",10,0))</f>
        <v>0</v>
      </c>
      <c r="DV255" s="0" t="n">
        <v>-4</v>
      </c>
      <c r="DW255" s="0" t="s">
        <v>11232</v>
      </c>
      <c r="DX255" s="0" t="s">
        <v>5691</v>
      </c>
      <c r="DY255" s="0" t="s">
        <v>11233</v>
      </c>
      <c r="DZ255" s="0" t="s">
        <v>11234</v>
      </c>
      <c r="EA255" s="0" t="s">
        <v>11235</v>
      </c>
      <c r="EV255" s="0" t="str">
        <f aca="false">IF($A255="","",IF(ISNUMBER(MATCH(U255,{"queued","contacted","replied","call_booked","call_done","yes_in_principle","materials_sent"},0)),"Y","N"))</f>
        <v>N</v>
      </c>
      <c r="EW255" s="0" t="str">
        <f aca="false">IF($A255="","",IF(OR(T255="Y",U255="do_not_contact",AQ255&amp;""&lt;&gt;""),"Y","N"))</f>
        <v>N</v>
      </c>
      <c r="EX255" s="0" t="str">
        <f aca="false">IF($A255="","",IF(AN255&amp;""&lt;&gt;"",AN255&amp;"",$A255))</f>
        <v>AB-067</v>
      </c>
      <c r="EY255" s="0" t="str">
        <f aca="false">IF($A255="","",IF(COUNTIFS($EX$2:$EX$1000,EX255,$EV$2:$EV$1000,"Y")+COUNTIFS($EX$2:$EX$1000,EX255,$EW$2:$EW$1000,"Y")&gt;0,"Y","N"))</f>
        <v>N</v>
      </c>
      <c r="EZ255" s="0" t="str">
        <f aca="false">IF($A255="","",IF(AND(U255="new",T255="N",EW255="N",AR255="Y",EY255="N"),"Y","N"))</f>
        <v>N</v>
      </c>
      <c r="FA255" s="0" t="str">
        <f aca="false">IF($A255="","",IF(EZ255&lt;&gt;"Y","N",IF(COUNTIFS($EX$2:$EX$1000,EX255,$EZ$2:$EZ$1000,"Y",$J$2:$J$1000,"&gt;"&amp;J255)+COUNTIFS($EX$2:$EX$1000,EX255,$EZ$2:$EZ$1000,"Y",$J$2:$J$1000,J255,$FG$2:$FG$1000,"&lt;"&amp;FG255)=0,"Y","N")))</f>
        <v>N</v>
      </c>
      <c r="FB255" s="0" t="str">
        <f aca="false">IF($A255="","",IF(AND(EZ255="Y",FA255="Y",Y255&amp;""&lt;&gt;""),IF(Y255&lt;=10,"Y","N"),"N"))</f>
        <v>N</v>
      </c>
      <c r="FC255" s="0" t="str">
        <f aca="false">IF(FB255="Y",Y255,"")</f>
        <v/>
      </c>
      <c r="FD255" s="0" t="str">
        <f aca="false">IF($A255="","",IF(AND(CK255="pass",AU255="Y",AV255&lt;&gt;"Y",U255="new",EW255="N"),"Y","N"))</f>
        <v>N</v>
      </c>
      <c r="FE255" s="0" t="str">
        <f aca="false">IF(FD255&lt;&gt;"Y","",IF(COUNTIFS($FD$2:$FD$1000,"Y",$J$2:$J$1000,"&gt;"&amp;J255)+COUNTIFS($FD$2:$FD$1000,"Y",$J$2:$J$1000,J255,$FG$2:$FG$1000,"&lt;"&amp;FG255)+1&lt;=30,COUNTIFS($FD$2:$FD$1000,"Y",$J$2:$J$1000,"&gt;"&amp;J255)+COUNTIFS($FD$2:$FD$1000,"Y",$J$2:$J$1000,J255,$FG$2:$FG$1000,"&lt;"&amp;FG255)+1,""))</f>
        <v/>
      </c>
      <c r="FF255" s="0" t="str">
        <f aca="false">IF(AND(_xlfn.ISFORMULA(C255),_xlfn.ISFORMULA(J255)),"Y","N")</f>
        <v>Y</v>
      </c>
      <c r="FG255" s="0" t="n">
        <f aca="false">ROW()-1</f>
        <v>254</v>
      </c>
    </row>
    <row r="256" customFormat="false" ht="15" hidden="false" customHeight="false" outlineLevel="0" collapsed="false">
      <c r="A256" s="0" t="s">
        <v>11236</v>
      </c>
      <c r="B256" s="0" t="s">
        <v>11237</v>
      </c>
      <c r="C256" s="0" t="str">
        <f aca="false">IF($A256="","",IF(AT256="Y",BL256&amp;"",AY256&amp;""))</f>
        <v>Morgan</v>
      </c>
      <c r="D256" s="0" t="str">
        <f aca="false">IF($A256="","",IF(AT256="Y",BM256&amp;"",AZ256&amp;""))</f>
        <v>Murdock</v>
      </c>
      <c r="E256" s="0" t="str">
        <f aca="false">IF($A256="","",IF(AT256="Y",BN256&amp;"",BA256&amp;""))</f>
        <v>Founder, Registered Dietitian</v>
      </c>
      <c r="F256" s="0" t="str">
        <f aca="false">IF($A256="","",IF(AT256="Y",BO256&amp;"",BB256&amp;""))</f>
        <v/>
      </c>
      <c r="G256" s="0" t="str">
        <f aca="false">IF($A256="","",IF(AT256="Y",BP256&amp;"",BC256&amp;""))</f>
        <v/>
      </c>
      <c r="H256" s="0" t="str">
        <f aca="false">IF($A256="","",IF(AT256="Y",BQ256&amp;"",BD256&amp;""))</f>
        <v>none</v>
      </c>
      <c r="I256" s="0" t="str">
        <f aca="false">IF($A256="","",IF(R256="Y","warm-intro",IF(H256="verified","email",IF(C256&lt;&gt;"","linkedin",CA256&amp;""))))</f>
        <v>linkedin</v>
      </c>
      <c r="J256" s="0" t="n">
        <f aca="false">IF($A256="","",IF(CK256="pass",ROUND(N(DO256)+N(DP256)+N(DQ256)+N(DR256)+N(DS256)+N(DT256)+N(DU256)+N(DV256),0),0))</f>
        <v>0</v>
      </c>
      <c r="K256" s="0" t="str">
        <f aca="false">IF($A256="","",IF(CK256&lt;&gt;"pass",BY256&amp;"",BY256&amp;", "&amp;IF(AT256="Y",BX256&amp;"",BK256&amp;"")&amp;BZ256&amp;IF(R256="Y","; known to the founder (+10)","")&amp;"."))</f>
        <v>Gated out: health-claim: Positioned as 'Gut-Friendly Sourdough Crackers' with 'gut benefit' copy (structure/function wording).</v>
      </c>
      <c r="M256" s="0" t="s">
        <v>6144</v>
      </c>
      <c r="N256" s="0" t="s">
        <v>740</v>
      </c>
      <c r="R256" s="5" t="s">
        <v>189</v>
      </c>
      <c r="S256" s="0" t="s">
        <v>209</v>
      </c>
      <c r="T256" s="5" t="s">
        <v>189</v>
      </c>
      <c r="U256" s="5" t="s">
        <v>3896</v>
      </c>
      <c r="V256" s="0" t="s">
        <v>11238</v>
      </c>
      <c r="W256" s="0" t="s">
        <v>263</v>
      </c>
      <c r="X256" s="0" t="s">
        <v>5578</v>
      </c>
      <c r="Y256" s="0" t="str">
        <f aca="false">IF(FA256&lt;&gt;"Y","",COUNTIFS($FA$2:$FA$1000,"Y",$J$2:$J$1000,"&gt;"&amp;J256)+COUNTIFS($FA$2:$FA$1000,"Y",$J$2:$J$1000,J256,$FG$2:$FG$1000,"&lt;"&amp;FG256)+1)</f>
        <v/>
      </c>
      <c r="AA256" s="0" t="s">
        <v>189</v>
      </c>
      <c r="AB256" s="0" t="str">
        <f aca="false">IF($A256="","",IF(AT256="Y",BW256&amp;"",BJ256&amp;""))</f>
        <v/>
      </c>
      <c r="AC256" s="0" t="str">
        <f aca="false">IF($A256="","",IF(AT256="Y",BR256&amp;"",BE256&amp;""))</f>
        <v>founder</v>
      </c>
      <c r="AD256" s="0" t="str">
        <f aca="false">IF($A256="","",IF(AT256="Y",BS256&amp;"",BF256&amp;""))</f>
        <v>verified-page</v>
      </c>
      <c r="AE256" s="0" t="str">
        <f aca="false">IF($A256="","",IF(AT256="Y",BT256&amp;"",BG256&amp;""))</f>
        <v>employer's own site</v>
      </c>
      <c r="AF256" s="0" t="str">
        <f aca="false">IF($A256="","",IF(AT256="Y",BU256&amp;"",BH256&amp;""))</f>
        <v>https://www.unbotheredfoods.com/</v>
      </c>
      <c r="AG256" s="0" t="str">
        <f aca="false">IF($A256="","",IF(AT256="Y",BV256&amp;"",BI256&amp;""))</f>
        <v>2026-10-23</v>
      </c>
      <c r="AH256" s="0" t="s">
        <v>11239</v>
      </c>
      <c r="AI256" s="0" t="s">
        <v>5630</v>
      </c>
      <c r="AJ256" s="0" t="s">
        <v>209</v>
      </c>
      <c r="AK256" s="0" t="s">
        <v>11240</v>
      </c>
      <c r="AL256" s="0" t="s">
        <v>164</v>
      </c>
      <c r="AM256" s="0" t="s">
        <v>5760</v>
      </c>
      <c r="AN256" s="0" t="s">
        <v>11236</v>
      </c>
      <c r="AO256" s="5" t="s">
        <v>189</v>
      </c>
      <c r="AR256" s="0" t="str">
        <f aca="false">IF($A256="","",IF(AND(CK256="pass",AO256&lt;&gt;"Y",C256&lt;&gt;"",OR(AU256&lt;&gt;"Y",AV256="Y")),"Y","N"))</f>
        <v>N</v>
      </c>
      <c r="AS256" s="0" t="str">
        <f aca="false">IF($A256="","",_xlfn.TEXTJOIN("; ",TRUE(),IF(CK256&lt;&gt;"pass","gated out",""),IF(AO256="Y","on hold: "&amp;AP256,""),IF(C256="","no contact named on an opened page",""),IF(AND(AU256="Y",AV256&lt;&gt;"Y"),"founder review pending (Founder review tab)","")))</f>
        <v>gated out</v>
      </c>
      <c r="AU256" s="0" t="s">
        <v>189</v>
      </c>
      <c r="AY256" s="0" t="s">
        <v>11241</v>
      </c>
      <c r="AZ256" s="0" t="s">
        <v>11242</v>
      </c>
      <c r="BA256" s="0" t="s">
        <v>11243</v>
      </c>
      <c r="BC256" s="0" t="str">
        <f aca="false">IF($A256="","",IFERROR(INDEX(Enrichment!$A$2:$GZ$2000,MATCH($A256,INDEX(Enrichment!$A$2:$GZ$2000,0,MATCH("row_id",Enrichment!$A$1:$GZ$1,0)),0),MATCH("work_email",Enrichment!$A$1:$GZ$1,0))&amp;"",""))</f>
        <v/>
      </c>
      <c r="BD256" s="0" t="str">
        <f aca="false">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none</v>
      </c>
      <c r="BE256" s="0" t="s">
        <v>5589</v>
      </c>
      <c r="BF256" s="0" t="s">
        <v>169</v>
      </c>
      <c r="BG256" s="0" t="s">
        <v>170</v>
      </c>
      <c r="BH256" s="0" t="s">
        <v>11238</v>
      </c>
      <c r="BI256" s="0" t="s">
        <v>263</v>
      </c>
      <c r="BK256" s="0" t="s">
        <v>5643</v>
      </c>
      <c r="BP256" s="0" t="str">
        <f aca="false">IF($A256="","",IFERROR(INDEX(Enrichment!$A$2:$GZ$2000,MATCH($A256,INDEX(Enrichment!$A$2:$GZ$2000,0,MATCH("row_id",Enrichment!$A$1:$GZ$1,0)),0),MATCH("backup_work_email",Enrichment!$A$1:$GZ$1,0))&amp;"",""))</f>
        <v/>
      </c>
      <c r="BQ256" s="0" t="str">
        <f aca="false">IF($A256="","",IF(BP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none</v>
      </c>
      <c r="BS256" s="0" t="s">
        <v>380</v>
      </c>
      <c r="BX256" s="0" t="s">
        <v>388</v>
      </c>
      <c r="BY256" s="0" t="s">
        <v>11244</v>
      </c>
      <c r="CB256" s="0" t="s">
        <v>11245</v>
      </c>
      <c r="CJ256" s="0" t="s">
        <v>7088</v>
      </c>
      <c r="CK256" s="0" t="s">
        <v>4627</v>
      </c>
      <c r="CL256" s="0" t="s">
        <v>10005</v>
      </c>
      <c r="CM256" s="0" t="s">
        <v>11246</v>
      </c>
      <c r="CN256" s="0" t="s">
        <v>5774</v>
      </c>
      <c r="CO256" s="0" t="s">
        <v>11240</v>
      </c>
      <c r="CP256" s="0" t="s">
        <v>209</v>
      </c>
      <c r="CQ256" s="0" t="s">
        <v>209</v>
      </c>
      <c r="CR256" s="0" t="s">
        <v>209</v>
      </c>
      <c r="CT256" s="0" t="s">
        <v>164</v>
      </c>
      <c r="CU256" s="0" t="s">
        <v>11247</v>
      </c>
      <c r="CV256" s="0" t="s">
        <v>209</v>
      </c>
      <c r="CW256" s="0" t="s">
        <v>164</v>
      </c>
      <c r="CX256" s="0" t="s">
        <v>209</v>
      </c>
      <c r="CZ256" s="0" t="s">
        <v>209</v>
      </c>
      <c r="DA256" s="0" t="s">
        <v>164</v>
      </c>
      <c r="DB256" s="0" t="s">
        <v>164</v>
      </c>
      <c r="DC256" s="0" t="s">
        <v>11248</v>
      </c>
      <c r="DE256" s="0" t="s">
        <v>189</v>
      </c>
      <c r="DF256" s="0" t="n">
        <v>0</v>
      </c>
      <c r="DH256" s="0" t="s">
        <v>7473</v>
      </c>
      <c r="DI256" s="0" t="s">
        <v>7474</v>
      </c>
      <c r="DJ256" s="0" t="s">
        <v>11249</v>
      </c>
      <c r="DK256" s="0" t="s">
        <v>380</v>
      </c>
      <c r="DN256" s="0" t="n">
        <v>29</v>
      </c>
      <c r="DO256" s="0" t="n">
        <v>6</v>
      </c>
      <c r="DP256" s="0" t="n">
        <v>4</v>
      </c>
      <c r="DQ256" s="0" t="n">
        <v>0</v>
      </c>
      <c r="DR256" s="0" t="n">
        <v>5</v>
      </c>
      <c r="DS256" s="0" t="n">
        <v>8</v>
      </c>
      <c r="DT256" s="0" t="n">
        <v>6</v>
      </c>
      <c r="DU256" s="0" t="n">
        <f aca="false">IF($A256="","",IF(R256="Y",10,0))</f>
        <v>0</v>
      </c>
      <c r="DV256" s="0" t="n">
        <v>0</v>
      </c>
      <c r="DW256" s="0" t="s">
        <v>11250</v>
      </c>
      <c r="DX256" s="0" t="s">
        <v>5814</v>
      </c>
      <c r="DY256" s="0" t="s">
        <v>11251</v>
      </c>
      <c r="DZ256" s="0" t="s">
        <v>11252</v>
      </c>
      <c r="EV256" s="0" t="str">
        <f aca="false">IF($A256="","",IF(ISNUMBER(MATCH(U256,{"queued","contacted","replied","call_booked","call_done","yes_in_principle","materials_sent"},0)),"Y","N"))</f>
        <v>N</v>
      </c>
      <c r="EW256" s="0" t="str">
        <f aca="false">IF($A256="","",IF(OR(T256="Y",U256="do_not_contact",AQ256&amp;""&lt;&gt;""),"Y","N"))</f>
        <v>N</v>
      </c>
      <c r="EX256" s="0" t="str">
        <f aca="false">IF($A256="","",IF(AN256&amp;""&lt;&gt;"",AN256&amp;"",$A256))</f>
        <v>AB-037</v>
      </c>
      <c r="EY256" s="0" t="str">
        <f aca="false">IF($A256="","",IF(COUNTIFS($EX$2:$EX$1000,EX256,$EV$2:$EV$1000,"Y")+COUNTIFS($EX$2:$EX$1000,EX256,$EW$2:$EW$1000,"Y")&gt;0,"Y","N"))</f>
        <v>N</v>
      </c>
      <c r="EZ256" s="0" t="str">
        <f aca="false">IF($A256="","",IF(AND(U256="new",T256="N",EW256="N",AR256="Y",EY256="N"),"Y","N"))</f>
        <v>N</v>
      </c>
      <c r="FA256" s="0" t="str">
        <f aca="false">IF($A256="","",IF(EZ256&lt;&gt;"Y","N",IF(COUNTIFS($EX$2:$EX$1000,EX256,$EZ$2:$EZ$1000,"Y",$J$2:$J$1000,"&gt;"&amp;J256)+COUNTIFS($EX$2:$EX$1000,EX256,$EZ$2:$EZ$1000,"Y",$J$2:$J$1000,J256,$FG$2:$FG$1000,"&lt;"&amp;FG256)=0,"Y","N")))</f>
        <v>N</v>
      </c>
      <c r="FB256" s="0" t="str">
        <f aca="false">IF($A256="","",IF(AND(EZ256="Y",FA256="Y",Y256&amp;""&lt;&gt;""),IF(Y256&lt;=10,"Y","N"),"N"))</f>
        <v>N</v>
      </c>
      <c r="FC256" s="0" t="str">
        <f aca="false">IF(FB256="Y",Y256,"")</f>
        <v/>
      </c>
      <c r="FD256" s="0" t="str">
        <f aca="false">IF($A256="","",IF(AND(CK256="pass",AU256="Y",AV256&lt;&gt;"Y",U256="new",EW256="N"),"Y","N"))</f>
        <v>N</v>
      </c>
      <c r="FE256" s="0" t="str">
        <f aca="false">IF(FD256&lt;&gt;"Y","",IF(COUNTIFS($FD$2:$FD$1000,"Y",$J$2:$J$1000,"&gt;"&amp;J256)+COUNTIFS($FD$2:$FD$1000,"Y",$J$2:$J$1000,J256,$FG$2:$FG$1000,"&lt;"&amp;FG256)+1&lt;=30,COUNTIFS($FD$2:$FD$1000,"Y",$J$2:$J$1000,"&gt;"&amp;J256)+COUNTIFS($FD$2:$FD$1000,"Y",$J$2:$J$1000,J256,$FG$2:$FG$1000,"&lt;"&amp;FG256)+1,""))</f>
        <v/>
      </c>
      <c r="FF256" s="0" t="str">
        <f aca="false">IF(AND(_xlfn.ISFORMULA(C256),_xlfn.ISFORMULA(J256)),"Y","N")</f>
        <v>Y</v>
      </c>
      <c r="FG256" s="0" t="n">
        <f aca="false">ROW()-1</f>
        <v>255</v>
      </c>
    </row>
    <row r="257" customFormat="false" ht="15" hidden="false" customHeight="false" outlineLevel="0" collapsed="false">
      <c r="A257" s="0" t="s">
        <v>11253</v>
      </c>
      <c r="B257" s="0" t="s">
        <v>11254</v>
      </c>
      <c r="C257" s="0" t="str">
        <f aca="false">IF($A257="","",IF(AT257="Y",BL257&amp;"",AY257&amp;""))</f>
        <v>James</v>
      </c>
      <c r="D257" s="0" t="str">
        <f aca="false">IF($A257="","",IF(AT257="Y",BM257&amp;"",AZ257&amp;""))</f>
        <v>Fayal</v>
      </c>
      <c r="E257" s="0" t="str">
        <f aca="false">IF($A257="","",IF(AT257="Y",BN257&amp;"",BA257&amp;""))</f>
        <v>Founder</v>
      </c>
      <c r="F257" s="0" t="str">
        <f aca="false">IF($A257="","",IF(AT257="Y",BO257&amp;"",BB257&amp;""))</f>
        <v/>
      </c>
      <c r="G257" s="0" t="str">
        <f aca="false">IF($A257="","",IF(AT257="Y",BP257&amp;"",BC257&amp;""))</f>
        <v/>
      </c>
      <c r="H257" s="0" t="str">
        <f aca="false">IF($A257="","",IF(AT257="Y",BQ257&amp;"",BD257&amp;""))</f>
        <v>none</v>
      </c>
      <c r="I257" s="0" t="str">
        <f aca="false">IF($A257="","",IF(R257="Y","warm-intro",IF(H257="verified","email",IF(C257&lt;&gt;"","linkedin",CA257&amp;""))))</f>
        <v>linkedin</v>
      </c>
      <c r="J257" s="0" t="n">
        <f aca="false">IF($A257="","",IF(CK257="pass",ROUND(N(DO257)+N(DP257)+N(DQ257)+N(DR257)+N(DS257)+N(DT257)+N(DU257)+N(DV257),0),0))</f>
        <v>0</v>
      </c>
      <c r="K257" s="0" t="str">
        <f aca="false">IF($A257="","",IF(CK257&lt;&gt;"pass",BY257&amp;"",BY257&amp;", "&amp;IF(AT257="Y",BX257&amp;"",BK257&amp;"")&amp;BZ257&amp;IF(R257="Y","; known to the founder (+10)","")&amp;"."))</f>
        <v>Gated out: excluded-category: Functional/supplement positioning: creatine powders, 'sleep, gut health, and immunity blends', energy and focus claims.</v>
      </c>
      <c r="M257" s="0" t="s">
        <v>6144</v>
      </c>
      <c r="N257" s="0" t="s">
        <v>740</v>
      </c>
      <c r="R257" s="5" t="s">
        <v>189</v>
      </c>
      <c r="S257" s="0" t="s">
        <v>209</v>
      </c>
      <c r="T257" s="5" t="s">
        <v>189</v>
      </c>
      <c r="U257" s="5" t="s">
        <v>3896</v>
      </c>
      <c r="V257" s="0" t="s">
        <v>11255</v>
      </c>
      <c r="W257" s="0" t="s">
        <v>263</v>
      </c>
      <c r="X257" s="0" t="s">
        <v>5578</v>
      </c>
      <c r="Y257" s="0" t="str">
        <f aca="false">IF(FA257&lt;&gt;"Y","",COUNTIFS($FA$2:$FA$1000,"Y",$J$2:$J$1000,"&gt;"&amp;J257)+COUNTIFS($FA$2:$FA$1000,"Y",$J$2:$J$1000,J257,$FG$2:$FG$1000,"&lt;"&amp;FG257)+1)</f>
        <v/>
      </c>
      <c r="AA257" s="0" t="s">
        <v>189</v>
      </c>
      <c r="AB257" s="0" t="str">
        <f aca="false">IF($A257="","",IF(AT257="Y",BW257&amp;"",BJ257&amp;""))</f>
        <v/>
      </c>
      <c r="AC257" s="0" t="str">
        <f aca="false">IF($A257="","",IF(AT257="Y",BR257&amp;"",BE257&amp;""))</f>
        <v>founder</v>
      </c>
      <c r="AD257" s="0" t="str">
        <f aca="false">IF($A257="","",IF(AT257="Y",BS257&amp;"",BF257&amp;""))</f>
        <v>verified-page</v>
      </c>
      <c r="AE257" s="0" t="str">
        <f aca="false">IF($A257="","",IF(AT257="Y",BT257&amp;"",BG257&amp;""))</f>
        <v>employer's own site</v>
      </c>
      <c r="AF257" s="0" t="str">
        <f aca="false">IF($A257="","",IF(AT257="Y",BU257&amp;"",BH257&amp;""))</f>
        <v>https://livezesty.com/pages/about-zest</v>
      </c>
      <c r="AG257" s="0" t="str">
        <f aca="false">IF($A257="","",IF(AT257="Y",BV257&amp;"",BI257&amp;""))</f>
        <v>2026-10-23</v>
      </c>
      <c r="AH257" s="0" t="s">
        <v>11256</v>
      </c>
      <c r="AI257" s="0" t="s">
        <v>6621</v>
      </c>
      <c r="AJ257" s="0" t="s">
        <v>209</v>
      </c>
      <c r="AK257" s="0" t="s">
        <v>11257</v>
      </c>
      <c r="AL257" s="0" t="s">
        <v>164</v>
      </c>
      <c r="AM257" s="0" t="s">
        <v>5666</v>
      </c>
      <c r="AN257" s="0" t="s">
        <v>11253</v>
      </c>
      <c r="AO257" s="5" t="s">
        <v>189</v>
      </c>
      <c r="AR257" s="0" t="str">
        <f aca="false">IF($A257="","",IF(AND(CK257="pass",AO257&lt;&gt;"Y",C257&lt;&gt;"",OR(AU257&lt;&gt;"Y",AV257="Y")),"Y","N"))</f>
        <v>N</v>
      </c>
      <c r="AS257" s="0" t="str">
        <f aca="false">IF($A257="","",_xlfn.TEXTJOIN("; ",TRUE(),IF(CK257&lt;&gt;"pass","gated out",""),IF(AO257="Y","on hold: "&amp;AP257,""),IF(C257="","no contact named on an opened page",""),IF(AND(AU257="Y",AV257&lt;&gt;"Y"),"founder review pending (Founder review tab)","")))</f>
        <v>gated out</v>
      </c>
      <c r="AU257" s="0" t="s">
        <v>189</v>
      </c>
      <c r="AY257" s="0" t="s">
        <v>1032</v>
      </c>
      <c r="AZ257" s="0" t="s">
        <v>11258</v>
      </c>
      <c r="BA257" s="0" t="s">
        <v>5739</v>
      </c>
      <c r="BC257" s="0" t="str">
        <f aca="false">IF($A257="","",IFERROR(INDEX(Enrichment!$A$2:$GZ$2000,MATCH($A257,INDEX(Enrichment!$A$2:$GZ$2000,0,MATCH("row_id",Enrichment!$A$1:$GZ$1,0)),0),MATCH("work_email",Enrichment!$A$1:$GZ$1,0))&amp;"",""))</f>
        <v/>
      </c>
      <c r="BD257" s="0" t="str">
        <f aca="false">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none</v>
      </c>
      <c r="BE257" s="0" t="s">
        <v>5589</v>
      </c>
      <c r="BF257" s="0" t="s">
        <v>169</v>
      </c>
      <c r="BG257" s="0" t="s">
        <v>170</v>
      </c>
      <c r="BH257" s="0" t="s">
        <v>11255</v>
      </c>
      <c r="BI257" s="0" t="s">
        <v>263</v>
      </c>
      <c r="BK257" s="0" t="s">
        <v>5643</v>
      </c>
      <c r="BP257" s="0" t="str">
        <f aca="false">IF($A257="","",IFERROR(INDEX(Enrichment!$A$2:$GZ$2000,MATCH($A257,INDEX(Enrichment!$A$2:$GZ$2000,0,MATCH("row_id",Enrichment!$A$1:$GZ$1,0)),0),MATCH("backup_work_email",Enrichment!$A$1:$GZ$1,0))&amp;"",""))</f>
        <v/>
      </c>
      <c r="BQ257" s="0" t="str">
        <f aca="false">IF($A257="","",IF(BP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none</v>
      </c>
      <c r="BS257" s="0" t="s">
        <v>380</v>
      </c>
      <c r="BX257" s="0" t="s">
        <v>388</v>
      </c>
      <c r="BY257" s="0" t="s">
        <v>11259</v>
      </c>
      <c r="CB257" s="0" t="s">
        <v>11260</v>
      </c>
      <c r="CJ257" s="0" t="s">
        <v>7088</v>
      </c>
      <c r="CK257" s="0" t="s">
        <v>4627</v>
      </c>
      <c r="CL257" s="0" t="s">
        <v>10840</v>
      </c>
      <c r="CM257" s="0" t="s">
        <v>11261</v>
      </c>
      <c r="CO257" s="0" t="s">
        <v>11257</v>
      </c>
      <c r="CP257" s="0" t="s">
        <v>209</v>
      </c>
      <c r="CQ257" s="0" t="s">
        <v>209</v>
      </c>
      <c r="CR257" s="0" t="s">
        <v>209</v>
      </c>
      <c r="CT257" s="0" t="s">
        <v>209</v>
      </c>
      <c r="CU257" s="0" t="s">
        <v>11262</v>
      </c>
      <c r="CV257" s="0" t="s">
        <v>164</v>
      </c>
      <c r="CW257" s="0" t="s">
        <v>164</v>
      </c>
      <c r="CX257" s="0" t="s">
        <v>209</v>
      </c>
      <c r="CZ257" s="0" t="s">
        <v>6456</v>
      </c>
      <c r="DA257" s="0" t="s">
        <v>164</v>
      </c>
      <c r="DB257" s="0" t="s">
        <v>164</v>
      </c>
      <c r="DC257" s="0" t="s">
        <v>11263</v>
      </c>
      <c r="DE257" s="0" t="s">
        <v>189</v>
      </c>
      <c r="DF257" s="0" t="n">
        <v>0</v>
      </c>
      <c r="DI257" s="0" t="s">
        <v>209</v>
      </c>
      <c r="DK257" s="0" t="s">
        <v>380</v>
      </c>
      <c r="DN257" s="0" t="n">
        <v>28</v>
      </c>
      <c r="DO257" s="0" t="n">
        <v>6</v>
      </c>
      <c r="DP257" s="0" t="n">
        <v>4</v>
      </c>
      <c r="DQ257" s="0" t="n">
        <v>0</v>
      </c>
      <c r="DR257" s="0" t="n">
        <v>5</v>
      </c>
      <c r="DS257" s="0" t="n">
        <v>7</v>
      </c>
      <c r="DT257" s="0" t="n">
        <v>6</v>
      </c>
      <c r="DU257" s="0" t="n">
        <f aca="false">IF($A257="","",IF(R257="Y",10,0))</f>
        <v>0</v>
      </c>
      <c r="DV257" s="0" t="n">
        <v>0</v>
      </c>
      <c r="DW257" s="0" t="s">
        <v>11264</v>
      </c>
      <c r="DX257" s="0" t="s">
        <v>6462</v>
      </c>
      <c r="DY257" s="0" t="s">
        <v>11265</v>
      </c>
      <c r="DZ257" s="0" t="s">
        <v>11266</v>
      </c>
      <c r="EV257" s="0" t="str">
        <f aca="false">IF($A257="","",IF(ISNUMBER(MATCH(U257,{"queued","contacted","replied","call_booked","call_done","yes_in_principle","materials_sent"},0)),"Y","N"))</f>
        <v>N</v>
      </c>
      <c r="EW257" s="0" t="str">
        <f aca="false">IF($A257="","",IF(OR(T257="Y",U257="do_not_contact",AQ257&amp;""&lt;&gt;""),"Y","N"))</f>
        <v>N</v>
      </c>
      <c r="EX257" s="0" t="str">
        <f aca="false">IF($A257="","",IF(AN257&amp;""&lt;&gt;"",AN257&amp;"",$A257))</f>
        <v>AB-155</v>
      </c>
      <c r="EY257" s="0" t="str">
        <f aca="false">IF($A257="","",IF(COUNTIFS($EX$2:$EX$1000,EX257,$EV$2:$EV$1000,"Y")+COUNTIFS($EX$2:$EX$1000,EX257,$EW$2:$EW$1000,"Y")&gt;0,"Y","N"))</f>
        <v>N</v>
      </c>
      <c r="EZ257" s="0" t="str">
        <f aca="false">IF($A257="","",IF(AND(U257="new",T257="N",EW257="N",AR257="Y",EY257="N"),"Y","N"))</f>
        <v>N</v>
      </c>
      <c r="FA257" s="0" t="str">
        <f aca="false">IF($A257="","",IF(EZ257&lt;&gt;"Y","N",IF(COUNTIFS($EX$2:$EX$1000,EX257,$EZ$2:$EZ$1000,"Y",$J$2:$J$1000,"&gt;"&amp;J257)+COUNTIFS($EX$2:$EX$1000,EX257,$EZ$2:$EZ$1000,"Y",$J$2:$J$1000,J257,$FG$2:$FG$1000,"&lt;"&amp;FG257)=0,"Y","N")))</f>
        <v>N</v>
      </c>
      <c r="FB257" s="0" t="str">
        <f aca="false">IF($A257="","",IF(AND(EZ257="Y",FA257="Y",Y257&amp;""&lt;&gt;""),IF(Y257&lt;=10,"Y","N"),"N"))</f>
        <v>N</v>
      </c>
      <c r="FC257" s="0" t="str">
        <f aca="false">IF(FB257="Y",Y257,"")</f>
        <v/>
      </c>
      <c r="FD257" s="0" t="str">
        <f aca="false">IF($A257="","",IF(AND(CK257="pass",AU257="Y",AV257&lt;&gt;"Y",U257="new",EW257="N"),"Y","N"))</f>
        <v>N</v>
      </c>
      <c r="FE257" s="0" t="str">
        <f aca="false">IF(FD257&lt;&gt;"Y","",IF(COUNTIFS($FD$2:$FD$1000,"Y",$J$2:$J$1000,"&gt;"&amp;J257)+COUNTIFS($FD$2:$FD$1000,"Y",$J$2:$J$1000,J257,$FG$2:$FG$1000,"&lt;"&amp;FG257)+1&lt;=30,COUNTIFS($FD$2:$FD$1000,"Y",$J$2:$J$1000,"&gt;"&amp;J257)+COUNTIFS($FD$2:$FD$1000,"Y",$J$2:$J$1000,J257,$FG$2:$FG$1000,"&lt;"&amp;FG257)+1,""))</f>
        <v/>
      </c>
      <c r="FF257" s="0" t="str">
        <f aca="false">IF(AND(_xlfn.ISFORMULA(C257),_xlfn.ISFORMULA(J257)),"Y","N")</f>
        <v>Y</v>
      </c>
      <c r="FG257" s="0" t="n">
        <f aca="false">ROW()-1</f>
        <v>256</v>
      </c>
    </row>
    <row r="258" customFormat="false" ht="15" hidden="false" customHeight="false" outlineLevel="0" collapsed="false">
      <c r="A258" s="0" t="s">
        <v>11267</v>
      </c>
      <c r="B258" s="0" t="s">
        <v>11268</v>
      </c>
      <c r="C258" s="0" t="str">
        <f aca="false">IF($A258="","",IF(AT258="Y",BL258&amp;"",AY258&amp;""))</f>
        <v>Kathryn</v>
      </c>
      <c r="D258" s="0" t="str">
        <f aca="false">IF($A258="","",IF(AT258="Y",BM258&amp;"",AZ258&amp;""))</f>
        <v>unknown</v>
      </c>
      <c r="E258" s="0" t="str">
        <f aca="false">IF($A258="","",IF(AT258="Y",BN258&amp;"",BA258&amp;""))</f>
        <v>Co-founder</v>
      </c>
      <c r="F258" s="0" t="str">
        <f aca="false">IF($A258="","",IF(AT258="Y",BO258&amp;"",BB258&amp;""))</f>
        <v/>
      </c>
      <c r="G258" s="0" t="str">
        <f aca="false">IF($A258="","",IF(AT258="Y",BP258&amp;"",BC258&amp;""))</f>
        <v/>
      </c>
      <c r="H258" s="0" t="str">
        <f aca="false">IF($A258="","",IF(AT258="Y",BQ258&amp;"",BD258&amp;""))</f>
        <v>none</v>
      </c>
      <c r="I258" s="0" t="str">
        <f aca="false">IF($A258="","",IF(R258="Y","warm-intro",IF(H258="verified","email",IF(C258&lt;&gt;"","linkedin",CA258&amp;""))))</f>
        <v>linkedin</v>
      </c>
      <c r="J258" s="0" t="n">
        <f aca="false">IF($A258="","",IF(CK258="pass",ROUND(N(DO258)+N(DP258)+N(DQ258)+N(DR258)+N(DS258)+N(DT258)+N(DU258)+N(DV258),0),0))</f>
        <v>0</v>
      </c>
      <c r="K258" s="0" t="str">
        <f aca="false">IF($A258="","",IF(CK258&lt;&gt;"pass",BY258&amp;"",BY258&amp;", "&amp;IF(AT258="Y",BX258&amp;"",BK258&amp;"")&amp;BZ258&amp;IF(R258="Y","; known to the founder (+10)","")&amp;"."))</f>
        <v>Gated out: health-claim: explicit health claim on the brand's homepage (opened 2026-10-24): 'dates help regulate digestion, slow the absorption of naturally occurring suga.</v>
      </c>
      <c r="M258" s="0" t="s">
        <v>5572</v>
      </c>
      <c r="N258" s="0" t="s">
        <v>5573</v>
      </c>
      <c r="O258" s="0" t="s">
        <v>11269</v>
      </c>
      <c r="P258" s="0" t="s">
        <v>11270</v>
      </c>
      <c r="Q258" s="0" t="s">
        <v>5786</v>
      </c>
      <c r="R258" s="5" t="s">
        <v>189</v>
      </c>
      <c r="S258" s="0" t="s">
        <v>209</v>
      </c>
      <c r="T258" s="5" t="s">
        <v>189</v>
      </c>
      <c r="U258" s="5" t="s">
        <v>3896</v>
      </c>
      <c r="V258" s="0" t="s">
        <v>11271</v>
      </c>
      <c r="W258" s="0" t="s">
        <v>263</v>
      </c>
      <c r="X258" s="0" t="s">
        <v>5578</v>
      </c>
      <c r="Y258" s="0" t="str">
        <f aca="false">IF(FA258&lt;&gt;"Y","",COUNTIFS($FA$2:$FA$1000,"Y",$J$2:$J$1000,"&gt;"&amp;J258)+COUNTIFS($FA$2:$FA$1000,"Y",$J$2:$J$1000,J258,$FG$2:$FG$1000,"&lt;"&amp;FG258)+1)</f>
        <v/>
      </c>
      <c r="AA258" s="0" t="s">
        <v>189</v>
      </c>
      <c r="AB258" s="0" t="str">
        <f aca="false">IF($A258="","",IF(AT258="Y",BW258&amp;"",BJ258&amp;""))</f>
        <v/>
      </c>
      <c r="AC258" s="0" t="str">
        <f aca="false">IF($A258="","",IF(AT258="Y",BR258&amp;"",BE258&amp;""))</f>
        <v>founder</v>
      </c>
      <c r="AD258" s="0" t="str">
        <f aca="false">IF($A258="","",IF(AT258="Y",BS258&amp;"",BF258&amp;""))</f>
        <v>first-name-only</v>
      </c>
      <c r="AE258" s="0" t="str">
        <f aca="false">IF($A258="","",IF(AT258="Y",BT258&amp;"",BG258&amp;""))</f>
        <v>employer's own site</v>
      </c>
      <c r="AF258" s="0" t="str">
        <f aca="false">IF($A258="","",IF(AT258="Y",BU258&amp;"",BH258&amp;""))</f>
        <v>https://springandmulberry.com/pages/founders</v>
      </c>
      <c r="AG258" s="0" t="str">
        <f aca="false">IF($A258="","",IF(AT258="Y",BV258&amp;"",BI258&amp;""))</f>
        <v>2026-10-24</v>
      </c>
      <c r="AH258" s="0" t="s">
        <v>11272</v>
      </c>
      <c r="AI258" s="0" t="s">
        <v>5664</v>
      </c>
      <c r="AJ258" s="0" t="s">
        <v>10559</v>
      </c>
      <c r="AK258" s="0" t="s">
        <v>11273</v>
      </c>
      <c r="AL258" s="0" t="s">
        <v>164</v>
      </c>
      <c r="AM258" s="0" t="s">
        <v>11274</v>
      </c>
      <c r="AN258" s="0" t="s">
        <v>11267</v>
      </c>
      <c r="AO258" s="5" t="s">
        <v>189</v>
      </c>
      <c r="AR258" s="0" t="str">
        <f aca="false">IF($A258="","",IF(AND(CK258="pass",AO258&lt;&gt;"Y",C258&lt;&gt;"",OR(AU258&lt;&gt;"Y",AV258="Y")),"Y","N"))</f>
        <v>N</v>
      </c>
      <c r="AS258" s="0" t="str">
        <f aca="false">IF($A258="","",_xlfn.TEXTJOIN("; ",TRUE(),IF(CK258&lt;&gt;"pass","gated out",""),IF(AO258="Y","on hold: "&amp;AP258,""),IF(C258="","no contact named on an opened page",""),IF(AND(AU258="Y",AV258&lt;&gt;"Y"),"founder review pending (Founder review tab)","")))</f>
        <v>gated out</v>
      </c>
      <c r="AU258" s="0" t="s">
        <v>189</v>
      </c>
      <c r="AX258" s="0" t="s">
        <v>11275</v>
      </c>
      <c r="AY258" s="0" t="s">
        <v>11276</v>
      </c>
      <c r="AZ258" s="0" t="s">
        <v>209</v>
      </c>
      <c r="BA258" s="0" t="s">
        <v>5636</v>
      </c>
      <c r="BC258" s="0" t="str">
        <f aca="false">IF($A258="","",IFERROR(INDEX(Enrichment!$A$2:$GZ$2000,MATCH($A258,INDEX(Enrichment!$A$2:$GZ$2000,0,MATCH("row_id",Enrichment!$A$1:$GZ$1,0)),0),MATCH("work_email",Enrichment!$A$1:$GZ$1,0))&amp;"",""))</f>
        <v/>
      </c>
      <c r="BD258" s="0" t="str">
        <f aca="false">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none</v>
      </c>
      <c r="BE258" s="0" t="s">
        <v>5589</v>
      </c>
      <c r="BF258" s="0" t="s">
        <v>5896</v>
      </c>
      <c r="BG258" s="0" t="s">
        <v>170</v>
      </c>
      <c r="BH258" s="0" t="s">
        <v>11277</v>
      </c>
      <c r="BI258" s="0" t="s">
        <v>172</v>
      </c>
      <c r="BK258" s="0" t="s">
        <v>5898</v>
      </c>
      <c r="BL258" s="0" t="s">
        <v>7252</v>
      </c>
      <c r="BM258" s="0" t="s">
        <v>209</v>
      </c>
      <c r="BN258" s="0" t="s">
        <v>5636</v>
      </c>
      <c r="BP258" s="0" t="str">
        <f aca="false">IF($A258="","",IFERROR(INDEX(Enrichment!$A$2:$GZ$2000,MATCH($A258,INDEX(Enrichment!$A$2:$GZ$2000,0,MATCH("row_id",Enrichment!$A$1:$GZ$1,0)),0),MATCH("backup_work_email",Enrichment!$A$1:$GZ$1,0))&amp;"",""))</f>
        <v/>
      </c>
      <c r="BQ258" s="0" t="str">
        <f aca="false">IF($A258="","",IF(BP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none</v>
      </c>
      <c r="BR258" s="0" t="s">
        <v>5712</v>
      </c>
      <c r="BS258" s="0" t="s">
        <v>5896</v>
      </c>
      <c r="BT258" s="0" t="s">
        <v>170</v>
      </c>
      <c r="BU258" s="0" t="s">
        <v>11277</v>
      </c>
      <c r="BV258" s="0" t="s">
        <v>172</v>
      </c>
      <c r="BX258" s="0" t="s">
        <v>5898</v>
      </c>
      <c r="BY258" s="0" t="s">
        <v>11278</v>
      </c>
      <c r="CB258" s="0" t="s">
        <v>11276</v>
      </c>
      <c r="CD258" s="0" t="s">
        <v>11279</v>
      </c>
      <c r="CF258" s="0" t="s">
        <v>7252</v>
      </c>
      <c r="CH258" s="0" t="s">
        <v>11280</v>
      </c>
      <c r="CJ258" s="0" t="s">
        <v>6764</v>
      </c>
      <c r="CK258" s="0" t="s">
        <v>4627</v>
      </c>
      <c r="CL258" s="0" t="s">
        <v>10005</v>
      </c>
      <c r="CM258" s="0" t="s">
        <v>11281</v>
      </c>
      <c r="CN258" s="0" t="s">
        <v>5607</v>
      </c>
      <c r="CO258" s="0" t="s">
        <v>11273</v>
      </c>
      <c r="CP258" s="0" t="s">
        <v>7845</v>
      </c>
      <c r="CQ258" s="0" t="s">
        <v>6198</v>
      </c>
      <c r="CR258" s="0" t="s">
        <v>209</v>
      </c>
      <c r="CT258" s="0" t="s">
        <v>164</v>
      </c>
      <c r="CU258" s="0" t="s">
        <v>11282</v>
      </c>
      <c r="CV258" s="0" t="s">
        <v>164</v>
      </c>
      <c r="CW258" s="0" t="s">
        <v>164</v>
      </c>
      <c r="CX258" s="0" t="s">
        <v>209</v>
      </c>
      <c r="CZ258" s="0" t="s">
        <v>209</v>
      </c>
      <c r="DA258" s="0" t="s">
        <v>189</v>
      </c>
      <c r="DB258" s="0" t="s">
        <v>164</v>
      </c>
      <c r="DC258" s="0" t="s">
        <v>11283</v>
      </c>
      <c r="DD258" s="0" t="n">
        <v>0</v>
      </c>
      <c r="DE258" s="0" t="s">
        <v>164</v>
      </c>
      <c r="DF258" s="0" t="n">
        <v>3</v>
      </c>
      <c r="DG258" s="0" t="s">
        <v>5686</v>
      </c>
      <c r="DI258" s="0" t="s">
        <v>11284</v>
      </c>
      <c r="DJ258" s="0" t="s">
        <v>11285</v>
      </c>
      <c r="DK258" s="0" t="s">
        <v>5689</v>
      </c>
      <c r="DL258" s="0" t="n">
        <v>12</v>
      </c>
      <c r="DN258" s="0" t="n">
        <v>50</v>
      </c>
      <c r="DO258" s="0" t="n">
        <v>25</v>
      </c>
      <c r="DP258" s="0" t="n">
        <v>3</v>
      </c>
      <c r="DQ258" s="0" t="n">
        <v>8</v>
      </c>
      <c r="DR258" s="0" t="n">
        <v>5</v>
      </c>
      <c r="DS258" s="0" t="n">
        <v>10</v>
      </c>
      <c r="DT258" s="0" t="n">
        <v>3</v>
      </c>
      <c r="DU258" s="0" t="n">
        <f aca="false">IF($A258="","",IF(R258="Y",10,0))</f>
        <v>0</v>
      </c>
      <c r="DV258" s="0" t="n">
        <v>-4</v>
      </c>
      <c r="DW258" s="0" t="s">
        <v>11286</v>
      </c>
      <c r="DX258" s="0" t="s">
        <v>5691</v>
      </c>
      <c r="DY258" s="0" t="s">
        <v>11287</v>
      </c>
      <c r="DZ258" s="0" t="s">
        <v>11288</v>
      </c>
      <c r="EA258" s="0" t="s">
        <v>11289</v>
      </c>
      <c r="EV258" s="0" t="str">
        <f aca="false">IF($A258="","",IF(ISNUMBER(MATCH(U258,{"queued","contacted","replied","call_booked","call_done","yes_in_principle","materials_sent"},0)),"Y","N"))</f>
        <v>N</v>
      </c>
      <c r="EW258" s="0" t="str">
        <f aca="false">IF($A258="","",IF(OR(T258="Y",U258="do_not_contact",AQ258&amp;""&lt;&gt;""),"Y","N"))</f>
        <v>N</v>
      </c>
      <c r="EX258" s="0" t="str">
        <f aca="false">IF($A258="","",IF(AN258&amp;""&lt;&gt;"",AN258&amp;"",$A258))</f>
        <v>AB-080</v>
      </c>
      <c r="EY258" s="0" t="str">
        <f aca="false">IF($A258="","",IF(COUNTIFS($EX$2:$EX$1000,EX258,$EV$2:$EV$1000,"Y")+COUNTIFS($EX$2:$EX$1000,EX258,$EW$2:$EW$1000,"Y")&gt;0,"Y","N"))</f>
        <v>N</v>
      </c>
      <c r="EZ258" s="0" t="str">
        <f aca="false">IF($A258="","",IF(AND(U258="new",T258="N",EW258="N",AR258="Y",EY258="N"),"Y","N"))</f>
        <v>N</v>
      </c>
      <c r="FA258" s="0" t="str">
        <f aca="false">IF($A258="","",IF(EZ258&lt;&gt;"Y","N",IF(COUNTIFS($EX$2:$EX$1000,EX258,$EZ$2:$EZ$1000,"Y",$J$2:$J$1000,"&gt;"&amp;J258)+COUNTIFS($EX$2:$EX$1000,EX258,$EZ$2:$EZ$1000,"Y",$J$2:$J$1000,J258,$FG$2:$FG$1000,"&lt;"&amp;FG258)=0,"Y","N")))</f>
        <v>N</v>
      </c>
      <c r="FB258" s="0" t="str">
        <f aca="false">IF($A258="","",IF(AND(EZ258="Y",FA258="Y",Y258&amp;""&lt;&gt;""),IF(Y258&lt;=10,"Y","N"),"N"))</f>
        <v>N</v>
      </c>
      <c r="FC258" s="0" t="str">
        <f aca="false">IF(FB258="Y",Y258,"")</f>
        <v/>
      </c>
      <c r="FD258" s="0" t="str">
        <f aca="false">IF($A258="","",IF(AND(CK258="pass",AU258="Y",AV258&lt;&gt;"Y",U258="new",EW258="N"),"Y","N"))</f>
        <v>N</v>
      </c>
      <c r="FE258" s="0" t="str">
        <f aca="false">IF(FD258&lt;&gt;"Y","",IF(COUNTIFS($FD$2:$FD$1000,"Y",$J$2:$J$1000,"&gt;"&amp;J258)+COUNTIFS($FD$2:$FD$1000,"Y",$J$2:$J$1000,J258,$FG$2:$FG$1000,"&lt;"&amp;FG258)+1&lt;=30,COUNTIFS($FD$2:$FD$1000,"Y",$J$2:$J$1000,"&gt;"&amp;J258)+COUNTIFS($FD$2:$FD$1000,"Y",$J$2:$J$1000,J258,$FG$2:$FG$1000,"&lt;"&amp;FG258)+1,""))</f>
        <v/>
      </c>
      <c r="FF258" s="0" t="str">
        <f aca="false">IF(AND(_xlfn.ISFORMULA(C258),_xlfn.ISFORMULA(J258)),"Y","N")</f>
        <v>Y</v>
      </c>
      <c r="FG258" s="0" t="n">
        <f aca="false">ROW()-1</f>
        <v>257</v>
      </c>
    </row>
    <row r="259" customFormat="false" ht="15" hidden="false" customHeight="false" outlineLevel="0" collapsed="false">
      <c r="A259" s="0" t="s">
        <v>11290</v>
      </c>
      <c r="B259" s="0" t="s">
        <v>11291</v>
      </c>
      <c r="C259" s="0" t="str">
        <f aca="false">IF($A259="","",IF(AT259="Y",BL259&amp;"",AY259&amp;""))</f>
        <v>Kristy</v>
      </c>
      <c r="D259" s="0" t="str">
        <f aca="false">IF($A259="","",IF(AT259="Y",BM259&amp;"",AZ259&amp;""))</f>
        <v>unknown</v>
      </c>
      <c r="E259" s="0" t="str">
        <f aca="false">IF($A259="","",IF(AT259="Y",BN259&amp;"",BA259&amp;""))</f>
        <v>Founder</v>
      </c>
      <c r="F259" s="0" t="str">
        <f aca="false">IF($A259="","",IF(AT259="Y",BO259&amp;"",BB259&amp;""))</f>
        <v/>
      </c>
      <c r="G259" s="0" t="str">
        <f aca="false">IF($A259="","",IF(AT259="Y",BP259&amp;"",BC259&amp;""))</f>
        <v/>
      </c>
      <c r="H259" s="0" t="str">
        <f aca="false">IF($A259="","",IF(AT259="Y",BQ259&amp;"",BD259&amp;""))</f>
        <v>none</v>
      </c>
      <c r="I259" s="0" t="str">
        <f aca="false">IF($A259="","",IF(R259="Y","warm-intro",IF(H259="verified","email",IF(C259&lt;&gt;"","linkedin",CA259&amp;""))))</f>
        <v>linkedin</v>
      </c>
      <c r="J259" s="0" t="n">
        <f aca="false">IF($A259="","",IF(CK259="pass",ROUND(N(DO259)+N(DP259)+N(DQ259)+N(DR259)+N(DS259)+N(DT259)+N(DU259)+N(DV259),0),0))</f>
        <v>0</v>
      </c>
      <c r="K259" s="0" t="str">
        <f aca="false">IF($A259="","",IF(CK259&lt;&gt;"pass",BY259&amp;"",BY259&amp;", "&amp;IF(AT259="Y",BX259&amp;"",BK259&amp;"")&amp;BZ259&amp;IF(R259="Y","; known to the founder (+10)","")&amp;"."))</f>
        <v>Gated out: health-claim: explicit health claim in the brand's own copy (opened 2026-10-24): 'sorghum flour ..; aids digestion while making you feel fuller, longer; sunflow.</v>
      </c>
      <c r="M259" s="0" t="s">
        <v>5625</v>
      </c>
      <c r="N259" s="0" t="s">
        <v>5573</v>
      </c>
      <c r="R259" s="5" t="s">
        <v>189</v>
      </c>
      <c r="S259" s="0" t="s">
        <v>209</v>
      </c>
      <c r="T259" s="5" t="s">
        <v>189</v>
      </c>
      <c r="U259" s="5" t="s">
        <v>3896</v>
      </c>
      <c r="V259" s="0" t="s">
        <v>11292</v>
      </c>
      <c r="W259" s="0" t="s">
        <v>263</v>
      </c>
      <c r="X259" s="0" t="s">
        <v>5578</v>
      </c>
      <c r="Y259" s="0" t="str">
        <f aca="false">IF(FA259&lt;&gt;"Y","",COUNTIFS($FA$2:$FA$1000,"Y",$J$2:$J$1000,"&gt;"&amp;J259)+COUNTIFS($FA$2:$FA$1000,"Y",$J$2:$J$1000,J259,$FG$2:$FG$1000,"&lt;"&amp;FG259)+1)</f>
        <v/>
      </c>
      <c r="AA259" s="0" t="s">
        <v>189</v>
      </c>
      <c r="AB259" s="0" t="str">
        <f aca="false">IF($A259="","",IF(AT259="Y",BW259&amp;"",BJ259&amp;""))</f>
        <v/>
      </c>
      <c r="AC259" s="0" t="str">
        <f aca="false">IF($A259="","",IF(AT259="Y",BR259&amp;"",BE259&amp;""))</f>
        <v>founder</v>
      </c>
      <c r="AD259" s="0" t="str">
        <f aca="false">IF($A259="","",IF(AT259="Y",BS259&amp;"",BF259&amp;""))</f>
        <v>first-name-only</v>
      </c>
      <c r="AE259" s="0" t="str">
        <f aca="false">IF($A259="","",IF(AT259="Y",BT259&amp;"",BG259&amp;""))</f>
        <v>employer's own site</v>
      </c>
      <c r="AF259" s="0" t="str">
        <f aca="false">IF($A259="","",IF(AT259="Y",BU259&amp;"",BH259&amp;""))</f>
        <v>https://quinnsnacks.com/pages/story</v>
      </c>
      <c r="AG259" s="0" t="str">
        <f aca="false">IF($A259="","",IF(AT259="Y",BV259&amp;"",BI259&amp;""))</f>
        <v>2026-10-23</v>
      </c>
      <c r="AH259" s="0" t="s">
        <v>11293</v>
      </c>
      <c r="AI259" s="0" t="s">
        <v>5630</v>
      </c>
      <c r="AJ259" s="0" t="s">
        <v>7127</v>
      </c>
      <c r="AK259" s="0" t="s">
        <v>11294</v>
      </c>
      <c r="AL259" s="0" t="s">
        <v>164</v>
      </c>
      <c r="AM259" s="0" t="s">
        <v>11295</v>
      </c>
      <c r="AN259" s="0" t="s">
        <v>11290</v>
      </c>
      <c r="AO259" s="5" t="s">
        <v>189</v>
      </c>
      <c r="AR259" s="0" t="str">
        <f aca="false">IF($A259="","",IF(AND(CK259="pass",AO259&lt;&gt;"Y",C259&lt;&gt;"",OR(AU259&lt;&gt;"Y",AV259="Y")),"Y","N"))</f>
        <v>N</v>
      </c>
      <c r="AS259" s="0" t="str">
        <f aca="false">IF($A259="","",_xlfn.TEXTJOIN("; ",TRUE(),IF(CK259&lt;&gt;"pass","gated out",""),IF(AO259="Y","on hold: "&amp;AP259,""),IF(C259="","no contact named on an opened page",""),IF(AND(AU259="Y",AV259&lt;&gt;"Y"),"founder review pending (Founder review tab)","")))</f>
        <v>gated out</v>
      </c>
      <c r="AU259" s="0" t="s">
        <v>189</v>
      </c>
      <c r="AX259" s="0" t="s">
        <v>11296</v>
      </c>
      <c r="AY259" s="0" t="s">
        <v>11297</v>
      </c>
      <c r="AZ259" s="0" t="s">
        <v>209</v>
      </c>
      <c r="BA259" s="0" t="s">
        <v>5739</v>
      </c>
      <c r="BC259" s="0" t="str">
        <f aca="false">IF($A259="","",IFERROR(INDEX(Enrichment!$A$2:$GZ$2000,MATCH($A259,INDEX(Enrichment!$A$2:$GZ$2000,0,MATCH("row_id",Enrichment!$A$1:$GZ$1,0)),0),MATCH("work_email",Enrichment!$A$1:$GZ$1,0))&amp;"",""))</f>
        <v/>
      </c>
      <c r="BD259" s="0" t="str">
        <f aca="false">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none</v>
      </c>
      <c r="BE259" s="0" t="s">
        <v>5589</v>
      </c>
      <c r="BF259" s="0" t="s">
        <v>5896</v>
      </c>
      <c r="BG259" s="0" t="s">
        <v>170</v>
      </c>
      <c r="BH259" s="0" t="s">
        <v>11292</v>
      </c>
      <c r="BI259" s="0" t="s">
        <v>263</v>
      </c>
      <c r="BK259" s="0" t="s">
        <v>5898</v>
      </c>
      <c r="BP259" s="0" t="str">
        <f aca="false">IF($A259="","",IFERROR(INDEX(Enrichment!$A$2:$GZ$2000,MATCH($A259,INDEX(Enrichment!$A$2:$GZ$2000,0,MATCH("row_id",Enrichment!$A$1:$GZ$1,0)),0),MATCH("backup_work_email",Enrichment!$A$1:$GZ$1,0))&amp;"",""))</f>
        <v/>
      </c>
      <c r="BQ259" s="0" t="str">
        <f aca="false">IF($A259="","",IF(BP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none</v>
      </c>
      <c r="BS259" s="0" t="s">
        <v>380</v>
      </c>
      <c r="BX259" s="0" t="s">
        <v>388</v>
      </c>
      <c r="BY259" s="0" t="s">
        <v>11298</v>
      </c>
      <c r="CB259" s="0" t="s">
        <v>11297</v>
      </c>
      <c r="CD259" s="0" t="s">
        <v>11299</v>
      </c>
      <c r="CJ259" s="0" t="s">
        <v>7088</v>
      </c>
      <c r="CK259" s="0" t="s">
        <v>4627</v>
      </c>
      <c r="CL259" s="0" t="s">
        <v>10005</v>
      </c>
      <c r="CM259" s="0" t="s">
        <v>11300</v>
      </c>
      <c r="CN259" s="0" t="s">
        <v>443</v>
      </c>
      <c r="CO259" s="0" t="s">
        <v>11294</v>
      </c>
      <c r="CP259" s="0" t="s">
        <v>7145</v>
      </c>
      <c r="CQ259" s="0" t="s">
        <v>6198</v>
      </c>
      <c r="CR259" s="0" t="s">
        <v>209</v>
      </c>
      <c r="CT259" s="0" t="s">
        <v>164</v>
      </c>
      <c r="CU259" s="0" t="s">
        <v>11301</v>
      </c>
      <c r="CV259" s="0" t="s">
        <v>164</v>
      </c>
      <c r="CW259" s="0" t="s">
        <v>189</v>
      </c>
      <c r="CX259" s="0" t="s">
        <v>209</v>
      </c>
      <c r="CZ259" s="0" t="s">
        <v>209</v>
      </c>
      <c r="DA259" s="0" t="s">
        <v>189</v>
      </c>
      <c r="DB259" s="0" t="s">
        <v>164</v>
      </c>
      <c r="DC259" s="0" t="s">
        <v>11302</v>
      </c>
      <c r="DD259" s="0" t="n">
        <v>0</v>
      </c>
      <c r="DE259" s="0" t="s">
        <v>164</v>
      </c>
      <c r="DF259" s="0" t="n">
        <v>1</v>
      </c>
      <c r="DG259" s="0" t="s">
        <v>5650</v>
      </c>
      <c r="DI259" s="0" t="s">
        <v>6054</v>
      </c>
      <c r="DJ259" s="0" t="s">
        <v>11303</v>
      </c>
      <c r="DK259" s="0" t="s">
        <v>380</v>
      </c>
      <c r="DN259" s="0" t="n">
        <v>41</v>
      </c>
      <c r="DO259" s="0" t="n">
        <v>25</v>
      </c>
      <c r="DP259" s="0" t="n">
        <v>3</v>
      </c>
      <c r="DQ259" s="0" t="n">
        <v>0</v>
      </c>
      <c r="DR259" s="0" t="n">
        <v>5</v>
      </c>
      <c r="DS259" s="0" t="n">
        <v>7</v>
      </c>
      <c r="DT259" s="0" t="n">
        <v>3</v>
      </c>
      <c r="DU259" s="0" t="n">
        <f aca="false">IF($A259="","",IF(R259="Y",10,0))</f>
        <v>0</v>
      </c>
      <c r="DV259" s="0" t="n">
        <v>-2</v>
      </c>
      <c r="DW259" s="0" t="s">
        <v>209</v>
      </c>
      <c r="DX259" s="0" t="s">
        <v>5814</v>
      </c>
      <c r="DY259" s="0" t="s">
        <v>11304</v>
      </c>
      <c r="DZ259" s="0" t="s">
        <v>11305</v>
      </c>
      <c r="EA259" s="0" t="s">
        <v>11306</v>
      </c>
      <c r="EB259" s="0" t="s">
        <v>11307</v>
      </c>
      <c r="EV259" s="0" t="str">
        <f aca="false">IF($A259="","",IF(ISNUMBER(MATCH(U259,{"queued","contacted","replied","call_booked","call_done","yes_in_principle","materials_sent"},0)),"Y","N"))</f>
        <v>N</v>
      </c>
      <c r="EW259" s="0" t="str">
        <f aca="false">IF($A259="","",IF(OR(T259="Y",U259="do_not_contact",AQ259&amp;""&lt;&gt;""),"Y","N"))</f>
        <v>N</v>
      </c>
      <c r="EX259" s="0" t="str">
        <f aca="false">IF($A259="","",IF(AN259&amp;""&lt;&gt;"",AN259&amp;"",$A259))</f>
        <v>AB-044</v>
      </c>
      <c r="EY259" s="0" t="str">
        <f aca="false">IF($A259="","",IF(COUNTIFS($EX$2:$EX$1000,EX259,$EV$2:$EV$1000,"Y")+COUNTIFS($EX$2:$EX$1000,EX259,$EW$2:$EW$1000,"Y")&gt;0,"Y","N"))</f>
        <v>N</v>
      </c>
      <c r="EZ259" s="0" t="str">
        <f aca="false">IF($A259="","",IF(AND(U259="new",T259="N",EW259="N",AR259="Y",EY259="N"),"Y","N"))</f>
        <v>N</v>
      </c>
      <c r="FA259" s="0" t="str">
        <f aca="false">IF($A259="","",IF(EZ259&lt;&gt;"Y","N",IF(COUNTIFS($EX$2:$EX$1000,EX259,$EZ$2:$EZ$1000,"Y",$J$2:$J$1000,"&gt;"&amp;J259)+COUNTIFS($EX$2:$EX$1000,EX259,$EZ$2:$EZ$1000,"Y",$J$2:$J$1000,J259,$FG$2:$FG$1000,"&lt;"&amp;FG259)=0,"Y","N")))</f>
        <v>N</v>
      </c>
      <c r="FB259" s="0" t="str">
        <f aca="false">IF($A259="","",IF(AND(EZ259="Y",FA259="Y",Y259&amp;""&lt;&gt;""),IF(Y259&lt;=10,"Y","N"),"N"))</f>
        <v>N</v>
      </c>
      <c r="FC259" s="0" t="str">
        <f aca="false">IF(FB259="Y",Y259,"")</f>
        <v/>
      </c>
      <c r="FD259" s="0" t="str">
        <f aca="false">IF($A259="","",IF(AND(CK259="pass",AU259="Y",AV259&lt;&gt;"Y",U259="new",EW259="N"),"Y","N"))</f>
        <v>N</v>
      </c>
      <c r="FE259" s="0" t="str">
        <f aca="false">IF(FD259&lt;&gt;"Y","",IF(COUNTIFS($FD$2:$FD$1000,"Y",$J$2:$J$1000,"&gt;"&amp;J259)+COUNTIFS($FD$2:$FD$1000,"Y",$J$2:$J$1000,J259,$FG$2:$FG$1000,"&lt;"&amp;FG259)+1&lt;=30,COUNTIFS($FD$2:$FD$1000,"Y",$J$2:$J$1000,"&gt;"&amp;J259)+COUNTIFS($FD$2:$FD$1000,"Y",$J$2:$J$1000,J259,$FG$2:$FG$1000,"&lt;"&amp;FG259)+1,""))</f>
        <v/>
      </c>
      <c r="FF259" s="0" t="str">
        <f aca="false">IF(AND(_xlfn.ISFORMULA(C259),_xlfn.ISFORMULA(J259)),"Y","N")</f>
        <v>Y</v>
      </c>
      <c r="FG259" s="0" t="n">
        <f aca="false">ROW()-1</f>
        <v>258</v>
      </c>
    </row>
    <row r="260" customFormat="false" ht="15" hidden="false" customHeight="false" outlineLevel="0" collapsed="false">
      <c r="A260" s="0" t="s">
        <v>11308</v>
      </c>
      <c r="B260" s="0" t="s">
        <v>11309</v>
      </c>
      <c r="C260" s="0" t="str">
        <f aca="false">IF($A260="","",IF(AT260="Y",BL260&amp;"",AY260&amp;""))</f>
        <v>Alessia</v>
      </c>
      <c r="D260" s="0" t="str">
        <f aca="false">IF($A260="","",IF(AT260="Y",BM260&amp;"",AZ260&amp;""))</f>
        <v>unknown</v>
      </c>
      <c r="E260" s="0" t="str">
        <f aca="false">IF($A260="","",IF(AT260="Y",BN260&amp;"",BA260&amp;""))</f>
        <v>Founder and CEO</v>
      </c>
      <c r="F260" s="0" t="str">
        <f aca="false">IF($A260="","",IF(AT260="Y",BO260&amp;"",BB260&amp;""))</f>
        <v/>
      </c>
      <c r="G260" s="0" t="str">
        <f aca="false">IF($A260="","",IF(AT260="Y",BP260&amp;"",BC260&amp;""))</f>
        <v/>
      </c>
      <c r="H260" s="0" t="str">
        <f aca="false">IF($A260="","",IF(AT260="Y",BQ260&amp;"",BD260&amp;""))</f>
        <v>none</v>
      </c>
      <c r="I260" s="0" t="str">
        <f aca="false">IF($A260="","",IF(R260="Y","warm-intro",IF(H260="verified","email",IF(C260&lt;&gt;"","linkedin",CA260&amp;""))))</f>
        <v>linkedin</v>
      </c>
      <c r="J260" s="0" t="n">
        <f aca="false">IF($A260="","",IF(CK260="pass",ROUND(N(DO260)+N(DP260)+N(DQ260)+N(DR260)+N(DS260)+N(DT260)+N(DU260)+N(DV260),0),0))</f>
        <v>0</v>
      </c>
      <c r="K260" s="0" t="str">
        <f aca="false">IF($A260="","",IF(CK260&lt;&gt;"pass",BY260&amp;"",BY260&amp;", "&amp;IF(AT260="Y",BX260&amp;"",BK260&amp;"")&amp;BZ260&amp;IF(R260="Y","; known to the founder (+10)","")&amp;"."))</f>
        <v>Gated out: health-claim: FAQ says agave 'is also great for brain function and metabolism' (structure or function wording).</v>
      </c>
      <c r="M260" s="0" t="s">
        <v>11310</v>
      </c>
      <c r="N260" s="0" t="s">
        <v>5915</v>
      </c>
      <c r="O260" s="0" t="s">
        <v>11311</v>
      </c>
      <c r="P260" s="0" t="s">
        <v>11312</v>
      </c>
      <c r="Q260" s="0" t="s">
        <v>11313</v>
      </c>
      <c r="R260" s="5" t="s">
        <v>189</v>
      </c>
      <c r="S260" s="0" t="s">
        <v>209</v>
      </c>
      <c r="T260" s="5" t="s">
        <v>189</v>
      </c>
      <c r="U260" s="5" t="s">
        <v>3896</v>
      </c>
      <c r="V260" s="0" t="s">
        <v>11314</v>
      </c>
      <c r="W260" s="0" t="s">
        <v>263</v>
      </c>
      <c r="X260" s="0" t="s">
        <v>5578</v>
      </c>
      <c r="Y260" s="0" t="str">
        <f aca="false">IF(FA260&lt;&gt;"Y","",COUNTIFS($FA$2:$FA$1000,"Y",$J$2:$J$1000,"&gt;"&amp;J260)+COUNTIFS($FA$2:$FA$1000,"Y",$J$2:$J$1000,J260,$FG$2:$FG$1000,"&lt;"&amp;FG260)+1)</f>
        <v/>
      </c>
      <c r="AA260" s="0" t="s">
        <v>189</v>
      </c>
      <c r="AB260" s="0" t="str">
        <f aca="false">IF($A260="","",IF(AT260="Y",BW260&amp;"",BJ260&amp;""))</f>
        <v/>
      </c>
      <c r="AC260" s="0" t="str">
        <f aca="false">IF($A260="","",IF(AT260="Y",BR260&amp;"",BE260&amp;""))</f>
        <v>founder</v>
      </c>
      <c r="AD260" s="0" t="str">
        <f aca="false">IF($A260="","",IF(AT260="Y",BS260&amp;"",BF260&amp;""))</f>
        <v>first-name-only</v>
      </c>
      <c r="AE260" s="0" t="str">
        <f aca="false">IF($A260="","",IF(AT260="Y",BT260&amp;"",BG260&amp;""))</f>
        <v>employer's own site</v>
      </c>
      <c r="AF260" s="0" t="str">
        <f aca="false">IF($A260="","",IF(AT260="Y",BU260&amp;"",BH260&amp;""))</f>
        <v>https://drinkpari.com/pages/about</v>
      </c>
      <c r="AG260" s="0" t="str">
        <f aca="false">IF($A260="","",IF(AT260="Y",BV260&amp;"",BI260&amp;""))</f>
        <v>2026-10-23</v>
      </c>
      <c r="AH260" s="0" t="s">
        <v>11315</v>
      </c>
      <c r="AI260" s="0" t="s">
        <v>6699</v>
      </c>
      <c r="AJ260" s="0" t="s">
        <v>209</v>
      </c>
      <c r="AK260" s="0" t="s">
        <v>11316</v>
      </c>
      <c r="AL260" s="0" t="s">
        <v>164</v>
      </c>
      <c r="AM260" s="0" t="s">
        <v>11317</v>
      </c>
      <c r="AN260" s="0" t="s">
        <v>11308</v>
      </c>
      <c r="AO260" s="5" t="s">
        <v>189</v>
      </c>
      <c r="AR260" s="0" t="str">
        <f aca="false">IF($A260="","",IF(AND(CK260="pass",AO260&lt;&gt;"Y",C260&lt;&gt;"",OR(AU260&lt;&gt;"Y",AV260="Y")),"Y","N"))</f>
        <v>N</v>
      </c>
      <c r="AS260" s="0" t="str">
        <f aca="false">IF($A260="","",_xlfn.TEXTJOIN("; ",TRUE(),IF(CK260&lt;&gt;"pass","gated out",""),IF(AO260="Y","on hold: "&amp;AP260,""),IF(C260="","no contact named on an opened page",""),IF(AND(AU260="Y",AV260&lt;&gt;"Y"),"founder review pending (Founder review tab)","")))</f>
        <v>gated out</v>
      </c>
      <c r="AU260" s="0" t="s">
        <v>189</v>
      </c>
      <c r="AY260" s="0" t="s">
        <v>11318</v>
      </c>
      <c r="AZ260" s="0" t="s">
        <v>209</v>
      </c>
      <c r="BA260" s="0" t="s">
        <v>5670</v>
      </c>
      <c r="BC260" s="0" t="str">
        <f aca="false">IF($A260="","",IFERROR(INDEX(Enrichment!$A$2:$GZ$2000,MATCH($A260,INDEX(Enrichment!$A$2:$GZ$2000,0,MATCH("row_id",Enrichment!$A$1:$GZ$1,0)),0),MATCH("work_email",Enrichment!$A$1:$GZ$1,0))&amp;"",""))</f>
        <v/>
      </c>
      <c r="BD260" s="0" t="str">
        <f aca="false">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none</v>
      </c>
      <c r="BE260" s="0" t="s">
        <v>5589</v>
      </c>
      <c r="BF260" s="0" t="s">
        <v>5896</v>
      </c>
      <c r="BG260" s="0" t="s">
        <v>170</v>
      </c>
      <c r="BH260" s="0" t="s">
        <v>11314</v>
      </c>
      <c r="BI260" s="0" t="s">
        <v>263</v>
      </c>
      <c r="BK260" s="0" t="s">
        <v>5898</v>
      </c>
      <c r="BP260" s="0" t="str">
        <f aca="false">IF($A260="","",IFERROR(INDEX(Enrichment!$A$2:$GZ$2000,MATCH($A260,INDEX(Enrichment!$A$2:$GZ$2000,0,MATCH("row_id",Enrichment!$A$1:$GZ$1,0)),0),MATCH("backup_work_email",Enrichment!$A$1:$GZ$1,0))&amp;"",""))</f>
        <v/>
      </c>
      <c r="BQ260" s="0" t="str">
        <f aca="false">IF($A260="","",IF(BP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none</v>
      </c>
      <c r="BS260" s="0" t="s">
        <v>380</v>
      </c>
      <c r="BX260" s="0" t="s">
        <v>388</v>
      </c>
      <c r="BY260" s="0" t="s">
        <v>11319</v>
      </c>
      <c r="CB260" s="0" t="s">
        <v>11318</v>
      </c>
      <c r="CJ260" s="0" t="s">
        <v>7088</v>
      </c>
      <c r="CK260" s="0" t="s">
        <v>4627</v>
      </c>
      <c r="CL260" s="0" t="s">
        <v>10005</v>
      </c>
      <c r="CM260" s="0" t="s">
        <v>11320</v>
      </c>
      <c r="CN260" s="0" t="s">
        <v>5607</v>
      </c>
      <c r="CO260" s="0" t="s">
        <v>11316</v>
      </c>
      <c r="CP260" s="0" t="s">
        <v>209</v>
      </c>
      <c r="CQ260" s="0" t="s">
        <v>209</v>
      </c>
      <c r="CR260" s="0" t="s">
        <v>209</v>
      </c>
      <c r="CT260" s="0" t="s">
        <v>164</v>
      </c>
      <c r="CU260" s="0" t="s">
        <v>11321</v>
      </c>
      <c r="CV260" s="0" t="s">
        <v>164</v>
      </c>
      <c r="CW260" s="0" t="s">
        <v>164</v>
      </c>
      <c r="CX260" s="0" t="s">
        <v>209</v>
      </c>
      <c r="CZ260" s="0" t="s">
        <v>6456</v>
      </c>
      <c r="DA260" s="0" t="s">
        <v>164</v>
      </c>
      <c r="DB260" s="0" t="s">
        <v>164</v>
      </c>
      <c r="DC260" s="0" t="s">
        <v>11322</v>
      </c>
      <c r="DD260" s="0" t="n">
        <v>0</v>
      </c>
      <c r="DE260" s="0" t="s">
        <v>164</v>
      </c>
      <c r="DF260" s="0" t="n">
        <v>7</v>
      </c>
      <c r="DG260" s="0" t="s">
        <v>11323</v>
      </c>
      <c r="DI260" s="0" t="s">
        <v>11324</v>
      </c>
      <c r="DJ260" s="0" t="s">
        <v>11325</v>
      </c>
      <c r="DK260" s="0" t="s">
        <v>5689</v>
      </c>
      <c r="DL260" s="0" t="n">
        <v>267</v>
      </c>
      <c r="DN260" s="0" t="n">
        <v>39</v>
      </c>
      <c r="DO260" s="0" t="n">
        <v>17</v>
      </c>
      <c r="DP260" s="0" t="n">
        <v>4</v>
      </c>
      <c r="DQ260" s="0" t="n">
        <v>4</v>
      </c>
      <c r="DR260" s="0" t="n">
        <v>5</v>
      </c>
      <c r="DS260" s="0" t="n">
        <v>10</v>
      </c>
      <c r="DT260" s="0" t="n">
        <v>3</v>
      </c>
      <c r="DU260" s="0" t="n">
        <f aca="false">IF($A260="","",IF(R260="Y",10,0))</f>
        <v>0</v>
      </c>
      <c r="DV260" s="0" t="n">
        <v>-4</v>
      </c>
      <c r="DW260" s="0" t="s">
        <v>11326</v>
      </c>
      <c r="DX260" s="0" t="s">
        <v>6462</v>
      </c>
      <c r="DY260" s="0" t="s">
        <v>11327</v>
      </c>
      <c r="DZ260" s="0" t="s">
        <v>11328</v>
      </c>
      <c r="EV260" s="0" t="str">
        <f aca="false">IF($A260="","",IF(ISNUMBER(MATCH(U260,{"queued","contacted","replied","call_booked","call_done","yes_in_principle","materials_sent"},0)),"Y","N"))</f>
        <v>N</v>
      </c>
      <c r="EW260" s="0" t="str">
        <f aca="false">IF($A260="","",IF(OR(T260="Y",U260="do_not_contact",AQ260&amp;""&lt;&gt;""),"Y","N"))</f>
        <v>N</v>
      </c>
      <c r="EX260" s="0" t="str">
        <f aca="false">IF($A260="","",IF(AN260&amp;""&lt;&gt;"",AN260&amp;"",$A260))</f>
        <v>AB-195</v>
      </c>
      <c r="EY260" s="0" t="str">
        <f aca="false">IF($A260="","",IF(COUNTIFS($EX$2:$EX$1000,EX260,$EV$2:$EV$1000,"Y")+COUNTIFS($EX$2:$EX$1000,EX260,$EW$2:$EW$1000,"Y")&gt;0,"Y","N"))</f>
        <v>N</v>
      </c>
      <c r="EZ260" s="0" t="str">
        <f aca="false">IF($A260="","",IF(AND(U260="new",T260="N",EW260="N",AR260="Y",EY260="N"),"Y","N"))</f>
        <v>N</v>
      </c>
      <c r="FA260" s="0" t="str">
        <f aca="false">IF($A260="","",IF(EZ260&lt;&gt;"Y","N",IF(COUNTIFS($EX$2:$EX$1000,EX260,$EZ$2:$EZ$1000,"Y",$J$2:$J$1000,"&gt;"&amp;J260)+COUNTIFS($EX$2:$EX$1000,EX260,$EZ$2:$EZ$1000,"Y",$J$2:$J$1000,J260,$FG$2:$FG$1000,"&lt;"&amp;FG260)=0,"Y","N")))</f>
        <v>N</v>
      </c>
      <c r="FB260" s="0" t="str">
        <f aca="false">IF($A260="","",IF(AND(EZ260="Y",FA260="Y",Y260&amp;""&lt;&gt;""),IF(Y260&lt;=10,"Y","N"),"N"))</f>
        <v>N</v>
      </c>
      <c r="FC260" s="0" t="str">
        <f aca="false">IF(FB260="Y",Y260,"")</f>
        <v/>
      </c>
      <c r="FD260" s="0" t="str">
        <f aca="false">IF($A260="","",IF(AND(CK260="pass",AU260="Y",AV260&lt;&gt;"Y",U260="new",EW260="N"),"Y","N"))</f>
        <v>N</v>
      </c>
      <c r="FE260" s="0" t="str">
        <f aca="false">IF(FD260&lt;&gt;"Y","",IF(COUNTIFS($FD$2:$FD$1000,"Y",$J$2:$J$1000,"&gt;"&amp;J260)+COUNTIFS($FD$2:$FD$1000,"Y",$J$2:$J$1000,J260,$FG$2:$FG$1000,"&lt;"&amp;FG260)+1&lt;=30,COUNTIFS($FD$2:$FD$1000,"Y",$J$2:$J$1000,"&gt;"&amp;J260)+COUNTIFS($FD$2:$FD$1000,"Y",$J$2:$J$1000,J260,$FG$2:$FG$1000,"&lt;"&amp;FG260)+1,""))</f>
        <v/>
      </c>
      <c r="FF260" s="0" t="str">
        <f aca="false">IF(AND(_xlfn.ISFORMULA(C260),_xlfn.ISFORMULA(J260)),"Y","N")</f>
        <v>Y</v>
      </c>
      <c r="FG260" s="0" t="n">
        <f aca="false">ROW()-1</f>
        <v>259</v>
      </c>
    </row>
    <row r="261" customFormat="false" ht="15" hidden="false" customHeight="false" outlineLevel="0" collapsed="false">
      <c r="A261" s="0" t="s">
        <v>11329</v>
      </c>
      <c r="B261" s="0" t="s">
        <v>11330</v>
      </c>
      <c r="C261" s="0" t="str">
        <f aca="false">IF($A261="","",IF(AT261="Y",BL261&amp;"",AY261&amp;""))</f>
        <v>Elan</v>
      </c>
      <c r="D261" s="0" t="str">
        <f aca="false">IF($A261="","",IF(AT261="Y",BM261&amp;"",AZ261&amp;""))</f>
        <v>unknown</v>
      </c>
      <c r="E261" s="0" t="str">
        <f aca="false">IF($A261="","",IF(AT261="Y",BN261&amp;"",BA261&amp;""))</f>
        <v>Co-founder</v>
      </c>
      <c r="F261" s="0" t="str">
        <f aca="false">IF($A261="","",IF(AT261="Y",BO261&amp;"",BB261&amp;""))</f>
        <v/>
      </c>
      <c r="G261" s="0" t="str">
        <f aca="false">IF($A261="","",IF(AT261="Y",BP261&amp;"",BC261&amp;""))</f>
        <v/>
      </c>
      <c r="H261" s="0" t="str">
        <f aca="false">IF($A261="","",IF(AT261="Y",BQ261&amp;"",BD261&amp;""))</f>
        <v>none</v>
      </c>
      <c r="I261" s="0" t="str">
        <f aca="false">IF($A261="","",IF(R261="Y","warm-intro",IF(H261="verified","email",IF(C261&lt;&gt;"","linkedin",CA261&amp;""))))</f>
        <v>linkedin</v>
      </c>
      <c r="J261" s="0" t="n">
        <f aca="false">IF($A261="","",IF(CK261="pass",ROUND(N(DO261)+N(DP261)+N(DQ261)+N(DR261)+N(DS261)+N(DT261)+N(DU261)+N(DV261),0),0))</f>
        <v>0</v>
      </c>
      <c r="K261" s="0" t="str">
        <f aca="false">IF($A261="","",IF(CK261&lt;&gt;"pass",BY261&amp;"",BY261&amp;", "&amp;IF(AT261="Y",BX261&amp;"",BK261&amp;"")&amp;BZ261&amp;IF(R261="Y","; known to the founder (+10)","")&amp;"."))</f>
        <v>Gated out: not-shelf-stable: Refrigerated dairy; site also claims it 'Supports digestion &amp; immune health'.</v>
      </c>
      <c r="M261" s="0" t="s">
        <v>6144</v>
      </c>
      <c r="N261" s="0" t="s">
        <v>740</v>
      </c>
      <c r="O261" s="0" t="s">
        <v>11331</v>
      </c>
      <c r="P261" s="0" t="s">
        <v>6146</v>
      </c>
      <c r="Q261" s="0" t="s">
        <v>3096</v>
      </c>
      <c r="R261" s="5" t="s">
        <v>189</v>
      </c>
      <c r="S261" s="0" t="s">
        <v>164</v>
      </c>
      <c r="T261" s="5" t="s">
        <v>189</v>
      </c>
      <c r="U261" s="5" t="s">
        <v>3896</v>
      </c>
      <c r="V261" s="0" t="s">
        <v>6146</v>
      </c>
      <c r="W261" s="0" t="s">
        <v>172</v>
      </c>
      <c r="X261" s="0" t="s">
        <v>5578</v>
      </c>
      <c r="Y261" s="0" t="str">
        <f aca="false">IF(FA261&lt;&gt;"Y","",COUNTIFS($FA$2:$FA$1000,"Y",$J$2:$J$1000,"&gt;"&amp;J261)+COUNTIFS($FA$2:$FA$1000,"Y",$J$2:$J$1000,J261,$FG$2:$FG$1000,"&lt;"&amp;FG261)+1)</f>
        <v/>
      </c>
      <c r="AA261" s="0" t="s">
        <v>189</v>
      </c>
      <c r="AB261" s="0" t="str">
        <f aca="false">IF($A261="","",IF(AT261="Y",BW261&amp;"",BJ261&amp;""))</f>
        <v/>
      </c>
      <c r="AC261" s="0" t="str">
        <f aca="false">IF($A261="","",IF(AT261="Y",BR261&amp;"",BE261&amp;""))</f>
        <v>founder</v>
      </c>
      <c r="AD261" s="0" t="str">
        <f aca="false">IF($A261="","",IF(AT261="Y",BS261&amp;"",BF261&amp;""))</f>
        <v>first-name-only</v>
      </c>
      <c r="AE261" s="0" t="str">
        <f aca="false">IF($A261="","",IF(AT261="Y",BT261&amp;"",BG261&amp;""))</f>
        <v>employer's own site</v>
      </c>
      <c r="AF261" s="0" t="str">
        <f aca="false">IF($A261="","",IF(AT261="Y",BU261&amp;"",BH261&amp;""))</f>
        <v>https://www.sourmilk.com</v>
      </c>
      <c r="AG261" s="0" t="str">
        <f aca="false">IF($A261="","",IF(AT261="Y",BV261&amp;"",BI261&amp;""))</f>
        <v>2026-10-24</v>
      </c>
      <c r="AH261" s="0" t="s">
        <v>11332</v>
      </c>
      <c r="AI261" s="0" t="s">
        <v>6042</v>
      </c>
      <c r="AJ261" s="0" t="s">
        <v>6149</v>
      </c>
      <c r="AK261" s="0" t="s">
        <v>11333</v>
      </c>
      <c r="AL261" s="0" t="s">
        <v>189</v>
      </c>
      <c r="AN261" s="0" t="s">
        <v>11329</v>
      </c>
      <c r="AO261" s="5" t="s">
        <v>189</v>
      </c>
      <c r="AR261" s="0" t="str">
        <f aca="false">IF($A261="","",IF(AND(CK261="pass",AO261&lt;&gt;"Y",C261&lt;&gt;"",OR(AU261&lt;&gt;"Y",AV261="Y")),"Y","N"))</f>
        <v>N</v>
      </c>
      <c r="AS261" s="0" t="str">
        <f aca="false">IF($A261="","",_xlfn.TEXTJOIN("; ",TRUE(),IF(CK261&lt;&gt;"pass","gated out",""),IF(AO261="Y","on hold: "&amp;AP261,""),IF(C261="","no contact named on an opened page",""),IF(AND(AU261="Y",AV261&lt;&gt;"Y"),"founder review pending (Founder review tab)","")))</f>
        <v>gated out</v>
      </c>
      <c r="AU261" s="0" t="s">
        <v>189</v>
      </c>
      <c r="AY261" s="0" t="s">
        <v>11334</v>
      </c>
      <c r="AZ261" s="0" t="s">
        <v>209</v>
      </c>
      <c r="BA261" s="0" t="s">
        <v>5636</v>
      </c>
      <c r="BC261" s="0" t="str">
        <f aca="false">IF($A261="","",IFERROR(INDEX(Enrichment!$A$2:$GZ$2000,MATCH($A261,INDEX(Enrichment!$A$2:$GZ$2000,0,MATCH("row_id",Enrichment!$A$1:$GZ$1,0)),0),MATCH("work_email",Enrichment!$A$1:$GZ$1,0))&amp;"",""))</f>
        <v/>
      </c>
      <c r="BD261" s="0" t="str">
        <f aca="false">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none</v>
      </c>
      <c r="BE261" s="0" t="s">
        <v>5589</v>
      </c>
      <c r="BF261" s="0" t="s">
        <v>5896</v>
      </c>
      <c r="BG261" s="0" t="s">
        <v>170</v>
      </c>
      <c r="BH261" s="0" t="s">
        <v>11333</v>
      </c>
      <c r="BI261" s="0" t="s">
        <v>172</v>
      </c>
      <c r="BK261" s="0" t="s">
        <v>5898</v>
      </c>
      <c r="BL261" s="0" t="s">
        <v>11335</v>
      </c>
      <c r="BM261" s="0" t="s">
        <v>209</v>
      </c>
      <c r="BN261" s="0" t="s">
        <v>5636</v>
      </c>
      <c r="BP261" s="0" t="str">
        <f aca="false">IF($A261="","",IFERROR(INDEX(Enrichment!$A$2:$GZ$2000,MATCH($A261,INDEX(Enrichment!$A$2:$GZ$2000,0,MATCH("row_id",Enrichment!$A$1:$GZ$1,0)),0),MATCH("backup_work_email",Enrichment!$A$1:$GZ$1,0))&amp;"",""))</f>
        <v/>
      </c>
      <c r="BQ261" s="0" t="str">
        <f aca="false">IF($A261="","",IF(BP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none</v>
      </c>
      <c r="BR261" s="0" t="s">
        <v>7748</v>
      </c>
      <c r="BS261" s="0" t="s">
        <v>5896</v>
      </c>
      <c r="BT261" s="0" t="s">
        <v>170</v>
      </c>
      <c r="BU261" s="0" t="s">
        <v>11333</v>
      </c>
      <c r="BV261" s="0" t="s">
        <v>172</v>
      </c>
      <c r="BX261" s="0" t="s">
        <v>5898</v>
      </c>
      <c r="BY261" s="0" t="s">
        <v>11336</v>
      </c>
      <c r="CB261" s="0" t="s">
        <v>11334</v>
      </c>
      <c r="CD261" s="0" t="s">
        <v>7751</v>
      </c>
      <c r="CF261" s="0" t="s">
        <v>11335</v>
      </c>
      <c r="CH261" s="0" t="s">
        <v>7751</v>
      </c>
      <c r="CJ261" s="0" t="s">
        <v>7088</v>
      </c>
      <c r="CK261" s="0" t="s">
        <v>4627</v>
      </c>
      <c r="CL261" s="0" t="s">
        <v>10343</v>
      </c>
      <c r="CM261" s="0" t="s">
        <v>11337</v>
      </c>
      <c r="CO261" s="0" t="s">
        <v>11333</v>
      </c>
      <c r="CP261" s="0" t="s">
        <v>5608</v>
      </c>
      <c r="CQ261" s="0" t="s">
        <v>5609</v>
      </c>
      <c r="CR261" s="0" t="s">
        <v>209</v>
      </c>
      <c r="CT261" s="0" t="s">
        <v>189</v>
      </c>
      <c r="CU261" s="0" t="s">
        <v>11338</v>
      </c>
      <c r="CV261" s="0" t="s">
        <v>164</v>
      </c>
      <c r="CW261" s="0" t="s">
        <v>164</v>
      </c>
      <c r="CX261" s="0" t="s">
        <v>209</v>
      </c>
      <c r="CZ261" s="0" t="s">
        <v>5993</v>
      </c>
      <c r="DA261" s="0" t="s">
        <v>164</v>
      </c>
      <c r="DB261" s="0" t="s">
        <v>164</v>
      </c>
      <c r="DC261" s="0" t="s">
        <v>11339</v>
      </c>
      <c r="DE261" s="0" t="s">
        <v>189</v>
      </c>
      <c r="DF261" s="0" t="n">
        <v>0</v>
      </c>
      <c r="DI261" s="0" t="s">
        <v>209</v>
      </c>
      <c r="DK261" s="0" t="s">
        <v>5617</v>
      </c>
      <c r="DL261" s="0" t="n">
        <v>144</v>
      </c>
      <c r="DM261" s="0" t="s">
        <v>5979</v>
      </c>
      <c r="DN261" s="0" t="n">
        <v>55</v>
      </c>
      <c r="DO261" s="0" t="n">
        <v>6</v>
      </c>
      <c r="DP261" s="0" t="n">
        <v>20</v>
      </c>
      <c r="DQ261" s="0" t="n">
        <v>15</v>
      </c>
      <c r="DR261" s="0" t="n">
        <v>5</v>
      </c>
      <c r="DS261" s="0" t="n">
        <v>6</v>
      </c>
      <c r="DT261" s="0" t="n">
        <v>3</v>
      </c>
      <c r="DU261" s="0" t="n">
        <f aca="false">IF($A261="","",IF(R261="Y",10,0))</f>
        <v>0</v>
      </c>
      <c r="DV261" s="0" t="n">
        <v>0</v>
      </c>
      <c r="DW261" s="0" t="s">
        <v>11340</v>
      </c>
      <c r="DX261" s="0" t="s">
        <v>5998</v>
      </c>
      <c r="DY261" s="0" t="s">
        <v>11341</v>
      </c>
      <c r="DZ261" s="0" t="s">
        <v>11342</v>
      </c>
      <c r="EV261" s="0" t="str">
        <f aca="false">IF($A261="","",IF(ISNUMBER(MATCH(U261,{"queued","contacted","replied","call_booked","call_done","yes_in_principle","materials_sent"},0)),"Y","N"))</f>
        <v>N</v>
      </c>
      <c r="EW261" s="0" t="str">
        <f aca="false">IF($A261="","",IF(OR(T261="Y",U261="do_not_contact",AQ261&amp;""&lt;&gt;""),"Y","N"))</f>
        <v>N</v>
      </c>
      <c r="EX261" s="0" t="str">
        <f aca="false">IF($A261="","",IF(AN261&amp;""&lt;&gt;"",AN261&amp;"",$A261))</f>
        <v>AB-305</v>
      </c>
      <c r="EY261" s="0" t="str">
        <f aca="false">IF($A261="","",IF(COUNTIFS($EX$2:$EX$1000,EX261,$EV$2:$EV$1000,"Y")+COUNTIFS($EX$2:$EX$1000,EX261,$EW$2:$EW$1000,"Y")&gt;0,"Y","N"))</f>
        <v>N</v>
      </c>
      <c r="EZ261" s="0" t="str">
        <f aca="false">IF($A261="","",IF(AND(U261="new",T261="N",EW261="N",AR261="Y",EY261="N"),"Y","N"))</f>
        <v>N</v>
      </c>
      <c r="FA261" s="0" t="str">
        <f aca="false">IF($A261="","",IF(EZ261&lt;&gt;"Y","N",IF(COUNTIFS($EX$2:$EX$1000,EX261,$EZ$2:$EZ$1000,"Y",$J$2:$J$1000,"&gt;"&amp;J261)+COUNTIFS($EX$2:$EX$1000,EX261,$EZ$2:$EZ$1000,"Y",$J$2:$J$1000,J261,$FG$2:$FG$1000,"&lt;"&amp;FG261)=0,"Y","N")))</f>
        <v>N</v>
      </c>
      <c r="FB261" s="0" t="str">
        <f aca="false">IF($A261="","",IF(AND(EZ261="Y",FA261="Y",Y261&amp;""&lt;&gt;""),IF(Y261&lt;=10,"Y","N"),"N"))</f>
        <v>N</v>
      </c>
      <c r="FC261" s="0" t="str">
        <f aca="false">IF(FB261="Y",Y261,"")</f>
        <v/>
      </c>
      <c r="FD261" s="0" t="str">
        <f aca="false">IF($A261="","",IF(AND(CK261="pass",AU261="Y",AV261&lt;&gt;"Y",U261="new",EW261="N"),"Y","N"))</f>
        <v>N</v>
      </c>
      <c r="FE261" s="0" t="str">
        <f aca="false">IF(FD261&lt;&gt;"Y","",IF(COUNTIFS($FD$2:$FD$1000,"Y",$J$2:$J$1000,"&gt;"&amp;J261)+COUNTIFS($FD$2:$FD$1000,"Y",$J$2:$J$1000,J261,$FG$2:$FG$1000,"&lt;"&amp;FG261)+1&lt;=30,COUNTIFS($FD$2:$FD$1000,"Y",$J$2:$J$1000,"&gt;"&amp;J261)+COUNTIFS($FD$2:$FD$1000,"Y",$J$2:$J$1000,J261,$FG$2:$FG$1000,"&lt;"&amp;FG261)+1,""))</f>
        <v/>
      </c>
      <c r="FF261" s="0" t="str">
        <f aca="false">IF(AND(_xlfn.ISFORMULA(C261),_xlfn.ISFORMULA(J261)),"Y","N")</f>
        <v>Y</v>
      </c>
      <c r="FG261" s="0" t="n">
        <f aca="false">ROW()-1</f>
        <v>260</v>
      </c>
    </row>
    <row r="262" customFormat="false" ht="15" hidden="false" customHeight="false" outlineLevel="0" collapsed="false">
      <c r="A262" s="0" t="s">
        <v>11343</v>
      </c>
      <c r="B262" s="0" t="s">
        <v>11344</v>
      </c>
      <c r="C262" s="0" t="str">
        <f aca="false">IF($A262="","",IF(AT262="Y",BL262&amp;"",AY262&amp;""))</f>
        <v>Frann</v>
      </c>
      <c r="D262" s="0" t="str">
        <f aca="false">IF($A262="","",IF(AT262="Y",BM262&amp;"",AZ262&amp;""))</f>
        <v>unknown</v>
      </c>
      <c r="E262" s="0" t="str">
        <f aca="false">IF($A262="","",IF(AT262="Y",BN262&amp;"",BA262&amp;""))</f>
        <v>Founder</v>
      </c>
      <c r="F262" s="0" t="str">
        <f aca="false">IF($A262="","",IF(AT262="Y",BO262&amp;"",BB262&amp;""))</f>
        <v/>
      </c>
      <c r="G262" s="0" t="str">
        <f aca="false">IF($A262="","",IF(AT262="Y",BP262&amp;"",BC262&amp;""))</f>
        <v/>
      </c>
      <c r="H262" s="0" t="str">
        <f aca="false">IF($A262="","",IF(AT262="Y",BQ262&amp;"",BD262&amp;""))</f>
        <v>none</v>
      </c>
      <c r="I262" s="0" t="str">
        <f aca="false">IF($A262="","",IF(R262="Y","warm-intro",IF(H262="verified","email",IF(C262&lt;&gt;"","linkedin",CA262&amp;""))))</f>
        <v>linkedin</v>
      </c>
      <c r="J262" s="0" t="n">
        <f aca="false">IF($A262="","",IF(CK262="pass",ROUND(N(DO262)+N(DP262)+N(DQ262)+N(DR262)+N(DS262)+N(DT262)+N(DU262)+N(DV262),0),0))</f>
        <v>0</v>
      </c>
      <c r="K262" s="0" t="str">
        <f aca="false">IF($A262="","",IF(CK262&lt;&gt;"pass",BY262&amp;"",BY262&amp;", "&amp;IF(AT262="Y",BX262&amp;"",BK262&amp;"")&amp;BZ262&amp;IF(R262="Y","; known to the founder (+10)","")&amp;"."))</f>
        <v>Gated out: health-claim: explicit health claim in the brand's own copy (opened 2026-10-24): 'Packed with premium beef and roasted nuts to keep you full and focused' (https.</v>
      </c>
      <c r="M262" s="0" t="s">
        <v>6144</v>
      </c>
      <c r="N262" s="0" t="s">
        <v>740</v>
      </c>
      <c r="O262" s="0" t="s">
        <v>11345</v>
      </c>
      <c r="P262" s="0" t="s">
        <v>11346</v>
      </c>
      <c r="Q262" s="0" t="s">
        <v>7420</v>
      </c>
      <c r="R262" s="5" t="s">
        <v>189</v>
      </c>
      <c r="S262" s="0" t="s">
        <v>209</v>
      </c>
      <c r="T262" s="5" t="s">
        <v>189</v>
      </c>
      <c r="U262" s="5" t="s">
        <v>3896</v>
      </c>
      <c r="V262" s="0" t="s">
        <v>11347</v>
      </c>
      <c r="W262" s="0" t="s">
        <v>172</v>
      </c>
      <c r="X262" s="0" t="s">
        <v>5578</v>
      </c>
      <c r="Y262" s="0" t="str">
        <f aca="false">IF(FA262&lt;&gt;"Y","",COUNTIFS($FA$2:$FA$1000,"Y",$J$2:$J$1000,"&gt;"&amp;J262)+COUNTIFS($FA$2:$FA$1000,"Y",$J$2:$J$1000,J262,$FG$2:$FG$1000,"&lt;"&amp;FG262)+1)</f>
        <v/>
      </c>
      <c r="AA262" s="0" t="s">
        <v>189</v>
      </c>
      <c r="AB262" s="0" t="str">
        <f aca="false">IF($A262="","",IF(AT262="Y",BW262&amp;"",BJ262&amp;""))</f>
        <v/>
      </c>
      <c r="AC262" s="0" t="str">
        <f aca="false">IF($A262="","",IF(AT262="Y",BR262&amp;"",BE262&amp;""))</f>
        <v>founder</v>
      </c>
      <c r="AD262" s="0" t="str">
        <f aca="false">IF($A262="","",IF(AT262="Y",BS262&amp;"",BF262&amp;""))</f>
        <v>first-name-only</v>
      </c>
      <c r="AE262" s="0" t="str">
        <f aca="false">IF($A262="","",IF(AT262="Y",BT262&amp;"",BG262&amp;""))</f>
        <v>press, event or podcast page</v>
      </c>
      <c r="AF262" s="0" t="str">
        <f aca="false">IF($A262="","",IF(AT262="Y",BU262&amp;"",BH262&amp;""))</f>
        <v>https://events.specialtyfood.com/event/2026-summer-fancy-food-show/exhibitor/RXhoaWJpdG9yXzI0NzYzNzc=</v>
      </c>
      <c r="AG262" s="0" t="str">
        <f aca="false">IF($A262="","",IF(AT262="Y",BV262&amp;"",BI262&amp;""))</f>
        <v>2026-10-24</v>
      </c>
      <c r="AH262" s="0" t="s">
        <v>11348</v>
      </c>
      <c r="AI262" s="0" t="s">
        <v>6240</v>
      </c>
      <c r="AJ262" s="0" t="s">
        <v>209</v>
      </c>
      <c r="AK262" s="0" t="s">
        <v>11349</v>
      </c>
      <c r="AL262" s="0" t="s">
        <v>164</v>
      </c>
      <c r="AM262" s="0" t="s">
        <v>11350</v>
      </c>
      <c r="AN262" s="0" t="s">
        <v>11343</v>
      </c>
      <c r="AO262" s="5" t="s">
        <v>189</v>
      </c>
      <c r="AR262" s="0" t="str">
        <f aca="false">IF($A262="","",IF(AND(CK262="pass",AO262&lt;&gt;"Y",C262&lt;&gt;"",OR(AU262&lt;&gt;"Y",AV262="Y")),"Y","N"))</f>
        <v>N</v>
      </c>
      <c r="AS262" s="0" t="str">
        <f aca="false">IF($A262="","",_xlfn.TEXTJOIN("; ",TRUE(),IF(CK262&lt;&gt;"pass","gated out",""),IF(AO262="Y","on hold: "&amp;AP262,""),IF(C262="","no contact named on an opened page",""),IF(AND(AU262="Y",AV262&lt;&gt;"Y"),"founder review pending (Founder review tab)","")))</f>
        <v>gated out; founder review pending (Founder review tab)</v>
      </c>
      <c r="AU262" s="0" t="s">
        <v>164</v>
      </c>
      <c r="AY262" s="0" t="s">
        <v>11351</v>
      </c>
      <c r="AZ262" s="0" t="s">
        <v>209</v>
      </c>
      <c r="BA262" s="0" t="s">
        <v>5739</v>
      </c>
      <c r="BC262" s="0" t="str">
        <f aca="false">IF($A262="","",IFERROR(INDEX(Enrichment!$A$2:$GZ$2000,MATCH($A262,INDEX(Enrichment!$A$2:$GZ$2000,0,MATCH("row_id",Enrichment!$A$1:$GZ$1,0)),0),MATCH("work_email",Enrichment!$A$1:$GZ$1,0))&amp;"",""))</f>
        <v/>
      </c>
      <c r="BD262" s="0" t="str">
        <f aca="false">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none</v>
      </c>
      <c r="BE262" s="0" t="s">
        <v>5589</v>
      </c>
      <c r="BF262" s="0" t="s">
        <v>5896</v>
      </c>
      <c r="BG262" s="0" t="s">
        <v>1252</v>
      </c>
      <c r="BH262" s="0" t="s">
        <v>11347</v>
      </c>
      <c r="BI262" s="0" t="s">
        <v>172</v>
      </c>
      <c r="BK262" s="0" t="s">
        <v>5898</v>
      </c>
      <c r="BL262" s="0" t="s">
        <v>11352</v>
      </c>
      <c r="BM262" s="0" t="s">
        <v>11353</v>
      </c>
      <c r="BN262" s="0" t="s">
        <v>5739</v>
      </c>
      <c r="BP262" s="0" t="str">
        <f aca="false">IF($A262="","",IFERROR(INDEX(Enrichment!$A$2:$GZ$2000,MATCH($A262,INDEX(Enrichment!$A$2:$GZ$2000,0,MATCH("row_id",Enrichment!$A$1:$GZ$1,0)),0),MATCH("backup_work_email",Enrichment!$A$1:$GZ$1,0))&amp;"",""))</f>
        <v/>
      </c>
      <c r="BQ262" s="0" t="str">
        <f aca="false">IF($A262="","",IF(BP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none</v>
      </c>
      <c r="BR262" s="0" t="s">
        <v>7748</v>
      </c>
      <c r="BS262" s="0" t="s">
        <v>169</v>
      </c>
      <c r="BT262" s="0" t="s">
        <v>1252</v>
      </c>
      <c r="BU262" s="0" t="s">
        <v>11347</v>
      </c>
      <c r="BV262" s="0" t="s">
        <v>172</v>
      </c>
      <c r="BX262" s="0" t="s">
        <v>5643</v>
      </c>
      <c r="BY262" s="0" t="s">
        <v>11354</v>
      </c>
      <c r="CB262" s="0" t="s">
        <v>11351</v>
      </c>
      <c r="CF262" s="0" t="s">
        <v>11355</v>
      </c>
      <c r="CJ262" s="0" t="s">
        <v>7088</v>
      </c>
      <c r="CK262" s="0" t="s">
        <v>4627</v>
      </c>
      <c r="CL262" s="0" t="s">
        <v>10005</v>
      </c>
      <c r="CM262" s="0" t="s">
        <v>11356</v>
      </c>
      <c r="CN262" s="0" t="s">
        <v>7260</v>
      </c>
      <c r="CO262" s="0" t="s">
        <v>11349</v>
      </c>
      <c r="CP262" s="0" t="s">
        <v>7376</v>
      </c>
      <c r="CQ262" s="0" t="s">
        <v>6084</v>
      </c>
      <c r="CR262" s="0" t="s">
        <v>209</v>
      </c>
      <c r="CT262" s="0" t="s">
        <v>164</v>
      </c>
      <c r="CU262" s="0" t="s">
        <v>11357</v>
      </c>
      <c r="CV262" s="0" t="s">
        <v>189</v>
      </c>
      <c r="CW262" s="0" t="s">
        <v>164</v>
      </c>
      <c r="CX262" s="0" t="s">
        <v>209</v>
      </c>
      <c r="CZ262" s="0" t="s">
        <v>5993</v>
      </c>
      <c r="DA262" s="0" t="s">
        <v>189</v>
      </c>
      <c r="DB262" s="0" t="s">
        <v>164</v>
      </c>
      <c r="DC262" s="0" t="s">
        <v>11358</v>
      </c>
      <c r="DE262" s="0" t="s">
        <v>189</v>
      </c>
      <c r="DF262" s="0" t="n">
        <v>0</v>
      </c>
      <c r="DI262" s="0" t="s">
        <v>209</v>
      </c>
      <c r="DK262" s="0" t="s">
        <v>5689</v>
      </c>
      <c r="DL262" s="0" t="n">
        <v>60</v>
      </c>
      <c r="DN262" s="0" t="n">
        <v>33</v>
      </c>
      <c r="DO262" s="0" t="n">
        <v>6</v>
      </c>
      <c r="DP262" s="0" t="n">
        <v>8</v>
      </c>
      <c r="DQ262" s="0" t="n">
        <v>8</v>
      </c>
      <c r="DR262" s="0" t="n">
        <v>5</v>
      </c>
      <c r="DS262" s="0" t="n">
        <v>7</v>
      </c>
      <c r="DT262" s="0" t="n">
        <v>3</v>
      </c>
      <c r="DU262" s="0" t="n">
        <f aca="false">IF($A262="","",IF(R262="Y",10,0))</f>
        <v>0</v>
      </c>
      <c r="DV262" s="0" t="n">
        <v>-4</v>
      </c>
      <c r="DW262" s="0" t="s">
        <v>11359</v>
      </c>
      <c r="DX262" s="0" t="s">
        <v>5998</v>
      </c>
      <c r="DY262" s="0" t="s">
        <v>11360</v>
      </c>
      <c r="DZ262" s="0" t="s">
        <v>11361</v>
      </c>
      <c r="EA262" s="0" t="s">
        <v>11362</v>
      </c>
      <c r="EV262" s="0" t="str">
        <f aca="false">IF($A262="","",IF(ISNUMBER(MATCH(U262,{"queued","contacted","replied","call_booked","call_done","yes_in_principle","materials_sent"},0)),"Y","N"))</f>
        <v>N</v>
      </c>
      <c r="EW262" s="0" t="str">
        <f aca="false">IF($A262="","",IF(OR(T262="Y",U262="do_not_contact",AQ262&amp;""&lt;&gt;""),"Y","N"))</f>
        <v>N</v>
      </c>
      <c r="EX262" s="0" t="str">
        <f aca="false">IF($A262="","",IF(AN262&amp;""&lt;&gt;"",AN262&amp;"",$A262))</f>
        <v>AB-297</v>
      </c>
      <c r="EY262" s="0" t="str">
        <f aca="false">IF($A262="","",IF(COUNTIFS($EX$2:$EX$1000,EX262,$EV$2:$EV$1000,"Y")+COUNTIFS($EX$2:$EX$1000,EX262,$EW$2:$EW$1000,"Y")&gt;0,"Y","N"))</f>
        <v>N</v>
      </c>
      <c r="EZ262" s="0" t="str">
        <f aca="false">IF($A262="","",IF(AND(U262="new",T262="N",EW262="N",AR262="Y",EY262="N"),"Y","N"))</f>
        <v>N</v>
      </c>
      <c r="FA262" s="0" t="str">
        <f aca="false">IF($A262="","",IF(EZ262&lt;&gt;"Y","N",IF(COUNTIFS($EX$2:$EX$1000,EX262,$EZ$2:$EZ$1000,"Y",$J$2:$J$1000,"&gt;"&amp;J262)+COUNTIFS($EX$2:$EX$1000,EX262,$EZ$2:$EZ$1000,"Y",$J$2:$J$1000,J262,$FG$2:$FG$1000,"&lt;"&amp;FG262)=0,"Y","N")))</f>
        <v>N</v>
      </c>
      <c r="FB262" s="0" t="str">
        <f aca="false">IF($A262="","",IF(AND(EZ262="Y",FA262="Y",Y262&amp;""&lt;&gt;""),IF(Y262&lt;=10,"Y","N"),"N"))</f>
        <v>N</v>
      </c>
      <c r="FC262" s="0" t="str">
        <f aca="false">IF(FB262="Y",Y262,"")</f>
        <v/>
      </c>
      <c r="FD262" s="0" t="str">
        <f aca="false">IF($A262="","",IF(AND(CK262="pass",AU262="Y",AV262&lt;&gt;"Y",U262="new",EW262="N"),"Y","N"))</f>
        <v>N</v>
      </c>
      <c r="FE262" s="0" t="str">
        <f aca="false">IF(FD262&lt;&gt;"Y","",IF(COUNTIFS($FD$2:$FD$1000,"Y",$J$2:$J$1000,"&gt;"&amp;J262)+COUNTIFS($FD$2:$FD$1000,"Y",$J$2:$J$1000,J262,$FG$2:$FG$1000,"&lt;"&amp;FG262)+1&lt;=30,COUNTIFS($FD$2:$FD$1000,"Y",$J$2:$J$1000,"&gt;"&amp;J262)+COUNTIFS($FD$2:$FD$1000,"Y",$J$2:$J$1000,J262,$FG$2:$FG$1000,"&lt;"&amp;FG262)+1,""))</f>
        <v/>
      </c>
      <c r="FF262" s="0" t="str">
        <f aca="false">IF(AND(_xlfn.ISFORMULA(C262),_xlfn.ISFORMULA(J262)),"Y","N")</f>
        <v>Y</v>
      </c>
      <c r="FG262" s="0" t="n">
        <f aca="false">ROW()-1</f>
        <v>261</v>
      </c>
    </row>
    <row r="263" customFormat="false" ht="15" hidden="false" customHeight="false" outlineLevel="0" collapsed="false">
      <c r="A263" s="0" t="s">
        <v>11363</v>
      </c>
      <c r="B263" s="0" t="s">
        <v>11364</v>
      </c>
      <c r="C263" s="0" t="str">
        <f aca="false">IF($A263="","",IF(AT263="Y",BL263&amp;"",AY263&amp;""))</f>
        <v>Tiffany</v>
      </c>
      <c r="D263" s="0" t="str">
        <f aca="false">IF($A263="","",IF(AT263="Y",BM263&amp;"",AZ263&amp;""))</f>
        <v>unknown</v>
      </c>
      <c r="E263" s="0" t="str">
        <f aca="false">IF($A263="","",IF(AT263="Y",BN263&amp;"",BA263&amp;""))</f>
        <v>Founder</v>
      </c>
      <c r="F263" s="0" t="str">
        <f aca="false">IF($A263="","",IF(AT263="Y",BO263&amp;"",BB263&amp;""))</f>
        <v/>
      </c>
      <c r="G263" s="0" t="str">
        <f aca="false">IF($A263="","",IF(AT263="Y",BP263&amp;"",BC263&amp;""))</f>
        <v/>
      </c>
      <c r="H263" s="0" t="str">
        <f aca="false">IF($A263="","",IF(AT263="Y",BQ263&amp;"",BD263&amp;""))</f>
        <v>none</v>
      </c>
      <c r="I263" s="0" t="str">
        <f aca="false">IF($A263="","",IF(R263="Y","warm-intro",IF(H263="verified","email",IF(C263&lt;&gt;"","linkedin",CA263&amp;""))))</f>
        <v>linkedin</v>
      </c>
      <c r="J263" s="0" t="n">
        <f aca="false">IF($A263="","",IF(CK263="pass",ROUND(N(DO263)+N(DP263)+N(DQ263)+N(DR263)+N(DS263)+N(DT263)+N(DU263)+N(DV263),0),0))</f>
        <v>0</v>
      </c>
      <c r="K263" s="0" t="str">
        <f aca="false">IF($A263="","",IF(CK263&lt;&gt;"pass",BY263&amp;"",BY263&amp;", "&amp;IF(AT263="Y",BX263&amp;"",BK263&amp;"")&amp;BZ263&amp;IF(R263="Y","; known to the founder (+10)","")&amp;"."))</f>
        <v>Gated out: health-claim: Explicit structure-function claims: 'Supports Digestion &amp; Immune Health', 'Strengthens Immunity', 'Gut Reset calms bloat'.</v>
      </c>
      <c r="M263" s="0" t="s">
        <v>6144</v>
      </c>
      <c r="N263" s="0" t="s">
        <v>740</v>
      </c>
      <c r="O263" s="0" t="s">
        <v>11365</v>
      </c>
      <c r="P263" s="0" t="s">
        <v>11366</v>
      </c>
      <c r="Q263" s="0" t="s">
        <v>6721</v>
      </c>
      <c r="R263" s="5" t="s">
        <v>189</v>
      </c>
      <c r="S263" s="0" t="s">
        <v>164</v>
      </c>
      <c r="T263" s="5" t="s">
        <v>189</v>
      </c>
      <c r="U263" s="5" t="s">
        <v>3896</v>
      </c>
      <c r="V263" s="0" t="s">
        <v>7335</v>
      </c>
      <c r="W263" s="0" t="s">
        <v>172</v>
      </c>
      <c r="X263" s="0" t="s">
        <v>5578</v>
      </c>
      <c r="Y263" s="0" t="str">
        <f aca="false">IF(FA263&lt;&gt;"Y","",COUNTIFS($FA$2:$FA$1000,"Y",$J$2:$J$1000,"&gt;"&amp;J263)+COUNTIFS($FA$2:$FA$1000,"Y",$J$2:$J$1000,J263,$FG$2:$FG$1000,"&lt;"&amp;FG263)+1)</f>
        <v/>
      </c>
      <c r="AA263" s="0" t="s">
        <v>189</v>
      </c>
      <c r="AB263" s="0" t="str">
        <f aca="false">IF($A263="","",IF(AT263="Y",BW263&amp;"",BJ263&amp;""))</f>
        <v/>
      </c>
      <c r="AC263" s="0" t="str">
        <f aca="false">IF($A263="","",IF(AT263="Y",BR263&amp;"",BE263&amp;""))</f>
        <v>founder</v>
      </c>
      <c r="AD263" s="0" t="str">
        <f aca="false">IF($A263="","",IF(AT263="Y",BS263&amp;"",BF263&amp;""))</f>
        <v>first-name-only</v>
      </c>
      <c r="AE263" s="0" t="str">
        <f aca="false">IF($A263="","",IF(AT263="Y",BT263&amp;"",BG263&amp;""))</f>
        <v>press, event or podcast page</v>
      </c>
      <c r="AF263" s="0" t="str">
        <f aca="false">IF($A263="","",IF(AT263="Y",BU263&amp;"",BH263&amp;""))</f>
        <v>https://hotbreadkitchen.org/hbki/</v>
      </c>
      <c r="AG263" s="0" t="str">
        <f aca="false">IF($A263="","",IF(AT263="Y",BV263&amp;"",BI263&amp;""))</f>
        <v>2026-10-24</v>
      </c>
      <c r="AH263" s="0" t="s">
        <v>11367</v>
      </c>
      <c r="AI263" s="0" t="s">
        <v>6699</v>
      </c>
      <c r="AJ263" s="0" t="s">
        <v>11368</v>
      </c>
      <c r="AK263" s="0" t="s">
        <v>11369</v>
      </c>
      <c r="AL263" s="0" t="s">
        <v>164</v>
      </c>
      <c r="AM263" s="0" t="s">
        <v>5666</v>
      </c>
      <c r="AN263" s="0" t="s">
        <v>11363</v>
      </c>
      <c r="AO263" s="5" t="s">
        <v>189</v>
      </c>
      <c r="AR263" s="0" t="str">
        <f aca="false">IF($A263="","",IF(AND(CK263="pass",AO263&lt;&gt;"Y",C263&lt;&gt;"",OR(AU263&lt;&gt;"Y",AV263="Y")),"Y","N"))</f>
        <v>N</v>
      </c>
      <c r="AS263" s="0" t="str">
        <f aca="false">IF($A263="","",_xlfn.TEXTJOIN("; ",TRUE(),IF(CK263&lt;&gt;"pass","gated out",""),IF(AO263="Y","on hold: "&amp;AP263,""),IF(C263="","no contact named on an opened page",""),IF(AND(AU263="Y",AV263&lt;&gt;"Y"),"founder review pending (Founder review tab)","")))</f>
        <v>gated out</v>
      </c>
      <c r="AU263" s="0" t="s">
        <v>189</v>
      </c>
      <c r="AY263" s="0" t="s">
        <v>11370</v>
      </c>
      <c r="AZ263" s="0" t="s">
        <v>209</v>
      </c>
      <c r="BA263" s="0" t="s">
        <v>5739</v>
      </c>
      <c r="BC263" s="0" t="str">
        <f aca="false">IF($A263="","",IFERROR(INDEX(Enrichment!$A$2:$GZ$2000,MATCH($A263,INDEX(Enrichment!$A$2:$GZ$2000,0,MATCH("row_id",Enrichment!$A$1:$GZ$1,0)),0),MATCH("work_email",Enrichment!$A$1:$GZ$1,0))&amp;"",""))</f>
        <v/>
      </c>
      <c r="BD263" s="0" t="str">
        <f aca="false">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none</v>
      </c>
      <c r="BE263" s="0" t="s">
        <v>5589</v>
      </c>
      <c r="BF263" s="0" t="s">
        <v>5896</v>
      </c>
      <c r="BG263" s="0" t="s">
        <v>1252</v>
      </c>
      <c r="BH263" s="0" t="s">
        <v>7339</v>
      </c>
      <c r="BI263" s="0" t="s">
        <v>172</v>
      </c>
      <c r="BK263" s="0" t="s">
        <v>5898</v>
      </c>
      <c r="BP263" s="0" t="str">
        <f aca="false">IF($A263="","",IFERROR(INDEX(Enrichment!$A$2:$GZ$2000,MATCH($A263,INDEX(Enrichment!$A$2:$GZ$2000,0,MATCH("row_id",Enrichment!$A$1:$GZ$1,0)),0),MATCH("backup_work_email",Enrichment!$A$1:$GZ$1,0))&amp;"",""))</f>
        <v/>
      </c>
      <c r="BQ263" s="0" t="str">
        <f aca="false">IF($A263="","",IF(BP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none</v>
      </c>
      <c r="BS263" s="0" t="s">
        <v>380</v>
      </c>
      <c r="BX263" s="0" t="s">
        <v>388</v>
      </c>
      <c r="BY263" s="0" t="s">
        <v>11371</v>
      </c>
      <c r="CB263" s="0" t="s">
        <v>11370</v>
      </c>
      <c r="CD263" s="0" t="s">
        <v>7628</v>
      </c>
      <c r="CJ263" s="0" t="s">
        <v>7088</v>
      </c>
      <c r="CK263" s="0" t="s">
        <v>4627</v>
      </c>
      <c r="CL263" s="0" t="s">
        <v>10005</v>
      </c>
      <c r="CM263" s="0" t="s">
        <v>11372</v>
      </c>
      <c r="CO263" s="0" t="s">
        <v>11369</v>
      </c>
      <c r="CP263" s="0" t="s">
        <v>5608</v>
      </c>
      <c r="CQ263" s="0" t="s">
        <v>5609</v>
      </c>
      <c r="CR263" s="0" t="s">
        <v>209</v>
      </c>
      <c r="CT263" s="0" t="s">
        <v>209</v>
      </c>
      <c r="CU263" s="0" t="s">
        <v>11373</v>
      </c>
      <c r="CV263" s="0" t="s">
        <v>164</v>
      </c>
      <c r="CW263" s="0" t="s">
        <v>164</v>
      </c>
      <c r="CX263" s="0" t="s">
        <v>209</v>
      </c>
      <c r="CZ263" s="0" t="s">
        <v>5993</v>
      </c>
      <c r="DA263" s="0" t="s">
        <v>164</v>
      </c>
      <c r="DB263" s="0" t="s">
        <v>164</v>
      </c>
      <c r="DC263" s="0" t="s">
        <v>11374</v>
      </c>
      <c r="DE263" s="0" t="s">
        <v>189</v>
      </c>
      <c r="DF263" s="0" t="n">
        <v>0</v>
      </c>
      <c r="DI263" s="0" t="s">
        <v>209</v>
      </c>
      <c r="DK263" s="0" t="s">
        <v>5689</v>
      </c>
      <c r="DL263" s="0" t="n">
        <v>65</v>
      </c>
      <c r="DM263" s="0" t="s">
        <v>11375</v>
      </c>
      <c r="DN263" s="0" t="n">
        <v>49</v>
      </c>
      <c r="DO263" s="0" t="n">
        <v>6</v>
      </c>
      <c r="DP263" s="0" t="n">
        <v>20</v>
      </c>
      <c r="DQ263" s="0" t="n">
        <v>8</v>
      </c>
      <c r="DR263" s="0" t="n">
        <v>5</v>
      </c>
      <c r="DS263" s="0" t="n">
        <v>7</v>
      </c>
      <c r="DT263" s="0" t="n">
        <v>3</v>
      </c>
      <c r="DU263" s="0" t="n">
        <f aca="false">IF($A263="","",IF(R263="Y",10,0))</f>
        <v>0</v>
      </c>
      <c r="DV263" s="0" t="n">
        <v>0</v>
      </c>
      <c r="DW263" s="0" t="s">
        <v>11376</v>
      </c>
      <c r="DX263" s="0" t="s">
        <v>5998</v>
      </c>
      <c r="DY263" s="0" t="s">
        <v>11377</v>
      </c>
      <c r="DZ263" s="0" t="s">
        <v>11378</v>
      </c>
      <c r="EV263" s="0" t="str">
        <f aca="false">IF($A263="","",IF(ISNUMBER(MATCH(U263,{"queued","contacted","replied","call_booked","call_done","yes_in_principle","materials_sent"},0)),"Y","N"))</f>
        <v>N</v>
      </c>
      <c r="EW263" s="0" t="str">
        <f aca="false">IF($A263="","",IF(OR(T263="Y",U263="do_not_contact",AQ263&amp;""&lt;&gt;""),"Y","N"))</f>
        <v>N</v>
      </c>
      <c r="EX263" s="0" t="str">
        <f aca="false">IF($A263="","",IF(AN263&amp;""&lt;&gt;"",AN263&amp;"",$A263))</f>
        <v>AB-301</v>
      </c>
      <c r="EY263" s="0" t="str">
        <f aca="false">IF($A263="","",IF(COUNTIFS($EX$2:$EX$1000,EX263,$EV$2:$EV$1000,"Y")+COUNTIFS($EX$2:$EX$1000,EX263,$EW$2:$EW$1000,"Y")&gt;0,"Y","N"))</f>
        <v>N</v>
      </c>
      <c r="EZ263" s="0" t="str">
        <f aca="false">IF($A263="","",IF(AND(U263="new",T263="N",EW263="N",AR263="Y",EY263="N"),"Y","N"))</f>
        <v>N</v>
      </c>
      <c r="FA263" s="0" t="str">
        <f aca="false">IF($A263="","",IF(EZ263&lt;&gt;"Y","N",IF(COUNTIFS($EX$2:$EX$1000,EX263,$EZ$2:$EZ$1000,"Y",$J$2:$J$1000,"&gt;"&amp;J263)+COUNTIFS($EX$2:$EX$1000,EX263,$EZ$2:$EZ$1000,"Y",$J$2:$J$1000,J263,$FG$2:$FG$1000,"&lt;"&amp;FG263)=0,"Y","N")))</f>
        <v>N</v>
      </c>
      <c r="FB263" s="0" t="str">
        <f aca="false">IF($A263="","",IF(AND(EZ263="Y",FA263="Y",Y263&amp;""&lt;&gt;""),IF(Y263&lt;=10,"Y","N"),"N"))</f>
        <v>N</v>
      </c>
      <c r="FC263" s="0" t="str">
        <f aca="false">IF(FB263="Y",Y263,"")</f>
        <v/>
      </c>
      <c r="FD263" s="0" t="str">
        <f aca="false">IF($A263="","",IF(AND(CK263="pass",AU263="Y",AV263&lt;&gt;"Y",U263="new",EW263="N"),"Y","N"))</f>
        <v>N</v>
      </c>
      <c r="FE263" s="0" t="str">
        <f aca="false">IF(FD263&lt;&gt;"Y","",IF(COUNTIFS($FD$2:$FD$1000,"Y",$J$2:$J$1000,"&gt;"&amp;J263)+COUNTIFS($FD$2:$FD$1000,"Y",$J$2:$J$1000,J263,$FG$2:$FG$1000,"&lt;"&amp;FG263)+1&lt;=30,COUNTIFS($FD$2:$FD$1000,"Y",$J$2:$J$1000,"&gt;"&amp;J263)+COUNTIFS($FD$2:$FD$1000,"Y",$J$2:$J$1000,J263,$FG$2:$FG$1000,"&lt;"&amp;FG263)+1,""))</f>
        <v/>
      </c>
      <c r="FF263" s="0" t="str">
        <f aca="false">IF(AND(_xlfn.ISFORMULA(C263),_xlfn.ISFORMULA(J263)),"Y","N")</f>
        <v>Y</v>
      </c>
      <c r="FG263" s="0" t="n">
        <f aca="false">ROW()-1</f>
        <v>262</v>
      </c>
    </row>
    <row r="264" customFormat="false" ht="15" hidden="false" customHeight="false" outlineLevel="0" collapsed="false">
      <c r="A264" s="0" t="s">
        <v>11379</v>
      </c>
      <c r="B264" s="0" t="s">
        <v>11380</v>
      </c>
      <c r="C264" s="0" t="str">
        <f aca="false">IF($A264="","",IF(AT264="Y",BL264&amp;"",AY264&amp;""))</f>
        <v>Melanie</v>
      </c>
      <c r="D264" s="0" t="str">
        <f aca="false">IF($A264="","",IF(AT264="Y",BM264&amp;"",AZ264&amp;""))</f>
        <v>unknown</v>
      </c>
      <c r="E264" s="0" t="str">
        <f aca="false">IF($A264="","",IF(AT264="Y",BN264&amp;"",BA264&amp;""))</f>
        <v>Founder and CEO</v>
      </c>
      <c r="F264" s="0" t="str">
        <f aca="false">IF($A264="","",IF(AT264="Y",BO264&amp;"",BB264&amp;""))</f>
        <v/>
      </c>
      <c r="G264" s="0" t="str">
        <f aca="false">IF($A264="","",IF(AT264="Y",BP264&amp;"",BC264&amp;""))</f>
        <v/>
      </c>
      <c r="H264" s="0" t="str">
        <f aca="false">IF($A264="","",IF(AT264="Y",BQ264&amp;"",BD264&amp;""))</f>
        <v>none</v>
      </c>
      <c r="I264" s="0" t="str">
        <f aca="false">IF($A264="","",IF(R264="Y","warm-intro",IF(H264="verified","email",IF(C264&lt;&gt;"","linkedin",CA264&amp;""))))</f>
        <v>linkedin</v>
      </c>
      <c r="J264" s="0" t="n">
        <f aca="false">IF($A264="","",IF(CK264="pass",ROUND(N(DO264)+N(DP264)+N(DQ264)+N(DR264)+N(DS264)+N(DT264)+N(DU264)+N(DV264),0),0))</f>
        <v>0</v>
      </c>
      <c r="K264" s="0" t="str">
        <f aca="false">IF($A264="","",IF(CK264&lt;&gt;"pass",BY264&amp;"",BY264&amp;", "&amp;IF(AT264="Y",BX264&amp;"",BK264&amp;"")&amp;BZ264&amp;IF(R264="Y","; known to the founder (+10)","")&amp;"."))</f>
        <v>Gated out: health-claim: FAQ: 'Ghia keeps you calm, enhances your appetite, and soothe[s]...' (structure or function wording).</v>
      </c>
      <c r="M264" s="0" t="s">
        <v>6144</v>
      </c>
      <c r="N264" s="0" t="s">
        <v>740</v>
      </c>
      <c r="O264" s="0" t="s">
        <v>11381</v>
      </c>
      <c r="P264" s="0" t="s">
        <v>11382</v>
      </c>
      <c r="Q264" s="0" t="s">
        <v>11383</v>
      </c>
      <c r="R264" s="5" t="s">
        <v>189</v>
      </c>
      <c r="S264" s="0" t="s">
        <v>209</v>
      </c>
      <c r="T264" s="5" t="s">
        <v>189</v>
      </c>
      <c r="U264" s="5" t="s">
        <v>3896</v>
      </c>
      <c r="V264" s="0" t="s">
        <v>11384</v>
      </c>
      <c r="W264" s="0" t="s">
        <v>263</v>
      </c>
      <c r="X264" s="0" t="s">
        <v>5578</v>
      </c>
      <c r="Y264" s="0" t="str">
        <f aca="false">IF(FA264&lt;&gt;"Y","",COUNTIFS($FA$2:$FA$1000,"Y",$J$2:$J$1000,"&gt;"&amp;J264)+COUNTIFS($FA$2:$FA$1000,"Y",$J$2:$J$1000,J264,$FG$2:$FG$1000,"&lt;"&amp;FG264)+1)</f>
        <v/>
      </c>
      <c r="AA264" s="0" t="s">
        <v>189</v>
      </c>
      <c r="AB264" s="0" t="str">
        <f aca="false">IF($A264="","",IF(AT264="Y",BW264&amp;"",BJ264&amp;""))</f>
        <v/>
      </c>
      <c r="AC264" s="0" t="str">
        <f aca="false">IF($A264="","",IF(AT264="Y",BR264&amp;"",BE264&amp;""))</f>
        <v>founder</v>
      </c>
      <c r="AD264" s="0" t="str">
        <f aca="false">IF($A264="","",IF(AT264="Y",BS264&amp;"",BF264&amp;""))</f>
        <v>first-name-only</v>
      </c>
      <c r="AE264" s="0" t="str">
        <f aca="false">IF($A264="","",IF(AT264="Y",BT264&amp;"",BG264&amp;""))</f>
        <v>employer's own site</v>
      </c>
      <c r="AF264" s="0" t="str">
        <f aca="false">IF($A264="","",IF(AT264="Y",BU264&amp;"",BH264&amp;""))</f>
        <v>https://drinkghia.com/pages/our-story</v>
      </c>
      <c r="AG264" s="0" t="str">
        <f aca="false">IF($A264="","",IF(AT264="Y",BV264&amp;"",BI264&amp;""))</f>
        <v>2026-10-23</v>
      </c>
      <c r="AH264" s="0" t="s">
        <v>11385</v>
      </c>
      <c r="AI264" s="0" t="s">
        <v>6699</v>
      </c>
      <c r="AJ264" s="0" t="s">
        <v>209</v>
      </c>
      <c r="AK264" s="0" t="s">
        <v>11386</v>
      </c>
      <c r="AL264" s="0" t="s">
        <v>164</v>
      </c>
      <c r="AM264" s="0" t="s">
        <v>5666</v>
      </c>
      <c r="AN264" s="0" t="s">
        <v>11379</v>
      </c>
      <c r="AO264" s="5" t="s">
        <v>189</v>
      </c>
      <c r="AR264" s="0" t="str">
        <f aca="false">IF($A264="","",IF(AND(CK264="pass",AO264&lt;&gt;"Y",C264&lt;&gt;"",OR(AU264&lt;&gt;"Y",AV264="Y")),"Y","N"))</f>
        <v>N</v>
      </c>
      <c r="AS264" s="0" t="str">
        <f aca="false">IF($A264="","",_xlfn.TEXTJOIN("; ",TRUE(),IF(CK264&lt;&gt;"pass","gated out",""),IF(AO264="Y","on hold: "&amp;AP264,""),IF(C264="","no contact named on an opened page",""),IF(AND(AU264="Y",AV264&lt;&gt;"Y"),"founder review pending (Founder review tab)","")))</f>
        <v>gated out</v>
      </c>
      <c r="AU264" s="0" t="s">
        <v>189</v>
      </c>
      <c r="AY264" s="0" t="s">
        <v>11387</v>
      </c>
      <c r="AZ264" s="0" t="s">
        <v>209</v>
      </c>
      <c r="BA264" s="0" t="s">
        <v>5670</v>
      </c>
      <c r="BC264" s="0" t="str">
        <f aca="false">IF($A264="","",IFERROR(INDEX(Enrichment!$A$2:$GZ$2000,MATCH($A264,INDEX(Enrichment!$A$2:$GZ$2000,0,MATCH("row_id",Enrichment!$A$1:$GZ$1,0)),0),MATCH("work_email",Enrichment!$A$1:$GZ$1,0))&amp;"",""))</f>
        <v/>
      </c>
      <c r="BD264" s="0" t="str">
        <f aca="false">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none</v>
      </c>
      <c r="BE264" s="0" t="s">
        <v>5589</v>
      </c>
      <c r="BF264" s="0" t="s">
        <v>5896</v>
      </c>
      <c r="BG264" s="0" t="s">
        <v>170</v>
      </c>
      <c r="BH264" s="0" t="s">
        <v>11388</v>
      </c>
      <c r="BI264" s="0" t="s">
        <v>263</v>
      </c>
      <c r="BK264" s="0" t="s">
        <v>5898</v>
      </c>
      <c r="BP264" s="0" t="str">
        <f aca="false">IF($A264="","",IFERROR(INDEX(Enrichment!$A$2:$GZ$2000,MATCH($A264,INDEX(Enrichment!$A$2:$GZ$2000,0,MATCH("row_id",Enrichment!$A$1:$GZ$1,0)),0),MATCH("backup_work_email",Enrichment!$A$1:$GZ$1,0))&amp;"",""))</f>
        <v/>
      </c>
      <c r="BQ264" s="0" t="str">
        <f aca="false">IF($A264="","",IF(BP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none</v>
      </c>
      <c r="BS264" s="0" t="s">
        <v>380</v>
      </c>
      <c r="BX264" s="0" t="s">
        <v>388</v>
      </c>
      <c r="BY264" s="0" t="s">
        <v>11389</v>
      </c>
      <c r="CB264" s="0" t="s">
        <v>11387</v>
      </c>
      <c r="CJ264" s="0" t="s">
        <v>7088</v>
      </c>
      <c r="CK264" s="0" t="s">
        <v>4627</v>
      </c>
      <c r="CL264" s="0" t="s">
        <v>10005</v>
      </c>
      <c r="CM264" s="0" t="s">
        <v>11390</v>
      </c>
      <c r="CO264" s="0" t="s">
        <v>11386</v>
      </c>
      <c r="CP264" s="0" t="s">
        <v>209</v>
      </c>
      <c r="CQ264" s="0" t="s">
        <v>209</v>
      </c>
      <c r="CR264" s="0" t="s">
        <v>209</v>
      </c>
      <c r="CT264" s="0" t="s">
        <v>209</v>
      </c>
      <c r="CU264" s="0" t="s">
        <v>11391</v>
      </c>
      <c r="CV264" s="0" t="s">
        <v>164</v>
      </c>
      <c r="CW264" s="0" t="s">
        <v>164</v>
      </c>
      <c r="CX264" s="0" t="s">
        <v>209</v>
      </c>
      <c r="CZ264" s="0" t="s">
        <v>6456</v>
      </c>
      <c r="DA264" s="0" t="s">
        <v>164</v>
      </c>
      <c r="DB264" s="0" t="s">
        <v>164</v>
      </c>
      <c r="DC264" s="0" t="s">
        <v>11392</v>
      </c>
      <c r="DE264" s="0" t="s">
        <v>189</v>
      </c>
      <c r="DF264" s="0" t="n">
        <v>0</v>
      </c>
      <c r="DI264" s="0" t="s">
        <v>209</v>
      </c>
      <c r="DK264" s="0" t="s">
        <v>5689</v>
      </c>
      <c r="DL264" s="0" t="n">
        <v>51</v>
      </c>
      <c r="DN264" s="0" t="n">
        <v>33</v>
      </c>
      <c r="DO264" s="0" t="n">
        <v>6</v>
      </c>
      <c r="DP264" s="0" t="n">
        <v>4</v>
      </c>
      <c r="DQ264" s="0" t="n">
        <v>8</v>
      </c>
      <c r="DR264" s="0" t="n">
        <v>5</v>
      </c>
      <c r="DS264" s="0" t="n">
        <v>7</v>
      </c>
      <c r="DT264" s="0" t="n">
        <v>3</v>
      </c>
      <c r="DU264" s="0" t="n">
        <f aca="false">IF($A264="","",IF(R264="Y",10,0))</f>
        <v>0</v>
      </c>
      <c r="DV264" s="0" t="n">
        <v>0</v>
      </c>
      <c r="DW264" s="0" t="s">
        <v>11393</v>
      </c>
      <c r="DX264" s="0" t="s">
        <v>6462</v>
      </c>
      <c r="DY264" s="0" t="s">
        <v>11394</v>
      </c>
      <c r="DZ264" s="0" t="s">
        <v>11395</v>
      </c>
      <c r="EV264" s="0" t="str">
        <f aca="false">IF($A264="","",IF(ISNUMBER(MATCH(U264,{"queued","contacted","replied","call_booked","call_done","yes_in_principle","materials_sent"},0)),"Y","N"))</f>
        <v>N</v>
      </c>
      <c r="EW264" s="0" t="str">
        <f aca="false">IF($A264="","",IF(OR(T264="Y",U264="do_not_contact",AQ264&amp;""&lt;&gt;""),"Y","N"))</f>
        <v>N</v>
      </c>
      <c r="EX264" s="0" t="str">
        <f aca="false">IF($A264="","",IF(AN264&amp;""&lt;&gt;"",AN264&amp;"",$A264))</f>
        <v>AB-199</v>
      </c>
      <c r="EY264" s="0" t="str">
        <f aca="false">IF($A264="","",IF(COUNTIFS($EX$2:$EX$1000,EX264,$EV$2:$EV$1000,"Y")+COUNTIFS($EX$2:$EX$1000,EX264,$EW$2:$EW$1000,"Y")&gt;0,"Y","N"))</f>
        <v>N</v>
      </c>
      <c r="EZ264" s="0" t="str">
        <f aca="false">IF($A264="","",IF(AND(U264="new",T264="N",EW264="N",AR264="Y",EY264="N"),"Y","N"))</f>
        <v>N</v>
      </c>
      <c r="FA264" s="0" t="str">
        <f aca="false">IF($A264="","",IF(EZ264&lt;&gt;"Y","N",IF(COUNTIFS($EX$2:$EX$1000,EX264,$EZ$2:$EZ$1000,"Y",$J$2:$J$1000,"&gt;"&amp;J264)+COUNTIFS($EX$2:$EX$1000,EX264,$EZ$2:$EZ$1000,"Y",$J$2:$J$1000,J264,$FG$2:$FG$1000,"&lt;"&amp;FG264)=0,"Y","N")))</f>
        <v>N</v>
      </c>
      <c r="FB264" s="0" t="str">
        <f aca="false">IF($A264="","",IF(AND(EZ264="Y",FA264="Y",Y264&amp;""&lt;&gt;""),IF(Y264&lt;=10,"Y","N"),"N"))</f>
        <v>N</v>
      </c>
      <c r="FC264" s="0" t="str">
        <f aca="false">IF(FB264="Y",Y264,"")</f>
        <v/>
      </c>
      <c r="FD264" s="0" t="str">
        <f aca="false">IF($A264="","",IF(AND(CK264="pass",AU264="Y",AV264&lt;&gt;"Y",U264="new",EW264="N"),"Y","N"))</f>
        <v>N</v>
      </c>
      <c r="FE264" s="0" t="str">
        <f aca="false">IF(FD264&lt;&gt;"Y","",IF(COUNTIFS($FD$2:$FD$1000,"Y",$J$2:$J$1000,"&gt;"&amp;J264)+COUNTIFS($FD$2:$FD$1000,"Y",$J$2:$J$1000,J264,$FG$2:$FG$1000,"&lt;"&amp;FG264)+1&lt;=30,COUNTIFS($FD$2:$FD$1000,"Y",$J$2:$J$1000,"&gt;"&amp;J264)+COUNTIFS($FD$2:$FD$1000,"Y",$J$2:$J$1000,J264,$FG$2:$FG$1000,"&lt;"&amp;FG264)+1,""))</f>
        <v/>
      </c>
      <c r="FF264" s="0" t="str">
        <f aca="false">IF(AND(_xlfn.ISFORMULA(C264),_xlfn.ISFORMULA(J264)),"Y","N")</f>
        <v>Y</v>
      </c>
      <c r="FG264" s="0" t="n">
        <f aca="false">ROW()-1</f>
        <v>263</v>
      </c>
    </row>
    <row r="265" customFormat="false" ht="15" hidden="false" customHeight="false" outlineLevel="0" collapsed="false">
      <c r="A265" s="0" t="s">
        <v>11396</v>
      </c>
      <c r="B265" s="0" t="s">
        <v>11397</v>
      </c>
      <c r="C265" s="0" t="str">
        <f aca="false">IF($A265="","",IF(AT265="Y",BL265&amp;"",AY265&amp;""))</f>
        <v>Grady</v>
      </c>
      <c r="D265" s="0" t="str">
        <f aca="false">IF($A265="","",IF(AT265="Y",BM265&amp;"",AZ265&amp;""))</f>
        <v>unknown</v>
      </c>
      <c r="E265" s="0" t="str">
        <f aca="false">IF($A265="","",IF(AT265="Y",BN265&amp;"",BA265&amp;""))</f>
        <v>Founder</v>
      </c>
      <c r="F265" s="0" t="str">
        <f aca="false">IF($A265="","",IF(AT265="Y",BO265&amp;"",BB265&amp;""))</f>
        <v/>
      </c>
      <c r="G265" s="0" t="str">
        <f aca="false">IF($A265="","",IF(AT265="Y",BP265&amp;"",BC265&amp;""))</f>
        <v/>
      </c>
      <c r="H265" s="0" t="str">
        <f aca="false">IF($A265="","",IF(AT265="Y",BQ265&amp;"",BD265&amp;""))</f>
        <v>none</v>
      </c>
      <c r="I265" s="0" t="str">
        <f aca="false">IF($A265="","",IF(R265="Y","warm-intro",IF(H265="verified","email",IF(C265&lt;&gt;"","linkedin",CA265&amp;""))))</f>
        <v>linkedin</v>
      </c>
      <c r="J265" s="0" t="n">
        <f aca="false">IF($A265="","",IF(CK265="pass",ROUND(N(DO265)+N(DP265)+N(DQ265)+N(DR265)+N(DS265)+N(DT265)+N(DU265)+N(DV265),0),0))</f>
        <v>0</v>
      </c>
      <c r="K265" s="0" t="str">
        <f aca="false">IF($A265="","",IF(CK265&lt;&gt;"pass",BY265&amp;"",BY265&amp;", "&amp;IF(AT265="Y",BX265&amp;"",BK265&amp;"")&amp;BZ265&amp;IF(R265="Y","; known to the founder (+10)","")&amp;"."))</f>
        <v>Gated out: excluded-category: Refrigerated concentrate that needs preparation (dilution); not individually packaged.</v>
      </c>
      <c r="M265" s="0" t="s">
        <v>6144</v>
      </c>
      <c r="N265" s="0" t="s">
        <v>740</v>
      </c>
      <c r="O265" s="0" t="s">
        <v>11398</v>
      </c>
      <c r="P265" s="0" t="s">
        <v>11399</v>
      </c>
      <c r="Q265" s="0" t="s">
        <v>4694</v>
      </c>
      <c r="R265" s="5" t="s">
        <v>189</v>
      </c>
      <c r="S265" s="0" t="s">
        <v>209</v>
      </c>
      <c r="T265" s="5" t="s">
        <v>189</v>
      </c>
      <c r="U265" s="5" t="s">
        <v>3896</v>
      </c>
      <c r="V265" s="0" t="s">
        <v>11400</v>
      </c>
      <c r="W265" s="0" t="s">
        <v>263</v>
      </c>
      <c r="X265" s="0" t="s">
        <v>5578</v>
      </c>
      <c r="Y265" s="0" t="str">
        <f aca="false">IF(FA265&lt;&gt;"Y","",COUNTIFS($FA$2:$FA$1000,"Y",$J$2:$J$1000,"&gt;"&amp;J265)+COUNTIFS($FA$2:$FA$1000,"Y",$J$2:$J$1000,J265,$FG$2:$FG$1000,"&lt;"&amp;FG265)+1)</f>
        <v/>
      </c>
      <c r="AA265" s="0" t="s">
        <v>189</v>
      </c>
      <c r="AB265" s="0" t="str">
        <f aca="false">IF($A265="","",IF(AT265="Y",BW265&amp;"",BJ265&amp;""))</f>
        <v/>
      </c>
      <c r="AC265" s="0" t="str">
        <f aca="false">IF($A265="","",IF(AT265="Y",BR265&amp;"",BE265&amp;""))</f>
        <v>founder</v>
      </c>
      <c r="AD265" s="0" t="str">
        <f aca="false">IF($A265="","",IF(AT265="Y",BS265&amp;"",BF265&amp;""))</f>
        <v>first-name-only</v>
      </c>
      <c r="AE265" s="0" t="str">
        <f aca="false">IF($A265="","",IF(AT265="Y",BT265&amp;"",BG265&amp;""))</f>
        <v>employer's own site</v>
      </c>
      <c r="AF265" s="0" t="str">
        <f aca="false">IF($A265="","",IF(AT265="Y",BU265&amp;"",BH265&amp;""))</f>
        <v>https://www.gradyscoldbrew.com/pages/about-grady-s</v>
      </c>
      <c r="AG265" s="0" t="str">
        <f aca="false">IF($A265="","",IF(AT265="Y",BV265&amp;"",BI265&amp;""))</f>
        <v>2026-10-23</v>
      </c>
      <c r="AH265" s="0" t="s">
        <v>11401</v>
      </c>
      <c r="AI265" s="0" t="s">
        <v>6473</v>
      </c>
      <c r="AJ265" s="0" t="s">
        <v>5631</v>
      </c>
      <c r="AK265" s="0" t="s">
        <v>11402</v>
      </c>
      <c r="AL265" s="0" t="s">
        <v>164</v>
      </c>
      <c r="AM265" s="0" t="s">
        <v>7540</v>
      </c>
      <c r="AN265" s="0" t="s">
        <v>11396</v>
      </c>
      <c r="AO265" s="5" t="s">
        <v>189</v>
      </c>
      <c r="AR265" s="0" t="str">
        <f aca="false">IF($A265="","",IF(AND(CK265="pass",AO265&lt;&gt;"Y",C265&lt;&gt;"",OR(AU265&lt;&gt;"Y",AV265="Y")),"Y","N"))</f>
        <v>N</v>
      </c>
      <c r="AS265" s="0" t="str">
        <f aca="false">IF($A265="","",_xlfn.TEXTJOIN("; ",TRUE(),IF(CK265&lt;&gt;"pass","gated out",""),IF(AO265="Y","on hold: "&amp;AP265,""),IF(C265="","no contact named on an opened page",""),IF(AND(AU265="Y",AV265&lt;&gt;"Y"),"founder review pending (Founder review tab)","")))</f>
        <v>gated out; founder review pending (Founder review tab)</v>
      </c>
      <c r="AU265" s="0" t="s">
        <v>164</v>
      </c>
      <c r="AY265" s="0" t="s">
        <v>11403</v>
      </c>
      <c r="AZ265" s="0" t="s">
        <v>209</v>
      </c>
      <c r="BA265" s="0" t="s">
        <v>5739</v>
      </c>
      <c r="BC265" s="0" t="str">
        <f aca="false">IF($A265="","",IFERROR(INDEX(Enrichment!$A$2:$GZ$2000,MATCH($A265,INDEX(Enrichment!$A$2:$GZ$2000,0,MATCH("row_id",Enrichment!$A$1:$GZ$1,0)),0),MATCH("work_email",Enrichment!$A$1:$GZ$1,0))&amp;"",""))</f>
        <v/>
      </c>
      <c r="BD265" s="0" t="str">
        <f aca="false">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none</v>
      </c>
      <c r="BE265" s="0" t="s">
        <v>5589</v>
      </c>
      <c r="BF265" s="0" t="s">
        <v>5896</v>
      </c>
      <c r="BG265" s="0" t="s">
        <v>170</v>
      </c>
      <c r="BH265" s="0" t="s">
        <v>11400</v>
      </c>
      <c r="BI265" s="0" t="s">
        <v>263</v>
      </c>
      <c r="BK265" s="0" t="s">
        <v>5898</v>
      </c>
      <c r="BP265" s="0" t="str">
        <f aca="false">IF($A265="","",IFERROR(INDEX(Enrichment!$A$2:$GZ$2000,MATCH($A265,INDEX(Enrichment!$A$2:$GZ$2000,0,MATCH("row_id",Enrichment!$A$1:$GZ$1,0)),0),MATCH("backup_work_email",Enrichment!$A$1:$GZ$1,0))&amp;"",""))</f>
        <v/>
      </c>
      <c r="BQ265" s="0" t="str">
        <f aca="false">IF($A265="","",IF(BP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none</v>
      </c>
      <c r="BS265" s="0" t="s">
        <v>380</v>
      </c>
      <c r="BX265" s="0" t="s">
        <v>388</v>
      </c>
      <c r="BY265" s="0" t="s">
        <v>11404</v>
      </c>
      <c r="CB265" s="0" t="s">
        <v>11403</v>
      </c>
      <c r="CJ265" s="0" t="s">
        <v>7088</v>
      </c>
      <c r="CK265" s="0" t="s">
        <v>4627</v>
      </c>
      <c r="CL265" s="0" t="s">
        <v>11405</v>
      </c>
      <c r="CM265" s="0" t="s">
        <v>11406</v>
      </c>
      <c r="CN265" s="0" t="s">
        <v>5808</v>
      </c>
      <c r="CO265" s="0" t="s">
        <v>11402</v>
      </c>
      <c r="CP265" s="0" t="s">
        <v>5608</v>
      </c>
      <c r="CQ265" s="0" t="s">
        <v>5609</v>
      </c>
      <c r="CR265" s="0" t="s">
        <v>209</v>
      </c>
      <c r="CT265" s="0" t="s">
        <v>189</v>
      </c>
      <c r="CU265" s="0" t="s">
        <v>11407</v>
      </c>
      <c r="CV265" s="0" t="s">
        <v>189</v>
      </c>
      <c r="CW265" s="0" t="s">
        <v>164</v>
      </c>
      <c r="CX265" s="0" t="s">
        <v>209</v>
      </c>
      <c r="CZ265" s="0" t="s">
        <v>6456</v>
      </c>
      <c r="DA265" s="0" t="s">
        <v>189</v>
      </c>
      <c r="DB265" s="0" t="s">
        <v>164</v>
      </c>
      <c r="DC265" s="0" t="s">
        <v>11408</v>
      </c>
      <c r="DE265" s="0" t="s">
        <v>189</v>
      </c>
      <c r="DF265" s="0" t="n">
        <v>0</v>
      </c>
      <c r="DI265" s="0" t="s">
        <v>11409</v>
      </c>
      <c r="DK265" s="0" t="s">
        <v>5689</v>
      </c>
      <c r="DL265" s="0" t="n">
        <v>135</v>
      </c>
      <c r="DN265" s="0" t="n">
        <v>41</v>
      </c>
      <c r="DO265" s="0" t="n">
        <v>6</v>
      </c>
      <c r="DP265" s="0" t="n">
        <v>20</v>
      </c>
      <c r="DQ265" s="0" t="n">
        <v>8</v>
      </c>
      <c r="DR265" s="0" t="n">
        <v>5</v>
      </c>
      <c r="DS265" s="0" t="n">
        <v>3</v>
      </c>
      <c r="DT265" s="0" t="n">
        <v>3</v>
      </c>
      <c r="DU265" s="0" t="n">
        <f aca="false">IF($A265="","",IF(R265="Y",10,0))</f>
        <v>0</v>
      </c>
      <c r="DV265" s="0" t="n">
        <v>-4</v>
      </c>
      <c r="DW265" s="0" t="s">
        <v>11410</v>
      </c>
      <c r="DX265" s="0" t="s">
        <v>6462</v>
      </c>
      <c r="DY265" s="0" t="s">
        <v>11411</v>
      </c>
      <c r="DZ265" s="0" t="s">
        <v>11412</v>
      </c>
      <c r="EV265" s="0" t="str">
        <f aca="false">IF($A265="","",IF(ISNUMBER(MATCH(U265,{"queued","contacted","replied","call_booked","call_done","yes_in_principle","materials_sent"},0)),"Y","N"))</f>
        <v>N</v>
      </c>
      <c r="EW265" s="0" t="str">
        <f aca="false">IF($A265="","",IF(OR(T265="Y",U265="do_not_contact",AQ265&amp;""&lt;&gt;""),"Y","N"))</f>
        <v>N</v>
      </c>
      <c r="EX265" s="0" t="str">
        <f aca="false">IF($A265="","",IF(AN265&amp;""&lt;&gt;"",AN265&amp;"",$A265))</f>
        <v>AB-142</v>
      </c>
      <c r="EY265" s="0" t="str">
        <f aca="false">IF($A265="","",IF(COUNTIFS($EX$2:$EX$1000,EX265,$EV$2:$EV$1000,"Y")+COUNTIFS($EX$2:$EX$1000,EX265,$EW$2:$EW$1000,"Y")&gt;0,"Y","N"))</f>
        <v>N</v>
      </c>
      <c r="EZ265" s="0" t="str">
        <f aca="false">IF($A265="","",IF(AND(U265="new",T265="N",EW265="N",AR265="Y",EY265="N"),"Y","N"))</f>
        <v>N</v>
      </c>
      <c r="FA265" s="0" t="str">
        <f aca="false">IF($A265="","",IF(EZ265&lt;&gt;"Y","N",IF(COUNTIFS($EX$2:$EX$1000,EX265,$EZ$2:$EZ$1000,"Y",$J$2:$J$1000,"&gt;"&amp;J265)+COUNTIFS($EX$2:$EX$1000,EX265,$EZ$2:$EZ$1000,"Y",$J$2:$J$1000,J265,$FG$2:$FG$1000,"&lt;"&amp;FG265)=0,"Y","N")))</f>
        <v>N</v>
      </c>
      <c r="FB265" s="0" t="str">
        <f aca="false">IF($A265="","",IF(AND(EZ265="Y",FA265="Y",Y265&amp;""&lt;&gt;""),IF(Y265&lt;=10,"Y","N"),"N"))</f>
        <v>N</v>
      </c>
      <c r="FC265" s="0" t="str">
        <f aca="false">IF(FB265="Y",Y265,"")</f>
        <v/>
      </c>
      <c r="FD265" s="0" t="str">
        <f aca="false">IF($A265="","",IF(AND(CK265="pass",AU265="Y",AV265&lt;&gt;"Y",U265="new",EW265="N"),"Y","N"))</f>
        <v>N</v>
      </c>
      <c r="FE265" s="0" t="str">
        <f aca="false">IF(FD265&lt;&gt;"Y","",IF(COUNTIFS($FD$2:$FD$1000,"Y",$J$2:$J$1000,"&gt;"&amp;J265)+COUNTIFS($FD$2:$FD$1000,"Y",$J$2:$J$1000,J265,$FG$2:$FG$1000,"&lt;"&amp;FG265)+1&lt;=30,COUNTIFS($FD$2:$FD$1000,"Y",$J$2:$J$1000,"&gt;"&amp;J265)+COUNTIFS($FD$2:$FD$1000,"Y",$J$2:$J$1000,J265,$FG$2:$FG$1000,"&lt;"&amp;FG265)+1,""))</f>
        <v/>
      </c>
      <c r="FF265" s="0" t="str">
        <f aca="false">IF(AND(_xlfn.ISFORMULA(C265),_xlfn.ISFORMULA(J265)),"Y","N")</f>
        <v>Y</v>
      </c>
      <c r="FG265" s="0" t="n">
        <f aca="false">ROW()-1</f>
        <v>264</v>
      </c>
    </row>
    <row r="266" customFormat="false" ht="15" hidden="false" customHeight="false" outlineLevel="0" collapsed="false">
      <c r="A266" s="0" t="s">
        <v>11413</v>
      </c>
      <c r="B266" s="0" t="s">
        <v>11414</v>
      </c>
      <c r="C266" s="0" t="str">
        <f aca="false">IF($A266="","",IF(AT266="Y",BL266&amp;"",AY266&amp;""))</f>
        <v>Aisha</v>
      </c>
      <c r="D266" s="0" t="str">
        <f aca="false">IF($A266="","",IF(AT266="Y",BM266&amp;"",AZ266&amp;""))</f>
        <v>unknown</v>
      </c>
      <c r="E266" s="0" t="str">
        <f aca="false">IF($A266="","",IF(AT266="Y",BN266&amp;"",BA266&amp;""))</f>
        <v>Founder</v>
      </c>
      <c r="F266" s="0" t="str">
        <f aca="false">IF($A266="","",IF(AT266="Y",BO266&amp;"",BB266&amp;""))</f>
        <v/>
      </c>
      <c r="G266" s="0" t="str">
        <f aca="false">IF($A266="","",IF(AT266="Y",BP266&amp;"",BC266&amp;""))</f>
        <v/>
      </c>
      <c r="H266" s="0" t="str">
        <f aca="false">IF($A266="","",IF(AT266="Y",BQ266&amp;"",BD266&amp;""))</f>
        <v>none</v>
      </c>
      <c r="I266" s="0" t="str">
        <f aca="false">IF($A266="","",IF(R266="Y","warm-intro",IF(H266="verified","email",IF(C266&lt;&gt;"","linkedin",CA266&amp;""))))</f>
        <v>linkedin</v>
      </c>
      <c r="J266" s="0" t="n">
        <f aca="false">IF($A266="","",IF(CK266="pass",ROUND(N(DO266)+N(DP266)+N(DQ266)+N(DR266)+N(DS266)+N(DT266)+N(DU266)+N(DV266),0),0))</f>
        <v>0</v>
      </c>
      <c r="K266" s="0" t="str">
        <f aca="false">IF($A266="","",IF(CK266&lt;&gt;"pass",BY266&amp;"",BY266&amp;", "&amp;IF(AT266="Y",BX266&amp;"",BK266&amp;"")&amp;BZ266&amp;IF(R266="Y","; known to the founder (+10)","")&amp;"."))</f>
        <v>Gated out: health-claim: Adaptogen drinks with structure or function claims ('supports your mood and focus', 'Balance meets immunity', sleep blends).</v>
      </c>
      <c r="M266" s="0" t="s">
        <v>6144</v>
      </c>
      <c r="N266" s="0" t="s">
        <v>740</v>
      </c>
      <c r="R266" s="5" t="s">
        <v>189</v>
      </c>
      <c r="S266" s="0" t="s">
        <v>209</v>
      </c>
      <c r="T266" s="5" t="s">
        <v>189</v>
      </c>
      <c r="U266" s="5" t="s">
        <v>3896</v>
      </c>
      <c r="V266" s="0" t="s">
        <v>11415</v>
      </c>
      <c r="W266" s="0" t="s">
        <v>263</v>
      </c>
      <c r="X266" s="0" t="s">
        <v>5578</v>
      </c>
      <c r="Y266" s="0" t="str">
        <f aca="false">IF(FA266&lt;&gt;"Y","",COUNTIFS($FA$2:$FA$1000,"Y",$J$2:$J$1000,"&gt;"&amp;J266)+COUNTIFS($FA$2:$FA$1000,"Y",$J$2:$J$1000,J266,$FG$2:$FG$1000,"&lt;"&amp;FG266)+1)</f>
        <v/>
      </c>
      <c r="AA266" s="0" t="s">
        <v>189</v>
      </c>
      <c r="AB266" s="0" t="str">
        <f aca="false">IF($A266="","",IF(AT266="Y",BW266&amp;"",BJ266&amp;""))</f>
        <v/>
      </c>
      <c r="AC266" s="0" t="str">
        <f aca="false">IF($A266="","",IF(AT266="Y",BR266&amp;"",BE266&amp;""))</f>
        <v>founder</v>
      </c>
      <c r="AD266" s="0" t="str">
        <f aca="false">IF($A266="","",IF(AT266="Y",BS266&amp;"",BF266&amp;""))</f>
        <v>first-name-only</v>
      </c>
      <c r="AE266" s="0" t="str">
        <f aca="false">IF($A266="","",IF(AT266="Y",BT266&amp;"",BG266&amp;""))</f>
        <v>employer's own site</v>
      </c>
      <c r="AF266" s="0" t="str">
        <f aca="false">IF($A266="","",IF(AT266="Y",BU266&amp;"",BH266&amp;""))</f>
        <v>https://drinkmoment.com/pages/about</v>
      </c>
      <c r="AG266" s="0" t="str">
        <f aca="false">IF($A266="","",IF(AT266="Y",BV266&amp;"",BI266&amp;""))</f>
        <v>2026-10-23</v>
      </c>
      <c r="AH266" s="0" t="s">
        <v>11416</v>
      </c>
      <c r="AI266" s="0" t="s">
        <v>5580</v>
      </c>
      <c r="AJ266" s="0" t="s">
        <v>209</v>
      </c>
      <c r="AK266" s="0" t="s">
        <v>11417</v>
      </c>
      <c r="AL266" s="0" t="s">
        <v>164</v>
      </c>
      <c r="AM266" s="0" t="s">
        <v>5666</v>
      </c>
      <c r="AN266" s="0" t="s">
        <v>11413</v>
      </c>
      <c r="AO266" s="5" t="s">
        <v>189</v>
      </c>
      <c r="AR266" s="0" t="str">
        <f aca="false">IF($A266="","",IF(AND(CK266="pass",AO266&lt;&gt;"Y",C266&lt;&gt;"",OR(AU266&lt;&gt;"Y",AV266="Y")),"Y","N"))</f>
        <v>N</v>
      </c>
      <c r="AS266" s="0" t="str">
        <f aca="false">IF($A266="","",_xlfn.TEXTJOIN("; ",TRUE(),IF(CK266&lt;&gt;"pass","gated out",""),IF(AO266="Y","on hold: "&amp;AP266,""),IF(C266="","no contact named on an opened page",""),IF(AND(AU266="Y",AV266&lt;&gt;"Y"),"founder review pending (Founder review tab)","")))</f>
        <v>gated out</v>
      </c>
      <c r="AU266" s="0" t="s">
        <v>189</v>
      </c>
      <c r="AY266" s="0" t="s">
        <v>11418</v>
      </c>
      <c r="AZ266" s="0" t="s">
        <v>209</v>
      </c>
      <c r="BA266" s="0" t="s">
        <v>5739</v>
      </c>
      <c r="BC266" s="0" t="str">
        <f aca="false">IF($A266="","",IFERROR(INDEX(Enrichment!$A$2:$GZ$2000,MATCH($A266,INDEX(Enrichment!$A$2:$GZ$2000,0,MATCH("row_id",Enrichment!$A$1:$GZ$1,0)),0),MATCH("work_email",Enrichment!$A$1:$GZ$1,0))&amp;"",""))</f>
        <v/>
      </c>
      <c r="BD266" s="0" t="str">
        <f aca="false">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none</v>
      </c>
      <c r="BE266" s="0" t="s">
        <v>5589</v>
      </c>
      <c r="BF266" s="0" t="s">
        <v>5896</v>
      </c>
      <c r="BG266" s="0" t="s">
        <v>170</v>
      </c>
      <c r="BH266" s="0" t="s">
        <v>11419</v>
      </c>
      <c r="BI266" s="0" t="s">
        <v>263</v>
      </c>
      <c r="BK266" s="0" t="s">
        <v>5898</v>
      </c>
      <c r="BP266" s="0" t="str">
        <f aca="false">IF($A266="","",IFERROR(INDEX(Enrichment!$A$2:$GZ$2000,MATCH($A266,INDEX(Enrichment!$A$2:$GZ$2000,0,MATCH("row_id",Enrichment!$A$1:$GZ$1,0)),0),MATCH("backup_work_email",Enrichment!$A$1:$GZ$1,0))&amp;"",""))</f>
        <v/>
      </c>
      <c r="BQ266" s="0" t="str">
        <f aca="false">IF($A266="","",IF(BP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none</v>
      </c>
      <c r="BS266" s="0" t="s">
        <v>380</v>
      </c>
      <c r="BX266" s="0" t="s">
        <v>388</v>
      </c>
      <c r="BY266" s="0" t="s">
        <v>11420</v>
      </c>
      <c r="CB266" s="0" t="s">
        <v>11418</v>
      </c>
      <c r="CJ266" s="0" t="s">
        <v>7088</v>
      </c>
      <c r="CK266" s="0" t="s">
        <v>4627</v>
      </c>
      <c r="CL266" s="0" t="s">
        <v>10005</v>
      </c>
      <c r="CM266" s="0" t="s">
        <v>11421</v>
      </c>
      <c r="CO266" s="0" t="s">
        <v>11417</v>
      </c>
      <c r="CP266" s="0" t="s">
        <v>209</v>
      </c>
      <c r="CQ266" s="0" t="s">
        <v>209</v>
      </c>
      <c r="CR266" s="0" t="s">
        <v>209</v>
      </c>
      <c r="CT266" s="0" t="s">
        <v>209</v>
      </c>
      <c r="CU266" s="0" t="s">
        <v>11262</v>
      </c>
      <c r="CV266" s="0" t="s">
        <v>164</v>
      </c>
      <c r="CW266" s="0" t="s">
        <v>164</v>
      </c>
      <c r="CX266" s="0" t="s">
        <v>209</v>
      </c>
      <c r="CZ266" s="0" t="s">
        <v>6456</v>
      </c>
      <c r="DA266" s="0" t="s">
        <v>164</v>
      </c>
      <c r="DB266" s="0" t="s">
        <v>164</v>
      </c>
      <c r="DC266" s="0" t="s">
        <v>11422</v>
      </c>
      <c r="DE266" s="0" t="s">
        <v>189</v>
      </c>
      <c r="DF266" s="0" t="n">
        <v>0</v>
      </c>
      <c r="DI266" s="0" t="s">
        <v>209</v>
      </c>
      <c r="DK266" s="0" t="s">
        <v>380</v>
      </c>
      <c r="DN266" s="0" t="n">
        <v>25</v>
      </c>
      <c r="DO266" s="0" t="n">
        <v>6</v>
      </c>
      <c r="DP266" s="0" t="n">
        <v>4</v>
      </c>
      <c r="DQ266" s="0" t="n">
        <v>0</v>
      </c>
      <c r="DR266" s="0" t="n">
        <v>5</v>
      </c>
      <c r="DS266" s="0" t="n">
        <v>7</v>
      </c>
      <c r="DT266" s="0" t="n">
        <v>3</v>
      </c>
      <c r="DU266" s="0" t="n">
        <f aca="false">IF($A266="","",IF(R266="Y",10,0))</f>
        <v>0</v>
      </c>
      <c r="DV266" s="0" t="n">
        <v>0</v>
      </c>
      <c r="DW266" s="0" t="s">
        <v>11423</v>
      </c>
      <c r="DX266" s="0" t="s">
        <v>6462</v>
      </c>
      <c r="DY266" s="0" t="s">
        <v>11424</v>
      </c>
      <c r="DZ266" s="0" t="s">
        <v>11425</v>
      </c>
      <c r="EV266" s="0" t="str">
        <f aca="false">IF($A266="","",IF(ISNUMBER(MATCH(U266,{"queued","contacted","replied","call_booked","call_done","yes_in_principle","materials_sent"},0)),"Y","N"))</f>
        <v>N</v>
      </c>
      <c r="EW266" s="0" t="str">
        <f aca="false">IF($A266="","",IF(OR(T266="Y",U266="do_not_contact",AQ266&amp;""&lt;&gt;""),"Y","N"))</f>
        <v>N</v>
      </c>
      <c r="EX266" s="0" t="str">
        <f aca="false">IF($A266="","",IF(AN266&amp;""&lt;&gt;"",AN266&amp;"",$A266))</f>
        <v>AB-139</v>
      </c>
      <c r="EY266" s="0" t="str">
        <f aca="false">IF($A266="","",IF(COUNTIFS($EX$2:$EX$1000,EX266,$EV$2:$EV$1000,"Y")+COUNTIFS($EX$2:$EX$1000,EX266,$EW$2:$EW$1000,"Y")&gt;0,"Y","N"))</f>
        <v>N</v>
      </c>
      <c r="EZ266" s="0" t="str">
        <f aca="false">IF($A266="","",IF(AND(U266="new",T266="N",EW266="N",AR266="Y",EY266="N"),"Y","N"))</f>
        <v>N</v>
      </c>
      <c r="FA266" s="0" t="str">
        <f aca="false">IF($A266="","",IF(EZ266&lt;&gt;"Y","N",IF(COUNTIFS($EX$2:$EX$1000,EX266,$EZ$2:$EZ$1000,"Y",$J$2:$J$1000,"&gt;"&amp;J266)+COUNTIFS($EX$2:$EX$1000,EX266,$EZ$2:$EZ$1000,"Y",$J$2:$J$1000,J266,$FG$2:$FG$1000,"&lt;"&amp;FG266)=0,"Y","N")))</f>
        <v>N</v>
      </c>
      <c r="FB266" s="0" t="str">
        <f aca="false">IF($A266="","",IF(AND(EZ266="Y",FA266="Y",Y266&amp;""&lt;&gt;""),IF(Y266&lt;=10,"Y","N"),"N"))</f>
        <v>N</v>
      </c>
      <c r="FC266" s="0" t="str">
        <f aca="false">IF(FB266="Y",Y266,"")</f>
        <v/>
      </c>
      <c r="FD266" s="0" t="str">
        <f aca="false">IF($A266="","",IF(AND(CK266="pass",AU266="Y",AV266&lt;&gt;"Y",U266="new",EW266="N"),"Y","N"))</f>
        <v>N</v>
      </c>
      <c r="FE266" s="0" t="str">
        <f aca="false">IF(FD266&lt;&gt;"Y","",IF(COUNTIFS($FD$2:$FD$1000,"Y",$J$2:$J$1000,"&gt;"&amp;J266)+COUNTIFS($FD$2:$FD$1000,"Y",$J$2:$J$1000,J266,$FG$2:$FG$1000,"&lt;"&amp;FG266)+1&lt;=30,COUNTIFS($FD$2:$FD$1000,"Y",$J$2:$J$1000,"&gt;"&amp;J266)+COUNTIFS($FD$2:$FD$1000,"Y",$J$2:$J$1000,J266,$FG$2:$FG$1000,"&lt;"&amp;FG266)+1,""))</f>
        <v/>
      </c>
      <c r="FF266" s="0" t="str">
        <f aca="false">IF(AND(_xlfn.ISFORMULA(C266),_xlfn.ISFORMULA(J266)),"Y","N")</f>
        <v>Y</v>
      </c>
      <c r="FG266" s="0" t="n">
        <f aca="false">ROW()-1</f>
        <v>265</v>
      </c>
    </row>
    <row r="267" customFormat="false" ht="15" hidden="false" customHeight="false" outlineLevel="0" collapsed="false">
      <c r="A267" s="0" t="s">
        <v>11426</v>
      </c>
      <c r="B267" s="0" t="s">
        <v>11427</v>
      </c>
      <c r="C267" s="0" t="str">
        <f aca="false">IF($A267="","",IF(AT267="Y",BL267&amp;"",AY267&amp;""))</f>
        <v>Michelle</v>
      </c>
      <c r="D267" s="0" t="str">
        <f aca="false">IF($A267="","",IF(AT267="Y",BM267&amp;"",AZ267&amp;""))</f>
        <v>unknown</v>
      </c>
      <c r="E267" s="0" t="str">
        <f aca="false">IF($A267="","",IF(AT267="Y",BN267&amp;"",BA267&amp;""))</f>
        <v>Co-founder</v>
      </c>
      <c r="F267" s="0" t="str">
        <f aca="false">IF($A267="","",IF(AT267="Y",BO267&amp;"",BB267&amp;""))</f>
        <v/>
      </c>
      <c r="G267" s="0" t="str">
        <f aca="false">IF($A267="","",IF(AT267="Y",BP267&amp;"",BC267&amp;""))</f>
        <v/>
      </c>
      <c r="H267" s="0" t="str">
        <f aca="false">IF($A267="","",IF(AT267="Y",BQ267&amp;"",BD267&amp;""))</f>
        <v>none</v>
      </c>
      <c r="I267" s="0" t="str">
        <f aca="false">IF($A267="","",IF(R267="Y","warm-intro",IF(H267="verified","email",IF(C267&lt;&gt;"","linkedin",CA267&amp;""))))</f>
        <v>linkedin</v>
      </c>
      <c r="J267" s="0" t="n">
        <f aca="false">IF($A267="","",IF(CK267="pass",ROUND(N(DO267)+N(DP267)+N(DQ267)+N(DR267)+N(DS267)+N(DT267)+N(DU267)+N(DV267),0),0))</f>
        <v>0</v>
      </c>
      <c r="K267" s="0" t="str">
        <f aca="false">IF($A267="","",IF(CK267&lt;&gt;"pass",BY267&amp;"",BY267&amp;", "&amp;IF(AT267="Y",BX267&amp;"",BK267&amp;"")&amp;BZ267&amp;IF(R267="Y","; known to the founder (+10)","")&amp;"."))</f>
        <v>Gated out: health-claim: Explicit health claims: brand FAQ says probiotics have 'benefits for digestive health' and 'aid in the body's immune response'; 'virtually no impa.</v>
      </c>
      <c r="M267" s="0" t="s">
        <v>6144</v>
      </c>
      <c r="N267" s="0" t="s">
        <v>740</v>
      </c>
      <c r="R267" s="5" t="s">
        <v>189</v>
      </c>
      <c r="S267" s="0" t="s">
        <v>209</v>
      </c>
      <c r="T267" s="5" t="s">
        <v>189</v>
      </c>
      <c r="U267" s="5" t="s">
        <v>3896</v>
      </c>
      <c r="V267" s="0" t="s">
        <v>11428</v>
      </c>
      <c r="W267" s="0" t="s">
        <v>263</v>
      </c>
      <c r="X267" s="0" t="s">
        <v>5578</v>
      </c>
      <c r="Y267" s="0" t="str">
        <f aca="false">IF(FA267&lt;&gt;"Y","",COUNTIFS($FA$2:$FA$1000,"Y",$J$2:$J$1000,"&gt;"&amp;J267)+COUNTIFS($FA$2:$FA$1000,"Y",$J$2:$J$1000,J267,$FG$2:$FG$1000,"&lt;"&amp;FG267)+1)</f>
        <v/>
      </c>
      <c r="AA267" s="0" t="s">
        <v>189</v>
      </c>
      <c r="AB267" s="0" t="str">
        <f aca="false">IF($A267="","",IF(AT267="Y",BW267&amp;"",BJ267&amp;""))</f>
        <v/>
      </c>
      <c r="AC267" s="0" t="str">
        <f aca="false">IF($A267="","",IF(AT267="Y",BR267&amp;"",BE267&amp;""))</f>
        <v>founder</v>
      </c>
      <c r="AD267" s="0" t="str">
        <f aca="false">IF($A267="","",IF(AT267="Y",BS267&amp;"",BF267&amp;""))</f>
        <v>first-name-only</v>
      </c>
      <c r="AE267" s="0" t="str">
        <f aca="false">IF($A267="","",IF(AT267="Y",BT267&amp;"",BG267&amp;""))</f>
        <v>employer's own site</v>
      </c>
      <c r="AF267" s="0" t="str">
        <f aca="false">IF($A267="","",IF(AT267="Y",BU267&amp;"",BH267&amp;""))</f>
        <v>https://munkpack.com/pages/about-us</v>
      </c>
      <c r="AG267" s="0" t="str">
        <f aca="false">IF($A267="","",IF(AT267="Y",BV267&amp;"",BI267&amp;""))</f>
        <v>2026-10-23</v>
      </c>
      <c r="AH267" s="0" t="s">
        <v>11429</v>
      </c>
      <c r="AI267" s="0" t="s">
        <v>6007</v>
      </c>
      <c r="AJ267" s="0" t="s">
        <v>209</v>
      </c>
      <c r="AK267" s="0" t="s">
        <v>11430</v>
      </c>
      <c r="AL267" s="0" t="s">
        <v>164</v>
      </c>
      <c r="AM267" s="0" t="s">
        <v>5666</v>
      </c>
      <c r="AN267" s="0" t="s">
        <v>11426</v>
      </c>
      <c r="AO267" s="5" t="s">
        <v>189</v>
      </c>
      <c r="AR267" s="0" t="str">
        <f aca="false">IF($A267="","",IF(AND(CK267="pass",AO267&lt;&gt;"Y",C267&lt;&gt;"",OR(AU267&lt;&gt;"Y",AV267="Y")),"Y","N"))</f>
        <v>N</v>
      </c>
      <c r="AS267" s="0" t="str">
        <f aca="false">IF($A267="","",_xlfn.TEXTJOIN("; ",TRUE(),IF(CK267&lt;&gt;"pass","gated out",""),IF(AO267="Y","on hold: "&amp;AP267,""),IF(C267="","no contact named on an opened page",""),IF(AND(AU267="Y",AV267&lt;&gt;"Y"),"founder review pending (Founder review tab)","")))</f>
        <v>gated out</v>
      </c>
      <c r="AU267" s="0" t="s">
        <v>189</v>
      </c>
      <c r="AY267" s="0" t="s">
        <v>1559</v>
      </c>
      <c r="AZ267" s="0" t="s">
        <v>209</v>
      </c>
      <c r="BA267" s="0" t="s">
        <v>5636</v>
      </c>
      <c r="BC267" s="0" t="str">
        <f aca="false">IF($A267="","",IFERROR(INDEX(Enrichment!$A$2:$GZ$2000,MATCH($A267,INDEX(Enrichment!$A$2:$GZ$2000,0,MATCH("row_id",Enrichment!$A$1:$GZ$1,0)),0),MATCH("work_email",Enrichment!$A$1:$GZ$1,0))&amp;"",""))</f>
        <v/>
      </c>
      <c r="BD267" s="0" t="str">
        <f aca="false">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none</v>
      </c>
      <c r="BE267" s="0" t="s">
        <v>5589</v>
      </c>
      <c r="BF267" s="0" t="s">
        <v>5896</v>
      </c>
      <c r="BG267" s="0" t="s">
        <v>170</v>
      </c>
      <c r="BH267" s="0" t="s">
        <v>11431</v>
      </c>
      <c r="BI267" s="0" t="s">
        <v>263</v>
      </c>
      <c r="BK267" s="0" t="s">
        <v>5898</v>
      </c>
      <c r="BL267" s="0" t="s">
        <v>11432</v>
      </c>
      <c r="BM267" s="0" t="s">
        <v>209</v>
      </c>
      <c r="BN267" s="0" t="s">
        <v>5636</v>
      </c>
      <c r="BP267" s="0" t="str">
        <f aca="false">IF($A267="","",IFERROR(INDEX(Enrichment!$A$2:$GZ$2000,MATCH($A267,INDEX(Enrichment!$A$2:$GZ$2000,0,MATCH("row_id",Enrichment!$A$1:$GZ$1,0)),0),MATCH("backup_work_email",Enrichment!$A$1:$GZ$1,0))&amp;"",""))</f>
        <v/>
      </c>
      <c r="BQ267" s="0" t="str">
        <f aca="false">IF($A267="","",IF(BP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none</v>
      </c>
      <c r="BR267" s="0" t="s">
        <v>7748</v>
      </c>
      <c r="BS267" s="0" t="s">
        <v>5896</v>
      </c>
      <c r="BT267" s="0" t="s">
        <v>170</v>
      </c>
      <c r="BU267" s="0" t="s">
        <v>11431</v>
      </c>
      <c r="BV267" s="0" t="s">
        <v>263</v>
      </c>
      <c r="BX267" s="0" t="s">
        <v>5898</v>
      </c>
      <c r="BY267" s="0" t="s">
        <v>11433</v>
      </c>
      <c r="CB267" s="0" t="s">
        <v>1559</v>
      </c>
      <c r="CD267" s="0" t="s">
        <v>11434</v>
      </c>
      <c r="CF267" s="0" t="s">
        <v>11432</v>
      </c>
      <c r="CH267" s="0" t="s">
        <v>11434</v>
      </c>
      <c r="CJ267" s="0" t="s">
        <v>7088</v>
      </c>
      <c r="CK267" s="0" t="s">
        <v>4627</v>
      </c>
      <c r="CL267" s="0" t="s">
        <v>10005</v>
      </c>
      <c r="CM267" s="0" t="s">
        <v>11435</v>
      </c>
      <c r="CO267" s="0" t="s">
        <v>11430</v>
      </c>
      <c r="CP267" s="0" t="s">
        <v>209</v>
      </c>
      <c r="CQ267" s="0" t="s">
        <v>209</v>
      </c>
      <c r="CR267" s="0" t="s">
        <v>209</v>
      </c>
      <c r="CT267" s="0" t="s">
        <v>352</v>
      </c>
      <c r="CU267" s="0" t="s">
        <v>11436</v>
      </c>
      <c r="CV267" s="0" t="s">
        <v>164</v>
      </c>
      <c r="CW267" s="0" t="s">
        <v>164</v>
      </c>
      <c r="CX267" s="0" t="s">
        <v>209</v>
      </c>
      <c r="CZ267" s="0" t="s">
        <v>209</v>
      </c>
      <c r="DA267" s="0" t="s">
        <v>164</v>
      </c>
      <c r="DB267" s="0" t="s">
        <v>164</v>
      </c>
      <c r="DC267" s="0" t="s">
        <v>11437</v>
      </c>
      <c r="DE267" s="0" t="s">
        <v>189</v>
      </c>
      <c r="DF267" s="0" t="n">
        <v>0</v>
      </c>
      <c r="DI267" s="0" t="s">
        <v>11438</v>
      </c>
      <c r="DJ267" s="0" t="s">
        <v>11439</v>
      </c>
      <c r="DK267" s="0" t="s">
        <v>380</v>
      </c>
      <c r="DN267" s="0" t="n">
        <v>26</v>
      </c>
      <c r="DO267" s="0" t="n">
        <v>6</v>
      </c>
      <c r="DP267" s="0" t="n">
        <v>4</v>
      </c>
      <c r="DQ267" s="0" t="n">
        <v>0</v>
      </c>
      <c r="DR267" s="0" t="n">
        <v>5</v>
      </c>
      <c r="DS267" s="0" t="n">
        <v>8</v>
      </c>
      <c r="DT267" s="0" t="n">
        <v>3</v>
      </c>
      <c r="DU267" s="0" t="n">
        <f aca="false">IF($A267="","",IF(R267="Y",10,0))</f>
        <v>0</v>
      </c>
      <c r="DV267" s="0" t="n">
        <v>0</v>
      </c>
      <c r="DW267" s="0" t="s">
        <v>11440</v>
      </c>
      <c r="DX267" s="0" t="s">
        <v>5691</v>
      </c>
      <c r="DY267" s="0" t="s">
        <v>11441</v>
      </c>
      <c r="DZ267" s="0" t="s">
        <v>11442</v>
      </c>
      <c r="EV267" s="0" t="str">
        <f aca="false">IF($A267="","",IF(ISNUMBER(MATCH(U267,{"queued","contacted","replied","call_booked","call_done","yes_in_principle","materials_sent"},0)),"Y","N"))</f>
        <v>N</v>
      </c>
      <c r="EW267" s="0" t="str">
        <f aca="false">IF($A267="","",IF(OR(T267="Y",U267="do_not_contact",AQ267&amp;""&lt;&gt;""),"Y","N"))</f>
        <v>N</v>
      </c>
      <c r="EX267" s="0" t="str">
        <f aca="false">IF($A267="","",IF(AN267&amp;""&lt;&gt;"",AN267&amp;"",$A267))</f>
        <v>AB-100</v>
      </c>
      <c r="EY267" s="0" t="str">
        <f aca="false">IF($A267="","",IF(COUNTIFS($EX$2:$EX$1000,EX267,$EV$2:$EV$1000,"Y")+COUNTIFS($EX$2:$EX$1000,EX267,$EW$2:$EW$1000,"Y")&gt;0,"Y","N"))</f>
        <v>N</v>
      </c>
      <c r="EZ267" s="0" t="str">
        <f aca="false">IF($A267="","",IF(AND(U267="new",T267="N",EW267="N",AR267="Y",EY267="N"),"Y","N"))</f>
        <v>N</v>
      </c>
      <c r="FA267" s="0" t="str">
        <f aca="false">IF($A267="","",IF(EZ267&lt;&gt;"Y","N",IF(COUNTIFS($EX$2:$EX$1000,EX267,$EZ$2:$EZ$1000,"Y",$J$2:$J$1000,"&gt;"&amp;J267)+COUNTIFS($EX$2:$EX$1000,EX267,$EZ$2:$EZ$1000,"Y",$J$2:$J$1000,J267,$FG$2:$FG$1000,"&lt;"&amp;FG267)=0,"Y","N")))</f>
        <v>N</v>
      </c>
      <c r="FB267" s="0" t="str">
        <f aca="false">IF($A267="","",IF(AND(EZ267="Y",FA267="Y",Y267&amp;""&lt;&gt;""),IF(Y267&lt;=10,"Y","N"),"N"))</f>
        <v>N</v>
      </c>
      <c r="FC267" s="0" t="str">
        <f aca="false">IF(FB267="Y",Y267,"")</f>
        <v/>
      </c>
      <c r="FD267" s="0" t="str">
        <f aca="false">IF($A267="","",IF(AND(CK267="pass",AU267="Y",AV267&lt;&gt;"Y",U267="new",EW267="N"),"Y","N"))</f>
        <v>N</v>
      </c>
      <c r="FE267" s="0" t="str">
        <f aca="false">IF(FD267&lt;&gt;"Y","",IF(COUNTIFS($FD$2:$FD$1000,"Y",$J$2:$J$1000,"&gt;"&amp;J267)+COUNTIFS($FD$2:$FD$1000,"Y",$J$2:$J$1000,J267,$FG$2:$FG$1000,"&lt;"&amp;FG267)+1&lt;=30,COUNTIFS($FD$2:$FD$1000,"Y",$J$2:$J$1000,"&gt;"&amp;J267)+COUNTIFS($FD$2:$FD$1000,"Y",$J$2:$J$1000,J267,$FG$2:$FG$1000,"&lt;"&amp;FG267)+1,""))</f>
        <v/>
      </c>
      <c r="FF267" s="0" t="str">
        <f aca="false">IF(AND(_xlfn.ISFORMULA(C267),_xlfn.ISFORMULA(J267)),"Y","N")</f>
        <v>Y</v>
      </c>
      <c r="FG267" s="0" t="n">
        <f aca="false">ROW()-1</f>
        <v>266</v>
      </c>
    </row>
    <row r="268" customFormat="false" ht="15" hidden="false" customHeight="false" outlineLevel="0" collapsed="false">
      <c r="A268" s="0" t="s">
        <v>11443</v>
      </c>
      <c r="B268" s="0" t="s">
        <v>11444</v>
      </c>
      <c r="C268" s="0" t="str">
        <f aca="false">IF($A268="","",IF(AT268="Y",BL268&amp;"",AY268&amp;""))</f>
        <v>Chas</v>
      </c>
      <c r="D268" s="0" t="str">
        <f aca="false">IF($A268="","",IF(AT268="Y",BM268&amp;"",AZ268&amp;""))</f>
        <v>unknown</v>
      </c>
      <c r="E268" s="0" t="str">
        <f aca="false">IF($A268="","",IF(AT268="Y",BN268&amp;"",BA268&amp;""))</f>
        <v>Co-founder</v>
      </c>
      <c r="F268" s="0" t="str">
        <f aca="false">IF($A268="","",IF(AT268="Y",BO268&amp;"",BB268&amp;""))</f>
        <v/>
      </c>
      <c r="G268" s="0" t="str">
        <f aca="false">IF($A268="","",IF(AT268="Y",BP268&amp;"",BC268&amp;""))</f>
        <v/>
      </c>
      <c r="H268" s="0" t="str">
        <f aca="false">IF($A268="","",IF(AT268="Y",BQ268&amp;"",BD268&amp;""))</f>
        <v>none</v>
      </c>
      <c r="I268" s="0" t="str">
        <f aca="false">IF($A268="","",IF(R268="Y","warm-intro",IF(H268="verified","email",IF(C268&lt;&gt;"","linkedin",CA268&amp;""))))</f>
        <v>linkedin</v>
      </c>
      <c r="J268" s="0" t="n">
        <f aca="false">IF($A268="","",IF(CK268="pass",ROUND(N(DO268)+N(DP268)+N(DQ268)+N(DR268)+N(DS268)+N(DT268)+N(DU268)+N(DV268),0),0))</f>
        <v>0</v>
      </c>
      <c r="K268" s="0" t="str">
        <f aca="false">IF($A268="","",IF(CK268&lt;&gt;"pass",BY268&amp;"",BY268&amp;", "&amp;IF(AT268="Y",BX268&amp;"",BK268&amp;"")&amp;BZ268&amp;IF(R268="Y","; known to the founder (+10)","")&amp;"."))</f>
        <v>Gated out: health-claim: Explicit health claim on product pages: 'Prebiotics (Good for Gut Health)'.</v>
      </c>
      <c r="M268" s="0" t="s">
        <v>6144</v>
      </c>
      <c r="N268" s="0" t="s">
        <v>740</v>
      </c>
      <c r="R268" s="5" t="s">
        <v>189</v>
      </c>
      <c r="S268" s="0" t="s">
        <v>209</v>
      </c>
      <c r="T268" s="5" t="s">
        <v>189</v>
      </c>
      <c r="U268" s="5" t="s">
        <v>3896</v>
      </c>
      <c r="V268" s="0" t="s">
        <v>11445</v>
      </c>
      <c r="W268" s="0" t="s">
        <v>263</v>
      </c>
      <c r="X268" s="0" t="s">
        <v>5578</v>
      </c>
      <c r="Y268" s="0" t="str">
        <f aca="false">IF(FA268&lt;&gt;"Y","",COUNTIFS($FA$2:$FA$1000,"Y",$J$2:$J$1000,"&gt;"&amp;J268)+COUNTIFS($FA$2:$FA$1000,"Y",$J$2:$J$1000,J268,$FG$2:$FG$1000,"&lt;"&amp;FG268)+1)</f>
        <v/>
      </c>
      <c r="AA268" s="0" t="s">
        <v>189</v>
      </c>
      <c r="AB268" s="0" t="str">
        <f aca="false">IF($A268="","",IF(AT268="Y",BW268&amp;"",BJ268&amp;""))</f>
        <v/>
      </c>
      <c r="AC268" s="0" t="str">
        <f aca="false">IF($A268="","",IF(AT268="Y",BR268&amp;"",BE268&amp;""))</f>
        <v>founder</v>
      </c>
      <c r="AD268" s="0" t="str">
        <f aca="false">IF($A268="","",IF(AT268="Y",BS268&amp;"",BF268&amp;""))</f>
        <v>first-name-only</v>
      </c>
      <c r="AE268" s="0" t="str">
        <f aca="false">IF($A268="","",IF(AT268="Y",BT268&amp;"",BG268&amp;""))</f>
        <v>employer's own site</v>
      </c>
      <c r="AF268" s="0" t="str">
        <f aca="false">IF($A268="","",IF(AT268="Y",BU268&amp;"",BH268&amp;""))</f>
        <v>https://sapvt.com/pages/our-story</v>
      </c>
      <c r="AG268" s="0" t="str">
        <f aca="false">IF($A268="","",IF(AT268="Y",BV268&amp;"",BI268&amp;""))</f>
        <v>2026-10-23</v>
      </c>
      <c r="AH268" s="0" t="s">
        <v>11446</v>
      </c>
      <c r="AI268" s="0" t="s">
        <v>5580</v>
      </c>
      <c r="AJ268" s="0" t="s">
        <v>209</v>
      </c>
      <c r="AK268" s="0" t="s">
        <v>11447</v>
      </c>
      <c r="AL268" s="0" t="s">
        <v>189</v>
      </c>
      <c r="AN268" s="0" t="s">
        <v>11443</v>
      </c>
      <c r="AO268" s="5" t="s">
        <v>189</v>
      </c>
      <c r="AR268" s="0" t="str">
        <f aca="false">IF($A268="","",IF(AND(CK268="pass",AO268&lt;&gt;"Y",C268&lt;&gt;"",OR(AU268&lt;&gt;"Y",AV268="Y")),"Y","N"))</f>
        <v>N</v>
      </c>
      <c r="AS268" s="0" t="str">
        <f aca="false">IF($A268="","",_xlfn.TEXTJOIN("; ",TRUE(),IF(CK268&lt;&gt;"pass","gated out",""),IF(AO268="Y","on hold: "&amp;AP268,""),IF(C268="","no contact named on an opened page",""),IF(AND(AU268="Y",AV268&lt;&gt;"Y"),"founder review pending (Founder review tab)","")))</f>
        <v>gated out</v>
      </c>
      <c r="AU268" s="0" t="s">
        <v>189</v>
      </c>
      <c r="AY268" s="0" t="s">
        <v>11448</v>
      </c>
      <c r="AZ268" s="0" t="s">
        <v>209</v>
      </c>
      <c r="BA268" s="0" t="s">
        <v>5636</v>
      </c>
      <c r="BC268" s="0" t="str">
        <f aca="false">IF($A268="","",IFERROR(INDEX(Enrichment!$A$2:$GZ$2000,MATCH($A268,INDEX(Enrichment!$A$2:$GZ$2000,0,MATCH("row_id",Enrichment!$A$1:$GZ$1,0)),0),MATCH("work_email",Enrichment!$A$1:$GZ$1,0))&amp;"",""))</f>
        <v/>
      </c>
      <c r="BD268" s="0" t="str">
        <f aca="false">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none</v>
      </c>
      <c r="BE268" s="0" t="s">
        <v>5589</v>
      </c>
      <c r="BF268" s="0" t="s">
        <v>5896</v>
      </c>
      <c r="BG268" s="0" t="s">
        <v>170</v>
      </c>
      <c r="BH268" s="0" t="s">
        <v>11449</v>
      </c>
      <c r="BI268" s="0" t="s">
        <v>263</v>
      </c>
      <c r="BK268" s="0" t="s">
        <v>5898</v>
      </c>
      <c r="BL268" s="0" t="s">
        <v>11450</v>
      </c>
      <c r="BM268" s="0" t="s">
        <v>209</v>
      </c>
      <c r="BN268" s="0" t="s">
        <v>5636</v>
      </c>
      <c r="BP268" s="0" t="str">
        <f aca="false">IF($A268="","",IFERROR(INDEX(Enrichment!$A$2:$GZ$2000,MATCH($A268,INDEX(Enrichment!$A$2:$GZ$2000,0,MATCH("row_id",Enrichment!$A$1:$GZ$1,0)),0),MATCH("backup_work_email",Enrichment!$A$1:$GZ$1,0))&amp;"",""))</f>
        <v/>
      </c>
      <c r="BQ268" s="0" t="str">
        <f aca="false">IF($A268="","",IF(BP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none</v>
      </c>
      <c r="BR268" s="0" t="s">
        <v>7748</v>
      </c>
      <c r="BS268" s="0" t="s">
        <v>5896</v>
      </c>
      <c r="BT268" s="0" t="s">
        <v>170</v>
      </c>
      <c r="BU268" s="0" t="s">
        <v>11449</v>
      </c>
      <c r="BV268" s="0" t="s">
        <v>263</v>
      </c>
      <c r="BX268" s="0" t="s">
        <v>5898</v>
      </c>
      <c r="BY268" s="0" t="s">
        <v>11451</v>
      </c>
      <c r="CB268" s="0" t="s">
        <v>11448</v>
      </c>
      <c r="CD268" s="0" t="s">
        <v>11452</v>
      </c>
      <c r="CF268" s="0" t="s">
        <v>11450</v>
      </c>
      <c r="CH268" s="0" t="s">
        <v>11452</v>
      </c>
      <c r="CJ268" s="0" t="s">
        <v>7088</v>
      </c>
      <c r="CK268" s="0" t="s">
        <v>4627</v>
      </c>
      <c r="CL268" s="0" t="s">
        <v>10005</v>
      </c>
      <c r="CM268" s="0" t="s">
        <v>11453</v>
      </c>
      <c r="CO268" s="0" t="s">
        <v>11447</v>
      </c>
      <c r="CP268" s="0" t="s">
        <v>6828</v>
      </c>
      <c r="CQ268" s="0" t="s">
        <v>6084</v>
      </c>
      <c r="CR268" s="0" t="s">
        <v>209</v>
      </c>
      <c r="CT268" s="0" t="s">
        <v>164</v>
      </c>
      <c r="CU268" s="0" t="s">
        <v>11454</v>
      </c>
      <c r="CV268" s="0" t="s">
        <v>164</v>
      </c>
      <c r="CW268" s="0" t="s">
        <v>164</v>
      </c>
      <c r="CX268" s="0" t="s">
        <v>209</v>
      </c>
      <c r="CZ268" s="0" t="s">
        <v>6456</v>
      </c>
      <c r="DA268" s="0" t="s">
        <v>164</v>
      </c>
      <c r="DB268" s="0" t="s">
        <v>164</v>
      </c>
      <c r="DC268" s="0" t="s">
        <v>11455</v>
      </c>
      <c r="DE268" s="0" t="s">
        <v>189</v>
      </c>
      <c r="DF268" s="0" t="n">
        <v>0</v>
      </c>
      <c r="DI268" s="0" t="s">
        <v>209</v>
      </c>
      <c r="DK268" s="0" t="s">
        <v>380</v>
      </c>
      <c r="DN268" s="0" t="n">
        <v>32</v>
      </c>
      <c r="DO268" s="0" t="n">
        <v>6</v>
      </c>
      <c r="DP268" s="0" t="n">
        <v>8</v>
      </c>
      <c r="DQ268" s="0" t="n">
        <v>0</v>
      </c>
      <c r="DR268" s="0" t="n">
        <v>5</v>
      </c>
      <c r="DS268" s="0" t="n">
        <v>10</v>
      </c>
      <c r="DT268" s="0" t="n">
        <v>3</v>
      </c>
      <c r="DU268" s="0" t="n">
        <f aca="false">IF($A268="","",IF(R268="Y",10,0))</f>
        <v>0</v>
      </c>
      <c r="DV268" s="0" t="n">
        <v>0</v>
      </c>
      <c r="DW268" s="0" t="s">
        <v>11456</v>
      </c>
      <c r="DX268" s="0" t="s">
        <v>6462</v>
      </c>
      <c r="DY268" s="0" t="s">
        <v>11457</v>
      </c>
      <c r="DZ268" s="0" t="s">
        <v>11458</v>
      </c>
      <c r="EV268" s="0" t="str">
        <f aca="false">IF($A268="","",IF(ISNUMBER(MATCH(U268,{"queued","contacted","replied","call_booked","call_done","yes_in_principle","materials_sent"},0)),"Y","N"))</f>
        <v>N</v>
      </c>
      <c r="EW268" s="0" t="str">
        <f aca="false">IF($A268="","",IF(OR(T268="Y",U268="do_not_contact",AQ268&amp;""&lt;&gt;""),"Y","N"))</f>
        <v>N</v>
      </c>
      <c r="EX268" s="0" t="str">
        <f aca="false">IF($A268="","",IF(AN268&amp;""&lt;&gt;"",AN268&amp;"",$A268))</f>
        <v>AB-148</v>
      </c>
      <c r="EY268" s="0" t="str">
        <f aca="false">IF($A268="","",IF(COUNTIFS($EX$2:$EX$1000,EX268,$EV$2:$EV$1000,"Y")+COUNTIFS($EX$2:$EX$1000,EX268,$EW$2:$EW$1000,"Y")&gt;0,"Y","N"))</f>
        <v>N</v>
      </c>
      <c r="EZ268" s="0" t="str">
        <f aca="false">IF($A268="","",IF(AND(U268="new",T268="N",EW268="N",AR268="Y",EY268="N"),"Y","N"))</f>
        <v>N</v>
      </c>
      <c r="FA268" s="0" t="str">
        <f aca="false">IF($A268="","",IF(EZ268&lt;&gt;"Y","N",IF(COUNTIFS($EX$2:$EX$1000,EX268,$EZ$2:$EZ$1000,"Y",$J$2:$J$1000,"&gt;"&amp;J268)+COUNTIFS($EX$2:$EX$1000,EX268,$EZ$2:$EZ$1000,"Y",$J$2:$J$1000,J268,$FG$2:$FG$1000,"&lt;"&amp;FG268)=0,"Y","N")))</f>
        <v>N</v>
      </c>
      <c r="FB268" s="0" t="str">
        <f aca="false">IF($A268="","",IF(AND(EZ268="Y",FA268="Y",Y268&amp;""&lt;&gt;""),IF(Y268&lt;=10,"Y","N"),"N"))</f>
        <v>N</v>
      </c>
      <c r="FC268" s="0" t="str">
        <f aca="false">IF(FB268="Y",Y268,"")</f>
        <v/>
      </c>
      <c r="FD268" s="0" t="str">
        <f aca="false">IF($A268="","",IF(AND(CK268="pass",AU268="Y",AV268&lt;&gt;"Y",U268="new",EW268="N"),"Y","N"))</f>
        <v>N</v>
      </c>
      <c r="FE268" s="0" t="str">
        <f aca="false">IF(FD268&lt;&gt;"Y","",IF(COUNTIFS($FD$2:$FD$1000,"Y",$J$2:$J$1000,"&gt;"&amp;J268)+COUNTIFS($FD$2:$FD$1000,"Y",$J$2:$J$1000,J268,$FG$2:$FG$1000,"&lt;"&amp;FG268)+1&lt;=30,COUNTIFS($FD$2:$FD$1000,"Y",$J$2:$J$1000,"&gt;"&amp;J268)+COUNTIFS($FD$2:$FD$1000,"Y",$J$2:$J$1000,J268,$FG$2:$FG$1000,"&lt;"&amp;FG268)+1,""))</f>
        <v/>
      </c>
      <c r="FF268" s="0" t="str">
        <f aca="false">IF(AND(_xlfn.ISFORMULA(C268),_xlfn.ISFORMULA(J268)),"Y","N")</f>
        <v>Y</v>
      </c>
      <c r="FG268" s="0" t="n">
        <f aca="false">ROW()-1</f>
        <v>267</v>
      </c>
    </row>
    <row r="269" customFormat="false" ht="15" hidden="false" customHeight="false" outlineLevel="0" collapsed="false">
      <c r="A269" s="0" t="s">
        <v>11459</v>
      </c>
      <c r="B269" s="0" t="s">
        <v>11460</v>
      </c>
      <c r="C269" s="0" t="str">
        <f aca="false">IF($A269="","",IF(AT269="Y",BL269&amp;"",AY269&amp;""))</f>
        <v>Pauline</v>
      </c>
      <c r="D269" s="0" t="str">
        <f aca="false">IF($A269="","",IF(AT269="Y",BM269&amp;"",AZ269&amp;""))</f>
        <v>unknown</v>
      </c>
      <c r="E269" s="0" t="str">
        <f aca="false">IF($A269="","",IF(AT269="Y",BN269&amp;"",BA269&amp;""))</f>
        <v>Founder</v>
      </c>
      <c r="F269" s="0" t="str">
        <f aca="false">IF($A269="","",IF(AT269="Y",BO269&amp;"",BB269&amp;""))</f>
        <v/>
      </c>
      <c r="G269" s="0" t="str">
        <f aca="false">IF($A269="","",IF(AT269="Y",BP269&amp;"",BC269&amp;""))</f>
        <v/>
      </c>
      <c r="H269" s="0" t="str">
        <f aca="false">IF($A269="","",IF(AT269="Y",BQ269&amp;"",BD269&amp;""))</f>
        <v>none</v>
      </c>
      <c r="I269" s="0" t="str">
        <f aca="false">IF($A269="","",IF(R269="Y","warm-intro",IF(H269="verified","email",IF(C269&lt;&gt;"","linkedin",CA269&amp;""))))</f>
        <v>linkedin</v>
      </c>
      <c r="J269" s="0" t="n">
        <f aca="false">IF($A269="","",IF(CK269="pass",ROUND(N(DO269)+N(DP269)+N(DQ269)+N(DR269)+N(DS269)+N(DT269)+N(DU269)+N(DV269),0),0))</f>
        <v>0</v>
      </c>
      <c r="K269" s="0" t="str">
        <f aca="false">IF($A269="","",IF(CK269&lt;&gt;"pass",BY269&amp;"",BY269&amp;", "&amp;IF(AT269="Y",BX269&amp;"",BK269&amp;"")&amp;BZ269&amp;IF(R269="Y","; known to the founder (+10)","")&amp;"."))</f>
        <v>Gated out: health-claim: Structure or function claims on site: antioxidants 'protects cells and supports health'; 'mild caffeine for improved focus with L-theanine'.</v>
      </c>
      <c r="M269" s="0" t="s">
        <v>6144</v>
      </c>
      <c r="N269" s="0" t="s">
        <v>740</v>
      </c>
      <c r="R269" s="5" t="s">
        <v>189</v>
      </c>
      <c r="S269" s="0" t="s">
        <v>209</v>
      </c>
      <c r="T269" s="5" t="s">
        <v>189</v>
      </c>
      <c r="U269" s="5" t="s">
        <v>3896</v>
      </c>
      <c r="V269" s="0" t="s">
        <v>11461</v>
      </c>
      <c r="W269" s="0" t="s">
        <v>263</v>
      </c>
      <c r="X269" s="0" t="s">
        <v>5578</v>
      </c>
      <c r="Y269" s="0" t="str">
        <f aca="false">IF(FA269&lt;&gt;"Y","",COUNTIFS($FA$2:$FA$1000,"Y",$J$2:$J$1000,"&gt;"&amp;J269)+COUNTIFS($FA$2:$FA$1000,"Y",$J$2:$J$1000,J269,$FG$2:$FG$1000,"&lt;"&amp;FG269)+1)</f>
        <v/>
      </c>
      <c r="AA269" s="0" t="s">
        <v>189</v>
      </c>
      <c r="AB269" s="0" t="str">
        <f aca="false">IF($A269="","",IF(AT269="Y",BW269&amp;"",BJ269&amp;""))</f>
        <v/>
      </c>
      <c r="AC269" s="0" t="str">
        <f aca="false">IF($A269="","",IF(AT269="Y",BR269&amp;"",BE269&amp;""))</f>
        <v>founder</v>
      </c>
      <c r="AD269" s="0" t="str">
        <f aca="false">IF($A269="","",IF(AT269="Y",BS269&amp;"",BF269&amp;""))</f>
        <v>first-name-only</v>
      </c>
      <c r="AE269" s="0" t="str">
        <f aca="false">IF($A269="","",IF(AT269="Y",BT269&amp;"",BG269&amp;""))</f>
        <v>employer's own site</v>
      </c>
      <c r="AF269" s="0" t="str">
        <f aca="false">IF($A269="","",IF(AT269="Y",BU269&amp;"",BH269&amp;""))</f>
        <v>https://twrl.com/pages/our-story</v>
      </c>
      <c r="AG269" s="0" t="str">
        <f aca="false">IF($A269="","",IF(AT269="Y",BV269&amp;"",BI269&amp;""))</f>
        <v>2026-10-23</v>
      </c>
      <c r="AH269" s="0" t="s">
        <v>11462</v>
      </c>
      <c r="AI269" s="0" t="s">
        <v>6621</v>
      </c>
      <c r="AJ269" s="0" t="s">
        <v>209</v>
      </c>
      <c r="AK269" s="0" t="s">
        <v>11463</v>
      </c>
      <c r="AL269" s="0" t="s">
        <v>164</v>
      </c>
      <c r="AM269" s="0" t="s">
        <v>5666</v>
      </c>
      <c r="AN269" s="0" t="s">
        <v>11459</v>
      </c>
      <c r="AO269" s="5" t="s">
        <v>189</v>
      </c>
      <c r="AR269" s="0" t="str">
        <f aca="false">IF($A269="","",IF(AND(CK269="pass",AO269&lt;&gt;"Y",C269&lt;&gt;"",OR(AU269&lt;&gt;"Y",AV269="Y")),"Y","N"))</f>
        <v>N</v>
      </c>
      <c r="AS269" s="0" t="str">
        <f aca="false">IF($A269="","",_xlfn.TEXTJOIN("; ",TRUE(),IF(CK269&lt;&gt;"pass","gated out",""),IF(AO269="Y","on hold: "&amp;AP269,""),IF(C269="","no contact named on an opened page",""),IF(AND(AU269="Y",AV269&lt;&gt;"Y"),"founder review pending (Founder review tab)","")))</f>
        <v>gated out</v>
      </c>
      <c r="AU269" s="0" t="s">
        <v>189</v>
      </c>
      <c r="AY269" s="0" t="s">
        <v>11464</v>
      </c>
      <c r="AZ269" s="0" t="s">
        <v>209</v>
      </c>
      <c r="BA269" s="0" t="s">
        <v>5739</v>
      </c>
      <c r="BC269" s="0" t="str">
        <f aca="false">IF($A269="","",IFERROR(INDEX(Enrichment!$A$2:$GZ$2000,MATCH($A269,INDEX(Enrichment!$A$2:$GZ$2000,0,MATCH("row_id",Enrichment!$A$1:$GZ$1,0)),0),MATCH("work_email",Enrichment!$A$1:$GZ$1,0))&amp;"",""))</f>
        <v/>
      </c>
      <c r="BD269" s="0" t="str">
        <f aca="false">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none</v>
      </c>
      <c r="BE269" s="0" t="s">
        <v>5589</v>
      </c>
      <c r="BF269" s="0" t="s">
        <v>5896</v>
      </c>
      <c r="BG269" s="0" t="s">
        <v>170</v>
      </c>
      <c r="BH269" s="0" t="s">
        <v>11465</v>
      </c>
      <c r="BI269" s="0" t="s">
        <v>263</v>
      </c>
      <c r="BK269" s="0" t="s">
        <v>5898</v>
      </c>
      <c r="BP269" s="0" t="str">
        <f aca="false">IF($A269="","",IFERROR(INDEX(Enrichment!$A$2:$GZ$2000,MATCH($A269,INDEX(Enrichment!$A$2:$GZ$2000,0,MATCH("row_id",Enrichment!$A$1:$GZ$1,0)),0),MATCH("backup_work_email",Enrichment!$A$1:$GZ$1,0))&amp;"",""))</f>
        <v/>
      </c>
      <c r="BQ269" s="0" t="str">
        <f aca="false">IF($A269="","",IF(BP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none</v>
      </c>
      <c r="BS269" s="0" t="s">
        <v>380</v>
      </c>
      <c r="BX269" s="0" t="s">
        <v>388</v>
      </c>
      <c r="BY269" s="0" t="s">
        <v>11466</v>
      </c>
      <c r="CB269" s="0" t="s">
        <v>11464</v>
      </c>
      <c r="CJ269" s="0" t="s">
        <v>7088</v>
      </c>
      <c r="CK269" s="0" t="s">
        <v>4627</v>
      </c>
      <c r="CL269" s="0" t="s">
        <v>10005</v>
      </c>
      <c r="CM269" s="0" t="s">
        <v>11467</v>
      </c>
      <c r="CO269" s="0" t="s">
        <v>11463</v>
      </c>
      <c r="CP269" s="0" t="s">
        <v>209</v>
      </c>
      <c r="CQ269" s="0" t="s">
        <v>209</v>
      </c>
      <c r="CR269" s="0" t="s">
        <v>209</v>
      </c>
      <c r="CT269" s="0" t="s">
        <v>209</v>
      </c>
      <c r="CU269" s="0" t="s">
        <v>9076</v>
      </c>
      <c r="CV269" s="0" t="s">
        <v>164</v>
      </c>
      <c r="CW269" s="0" t="s">
        <v>164</v>
      </c>
      <c r="CX269" s="0" t="s">
        <v>209</v>
      </c>
      <c r="CZ269" s="0" t="s">
        <v>6456</v>
      </c>
      <c r="DA269" s="0" t="s">
        <v>164</v>
      </c>
      <c r="DB269" s="0" t="s">
        <v>164</v>
      </c>
      <c r="DC269" s="0" t="s">
        <v>11468</v>
      </c>
      <c r="DE269" s="0" t="s">
        <v>189</v>
      </c>
      <c r="DF269" s="0" t="n">
        <v>0</v>
      </c>
      <c r="DI269" s="0" t="s">
        <v>7906</v>
      </c>
      <c r="DJ269" s="0" t="s">
        <v>11469</v>
      </c>
      <c r="DK269" s="0" t="s">
        <v>380</v>
      </c>
      <c r="DN269" s="0" t="n">
        <v>25</v>
      </c>
      <c r="DO269" s="0" t="n">
        <v>6</v>
      </c>
      <c r="DP269" s="0" t="n">
        <v>4</v>
      </c>
      <c r="DQ269" s="0" t="n">
        <v>0</v>
      </c>
      <c r="DR269" s="0" t="n">
        <v>5</v>
      </c>
      <c r="DS269" s="0" t="n">
        <v>7</v>
      </c>
      <c r="DT269" s="0" t="n">
        <v>3</v>
      </c>
      <c r="DU269" s="0" t="n">
        <f aca="false">IF($A269="","",IF(R269="Y",10,0))</f>
        <v>0</v>
      </c>
      <c r="DV269" s="0" t="n">
        <v>0</v>
      </c>
      <c r="DW269" s="0" t="s">
        <v>11470</v>
      </c>
      <c r="DX269" s="0" t="s">
        <v>6462</v>
      </c>
      <c r="DY269" s="0" t="s">
        <v>11471</v>
      </c>
      <c r="DZ269" s="0" t="s">
        <v>11472</v>
      </c>
      <c r="EV269" s="0" t="str">
        <f aca="false">IF($A269="","",IF(ISNUMBER(MATCH(U269,{"queued","contacted","replied","call_booked","call_done","yes_in_principle","materials_sent"},0)),"Y","N"))</f>
        <v>N</v>
      </c>
      <c r="EW269" s="0" t="str">
        <f aca="false">IF($A269="","",IF(OR(T269="Y",U269="do_not_contact",AQ269&amp;""&lt;&gt;""),"Y","N"))</f>
        <v>N</v>
      </c>
      <c r="EX269" s="0" t="str">
        <f aca="false">IF($A269="","",IF(AN269&amp;""&lt;&gt;"",AN269&amp;"",$A269))</f>
        <v>AB-194</v>
      </c>
      <c r="EY269" s="0" t="str">
        <f aca="false">IF($A269="","",IF(COUNTIFS($EX$2:$EX$1000,EX269,$EV$2:$EV$1000,"Y")+COUNTIFS($EX$2:$EX$1000,EX269,$EW$2:$EW$1000,"Y")&gt;0,"Y","N"))</f>
        <v>N</v>
      </c>
      <c r="EZ269" s="0" t="str">
        <f aca="false">IF($A269="","",IF(AND(U269="new",T269="N",EW269="N",AR269="Y",EY269="N"),"Y","N"))</f>
        <v>N</v>
      </c>
      <c r="FA269" s="0" t="str">
        <f aca="false">IF($A269="","",IF(EZ269&lt;&gt;"Y","N",IF(COUNTIFS($EX$2:$EX$1000,EX269,$EZ$2:$EZ$1000,"Y",$J$2:$J$1000,"&gt;"&amp;J269)+COUNTIFS($EX$2:$EX$1000,EX269,$EZ$2:$EZ$1000,"Y",$J$2:$J$1000,J269,$FG$2:$FG$1000,"&lt;"&amp;FG269)=0,"Y","N")))</f>
        <v>N</v>
      </c>
      <c r="FB269" s="0" t="str">
        <f aca="false">IF($A269="","",IF(AND(EZ269="Y",FA269="Y",Y269&amp;""&lt;&gt;""),IF(Y269&lt;=10,"Y","N"),"N"))</f>
        <v>N</v>
      </c>
      <c r="FC269" s="0" t="str">
        <f aca="false">IF(FB269="Y",Y269,"")</f>
        <v/>
      </c>
      <c r="FD269" s="0" t="str">
        <f aca="false">IF($A269="","",IF(AND(CK269="pass",AU269="Y",AV269&lt;&gt;"Y",U269="new",EW269="N"),"Y","N"))</f>
        <v>N</v>
      </c>
      <c r="FE269" s="0" t="str">
        <f aca="false">IF(FD269&lt;&gt;"Y","",IF(COUNTIFS($FD$2:$FD$1000,"Y",$J$2:$J$1000,"&gt;"&amp;J269)+COUNTIFS($FD$2:$FD$1000,"Y",$J$2:$J$1000,J269,$FG$2:$FG$1000,"&lt;"&amp;FG269)+1&lt;=30,COUNTIFS($FD$2:$FD$1000,"Y",$J$2:$J$1000,"&gt;"&amp;J269)+COUNTIFS($FD$2:$FD$1000,"Y",$J$2:$J$1000,J269,$FG$2:$FG$1000,"&lt;"&amp;FG269)+1,""))</f>
        <v/>
      </c>
      <c r="FF269" s="0" t="str">
        <f aca="false">IF(AND(_xlfn.ISFORMULA(C269),_xlfn.ISFORMULA(J269)),"Y","N")</f>
        <v>Y</v>
      </c>
      <c r="FG269" s="0" t="n">
        <f aca="false">ROW()-1</f>
        <v>268</v>
      </c>
    </row>
    <row r="270" customFormat="false" ht="15" hidden="false" customHeight="false" outlineLevel="0" collapsed="false">
      <c r="A270" s="0" t="s">
        <v>11473</v>
      </c>
      <c r="B270" s="0" t="s">
        <v>11474</v>
      </c>
      <c r="C270" s="0" t="str">
        <f aca="false">IF($A270="","",IF(AT270="Y",BL270&amp;"",AY270&amp;""))</f>
        <v>Jola</v>
      </c>
      <c r="D270" s="0" t="str">
        <f aca="false">IF($A270="","",IF(AT270="Y",BM270&amp;"",AZ270&amp;""))</f>
        <v>Sonkin</v>
      </c>
      <c r="E270" s="0" t="str">
        <f aca="false">IF($A270="","",IF(AT270="Y",BN270&amp;"",BA270&amp;""))</f>
        <v>CEO and Co-founder</v>
      </c>
      <c r="F270" s="0" t="str">
        <f aca="false">IF($A270="","",IF(AT270="Y",BO270&amp;"",BB270&amp;""))</f>
        <v/>
      </c>
      <c r="G270" s="0" t="str">
        <f aca="false">IF($A270="","",IF(AT270="Y",BP270&amp;"",BC270&amp;""))</f>
        <v/>
      </c>
      <c r="H270" s="0" t="str">
        <f aca="false">IF($A270="","",IF(AT270="Y",BQ270&amp;"",BD270&amp;""))</f>
        <v>none</v>
      </c>
      <c r="I270" s="0" t="str">
        <f aca="false">IF($A270="","",IF(R270="Y","warm-intro",IF(H270="verified","email",IF(C270&lt;&gt;"","linkedin",CA270&amp;""))))</f>
        <v>linkedin</v>
      </c>
      <c r="J270" s="0" t="n">
        <f aca="false">IF($A270="","",IF(CK270="pass",ROUND(N(DO270)+N(DP270)+N(DQ270)+N(DR270)+N(DS270)+N(DT270)+N(DU270)+N(DV270),0),0))</f>
        <v>0</v>
      </c>
      <c r="K270" s="0" t="str">
        <f aca="false">IF($A270="","",IF(CK270&lt;&gt;"pass",BY270&amp;"",BY270&amp;", "&amp;IF(AT270="Y",BX270&amp;"",BK270&amp;"")&amp;BZ270&amp;IF(R270="Y","; known to the founder (+10)","")&amp;"."))</f>
        <v>Gated out: health-claim: explicit health claim in the brand's own copy (opened 2026-10-24): 'a good source of potassium, helping support heart health; raisins 'helping sup.</v>
      </c>
      <c r="M270" s="0" t="s">
        <v>5572</v>
      </c>
      <c r="N270" s="0" t="s">
        <v>5573</v>
      </c>
      <c r="O270" s="0" t="s">
        <v>11475</v>
      </c>
      <c r="P270" s="0" t="s">
        <v>11476</v>
      </c>
      <c r="Q270" s="0" t="s">
        <v>4307</v>
      </c>
      <c r="R270" s="5" t="s">
        <v>189</v>
      </c>
      <c r="S270" s="0" t="s">
        <v>209</v>
      </c>
      <c r="T270" s="5" t="s">
        <v>189</v>
      </c>
      <c r="U270" s="5" t="s">
        <v>3896</v>
      </c>
      <c r="V270" s="0" t="s">
        <v>11477</v>
      </c>
      <c r="W270" s="0" t="s">
        <v>263</v>
      </c>
      <c r="X270" s="0" t="s">
        <v>5578</v>
      </c>
      <c r="Y270" s="0" t="str">
        <f aca="false">IF(FA270&lt;&gt;"Y","",COUNTIFS($FA$2:$FA$1000,"Y",$J$2:$J$1000,"&gt;"&amp;J270)+COUNTIFS($FA$2:$FA$1000,"Y",$J$2:$J$1000,J270,$FG$2:$FG$1000,"&lt;"&amp;FG270)+1)</f>
        <v/>
      </c>
      <c r="AA270" s="0" t="s">
        <v>189</v>
      </c>
      <c r="AB270" s="0" t="str">
        <f aca="false">IF($A270="","",IF(AT270="Y",BW270&amp;"",BJ270&amp;""))</f>
        <v/>
      </c>
      <c r="AC270" s="0" t="str">
        <f aca="false">IF($A270="","",IF(AT270="Y",BR270&amp;"",BE270&amp;""))</f>
        <v>founder</v>
      </c>
      <c r="AD270" s="0" t="str">
        <f aca="false">IF($A270="","",IF(AT270="Y",BS270&amp;"",BF270&amp;""))</f>
        <v>crowd-listed</v>
      </c>
      <c r="AE270" s="0" t="str">
        <f aca="false">IF($A270="","",IF(AT270="Y",BT270&amp;"",BG270&amp;""))</f>
        <v>The Org (crowd-edited org chart)</v>
      </c>
      <c r="AF270" s="0" t="str">
        <f aca="false">IF($A270="","",IF(AT270="Y",BU270&amp;"",BH270&amp;""))</f>
        <v>https://theorg.com/org/gomacro/person/jola-sonkin</v>
      </c>
      <c r="AG270" s="0" t="str">
        <f aca="false">IF($A270="","",IF(AT270="Y",BV270&amp;"",BI270&amp;""))</f>
        <v>2026-10-24</v>
      </c>
      <c r="AH270" s="0" t="s">
        <v>11478</v>
      </c>
      <c r="AI270" s="0" t="s">
        <v>6007</v>
      </c>
      <c r="AJ270" s="0" t="s">
        <v>11479</v>
      </c>
      <c r="AK270" s="0" t="s">
        <v>11480</v>
      </c>
      <c r="AL270" s="0" t="s">
        <v>164</v>
      </c>
      <c r="AM270" s="0" t="s">
        <v>11481</v>
      </c>
      <c r="AN270" s="0" t="s">
        <v>11473</v>
      </c>
      <c r="AO270" s="5" t="s">
        <v>189</v>
      </c>
      <c r="AR270" s="0" t="str">
        <f aca="false">IF($A270="","",IF(AND(CK270="pass",AO270&lt;&gt;"Y",C270&lt;&gt;"",OR(AU270&lt;&gt;"Y",AV270="Y")),"Y","N"))</f>
        <v>N</v>
      </c>
      <c r="AS270" s="0" t="str">
        <f aca="false">IF($A270="","",_xlfn.TEXTJOIN("; ",TRUE(),IF(CK270&lt;&gt;"pass","gated out",""),IF(AO270="Y","on hold: "&amp;AP270,""),IF(C270="","no contact named on an opened page",""),IF(AND(AU270="Y",AV270&lt;&gt;"Y"),"founder review pending (Founder review tab)","")))</f>
        <v>gated out; founder review pending (Founder review tab)</v>
      </c>
      <c r="AU270" s="0" t="s">
        <v>164</v>
      </c>
      <c r="AX270" s="0" t="s">
        <v>11482</v>
      </c>
      <c r="AY270" s="0" t="s">
        <v>11483</v>
      </c>
      <c r="AZ270" s="0" t="s">
        <v>11484</v>
      </c>
      <c r="BA270" s="0" t="s">
        <v>6671</v>
      </c>
      <c r="BC270" s="0" t="str">
        <f aca="false">IF($A270="","",IFERROR(INDEX(Enrichment!$A$2:$GZ$2000,MATCH($A270,INDEX(Enrichment!$A$2:$GZ$2000,0,MATCH("row_id",Enrichment!$A$1:$GZ$1,0)),0),MATCH("work_email",Enrichment!$A$1:$GZ$1,0))&amp;"",""))</f>
        <v/>
      </c>
      <c r="BD270" s="0" t="str">
        <f aca="false">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none</v>
      </c>
      <c r="BE270" s="0" t="s">
        <v>5589</v>
      </c>
      <c r="BF270" s="0" t="s">
        <v>283</v>
      </c>
      <c r="BG270" s="0" t="s">
        <v>284</v>
      </c>
      <c r="BH270" s="0" t="s">
        <v>11485</v>
      </c>
      <c r="BI270" s="0" t="s">
        <v>172</v>
      </c>
      <c r="BK270" s="0" t="s">
        <v>5592</v>
      </c>
      <c r="BL270" s="0" t="s">
        <v>11486</v>
      </c>
      <c r="BM270" s="0" t="s">
        <v>11487</v>
      </c>
      <c r="BN270" s="0" t="s">
        <v>11488</v>
      </c>
      <c r="BP270" s="0" t="str">
        <f aca="false">IF($A270="","",IFERROR(INDEX(Enrichment!$A$2:$GZ$2000,MATCH($A270,INDEX(Enrichment!$A$2:$GZ$2000,0,MATCH("row_id",Enrichment!$A$1:$GZ$1,0)),0),MATCH("backup_work_email",Enrichment!$A$1:$GZ$1,0))&amp;"",""))</f>
        <v/>
      </c>
      <c r="BQ270" s="0" t="str">
        <f aca="false">IF($A270="","",IF(BP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none</v>
      </c>
      <c r="BR270" s="0" t="s">
        <v>5596</v>
      </c>
      <c r="BS270" s="0" t="s">
        <v>283</v>
      </c>
      <c r="BT270" s="0" t="s">
        <v>284</v>
      </c>
      <c r="BU270" s="0" t="s">
        <v>11489</v>
      </c>
      <c r="BV270" s="0" t="s">
        <v>172</v>
      </c>
      <c r="BX270" s="0" t="s">
        <v>5599</v>
      </c>
      <c r="BY270" s="0" t="s">
        <v>11490</v>
      </c>
      <c r="CB270" s="0" t="s">
        <v>11491</v>
      </c>
      <c r="CC270" s="0" t="s">
        <v>792</v>
      </c>
      <c r="CD270" s="0" t="s">
        <v>11492</v>
      </c>
      <c r="CF270" s="0" t="s">
        <v>11493</v>
      </c>
      <c r="CG270" s="0" t="s">
        <v>11494</v>
      </c>
      <c r="CH270" s="0" t="s">
        <v>11495</v>
      </c>
      <c r="CJ270" s="0" t="s">
        <v>5606</v>
      </c>
      <c r="CK270" s="0" t="s">
        <v>4627</v>
      </c>
      <c r="CL270" s="0" t="s">
        <v>10005</v>
      </c>
      <c r="CM270" s="0" t="s">
        <v>11496</v>
      </c>
      <c r="CN270" s="0" t="s">
        <v>6108</v>
      </c>
      <c r="CO270" s="0" t="s">
        <v>11480</v>
      </c>
      <c r="CP270" s="0" t="s">
        <v>6606</v>
      </c>
      <c r="CQ270" s="0" t="s">
        <v>6198</v>
      </c>
      <c r="CR270" s="0" t="s">
        <v>209</v>
      </c>
      <c r="CT270" s="0" t="s">
        <v>352</v>
      </c>
      <c r="CU270" s="0" t="s">
        <v>11497</v>
      </c>
      <c r="CV270" s="0" t="s">
        <v>164</v>
      </c>
      <c r="CW270" s="0" t="s">
        <v>164</v>
      </c>
      <c r="CX270" s="0" t="s">
        <v>209</v>
      </c>
      <c r="CZ270" s="0" t="s">
        <v>209</v>
      </c>
      <c r="DA270" s="0" t="s">
        <v>189</v>
      </c>
      <c r="DB270" s="0" t="s">
        <v>164</v>
      </c>
      <c r="DC270" s="0" t="s">
        <v>11498</v>
      </c>
      <c r="DD270" s="0" t="n">
        <v>0</v>
      </c>
      <c r="DE270" s="0" t="s">
        <v>164</v>
      </c>
      <c r="DF270" s="0" t="n">
        <v>3</v>
      </c>
      <c r="DG270" s="0" t="s">
        <v>5686</v>
      </c>
      <c r="DI270" s="0" t="s">
        <v>7214</v>
      </c>
      <c r="DJ270" s="0" t="s">
        <v>11499</v>
      </c>
      <c r="DK270" s="0" t="s">
        <v>5617</v>
      </c>
      <c r="DL270" s="0" t="n">
        <v>137</v>
      </c>
      <c r="DN270" s="0" t="n">
        <v>54</v>
      </c>
      <c r="DO270" s="0" t="n">
        <v>25</v>
      </c>
      <c r="DP270" s="0" t="n">
        <v>3</v>
      </c>
      <c r="DQ270" s="0" t="n">
        <v>15</v>
      </c>
      <c r="DR270" s="0" t="n">
        <v>5</v>
      </c>
      <c r="DS270" s="0" t="n">
        <v>8</v>
      </c>
      <c r="DT270" s="0" t="n">
        <v>10</v>
      </c>
      <c r="DU270" s="0" t="n">
        <f aca="false">IF($A270="","",IF(R270="Y",10,0))</f>
        <v>0</v>
      </c>
      <c r="DV270" s="0" t="n">
        <v>-12</v>
      </c>
      <c r="DW270" s="0" t="s">
        <v>11500</v>
      </c>
      <c r="DX270" s="0" t="s">
        <v>5691</v>
      </c>
      <c r="DY270" s="0" t="s">
        <v>11501</v>
      </c>
      <c r="DZ270" s="0" t="s">
        <v>11502</v>
      </c>
      <c r="EA270" s="0" t="s">
        <v>11503</v>
      </c>
      <c r="EV270" s="0" t="str">
        <f aca="false">IF($A270="","",IF(ISNUMBER(MATCH(U270,{"queued","contacted","replied","call_booked","call_done","yes_in_principle","materials_sent"},0)),"Y","N"))</f>
        <v>N</v>
      </c>
      <c r="EW270" s="0" t="str">
        <f aca="false">IF($A270="","",IF(OR(T270="Y",U270="do_not_contact",AQ270&amp;""&lt;&gt;""),"Y","N"))</f>
        <v>N</v>
      </c>
      <c r="EX270" s="0" t="str">
        <f aca="false">IF($A270="","",IF(AN270&amp;""&lt;&gt;"",AN270&amp;"",$A270))</f>
        <v>AB-117</v>
      </c>
      <c r="EY270" s="0" t="str">
        <f aca="false">IF($A270="","",IF(COUNTIFS($EX$2:$EX$1000,EX270,$EV$2:$EV$1000,"Y")+COUNTIFS($EX$2:$EX$1000,EX270,$EW$2:$EW$1000,"Y")&gt;0,"Y","N"))</f>
        <v>N</v>
      </c>
      <c r="EZ270" s="0" t="str">
        <f aca="false">IF($A270="","",IF(AND(U270="new",T270="N",EW270="N",AR270="Y",EY270="N"),"Y","N"))</f>
        <v>N</v>
      </c>
      <c r="FA270" s="0" t="str">
        <f aca="false">IF($A270="","",IF(EZ270&lt;&gt;"Y","N",IF(COUNTIFS($EX$2:$EX$1000,EX270,$EZ$2:$EZ$1000,"Y",$J$2:$J$1000,"&gt;"&amp;J270)+COUNTIFS($EX$2:$EX$1000,EX270,$EZ$2:$EZ$1000,"Y",$J$2:$J$1000,J270,$FG$2:$FG$1000,"&lt;"&amp;FG270)=0,"Y","N")))</f>
        <v>N</v>
      </c>
      <c r="FB270" s="0" t="str">
        <f aca="false">IF($A270="","",IF(AND(EZ270="Y",FA270="Y",Y270&amp;""&lt;&gt;""),IF(Y270&lt;=10,"Y","N"),"N"))</f>
        <v>N</v>
      </c>
      <c r="FC270" s="0" t="str">
        <f aca="false">IF(FB270="Y",Y270,"")</f>
        <v/>
      </c>
      <c r="FD270" s="0" t="str">
        <f aca="false">IF($A270="","",IF(AND(CK270="pass",AU270="Y",AV270&lt;&gt;"Y",U270="new",EW270="N"),"Y","N"))</f>
        <v>N</v>
      </c>
      <c r="FE270" s="0" t="str">
        <f aca="false">IF(FD270&lt;&gt;"Y","",IF(COUNTIFS($FD$2:$FD$1000,"Y",$J$2:$J$1000,"&gt;"&amp;J270)+COUNTIFS($FD$2:$FD$1000,"Y",$J$2:$J$1000,J270,$FG$2:$FG$1000,"&lt;"&amp;FG270)+1&lt;=30,COUNTIFS($FD$2:$FD$1000,"Y",$J$2:$J$1000,"&gt;"&amp;J270)+COUNTIFS($FD$2:$FD$1000,"Y",$J$2:$J$1000,J270,$FG$2:$FG$1000,"&lt;"&amp;FG270)+1,""))</f>
        <v/>
      </c>
      <c r="FF270" s="0" t="str">
        <f aca="false">IF(AND(_xlfn.ISFORMULA(C270),_xlfn.ISFORMULA(J270)),"Y","N")</f>
        <v>Y</v>
      </c>
      <c r="FG270" s="0" t="n">
        <f aca="false">ROW()-1</f>
        <v>269</v>
      </c>
    </row>
    <row r="271" customFormat="false" ht="15" hidden="false" customHeight="false" outlineLevel="0" collapsed="false">
      <c r="A271" s="0" t="s">
        <v>11504</v>
      </c>
      <c r="B271" s="0" t="s">
        <v>11505</v>
      </c>
      <c r="C271" s="0" t="str">
        <f aca="false">IF($A271="","",IF(AT271="Y",BL271&amp;"",AY271&amp;""))</f>
        <v>Nathan</v>
      </c>
      <c r="D271" s="0" t="str">
        <f aca="false">IF($A271="","",IF(AT271="Y",BM271&amp;"",AZ271&amp;""))</f>
        <v>Hodge</v>
      </c>
      <c r="E271" s="0" t="str">
        <f aca="false">IF($A271="","",IF(AT271="Y",BN271&amp;"",BA271&amp;""))</f>
        <v>CEO and co-founder</v>
      </c>
      <c r="F271" s="0" t="str">
        <f aca="false">IF($A271="","",IF(AT271="Y",BO271&amp;"",BB271&amp;""))</f>
        <v/>
      </c>
      <c r="G271" s="0" t="str">
        <f aca="false">IF($A271="","",IF(AT271="Y",BP271&amp;"",BC271&amp;""))</f>
        <v/>
      </c>
      <c r="H271" s="0" t="str">
        <f aca="false">IF($A271="","",IF(AT271="Y",BQ271&amp;"",BD271&amp;""))</f>
        <v>none</v>
      </c>
      <c r="I271" s="0" t="str">
        <f aca="false">IF($A271="","",IF(R271="Y","warm-intro",IF(H271="verified","email",IF(C271&lt;&gt;"","linkedin",CA271&amp;""))))</f>
        <v>linkedin</v>
      </c>
      <c r="J271" s="0" t="n">
        <f aca="false">IF($A271="","",IF(CK271="pass",ROUND(N(DO271)+N(DP271)+N(DQ271)+N(DR271)+N(DS271)+N(DT271)+N(DU271)+N(DV271),0),0))</f>
        <v>0</v>
      </c>
      <c r="K271" s="0" t="str">
        <f aca="false">IF($A271="","",IF(CK271&lt;&gt;"pass",BY271&amp;"",BY271&amp;", "&amp;IF(AT271="Y",BX271&amp;"",BK271&amp;"")&amp;BZ271&amp;IF(R271="Y","; known to the founder (+10)","")&amp;"."))</f>
        <v>Gated out: health-claim: explicit health claim in the brand's own copy (opened 2026-10-24): 'Reishi supports a calm mood, lion's mane keeps you sharp (functional line: sev.</v>
      </c>
      <c r="M271" s="0" t="s">
        <v>5625</v>
      </c>
      <c r="N271" s="0" t="s">
        <v>5573</v>
      </c>
      <c r="O271" s="0" t="s">
        <v>11506</v>
      </c>
      <c r="P271" s="0" t="s">
        <v>11507</v>
      </c>
      <c r="Q271" s="0" t="s">
        <v>2326</v>
      </c>
      <c r="R271" s="5" t="s">
        <v>189</v>
      </c>
      <c r="S271" s="0" t="s">
        <v>209</v>
      </c>
      <c r="T271" s="5" t="s">
        <v>189</v>
      </c>
      <c r="U271" s="5" t="s">
        <v>3896</v>
      </c>
      <c r="V271" s="0" t="s">
        <v>11508</v>
      </c>
      <c r="W271" s="0" t="s">
        <v>263</v>
      </c>
      <c r="X271" s="0" t="s">
        <v>5578</v>
      </c>
      <c r="Y271" s="0" t="str">
        <f aca="false">IF(FA271&lt;&gt;"Y","",COUNTIFS($FA$2:$FA$1000,"Y",$J$2:$J$1000,"&gt;"&amp;J271)+COUNTIFS($FA$2:$FA$1000,"Y",$J$2:$J$1000,J271,$FG$2:$FG$1000,"&lt;"&amp;FG271)+1)</f>
        <v/>
      </c>
      <c r="AA271" s="0" t="s">
        <v>189</v>
      </c>
      <c r="AB271" s="0" t="str">
        <f aca="false">IF($A271="","",IF(AT271="Y",BW271&amp;"",BJ271&amp;""))</f>
        <v/>
      </c>
      <c r="AC271" s="0" t="str">
        <f aca="false">IF($A271="","",IF(AT271="Y",BR271&amp;"",BE271&amp;""))</f>
        <v>founder</v>
      </c>
      <c r="AD271" s="0" t="str">
        <f aca="false">IF($A271="","",IF(AT271="Y",BS271&amp;"",BF271&amp;""))</f>
        <v>crowd-listed</v>
      </c>
      <c r="AE271" s="0" t="str">
        <f aca="false">IF($A271="","",IF(AT271="Y",BT271&amp;"",BG271&amp;""))</f>
        <v>The Org (crowd-edited org chart)</v>
      </c>
      <c r="AF271" s="0" t="str">
        <f aca="false">IF($A271="","",IF(AT271="Y",BU271&amp;"",BH271&amp;""))</f>
        <v>https://theorg.com/org/raaka-chocolate/person/nathan-hodge</v>
      </c>
      <c r="AG271" s="0" t="str">
        <f aca="false">IF($A271="","",IF(AT271="Y",BV271&amp;"",BI271&amp;""))</f>
        <v>2026-10-24</v>
      </c>
      <c r="AH271" s="0" t="s">
        <v>11509</v>
      </c>
      <c r="AI271" s="0" t="s">
        <v>5664</v>
      </c>
      <c r="AJ271" s="0" t="s">
        <v>11510</v>
      </c>
      <c r="AK271" s="0" t="s">
        <v>11511</v>
      </c>
      <c r="AL271" s="0" t="s">
        <v>164</v>
      </c>
      <c r="AM271" s="0" t="s">
        <v>11512</v>
      </c>
      <c r="AN271" s="0" t="s">
        <v>11504</v>
      </c>
      <c r="AO271" s="5" t="s">
        <v>189</v>
      </c>
      <c r="AR271" s="0" t="str">
        <f aca="false">IF($A271="","",IF(AND(CK271="pass",AO271&lt;&gt;"Y",C271&lt;&gt;"",OR(AU271&lt;&gt;"Y",AV271="Y")),"Y","N"))</f>
        <v>N</v>
      </c>
      <c r="AS271" s="0" t="str">
        <f aca="false">IF($A271="","",_xlfn.TEXTJOIN("; ",TRUE(),IF(CK271&lt;&gt;"pass","gated out",""),IF(AO271="Y","on hold: "&amp;AP271,""),IF(C271="","no contact named on an opened page",""),IF(AND(AU271="Y",AV271&lt;&gt;"Y"),"founder review pending (Founder review tab)","")))</f>
        <v>gated out; founder review pending (Founder review tab)</v>
      </c>
      <c r="AU271" s="0" t="s">
        <v>164</v>
      </c>
      <c r="AX271" s="0" t="s">
        <v>11513</v>
      </c>
      <c r="AY271" s="0" t="s">
        <v>11514</v>
      </c>
      <c r="AZ271" s="0" t="s">
        <v>11515</v>
      </c>
      <c r="BA271" s="0" t="s">
        <v>11516</v>
      </c>
      <c r="BC271" s="0" t="str">
        <f aca="false">IF($A271="","",IFERROR(INDEX(Enrichment!$A$2:$GZ$2000,MATCH($A271,INDEX(Enrichment!$A$2:$GZ$2000,0,MATCH("row_id",Enrichment!$A$1:$GZ$1,0)),0),MATCH("work_email",Enrichment!$A$1:$GZ$1,0))&amp;"",""))</f>
        <v/>
      </c>
      <c r="BD271" s="0" t="str">
        <f aca="false">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none</v>
      </c>
      <c r="BE271" s="0" t="s">
        <v>5589</v>
      </c>
      <c r="BF271" s="0" t="s">
        <v>283</v>
      </c>
      <c r="BG271" s="0" t="s">
        <v>284</v>
      </c>
      <c r="BH271" s="0" t="s">
        <v>11517</v>
      </c>
      <c r="BI271" s="0" t="s">
        <v>172</v>
      </c>
      <c r="BK271" s="0" t="s">
        <v>5592</v>
      </c>
      <c r="BL271" s="0" t="s">
        <v>11518</v>
      </c>
      <c r="BM271" s="0" t="s">
        <v>11519</v>
      </c>
      <c r="BN271" s="0" t="s">
        <v>8693</v>
      </c>
      <c r="BP271" s="0" t="str">
        <f aca="false">IF($A271="","",IFERROR(INDEX(Enrichment!$A$2:$GZ$2000,MATCH($A271,INDEX(Enrichment!$A$2:$GZ$2000,0,MATCH("row_id",Enrichment!$A$1:$GZ$1,0)),0),MATCH("backup_work_email",Enrichment!$A$1:$GZ$1,0))&amp;"",""))</f>
        <v/>
      </c>
      <c r="BQ271" s="0" t="str">
        <f aca="false">IF($A271="","",IF(BP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none</v>
      </c>
      <c r="BR271" s="0" t="s">
        <v>5596</v>
      </c>
      <c r="BS271" s="0" t="s">
        <v>283</v>
      </c>
      <c r="BT271" s="0" t="s">
        <v>284</v>
      </c>
      <c r="BU271" s="0" t="s">
        <v>11520</v>
      </c>
      <c r="BV271" s="0" t="s">
        <v>172</v>
      </c>
      <c r="BX271" s="0" t="s">
        <v>5599</v>
      </c>
      <c r="BY271" s="0" t="s">
        <v>11521</v>
      </c>
      <c r="CB271" s="0" t="s">
        <v>11522</v>
      </c>
      <c r="CC271" s="0" t="s">
        <v>6195</v>
      </c>
      <c r="CD271" s="0" t="s">
        <v>11523</v>
      </c>
      <c r="CF271" s="0" t="s">
        <v>11524</v>
      </c>
      <c r="CG271" s="0" t="s">
        <v>6195</v>
      </c>
      <c r="CH271" s="0" t="s">
        <v>11525</v>
      </c>
      <c r="CJ271" s="0" t="s">
        <v>5606</v>
      </c>
      <c r="CK271" s="0" t="s">
        <v>4627</v>
      </c>
      <c r="CL271" s="0" t="s">
        <v>10005</v>
      </c>
      <c r="CM271" s="0" t="s">
        <v>11526</v>
      </c>
      <c r="CN271" s="0" t="s">
        <v>6051</v>
      </c>
      <c r="CO271" s="0" t="s">
        <v>11511</v>
      </c>
      <c r="CP271" s="0" t="s">
        <v>5608</v>
      </c>
      <c r="CQ271" s="0" t="s">
        <v>5609</v>
      </c>
      <c r="CR271" s="0" t="s">
        <v>209</v>
      </c>
      <c r="CT271" s="0" t="s">
        <v>164</v>
      </c>
      <c r="CU271" s="0" t="s">
        <v>11527</v>
      </c>
      <c r="CV271" s="0" t="s">
        <v>164</v>
      </c>
      <c r="CW271" s="0" t="s">
        <v>164</v>
      </c>
      <c r="CX271" s="0" t="s">
        <v>209</v>
      </c>
      <c r="CZ271" s="0" t="s">
        <v>209</v>
      </c>
      <c r="DA271" s="0" t="s">
        <v>189</v>
      </c>
      <c r="DB271" s="0" t="s">
        <v>164</v>
      </c>
      <c r="DC271" s="0" t="s">
        <v>11528</v>
      </c>
      <c r="DD271" s="0" t="n">
        <v>0</v>
      </c>
      <c r="DE271" s="0" t="s">
        <v>164</v>
      </c>
      <c r="DF271" s="0" t="n">
        <v>7</v>
      </c>
      <c r="DG271" s="0" t="s">
        <v>11529</v>
      </c>
      <c r="DH271" s="0" t="s">
        <v>11530</v>
      </c>
      <c r="DI271" s="0" t="s">
        <v>11531</v>
      </c>
      <c r="DJ271" s="0" t="s">
        <v>11532</v>
      </c>
      <c r="DK271" s="0" t="s">
        <v>5689</v>
      </c>
      <c r="DL271" s="0" t="n">
        <v>2</v>
      </c>
      <c r="DN271" s="0" t="n">
        <v>74</v>
      </c>
      <c r="DO271" s="0" t="n">
        <v>25</v>
      </c>
      <c r="DP271" s="0" t="n">
        <v>20</v>
      </c>
      <c r="DQ271" s="0" t="n">
        <v>8</v>
      </c>
      <c r="DR271" s="0" t="n">
        <v>5</v>
      </c>
      <c r="DS271" s="0" t="n">
        <v>10</v>
      </c>
      <c r="DT271" s="0" t="n">
        <v>10</v>
      </c>
      <c r="DU271" s="0" t="n">
        <f aca="false">IF($A271="","",IF(R271="Y",10,0))</f>
        <v>0</v>
      </c>
      <c r="DV271" s="0" t="n">
        <v>-4</v>
      </c>
      <c r="DW271" s="0" t="s">
        <v>11533</v>
      </c>
      <c r="DX271" s="0" t="s">
        <v>5691</v>
      </c>
      <c r="DY271" s="0" t="s">
        <v>11534</v>
      </c>
      <c r="DZ271" s="0" t="s">
        <v>11535</v>
      </c>
      <c r="EA271" s="0" t="s">
        <v>11536</v>
      </c>
      <c r="EV271" s="0" t="str">
        <f aca="false">IF($A271="","",IF(ISNUMBER(MATCH(U271,{"queued","contacted","replied","call_booked","call_done","yes_in_principle","materials_sent"},0)),"Y","N"))</f>
        <v>N</v>
      </c>
      <c r="EW271" s="0" t="str">
        <f aca="false">IF($A271="","",IF(OR(T271="Y",U271="do_not_contact",AQ271&amp;""&lt;&gt;""),"Y","N"))</f>
        <v>N</v>
      </c>
      <c r="EX271" s="0" t="str">
        <f aca="false">IF($A271="","",IF(AN271&amp;""&lt;&gt;"",AN271&amp;"",$A271))</f>
        <v>AB-070</v>
      </c>
      <c r="EY271" s="0" t="str">
        <f aca="false">IF($A271="","",IF(COUNTIFS($EX$2:$EX$1000,EX271,$EV$2:$EV$1000,"Y")+COUNTIFS($EX$2:$EX$1000,EX271,$EW$2:$EW$1000,"Y")&gt;0,"Y","N"))</f>
        <v>N</v>
      </c>
      <c r="EZ271" s="0" t="str">
        <f aca="false">IF($A271="","",IF(AND(U271="new",T271="N",EW271="N",AR271="Y",EY271="N"),"Y","N"))</f>
        <v>N</v>
      </c>
      <c r="FA271" s="0" t="str">
        <f aca="false">IF($A271="","",IF(EZ271&lt;&gt;"Y","N",IF(COUNTIFS($EX$2:$EX$1000,EX271,$EZ$2:$EZ$1000,"Y",$J$2:$J$1000,"&gt;"&amp;J271)+COUNTIFS($EX$2:$EX$1000,EX271,$EZ$2:$EZ$1000,"Y",$J$2:$J$1000,J271,$FG$2:$FG$1000,"&lt;"&amp;FG271)=0,"Y","N")))</f>
        <v>N</v>
      </c>
      <c r="FB271" s="0" t="str">
        <f aca="false">IF($A271="","",IF(AND(EZ271="Y",FA271="Y",Y271&amp;""&lt;&gt;""),IF(Y271&lt;=10,"Y","N"),"N"))</f>
        <v>N</v>
      </c>
      <c r="FC271" s="0" t="str">
        <f aca="false">IF(FB271="Y",Y271,"")</f>
        <v/>
      </c>
      <c r="FD271" s="0" t="str">
        <f aca="false">IF($A271="","",IF(AND(CK271="pass",AU271="Y",AV271&lt;&gt;"Y",U271="new",EW271="N"),"Y","N"))</f>
        <v>N</v>
      </c>
      <c r="FE271" s="0" t="str">
        <f aca="false">IF(FD271&lt;&gt;"Y","",IF(COUNTIFS($FD$2:$FD$1000,"Y",$J$2:$J$1000,"&gt;"&amp;J271)+COUNTIFS($FD$2:$FD$1000,"Y",$J$2:$J$1000,J271,$FG$2:$FG$1000,"&lt;"&amp;FG271)+1&lt;=30,COUNTIFS($FD$2:$FD$1000,"Y",$J$2:$J$1000,"&gt;"&amp;J271)+COUNTIFS($FD$2:$FD$1000,"Y",$J$2:$J$1000,J271,$FG$2:$FG$1000,"&lt;"&amp;FG271)+1,""))</f>
        <v/>
      </c>
      <c r="FF271" s="0" t="str">
        <f aca="false">IF(AND(_xlfn.ISFORMULA(C271),_xlfn.ISFORMULA(J271)),"Y","N")</f>
        <v>Y</v>
      </c>
      <c r="FG271" s="0" t="n">
        <f aca="false">ROW()-1</f>
        <v>270</v>
      </c>
    </row>
    <row r="272" customFormat="false" ht="15" hidden="false" customHeight="false" outlineLevel="0" collapsed="false">
      <c r="A272" s="0" t="s">
        <v>11537</v>
      </c>
      <c r="B272" s="0" t="s">
        <v>11538</v>
      </c>
      <c r="C272" s="0" t="str">
        <f aca="false">IF($A272="","",IF(AT272="Y",BL272&amp;"",AY272&amp;""))</f>
        <v/>
      </c>
      <c r="D272" s="0" t="str">
        <f aca="false">IF($A272="","",IF(AT272="Y",BM272&amp;"",AZ272&amp;""))</f>
        <v/>
      </c>
      <c r="E272" s="0" t="str">
        <f aca="false">IF($A272="","",IF(AT272="Y",BN272&amp;"",BA272&amp;""))</f>
        <v/>
      </c>
      <c r="F272" s="0" t="str">
        <f aca="false">IF($A272="","",IF(AT272="Y",BO272&amp;"",BB272&amp;""))</f>
        <v/>
      </c>
      <c r="G272" s="0" t="str">
        <f aca="false">IF($A272="","",IF(AT272="Y",BP272&amp;"",BC272&amp;""))</f>
        <v/>
      </c>
      <c r="H272" s="0" t="str">
        <f aca="false">IF($A272="","",IF(AT272="Y",BQ272&amp;"",BD272&amp;""))</f>
        <v>none</v>
      </c>
      <c r="I272" s="0" t="str">
        <f aca="false">IF($A272="","",IF(R272="Y","warm-intro",IF(H272="verified","email",IF(C272&lt;&gt;"","linkedin",CA272&amp;""))))</f>
        <v/>
      </c>
      <c r="J272" s="0" t="n">
        <f aca="false">IF($A272="","",IF(CK272="pass",ROUND(N(DO272)+N(DP272)+N(DQ272)+N(DR272)+N(DS272)+N(DT272)+N(DU272)+N(DV272),0),0))</f>
        <v>0</v>
      </c>
      <c r="K272" s="0" t="str">
        <f aca="false">IF($A272="","",IF(CK272&lt;&gt;"pass",BY272&amp;"",BY272&amp;", "&amp;IF(AT272="Y",BX272&amp;"",BK272&amp;"")&amp;BZ272&amp;IF(R272="Y","; known to the founder (+10)","")&amp;"."))</f>
        <v>Gated out: health-claim: Health-claim positioning: site title 'Gut Health Drinks'; Our Story: 'make improving gut health something to be enjoyed'.</v>
      </c>
      <c r="M272" s="0" t="s">
        <v>5572</v>
      </c>
      <c r="N272" s="0" t="s">
        <v>5573</v>
      </c>
      <c r="R272" s="5" t="s">
        <v>189</v>
      </c>
      <c r="S272" s="0" t="s">
        <v>209</v>
      </c>
      <c r="T272" s="5" t="s">
        <v>189</v>
      </c>
      <c r="U272" s="5" t="s">
        <v>3896</v>
      </c>
      <c r="V272" s="0" t="s">
        <v>11539</v>
      </c>
      <c r="W272" s="0" t="s">
        <v>263</v>
      </c>
      <c r="X272" s="0" t="s">
        <v>5578</v>
      </c>
      <c r="Y272" s="0" t="str">
        <f aca="false">IF(FA272&lt;&gt;"Y","",COUNTIFS($FA$2:$FA$1000,"Y",$J$2:$J$1000,"&gt;"&amp;J272)+COUNTIFS($FA$2:$FA$1000,"Y",$J$2:$J$1000,J272,$FG$2:$FG$1000,"&lt;"&amp;FG272)+1)</f>
        <v/>
      </c>
      <c r="AA272" s="0" t="s">
        <v>189</v>
      </c>
      <c r="AB272" s="0" t="str">
        <f aca="false">IF($A272="","",IF(AT272="Y",BW272&amp;"",BJ272&amp;""))</f>
        <v/>
      </c>
      <c r="AC272" s="0" t="str">
        <f aca="false">IF($A272="","",IF(AT272="Y",BR272&amp;"",BE272&amp;""))</f>
        <v>founder</v>
      </c>
      <c r="AD272" s="0" t="str">
        <f aca="false">IF($A272="","",IF(AT272="Y",BS272&amp;"",BF272&amp;""))</f>
        <v>unverified</v>
      </c>
      <c r="AE272" s="0" t="str">
        <f aca="false">IF($A272="","",IF(AT272="Y",BT272&amp;"",BG272&amp;""))</f>
        <v>employer's own site</v>
      </c>
      <c r="AF272" s="0" t="str">
        <f aca="false">IF($A272="","",IF(AT272="Y",BU272&amp;"",BH272&amp;""))</f>
        <v>https://www.bearsfruit.com/pages/our-story</v>
      </c>
      <c r="AG272" s="0" t="str">
        <f aca="false">IF($A272="","",IF(AT272="Y",BV272&amp;"",BI272&amp;""))</f>
        <v>2026-10-23</v>
      </c>
      <c r="AH272" s="0" t="s">
        <v>11540</v>
      </c>
      <c r="AI272" s="0" t="s">
        <v>5580</v>
      </c>
      <c r="AJ272" s="0" t="s">
        <v>11541</v>
      </c>
      <c r="AK272" s="0" t="s">
        <v>11542</v>
      </c>
      <c r="AL272" s="0" t="s">
        <v>164</v>
      </c>
      <c r="AM272" s="0" t="s">
        <v>11543</v>
      </c>
      <c r="AN272" s="0" t="s">
        <v>11537</v>
      </c>
      <c r="AO272" s="5" t="s">
        <v>189</v>
      </c>
      <c r="AR272" s="0" t="str">
        <f aca="false">IF($A272="","",IF(AND(CK272="pass",AO272&lt;&gt;"Y",C272&lt;&gt;"",OR(AU272&lt;&gt;"Y",AV272="Y")),"Y","N"))</f>
        <v>N</v>
      </c>
      <c r="AS272" s="0" t="str">
        <f aca="false">IF($A272="","",_xlfn.TEXTJOIN("; ",TRUE(),IF(CK272&lt;&gt;"pass","gated out",""),IF(AO272="Y","on hold: "&amp;AP272,""),IF(C272="","no contact named on an opened page",""),IF(AND(AU272="Y",AV272&lt;&gt;"Y"),"founder review pending (Founder review tab)","")))</f>
        <v>gated out; no contact named on an opened page; founder review pending (Founder review tab)</v>
      </c>
      <c r="AU272" s="0" t="s">
        <v>164</v>
      </c>
      <c r="AX272" s="0" t="s">
        <v>11544</v>
      </c>
      <c r="BC272" s="0" t="str">
        <f aca="false">IF($A272="","",IFERROR(INDEX(Enrichment!$A$2:$GZ$2000,MATCH($A272,INDEX(Enrichment!$A$2:$GZ$2000,0,MATCH("row_id",Enrichment!$A$1:$GZ$1,0)),0),MATCH("work_email",Enrichment!$A$1:$GZ$1,0))&amp;"",""))</f>
        <v/>
      </c>
      <c r="BD272" s="0" t="str">
        <f aca="false">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none</v>
      </c>
      <c r="BE272" s="0" t="s">
        <v>5589</v>
      </c>
      <c r="BF272" s="0" t="s">
        <v>740</v>
      </c>
      <c r="BG272" s="0" t="s">
        <v>170</v>
      </c>
      <c r="BH272" s="0" t="s">
        <v>11539</v>
      </c>
      <c r="BI272" s="0" t="s">
        <v>263</v>
      </c>
      <c r="BK272" s="0" t="s">
        <v>5834</v>
      </c>
      <c r="BP272" s="0" t="str">
        <f aca="false">IF($A272="","",IFERROR(INDEX(Enrichment!$A$2:$GZ$2000,MATCH($A272,INDEX(Enrichment!$A$2:$GZ$2000,0,MATCH("row_id",Enrichment!$A$1:$GZ$1,0)),0),MATCH("backup_work_email",Enrichment!$A$1:$GZ$1,0))&amp;"",""))</f>
        <v/>
      </c>
      <c r="BQ272" s="0" t="str">
        <f aca="false">IF($A272="","",IF(BP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none</v>
      </c>
      <c r="BR272" s="0" t="s">
        <v>7748</v>
      </c>
      <c r="BS272" s="0" t="s">
        <v>740</v>
      </c>
      <c r="BT272" s="0" t="s">
        <v>170</v>
      </c>
      <c r="BU272" s="0" t="s">
        <v>11539</v>
      </c>
      <c r="BV272" s="0" t="s">
        <v>263</v>
      </c>
      <c r="BX272" s="0" t="s">
        <v>5834</v>
      </c>
      <c r="BY272" s="0" t="s">
        <v>11545</v>
      </c>
      <c r="CB272" s="0" t="s">
        <v>5951</v>
      </c>
      <c r="CD272" s="0" t="s">
        <v>11546</v>
      </c>
      <c r="CF272" s="0" t="s">
        <v>1586</v>
      </c>
      <c r="CH272" s="0" t="s">
        <v>11546</v>
      </c>
      <c r="CJ272" s="0" t="s">
        <v>7088</v>
      </c>
      <c r="CK272" s="0" t="s">
        <v>4627</v>
      </c>
      <c r="CL272" s="0" t="s">
        <v>10005</v>
      </c>
      <c r="CM272" s="0" t="s">
        <v>11547</v>
      </c>
      <c r="CN272" s="0" t="s">
        <v>6051</v>
      </c>
      <c r="CO272" s="0" t="s">
        <v>11542</v>
      </c>
      <c r="CP272" s="0" t="s">
        <v>11548</v>
      </c>
      <c r="CQ272" s="0" t="s">
        <v>5609</v>
      </c>
      <c r="CR272" s="0" t="s">
        <v>209</v>
      </c>
      <c r="CT272" s="0" t="s">
        <v>209</v>
      </c>
      <c r="CU272" s="0" t="s">
        <v>11549</v>
      </c>
      <c r="CV272" s="0" t="s">
        <v>164</v>
      </c>
      <c r="CW272" s="0" t="s">
        <v>164</v>
      </c>
      <c r="CX272" s="0" t="s">
        <v>209</v>
      </c>
      <c r="CZ272" s="0" t="s">
        <v>209</v>
      </c>
      <c r="DA272" s="0" t="s">
        <v>164</v>
      </c>
      <c r="DB272" s="0" t="s">
        <v>164</v>
      </c>
      <c r="DC272" s="0" t="s">
        <v>11550</v>
      </c>
      <c r="DD272" s="0" t="n">
        <v>0</v>
      </c>
      <c r="DE272" s="0" t="s">
        <v>164</v>
      </c>
      <c r="DF272" s="0" t="n">
        <v>3</v>
      </c>
      <c r="DG272" s="0" t="s">
        <v>5686</v>
      </c>
      <c r="DH272" s="0" t="s">
        <v>5969</v>
      </c>
      <c r="DI272" s="0" t="s">
        <v>7984</v>
      </c>
      <c r="DJ272" s="0" t="s">
        <v>11551</v>
      </c>
      <c r="DK272" s="0" t="s">
        <v>380</v>
      </c>
      <c r="DN272" s="0" t="n">
        <v>56</v>
      </c>
      <c r="DO272" s="0" t="n">
        <v>25</v>
      </c>
      <c r="DP272" s="0" t="n">
        <v>20</v>
      </c>
      <c r="DQ272" s="0" t="n">
        <v>0</v>
      </c>
      <c r="DR272" s="0" t="n">
        <v>5</v>
      </c>
      <c r="DS272" s="0" t="n">
        <v>7</v>
      </c>
      <c r="DT272" s="0" t="n">
        <v>3</v>
      </c>
      <c r="DU272" s="0" t="n">
        <f aca="false">IF($A272="","",IF(R272="Y",10,0))</f>
        <v>0</v>
      </c>
      <c r="DV272" s="0" t="n">
        <v>-4</v>
      </c>
      <c r="DX272" s="0" t="s">
        <v>5619</v>
      </c>
      <c r="DY272" s="0" t="s">
        <v>11552</v>
      </c>
      <c r="DZ272" s="0" t="s">
        <v>11553</v>
      </c>
      <c r="EV272" s="0" t="str">
        <f aca="false">IF($A272="","",IF(ISNUMBER(MATCH(U272,{"queued","contacted","replied","call_booked","call_done","yes_in_principle","materials_sent"},0)),"Y","N"))</f>
        <v>N</v>
      </c>
      <c r="EW272" s="0" t="str">
        <f aca="false">IF($A272="","",IF(OR(T272="Y",U272="do_not_contact",AQ272&amp;""&lt;&gt;""),"Y","N"))</f>
        <v>N</v>
      </c>
      <c r="EX272" s="0" t="str">
        <f aca="false">IF($A272="","",IF(AN272&amp;""&lt;&gt;"",AN272&amp;"",$A272))</f>
        <v>AB-245</v>
      </c>
      <c r="EY272" s="0" t="str">
        <f aca="false">IF($A272="","",IF(COUNTIFS($EX$2:$EX$1000,EX272,$EV$2:$EV$1000,"Y")+COUNTIFS($EX$2:$EX$1000,EX272,$EW$2:$EW$1000,"Y")&gt;0,"Y","N"))</f>
        <v>N</v>
      </c>
      <c r="EZ272" s="0" t="str">
        <f aca="false">IF($A272="","",IF(AND(U272="new",T272="N",EW272="N",AR272="Y",EY272="N"),"Y","N"))</f>
        <v>N</v>
      </c>
      <c r="FA272" s="0" t="str">
        <f aca="false">IF($A272="","",IF(EZ272&lt;&gt;"Y","N",IF(COUNTIFS($EX$2:$EX$1000,EX272,$EZ$2:$EZ$1000,"Y",$J$2:$J$1000,"&gt;"&amp;J272)+COUNTIFS($EX$2:$EX$1000,EX272,$EZ$2:$EZ$1000,"Y",$J$2:$J$1000,J272,$FG$2:$FG$1000,"&lt;"&amp;FG272)=0,"Y","N")))</f>
        <v>N</v>
      </c>
      <c r="FB272" s="0" t="str">
        <f aca="false">IF($A272="","",IF(AND(EZ272="Y",FA272="Y",Y272&amp;""&lt;&gt;""),IF(Y272&lt;=10,"Y","N"),"N"))</f>
        <v>N</v>
      </c>
      <c r="FC272" s="0" t="str">
        <f aca="false">IF(FB272="Y",Y272,"")</f>
        <v/>
      </c>
      <c r="FD272" s="0" t="str">
        <f aca="false">IF($A272="","",IF(AND(CK272="pass",AU272="Y",AV272&lt;&gt;"Y",U272="new",EW272="N"),"Y","N"))</f>
        <v>N</v>
      </c>
      <c r="FE272" s="0" t="str">
        <f aca="false">IF(FD272&lt;&gt;"Y","",IF(COUNTIFS($FD$2:$FD$1000,"Y",$J$2:$J$1000,"&gt;"&amp;J272)+COUNTIFS($FD$2:$FD$1000,"Y",$J$2:$J$1000,J272,$FG$2:$FG$1000,"&lt;"&amp;FG272)+1&lt;=30,COUNTIFS($FD$2:$FD$1000,"Y",$J$2:$J$1000,"&gt;"&amp;J272)+COUNTIFS($FD$2:$FD$1000,"Y",$J$2:$J$1000,J272,$FG$2:$FG$1000,"&lt;"&amp;FG272)+1,""))</f>
        <v/>
      </c>
      <c r="FF272" s="0" t="str">
        <f aca="false">IF(AND(_xlfn.ISFORMULA(C272),_xlfn.ISFORMULA(J272)),"Y","N")</f>
        <v>Y</v>
      </c>
      <c r="FG272" s="0" t="n">
        <f aca="false">ROW()-1</f>
        <v>271</v>
      </c>
    </row>
    <row r="273" customFormat="false" ht="15" hidden="false" customHeight="false" outlineLevel="0" collapsed="false">
      <c r="A273" s="0" t="s">
        <v>11554</v>
      </c>
      <c r="B273" s="0" t="s">
        <v>11555</v>
      </c>
      <c r="C273" s="0" t="str">
        <f aca="false">IF($A273="","",IF(AT273="Y",BL273&amp;"",AY273&amp;""))</f>
        <v/>
      </c>
      <c r="D273" s="0" t="str">
        <f aca="false">IF($A273="","",IF(AT273="Y",BM273&amp;"",AZ273&amp;""))</f>
        <v/>
      </c>
      <c r="E273" s="0" t="str">
        <f aca="false">IF($A273="","",IF(AT273="Y",BN273&amp;"",BA273&amp;""))</f>
        <v/>
      </c>
      <c r="F273" s="0" t="str">
        <f aca="false">IF($A273="","",IF(AT273="Y",BO273&amp;"",BB273&amp;""))</f>
        <v/>
      </c>
      <c r="G273" s="0" t="str">
        <f aca="false">IF($A273="","",IF(AT273="Y",BP273&amp;"",BC273&amp;""))</f>
        <v/>
      </c>
      <c r="H273" s="0" t="str">
        <f aca="false">IF($A273="","",IF(AT273="Y",BQ273&amp;"",BD273&amp;""))</f>
        <v>none</v>
      </c>
      <c r="I273" s="0" t="str">
        <f aca="false">IF($A273="","",IF(R273="Y","warm-intro",IF(H273="verified","email",IF(C273&lt;&gt;"","linkedin",CA273&amp;""))))</f>
        <v/>
      </c>
      <c r="J273" s="0" t="n">
        <f aca="false">IF($A273="","",IF(CK273="pass",ROUND(N(DO273)+N(DP273)+N(DQ273)+N(DR273)+N(DS273)+N(DT273)+N(DU273)+N(DV273),0),0))</f>
        <v>0</v>
      </c>
      <c r="K273" s="0" t="str">
        <f aca="false">IF($A273="","",IF(CK273&lt;&gt;"pass",BY273&amp;"",BY273&amp;", "&amp;IF(AT273="Y",BX273&amp;"",BK273&amp;"")&amp;BZ273&amp;IF(R273="Y","; known to the founder (+10)","")&amp;"."))</f>
        <v>Gated out: health-claim: explicit health claim in the brand's own copy (opened 2026-10-24): 'fennel seeds support digestion, boost antioxidants, and promote cardiovascular.</v>
      </c>
      <c r="M273" s="0" t="s">
        <v>6144</v>
      </c>
      <c r="N273" s="0" t="s">
        <v>740</v>
      </c>
      <c r="R273" s="5" t="s">
        <v>189</v>
      </c>
      <c r="S273" s="0" t="s">
        <v>209</v>
      </c>
      <c r="T273" s="5" t="s">
        <v>189</v>
      </c>
      <c r="U273" s="5" t="s">
        <v>3896</v>
      </c>
      <c r="V273" s="0" t="s">
        <v>11556</v>
      </c>
      <c r="W273" s="0" t="s">
        <v>263</v>
      </c>
      <c r="X273" s="0" t="s">
        <v>5578</v>
      </c>
      <c r="Y273" s="0" t="str">
        <f aca="false">IF(FA273&lt;&gt;"Y","",COUNTIFS($FA$2:$FA$1000,"Y",$J$2:$J$1000,"&gt;"&amp;J273)+COUNTIFS($FA$2:$FA$1000,"Y",$J$2:$J$1000,J273,$FG$2:$FG$1000,"&lt;"&amp;FG273)+1)</f>
        <v/>
      </c>
      <c r="AA273" s="0" t="s">
        <v>189</v>
      </c>
      <c r="AB273" s="0" t="str">
        <f aca="false">IF($A273="","",IF(AT273="Y",BW273&amp;"",BJ273&amp;""))</f>
        <v/>
      </c>
      <c r="AC273" s="0" t="str">
        <f aca="false">IF($A273="","",IF(AT273="Y",BR273&amp;"",BE273&amp;""))</f>
        <v>founder</v>
      </c>
      <c r="AD273" s="0" t="str">
        <f aca="false">IF($A273="","",IF(AT273="Y",BS273&amp;"",BF273&amp;""))</f>
        <v>unverified</v>
      </c>
      <c r="AE273" s="0" t="str">
        <f aca="false">IF($A273="","",IF(AT273="Y",BT273&amp;"",BG273&amp;""))</f>
        <v>employer's own site</v>
      </c>
      <c r="AF273" s="0" t="str">
        <f aca="false">IF($A273="","",IF(AT273="Y",BU273&amp;"",BH273&amp;""))</f>
        <v>https://baabufoods.com/pages/meet-the-baabus</v>
      </c>
      <c r="AG273" s="0" t="str">
        <f aca="false">IF($A273="","",IF(AT273="Y",BV273&amp;"",BI273&amp;""))</f>
        <v>2026-10-23</v>
      </c>
      <c r="AH273" s="0" t="s">
        <v>11557</v>
      </c>
      <c r="AI273" s="0" t="s">
        <v>6240</v>
      </c>
      <c r="AJ273" s="0" t="s">
        <v>11558</v>
      </c>
      <c r="AK273" s="0" t="s">
        <v>11559</v>
      </c>
      <c r="AL273" s="0" t="s">
        <v>164</v>
      </c>
      <c r="AM273" s="0" t="s">
        <v>11560</v>
      </c>
      <c r="AN273" s="0" t="s">
        <v>11554</v>
      </c>
      <c r="AO273" s="5" t="s">
        <v>189</v>
      </c>
      <c r="AR273" s="0" t="str">
        <f aca="false">IF($A273="","",IF(AND(CK273="pass",AO273&lt;&gt;"Y",C273&lt;&gt;"",OR(AU273&lt;&gt;"Y",AV273="Y")),"Y","N"))</f>
        <v>N</v>
      </c>
      <c r="AS273" s="0" t="str">
        <f aca="false">IF($A273="","",_xlfn.TEXTJOIN("; ",TRUE(),IF(CK273&lt;&gt;"pass","gated out",""),IF(AO273="Y","on hold: "&amp;AP273,""),IF(C273="","no contact named on an opened page",""),IF(AND(AU273="Y",AV273&lt;&gt;"Y"),"founder review pending (Founder review tab)","")))</f>
        <v>gated out; no contact named on an opened page</v>
      </c>
      <c r="AU273" s="0" t="s">
        <v>189</v>
      </c>
      <c r="BC273" s="0" t="str">
        <f aca="false">IF($A273="","",IFERROR(INDEX(Enrichment!$A$2:$GZ$2000,MATCH($A273,INDEX(Enrichment!$A$2:$GZ$2000,0,MATCH("row_id",Enrichment!$A$1:$GZ$1,0)),0),MATCH("work_email",Enrichment!$A$1:$GZ$1,0))&amp;"",""))</f>
        <v/>
      </c>
      <c r="BD273" s="0" t="str">
        <f aca="false">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none</v>
      </c>
      <c r="BE273" s="0" t="s">
        <v>5589</v>
      </c>
      <c r="BF273" s="0" t="s">
        <v>740</v>
      </c>
      <c r="BG273" s="0" t="s">
        <v>170</v>
      </c>
      <c r="BH273" s="0" t="s">
        <v>11561</v>
      </c>
      <c r="BI273" s="0" t="s">
        <v>263</v>
      </c>
      <c r="BK273" s="0" t="s">
        <v>5834</v>
      </c>
      <c r="BP273" s="0" t="str">
        <f aca="false">IF($A273="","",IFERROR(INDEX(Enrichment!$A$2:$GZ$2000,MATCH($A273,INDEX(Enrichment!$A$2:$GZ$2000,0,MATCH("row_id",Enrichment!$A$1:$GZ$1,0)),0),MATCH("backup_work_email",Enrichment!$A$1:$GZ$1,0))&amp;"",""))</f>
        <v/>
      </c>
      <c r="BQ273" s="0" t="str">
        <f aca="false">IF($A273="","",IF(BP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none</v>
      </c>
      <c r="BR273" s="0" t="s">
        <v>7748</v>
      </c>
      <c r="BS273" s="0" t="s">
        <v>740</v>
      </c>
      <c r="BT273" s="0" t="s">
        <v>170</v>
      </c>
      <c r="BU273" s="0" t="s">
        <v>11561</v>
      </c>
      <c r="BV273" s="0" t="s">
        <v>263</v>
      </c>
      <c r="BX273" s="0" t="s">
        <v>5834</v>
      </c>
      <c r="BY273" s="0" t="s">
        <v>11562</v>
      </c>
      <c r="CB273" s="0" t="s">
        <v>11563</v>
      </c>
      <c r="CD273" s="0" t="s">
        <v>11564</v>
      </c>
      <c r="CF273" s="0" t="s">
        <v>11565</v>
      </c>
      <c r="CH273" s="0" t="s">
        <v>11564</v>
      </c>
      <c r="CJ273" s="0" t="s">
        <v>7088</v>
      </c>
      <c r="CK273" s="0" t="s">
        <v>4627</v>
      </c>
      <c r="CL273" s="0" t="s">
        <v>10005</v>
      </c>
      <c r="CM273" s="0" t="s">
        <v>11566</v>
      </c>
      <c r="CN273" s="0" t="s">
        <v>5607</v>
      </c>
      <c r="CO273" s="0" t="s">
        <v>11559</v>
      </c>
      <c r="CP273" s="0" t="s">
        <v>5840</v>
      </c>
      <c r="CQ273" s="0" t="s">
        <v>6084</v>
      </c>
      <c r="CR273" s="0" t="s">
        <v>209</v>
      </c>
      <c r="CT273" s="0" t="s">
        <v>164</v>
      </c>
      <c r="CU273" s="0" t="s">
        <v>11567</v>
      </c>
      <c r="CV273" s="0" t="s">
        <v>164</v>
      </c>
      <c r="CW273" s="0" t="s">
        <v>164</v>
      </c>
      <c r="CX273" s="0" t="s">
        <v>209</v>
      </c>
      <c r="CZ273" s="0" t="s">
        <v>209</v>
      </c>
      <c r="DA273" s="0" t="s">
        <v>164</v>
      </c>
      <c r="DB273" s="0" t="s">
        <v>164</v>
      </c>
      <c r="DC273" s="0" t="s">
        <v>11568</v>
      </c>
      <c r="DE273" s="0" t="s">
        <v>189</v>
      </c>
      <c r="DF273" s="0" t="n">
        <v>0</v>
      </c>
      <c r="DH273" s="0" t="s">
        <v>7307</v>
      </c>
      <c r="DI273" s="0" t="s">
        <v>7263</v>
      </c>
      <c r="DJ273" s="0" t="s">
        <v>11556</v>
      </c>
      <c r="DK273" s="0" t="s">
        <v>380</v>
      </c>
      <c r="DN273" s="0" t="n">
        <v>28</v>
      </c>
      <c r="DO273" s="0" t="n">
        <v>6</v>
      </c>
      <c r="DP273" s="0" t="n">
        <v>8</v>
      </c>
      <c r="DQ273" s="0" t="n">
        <v>0</v>
      </c>
      <c r="DR273" s="0" t="n">
        <v>5</v>
      </c>
      <c r="DS273" s="0" t="n">
        <v>10</v>
      </c>
      <c r="DT273" s="0" t="n">
        <v>3</v>
      </c>
      <c r="DU273" s="0" t="n">
        <f aca="false">IF($A273="","",IF(R273="Y",10,0))</f>
        <v>0</v>
      </c>
      <c r="DV273" s="0" t="n">
        <v>-4</v>
      </c>
      <c r="DX273" s="0" t="s">
        <v>5619</v>
      </c>
      <c r="DY273" s="0" t="s">
        <v>11569</v>
      </c>
      <c r="DZ273" s="0" t="s">
        <v>11570</v>
      </c>
      <c r="EA273" s="0" t="s">
        <v>11571</v>
      </c>
      <c r="EV273" s="0" t="str">
        <f aca="false">IF($A273="","",IF(ISNUMBER(MATCH(U273,{"queued","contacted","replied","call_booked","call_done","yes_in_principle","materials_sent"},0)),"Y","N"))</f>
        <v>N</v>
      </c>
      <c r="EW273" s="0" t="str">
        <f aca="false">IF($A273="","",IF(OR(T273="Y",U273="do_not_contact",AQ273&amp;""&lt;&gt;""),"Y","N"))</f>
        <v>N</v>
      </c>
      <c r="EX273" s="0" t="str">
        <f aca="false">IF($A273="","",IF(AN273&amp;""&lt;&gt;"",AN273&amp;"",$A273))</f>
        <v>AB-242</v>
      </c>
      <c r="EY273" s="0" t="str">
        <f aca="false">IF($A273="","",IF(COUNTIFS($EX$2:$EX$1000,EX273,$EV$2:$EV$1000,"Y")+COUNTIFS($EX$2:$EX$1000,EX273,$EW$2:$EW$1000,"Y")&gt;0,"Y","N"))</f>
        <v>N</v>
      </c>
      <c r="EZ273" s="0" t="str">
        <f aca="false">IF($A273="","",IF(AND(U273="new",T273="N",EW273="N",AR273="Y",EY273="N"),"Y","N"))</f>
        <v>N</v>
      </c>
      <c r="FA273" s="0" t="str">
        <f aca="false">IF($A273="","",IF(EZ273&lt;&gt;"Y","N",IF(COUNTIFS($EX$2:$EX$1000,EX273,$EZ$2:$EZ$1000,"Y",$J$2:$J$1000,"&gt;"&amp;J273)+COUNTIFS($EX$2:$EX$1000,EX273,$EZ$2:$EZ$1000,"Y",$J$2:$J$1000,J273,$FG$2:$FG$1000,"&lt;"&amp;FG273)=0,"Y","N")))</f>
        <v>N</v>
      </c>
      <c r="FB273" s="0" t="str">
        <f aca="false">IF($A273="","",IF(AND(EZ273="Y",FA273="Y",Y273&amp;""&lt;&gt;""),IF(Y273&lt;=10,"Y","N"),"N"))</f>
        <v>N</v>
      </c>
      <c r="FC273" s="0" t="str">
        <f aca="false">IF(FB273="Y",Y273,"")</f>
        <v/>
      </c>
      <c r="FD273" s="0" t="str">
        <f aca="false">IF($A273="","",IF(AND(CK273="pass",AU273="Y",AV273&lt;&gt;"Y",U273="new",EW273="N"),"Y","N"))</f>
        <v>N</v>
      </c>
      <c r="FE273" s="0" t="str">
        <f aca="false">IF(FD273&lt;&gt;"Y","",IF(COUNTIFS($FD$2:$FD$1000,"Y",$J$2:$J$1000,"&gt;"&amp;J273)+COUNTIFS($FD$2:$FD$1000,"Y",$J$2:$J$1000,J273,$FG$2:$FG$1000,"&lt;"&amp;FG273)+1&lt;=30,COUNTIFS($FD$2:$FD$1000,"Y",$J$2:$J$1000,"&gt;"&amp;J273)+COUNTIFS($FD$2:$FD$1000,"Y",$J$2:$J$1000,J273,$FG$2:$FG$1000,"&lt;"&amp;FG273)+1,""))</f>
        <v/>
      </c>
      <c r="FF273" s="0" t="str">
        <f aca="false">IF(AND(_xlfn.ISFORMULA(C273),_xlfn.ISFORMULA(J273)),"Y","N")</f>
        <v>Y</v>
      </c>
      <c r="FG273" s="0" t="n">
        <f aca="false">ROW()-1</f>
        <v>272</v>
      </c>
    </row>
    <row r="274" customFormat="false" ht="15" hidden="false" customHeight="false" outlineLevel="0" collapsed="false">
      <c r="A274" s="0" t="s">
        <v>11572</v>
      </c>
      <c r="B274" s="0" t="s">
        <v>11573</v>
      </c>
      <c r="C274" s="0" t="str">
        <f aca="false">IF($A274="","",IF(AT274="Y",BL274&amp;"",AY274&amp;""))</f>
        <v/>
      </c>
      <c r="D274" s="0" t="str">
        <f aca="false">IF($A274="","",IF(AT274="Y",BM274&amp;"",AZ274&amp;""))</f>
        <v/>
      </c>
      <c r="E274" s="0" t="str">
        <f aca="false">IF($A274="","",IF(AT274="Y",BN274&amp;"",BA274&amp;""))</f>
        <v/>
      </c>
      <c r="F274" s="0" t="str">
        <f aca="false">IF($A274="","",IF(AT274="Y",BO274&amp;"",BB274&amp;""))</f>
        <v/>
      </c>
      <c r="G274" s="0" t="str">
        <f aca="false">IF($A274="","",IF(AT274="Y",BP274&amp;"",BC274&amp;""))</f>
        <v/>
      </c>
      <c r="H274" s="0" t="str">
        <f aca="false">IF($A274="","",IF(AT274="Y",BQ274&amp;"",BD274&amp;""))</f>
        <v>none</v>
      </c>
      <c r="I274" s="0" t="str">
        <f aca="false">IF($A274="","",IF(R274="Y","warm-intro",IF(H274="verified","email",IF(C274&lt;&gt;"","linkedin",CA274&amp;""))))</f>
        <v/>
      </c>
      <c r="J274" s="0" t="n">
        <f aca="false">IF($A274="","",IF(CK274="pass",ROUND(N(DO274)+N(DP274)+N(DQ274)+N(DR274)+N(DS274)+N(DT274)+N(DU274)+N(DV274),0),0))</f>
        <v>0</v>
      </c>
      <c r="K274" s="0" t="str">
        <f aca="false">IF($A274="","",IF(CK274&lt;&gt;"pass",BY274&amp;"",BY274&amp;", "&amp;IF(AT274="Y",BX274&amp;"",BK274&amp;"")&amp;BZ274&amp;IF(R274="Y","; known to the founder (+10)","")&amp;"."))</f>
        <v>Gated out: not-shelf-stable: Refrigerated products (brand where-to-buy page: refrigerated aisle).</v>
      </c>
      <c r="M274" s="0" t="s">
        <v>6144</v>
      </c>
      <c r="N274" s="0" t="s">
        <v>740</v>
      </c>
      <c r="R274" s="5" t="s">
        <v>189</v>
      </c>
      <c r="S274" s="0" t="s">
        <v>209</v>
      </c>
      <c r="T274" s="5" t="s">
        <v>189</v>
      </c>
      <c r="U274" s="5" t="s">
        <v>3896</v>
      </c>
      <c r="V274" s="0" t="s">
        <v>11574</v>
      </c>
      <c r="W274" s="0" t="s">
        <v>263</v>
      </c>
      <c r="X274" s="0" t="s">
        <v>5578</v>
      </c>
      <c r="Y274" s="0" t="str">
        <f aca="false">IF(FA274&lt;&gt;"Y","",COUNTIFS($FA$2:$FA$1000,"Y",$J$2:$J$1000,"&gt;"&amp;J274)+COUNTIFS($FA$2:$FA$1000,"Y",$J$2:$J$1000,J274,$FG$2:$FG$1000,"&lt;"&amp;FG274)+1)</f>
        <v/>
      </c>
      <c r="AA274" s="0" t="s">
        <v>189</v>
      </c>
      <c r="AB274" s="0" t="str">
        <f aca="false">IF($A274="","",IF(AT274="Y",BW274&amp;"",BJ274&amp;""))</f>
        <v/>
      </c>
      <c r="AC274" s="0" t="str">
        <f aca="false">IF($A274="","",IF(AT274="Y",BR274&amp;"",BE274&amp;""))</f>
        <v>founder</v>
      </c>
      <c r="AD274" s="0" t="str">
        <f aca="false">IF($A274="","",IF(AT274="Y",BS274&amp;"",BF274&amp;""))</f>
        <v>unverified</v>
      </c>
      <c r="AE274" s="0" t="str">
        <f aca="false">IF($A274="","",IF(AT274="Y",BT274&amp;"",BG274&amp;""))</f>
        <v>employer's own site</v>
      </c>
      <c r="AF274" s="0" t="str">
        <f aca="false">IF($A274="","",IF(AT274="Y",BU274&amp;"",BH274&amp;""))</f>
        <v>https://www.belgianboys.com/pages/our-story</v>
      </c>
      <c r="AG274" s="0" t="str">
        <f aca="false">IF($A274="","",IF(AT274="Y",BV274&amp;"",BI274&amp;""))</f>
        <v>2026-10-23</v>
      </c>
      <c r="AH274" s="0" t="s">
        <v>11575</v>
      </c>
      <c r="AI274" s="0" t="s">
        <v>6042</v>
      </c>
      <c r="AJ274" s="0" t="s">
        <v>11576</v>
      </c>
      <c r="AK274" s="0" t="s">
        <v>11577</v>
      </c>
      <c r="AL274" s="0" t="s">
        <v>164</v>
      </c>
      <c r="AM274" s="0" t="s">
        <v>11578</v>
      </c>
      <c r="AN274" s="0" t="s">
        <v>11572</v>
      </c>
      <c r="AO274" s="5" t="s">
        <v>189</v>
      </c>
      <c r="AR274" s="0" t="str">
        <f aca="false">IF($A274="","",IF(AND(CK274="pass",AO274&lt;&gt;"Y",C274&lt;&gt;"",OR(AU274&lt;&gt;"Y",AV274="Y")),"Y","N"))</f>
        <v>N</v>
      </c>
      <c r="AS274" s="0" t="str">
        <f aca="false">IF($A274="","",_xlfn.TEXTJOIN("; ",TRUE(),IF(CK274&lt;&gt;"pass","gated out",""),IF(AO274="Y","on hold: "&amp;AP274,""),IF(C274="","no contact named on an opened page",""),IF(AND(AU274="Y",AV274&lt;&gt;"Y"),"founder review pending (Founder review tab)","")))</f>
        <v>gated out; no contact named on an opened page; founder review pending (Founder review tab)</v>
      </c>
      <c r="AU274" s="0" t="s">
        <v>164</v>
      </c>
      <c r="BC274" s="0" t="str">
        <f aca="false">IF($A274="","",IFERROR(INDEX(Enrichment!$A$2:$GZ$2000,MATCH($A274,INDEX(Enrichment!$A$2:$GZ$2000,0,MATCH("row_id",Enrichment!$A$1:$GZ$1,0)),0),MATCH("work_email",Enrichment!$A$1:$GZ$1,0))&amp;"",""))</f>
        <v/>
      </c>
      <c r="BD274" s="0" t="str">
        <f aca="false">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none</v>
      </c>
      <c r="BE274" s="0" t="s">
        <v>5589</v>
      </c>
      <c r="BF274" s="0" t="s">
        <v>740</v>
      </c>
      <c r="BG274" s="0" t="s">
        <v>170</v>
      </c>
      <c r="BH274" s="0" t="s">
        <v>11579</v>
      </c>
      <c r="BI274" s="0" t="s">
        <v>263</v>
      </c>
      <c r="BK274" s="0" t="s">
        <v>5834</v>
      </c>
      <c r="BP274" s="0" t="str">
        <f aca="false">IF($A274="","",IFERROR(INDEX(Enrichment!$A$2:$GZ$2000,MATCH($A274,INDEX(Enrichment!$A$2:$GZ$2000,0,MATCH("row_id",Enrichment!$A$1:$GZ$1,0)),0),MATCH("backup_work_email",Enrichment!$A$1:$GZ$1,0))&amp;"",""))</f>
        <v/>
      </c>
      <c r="BQ274" s="0" t="str">
        <f aca="false">IF($A274="","",IF(BP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none</v>
      </c>
      <c r="BS274" s="0" t="s">
        <v>380</v>
      </c>
      <c r="BX274" s="0" t="s">
        <v>388</v>
      </c>
      <c r="BY274" s="0" t="s">
        <v>11580</v>
      </c>
      <c r="CB274" s="0" t="s">
        <v>11581</v>
      </c>
      <c r="CD274" s="0" t="s">
        <v>11582</v>
      </c>
      <c r="CJ274" s="0" t="s">
        <v>7088</v>
      </c>
      <c r="CK274" s="0" t="s">
        <v>4627</v>
      </c>
      <c r="CL274" s="0" t="s">
        <v>10343</v>
      </c>
      <c r="CM274" s="0" t="s">
        <v>11583</v>
      </c>
      <c r="CN274" s="0" t="s">
        <v>10394</v>
      </c>
      <c r="CO274" s="0" t="s">
        <v>11577</v>
      </c>
      <c r="CP274" s="0" t="s">
        <v>5608</v>
      </c>
      <c r="CQ274" s="0" t="s">
        <v>5609</v>
      </c>
      <c r="CR274" s="0" t="s">
        <v>209</v>
      </c>
      <c r="CT274" s="0" t="s">
        <v>189</v>
      </c>
      <c r="CU274" s="0" t="s">
        <v>11584</v>
      </c>
      <c r="CV274" s="0" t="s">
        <v>209</v>
      </c>
      <c r="CW274" s="0" t="s">
        <v>164</v>
      </c>
      <c r="CX274" s="0" t="s">
        <v>209</v>
      </c>
      <c r="CZ274" s="0" t="s">
        <v>11585</v>
      </c>
      <c r="DA274" s="0" t="s">
        <v>189</v>
      </c>
      <c r="DB274" s="0" t="s">
        <v>164</v>
      </c>
      <c r="DC274" s="0" t="s">
        <v>11586</v>
      </c>
      <c r="DE274" s="0" t="s">
        <v>189</v>
      </c>
      <c r="DF274" s="0" t="n">
        <v>0</v>
      </c>
      <c r="DI274" s="0" t="s">
        <v>11587</v>
      </c>
      <c r="DJ274" s="0" t="s">
        <v>11574</v>
      </c>
      <c r="DK274" s="0" t="s">
        <v>380</v>
      </c>
      <c r="DN274" s="0" t="n">
        <v>26</v>
      </c>
      <c r="DO274" s="0" t="n">
        <v>6</v>
      </c>
      <c r="DP274" s="0" t="n">
        <v>20</v>
      </c>
      <c r="DQ274" s="0" t="n">
        <v>0</v>
      </c>
      <c r="DR274" s="0" t="n">
        <v>5</v>
      </c>
      <c r="DS274" s="0" t="n">
        <v>4</v>
      </c>
      <c r="DT274" s="0" t="n">
        <v>3</v>
      </c>
      <c r="DU274" s="0" t="n">
        <f aca="false">IF($A274="","",IF(R274="Y",10,0))</f>
        <v>0</v>
      </c>
      <c r="DV274" s="0" t="n">
        <v>-12</v>
      </c>
      <c r="DW274" s="0" t="s">
        <v>11588</v>
      </c>
      <c r="DX274" s="0" t="s">
        <v>5691</v>
      </c>
      <c r="DY274" s="0" t="s">
        <v>11589</v>
      </c>
      <c r="DZ274" s="0" t="s">
        <v>11590</v>
      </c>
      <c r="EV274" s="0" t="str">
        <f aca="false">IF($A274="","",IF(ISNUMBER(MATCH(U274,{"queued","contacted","replied","call_booked","call_done","yes_in_principle","materials_sent"},0)),"Y","N"))</f>
        <v>N</v>
      </c>
      <c r="EW274" s="0" t="str">
        <f aca="false">IF($A274="","",IF(OR(T274="Y",U274="do_not_contact",AQ274&amp;""&lt;&gt;""),"Y","N"))</f>
        <v>N</v>
      </c>
      <c r="EX274" s="0" t="str">
        <f aca="false">IF($A274="","",IF(AN274&amp;""&lt;&gt;"",AN274&amp;"",$A274))</f>
        <v>AB-065</v>
      </c>
      <c r="EY274" s="0" t="str">
        <f aca="false">IF($A274="","",IF(COUNTIFS($EX$2:$EX$1000,EX274,$EV$2:$EV$1000,"Y")+COUNTIFS($EX$2:$EX$1000,EX274,$EW$2:$EW$1000,"Y")&gt;0,"Y","N"))</f>
        <v>N</v>
      </c>
      <c r="EZ274" s="0" t="str">
        <f aca="false">IF($A274="","",IF(AND(U274="new",T274="N",EW274="N",AR274="Y",EY274="N"),"Y","N"))</f>
        <v>N</v>
      </c>
      <c r="FA274" s="0" t="str">
        <f aca="false">IF($A274="","",IF(EZ274&lt;&gt;"Y","N",IF(COUNTIFS($EX$2:$EX$1000,EX274,$EZ$2:$EZ$1000,"Y",$J$2:$J$1000,"&gt;"&amp;J274)+COUNTIFS($EX$2:$EX$1000,EX274,$EZ$2:$EZ$1000,"Y",$J$2:$J$1000,J274,$FG$2:$FG$1000,"&lt;"&amp;FG274)=0,"Y","N")))</f>
        <v>N</v>
      </c>
      <c r="FB274" s="0" t="str">
        <f aca="false">IF($A274="","",IF(AND(EZ274="Y",FA274="Y",Y274&amp;""&lt;&gt;""),IF(Y274&lt;=10,"Y","N"),"N"))</f>
        <v>N</v>
      </c>
      <c r="FC274" s="0" t="str">
        <f aca="false">IF(FB274="Y",Y274,"")</f>
        <v/>
      </c>
      <c r="FD274" s="0" t="str">
        <f aca="false">IF($A274="","",IF(AND(CK274="pass",AU274="Y",AV274&lt;&gt;"Y",U274="new",EW274="N"),"Y","N"))</f>
        <v>N</v>
      </c>
      <c r="FE274" s="0" t="str">
        <f aca="false">IF(FD274&lt;&gt;"Y","",IF(COUNTIFS($FD$2:$FD$1000,"Y",$J$2:$J$1000,"&gt;"&amp;J274)+COUNTIFS($FD$2:$FD$1000,"Y",$J$2:$J$1000,J274,$FG$2:$FG$1000,"&lt;"&amp;FG274)+1&lt;=30,COUNTIFS($FD$2:$FD$1000,"Y",$J$2:$J$1000,"&gt;"&amp;J274)+COUNTIFS($FD$2:$FD$1000,"Y",$J$2:$J$1000,J274,$FG$2:$FG$1000,"&lt;"&amp;FG274)+1,""))</f>
        <v/>
      </c>
      <c r="FF274" s="0" t="str">
        <f aca="false">IF(AND(_xlfn.ISFORMULA(C274),_xlfn.ISFORMULA(J274)),"Y","N")</f>
        <v>Y</v>
      </c>
      <c r="FG274" s="0" t="n">
        <f aca="false">ROW()-1</f>
        <v>273</v>
      </c>
    </row>
    <row r="275" customFormat="false" ht="15" hidden="false" customHeight="false" outlineLevel="0" collapsed="false">
      <c r="A275" s="0" t="s">
        <v>11591</v>
      </c>
      <c r="B275" s="0" t="s">
        <v>11592</v>
      </c>
      <c r="C275" s="0" t="str">
        <f aca="false">IF($A275="","",IF(AT275="Y",BL275&amp;"",AY275&amp;""))</f>
        <v/>
      </c>
      <c r="D275" s="0" t="str">
        <f aca="false">IF($A275="","",IF(AT275="Y",BM275&amp;"",AZ275&amp;""))</f>
        <v/>
      </c>
      <c r="E275" s="0" t="str">
        <f aca="false">IF($A275="","",IF(AT275="Y",BN275&amp;"",BA275&amp;""))</f>
        <v/>
      </c>
      <c r="F275" s="0" t="str">
        <f aca="false">IF($A275="","",IF(AT275="Y",BO275&amp;"",BB275&amp;""))</f>
        <v/>
      </c>
      <c r="G275" s="0" t="str">
        <f aca="false">IF($A275="","",IF(AT275="Y",BP275&amp;"",BC275&amp;""))</f>
        <v/>
      </c>
      <c r="H275" s="0" t="str">
        <f aca="false">IF($A275="","",IF(AT275="Y",BQ275&amp;"",BD275&amp;""))</f>
        <v>none</v>
      </c>
      <c r="I275" s="0" t="str">
        <f aca="false">IF($A275="","",IF(R275="Y","warm-intro",IF(H275="verified","email",IF(C275&lt;&gt;"","linkedin",CA275&amp;""))))</f>
        <v/>
      </c>
      <c r="J275" s="0" t="n">
        <f aca="false">IF($A275="","",IF(CK275="pass",ROUND(N(DO275)+N(DP275)+N(DQ275)+N(DR275)+N(DS275)+N(DT275)+N(DU275)+N(DV275),0),0))</f>
        <v>0</v>
      </c>
      <c r="K275" s="0" t="str">
        <f aca="false">IF($A275="","",IF(CK275&lt;&gt;"pass",BY275&amp;"",BY275&amp;", "&amp;IF(AT275="Y",BX275&amp;"",BK275&amp;"")&amp;BZ275&amp;IF(R275="Y","; known to the founder (+10)","")&amp;"."))</f>
        <v>Gated out: health-claim: Refrigeration recommended: brand FAQ says store in the fridge, 5 days on the go; WFM lists a 'Functional Bar' SKU.</v>
      </c>
      <c r="M275" s="0" t="s">
        <v>5572</v>
      </c>
      <c r="N275" s="0" t="s">
        <v>5573</v>
      </c>
      <c r="O275" s="0" t="s">
        <v>11593</v>
      </c>
      <c r="P275" s="0" t="s">
        <v>11594</v>
      </c>
      <c r="Q275" s="0" t="s">
        <v>11595</v>
      </c>
      <c r="R275" s="5" t="s">
        <v>189</v>
      </c>
      <c r="S275" s="0" t="s">
        <v>209</v>
      </c>
      <c r="T275" s="5" t="s">
        <v>189</v>
      </c>
      <c r="U275" s="5" t="s">
        <v>3896</v>
      </c>
      <c r="V275" s="0" t="s">
        <v>11596</v>
      </c>
      <c r="W275" s="0" t="s">
        <v>263</v>
      </c>
      <c r="X275" s="0" t="s">
        <v>5578</v>
      </c>
      <c r="Y275" s="0" t="str">
        <f aca="false">IF(FA275&lt;&gt;"Y","",COUNTIFS($FA$2:$FA$1000,"Y",$J$2:$J$1000,"&gt;"&amp;J275)+COUNTIFS($FA$2:$FA$1000,"Y",$J$2:$J$1000,J275,$FG$2:$FG$1000,"&lt;"&amp;FG275)+1)</f>
        <v/>
      </c>
      <c r="AA275" s="0" t="s">
        <v>189</v>
      </c>
      <c r="AB275" s="0" t="str">
        <f aca="false">IF($A275="","",IF(AT275="Y",BW275&amp;"",BJ275&amp;""))</f>
        <v/>
      </c>
      <c r="AC275" s="0" t="str">
        <f aca="false">IF($A275="","",IF(AT275="Y",BR275&amp;"",BE275&amp;""))</f>
        <v/>
      </c>
      <c r="AD275" s="0" t="str">
        <f aca="false">IF($A275="","",IF(AT275="Y",BS275&amp;"",BF275&amp;""))</f>
        <v>none</v>
      </c>
      <c r="AE275" s="0" t="str">
        <f aca="false">IF($A275="","",IF(AT275="Y",BT275&amp;"",BG275&amp;""))</f>
        <v/>
      </c>
      <c r="AF275" s="0" t="str">
        <f aca="false">IF($A275="","",IF(AT275="Y",BU275&amp;"",BH275&amp;""))</f>
        <v/>
      </c>
      <c r="AG275" s="0" t="str">
        <f aca="false">IF($A275="","",IF(AT275="Y",BV275&amp;"",BI275&amp;""))</f>
        <v/>
      </c>
      <c r="AH275" s="0" t="s">
        <v>11597</v>
      </c>
      <c r="AI275" s="0" t="s">
        <v>5664</v>
      </c>
      <c r="AJ275" s="0" t="s">
        <v>11598</v>
      </c>
      <c r="AK275" s="0" t="s">
        <v>11599</v>
      </c>
      <c r="AL275" s="0" t="s">
        <v>189</v>
      </c>
      <c r="AN275" s="0" t="s">
        <v>11591</v>
      </c>
      <c r="AO275" s="5" t="s">
        <v>189</v>
      </c>
      <c r="AR275" s="0" t="str">
        <f aca="false">IF($A275="","",IF(AND(CK275="pass",AO275&lt;&gt;"Y",C275&lt;&gt;"",OR(AU275&lt;&gt;"Y",AV275="Y")),"Y","N"))</f>
        <v>N</v>
      </c>
      <c r="AS275" s="0" t="str">
        <f aca="false">IF($A275="","",_xlfn.TEXTJOIN("; ",TRUE(),IF(CK275&lt;&gt;"pass","gated out",""),IF(AO275="Y","on hold: "&amp;AP275,""),IF(C275="","no contact named on an opened page",""),IF(AND(AU275="Y",AV275&lt;&gt;"Y"),"founder review pending (Founder review tab)","")))</f>
        <v>gated out; no contact named on an opened page</v>
      </c>
      <c r="AU275" s="0" t="s">
        <v>189</v>
      </c>
      <c r="AX275" s="0" t="s">
        <v>11600</v>
      </c>
      <c r="BC275" s="0" t="str">
        <f aca="false">IF($A275="","",IFERROR(INDEX(Enrichment!$A$2:$GZ$2000,MATCH($A275,INDEX(Enrichment!$A$2:$GZ$2000,0,MATCH("row_id",Enrichment!$A$1:$GZ$1,0)),0),MATCH("work_email",Enrichment!$A$1:$GZ$1,0))&amp;"",""))</f>
        <v/>
      </c>
      <c r="BD275" s="0" t="str">
        <f aca="false">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none</v>
      </c>
      <c r="BF275" s="0" t="s">
        <v>380</v>
      </c>
      <c r="BK275" s="0" t="s">
        <v>6048</v>
      </c>
      <c r="BP275" s="0" t="str">
        <f aca="false">IF($A275="","",IFERROR(INDEX(Enrichment!$A$2:$GZ$2000,MATCH($A275,INDEX(Enrichment!$A$2:$GZ$2000,0,MATCH("row_id",Enrichment!$A$1:$GZ$1,0)),0),MATCH("backup_work_email",Enrichment!$A$1:$GZ$1,0))&amp;"",""))</f>
        <v/>
      </c>
      <c r="BQ275" s="0" t="str">
        <f aca="false">IF($A275="","",IF(BP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none</v>
      </c>
      <c r="BS275" s="0" t="s">
        <v>380</v>
      </c>
      <c r="BX275" s="0" t="s">
        <v>388</v>
      </c>
      <c r="BY275" s="0" t="s">
        <v>11601</v>
      </c>
      <c r="CJ275" s="0" t="s">
        <v>7088</v>
      </c>
      <c r="CK275" s="0" t="s">
        <v>4627</v>
      </c>
      <c r="CL275" s="0" t="s">
        <v>11602</v>
      </c>
      <c r="CM275" s="0" t="s">
        <v>11603</v>
      </c>
      <c r="CO275" s="0" t="s">
        <v>11599</v>
      </c>
      <c r="CP275" s="0" t="s">
        <v>11604</v>
      </c>
      <c r="CQ275" s="0" t="s">
        <v>6198</v>
      </c>
      <c r="CR275" s="0" t="s">
        <v>209</v>
      </c>
      <c r="CT275" s="0" t="s">
        <v>189</v>
      </c>
      <c r="CU275" s="0" t="s">
        <v>11605</v>
      </c>
      <c r="CV275" s="0" t="s">
        <v>164</v>
      </c>
      <c r="CW275" s="0" t="s">
        <v>164</v>
      </c>
      <c r="CX275" s="0" t="s">
        <v>209</v>
      </c>
      <c r="CZ275" s="0" t="s">
        <v>209</v>
      </c>
      <c r="DA275" s="0" t="s">
        <v>189</v>
      </c>
      <c r="DB275" s="0" t="s">
        <v>164</v>
      </c>
      <c r="DC275" s="0" t="s">
        <v>11606</v>
      </c>
      <c r="DD275" s="0" t="n">
        <v>0</v>
      </c>
      <c r="DE275" s="0" t="s">
        <v>164</v>
      </c>
      <c r="DF275" s="0" t="n">
        <v>3</v>
      </c>
      <c r="DG275" s="0" t="s">
        <v>5686</v>
      </c>
      <c r="DI275" s="0" t="s">
        <v>11607</v>
      </c>
      <c r="DJ275" s="0" t="s">
        <v>11608</v>
      </c>
      <c r="DK275" s="0" t="s">
        <v>5689</v>
      </c>
      <c r="DL275" s="0" t="n">
        <v>31</v>
      </c>
      <c r="DN275" s="0" t="n">
        <v>47</v>
      </c>
      <c r="DO275" s="0" t="n">
        <v>25</v>
      </c>
      <c r="DP275" s="0" t="n">
        <v>3</v>
      </c>
      <c r="DQ275" s="0" t="n">
        <v>8</v>
      </c>
      <c r="DR275" s="0" t="n">
        <v>5</v>
      </c>
      <c r="DS275" s="0" t="n">
        <v>6</v>
      </c>
      <c r="DT275" s="0" t="n">
        <v>0</v>
      </c>
      <c r="DU275" s="0" t="n">
        <f aca="false">IF($A275="","",IF(R275="Y",10,0))</f>
        <v>0</v>
      </c>
      <c r="DV275" s="0" t="n">
        <v>0</v>
      </c>
      <c r="DW275" s="0" t="s">
        <v>11609</v>
      </c>
      <c r="DX275" s="0" t="s">
        <v>5691</v>
      </c>
      <c r="DY275" s="0" t="s">
        <v>11610</v>
      </c>
      <c r="DZ275" s="0" t="s">
        <v>11611</v>
      </c>
      <c r="EV275" s="0" t="str">
        <f aca="false">IF($A275="","",IF(ISNUMBER(MATCH(U275,{"queued","contacted","replied","call_booked","call_done","yes_in_principle","materials_sent"},0)),"Y","N"))</f>
        <v>N</v>
      </c>
      <c r="EW275" s="0" t="str">
        <f aca="false">IF($A275="","",IF(OR(T275="Y",U275="do_not_contact",AQ275&amp;""&lt;&gt;""),"Y","N"))</f>
        <v>N</v>
      </c>
      <c r="EX275" s="0" t="str">
        <f aca="false">IF($A275="","",IF(AN275&amp;""&lt;&gt;"",AN275&amp;"",$A275))</f>
        <v>AB-092</v>
      </c>
      <c r="EY275" s="0" t="str">
        <f aca="false">IF($A275="","",IF(COUNTIFS($EX$2:$EX$1000,EX275,$EV$2:$EV$1000,"Y")+COUNTIFS($EX$2:$EX$1000,EX275,$EW$2:$EW$1000,"Y")&gt;0,"Y","N"))</f>
        <v>N</v>
      </c>
      <c r="EZ275" s="0" t="str">
        <f aca="false">IF($A275="","",IF(AND(U275="new",T275="N",EW275="N",AR275="Y",EY275="N"),"Y","N"))</f>
        <v>N</v>
      </c>
      <c r="FA275" s="0" t="str">
        <f aca="false">IF($A275="","",IF(EZ275&lt;&gt;"Y","N",IF(COUNTIFS($EX$2:$EX$1000,EX275,$EZ$2:$EZ$1000,"Y",$J$2:$J$1000,"&gt;"&amp;J275)+COUNTIFS($EX$2:$EX$1000,EX275,$EZ$2:$EZ$1000,"Y",$J$2:$J$1000,J275,$FG$2:$FG$1000,"&lt;"&amp;FG275)=0,"Y","N")))</f>
        <v>N</v>
      </c>
      <c r="FB275" s="0" t="str">
        <f aca="false">IF($A275="","",IF(AND(EZ275="Y",FA275="Y",Y275&amp;""&lt;&gt;""),IF(Y275&lt;=10,"Y","N"),"N"))</f>
        <v>N</v>
      </c>
      <c r="FC275" s="0" t="str">
        <f aca="false">IF(FB275="Y",Y275,"")</f>
        <v/>
      </c>
      <c r="FD275" s="0" t="str">
        <f aca="false">IF($A275="","",IF(AND(CK275="pass",AU275="Y",AV275&lt;&gt;"Y",U275="new",EW275="N"),"Y","N"))</f>
        <v>N</v>
      </c>
      <c r="FE275" s="0" t="str">
        <f aca="false">IF(FD275&lt;&gt;"Y","",IF(COUNTIFS($FD$2:$FD$1000,"Y",$J$2:$J$1000,"&gt;"&amp;J275)+COUNTIFS($FD$2:$FD$1000,"Y",$J$2:$J$1000,J275,$FG$2:$FG$1000,"&lt;"&amp;FG275)+1&lt;=30,COUNTIFS($FD$2:$FD$1000,"Y",$J$2:$J$1000,"&gt;"&amp;J275)+COUNTIFS($FD$2:$FD$1000,"Y",$J$2:$J$1000,J275,$FG$2:$FG$1000,"&lt;"&amp;FG275)+1,""))</f>
        <v/>
      </c>
      <c r="FF275" s="0" t="str">
        <f aca="false">IF(AND(_xlfn.ISFORMULA(C275),_xlfn.ISFORMULA(J275)),"Y","N")</f>
        <v>Y</v>
      </c>
      <c r="FG275" s="0" t="n">
        <f aca="false">ROW()-1</f>
        <v>274</v>
      </c>
    </row>
    <row r="276" customFormat="false" ht="15" hidden="false" customHeight="false" outlineLevel="0" collapsed="false">
      <c r="A276" s="0" t="s">
        <v>11612</v>
      </c>
      <c r="B276" s="0" t="s">
        <v>11613</v>
      </c>
      <c r="C276" s="0" t="str">
        <f aca="false">IF($A276="","",IF(AT276="Y",BL276&amp;"",AY276&amp;""))</f>
        <v/>
      </c>
      <c r="D276" s="0" t="str">
        <f aca="false">IF($A276="","",IF(AT276="Y",BM276&amp;"",AZ276&amp;""))</f>
        <v/>
      </c>
      <c r="E276" s="0" t="str">
        <f aca="false">IF($A276="","",IF(AT276="Y",BN276&amp;"",BA276&amp;""))</f>
        <v/>
      </c>
      <c r="F276" s="0" t="str">
        <f aca="false">IF($A276="","",IF(AT276="Y",BO276&amp;"",BB276&amp;""))</f>
        <v/>
      </c>
      <c r="G276" s="0" t="str">
        <f aca="false">IF($A276="","",IF(AT276="Y",BP276&amp;"",BC276&amp;""))</f>
        <v/>
      </c>
      <c r="H276" s="0" t="str">
        <f aca="false">IF($A276="","",IF(AT276="Y",BQ276&amp;"",BD276&amp;""))</f>
        <v>none</v>
      </c>
      <c r="I276" s="0" t="str">
        <f aca="false">IF($A276="","",IF(R276="Y","warm-intro",IF(H276="verified","email",IF(C276&lt;&gt;"","linkedin",CA276&amp;""))))</f>
        <v/>
      </c>
      <c r="J276" s="0" t="n">
        <f aca="false">IF($A276="","",IF(CK276="pass",ROUND(N(DO276)+N(DP276)+N(DQ276)+N(DR276)+N(DS276)+N(DT276)+N(DU276)+N(DV276),0),0))</f>
        <v>0</v>
      </c>
      <c r="K276" s="0" t="str">
        <f aca="false">IF($A276="","",IF(CK276&lt;&gt;"pass",BY276&amp;"",BY276&amp;", "&amp;IF(AT276="Y",BX276&amp;"",BK276&amp;"")&amp;BZ276&amp;IF(R276="Y","; known to the founder (+10)","")&amp;"."))</f>
        <v>Gated out: health-claim: explicit health positioning on the brand's homepage (opened 2026-10-24): bars sold in 'Diabetes', 'Dialysis', 'GLP-1', 'Digestive Health' and 'Gut.</v>
      </c>
      <c r="M276" s="0" t="s">
        <v>5572</v>
      </c>
      <c r="N276" s="0" t="s">
        <v>5573</v>
      </c>
      <c r="O276" s="0" t="s">
        <v>11614</v>
      </c>
      <c r="P276" s="0" t="s">
        <v>11615</v>
      </c>
      <c r="Q276" s="0" t="s">
        <v>11616</v>
      </c>
      <c r="R276" s="5" t="s">
        <v>189</v>
      </c>
      <c r="S276" s="0" t="s">
        <v>209</v>
      </c>
      <c r="T276" s="5" t="s">
        <v>189</v>
      </c>
      <c r="U276" s="5" t="s">
        <v>3896</v>
      </c>
      <c r="V276" s="0" t="s">
        <v>11617</v>
      </c>
      <c r="W276" s="0" t="s">
        <v>263</v>
      </c>
      <c r="X276" s="0" t="s">
        <v>5578</v>
      </c>
      <c r="Y276" s="0" t="str">
        <f aca="false">IF(FA276&lt;&gt;"Y","",COUNTIFS($FA$2:$FA$1000,"Y",$J$2:$J$1000,"&gt;"&amp;J276)+COUNTIFS($FA$2:$FA$1000,"Y",$J$2:$J$1000,J276,$FG$2:$FG$1000,"&lt;"&amp;FG276)+1)</f>
        <v/>
      </c>
      <c r="AA276" s="0" t="s">
        <v>189</v>
      </c>
      <c r="AB276" s="0" t="str">
        <f aca="false">IF($A276="","",IF(AT276="Y",BW276&amp;"",BJ276&amp;""))</f>
        <v/>
      </c>
      <c r="AC276" s="0" t="str">
        <f aca="false">IF($A276="","",IF(AT276="Y",BR276&amp;"",BE276&amp;""))</f>
        <v/>
      </c>
      <c r="AD276" s="0" t="str">
        <f aca="false">IF($A276="","",IF(AT276="Y",BS276&amp;"",BF276&amp;""))</f>
        <v>none</v>
      </c>
      <c r="AE276" s="0" t="str">
        <f aca="false">IF($A276="","",IF(AT276="Y",BT276&amp;"",BG276&amp;""))</f>
        <v/>
      </c>
      <c r="AF276" s="0" t="str">
        <f aca="false">IF($A276="","",IF(AT276="Y",BU276&amp;"",BH276&amp;""))</f>
        <v/>
      </c>
      <c r="AG276" s="0" t="str">
        <f aca="false">IF($A276="","",IF(AT276="Y",BV276&amp;"",BI276&amp;""))</f>
        <v/>
      </c>
      <c r="AH276" s="0" t="s">
        <v>11618</v>
      </c>
      <c r="AI276" s="0" t="s">
        <v>6007</v>
      </c>
      <c r="AJ276" s="0" t="s">
        <v>11619</v>
      </c>
      <c r="AK276" s="0" t="s">
        <v>11620</v>
      </c>
      <c r="AL276" s="0" t="s">
        <v>164</v>
      </c>
      <c r="AM276" s="0" t="s">
        <v>11621</v>
      </c>
      <c r="AN276" s="0" t="s">
        <v>11612</v>
      </c>
      <c r="AO276" s="5" t="s">
        <v>189</v>
      </c>
      <c r="AR276" s="0" t="str">
        <f aca="false">IF($A276="","",IF(AND(CK276="pass",AO276&lt;&gt;"Y",C276&lt;&gt;"",OR(AU276&lt;&gt;"Y",AV276="Y")),"Y","N"))</f>
        <v>N</v>
      </c>
      <c r="AS276" s="0" t="str">
        <f aca="false">IF($A276="","",_xlfn.TEXTJOIN("; ",TRUE(),IF(CK276&lt;&gt;"pass","gated out",""),IF(AO276="Y","on hold: "&amp;AP276,""),IF(C276="","no contact named on an opened page",""),IF(AND(AU276="Y",AV276&lt;&gt;"Y"),"founder review pending (Founder review tab)","")))</f>
        <v>gated out; no contact named on an opened page; founder review pending (Founder review tab)</v>
      </c>
      <c r="AU276" s="0" t="s">
        <v>164</v>
      </c>
      <c r="AX276" s="0" t="s">
        <v>11622</v>
      </c>
      <c r="BC276" s="0" t="str">
        <f aca="false">IF($A276="","",IFERROR(INDEX(Enrichment!$A$2:$GZ$2000,MATCH($A276,INDEX(Enrichment!$A$2:$GZ$2000,0,MATCH("row_id",Enrichment!$A$1:$GZ$1,0)),0),MATCH("work_email",Enrichment!$A$1:$GZ$1,0))&amp;"",""))</f>
        <v/>
      </c>
      <c r="BD276" s="0" t="str">
        <f aca="false">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none</v>
      </c>
      <c r="BF276" s="0" t="s">
        <v>380</v>
      </c>
      <c r="BK276" s="0" t="s">
        <v>6048</v>
      </c>
      <c r="BP276" s="0" t="str">
        <f aca="false">IF($A276="","",IFERROR(INDEX(Enrichment!$A$2:$GZ$2000,MATCH($A276,INDEX(Enrichment!$A$2:$GZ$2000,0,MATCH("row_id",Enrichment!$A$1:$GZ$1,0)),0),MATCH("backup_work_email",Enrichment!$A$1:$GZ$1,0))&amp;"",""))</f>
        <v/>
      </c>
      <c r="BQ276" s="0" t="str">
        <f aca="false">IF($A276="","",IF(BP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none</v>
      </c>
      <c r="BS276" s="0" t="s">
        <v>380</v>
      </c>
      <c r="BX276" s="0" t="s">
        <v>388</v>
      </c>
      <c r="BY276" s="0" t="s">
        <v>11623</v>
      </c>
      <c r="CJ276" s="0" t="s">
        <v>7088</v>
      </c>
      <c r="CK276" s="0" t="s">
        <v>4627</v>
      </c>
      <c r="CL276" s="0" t="s">
        <v>10005</v>
      </c>
      <c r="CM276" s="0" t="s">
        <v>11624</v>
      </c>
      <c r="CN276" s="0" t="s">
        <v>11625</v>
      </c>
      <c r="CO276" s="0" t="s">
        <v>11620</v>
      </c>
      <c r="CP276" s="0" t="s">
        <v>7376</v>
      </c>
      <c r="CQ276" s="0" t="s">
        <v>6084</v>
      </c>
      <c r="CR276" s="0" t="s">
        <v>11626</v>
      </c>
      <c r="CT276" s="0" t="s">
        <v>352</v>
      </c>
      <c r="CU276" s="0" t="s">
        <v>11627</v>
      </c>
      <c r="CV276" s="0" t="s">
        <v>164</v>
      </c>
      <c r="CW276" s="0" t="s">
        <v>164</v>
      </c>
      <c r="CX276" s="0" t="s">
        <v>209</v>
      </c>
      <c r="CZ276" s="0" t="s">
        <v>209</v>
      </c>
      <c r="DA276" s="0" t="s">
        <v>189</v>
      </c>
      <c r="DB276" s="0" t="s">
        <v>164</v>
      </c>
      <c r="DC276" s="0" t="s">
        <v>11628</v>
      </c>
      <c r="DD276" s="0" t="n">
        <v>0</v>
      </c>
      <c r="DE276" s="0" t="s">
        <v>164</v>
      </c>
      <c r="DF276" s="0" t="n">
        <v>3</v>
      </c>
      <c r="DG276" s="0" t="s">
        <v>5686</v>
      </c>
      <c r="DI276" s="0" t="s">
        <v>5687</v>
      </c>
      <c r="DJ276" s="0" t="s">
        <v>11629</v>
      </c>
      <c r="DK276" s="0" t="s">
        <v>5689</v>
      </c>
      <c r="DL276" s="0" t="n">
        <v>100</v>
      </c>
      <c r="DN276" s="0" t="n">
        <v>42</v>
      </c>
      <c r="DO276" s="0" t="n">
        <v>25</v>
      </c>
      <c r="DP276" s="0" t="n">
        <v>8</v>
      </c>
      <c r="DQ276" s="0" t="n">
        <v>8</v>
      </c>
      <c r="DR276" s="0" t="n">
        <v>5</v>
      </c>
      <c r="DS276" s="0" t="n">
        <v>8</v>
      </c>
      <c r="DT276" s="0" t="n">
        <v>0</v>
      </c>
      <c r="DU276" s="0" t="n">
        <f aca="false">IF($A276="","",IF(R276="Y",10,0))</f>
        <v>0</v>
      </c>
      <c r="DV276" s="0" t="n">
        <v>-12</v>
      </c>
      <c r="DW276" s="0" t="s">
        <v>11630</v>
      </c>
      <c r="DX276" s="0" t="s">
        <v>5691</v>
      </c>
      <c r="DY276" s="0" t="s">
        <v>11631</v>
      </c>
      <c r="DZ276" s="0" t="s">
        <v>11632</v>
      </c>
      <c r="EA276" s="0" t="s">
        <v>11633</v>
      </c>
      <c r="EV276" s="0" t="str">
        <f aca="false">IF($A276="","",IF(ISNUMBER(MATCH(U276,{"queued","contacted","replied","call_booked","call_done","yes_in_principle","materials_sent"},0)),"Y","N"))</f>
        <v>N</v>
      </c>
      <c r="EW276" s="0" t="str">
        <f aca="false">IF($A276="","",IF(OR(T276="Y",U276="do_not_contact",AQ276&amp;""&lt;&gt;""),"Y","N"))</f>
        <v>N</v>
      </c>
      <c r="EX276" s="0" t="str">
        <f aca="false">IF($A276="","",IF(AN276&amp;""&lt;&gt;"",AN276&amp;"",$A276))</f>
        <v>AB-089</v>
      </c>
      <c r="EY276" s="0" t="str">
        <f aca="false">IF($A276="","",IF(COUNTIFS($EX$2:$EX$1000,EX276,$EV$2:$EV$1000,"Y")+COUNTIFS($EX$2:$EX$1000,EX276,$EW$2:$EW$1000,"Y")&gt;0,"Y","N"))</f>
        <v>N</v>
      </c>
      <c r="EZ276" s="0" t="str">
        <f aca="false">IF($A276="","",IF(AND(U276="new",T276="N",EW276="N",AR276="Y",EY276="N"),"Y","N"))</f>
        <v>N</v>
      </c>
      <c r="FA276" s="0" t="str">
        <f aca="false">IF($A276="","",IF(EZ276&lt;&gt;"Y","N",IF(COUNTIFS($EX$2:$EX$1000,EX276,$EZ$2:$EZ$1000,"Y",$J$2:$J$1000,"&gt;"&amp;J276)+COUNTIFS($EX$2:$EX$1000,EX276,$EZ$2:$EZ$1000,"Y",$J$2:$J$1000,J276,$FG$2:$FG$1000,"&lt;"&amp;FG276)=0,"Y","N")))</f>
        <v>N</v>
      </c>
      <c r="FB276" s="0" t="str">
        <f aca="false">IF($A276="","",IF(AND(EZ276="Y",FA276="Y",Y276&amp;""&lt;&gt;""),IF(Y276&lt;=10,"Y","N"),"N"))</f>
        <v>N</v>
      </c>
      <c r="FC276" s="0" t="str">
        <f aca="false">IF(FB276="Y",Y276,"")</f>
        <v/>
      </c>
      <c r="FD276" s="0" t="str">
        <f aca="false">IF($A276="","",IF(AND(CK276="pass",AU276="Y",AV276&lt;&gt;"Y",U276="new",EW276="N"),"Y","N"))</f>
        <v>N</v>
      </c>
      <c r="FE276" s="0" t="str">
        <f aca="false">IF(FD276&lt;&gt;"Y","",IF(COUNTIFS($FD$2:$FD$1000,"Y",$J$2:$J$1000,"&gt;"&amp;J276)+COUNTIFS($FD$2:$FD$1000,"Y",$J$2:$J$1000,J276,$FG$2:$FG$1000,"&lt;"&amp;FG276)+1&lt;=30,COUNTIFS($FD$2:$FD$1000,"Y",$J$2:$J$1000,"&gt;"&amp;J276)+COUNTIFS($FD$2:$FD$1000,"Y",$J$2:$J$1000,J276,$FG$2:$FG$1000,"&lt;"&amp;FG276)+1,""))</f>
        <v/>
      </c>
      <c r="FF276" s="0" t="str">
        <f aca="false">IF(AND(_xlfn.ISFORMULA(C276),_xlfn.ISFORMULA(J276)),"Y","N")</f>
        <v>Y</v>
      </c>
      <c r="FG276" s="0" t="n">
        <f aca="false">ROW()-1</f>
        <v>275</v>
      </c>
    </row>
    <row r="277" customFormat="false" ht="15" hidden="false" customHeight="false" outlineLevel="0" collapsed="false">
      <c r="A277" s="0" t="s">
        <v>11634</v>
      </c>
      <c r="B277" s="0" t="s">
        <v>11635</v>
      </c>
      <c r="C277" s="0" t="str">
        <f aca="false">IF($A277="","",IF(AT277="Y",BL277&amp;"",AY277&amp;""))</f>
        <v/>
      </c>
      <c r="D277" s="0" t="str">
        <f aca="false">IF($A277="","",IF(AT277="Y",BM277&amp;"",AZ277&amp;""))</f>
        <v/>
      </c>
      <c r="E277" s="0" t="str">
        <f aca="false">IF($A277="","",IF(AT277="Y",BN277&amp;"",BA277&amp;""))</f>
        <v/>
      </c>
      <c r="F277" s="0" t="str">
        <f aca="false">IF($A277="","",IF(AT277="Y",BO277&amp;"",BB277&amp;""))</f>
        <v/>
      </c>
      <c r="G277" s="0" t="str">
        <f aca="false">IF($A277="","",IF(AT277="Y",BP277&amp;"",BC277&amp;""))</f>
        <v/>
      </c>
      <c r="H277" s="0" t="str">
        <f aca="false">IF($A277="","",IF(AT277="Y",BQ277&amp;"",BD277&amp;""))</f>
        <v>none</v>
      </c>
      <c r="I277" s="0" t="str">
        <f aca="false">IF($A277="","",IF(R277="Y","warm-intro",IF(H277="verified","email",IF(C277&lt;&gt;"","linkedin",CA277&amp;""))))</f>
        <v/>
      </c>
      <c r="J277" s="0" t="n">
        <f aca="false">IF($A277="","",IF(CK277="pass",ROUND(N(DO277)+N(DP277)+N(DQ277)+N(DR277)+N(DS277)+N(DT277)+N(DU277)+N(DV277),0),0))</f>
        <v>0</v>
      </c>
      <c r="K277" s="0" t="str">
        <f aca="false">IF($A277="","",IF(CK277&lt;&gt;"pass",BY277&amp;"",BY277&amp;", "&amp;IF(AT277="Y",BX277&amp;"",BK277&amp;"")&amp;BZ277&amp;IF(R277="Y","; known to the founder (+10)","")&amp;"."))</f>
        <v>Gated out: health-claim: explicit health claim in the brand's own copy (opened 2026-10-24): 'Supports heart health, hormone balance, and immune system' (https://www.supers.</v>
      </c>
      <c r="M277" s="0" t="s">
        <v>11636</v>
      </c>
      <c r="N277" s="0" t="s">
        <v>5573</v>
      </c>
      <c r="O277" s="0" t="s">
        <v>11637</v>
      </c>
      <c r="P277" s="0" t="s">
        <v>11638</v>
      </c>
      <c r="Q277" s="0" t="s">
        <v>5756</v>
      </c>
      <c r="R277" s="5" t="s">
        <v>189</v>
      </c>
      <c r="S277" s="0" t="s">
        <v>164</v>
      </c>
      <c r="T277" s="5" t="s">
        <v>189</v>
      </c>
      <c r="U277" s="5" t="s">
        <v>3896</v>
      </c>
      <c r="V277" s="0" t="s">
        <v>11639</v>
      </c>
      <c r="W277" s="0" t="s">
        <v>263</v>
      </c>
      <c r="X277" s="0" t="s">
        <v>5578</v>
      </c>
      <c r="Y277" s="0" t="str">
        <f aca="false">IF(FA277&lt;&gt;"Y","",COUNTIFS($FA$2:$FA$1000,"Y",$J$2:$J$1000,"&gt;"&amp;J277)+COUNTIFS($FA$2:$FA$1000,"Y",$J$2:$J$1000,J277,$FG$2:$FG$1000,"&lt;"&amp;FG277)+1)</f>
        <v/>
      </c>
      <c r="AA277" s="0" t="s">
        <v>189</v>
      </c>
      <c r="AB277" s="0" t="str">
        <f aca="false">IF($A277="","",IF(AT277="Y",BW277&amp;"",BJ277&amp;""))</f>
        <v/>
      </c>
      <c r="AC277" s="0" t="str">
        <f aca="false">IF($A277="","",IF(AT277="Y",BR277&amp;"",BE277&amp;""))</f>
        <v/>
      </c>
      <c r="AD277" s="0" t="str">
        <f aca="false">IF($A277="","",IF(AT277="Y",BS277&amp;"",BF277&amp;""))</f>
        <v>none</v>
      </c>
      <c r="AE277" s="0" t="str">
        <f aca="false">IF($A277="","",IF(AT277="Y",BT277&amp;"",BG277&amp;""))</f>
        <v/>
      </c>
      <c r="AF277" s="0" t="str">
        <f aca="false">IF($A277="","",IF(AT277="Y",BU277&amp;"",BH277&amp;""))</f>
        <v/>
      </c>
      <c r="AG277" s="0" t="str">
        <f aca="false">IF($A277="","",IF(AT277="Y",BV277&amp;"",BI277&amp;""))</f>
        <v/>
      </c>
      <c r="AH277" s="0" t="s">
        <v>11640</v>
      </c>
      <c r="AI277" s="0" t="s">
        <v>6240</v>
      </c>
      <c r="AJ277" s="0" t="s">
        <v>7443</v>
      </c>
      <c r="AK277" s="0" t="s">
        <v>11639</v>
      </c>
      <c r="AL277" s="0" t="s">
        <v>164</v>
      </c>
      <c r="AM277" s="0" t="s">
        <v>11641</v>
      </c>
      <c r="AN277" s="0" t="s">
        <v>11634</v>
      </c>
      <c r="AO277" s="5" t="s">
        <v>189</v>
      </c>
      <c r="AR277" s="0" t="str">
        <f aca="false">IF($A277="","",IF(AND(CK277="pass",AO277&lt;&gt;"Y",C277&lt;&gt;"",OR(AU277&lt;&gt;"Y",AV277="Y")),"Y","N"))</f>
        <v>N</v>
      </c>
      <c r="AS277" s="0" t="str">
        <f aca="false">IF($A277="","",_xlfn.TEXTJOIN("; ",TRUE(),IF(CK277&lt;&gt;"pass","gated out",""),IF(AO277="Y","on hold: "&amp;AP277,""),IF(C277="","no contact named on an opened page",""),IF(AND(AU277="Y",AV277&lt;&gt;"Y"),"founder review pending (Founder review tab)","")))</f>
        <v>gated out; no contact named on an opened page</v>
      </c>
      <c r="AU277" s="0" t="s">
        <v>189</v>
      </c>
      <c r="AX277" s="0" t="s">
        <v>11642</v>
      </c>
      <c r="BC277" s="0" t="str">
        <f aca="false">IF($A277="","",IFERROR(INDEX(Enrichment!$A$2:$GZ$2000,MATCH($A277,INDEX(Enrichment!$A$2:$GZ$2000,0,MATCH("row_id",Enrichment!$A$1:$GZ$1,0)),0),MATCH("work_email",Enrichment!$A$1:$GZ$1,0))&amp;"",""))</f>
        <v/>
      </c>
      <c r="BD277" s="0" t="str">
        <f aca="false">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none</v>
      </c>
      <c r="BF277" s="0" t="s">
        <v>380</v>
      </c>
      <c r="BK277" s="0" t="s">
        <v>6048</v>
      </c>
      <c r="BP277" s="0" t="str">
        <f aca="false">IF($A277="","",IFERROR(INDEX(Enrichment!$A$2:$GZ$2000,MATCH($A277,INDEX(Enrichment!$A$2:$GZ$2000,0,MATCH("row_id",Enrichment!$A$1:$GZ$1,0)),0),MATCH("backup_work_email",Enrichment!$A$1:$GZ$1,0))&amp;"",""))</f>
        <v/>
      </c>
      <c r="BQ277" s="0" t="str">
        <f aca="false">IF($A277="","",IF(BP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none</v>
      </c>
      <c r="BS277" s="0" t="s">
        <v>380</v>
      </c>
      <c r="BX277" s="0" t="s">
        <v>388</v>
      </c>
      <c r="BY277" s="0" t="s">
        <v>11643</v>
      </c>
      <c r="CJ277" s="0" t="s">
        <v>7088</v>
      </c>
      <c r="CK277" s="0" t="s">
        <v>4627</v>
      </c>
      <c r="CL277" s="0" t="s">
        <v>10005</v>
      </c>
      <c r="CM277" s="0" t="s">
        <v>11644</v>
      </c>
      <c r="CN277" s="0" t="s">
        <v>5607</v>
      </c>
      <c r="CO277" s="0" t="s">
        <v>11639</v>
      </c>
      <c r="CP277" s="0" t="s">
        <v>7450</v>
      </c>
      <c r="CQ277" s="0" t="s">
        <v>6084</v>
      </c>
      <c r="CR277" s="0" t="s">
        <v>209</v>
      </c>
      <c r="CT277" s="0" t="s">
        <v>164</v>
      </c>
      <c r="CU277" s="0" t="s">
        <v>11645</v>
      </c>
      <c r="CV277" s="0" t="s">
        <v>164</v>
      </c>
      <c r="CW277" s="0" t="s">
        <v>164</v>
      </c>
      <c r="CX277" s="0" t="s">
        <v>209</v>
      </c>
      <c r="CZ277" s="0" t="s">
        <v>209</v>
      </c>
      <c r="DA277" s="0" t="s">
        <v>189</v>
      </c>
      <c r="DB277" s="0" t="s">
        <v>164</v>
      </c>
      <c r="DC277" s="0" t="s">
        <v>11646</v>
      </c>
      <c r="DD277" s="0" t="n">
        <v>3</v>
      </c>
      <c r="DE277" s="0" t="s">
        <v>189</v>
      </c>
      <c r="DF277" s="0" t="n">
        <v>1</v>
      </c>
      <c r="DG277" s="0" t="s">
        <v>11647</v>
      </c>
      <c r="DI277" s="0" t="s">
        <v>6054</v>
      </c>
      <c r="DJ277" s="0" t="s">
        <v>11648</v>
      </c>
      <c r="DK277" s="0" t="s">
        <v>5689</v>
      </c>
      <c r="DL277" s="0" t="n">
        <v>36</v>
      </c>
      <c r="DM277" s="0" t="s">
        <v>11649</v>
      </c>
      <c r="DN277" s="0" t="n">
        <v>47</v>
      </c>
      <c r="DO277" s="0" t="n">
        <v>20</v>
      </c>
      <c r="DP277" s="0" t="n">
        <v>8</v>
      </c>
      <c r="DQ277" s="0" t="n">
        <v>8</v>
      </c>
      <c r="DR277" s="0" t="n">
        <v>5</v>
      </c>
      <c r="DS277" s="0" t="n">
        <v>10</v>
      </c>
      <c r="DT277" s="0" t="n">
        <v>0</v>
      </c>
      <c r="DU277" s="0" t="n">
        <f aca="false">IF($A277="","",IF(R277="Y",10,0))</f>
        <v>0</v>
      </c>
      <c r="DV277" s="0" t="n">
        <v>-4</v>
      </c>
      <c r="DW277" s="0" t="s">
        <v>209</v>
      </c>
      <c r="DX277" s="0" t="s">
        <v>5814</v>
      </c>
      <c r="DY277" s="0" t="s">
        <v>11650</v>
      </c>
      <c r="DZ277" s="0" t="s">
        <v>11651</v>
      </c>
      <c r="EA277" s="0" t="s">
        <v>11652</v>
      </c>
      <c r="EV277" s="0" t="str">
        <f aca="false">IF($A277="","",IF(ISNUMBER(MATCH(U277,{"queued","contacted","replied","call_booked","call_done","yes_in_principle","materials_sent"},0)),"Y","N"))</f>
        <v>N</v>
      </c>
      <c r="EW277" s="0" t="str">
        <f aca="false">IF($A277="","",IF(OR(T277="Y",U277="do_not_contact",AQ277&amp;""&lt;&gt;""),"Y","N"))</f>
        <v>N</v>
      </c>
      <c r="EX277" s="0" t="str">
        <f aca="false">IF($A277="","",IF(AN277&amp;""&lt;&gt;"",AN277&amp;"",$A277))</f>
        <v>AB-023</v>
      </c>
      <c r="EY277" s="0" t="str">
        <f aca="false">IF($A277="","",IF(COUNTIFS($EX$2:$EX$1000,EX277,$EV$2:$EV$1000,"Y")+COUNTIFS($EX$2:$EX$1000,EX277,$EW$2:$EW$1000,"Y")&gt;0,"Y","N"))</f>
        <v>N</v>
      </c>
      <c r="EZ277" s="0" t="str">
        <f aca="false">IF($A277="","",IF(AND(U277="new",T277="N",EW277="N",AR277="Y",EY277="N"),"Y","N"))</f>
        <v>N</v>
      </c>
      <c r="FA277" s="0" t="str">
        <f aca="false">IF($A277="","",IF(EZ277&lt;&gt;"Y","N",IF(COUNTIFS($EX$2:$EX$1000,EX277,$EZ$2:$EZ$1000,"Y",$J$2:$J$1000,"&gt;"&amp;J277)+COUNTIFS($EX$2:$EX$1000,EX277,$EZ$2:$EZ$1000,"Y",$J$2:$J$1000,J277,$FG$2:$FG$1000,"&lt;"&amp;FG277)=0,"Y","N")))</f>
        <v>N</v>
      </c>
      <c r="FB277" s="0" t="str">
        <f aca="false">IF($A277="","",IF(AND(EZ277="Y",FA277="Y",Y277&amp;""&lt;&gt;""),IF(Y277&lt;=10,"Y","N"),"N"))</f>
        <v>N</v>
      </c>
      <c r="FC277" s="0" t="str">
        <f aca="false">IF(FB277="Y",Y277,"")</f>
        <v/>
      </c>
      <c r="FD277" s="0" t="str">
        <f aca="false">IF($A277="","",IF(AND(CK277="pass",AU277="Y",AV277&lt;&gt;"Y",U277="new",EW277="N"),"Y","N"))</f>
        <v>N</v>
      </c>
      <c r="FE277" s="0" t="str">
        <f aca="false">IF(FD277&lt;&gt;"Y","",IF(COUNTIFS($FD$2:$FD$1000,"Y",$J$2:$J$1000,"&gt;"&amp;J277)+COUNTIFS($FD$2:$FD$1000,"Y",$J$2:$J$1000,J277,$FG$2:$FG$1000,"&lt;"&amp;FG277)+1&lt;=30,COUNTIFS($FD$2:$FD$1000,"Y",$J$2:$J$1000,"&gt;"&amp;J277)+COUNTIFS($FD$2:$FD$1000,"Y",$J$2:$J$1000,J277,$FG$2:$FG$1000,"&lt;"&amp;FG277)+1,""))</f>
        <v/>
      </c>
      <c r="FF277" s="0" t="str">
        <f aca="false">IF(AND(_xlfn.ISFORMULA(C277),_xlfn.ISFORMULA(J277)),"Y","N")</f>
        <v>Y</v>
      </c>
      <c r="FG277" s="0" t="n">
        <f aca="false">ROW()-1</f>
        <v>276</v>
      </c>
    </row>
    <row r="278" customFormat="false" ht="15" hidden="false" customHeight="false" outlineLevel="0" collapsed="false">
      <c r="A278" s="0" t="s">
        <v>11653</v>
      </c>
      <c r="B278" s="0" t="s">
        <v>11654</v>
      </c>
      <c r="C278" s="0" t="str">
        <f aca="false">IF($A278="","",IF(AT278="Y",BL278&amp;"",AY278&amp;""))</f>
        <v/>
      </c>
      <c r="D278" s="0" t="str">
        <f aca="false">IF($A278="","",IF(AT278="Y",BM278&amp;"",AZ278&amp;""))</f>
        <v/>
      </c>
      <c r="E278" s="0" t="str">
        <f aca="false">IF($A278="","",IF(AT278="Y",BN278&amp;"",BA278&amp;""))</f>
        <v/>
      </c>
      <c r="F278" s="0" t="str">
        <f aca="false">IF($A278="","",IF(AT278="Y",BO278&amp;"",BB278&amp;""))</f>
        <v/>
      </c>
      <c r="G278" s="0" t="str">
        <f aca="false">IF($A278="","",IF(AT278="Y",BP278&amp;"",BC278&amp;""))</f>
        <v/>
      </c>
      <c r="H278" s="0" t="str">
        <f aca="false">IF($A278="","",IF(AT278="Y",BQ278&amp;"",BD278&amp;""))</f>
        <v>none</v>
      </c>
      <c r="I278" s="0" t="str">
        <f aca="false">IF($A278="","",IF(R278="Y","warm-intro",IF(H278="verified","email",IF(C278&lt;&gt;"","linkedin",CA278&amp;""))))</f>
        <v/>
      </c>
      <c r="J278" s="0" t="n">
        <f aca="false">IF($A278="","",IF(CK278="pass",ROUND(N(DO278)+N(DP278)+N(DQ278)+N(DR278)+N(DS278)+N(DT278)+N(DU278)+N(DV278),0),0))</f>
        <v>0</v>
      </c>
      <c r="K278" s="0" t="str">
        <f aca="false">IF($A278="","",IF(CK278&lt;&gt;"pass",BY278&amp;"",BY278&amp;", "&amp;IF(AT278="Y",BX278&amp;"",BK278&amp;"")&amp;BZ278&amp;IF(R278="Y","; known to the founder (+10)","")&amp;"."))</f>
        <v>Gated out: health-claim: explicit health claim in the brand's own copy (opened 2026-10-24): 'Brown Rice (helps improve weight loss) Red Rice (strenghtening metabolism, hel.</v>
      </c>
      <c r="M278" s="0" t="s">
        <v>5572</v>
      </c>
      <c r="N278" s="0" t="s">
        <v>5573</v>
      </c>
      <c r="O278" s="0" t="s">
        <v>11655</v>
      </c>
      <c r="P278" s="0" t="s">
        <v>11656</v>
      </c>
      <c r="Q278" s="0" t="s">
        <v>7049</v>
      </c>
      <c r="R278" s="5" t="s">
        <v>189</v>
      </c>
      <c r="S278" s="0" t="s">
        <v>209</v>
      </c>
      <c r="T278" s="5" t="s">
        <v>189</v>
      </c>
      <c r="U278" s="5" t="s">
        <v>3896</v>
      </c>
      <c r="V278" s="0" t="s">
        <v>11657</v>
      </c>
      <c r="W278" s="0" t="s">
        <v>263</v>
      </c>
      <c r="X278" s="0" t="s">
        <v>5578</v>
      </c>
      <c r="Y278" s="0" t="str">
        <f aca="false">IF(FA278&lt;&gt;"Y","",COUNTIFS($FA$2:$FA$1000,"Y",$J$2:$J$1000,"&gt;"&amp;J278)+COUNTIFS($FA$2:$FA$1000,"Y",$J$2:$J$1000,J278,$FG$2:$FG$1000,"&lt;"&amp;FG278)+1)</f>
        <v/>
      </c>
      <c r="AA278" s="0" t="s">
        <v>189</v>
      </c>
      <c r="AB278" s="0" t="str">
        <f aca="false">IF($A278="","",IF(AT278="Y",BW278&amp;"",BJ278&amp;""))</f>
        <v/>
      </c>
      <c r="AC278" s="0" t="str">
        <f aca="false">IF($A278="","",IF(AT278="Y",BR278&amp;"",BE278&amp;""))</f>
        <v/>
      </c>
      <c r="AD278" s="0" t="str">
        <f aca="false">IF($A278="","",IF(AT278="Y",BS278&amp;"",BF278&amp;""))</f>
        <v>none</v>
      </c>
      <c r="AE278" s="0" t="str">
        <f aca="false">IF($A278="","",IF(AT278="Y",BT278&amp;"",BG278&amp;""))</f>
        <v/>
      </c>
      <c r="AF278" s="0" t="str">
        <f aca="false">IF($A278="","",IF(AT278="Y",BU278&amp;"",BH278&amp;""))</f>
        <v/>
      </c>
      <c r="AG278" s="0" t="str">
        <f aca="false">IF($A278="","",IF(AT278="Y",BV278&amp;"",BI278&amp;""))</f>
        <v/>
      </c>
      <c r="AH278" s="0" t="s">
        <v>11658</v>
      </c>
      <c r="AI278" s="0" t="s">
        <v>5630</v>
      </c>
      <c r="AJ278" s="0" t="s">
        <v>11659</v>
      </c>
      <c r="AK278" s="0" t="s">
        <v>11660</v>
      </c>
      <c r="AL278" s="0" t="s">
        <v>164</v>
      </c>
      <c r="AM278" s="0" t="s">
        <v>11661</v>
      </c>
      <c r="AN278" s="0" t="s">
        <v>11653</v>
      </c>
      <c r="AO278" s="5" t="s">
        <v>189</v>
      </c>
      <c r="AR278" s="0" t="str">
        <f aca="false">IF($A278="","",IF(AND(CK278="pass",AO278&lt;&gt;"Y",C278&lt;&gt;"",OR(AU278&lt;&gt;"Y",AV278="Y")),"Y","N"))</f>
        <v>N</v>
      </c>
      <c r="AS278" s="0" t="str">
        <f aca="false">IF($A278="","",_xlfn.TEXTJOIN("; ",TRUE(),IF(CK278&lt;&gt;"pass","gated out",""),IF(AO278="Y","on hold: "&amp;AP278,""),IF(C278="","no contact named on an opened page",""),IF(AND(AU278="Y",AV278&lt;&gt;"Y"),"founder review pending (Founder review tab)","")))</f>
        <v>gated out; no contact named on an opened page; founder review pending (Founder review tab)</v>
      </c>
      <c r="AU278" s="0" t="s">
        <v>164</v>
      </c>
      <c r="AX278" s="0" t="s">
        <v>11662</v>
      </c>
      <c r="BC278" s="0" t="str">
        <f aca="false">IF($A278="","",IFERROR(INDEX(Enrichment!$A$2:$GZ$2000,MATCH($A278,INDEX(Enrichment!$A$2:$GZ$2000,0,MATCH("row_id",Enrichment!$A$1:$GZ$1,0)),0),MATCH("work_email",Enrichment!$A$1:$GZ$1,0))&amp;"",""))</f>
        <v/>
      </c>
      <c r="BD278" s="0" t="str">
        <f aca="false">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none</v>
      </c>
      <c r="BF278" s="0" t="s">
        <v>380</v>
      </c>
      <c r="BK278" s="0" t="s">
        <v>6048</v>
      </c>
      <c r="BP278" s="0" t="str">
        <f aca="false">IF($A278="","",IFERROR(INDEX(Enrichment!$A$2:$GZ$2000,MATCH($A278,INDEX(Enrichment!$A$2:$GZ$2000,0,MATCH("row_id",Enrichment!$A$1:$GZ$1,0)),0),MATCH("backup_work_email",Enrichment!$A$1:$GZ$1,0))&amp;"",""))</f>
        <v/>
      </c>
      <c r="BQ278" s="0" t="str">
        <f aca="false">IF($A278="","",IF(BP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none</v>
      </c>
      <c r="BS278" s="0" t="s">
        <v>380</v>
      </c>
      <c r="BX278" s="0" t="s">
        <v>388</v>
      </c>
      <c r="BY278" s="0" t="s">
        <v>11663</v>
      </c>
      <c r="CJ278" s="0" t="s">
        <v>7088</v>
      </c>
      <c r="CK278" s="0" t="s">
        <v>4627</v>
      </c>
      <c r="CL278" s="0" t="s">
        <v>10005</v>
      </c>
      <c r="CM278" s="0" t="s">
        <v>11664</v>
      </c>
      <c r="CN278" s="0" t="s">
        <v>6827</v>
      </c>
      <c r="CO278" s="0" t="s">
        <v>11660</v>
      </c>
      <c r="CP278" s="0" t="s">
        <v>5840</v>
      </c>
      <c r="CQ278" s="0" t="s">
        <v>6084</v>
      </c>
      <c r="CR278" s="0" t="s">
        <v>209</v>
      </c>
      <c r="CT278" s="0" t="s">
        <v>164</v>
      </c>
      <c r="CU278" s="0" t="s">
        <v>11665</v>
      </c>
      <c r="CV278" s="0" t="s">
        <v>164</v>
      </c>
      <c r="CW278" s="0" t="s">
        <v>164</v>
      </c>
      <c r="CX278" s="0" t="s">
        <v>209</v>
      </c>
      <c r="CZ278" s="0" t="s">
        <v>209</v>
      </c>
      <c r="DA278" s="0" t="s">
        <v>189</v>
      </c>
      <c r="DB278" s="0" t="s">
        <v>164</v>
      </c>
      <c r="DC278" s="0" t="s">
        <v>11666</v>
      </c>
      <c r="DD278" s="0" t="n">
        <v>0</v>
      </c>
      <c r="DE278" s="0" t="s">
        <v>164</v>
      </c>
      <c r="DF278" s="0" t="n">
        <v>3</v>
      </c>
      <c r="DG278" s="0" t="s">
        <v>5686</v>
      </c>
      <c r="DH278" s="0" t="s">
        <v>5969</v>
      </c>
      <c r="DI278" s="0" t="s">
        <v>11667</v>
      </c>
      <c r="DJ278" s="0" t="s">
        <v>11668</v>
      </c>
      <c r="DK278" s="0" t="s">
        <v>5689</v>
      </c>
      <c r="DL278" s="0" t="n">
        <v>255</v>
      </c>
      <c r="DN278" s="0" t="n">
        <v>42</v>
      </c>
      <c r="DO278" s="0" t="n">
        <v>25</v>
      </c>
      <c r="DP278" s="0" t="n">
        <v>8</v>
      </c>
      <c r="DQ278" s="0" t="n">
        <v>4</v>
      </c>
      <c r="DR278" s="0" t="n">
        <v>5</v>
      </c>
      <c r="DS278" s="0" t="n">
        <v>10</v>
      </c>
      <c r="DT278" s="0" t="n">
        <v>0</v>
      </c>
      <c r="DU278" s="0" t="n">
        <f aca="false">IF($A278="","",IF(R278="Y",10,0))</f>
        <v>0</v>
      </c>
      <c r="DV278" s="0" t="n">
        <v>-10</v>
      </c>
      <c r="DX278" s="0" t="s">
        <v>5619</v>
      </c>
      <c r="DY278" s="0" t="s">
        <v>11669</v>
      </c>
      <c r="DZ278" s="0" t="s">
        <v>11670</v>
      </c>
      <c r="EA278" s="0" t="s">
        <v>11671</v>
      </c>
      <c r="EV278" s="0" t="str">
        <f aca="false">IF($A278="","",IF(ISNUMBER(MATCH(U278,{"queued","contacted","replied","call_booked","call_done","yes_in_principle","materials_sent"},0)),"Y","N"))</f>
        <v>N</v>
      </c>
      <c r="EW278" s="0" t="str">
        <f aca="false">IF($A278="","",IF(OR(T278="Y",U278="do_not_contact",AQ278&amp;""&lt;&gt;""),"Y","N"))</f>
        <v>N</v>
      </c>
      <c r="EX278" s="0" t="str">
        <f aca="false">IF($A278="","",IF(AN278&amp;""&lt;&gt;"",AN278&amp;"",$A278))</f>
        <v>AB-234</v>
      </c>
      <c r="EY278" s="0" t="str">
        <f aca="false">IF($A278="","",IF(COUNTIFS($EX$2:$EX$1000,EX278,$EV$2:$EV$1000,"Y")+COUNTIFS($EX$2:$EX$1000,EX278,$EW$2:$EW$1000,"Y")&gt;0,"Y","N"))</f>
        <v>N</v>
      </c>
      <c r="EZ278" s="0" t="str">
        <f aca="false">IF($A278="","",IF(AND(U278="new",T278="N",EW278="N",AR278="Y",EY278="N"),"Y","N"))</f>
        <v>N</v>
      </c>
      <c r="FA278" s="0" t="str">
        <f aca="false">IF($A278="","",IF(EZ278&lt;&gt;"Y","N",IF(COUNTIFS($EX$2:$EX$1000,EX278,$EZ$2:$EZ$1000,"Y",$J$2:$J$1000,"&gt;"&amp;J278)+COUNTIFS($EX$2:$EX$1000,EX278,$EZ$2:$EZ$1000,"Y",$J$2:$J$1000,J278,$FG$2:$FG$1000,"&lt;"&amp;FG278)=0,"Y","N")))</f>
        <v>N</v>
      </c>
      <c r="FB278" s="0" t="str">
        <f aca="false">IF($A278="","",IF(AND(EZ278="Y",FA278="Y",Y278&amp;""&lt;&gt;""),IF(Y278&lt;=10,"Y","N"),"N"))</f>
        <v>N</v>
      </c>
      <c r="FC278" s="0" t="str">
        <f aca="false">IF(FB278="Y",Y278,"")</f>
        <v/>
      </c>
      <c r="FD278" s="0" t="str">
        <f aca="false">IF($A278="","",IF(AND(CK278="pass",AU278="Y",AV278&lt;&gt;"Y",U278="new",EW278="N"),"Y","N"))</f>
        <v>N</v>
      </c>
      <c r="FE278" s="0" t="str">
        <f aca="false">IF(FD278&lt;&gt;"Y","",IF(COUNTIFS($FD$2:$FD$1000,"Y",$J$2:$J$1000,"&gt;"&amp;J278)+COUNTIFS($FD$2:$FD$1000,"Y",$J$2:$J$1000,J278,$FG$2:$FG$1000,"&lt;"&amp;FG278)+1&lt;=30,COUNTIFS($FD$2:$FD$1000,"Y",$J$2:$J$1000,"&gt;"&amp;J278)+COUNTIFS($FD$2:$FD$1000,"Y",$J$2:$J$1000,J278,$FG$2:$FG$1000,"&lt;"&amp;FG278)+1,""))</f>
        <v/>
      </c>
      <c r="FF278" s="0" t="str">
        <f aca="false">IF(AND(_xlfn.ISFORMULA(C278),_xlfn.ISFORMULA(J278)),"Y","N")</f>
        <v>Y</v>
      </c>
      <c r="FG278" s="0" t="n">
        <f aca="false">ROW()-1</f>
        <v>277</v>
      </c>
    </row>
    <row r="279" customFormat="false" ht="15" hidden="false" customHeight="false" outlineLevel="0" collapsed="false">
      <c r="A279" s="0" t="s">
        <v>11672</v>
      </c>
      <c r="B279" s="0" t="s">
        <v>11673</v>
      </c>
      <c r="C279" s="0" t="str">
        <f aca="false">IF($A279="","",IF(AT279="Y",BL279&amp;"",AY279&amp;""))</f>
        <v/>
      </c>
      <c r="D279" s="0" t="str">
        <f aca="false">IF($A279="","",IF(AT279="Y",BM279&amp;"",AZ279&amp;""))</f>
        <v/>
      </c>
      <c r="E279" s="0" t="str">
        <f aca="false">IF($A279="","",IF(AT279="Y",BN279&amp;"",BA279&amp;""))</f>
        <v/>
      </c>
      <c r="F279" s="0" t="str">
        <f aca="false">IF($A279="","",IF(AT279="Y",BO279&amp;"",BB279&amp;""))</f>
        <v/>
      </c>
      <c r="G279" s="0" t="str">
        <f aca="false">IF($A279="","",IF(AT279="Y",BP279&amp;"",BC279&amp;""))</f>
        <v/>
      </c>
      <c r="H279" s="0" t="str">
        <f aca="false">IF($A279="","",IF(AT279="Y",BQ279&amp;"",BD279&amp;""))</f>
        <v>none</v>
      </c>
      <c r="I279" s="0" t="str">
        <f aca="false">IF($A279="","",IF(R279="Y","warm-intro",IF(H279="verified","email",IF(C279&lt;&gt;"","linkedin",CA279&amp;""))))</f>
        <v/>
      </c>
      <c r="J279" s="0" t="n">
        <f aca="false">IF($A279="","",IF(CK279="pass",ROUND(N(DO279)+N(DP279)+N(DQ279)+N(DR279)+N(DS279)+N(DT279)+N(DU279)+N(DV279),0),0))</f>
        <v>0</v>
      </c>
      <c r="K279" s="0" t="str">
        <f aca="false">IF($A279="","",IF(CK279&lt;&gt;"pass",BY279&amp;"",BY279&amp;", "&amp;IF(AT279="Y",BX279&amp;"",BK279&amp;"")&amp;BZ279&amp;IF(R279="Y","; known to the founder (+10)","")&amp;"."))</f>
        <v>Gated out: health-claim: explicit health claim in the brand's own copy (opened 2026-10-24): 'we experience improved mental focus, increased energy, reduced inflammation, w.</v>
      </c>
      <c r="M279" s="0" t="s">
        <v>5625</v>
      </c>
      <c r="N279" s="0" t="s">
        <v>5573</v>
      </c>
      <c r="R279" s="5" t="s">
        <v>189</v>
      </c>
      <c r="S279" s="0" t="s">
        <v>209</v>
      </c>
      <c r="T279" s="5" t="s">
        <v>189</v>
      </c>
      <c r="U279" s="5" t="s">
        <v>3896</v>
      </c>
      <c r="V279" s="0" t="s">
        <v>11674</v>
      </c>
      <c r="W279" s="0" t="s">
        <v>263</v>
      </c>
      <c r="X279" s="0" t="s">
        <v>5578</v>
      </c>
      <c r="Y279" s="0" t="str">
        <f aca="false">IF(FA279&lt;&gt;"Y","",COUNTIFS($FA$2:$FA$1000,"Y",$J$2:$J$1000,"&gt;"&amp;J279)+COUNTIFS($FA$2:$FA$1000,"Y",$J$2:$J$1000,J279,$FG$2:$FG$1000,"&lt;"&amp;FG279)+1)</f>
        <v/>
      </c>
      <c r="AA279" s="0" t="s">
        <v>189</v>
      </c>
      <c r="AB279" s="0" t="str">
        <f aca="false">IF($A279="","",IF(AT279="Y",BW279&amp;"",BJ279&amp;""))</f>
        <v/>
      </c>
      <c r="AC279" s="0" t="str">
        <f aca="false">IF($A279="","",IF(AT279="Y",BR279&amp;"",BE279&amp;""))</f>
        <v/>
      </c>
      <c r="AD279" s="0" t="str">
        <f aca="false">IF($A279="","",IF(AT279="Y",BS279&amp;"",BF279&amp;""))</f>
        <v>none</v>
      </c>
      <c r="AE279" s="0" t="str">
        <f aca="false">IF($A279="","",IF(AT279="Y",BT279&amp;"",BG279&amp;""))</f>
        <v/>
      </c>
      <c r="AF279" s="0" t="str">
        <f aca="false">IF($A279="","",IF(AT279="Y",BU279&amp;"",BH279&amp;""))</f>
        <v/>
      </c>
      <c r="AG279" s="0" t="str">
        <f aca="false">IF($A279="","",IF(AT279="Y",BV279&amp;"",BI279&amp;""))</f>
        <v/>
      </c>
      <c r="AH279" s="0" t="s">
        <v>11675</v>
      </c>
      <c r="AI279" s="0" t="s">
        <v>5789</v>
      </c>
      <c r="AJ279" s="0" t="s">
        <v>11676</v>
      </c>
      <c r="AK279" s="0" t="s">
        <v>11677</v>
      </c>
      <c r="AL279" s="0" t="s">
        <v>164</v>
      </c>
      <c r="AM279" s="0" t="s">
        <v>11678</v>
      </c>
      <c r="AN279" s="0" t="s">
        <v>11672</v>
      </c>
      <c r="AO279" s="5" t="s">
        <v>189</v>
      </c>
      <c r="AR279" s="0" t="str">
        <f aca="false">IF($A279="","",IF(AND(CK279="pass",AO279&lt;&gt;"Y",C279&lt;&gt;"",OR(AU279&lt;&gt;"Y",AV279="Y")),"Y","N"))</f>
        <v>N</v>
      </c>
      <c r="AS279" s="0" t="str">
        <f aca="false">IF($A279="","",_xlfn.TEXTJOIN("; ",TRUE(),IF(CK279&lt;&gt;"pass","gated out",""),IF(AO279="Y","on hold: "&amp;AP279,""),IF(C279="","no contact named on an opened page",""),IF(AND(AU279="Y",AV279&lt;&gt;"Y"),"founder review pending (Founder review tab)","")))</f>
        <v>gated out; no contact named on an opened page; founder review pending (Founder review tab)</v>
      </c>
      <c r="AU279" s="0" t="s">
        <v>164</v>
      </c>
      <c r="AX279" s="0" t="s">
        <v>11679</v>
      </c>
      <c r="BC279" s="0" t="str">
        <f aca="false">IF($A279="","",IFERROR(INDEX(Enrichment!$A$2:$GZ$2000,MATCH($A279,INDEX(Enrichment!$A$2:$GZ$2000,0,MATCH("row_id",Enrichment!$A$1:$GZ$1,0)),0),MATCH("work_email",Enrichment!$A$1:$GZ$1,0))&amp;"",""))</f>
        <v/>
      </c>
      <c r="BD279" s="0" t="str">
        <f aca="false">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none</v>
      </c>
      <c r="BF279" s="0" t="s">
        <v>380</v>
      </c>
      <c r="BK279" s="0" t="s">
        <v>6048</v>
      </c>
      <c r="BP279" s="0" t="str">
        <f aca="false">IF($A279="","",IFERROR(INDEX(Enrichment!$A$2:$GZ$2000,MATCH($A279,INDEX(Enrichment!$A$2:$GZ$2000,0,MATCH("row_id",Enrichment!$A$1:$GZ$1,0)),0),MATCH("backup_work_email",Enrichment!$A$1:$GZ$1,0))&amp;"",""))</f>
        <v/>
      </c>
      <c r="BQ279" s="0" t="str">
        <f aca="false">IF($A279="","",IF(BP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none</v>
      </c>
      <c r="BS279" s="0" t="s">
        <v>380</v>
      </c>
      <c r="BX279" s="0" t="s">
        <v>388</v>
      </c>
      <c r="BY279" s="0" t="s">
        <v>11680</v>
      </c>
      <c r="CJ279" s="0" t="s">
        <v>7088</v>
      </c>
      <c r="CK279" s="0" t="s">
        <v>4627</v>
      </c>
      <c r="CL279" s="0" t="s">
        <v>10005</v>
      </c>
      <c r="CM279" s="0" t="s">
        <v>11681</v>
      </c>
      <c r="CN279" s="0" t="s">
        <v>5808</v>
      </c>
      <c r="CO279" s="0" t="s">
        <v>11677</v>
      </c>
      <c r="CP279" s="0" t="s">
        <v>6550</v>
      </c>
      <c r="CQ279" s="0" t="s">
        <v>6198</v>
      </c>
      <c r="CR279" s="0" t="s">
        <v>209</v>
      </c>
      <c r="CT279" s="0" t="s">
        <v>164</v>
      </c>
      <c r="CU279" s="0" t="s">
        <v>11682</v>
      </c>
      <c r="CV279" s="0" t="s">
        <v>189</v>
      </c>
      <c r="CW279" s="0" t="s">
        <v>164</v>
      </c>
      <c r="CX279" s="0" t="s">
        <v>209</v>
      </c>
      <c r="CZ279" s="0" t="s">
        <v>209</v>
      </c>
      <c r="DA279" s="0" t="s">
        <v>189</v>
      </c>
      <c r="DB279" s="0" t="s">
        <v>164</v>
      </c>
      <c r="DC279" s="0" t="s">
        <v>11683</v>
      </c>
      <c r="DD279" s="0" t="n">
        <v>0</v>
      </c>
      <c r="DE279" s="0" t="s">
        <v>164</v>
      </c>
      <c r="DF279" s="0" t="n">
        <v>1</v>
      </c>
      <c r="DG279" s="0" t="s">
        <v>5650</v>
      </c>
      <c r="DI279" s="0" t="s">
        <v>6054</v>
      </c>
      <c r="DJ279" s="0" t="s">
        <v>11684</v>
      </c>
      <c r="DK279" s="0" t="s">
        <v>380</v>
      </c>
      <c r="DN279" s="0" t="n">
        <v>36</v>
      </c>
      <c r="DO279" s="0" t="n">
        <v>25</v>
      </c>
      <c r="DP279" s="0" t="n">
        <v>3</v>
      </c>
      <c r="DQ279" s="0" t="n">
        <v>0</v>
      </c>
      <c r="DR279" s="0" t="n">
        <v>5</v>
      </c>
      <c r="DS279" s="0" t="n">
        <v>7</v>
      </c>
      <c r="DT279" s="0" t="n">
        <v>0</v>
      </c>
      <c r="DU279" s="0" t="n">
        <f aca="false">IF($A279="","",IF(R279="Y",10,0))</f>
        <v>0</v>
      </c>
      <c r="DV279" s="0" t="n">
        <v>-4</v>
      </c>
      <c r="DW279" s="0" t="s">
        <v>209</v>
      </c>
      <c r="DX279" s="0" t="s">
        <v>5814</v>
      </c>
      <c r="DY279" s="0" t="s">
        <v>11685</v>
      </c>
      <c r="DZ279" s="0" t="s">
        <v>11686</v>
      </c>
      <c r="EA279" s="0" t="s">
        <v>11687</v>
      </c>
      <c r="EV279" s="0" t="str">
        <f aca="false">IF($A279="","",IF(ISNUMBER(MATCH(U279,{"queued","contacted","replied","call_booked","call_done","yes_in_principle","materials_sent"},0)),"Y","N"))</f>
        <v>N</v>
      </c>
      <c r="EW279" s="0" t="str">
        <f aca="false">IF($A279="","",IF(OR(T279="Y",U279="do_not_contact",AQ279&amp;""&lt;&gt;""),"Y","N"))</f>
        <v>N</v>
      </c>
      <c r="EX279" s="0" t="str">
        <f aca="false">IF($A279="","",IF(AN279&amp;""&lt;&gt;"",AN279&amp;"",$A279))</f>
        <v>AB-050</v>
      </c>
      <c r="EY279" s="0" t="str">
        <f aca="false">IF($A279="","",IF(COUNTIFS($EX$2:$EX$1000,EX279,$EV$2:$EV$1000,"Y")+COUNTIFS($EX$2:$EX$1000,EX279,$EW$2:$EW$1000,"Y")&gt;0,"Y","N"))</f>
        <v>N</v>
      </c>
      <c r="EZ279" s="0" t="str">
        <f aca="false">IF($A279="","",IF(AND(U279="new",T279="N",EW279="N",AR279="Y",EY279="N"),"Y","N"))</f>
        <v>N</v>
      </c>
      <c r="FA279" s="0" t="str">
        <f aca="false">IF($A279="","",IF(EZ279&lt;&gt;"Y","N",IF(COUNTIFS($EX$2:$EX$1000,EX279,$EZ$2:$EZ$1000,"Y",$J$2:$J$1000,"&gt;"&amp;J279)+COUNTIFS($EX$2:$EX$1000,EX279,$EZ$2:$EZ$1000,"Y",$J$2:$J$1000,J279,$FG$2:$FG$1000,"&lt;"&amp;FG279)=0,"Y","N")))</f>
        <v>N</v>
      </c>
      <c r="FB279" s="0" t="str">
        <f aca="false">IF($A279="","",IF(AND(EZ279="Y",FA279="Y",Y279&amp;""&lt;&gt;""),IF(Y279&lt;=10,"Y","N"),"N"))</f>
        <v>N</v>
      </c>
      <c r="FC279" s="0" t="str">
        <f aca="false">IF(FB279="Y",Y279,"")</f>
        <v/>
      </c>
      <c r="FD279" s="0" t="str">
        <f aca="false">IF($A279="","",IF(AND(CK279="pass",AU279="Y",AV279&lt;&gt;"Y",U279="new",EW279="N"),"Y","N"))</f>
        <v>N</v>
      </c>
      <c r="FE279" s="0" t="str">
        <f aca="false">IF(FD279&lt;&gt;"Y","",IF(COUNTIFS($FD$2:$FD$1000,"Y",$J$2:$J$1000,"&gt;"&amp;J279)+COUNTIFS($FD$2:$FD$1000,"Y",$J$2:$J$1000,J279,$FG$2:$FG$1000,"&lt;"&amp;FG279)+1&lt;=30,COUNTIFS($FD$2:$FD$1000,"Y",$J$2:$J$1000,"&gt;"&amp;J279)+COUNTIFS($FD$2:$FD$1000,"Y",$J$2:$J$1000,J279,$FG$2:$FG$1000,"&lt;"&amp;FG279)+1,""))</f>
        <v/>
      </c>
      <c r="FF279" s="0" t="str">
        <f aca="false">IF(AND(_xlfn.ISFORMULA(C279),_xlfn.ISFORMULA(J279)),"Y","N")</f>
        <v>Y</v>
      </c>
      <c r="FG279" s="0" t="n">
        <f aca="false">ROW()-1</f>
        <v>278</v>
      </c>
    </row>
    <row r="280" customFormat="false" ht="15" hidden="false" customHeight="false" outlineLevel="0" collapsed="false">
      <c r="A280" s="0" t="s">
        <v>11688</v>
      </c>
      <c r="B280" s="0" t="s">
        <v>11689</v>
      </c>
      <c r="C280" s="0" t="str">
        <f aca="false">IF($A280="","",IF(AT280="Y",BL280&amp;"",AY280&amp;""))</f>
        <v/>
      </c>
      <c r="D280" s="0" t="str">
        <f aca="false">IF($A280="","",IF(AT280="Y",BM280&amp;"",AZ280&amp;""))</f>
        <v/>
      </c>
      <c r="E280" s="0" t="str">
        <f aca="false">IF($A280="","",IF(AT280="Y",BN280&amp;"",BA280&amp;""))</f>
        <v/>
      </c>
      <c r="F280" s="0" t="str">
        <f aca="false">IF($A280="","",IF(AT280="Y",BO280&amp;"",BB280&amp;""))</f>
        <v/>
      </c>
      <c r="G280" s="0" t="str">
        <f aca="false">IF($A280="","",IF(AT280="Y",BP280&amp;"",BC280&amp;""))</f>
        <v/>
      </c>
      <c r="H280" s="0" t="str">
        <f aca="false">IF($A280="","",IF(AT280="Y",BQ280&amp;"",BD280&amp;""))</f>
        <v>none</v>
      </c>
      <c r="I280" s="0" t="str">
        <f aca="false">IF($A280="","",IF(R280="Y","warm-intro",IF(H280="verified","email",IF(C280&lt;&gt;"","linkedin",CA280&amp;""))))</f>
        <v/>
      </c>
      <c r="J280" s="0" t="n">
        <f aca="false">IF($A280="","",IF(CK280="pass",ROUND(N(DO280)+N(DP280)+N(DQ280)+N(DR280)+N(DS280)+N(DT280)+N(DU280)+N(DV280),0),0))</f>
        <v>0</v>
      </c>
      <c r="K280" s="0" t="str">
        <f aca="false">IF($A280="","",IF(CK280&lt;&gt;"pass",BY280&amp;"",BY280&amp;", "&amp;IF(AT280="Y",BX280&amp;"",BK280&amp;"")&amp;BZ280&amp;IF(R280="Y","; known to the founder (+10)","")&amp;"."))</f>
        <v>Gated out: excluded-category: Alcohol (homepage: 'All with 5% alcohol').</v>
      </c>
      <c r="M280" s="0" t="s">
        <v>5572</v>
      </c>
      <c r="N280" s="0" t="s">
        <v>5573</v>
      </c>
      <c r="R280" s="5" t="s">
        <v>189</v>
      </c>
      <c r="S280" s="0" t="s">
        <v>209</v>
      </c>
      <c r="T280" s="5" t="s">
        <v>189</v>
      </c>
      <c r="U280" s="5" t="s">
        <v>3896</v>
      </c>
      <c r="V280" s="0" t="s">
        <v>11690</v>
      </c>
      <c r="W280" s="0" t="s">
        <v>263</v>
      </c>
      <c r="X280" s="0" t="s">
        <v>5578</v>
      </c>
      <c r="Y280" s="0" t="str">
        <f aca="false">IF(FA280&lt;&gt;"Y","",COUNTIFS($FA$2:$FA$1000,"Y",$J$2:$J$1000,"&gt;"&amp;J280)+COUNTIFS($FA$2:$FA$1000,"Y",$J$2:$J$1000,J280,$FG$2:$FG$1000,"&lt;"&amp;FG280)+1)</f>
        <v/>
      </c>
      <c r="AA280" s="0" t="s">
        <v>189</v>
      </c>
      <c r="AB280" s="0" t="str">
        <f aca="false">IF($A280="","",IF(AT280="Y",BW280&amp;"",BJ280&amp;""))</f>
        <v/>
      </c>
      <c r="AC280" s="0" t="str">
        <f aca="false">IF($A280="","",IF(AT280="Y",BR280&amp;"",BE280&amp;""))</f>
        <v/>
      </c>
      <c r="AD280" s="0" t="str">
        <f aca="false">IF($A280="","",IF(AT280="Y",BS280&amp;"",BF280&amp;""))</f>
        <v>none</v>
      </c>
      <c r="AE280" s="0" t="str">
        <f aca="false">IF($A280="","",IF(AT280="Y",BT280&amp;"",BG280&amp;""))</f>
        <v/>
      </c>
      <c r="AF280" s="0" t="str">
        <f aca="false">IF($A280="","",IF(AT280="Y",BU280&amp;"",BH280&amp;""))</f>
        <v/>
      </c>
      <c r="AG280" s="0" t="str">
        <f aca="false">IF($A280="","",IF(AT280="Y",BV280&amp;"",BI280&amp;""))</f>
        <v/>
      </c>
      <c r="AH280" s="0" t="s">
        <v>11691</v>
      </c>
      <c r="AI280" s="0" t="s">
        <v>6699</v>
      </c>
      <c r="AJ280" s="0" t="s">
        <v>11692</v>
      </c>
      <c r="AL280" s="0" t="s">
        <v>164</v>
      </c>
      <c r="AM280" s="0" t="s">
        <v>5825</v>
      </c>
      <c r="AN280" s="0" t="s">
        <v>11688</v>
      </c>
      <c r="AO280" s="5" t="s">
        <v>189</v>
      </c>
      <c r="AR280" s="0" t="str">
        <f aca="false">IF($A280="","",IF(AND(CK280="pass",AO280&lt;&gt;"Y",C280&lt;&gt;"",OR(AU280&lt;&gt;"Y",AV280="Y")),"Y","N"))</f>
        <v>N</v>
      </c>
      <c r="AS280" s="0" t="str">
        <f aca="false">IF($A280="","",_xlfn.TEXTJOIN("; ",TRUE(),IF(CK280&lt;&gt;"pass","gated out",""),IF(AO280="Y","on hold: "&amp;AP280,""),IF(C280="","no contact named on an opened page",""),IF(AND(AU280="Y",AV280&lt;&gt;"Y"),"founder review pending (Founder review tab)","")))</f>
        <v>gated out; no contact named on an opened page</v>
      </c>
      <c r="AU280" s="0" t="s">
        <v>189</v>
      </c>
      <c r="AX280" s="0" t="s">
        <v>11693</v>
      </c>
      <c r="BC280" s="0" t="str">
        <f aca="false">IF($A280="","",IFERROR(INDEX(Enrichment!$A$2:$GZ$2000,MATCH($A280,INDEX(Enrichment!$A$2:$GZ$2000,0,MATCH("row_id",Enrichment!$A$1:$GZ$1,0)),0),MATCH("work_email",Enrichment!$A$1:$GZ$1,0))&amp;"",""))</f>
        <v/>
      </c>
      <c r="BD280" s="0" t="str">
        <f aca="false">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none</v>
      </c>
      <c r="BF280" s="0" t="s">
        <v>380</v>
      </c>
      <c r="BK280" s="0" t="s">
        <v>6048</v>
      </c>
      <c r="BP280" s="0" t="str">
        <f aca="false">IF($A280="","",IFERROR(INDEX(Enrichment!$A$2:$GZ$2000,MATCH($A280,INDEX(Enrichment!$A$2:$GZ$2000,0,MATCH("row_id",Enrichment!$A$1:$GZ$1,0)),0),MATCH("backup_work_email",Enrichment!$A$1:$GZ$1,0))&amp;"",""))</f>
        <v/>
      </c>
      <c r="BQ280" s="0" t="str">
        <f aca="false">IF($A280="","",IF(BP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none</v>
      </c>
      <c r="BS280" s="0" t="s">
        <v>380</v>
      </c>
      <c r="BX280" s="0" t="s">
        <v>388</v>
      </c>
      <c r="BY280" s="0" t="s">
        <v>11694</v>
      </c>
      <c r="CJ280" s="0" t="s">
        <v>7088</v>
      </c>
      <c r="CK280" s="0" t="s">
        <v>4627</v>
      </c>
      <c r="CL280" s="0" t="s">
        <v>10864</v>
      </c>
      <c r="CM280" s="0" t="s">
        <v>11695</v>
      </c>
      <c r="CO280" s="0" t="s">
        <v>11696</v>
      </c>
      <c r="CP280" s="0" t="s">
        <v>5608</v>
      </c>
      <c r="CQ280" s="0" t="s">
        <v>5609</v>
      </c>
      <c r="CR280" s="0" t="s">
        <v>209</v>
      </c>
      <c r="CT280" s="0" t="s">
        <v>164</v>
      </c>
      <c r="CU280" s="0" t="s">
        <v>11697</v>
      </c>
      <c r="CV280" s="0" t="s">
        <v>164</v>
      </c>
      <c r="CW280" s="0" t="s">
        <v>209</v>
      </c>
      <c r="CX280" s="0" t="s">
        <v>209</v>
      </c>
      <c r="CZ280" s="0" t="s">
        <v>209</v>
      </c>
      <c r="DA280" s="0" t="s">
        <v>189</v>
      </c>
      <c r="DB280" s="0" t="s">
        <v>164</v>
      </c>
      <c r="DC280" s="0" t="s">
        <v>11698</v>
      </c>
      <c r="DD280" s="0" t="n">
        <v>0</v>
      </c>
      <c r="DE280" s="0" t="s">
        <v>164</v>
      </c>
      <c r="DF280" s="0" t="n">
        <v>2</v>
      </c>
      <c r="DG280" s="0" t="s">
        <v>5746</v>
      </c>
      <c r="DI280" s="0" t="s">
        <v>11699</v>
      </c>
      <c r="DJ280" s="0" t="s">
        <v>11700</v>
      </c>
      <c r="DK280" s="0" t="s">
        <v>380</v>
      </c>
      <c r="DN280" s="0" t="n">
        <v>58</v>
      </c>
      <c r="DO280" s="0" t="n">
        <v>25</v>
      </c>
      <c r="DP280" s="0" t="n">
        <v>20</v>
      </c>
      <c r="DQ280" s="0" t="n">
        <v>0</v>
      </c>
      <c r="DR280" s="0" t="n">
        <v>5</v>
      </c>
      <c r="DS280" s="0" t="n">
        <v>8</v>
      </c>
      <c r="DT280" s="0" t="n">
        <v>0</v>
      </c>
      <c r="DU280" s="0" t="n">
        <f aca="false">IF($A280="","",IF(R280="Y",10,0))</f>
        <v>0</v>
      </c>
      <c r="DV280" s="0" t="n">
        <v>0</v>
      </c>
      <c r="DX280" s="0" t="s">
        <v>5619</v>
      </c>
      <c r="DY280" s="0" t="s">
        <v>11701</v>
      </c>
      <c r="DZ280" s="0" t="s">
        <v>11702</v>
      </c>
      <c r="EV280" s="0" t="str">
        <f aca="false">IF($A280="","",IF(ISNUMBER(MATCH(U280,{"queued","contacted","replied","call_booked","call_done","yes_in_principle","materials_sent"},0)),"Y","N"))</f>
        <v>N</v>
      </c>
      <c r="EW280" s="0" t="str">
        <f aca="false">IF($A280="","",IF(OR(T280="Y",U280="do_not_contact",AQ280&amp;""&lt;&gt;""),"Y","N"))</f>
        <v>N</v>
      </c>
      <c r="EX280" s="0" t="str">
        <f aca="false">IF($A280="","",IF(AN280&amp;""&lt;&gt;"",AN280&amp;"",$A280))</f>
        <v>AB-238</v>
      </c>
      <c r="EY280" s="0" t="str">
        <f aca="false">IF($A280="","",IF(COUNTIFS($EX$2:$EX$1000,EX280,$EV$2:$EV$1000,"Y")+COUNTIFS($EX$2:$EX$1000,EX280,$EW$2:$EW$1000,"Y")&gt;0,"Y","N"))</f>
        <v>N</v>
      </c>
      <c r="EZ280" s="0" t="str">
        <f aca="false">IF($A280="","",IF(AND(U280="new",T280="N",EW280="N",AR280="Y",EY280="N"),"Y","N"))</f>
        <v>N</v>
      </c>
      <c r="FA280" s="0" t="str">
        <f aca="false">IF($A280="","",IF(EZ280&lt;&gt;"Y","N",IF(COUNTIFS($EX$2:$EX$1000,EX280,$EZ$2:$EZ$1000,"Y",$J$2:$J$1000,"&gt;"&amp;J280)+COUNTIFS($EX$2:$EX$1000,EX280,$EZ$2:$EZ$1000,"Y",$J$2:$J$1000,J280,$FG$2:$FG$1000,"&lt;"&amp;FG280)=0,"Y","N")))</f>
        <v>N</v>
      </c>
      <c r="FB280" s="0" t="str">
        <f aca="false">IF($A280="","",IF(AND(EZ280="Y",FA280="Y",Y280&amp;""&lt;&gt;""),IF(Y280&lt;=10,"Y","N"),"N"))</f>
        <v>N</v>
      </c>
      <c r="FC280" s="0" t="str">
        <f aca="false">IF(FB280="Y",Y280,"")</f>
        <v/>
      </c>
      <c r="FD280" s="0" t="str">
        <f aca="false">IF($A280="","",IF(AND(CK280="pass",AU280="Y",AV280&lt;&gt;"Y",U280="new",EW280="N"),"Y","N"))</f>
        <v>N</v>
      </c>
      <c r="FE280" s="0" t="str">
        <f aca="false">IF(FD280&lt;&gt;"Y","",IF(COUNTIFS($FD$2:$FD$1000,"Y",$J$2:$J$1000,"&gt;"&amp;J280)+COUNTIFS($FD$2:$FD$1000,"Y",$J$2:$J$1000,J280,$FG$2:$FG$1000,"&lt;"&amp;FG280)+1&lt;=30,COUNTIFS($FD$2:$FD$1000,"Y",$J$2:$J$1000,"&gt;"&amp;J280)+COUNTIFS($FD$2:$FD$1000,"Y",$J$2:$J$1000,J280,$FG$2:$FG$1000,"&lt;"&amp;FG280)+1,""))</f>
        <v/>
      </c>
      <c r="FF280" s="0" t="str">
        <f aca="false">IF(AND(_xlfn.ISFORMULA(C280),_xlfn.ISFORMULA(J280)),"Y","N")</f>
        <v>Y</v>
      </c>
      <c r="FG280" s="0" t="n">
        <f aca="false">ROW()-1</f>
        <v>279</v>
      </c>
    </row>
    <row r="281" customFormat="false" ht="15" hidden="false" customHeight="false" outlineLevel="0" collapsed="false">
      <c r="A281" s="0" t="s">
        <v>11703</v>
      </c>
      <c r="B281" s="0" t="s">
        <v>11704</v>
      </c>
      <c r="C281" s="0" t="str">
        <f aca="false">IF($A281="","",IF(AT281="Y",BL281&amp;"",AY281&amp;""))</f>
        <v/>
      </c>
      <c r="D281" s="0" t="str">
        <f aca="false">IF($A281="","",IF(AT281="Y",BM281&amp;"",AZ281&amp;""))</f>
        <v/>
      </c>
      <c r="E281" s="0" t="str">
        <f aca="false">IF($A281="","",IF(AT281="Y",BN281&amp;"",BA281&amp;""))</f>
        <v/>
      </c>
      <c r="F281" s="0" t="str">
        <f aca="false">IF($A281="","",IF(AT281="Y",BO281&amp;"",BB281&amp;""))</f>
        <v/>
      </c>
      <c r="G281" s="0" t="str">
        <f aca="false">IF($A281="","",IF(AT281="Y",BP281&amp;"",BC281&amp;""))</f>
        <v/>
      </c>
      <c r="H281" s="0" t="str">
        <f aca="false">IF($A281="","",IF(AT281="Y",BQ281&amp;"",BD281&amp;""))</f>
        <v>none</v>
      </c>
      <c r="I281" s="0" t="str">
        <f aca="false">IF($A281="","",IF(R281="Y","warm-intro",IF(H281="verified","email",IF(C281&lt;&gt;"","linkedin",CA281&amp;""))))</f>
        <v/>
      </c>
      <c r="J281" s="0" t="n">
        <f aca="false">IF($A281="","",IF(CK281="pass",ROUND(N(DO281)+N(DP281)+N(DQ281)+N(DR281)+N(DS281)+N(DT281)+N(DU281)+N(DV281),0),0))</f>
        <v>0</v>
      </c>
      <c r="K281" s="0" t="str">
        <f aca="false">IF($A281="","",IF(CK281&lt;&gt;"pass",BY281&amp;"",BY281&amp;", "&amp;IF(AT281="Y",BX281&amp;"",BK281&amp;"")&amp;BZ281&amp;IF(R281="Y","; known to the founder (+10)","")&amp;"."))</f>
        <v>Gated out: health-claim: Structure or function wording on every product: '100 mg l-theanine for increased focus'.</v>
      </c>
      <c r="M281" s="0" t="s">
        <v>11705</v>
      </c>
      <c r="N281" s="0" t="s">
        <v>5915</v>
      </c>
      <c r="O281" s="0" t="s">
        <v>11706</v>
      </c>
      <c r="P281" s="0" t="s">
        <v>11707</v>
      </c>
      <c r="Q281" s="0" t="s">
        <v>4090</v>
      </c>
      <c r="R281" s="5" t="s">
        <v>189</v>
      </c>
      <c r="S281" s="0" t="s">
        <v>209</v>
      </c>
      <c r="T281" s="5" t="s">
        <v>189</v>
      </c>
      <c r="U281" s="5" t="s">
        <v>3896</v>
      </c>
      <c r="V281" s="0" t="s">
        <v>11708</v>
      </c>
      <c r="W281" s="0" t="s">
        <v>263</v>
      </c>
      <c r="X281" s="0" t="s">
        <v>5578</v>
      </c>
      <c r="Y281" s="0" t="str">
        <f aca="false">IF(FA281&lt;&gt;"Y","",COUNTIFS($FA$2:$FA$1000,"Y",$J$2:$J$1000,"&gt;"&amp;J281)+COUNTIFS($FA$2:$FA$1000,"Y",$J$2:$J$1000,J281,$FG$2:$FG$1000,"&lt;"&amp;FG281)+1)</f>
        <v/>
      </c>
      <c r="AA281" s="0" t="s">
        <v>189</v>
      </c>
      <c r="AB281" s="0" t="str">
        <f aca="false">IF($A281="","",IF(AT281="Y",BW281&amp;"",BJ281&amp;""))</f>
        <v/>
      </c>
      <c r="AC281" s="0" t="str">
        <f aca="false">IF($A281="","",IF(AT281="Y",BR281&amp;"",BE281&amp;""))</f>
        <v/>
      </c>
      <c r="AD281" s="0" t="str">
        <f aca="false">IF($A281="","",IF(AT281="Y",BS281&amp;"",BF281&amp;""))</f>
        <v>none</v>
      </c>
      <c r="AE281" s="0" t="str">
        <f aca="false">IF($A281="","",IF(AT281="Y",BT281&amp;"",BG281&amp;""))</f>
        <v/>
      </c>
      <c r="AF281" s="0" t="str">
        <f aca="false">IF($A281="","",IF(AT281="Y",BU281&amp;"",BH281&amp;""))</f>
        <v/>
      </c>
      <c r="AG281" s="0" t="str">
        <f aca="false">IF($A281="","",IF(AT281="Y",BV281&amp;"",BI281&amp;""))</f>
        <v/>
      </c>
      <c r="AH281" s="0" t="s">
        <v>11709</v>
      </c>
      <c r="AI281" s="0" t="s">
        <v>5580</v>
      </c>
      <c r="AJ281" s="0" t="s">
        <v>5631</v>
      </c>
      <c r="AK281" s="0" t="s">
        <v>11710</v>
      </c>
      <c r="AL281" s="0" t="s">
        <v>164</v>
      </c>
      <c r="AM281" s="0" t="s">
        <v>11711</v>
      </c>
      <c r="AN281" s="0" t="s">
        <v>11703</v>
      </c>
      <c r="AO281" s="5" t="s">
        <v>189</v>
      </c>
      <c r="AR281" s="0" t="str">
        <f aca="false">IF($A281="","",IF(AND(CK281="pass",AO281&lt;&gt;"Y",C281&lt;&gt;"",OR(AU281&lt;&gt;"Y",AV281="Y")),"Y","N"))</f>
        <v>N</v>
      </c>
      <c r="AS281" s="0" t="str">
        <f aca="false">IF($A281="","",_xlfn.TEXTJOIN("; ",TRUE(),IF(CK281&lt;&gt;"pass","gated out",""),IF(AO281="Y","on hold: "&amp;AP281,""),IF(C281="","no contact named on an opened page",""),IF(AND(AU281="Y",AV281&lt;&gt;"Y"),"founder review pending (Founder review tab)","")))</f>
        <v>gated out; no contact named on an opened page</v>
      </c>
      <c r="AU281" s="0" t="s">
        <v>189</v>
      </c>
      <c r="BC281" s="0" t="str">
        <f aca="false">IF($A281="","",IFERROR(INDEX(Enrichment!$A$2:$GZ$2000,MATCH($A281,INDEX(Enrichment!$A$2:$GZ$2000,0,MATCH("row_id",Enrichment!$A$1:$GZ$1,0)),0),MATCH("work_email",Enrichment!$A$1:$GZ$1,0))&amp;"",""))</f>
        <v/>
      </c>
      <c r="BD281" s="0" t="str">
        <f aca="false">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none</v>
      </c>
      <c r="BF281" s="0" t="s">
        <v>380</v>
      </c>
      <c r="BK281" s="0" t="s">
        <v>6048</v>
      </c>
      <c r="BP281" s="0" t="str">
        <f aca="false">IF($A281="","",IFERROR(INDEX(Enrichment!$A$2:$GZ$2000,MATCH($A281,INDEX(Enrichment!$A$2:$GZ$2000,0,MATCH("row_id",Enrichment!$A$1:$GZ$1,0)),0),MATCH("backup_work_email",Enrichment!$A$1:$GZ$1,0))&amp;"",""))</f>
        <v/>
      </c>
      <c r="BQ281" s="0" t="str">
        <f aca="false">IF($A281="","",IF(BP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none</v>
      </c>
      <c r="BS281" s="0" t="s">
        <v>380</v>
      </c>
      <c r="BX281" s="0" t="s">
        <v>388</v>
      </c>
      <c r="BY281" s="0" t="s">
        <v>11712</v>
      </c>
      <c r="CJ281" s="0" t="s">
        <v>7088</v>
      </c>
      <c r="CK281" s="0" t="s">
        <v>4627</v>
      </c>
      <c r="CL281" s="0" t="s">
        <v>10005</v>
      </c>
      <c r="CM281" s="0" t="s">
        <v>11713</v>
      </c>
      <c r="CN281" s="0" t="s">
        <v>5607</v>
      </c>
      <c r="CO281" s="0" t="s">
        <v>11710</v>
      </c>
      <c r="CP281" s="0" t="s">
        <v>5608</v>
      </c>
      <c r="CQ281" s="0" t="s">
        <v>5609</v>
      </c>
      <c r="CR281" s="0" t="s">
        <v>209</v>
      </c>
      <c r="CT281" s="0" t="s">
        <v>209</v>
      </c>
      <c r="CU281" s="0" t="s">
        <v>6710</v>
      </c>
      <c r="CV281" s="0" t="s">
        <v>164</v>
      </c>
      <c r="CW281" s="0" t="s">
        <v>164</v>
      </c>
      <c r="CX281" s="0" t="s">
        <v>209</v>
      </c>
      <c r="CZ281" s="0" t="s">
        <v>6456</v>
      </c>
      <c r="DA281" s="0" t="s">
        <v>164</v>
      </c>
      <c r="DB281" s="0" t="s">
        <v>164</v>
      </c>
      <c r="DC281" s="0" t="s">
        <v>11714</v>
      </c>
      <c r="DD281" s="0" t="n">
        <v>0</v>
      </c>
      <c r="DE281" s="0" t="s">
        <v>164</v>
      </c>
      <c r="DF281" s="0" t="n">
        <v>8</v>
      </c>
      <c r="DG281" s="0" t="s">
        <v>11715</v>
      </c>
      <c r="DI281" s="0" t="s">
        <v>11716</v>
      </c>
      <c r="DJ281" s="0" t="s">
        <v>11717</v>
      </c>
      <c r="DK281" s="0" t="s">
        <v>5689</v>
      </c>
      <c r="DL281" s="0" t="n">
        <v>79</v>
      </c>
      <c r="DN281" s="0" t="n">
        <v>53</v>
      </c>
      <c r="DO281" s="0" t="n">
        <v>17</v>
      </c>
      <c r="DP281" s="0" t="n">
        <v>20</v>
      </c>
      <c r="DQ281" s="0" t="n">
        <v>8</v>
      </c>
      <c r="DR281" s="0" t="n">
        <v>5</v>
      </c>
      <c r="DS281" s="0" t="n">
        <v>7</v>
      </c>
      <c r="DT281" s="0" t="n">
        <v>0</v>
      </c>
      <c r="DU281" s="0" t="n">
        <f aca="false">IF($A281="","",IF(R281="Y",10,0))</f>
        <v>0</v>
      </c>
      <c r="DV281" s="0" t="n">
        <v>-4</v>
      </c>
      <c r="DW281" s="0" t="s">
        <v>209</v>
      </c>
      <c r="DX281" s="0" t="s">
        <v>6462</v>
      </c>
      <c r="DY281" s="0" t="s">
        <v>11718</v>
      </c>
      <c r="DZ281" s="0" t="s">
        <v>11719</v>
      </c>
      <c r="EV281" s="0" t="str">
        <f aca="false">IF($A281="","",IF(ISNUMBER(MATCH(U281,{"queued","contacted","replied","call_booked","call_done","yes_in_principle","materials_sent"},0)),"Y","N"))</f>
        <v>N</v>
      </c>
      <c r="EW281" s="0" t="str">
        <f aca="false">IF($A281="","",IF(OR(T281="Y",U281="do_not_contact",AQ281&amp;""&lt;&gt;""),"Y","N"))</f>
        <v>N</v>
      </c>
      <c r="EX281" s="0" t="str">
        <f aca="false">IF($A281="","",IF(AN281&amp;""&lt;&gt;"",AN281&amp;"",$A281))</f>
        <v>AB-190</v>
      </c>
      <c r="EY281" s="0" t="str">
        <f aca="false">IF($A281="","",IF(COUNTIFS($EX$2:$EX$1000,EX281,$EV$2:$EV$1000,"Y")+COUNTIFS($EX$2:$EX$1000,EX281,$EW$2:$EW$1000,"Y")&gt;0,"Y","N"))</f>
        <v>N</v>
      </c>
      <c r="EZ281" s="0" t="str">
        <f aca="false">IF($A281="","",IF(AND(U281="new",T281="N",EW281="N",AR281="Y",EY281="N"),"Y","N"))</f>
        <v>N</v>
      </c>
      <c r="FA281" s="0" t="str">
        <f aca="false">IF($A281="","",IF(EZ281&lt;&gt;"Y","N",IF(COUNTIFS($EX$2:$EX$1000,EX281,$EZ$2:$EZ$1000,"Y",$J$2:$J$1000,"&gt;"&amp;J281)+COUNTIFS($EX$2:$EX$1000,EX281,$EZ$2:$EZ$1000,"Y",$J$2:$J$1000,J281,$FG$2:$FG$1000,"&lt;"&amp;FG281)=0,"Y","N")))</f>
        <v>N</v>
      </c>
      <c r="FB281" s="0" t="str">
        <f aca="false">IF($A281="","",IF(AND(EZ281="Y",FA281="Y",Y281&amp;""&lt;&gt;""),IF(Y281&lt;=10,"Y","N"),"N"))</f>
        <v>N</v>
      </c>
      <c r="FC281" s="0" t="str">
        <f aca="false">IF(FB281="Y",Y281,"")</f>
        <v/>
      </c>
      <c r="FD281" s="0" t="str">
        <f aca="false">IF($A281="","",IF(AND(CK281="pass",AU281="Y",AV281&lt;&gt;"Y",U281="new",EW281="N"),"Y","N"))</f>
        <v>N</v>
      </c>
      <c r="FE281" s="0" t="str">
        <f aca="false">IF(FD281&lt;&gt;"Y","",IF(COUNTIFS($FD$2:$FD$1000,"Y",$J$2:$J$1000,"&gt;"&amp;J281)+COUNTIFS($FD$2:$FD$1000,"Y",$J$2:$J$1000,J281,$FG$2:$FG$1000,"&lt;"&amp;FG281)+1&lt;=30,COUNTIFS($FD$2:$FD$1000,"Y",$J$2:$J$1000,"&gt;"&amp;J281)+COUNTIFS($FD$2:$FD$1000,"Y",$J$2:$J$1000,J281,$FG$2:$FG$1000,"&lt;"&amp;FG281)+1,""))</f>
        <v/>
      </c>
      <c r="FF281" s="0" t="str">
        <f aca="false">IF(AND(_xlfn.ISFORMULA(C281),_xlfn.ISFORMULA(J281)),"Y","N")</f>
        <v>Y</v>
      </c>
      <c r="FG281" s="0" t="n">
        <f aca="false">ROW()-1</f>
        <v>280</v>
      </c>
    </row>
    <row r="282" customFormat="false" ht="15" hidden="false" customHeight="false" outlineLevel="0" collapsed="false">
      <c r="A282" s="0" t="s">
        <v>11720</v>
      </c>
      <c r="B282" s="0" t="s">
        <v>11721</v>
      </c>
      <c r="C282" s="0" t="str">
        <f aca="false">IF($A282="","",IF(AT282="Y",BL282&amp;"",AY282&amp;""))</f>
        <v/>
      </c>
      <c r="D282" s="0" t="str">
        <f aca="false">IF($A282="","",IF(AT282="Y",BM282&amp;"",AZ282&amp;""))</f>
        <v/>
      </c>
      <c r="E282" s="0" t="str">
        <f aca="false">IF($A282="","",IF(AT282="Y",BN282&amp;"",BA282&amp;""))</f>
        <v/>
      </c>
      <c r="F282" s="0" t="str">
        <f aca="false">IF($A282="","",IF(AT282="Y",BO282&amp;"",BB282&amp;""))</f>
        <v/>
      </c>
      <c r="G282" s="0" t="str">
        <f aca="false">IF($A282="","",IF(AT282="Y",BP282&amp;"",BC282&amp;""))</f>
        <v/>
      </c>
      <c r="H282" s="0" t="str">
        <f aca="false">IF($A282="","",IF(AT282="Y",BQ282&amp;"",BD282&amp;""))</f>
        <v>none</v>
      </c>
      <c r="I282" s="0" t="str">
        <f aca="false">IF($A282="","",IF(R282="Y","warm-intro",IF(H282="verified","email",IF(C282&lt;&gt;"","linkedin",CA282&amp;""))))</f>
        <v/>
      </c>
      <c r="J282" s="0" t="n">
        <f aca="false">IF($A282="","",IF(CK282="pass",ROUND(N(DO282)+N(DP282)+N(DQ282)+N(DR282)+N(DS282)+N(DT282)+N(DU282)+N(DV282),0),0))</f>
        <v>0</v>
      </c>
      <c r="K282" s="0" t="str">
        <f aca="false">IF($A282="","",IF(CK282&lt;&gt;"pass",BY282&amp;"",BY282&amp;", "&amp;IF(AT282="Y",BX282&amp;"",BK282&amp;"")&amp;BZ282&amp;IF(R282="Y","; known to the founder (+10)","")&amp;"."))</f>
        <v>Gated out: health-claim: Explicit health claims on the website: 'reduces bloating', 'improve digestion', 'natural antacid', maple syrup 'can help support brain health'.</v>
      </c>
      <c r="M282" s="0" t="s">
        <v>6144</v>
      </c>
      <c r="N282" s="0" t="s">
        <v>740</v>
      </c>
      <c r="O282" s="0" t="s">
        <v>11722</v>
      </c>
      <c r="P282" s="0" t="s">
        <v>6499</v>
      </c>
      <c r="Q282" s="0" t="s">
        <v>2985</v>
      </c>
      <c r="R282" s="5" t="s">
        <v>189</v>
      </c>
      <c r="S282" s="0" t="s">
        <v>164</v>
      </c>
      <c r="T282" s="5" t="s">
        <v>189</v>
      </c>
      <c r="U282" s="5" t="s">
        <v>3896</v>
      </c>
      <c r="V282" s="0" t="s">
        <v>6499</v>
      </c>
      <c r="W282" s="0" t="s">
        <v>172</v>
      </c>
      <c r="X282" s="0" t="s">
        <v>5578</v>
      </c>
      <c r="Y282" s="0" t="str">
        <f aca="false">IF(FA282&lt;&gt;"Y","",COUNTIFS($FA$2:$FA$1000,"Y",$J$2:$J$1000,"&gt;"&amp;J282)+COUNTIFS($FA$2:$FA$1000,"Y",$J$2:$J$1000,J282,$FG$2:$FG$1000,"&lt;"&amp;FG282)+1)</f>
        <v/>
      </c>
      <c r="AA282" s="0" t="s">
        <v>189</v>
      </c>
      <c r="AB282" s="0" t="str">
        <f aca="false">IF($A282="","",IF(AT282="Y",BW282&amp;"",BJ282&amp;""))</f>
        <v/>
      </c>
      <c r="AC282" s="0" t="str">
        <f aca="false">IF($A282="","",IF(AT282="Y",BR282&amp;"",BE282&amp;""))</f>
        <v/>
      </c>
      <c r="AD282" s="0" t="str">
        <f aca="false">IF($A282="","",IF(AT282="Y",BS282&amp;"",BF282&amp;""))</f>
        <v>none</v>
      </c>
      <c r="AE282" s="0" t="str">
        <f aca="false">IF($A282="","",IF(AT282="Y",BT282&amp;"",BG282&amp;""))</f>
        <v/>
      </c>
      <c r="AF282" s="0" t="str">
        <f aca="false">IF($A282="","",IF(AT282="Y",BU282&amp;"",BH282&amp;""))</f>
        <v/>
      </c>
      <c r="AG282" s="0" t="str">
        <f aca="false">IF($A282="","",IF(AT282="Y",BV282&amp;"",BI282&amp;""))</f>
        <v/>
      </c>
      <c r="AH282" s="0" t="s">
        <v>11723</v>
      </c>
      <c r="AI282" s="0" t="s">
        <v>6042</v>
      </c>
      <c r="AJ282" s="0" t="s">
        <v>7158</v>
      </c>
      <c r="AK282" s="0" t="s">
        <v>11724</v>
      </c>
      <c r="AL282" s="0" t="s">
        <v>189</v>
      </c>
      <c r="AN282" s="0" t="s">
        <v>11720</v>
      </c>
      <c r="AO282" s="5" t="s">
        <v>189</v>
      </c>
      <c r="AR282" s="0" t="str">
        <f aca="false">IF($A282="","",IF(AND(CK282="pass",AO282&lt;&gt;"Y",C282&lt;&gt;"",OR(AU282&lt;&gt;"Y",AV282="Y")),"Y","N"))</f>
        <v>N</v>
      </c>
      <c r="AS282" s="0" t="str">
        <f aca="false">IF($A282="","",_xlfn.TEXTJOIN("; ",TRUE(),IF(CK282&lt;&gt;"pass","gated out",""),IF(AO282="Y","on hold: "&amp;AP282,""),IF(C282="","no contact named on an opened page",""),IF(AND(AU282="Y",AV282&lt;&gt;"Y"),"founder review pending (Founder review tab)","")))</f>
        <v>gated out; no contact named on an opened page</v>
      </c>
      <c r="AU282" s="0" t="s">
        <v>189</v>
      </c>
      <c r="BC282" s="0" t="str">
        <f aca="false">IF($A282="","",IFERROR(INDEX(Enrichment!$A$2:$GZ$2000,MATCH($A282,INDEX(Enrichment!$A$2:$GZ$2000,0,MATCH("row_id",Enrichment!$A$1:$GZ$1,0)),0),MATCH("work_email",Enrichment!$A$1:$GZ$1,0))&amp;"",""))</f>
        <v/>
      </c>
      <c r="BD282" s="0" t="str">
        <f aca="false">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none</v>
      </c>
      <c r="BF282" s="0" t="s">
        <v>380</v>
      </c>
      <c r="BK282" s="0" t="s">
        <v>6048</v>
      </c>
      <c r="BP282" s="0" t="str">
        <f aca="false">IF($A282="","",IFERROR(INDEX(Enrichment!$A$2:$GZ$2000,MATCH($A282,INDEX(Enrichment!$A$2:$GZ$2000,0,MATCH("row_id",Enrichment!$A$1:$GZ$1,0)),0),MATCH("backup_work_email",Enrichment!$A$1:$GZ$1,0))&amp;"",""))</f>
        <v/>
      </c>
      <c r="BQ282" s="0" t="str">
        <f aca="false">IF($A282="","",IF(BP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none</v>
      </c>
      <c r="BS282" s="0" t="s">
        <v>380</v>
      </c>
      <c r="BX282" s="0" t="s">
        <v>388</v>
      </c>
      <c r="BY282" s="0" t="s">
        <v>11725</v>
      </c>
      <c r="CJ282" s="0" t="s">
        <v>7088</v>
      </c>
      <c r="CK282" s="0" t="s">
        <v>4627</v>
      </c>
      <c r="CL282" s="0" t="s">
        <v>10005</v>
      </c>
      <c r="CM282" s="0" t="s">
        <v>11726</v>
      </c>
      <c r="CO282" s="0" t="s">
        <v>11724</v>
      </c>
      <c r="CP282" s="0" t="s">
        <v>5608</v>
      </c>
      <c r="CQ282" s="0" t="s">
        <v>5870</v>
      </c>
      <c r="CR282" s="0" t="s">
        <v>209</v>
      </c>
      <c r="CT282" s="0" t="s">
        <v>164</v>
      </c>
      <c r="CU282" s="0" t="s">
        <v>11727</v>
      </c>
      <c r="CV282" s="0" t="s">
        <v>164</v>
      </c>
      <c r="CW282" s="0" t="s">
        <v>164</v>
      </c>
      <c r="CX282" s="0" t="s">
        <v>209</v>
      </c>
      <c r="CZ282" s="0" t="s">
        <v>5993</v>
      </c>
      <c r="DA282" s="0" t="s">
        <v>164</v>
      </c>
      <c r="DB282" s="0" t="s">
        <v>164</v>
      </c>
      <c r="DC282" s="0" t="s">
        <v>11728</v>
      </c>
      <c r="DE282" s="0" t="s">
        <v>189</v>
      </c>
      <c r="DF282" s="0" t="n">
        <v>0</v>
      </c>
      <c r="DI282" s="0" t="s">
        <v>209</v>
      </c>
      <c r="DK282" s="0" t="s">
        <v>5617</v>
      </c>
      <c r="DL282" s="0" t="n">
        <v>5</v>
      </c>
      <c r="DM282" s="0" t="s">
        <v>11729</v>
      </c>
      <c r="DN282" s="0" t="n">
        <v>49</v>
      </c>
      <c r="DO282" s="0" t="n">
        <v>6</v>
      </c>
      <c r="DP282" s="0" t="n">
        <v>13</v>
      </c>
      <c r="DQ282" s="0" t="n">
        <v>15</v>
      </c>
      <c r="DR282" s="0" t="n">
        <v>5</v>
      </c>
      <c r="DS282" s="0" t="n">
        <v>10</v>
      </c>
      <c r="DT282" s="0" t="n">
        <v>0</v>
      </c>
      <c r="DU282" s="0" t="n">
        <f aca="false">IF($A282="","",IF(R282="Y",10,0))</f>
        <v>0</v>
      </c>
      <c r="DV282" s="0" t="n">
        <v>0</v>
      </c>
      <c r="DW282" s="0" t="s">
        <v>11730</v>
      </c>
      <c r="DX282" s="0" t="s">
        <v>5998</v>
      </c>
      <c r="DY282" s="0" t="s">
        <v>11731</v>
      </c>
      <c r="DZ282" s="0" t="s">
        <v>11732</v>
      </c>
      <c r="EV282" s="0" t="str">
        <f aca="false">IF($A282="","",IF(ISNUMBER(MATCH(U282,{"queued","contacted","replied","call_booked","call_done","yes_in_principle","materials_sent"},0)),"Y","N"))</f>
        <v>N</v>
      </c>
      <c r="EW282" s="0" t="str">
        <f aca="false">IF($A282="","",IF(OR(T282="Y",U282="do_not_contact",AQ282&amp;""&lt;&gt;""),"Y","N"))</f>
        <v>N</v>
      </c>
      <c r="EX282" s="0" t="str">
        <f aca="false">IF($A282="","",IF(AN282&amp;""&lt;&gt;"",AN282&amp;"",$A282))</f>
        <v>AB-303</v>
      </c>
      <c r="EY282" s="0" t="str">
        <f aca="false">IF($A282="","",IF(COUNTIFS($EX$2:$EX$1000,EX282,$EV$2:$EV$1000,"Y")+COUNTIFS($EX$2:$EX$1000,EX282,$EW$2:$EW$1000,"Y")&gt;0,"Y","N"))</f>
        <v>N</v>
      </c>
      <c r="EZ282" s="0" t="str">
        <f aca="false">IF($A282="","",IF(AND(U282="new",T282="N",EW282="N",AR282="Y",EY282="N"),"Y","N"))</f>
        <v>N</v>
      </c>
      <c r="FA282" s="0" t="str">
        <f aca="false">IF($A282="","",IF(EZ282&lt;&gt;"Y","N",IF(COUNTIFS($EX$2:$EX$1000,EX282,$EZ$2:$EZ$1000,"Y",$J$2:$J$1000,"&gt;"&amp;J282)+COUNTIFS($EX$2:$EX$1000,EX282,$EZ$2:$EZ$1000,"Y",$J$2:$J$1000,J282,$FG$2:$FG$1000,"&lt;"&amp;FG282)=0,"Y","N")))</f>
        <v>N</v>
      </c>
      <c r="FB282" s="0" t="str">
        <f aca="false">IF($A282="","",IF(AND(EZ282="Y",FA282="Y",Y282&amp;""&lt;&gt;""),IF(Y282&lt;=10,"Y","N"),"N"))</f>
        <v>N</v>
      </c>
      <c r="FC282" s="0" t="str">
        <f aca="false">IF(FB282="Y",Y282,"")</f>
        <v/>
      </c>
      <c r="FD282" s="0" t="str">
        <f aca="false">IF($A282="","",IF(AND(CK282="pass",AU282="Y",AV282&lt;&gt;"Y",U282="new",EW282="N"),"Y","N"))</f>
        <v>N</v>
      </c>
      <c r="FE282" s="0" t="str">
        <f aca="false">IF(FD282&lt;&gt;"Y","",IF(COUNTIFS($FD$2:$FD$1000,"Y",$J$2:$J$1000,"&gt;"&amp;J282)+COUNTIFS($FD$2:$FD$1000,"Y",$J$2:$J$1000,J282,$FG$2:$FG$1000,"&lt;"&amp;FG282)+1&lt;=30,COUNTIFS($FD$2:$FD$1000,"Y",$J$2:$J$1000,"&gt;"&amp;J282)+COUNTIFS($FD$2:$FD$1000,"Y",$J$2:$J$1000,J282,$FG$2:$FG$1000,"&lt;"&amp;FG282)+1,""))</f>
        <v/>
      </c>
      <c r="FF282" s="0" t="str">
        <f aca="false">IF(AND(_xlfn.ISFORMULA(C282),_xlfn.ISFORMULA(J282)),"Y","N")</f>
        <v>Y</v>
      </c>
      <c r="FG282" s="0" t="n">
        <f aca="false">ROW()-1</f>
        <v>281</v>
      </c>
    </row>
    <row r="283" customFormat="false" ht="15" hidden="false" customHeight="false" outlineLevel="0" collapsed="false">
      <c r="A283" s="0" t="s">
        <v>11733</v>
      </c>
      <c r="B283" s="0" t="s">
        <v>11734</v>
      </c>
      <c r="C283" s="0" t="str">
        <f aca="false">IF($A283="","",IF(AT283="Y",BL283&amp;"",AY283&amp;""))</f>
        <v/>
      </c>
      <c r="D283" s="0" t="str">
        <f aca="false">IF($A283="","",IF(AT283="Y",BM283&amp;"",AZ283&amp;""))</f>
        <v/>
      </c>
      <c r="E283" s="0" t="str">
        <f aca="false">IF($A283="","",IF(AT283="Y",BN283&amp;"",BA283&amp;""))</f>
        <v/>
      </c>
      <c r="F283" s="0" t="str">
        <f aca="false">IF($A283="","",IF(AT283="Y",BO283&amp;"",BB283&amp;""))</f>
        <v/>
      </c>
      <c r="G283" s="0" t="str">
        <f aca="false">IF($A283="","",IF(AT283="Y",BP283&amp;"",BC283&amp;""))</f>
        <v/>
      </c>
      <c r="H283" s="0" t="str">
        <f aca="false">IF($A283="","",IF(AT283="Y",BQ283&amp;"",BD283&amp;""))</f>
        <v>none</v>
      </c>
      <c r="I283" s="0" t="str">
        <f aca="false">IF($A283="","",IF(R283="Y","warm-intro",IF(H283="verified","email",IF(C283&lt;&gt;"","linkedin",CA283&amp;""))))</f>
        <v/>
      </c>
      <c r="J283" s="0" t="n">
        <f aca="false">IF($A283="","",IF(CK283="pass",ROUND(N(DO283)+N(DP283)+N(DQ283)+N(DR283)+N(DS283)+N(DT283)+N(DU283)+N(DV283),0),0))</f>
        <v>0</v>
      </c>
      <c r="K283" s="0" t="str">
        <f aca="false">IF($A283="","",IF(CK283&lt;&gt;"pass",BY283&amp;"",BY283&amp;", "&amp;IF(AT283="Y",BX283&amp;"",BK283&amp;"")&amp;BZ283&amp;IF(R283="Y","; known to the founder (+10)","")&amp;"."))</f>
        <v>Gated out: excluded-category: Needs preparation (baking mixes).</v>
      </c>
      <c r="M283" s="0" t="s">
        <v>6144</v>
      </c>
      <c r="N283" s="0" t="s">
        <v>740</v>
      </c>
      <c r="O283" s="0" t="s">
        <v>11735</v>
      </c>
      <c r="P283" s="0" t="s">
        <v>6499</v>
      </c>
      <c r="Q283" s="0" t="s">
        <v>2985</v>
      </c>
      <c r="R283" s="5" t="s">
        <v>189</v>
      </c>
      <c r="S283" s="0" t="s">
        <v>164</v>
      </c>
      <c r="T283" s="5" t="s">
        <v>189</v>
      </c>
      <c r="U283" s="5" t="s">
        <v>3896</v>
      </c>
      <c r="V283" s="0" t="s">
        <v>11736</v>
      </c>
      <c r="W283" s="0" t="s">
        <v>172</v>
      </c>
      <c r="X283" s="0" t="s">
        <v>5578</v>
      </c>
      <c r="Y283" s="0" t="str">
        <f aca="false">IF(FA283&lt;&gt;"Y","",COUNTIFS($FA$2:$FA$1000,"Y",$J$2:$J$1000,"&gt;"&amp;J283)+COUNTIFS($FA$2:$FA$1000,"Y",$J$2:$J$1000,J283,$FG$2:$FG$1000,"&lt;"&amp;FG283)+1)</f>
        <v/>
      </c>
      <c r="AA283" s="0" t="s">
        <v>189</v>
      </c>
      <c r="AB283" s="0" t="str">
        <f aca="false">IF($A283="","",IF(AT283="Y",BW283&amp;"",BJ283&amp;""))</f>
        <v/>
      </c>
      <c r="AC283" s="0" t="str">
        <f aca="false">IF($A283="","",IF(AT283="Y",BR283&amp;"",BE283&amp;""))</f>
        <v/>
      </c>
      <c r="AD283" s="0" t="str">
        <f aca="false">IF($A283="","",IF(AT283="Y",BS283&amp;"",BF283&amp;""))</f>
        <v>none</v>
      </c>
      <c r="AE283" s="0" t="str">
        <f aca="false">IF($A283="","",IF(AT283="Y",BT283&amp;"",BG283&amp;""))</f>
        <v/>
      </c>
      <c r="AF283" s="0" t="str">
        <f aca="false">IF($A283="","",IF(AT283="Y",BU283&amp;"",BH283&amp;""))</f>
        <v/>
      </c>
      <c r="AG283" s="0" t="str">
        <f aca="false">IF($A283="","",IF(AT283="Y",BV283&amp;"",BI283&amp;""))</f>
        <v/>
      </c>
      <c r="AH283" s="0" t="s">
        <v>11737</v>
      </c>
      <c r="AI283" s="0" t="s">
        <v>5702</v>
      </c>
      <c r="AJ283" s="0" t="s">
        <v>6149</v>
      </c>
      <c r="AK283" s="0" t="s">
        <v>11738</v>
      </c>
      <c r="AL283" s="0" t="s">
        <v>164</v>
      </c>
      <c r="AM283" s="0" t="s">
        <v>7540</v>
      </c>
      <c r="AN283" s="0" t="s">
        <v>11733</v>
      </c>
      <c r="AO283" s="5" t="s">
        <v>189</v>
      </c>
      <c r="AR283" s="0" t="str">
        <f aca="false">IF($A283="","",IF(AND(CK283="pass",AO283&lt;&gt;"Y",C283&lt;&gt;"",OR(AU283&lt;&gt;"Y",AV283="Y")),"Y","N"))</f>
        <v>N</v>
      </c>
      <c r="AS283" s="0" t="str">
        <f aca="false">IF($A283="","",_xlfn.TEXTJOIN("; ",TRUE(),IF(CK283&lt;&gt;"pass","gated out",""),IF(AO283="Y","on hold: "&amp;AP283,""),IF(C283="","no contact named on an opened page",""),IF(AND(AU283="Y",AV283&lt;&gt;"Y"),"founder review pending (Founder review tab)","")))</f>
        <v>gated out; no contact named on an opened page; founder review pending (Founder review tab)</v>
      </c>
      <c r="AU283" s="0" t="s">
        <v>164</v>
      </c>
      <c r="BC283" s="0" t="str">
        <f aca="false">IF($A283="","",IFERROR(INDEX(Enrichment!$A$2:$GZ$2000,MATCH($A283,INDEX(Enrichment!$A$2:$GZ$2000,0,MATCH("row_id",Enrichment!$A$1:$GZ$1,0)),0),MATCH("work_email",Enrichment!$A$1:$GZ$1,0))&amp;"",""))</f>
        <v/>
      </c>
      <c r="BD283" s="0" t="str">
        <f aca="false">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none</v>
      </c>
      <c r="BF283" s="0" t="s">
        <v>380</v>
      </c>
      <c r="BK283" s="0" t="s">
        <v>6048</v>
      </c>
      <c r="BP283" s="0" t="str">
        <f aca="false">IF($A283="","",IFERROR(INDEX(Enrichment!$A$2:$GZ$2000,MATCH($A283,INDEX(Enrichment!$A$2:$GZ$2000,0,MATCH("row_id",Enrichment!$A$1:$GZ$1,0)),0),MATCH("backup_work_email",Enrichment!$A$1:$GZ$1,0))&amp;"",""))</f>
        <v/>
      </c>
      <c r="BQ283" s="0" t="str">
        <f aca="false">IF($A283="","",IF(BP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none</v>
      </c>
      <c r="BS283" s="0" t="s">
        <v>380</v>
      </c>
      <c r="BX283" s="0" t="s">
        <v>388</v>
      </c>
      <c r="BY283" s="0" t="s">
        <v>11739</v>
      </c>
      <c r="CJ283" s="0" t="s">
        <v>7088</v>
      </c>
      <c r="CK283" s="0" t="s">
        <v>4627</v>
      </c>
      <c r="CL283" s="0" t="s">
        <v>10864</v>
      </c>
      <c r="CM283" s="0" t="s">
        <v>11740</v>
      </c>
      <c r="CN283" s="0" t="s">
        <v>5808</v>
      </c>
      <c r="CO283" s="0" t="s">
        <v>11738</v>
      </c>
      <c r="CP283" s="0" t="s">
        <v>5608</v>
      </c>
      <c r="CQ283" s="0" t="s">
        <v>5609</v>
      </c>
      <c r="CR283" s="0" t="s">
        <v>209</v>
      </c>
      <c r="CT283" s="0" t="s">
        <v>164</v>
      </c>
      <c r="CU283" s="0" t="s">
        <v>11741</v>
      </c>
      <c r="CV283" s="0" t="s">
        <v>189</v>
      </c>
      <c r="CW283" s="0" t="s">
        <v>164</v>
      </c>
      <c r="CX283" s="0" t="s">
        <v>209</v>
      </c>
      <c r="CZ283" s="0" t="s">
        <v>5993</v>
      </c>
      <c r="DA283" s="0" t="s">
        <v>189</v>
      </c>
      <c r="DB283" s="0" t="s">
        <v>164</v>
      </c>
      <c r="DC283" s="0" t="s">
        <v>11742</v>
      </c>
      <c r="DE283" s="0" t="s">
        <v>189</v>
      </c>
      <c r="DF283" s="0" t="n">
        <v>0</v>
      </c>
      <c r="DI283" s="0" t="s">
        <v>209</v>
      </c>
      <c r="DK283" s="0" t="s">
        <v>5617</v>
      </c>
      <c r="DL283" s="0" t="n">
        <v>5</v>
      </c>
      <c r="DM283" s="0" t="s">
        <v>6470</v>
      </c>
      <c r="DN283" s="0" t="n">
        <v>49</v>
      </c>
      <c r="DO283" s="0" t="n">
        <v>6</v>
      </c>
      <c r="DP283" s="0" t="n">
        <v>20</v>
      </c>
      <c r="DQ283" s="0" t="n">
        <v>15</v>
      </c>
      <c r="DR283" s="0" t="n">
        <v>5</v>
      </c>
      <c r="DS283" s="0" t="n">
        <v>7</v>
      </c>
      <c r="DT283" s="0" t="n">
        <v>0</v>
      </c>
      <c r="DU283" s="0" t="n">
        <f aca="false">IF($A283="","",IF(R283="Y",10,0))</f>
        <v>0</v>
      </c>
      <c r="DV283" s="0" t="n">
        <v>-4</v>
      </c>
      <c r="DW283" s="0" t="s">
        <v>11743</v>
      </c>
      <c r="DX283" s="0" t="s">
        <v>5998</v>
      </c>
      <c r="DY283" s="0" t="s">
        <v>11744</v>
      </c>
      <c r="DZ283" s="0" t="s">
        <v>11745</v>
      </c>
      <c r="EV283" s="0" t="str">
        <f aca="false">IF($A283="","",IF(ISNUMBER(MATCH(U283,{"queued","contacted","replied","call_booked","call_done","yes_in_principle","materials_sent"},0)),"Y","N"))</f>
        <v>N</v>
      </c>
      <c r="EW283" s="0" t="str">
        <f aca="false">IF($A283="","",IF(OR(T283="Y",U283="do_not_contact",AQ283&amp;""&lt;&gt;""),"Y","N"))</f>
        <v>N</v>
      </c>
      <c r="EX283" s="0" t="str">
        <f aca="false">IF($A283="","",IF(AN283&amp;""&lt;&gt;"",AN283&amp;"",$A283))</f>
        <v>AB-304</v>
      </c>
      <c r="EY283" s="0" t="str">
        <f aca="false">IF($A283="","",IF(COUNTIFS($EX$2:$EX$1000,EX283,$EV$2:$EV$1000,"Y")+COUNTIFS($EX$2:$EX$1000,EX283,$EW$2:$EW$1000,"Y")&gt;0,"Y","N"))</f>
        <v>N</v>
      </c>
      <c r="EZ283" s="0" t="str">
        <f aca="false">IF($A283="","",IF(AND(U283="new",T283="N",EW283="N",AR283="Y",EY283="N"),"Y","N"))</f>
        <v>N</v>
      </c>
      <c r="FA283" s="0" t="str">
        <f aca="false">IF($A283="","",IF(EZ283&lt;&gt;"Y","N",IF(COUNTIFS($EX$2:$EX$1000,EX283,$EZ$2:$EZ$1000,"Y",$J$2:$J$1000,"&gt;"&amp;J283)+COUNTIFS($EX$2:$EX$1000,EX283,$EZ$2:$EZ$1000,"Y",$J$2:$J$1000,J283,$FG$2:$FG$1000,"&lt;"&amp;FG283)=0,"Y","N")))</f>
        <v>N</v>
      </c>
      <c r="FB283" s="0" t="str">
        <f aca="false">IF($A283="","",IF(AND(EZ283="Y",FA283="Y",Y283&amp;""&lt;&gt;""),IF(Y283&lt;=10,"Y","N"),"N"))</f>
        <v>N</v>
      </c>
      <c r="FC283" s="0" t="str">
        <f aca="false">IF(FB283="Y",Y283,"")</f>
        <v/>
      </c>
      <c r="FD283" s="0" t="str">
        <f aca="false">IF($A283="","",IF(AND(CK283="pass",AU283="Y",AV283&lt;&gt;"Y",U283="new",EW283="N"),"Y","N"))</f>
        <v>N</v>
      </c>
      <c r="FE283" s="0" t="str">
        <f aca="false">IF(FD283&lt;&gt;"Y","",IF(COUNTIFS($FD$2:$FD$1000,"Y",$J$2:$J$1000,"&gt;"&amp;J283)+COUNTIFS($FD$2:$FD$1000,"Y",$J$2:$J$1000,J283,$FG$2:$FG$1000,"&lt;"&amp;FG283)+1&lt;=30,COUNTIFS($FD$2:$FD$1000,"Y",$J$2:$J$1000,"&gt;"&amp;J283)+COUNTIFS($FD$2:$FD$1000,"Y",$J$2:$J$1000,J283,$FG$2:$FG$1000,"&lt;"&amp;FG283)+1,""))</f>
        <v/>
      </c>
      <c r="FF283" s="0" t="str">
        <f aca="false">IF(AND(_xlfn.ISFORMULA(C283),_xlfn.ISFORMULA(J283)),"Y","N")</f>
        <v>Y</v>
      </c>
      <c r="FG283" s="0" t="n">
        <f aca="false">ROW()-1</f>
        <v>282</v>
      </c>
    </row>
    <row r="284" customFormat="false" ht="15" hidden="false" customHeight="false" outlineLevel="0" collapsed="false">
      <c r="A284" s="0" t="s">
        <v>11746</v>
      </c>
      <c r="B284" s="0" t="s">
        <v>11747</v>
      </c>
      <c r="C284" s="0" t="str">
        <f aca="false">IF($A284="","",IF(AT284="Y",BL284&amp;"",AY284&amp;""))</f>
        <v/>
      </c>
      <c r="D284" s="0" t="str">
        <f aca="false">IF($A284="","",IF(AT284="Y",BM284&amp;"",AZ284&amp;""))</f>
        <v/>
      </c>
      <c r="E284" s="0" t="str">
        <f aca="false">IF($A284="","",IF(AT284="Y",BN284&amp;"",BA284&amp;""))</f>
        <v/>
      </c>
      <c r="F284" s="0" t="str">
        <f aca="false">IF($A284="","",IF(AT284="Y",BO284&amp;"",BB284&amp;""))</f>
        <v/>
      </c>
      <c r="G284" s="0" t="str">
        <f aca="false">IF($A284="","",IF(AT284="Y",BP284&amp;"",BC284&amp;""))</f>
        <v/>
      </c>
      <c r="H284" s="0" t="str">
        <f aca="false">IF($A284="","",IF(AT284="Y",BQ284&amp;"",BD284&amp;""))</f>
        <v>none</v>
      </c>
      <c r="I284" s="0" t="str">
        <f aca="false">IF($A284="","",IF(R284="Y","warm-intro",IF(H284="verified","email",IF(C284&lt;&gt;"","linkedin",CA284&amp;""))))</f>
        <v/>
      </c>
      <c r="J284" s="0" t="n">
        <f aca="false">IF($A284="","",IF(CK284="pass",ROUND(N(DO284)+N(DP284)+N(DQ284)+N(DR284)+N(DS284)+N(DT284)+N(DU284)+N(DV284),0),0))</f>
        <v>0</v>
      </c>
      <c r="K284" s="0" t="str">
        <f aca="false">IF($A284="","",IF(CK284&lt;&gt;"pass",BY284&amp;"",BY284&amp;", "&amp;IF(AT284="Y",BX284&amp;"",BK284&amp;"")&amp;BZ284&amp;IF(R284="Y","; known to the founder (+10)","")&amp;"."))</f>
        <v>Gated out: health-claim: Website calls the tea 'immune boosting' (structure-function claim).</v>
      </c>
      <c r="M284" s="0" t="s">
        <v>6144</v>
      </c>
      <c r="N284" s="0" t="s">
        <v>740</v>
      </c>
      <c r="O284" s="0" t="s">
        <v>11748</v>
      </c>
      <c r="P284" s="0" t="s">
        <v>11749</v>
      </c>
      <c r="Q284" s="0" t="s">
        <v>5980</v>
      </c>
      <c r="R284" s="5" t="s">
        <v>189</v>
      </c>
      <c r="S284" s="0" t="s">
        <v>209</v>
      </c>
      <c r="T284" s="5" t="s">
        <v>189</v>
      </c>
      <c r="U284" s="5" t="s">
        <v>3896</v>
      </c>
      <c r="V284" s="0" t="s">
        <v>11749</v>
      </c>
      <c r="W284" s="0" t="s">
        <v>172</v>
      </c>
      <c r="X284" s="0" t="s">
        <v>5578</v>
      </c>
      <c r="Y284" s="0" t="str">
        <f aca="false">IF(FA284&lt;&gt;"Y","",COUNTIFS($FA$2:$FA$1000,"Y",$J$2:$J$1000,"&gt;"&amp;J284)+COUNTIFS($FA$2:$FA$1000,"Y",$J$2:$J$1000,J284,$FG$2:$FG$1000,"&lt;"&amp;FG284)+1)</f>
        <v/>
      </c>
      <c r="AA284" s="0" t="s">
        <v>189</v>
      </c>
      <c r="AB284" s="0" t="str">
        <f aca="false">IF($A284="","",IF(AT284="Y",BW284&amp;"",BJ284&amp;""))</f>
        <v/>
      </c>
      <c r="AC284" s="0" t="str">
        <f aca="false">IF($A284="","",IF(AT284="Y",BR284&amp;"",BE284&amp;""))</f>
        <v/>
      </c>
      <c r="AD284" s="0" t="str">
        <f aca="false">IF($A284="","",IF(AT284="Y",BS284&amp;"",BF284&amp;""))</f>
        <v>none</v>
      </c>
      <c r="AE284" s="0" t="str">
        <f aca="false">IF($A284="","",IF(AT284="Y",BT284&amp;"",BG284&amp;""))</f>
        <v/>
      </c>
      <c r="AF284" s="0" t="str">
        <f aca="false">IF($A284="","",IF(AT284="Y",BU284&amp;"",BH284&amp;""))</f>
        <v/>
      </c>
      <c r="AG284" s="0" t="str">
        <f aca="false">IF($A284="","",IF(AT284="Y",BV284&amp;"",BI284&amp;""))</f>
        <v/>
      </c>
      <c r="AH284" s="0" t="s">
        <v>11750</v>
      </c>
      <c r="AI284" s="0" t="s">
        <v>6621</v>
      </c>
      <c r="AJ284" s="0" t="s">
        <v>6065</v>
      </c>
      <c r="AK284" s="0" t="s">
        <v>11751</v>
      </c>
      <c r="AL284" s="0" t="s">
        <v>164</v>
      </c>
      <c r="AM284" s="0" t="s">
        <v>11752</v>
      </c>
      <c r="AN284" s="0" t="s">
        <v>11746</v>
      </c>
      <c r="AO284" s="5" t="s">
        <v>189</v>
      </c>
      <c r="AR284" s="0" t="str">
        <f aca="false">IF($A284="","",IF(AND(CK284="pass",AO284&lt;&gt;"Y",C284&lt;&gt;"",OR(AU284&lt;&gt;"Y",AV284="Y")),"Y","N"))</f>
        <v>N</v>
      </c>
      <c r="AS284" s="0" t="str">
        <f aca="false">IF($A284="","",_xlfn.TEXTJOIN("; ",TRUE(),IF(CK284&lt;&gt;"pass","gated out",""),IF(AO284="Y","on hold: "&amp;AP284,""),IF(C284="","no contact named on an opened page",""),IF(AND(AU284="Y",AV284&lt;&gt;"Y"),"founder review pending (Founder review tab)","")))</f>
        <v>gated out; no contact named on an opened page</v>
      </c>
      <c r="AU284" s="0" t="s">
        <v>189</v>
      </c>
      <c r="BC284" s="0" t="str">
        <f aca="false">IF($A284="","",IFERROR(INDEX(Enrichment!$A$2:$GZ$2000,MATCH($A284,INDEX(Enrichment!$A$2:$GZ$2000,0,MATCH("row_id",Enrichment!$A$1:$GZ$1,0)),0),MATCH("work_email",Enrichment!$A$1:$GZ$1,0))&amp;"",""))</f>
        <v/>
      </c>
      <c r="BD284" s="0" t="str">
        <f aca="false">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none</v>
      </c>
      <c r="BF284" s="0" t="s">
        <v>380</v>
      </c>
      <c r="BK284" s="0" t="s">
        <v>6048</v>
      </c>
      <c r="BP284" s="0" t="str">
        <f aca="false">IF($A284="","",IFERROR(INDEX(Enrichment!$A$2:$GZ$2000,MATCH($A284,INDEX(Enrichment!$A$2:$GZ$2000,0,MATCH("row_id",Enrichment!$A$1:$GZ$1,0)),0),MATCH("backup_work_email",Enrichment!$A$1:$GZ$1,0))&amp;"",""))</f>
        <v/>
      </c>
      <c r="BQ284" s="0" t="str">
        <f aca="false">IF($A284="","",IF(BP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none</v>
      </c>
      <c r="BS284" s="0" t="s">
        <v>380</v>
      </c>
      <c r="BX284" s="0" t="s">
        <v>388</v>
      </c>
      <c r="BY284" s="0" t="s">
        <v>11753</v>
      </c>
      <c r="CJ284" s="0" t="s">
        <v>7088</v>
      </c>
      <c r="CK284" s="0" t="s">
        <v>4627</v>
      </c>
      <c r="CL284" s="0" t="s">
        <v>10005</v>
      </c>
      <c r="CM284" s="0" t="s">
        <v>11754</v>
      </c>
      <c r="CN284" s="0" t="s">
        <v>5607</v>
      </c>
      <c r="CO284" s="0" t="s">
        <v>11751</v>
      </c>
      <c r="CP284" s="0" t="s">
        <v>6083</v>
      </c>
      <c r="CQ284" s="0" t="s">
        <v>6084</v>
      </c>
      <c r="CR284" s="0" t="s">
        <v>209</v>
      </c>
      <c r="CT284" s="0" t="s">
        <v>209</v>
      </c>
      <c r="CU284" s="0" t="s">
        <v>11755</v>
      </c>
      <c r="CV284" s="0" t="s">
        <v>164</v>
      </c>
      <c r="CW284" s="0" t="s">
        <v>164</v>
      </c>
      <c r="CX284" s="0" t="s">
        <v>209</v>
      </c>
      <c r="CZ284" s="0" t="s">
        <v>5993</v>
      </c>
      <c r="DA284" s="0" t="s">
        <v>164</v>
      </c>
      <c r="DB284" s="0" t="s">
        <v>164</v>
      </c>
      <c r="DC284" s="0" t="s">
        <v>11756</v>
      </c>
      <c r="DE284" s="0" t="s">
        <v>189</v>
      </c>
      <c r="DF284" s="0" t="n">
        <v>0</v>
      </c>
      <c r="DI284" s="0" t="s">
        <v>209</v>
      </c>
      <c r="DK284" s="0" t="s">
        <v>5617</v>
      </c>
      <c r="DL284" s="0" t="n">
        <v>118</v>
      </c>
      <c r="DN284" s="0" t="n">
        <v>37</v>
      </c>
      <c r="DO284" s="0" t="n">
        <v>6</v>
      </c>
      <c r="DP284" s="0" t="n">
        <v>8</v>
      </c>
      <c r="DQ284" s="0" t="n">
        <v>15</v>
      </c>
      <c r="DR284" s="0" t="n">
        <v>5</v>
      </c>
      <c r="DS284" s="0" t="n">
        <v>7</v>
      </c>
      <c r="DT284" s="0" t="n">
        <v>0</v>
      </c>
      <c r="DU284" s="0" t="n">
        <f aca="false">IF($A284="","",IF(R284="Y",10,0))</f>
        <v>0</v>
      </c>
      <c r="DV284" s="0" t="n">
        <v>-4</v>
      </c>
      <c r="DW284" s="0" t="s">
        <v>11757</v>
      </c>
      <c r="DX284" s="0" t="s">
        <v>5998</v>
      </c>
      <c r="DY284" s="0" t="s">
        <v>11758</v>
      </c>
      <c r="DZ284" s="0" t="s">
        <v>11759</v>
      </c>
      <c r="EV284" s="0" t="str">
        <f aca="false">IF($A284="","",IF(ISNUMBER(MATCH(U284,{"queued","contacted","replied","call_booked","call_done","yes_in_principle","materials_sent"},0)),"Y","N"))</f>
        <v>N</v>
      </c>
      <c r="EW284" s="0" t="str">
        <f aca="false">IF($A284="","",IF(OR(T284="Y",U284="do_not_contact",AQ284&amp;""&lt;&gt;""),"Y","N"))</f>
        <v>N</v>
      </c>
      <c r="EX284" s="0" t="str">
        <f aca="false">IF($A284="","",IF(AN284&amp;""&lt;&gt;"",AN284&amp;"",$A284))</f>
        <v>AB-302</v>
      </c>
      <c r="EY284" s="0" t="str">
        <f aca="false">IF($A284="","",IF(COUNTIFS($EX$2:$EX$1000,EX284,$EV$2:$EV$1000,"Y")+COUNTIFS($EX$2:$EX$1000,EX284,$EW$2:$EW$1000,"Y")&gt;0,"Y","N"))</f>
        <v>N</v>
      </c>
      <c r="EZ284" s="0" t="str">
        <f aca="false">IF($A284="","",IF(AND(U284="new",T284="N",EW284="N",AR284="Y",EY284="N"),"Y","N"))</f>
        <v>N</v>
      </c>
      <c r="FA284" s="0" t="str">
        <f aca="false">IF($A284="","",IF(EZ284&lt;&gt;"Y","N",IF(COUNTIFS($EX$2:$EX$1000,EX284,$EZ$2:$EZ$1000,"Y",$J$2:$J$1000,"&gt;"&amp;J284)+COUNTIFS($EX$2:$EX$1000,EX284,$EZ$2:$EZ$1000,"Y",$J$2:$J$1000,J284,$FG$2:$FG$1000,"&lt;"&amp;FG284)=0,"Y","N")))</f>
        <v>N</v>
      </c>
      <c r="FB284" s="0" t="str">
        <f aca="false">IF($A284="","",IF(AND(EZ284="Y",FA284="Y",Y284&amp;""&lt;&gt;""),IF(Y284&lt;=10,"Y","N"),"N"))</f>
        <v>N</v>
      </c>
      <c r="FC284" s="0" t="str">
        <f aca="false">IF(FB284="Y",Y284,"")</f>
        <v/>
      </c>
      <c r="FD284" s="0" t="str">
        <f aca="false">IF($A284="","",IF(AND(CK284="pass",AU284="Y",AV284&lt;&gt;"Y",U284="new",EW284="N"),"Y","N"))</f>
        <v>N</v>
      </c>
      <c r="FE284" s="0" t="str">
        <f aca="false">IF(FD284&lt;&gt;"Y","",IF(COUNTIFS($FD$2:$FD$1000,"Y",$J$2:$J$1000,"&gt;"&amp;J284)+COUNTIFS($FD$2:$FD$1000,"Y",$J$2:$J$1000,J284,$FG$2:$FG$1000,"&lt;"&amp;FG284)+1&lt;=30,COUNTIFS($FD$2:$FD$1000,"Y",$J$2:$J$1000,"&gt;"&amp;J284)+COUNTIFS($FD$2:$FD$1000,"Y",$J$2:$J$1000,J284,$FG$2:$FG$1000,"&lt;"&amp;FG284)+1,""))</f>
        <v/>
      </c>
      <c r="FF284" s="0" t="str">
        <f aca="false">IF(AND(_xlfn.ISFORMULA(C284),_xlfn.ISFORMULA(J284)),"Y","N")</f>
        <v>Y</v>
      </c>
      <c r="FG284" s="0" t="n">
        <f aca="false">ROW()-1</f>
        <v>283</v>
      </c>
    </row>
    <row r="285" customFormat="false" ht="15" hidden="false" customHeight="false" outlineLevel="0" collapsed="false">
      <c r="A285" s="0" t="s">
        <v>11760</v>
      </c>
      <c r="B285" s="0" t="s">
        <v>11761</v>
      </c>
      <c r="C285" s="0" t="str">
        <f aca="false">IF($A285="","",IF(AT285="Y",BL285&amp;"",AY285&amp;""))</f>
        <v/>
      </c>
      <c r="D285" s="0" t="str">
        <f aca="false">IF($A285="","",IF(AT285="Y",BM285&amp;"",AZ285&amp;""))</f>
        <v/>
      </c>
      <c r="E285" s="0" t="str">
        <f aca="false">IF($A285="","",IF(AT285="Y",BN285&amp;"",BA285&amp;""))</f>
        <v/>
      </c>
      <c r="F285" s="0" t="str">
        <f aca="false">IF($A285="","",IF(AT285="Y",BO285&amp;"",BB285&amp;""))</f>
        <v/>
      </c>
      <c r="G285" s="0" t="str">
        <f aca="false">IF($A285="","",IF(AT285="Y",BP285&amp;"",BC285&amp;""))</f>
        <v/>
      </c>
      <c r="H285" s="0" t="str">
        <f aca="false">IF($A285="","",IF(AT285="Y",BQ285&amp;"",BD285&amp;""))</f>
        <v>none</v>
      </c>
      <c r="I285" s="0" t="str">
        <f aca="false">IF($A285="","",IF(R285="Y","warm-intro",IF(H285="verified","email",IF(C285&lt;&gt;"","linkedin",CA285&amp;""))))</f>
        <v/>
      </c>
      <c r="J285" s="0" t="n">
        <f aca="false">IF($A285="","",IF(CK285="pass",ROUND(N(DO285)+N(DP285)+N(DQ285)+N(DR285)+N(DS285)+N(DT285)+N(DU285)+N(DV285),0),0))</f>
        <v>0</v>
      </c>
      <c r="K285" s="0" t="str">
        <f aca="false">IF($A285="","",IF(CK285&lt;&gt;"pass",BY285&amp;"",BY285&amp;", "&amp;IF(AT285="Y",BX285&amp;"",BK285&amp;"")&amp;BZ285&amp;IF(R285="Y","; known to the founder (+10)","")&amp;"."))</f>
        <v>Gated out: excluded-category: Needs preparation (loose tea to brew, not ready-to-drink).</v>
      </c>
      <c r="M285" s="0" t="s">
        <v>6144</v>
      </c>
      <c r="N285" s="0" t="s">
        <v>740</v>
      </c>
      <c r="O285" s="0" t="s">
        <v>11762</v>
      </c>
      <c r="P285" s="0" t="s">
        <v>11763</v>
      </c>
      <c r="Q285" s="0" t="s">
        <v>7025</v>
      </c>
      <c r="R285" s="5" t="s">
        <v>189</v>
      </c>
      <c r="S285" s="0" t="s">
        <v>164</v>
      </c>
      <c r="T285" s="5" t="s">
        <v>189</v>
      </c>
      <c r="U285" s="5" t="s">
        <v>3896</v>
      </c>
      <c r="V285" s="0" t="s">
        <v>11763</v>
      </c>
      <c r="W285" s="0" t="s">
        <v>263</v>
      </c>
      <c r="X285" s="0" t="s">
        <v>5578</v>
      </c>
      <c r="Y285" s="0" t="str">
        <f aca="false">IF(FA285&lt;&gt;"Y","",COUNTIFS($FA$2:$FA$1000,"Y",$J$2:$J$1000,"&gt;"&amp;J285)+COUNTIFS($FA$2:$FA$1000,"Y",$J$2:$J$1000,J285,$FG$2:$FG$1000,"&lt;"&amp;FG285)+1)</f>
        <v/>
      </c>
      <c r="AA285" s="0" t="s">
        <v>189</v>
      </c>
      <c r="AB285" s="0" t="str">
        <f aca="false">IF($A285="","",IF(AT285="Y",BW285&amp;"",BJ285&amp;""))</f>
        <v/>
      </c>
      <c r="AC285" s="0" t="str">
        <f aca="false">IF($A285="","",IF(AT285="Y",BR285&amp;"",BE285&amp;""))</f>
        <v/>
      </c>
      <c r="AD285" s="0" t="str">
        <f aca="false">IF($A285="","",IF(AT285="Y",BS285&amp;"",BF285&amp;""))</f>
        <v>none</v>
      </c>
      <c r="AE285" s="0" t="str">
        <f aca="false">IF($A285="","",IF(AT285="Y",BT285&amp;"",BG285&amp;""))</f>
        <v/>
      </c>
      <c r="AF285" s="0" t="str">
        <f aca="false">IF($A285="","",IF(AT285="Y",BU285&amp;"",BH285&amp;""))</f>
        <v/>
      </c>
      <c r="AG285" s="0" t="str">
        <f aca="false">IF($A285="","",IF(AT285="Y",BV285&amp;"",BI285&amp;""))</f>
        <v/>
      </c>
      <c r="AH285" s="0" t="s">
        <v>11764</v>
      </c>
      <c r="AI285" s="0" t="s">
        <v>6699</v>
      </c>
      <c r="AJ285" s="0" t="s">
        <v>10521</v>
      </c>
      <c r="AL285" s="0" t="s">
        <v>164</v>
      </c>
      <c r="AM285" s="0" t="s">
        <v>7540</v>
      </c>
      <c r="AN285" s="0" t="s">
        <v>11760</v>
      </c>
      <c r="AO285" s="5" t="s">
        <v>189</v>
      </c>
      <c r="AR285" s="0" t="str">
        <f aca="false">IF($A285="","",IF(AND(CK285="pass",AO285&lt;&gt;"Y",C285&lt;&gt;"",OR(AU285&lt;&gt;"Y",AV285="Y")),"Y","N"))</f>
        <v>N</v>
      </c>
      <c r="AS285" s="0" t="str">
        <f aca="false">IF($A285="","",_xlfn.TEXTJOIN("; ",TRUE(),IF(CK285&lt;&gt;"pass","gated out",""),IF(AO285="Y","on hold: "&amp;AP285,""),IF(C285="","no contact named on an opened page",""),IF(AND(AU285="Y",AV285&lt;&gt;"Y"),"founder review pending (Founder review tab)","")))</f>
        <v>gated out; no contact named on an opened page; founder review pending (Founder review tab)</v>
      </c>
      <c r="AU285" s="0" t="s">
        <v>164</v>
      </c>
      <c r="BC285" s="0" t="str">
        <f aca="false">IF($A285="","",IFERROR(INDEX(Enrichment!$A$2:$GZ$2000,MATCH($A285,INDEX(Enrichment!$A$2:$GZ$2000,0,MATCH("row_id",Enrichment!$A$1:$GZ$1,0)),0),MATCH("work_email",Enrichment!$A$1:$GZ$1,0))&amp;"",""))</f>
        <v/>
      </c>
      <c r="BD285" s="0" t="str">
        <f aca="false">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none</v>
      </c>
      <c r="BF285" s="0" t="s">
        <v>380</v>
      </c>
      <c r="BK285" s="0" t="s">
        <v>6048</v>
      </c>
      <c r="BP285" s="0" t="str">
        <f aca="false">IF($A285="","",IFERROR(INDEX(Enrichment!$A$2:$GZ$2000,MATCH($A285,INDEX(Enrichment!$A$2:$GZ$2000,0,MATCH("row_id",Enrichment!$A$1:$GZ$1,0)),0),MATCH("backup_work_email",Enrichment!$A$1:$GZ$1,0))&amp;"",""))</f>
        <v/>
      </c>
      <c r="BQ285" s="0" t="str">
        <f aca="false">IF($A285="","",IF(BP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none</v>
      </c>
      <c r="BS285" s="0" t="s">
        <v>380</v>
      </c>
      <c r="BX285" s="0" t="s">
        <v>388</v>
      </c>
      <c r="BY285" s="0" t="s">
        <v>11765</v>
      </c>
      <c r="CJ285" s="0" t="s">
        <v>7088</v>
      </c>
      <c r="CK285" s="0" t="s">
        <v>4627</v>
      </c>
      <c r="CL285" s="0" t="s">
        <v>10642</v>
      </c>
      <c r="CM285" s="0" t="s">
        <v>11766</v>
      </c>
      <c r="CN285" s="0" t="s">
        <v>5808</v>
      </c>
      <c r="CO285" s="0" t="s">
        <v>11767</v>
      </c>
      <c r="CP285" s="0" t="s">
        <v>5608</v>
      </c>
      <c r="CQ285" s="0" t="s">
        <v>5609</v>
      </c>
      <c r="CR285" s="0" t="s">
        <v>209</v>
      </c>
      <c r="CT285" s="0" t="s">
        <v>164</v>
      </c>
      <c r="CU285" s="0" t="s">
        <v>11768</v>
      </c>
      <c r="CV285" s="0" t="s">
        <v>189</v>
      </c>
      <c r="CW285" s="0" t="s">
        <v>209</v>
      </c>
      <c r="CX285" s="0" t="s">
        <v>209</v>
      </c>
      <c r="CZ285" s="0" t="s">
        <v>209</v>
      </c>
      <c r="DA285" s="0" t="s">
        <v>189</v>
      </c>
      <c r="DB285" s="0" t="s">
        <v>164</v>
      </c>
      <c r="DC285" s="0" t="s">
        <v>11769</v>
      </c>
      <c r="DE285" s="0" t="s">
        <v>189</v>
      </c>
      <c r="DF285" s="0" t="n">
        <v>0</v>
      </c>
      <c r="DK285" s="0" t="s">
        <v>5617</v>
      </c>
      <c r="DL285" s="0" t="n">
        <v>122</v>
      </c>
      <c r="DM285" s="0" t="s">
        <v>11763</v>
      </c>
      <c r="DN285" s="0" t="n">
        <v>41</v>
      </c>
      <c r="DO285" s="0" t="n">
        <v>0</v>
      </c>
      <c r="DP285" s="0" t="n">
        <v>20</v>
      </c>
      <c r="DQ285" s="0" t="n">
        <v>15</v>
      </c>
      <c r="DR285" s="0" t="n">
        <v>5</v>
      </c>
      <c r="DS285" s="0" t="n">
        <v>5</v>
      </c>
      <c r="DT285" s="0" t="n">
        <v>0</v>
      </c>
      <c r="DU285" s="0" t="n">
        <f aca="false">IF($A285="","",IF(R285="Y",10,0))</f>
        <v>0</v>
      </c>
      <c r="DV285" s="0" t="n">
        <v>-4</v>
      </c>
      <c r="DX285" s="0" t="s">
        <v>5619</v>
      </c>
      <c r="DY285" s="0" t="s">
        <v>11770</v>
      </c>
      <c r="DZ285" s="0" t="s">
        <v>10532</v>
      </c>
      <c r="EV285" s="0" t="str">
        <f aca="false">IF($A285="","",IF(ISNUMBER(MATCH(U285,{"queued","contacted","replied","call_booked","call_done","yes_in_principle","materials_sent"},0)),"Y","N"))</f>
        <v>N</v>
      </c>
      <c r="EW285" s="0" t="str">
        <f aca="false">IF($A285="","",IF(OR(T285="Y",U285="do_not_contact",AQ285&amp;""&lt;&gt;""),"Y","N"))</f>
        <v>N</v>
      </c>
      <c r="EX285" s="0" t="str">
        <f aca="false">IF($A285="","",IF(AN285&amp;""&lt;&gt;"",AN285&amp;"",$A285))</f>
        <v>AB-253</v>
      </c>
      <c r="EY285" s="0" t="str">
        <f aca="false">IF($A285="","",IF(COUNTIFS($EX$2:$EX$1000,EX285,$EV$2:$EV$1000,"Y")+COUNTIFS($EX$2:$EX$1000,EX285,$EW$2:$EW$1000,"Y")&gt;0,"Y","N"))</f>
        <v>N</v>
      </c>
      <c r="EZ285" s="0" t="str">
        <f aca="false">IF($A285="","",IF(AND(U285="new",T285="N",EW285="N",AR285="Y",EY285="N"),"Y","N"))</f>
        <v>N</v>
      </c>
      <c r="FA285" s="0" t="str">
        <f aca="false">IF($A285="","",IF(EZ285&lt;&gt;"Y","N",IF(COUNTIFS($EX$2:$EX$1000,EX285,$EZ$2:$EZ$1000,"Y",$J$2:$J$1000,"&gt;"&amp;J285)+COUNTIFS($EX$2:$EX$1000,EX285,$EZ$2:$EZ$1000,"Y",$J$2:$J$1000,J285,$FG$2:$FG$1000,"&lt;"&amp;FG285)=0,"Y","N")))</f>
        <v>N</v>
      </c>
      <c r="FB285" s="0" t="str">
        <f aca="false">IF($A285="","",IF(AND(EZ285="Y",FA285="Y",Y285&amp;""&lt;&gt;""),IF(Y285&lt;=10,"Y","N"),"N"))</f>
        <v>N</v>
      </c>
      <c r="FC285" s="0" t="str">
        <f aca="false">IF(FB285="Y",Y285,"")</f>
        <v/>
      </c>
      <c r="FD285" s="0" t="str">
        <f aca="false">IF($A285="","",IF(AND(CK285="pass",AU285="Y",AV285&lt;&gt;"Y",U285="new",EW285="N"),"Y","N"))</f>
        <v>N</v>
      </c>
      <c r="FE285" s="0" t="str">
        <f aca="false">IF(FD285&lt;&gt;"Y","",IF(COUNTIFS($FD$2:$FD$1000,"Y",$J$2:$J$1000,"&gt;"&amp;J285)+COUNTIFS($FD$2:$FD$1000,"Y",$J$2:$J$1000,J285,$FG$2:$FG$1000,"&lt;"&amp;FG285)+1&lt;=30,COUNTIFS($FD$2:$FD$1000,"Y",$J$2:$J$1000,"&gt;"&amp;J285)+COUNTIFS($FD$2:$FD$1000,"Y",$J$2:$J$1000,J285,$FG$2:$FG$1000,"&lt;"&amp;FG285)+1,""))</f>
        <v/>
      </c>
      <c r="FF285" s="0" t="str">
        <f aca="false">IF(AND(_xlfn.ISFORMULA(C285),_xlfn.ISFORMULA(J285)),"Y","N")</f>
        <v>Y</v>
      </c>
      <c r="FG285" s="0" t="n">
        <f aca="false">ROW()-1</f>
        <v>284</v>
      </c>
    </row>
    <row r="286" customFormat="false" ht="15" hidden="false" customHeight="false" outlineLevel="0" collapsed="false">
      <c r="A286" s="0" t="s">
        <v>11771</v>
      </c>
      <c r="B286" s="0" t="s">
        <v>11772</v>
      </c>
      <c r="C286" s="0" t="str">
        <f aca="false">IF($A286="","",IF(AT286="Y",BL286&amp;"",AY286&amp;""))</f>
        <v/>
      </c>
      <c r="D286" s="0" t="str">
        <f aca="false">IF($A286="","",IF(AT286="Y",BM286&amp;"",AZ286&amp;""))</f>
        <v/>
      </c>
      <c r="E286" s="0" t="str">
        <f aca="false">IF($A286="","",IF(AT286="Y",BN286&amp;"",BA286&amp;""))</f>
        <v/>
      </c>
      <c r="F286" s="0" t="str">
        <f aca="false">IF($A286="","",IF(AT286="Y",BO286&amp;"",BB286&amp;""))</f>
        <v/>
      </c>
      <c r="G286" s="0" t="str">
        <f aca="false">IF($A286="","",IF(AT286="Y",BP286&amp;"",BC286&amp;""))</f>
        <v/>
      </c>
      <c r="H286" s="0" t="str">
        <f aca="false">IF($A286="","",IF(AT286="Y",BQ286&amp;"",BD286&amp;""))</f>
        <v>none</v>
      </c>
      <c r="I286" s="0" t="str">
        <f aca="false">IF($A286="","",IF(R286="Y","warm-intro",IF(H286="verified","email",IF(C286&lt;&gt;"","linkedin",CA286&amp;""))))</f>
        <v/>
      </c>
      <c r="J286" s="0" t="n">
        <f aca="false">IF($A286="","",IF(CK286="pass",ROUND(N(DO286)+N(DP286)+N(DQ286)+N(DR286)+N(DS286)+N(DT286)+N(DU286)+N(DV286),0),0))</f>
        <v>0</v>
      </c>
      <c r="K286" s="0" t="str">
        <f aca="false">IF($A286="","",IF(CK286&lt;&gt;"pass",BY286&amp;"",BY286&amp;", "&amp;IF(AT286="Y",BX286&amp;"",BK286&amp;"")&amp;BZ286&amp;IF(R286="Y","; known to the founder (+10)","")&amp;"."))</f>
        <v>Gated out: no-buy-path: no graded store within ten blocks and no online store shown.</v>
      </c>
      <c r="M286" s="0" t="s">
        <v>6144</v>
      </c>
      <c r="N286" s="0" t="s">
        <v>740</v>
      </c>
      <c r="O286" s="0" t="s">
        <v>11773</v>
      </c>
      <c r="P286" s="0" t="s">
        <v>11774</v>
      </c>
      <c r="Q286" s="0" t="s">
        <v>5980</v>
      </c>
      <c r="R286" s="5" t="s">
        <v>189</v>
      </c>
      <c r="S286" s="0" t="s">
        <v>209</v>
      </c>
      <c r="T286" s="5" t="s">
        <v>189</v>
      </c>
      <c r="U286" s="5" t="s">
        <v>3896</v>
      </c>
      <c r="V286" s="0" t="s">
        <v>11774</v>
      </c>
      <c r="W286" s="0" t="s">
        <v>172</v>
      </c>
      <c r="X286" s="0" t="s">
        <v>5578</v>
      </c>
      <c r="Y286" s="0" t="str">
        <f aca="false">IF(FA286&lt;&gt;"Y","",COUNTIFS($FA$2:$FA$1000,"Y",$J$2:$J$1000,"&gt;"&amp;J286)+COUNTIFS($FA$2:$FA$1000,"Y",$J$2:$J$1000,J286,$FG$2:$FG$1000,"&lt;"&amp;FG286)+1)</f>
        <v/>
      </c>
      <c r="AA286" s="0" t="s">
        <v>189</v>
      </c>
      <c r="AB286" s="0" t="str">
        <f aca="false">IF($A286="","",IF(AT286="Y",BW286&amp;"",BJ286&amp;""))</f>
        <v/>
      </c>
      <c r="AC286" s="0" t="str">
        <f aca="false">IF($A286="","",IF(AT286="Y",BR286&amp;"",BE286&amp;""))</f>
        <v/>
      </c>
      <c r="AD286" s="0" t="str">
        <f aca="false">IF($A286="","",IF(AT286="Y",BS286&amp;"",BF286&amp;""))</f>
        <v>none</v>
      </c>
      <c r="AE286" s="0" t="str">
        <f aca="false">IF($A286="","",IF(AT286="Y",BT286&amp;"",BG286&amp;""))</f>
        <v/>
      </c>
      <c r="AF286" s="0" t="str">
        <f aca="false">IF($A286="","",IF(AT286="Y",BU286&amp;"",BH286&amp;""))</f>
        <v/>
      </c>
      <c r="AG286" s="0" t="str">
        <f aca="false">IF($A286="","",IF(AT286="Y",BV286&amp;"",BI286&amp;""))</f>
        <v/>
      </c>
      <c r="AH286" s="0" t="s">
        <v>11775</v>
      </c>
      <c r="AI286" s="0" t="s">
        <v>6621</v>
      </c>
      <c r="AJ286" s="0" t="s">
        <v>209</v>
      </c>
      <c r="AL286" s="0" t="s">
        <v>164</v>
      </c>
      <c r="AM286" s="0" t="s">
        <v>11776</v>
      </c>
      <c r="AN286" s="0" t="s">
        <v>11771</v>
      </c>
      <c r="AO286" s="5" t="s">
        <v>189</v>
      </c>
      <c r="AR286" s="0" t="str">
        <f aca="false">IF($A286="","",IF(AND(CK286="pass",AO286&lt;&gt;"Y",C286&lt;&gt;"",OR(AU286&lt;&gt;"Y",AV286="Y")),"Y","N"))</f>
        <v>N</v>
      </c>
      <c r="AS286" s="0" t="str">
        <f aca="false">IF($A286="","",_xlfn.TEXTJOIN("; ",TRUE(),IF(CK286&lt;&gt;"pass","gated out",""),IF(AO286="Y","on hold: "&amp;AP286,""),IF(C286="","no contact named on an opened page",""),IF(AND(AU286="Y",AV286&lt;&gt;"Y"),"founder review pending (Founder review tab)","")))</f>
        <v>gated out; no contact named on an opened page; founder review pending (Founder review tab)</v>
      </c>
      <c r="AU286" s="0" t="s">
        <v>164</v>
      </c>
      <c r="BC286" s="0" t="str">
        <f aca="false">IF($A286="","",IFERROR(INDEX(Enrichment!$A$2:$GZ$2000,MATCH($A286,INDEX(Enrichment!$A$2:$GZ$2000,0,MATCH("row_id",Enrichment!$A$1:$GZ$1,0)),0),MATCH("work_email",Enrichment!$A$1:$GZ$1,0))&amp;"",""))</f>
        <v/>
      </c>
      <c r="BD286" s="0" t="str">
        <f aca="false">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none</v>
      </c>
      <c r="BF286" s="0" t="s">
        <v>380</v>
      </c>
      <c r="BK286" s="0" t="s">
        <v>6048</v>
      </c>
      <c r="BP286" s="0" t="str">
        <f aca="false">IF($A286="","",IFERROR(INDEX(Enrichment!$A$2:$GZ$2000,MATCH($A286,INDEX(Enrichment!$A$2:$GZ$2000,0,MATCH("row_id",Enrichment!$A$1:$GZ$1,0)),0),MATCH("backup_work_email",Enrichment!$A$1:$GZ$1,0))&amp;"",""))</f>
        <v/>
      </c>
      <c r="BQ286" s="0" t="str">
        <f aca="false">IF($A286="","",IF(BP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none</v>
      </c>
      <c r="BS286" s="0" t="s">
        <v>380</v>
      </c>
      <c r="BX286" s="0" t="s">
        <v>388</v>
      </c>
      <c r="BY286" s="0" t="s">
        <v>11104</v>
      </c>
      <c r="CJ286" s="0" t="s">
        <v>7088</v>
      </c>
      <c r="CK286" s="0" t="s">
        <v>4627</v>
      </c>
      <c r="CL286" s="0" t="s">
        <v>10545</v>
      </c>
      <c r="CM286" s="0" t="s">
        <v>11105</v>
      </c>
      <c r="CN286" s="0" t="s">
        <v>11777</v>
      </c>
      <c r="CO286" s="0" t="s">
        <v>11778</v>
      </c>
      <c r="CP286" s="0" t="s">
        <v>5608</v>
      </c>
      <c r="CQ286" s="0" t="s">
        <v>5870</v>
      </c>
      <c r="CR286" s="0" t="s">
        <v>209</v>
      </c>
      <c r="CT286" s="0" t="s">
        <v>209</v>
      </c>
      <c r="CU286" s="0" t="s">
        <v>11779</v>
      </c>
      <c r="CV286" s="0" t="s">
        <v>209</v>
      </c>
      <c r="CW286" s="0" t="s">
        <v>189</v>
      </c>
      <c r="CX286" s="0" t="s">
        <v>209</v>
      </c>
      <c r="CZ286" s="0" t="s">
        <v>5993</v>
      </c>
      <c r="DA286" s="0" t="s">
        <v>189</v>
      </c>
      <c r="DB286" s="0" t="s">
        <v>189</v>
      </c>
      <c r="DE286" s="0" t="s">
        <v>189</v>
      </c>
      <c r="DF286" s="0" t="n">
        <v>0</v>
      </c>
      <c r="DI286" s="0" t="s">
        <v>209</v>
      </c>
      <c r="DK286" s="0" t="s">
        <v>5617</v>
      </c>
      <c r="DL286" s="0" t="n">
        <v>118</v>
      </c>
      <c r="DN286" s="0" t="n">
        <v>23</v>
      </c>
      <c r="DO286" s="0" t="n">
        <v>0</v>
      </c>
      <c r="DP286" s="0" t="n">
        <v>13</v>
      </c>
      <c r="DQ286" s="0" t="n">
        <v>15</v>
      </c>
      <c r="DR286" s="0" t="n">
        <v>5</v>
      </c>
      <c r="DS286" s="0" t="n">
        <v>2</v>
      </c>
      <c r="DT286" s="0" t="n">
        <v>0</v>
      </c>
      <c r="DU286" s="0" t="n">
        <f aca="false">IF($A286="","",IF(R286="Y",10,0))</f>
        <v>0</v>
      </c>
      <c r="DV286" s="0" t="n">
        <v>-12</v>
      </c>
      <c r="DX286" s="0" t="s">
        <v>5998</v>
      </c>
      <c r="DY286" s="0" t="s">
        <v>11780</v>
      </c>
      <c r="DZ286" s="0" t="s">
        <v>11781</v>
      </c>
      <c r="EV286" s="0" t="str">
        <f aca="false">IF($A286="","",IF(ISNUMBER(MATCH(U286,{"queued","contacted","replied","call_booked","call_done","yes_in_principle","materials_sent"},0)),"Y","N"))</f>
        <v>N</v>
      </c>
      <c r="EW286" s="0" t="str">
        <f aca="false">IF($A286="","",IF(OR(T286="Y",U286="do_not_contact",AQ286&amp;""&lt;&gt;""),"Y","N"))</f>
        <v>N</v>
      </c>
      <c r="EX286" s="0" t="str">
        <f aca="false">IF($A286="","",IF(AN286&amp;""&lt;&gt;"",AN286&amp;"",$A286))</f>
        <v>AB-308</v>
      </c>
      <c r="EY286" s="0" t="str">
        <f aca="false">IF($A286="","",IF(COUNTIFS($EX$2:$EX$1000,EX286,$EV$2:$EV$1000,"Y")+COUNTIFS($EX$2:$EX$1000,EX286,$EW$2:$EW$1000,"Y")&gt;0,"Y","N"))</f>
        <v>N</v>
      </c>
      <c r="EZ286" s="0" t="str">
        <f aca="false">IF($A286="","",IF(AND(U286="new",T286="N",EW286="N",AR286="Y",EY286="N"),"Y","N"))</f>
        <v>N</v>
      </c>
      <c r="FA286" s="0" t="str">
        <f aca="false">IF($A286="","",IF(EZ286&lt;&gt;"Y","N",IF(COUNTIFS($EX$2:$EX$1000,EX286,$EZ$2:$EZ$1000,"Y",$J$2:$J$1000,"&gt;"&amp;J286)+COUNTIFS($EX$2:$EX$1000,EX286,$EZ$2:$EZ$1000,"Y",$J$2:$J$1000,J286,$FG$2:$FG$1000,"&lt;"&amp;FG286)=0,"Y","N")))</f>
        <v>N</v>
      </c>
      <c r="FB286" s="0" t="str">
        <f aca="false">IF($A286="","",IF(AND(EZ286="Y",FA286="Y",Y286&amp;""&lt;&gt;""),IF(Y286&lt;=10,"Y","N"),"N"))</f>
        <v>N</v>
      </c>
      <c r="FC286" s="0" t="str">
        <f aca="false">IF(FB286="Y",Y286,"")</f>
        <v/>
      </c>
      <c r="FD286" s="0" t="str">
        <f aca="false">IF($A286="","",IF(AND(CK286="pass",AU286="Y",AV286&lt;&gt;"Y",U286="new",EW286="N"),"Y","N"))</f>
        <v>N</v>
      </c>
      <c r="FE286" s="0" t="str">
        <f aca="false">IF(FD286&lt;&gt;"Y","",IF(COUNTIFS($FD$2:$FD$1000,"Y",$J$2:$J$1000,"&gt;"&amp;J286)+COUNTIFS($FD$2:$FD$1000,"Y",$J$2:$J$1000,J286,$FG$2:$FG$1000,"&lt;"&amp;FG286)+1&lt;=30,COUNTIFS($FD$2:$FD$1000,"Y",$J$2:$J$1000,"&gt;"&amp;J286)+COUNTIFS($FD$2:$FD$1000,"Y",$J$2:$J$1000,J286,$FG$2:$FG$1000,"&lt;"&amp;FG286)+1,""))</f>
        <v/>
      </c>
      <c r="FF286" s="0" t="str">
        <f aca="false">IF(AND(_xlfn.ISFORMULA(C286),_xlfn.ISFORMULA(J286)),"Y","N")</f>
        <v>Y</v>
      </c>
      <c r="FG286" s="0" t="n">
        <f aca="false">ROW()-1</f>
        <v>285</v>
      </c>
    </row>
    <row r="287" customFormat="false" ht="15" hidden="false" customHeight="false" outlineLevel="0" collapsed="false">
      <c r="A287" s="0" t="s">
        <v>11782</v>
      </c>
      <c r="B287" s="0" t="s">
        <v>11783</v>
      </c>
      <c r="C287" s="0" t="str">
        <f aca="false">IF($A287="","",IF(AT287="Y",BL287&amp;"",AY287&amp;""))</f>
        <v/>
      </c>
      <c r="D287" s="0" t="str">
        <f aca="false">IF($A287="","",IF(AT287="Y",BM287&amp;"",AZ287&amp;""))</f>
        <v/>
      </c>
      <c r="E287" s="0" t="str">
        <f aca="false">IF($A287="","",IF(AT287="Y",BN287&amp;"",BA287&amp;""))</f>
        <v/>
      </c>
      <c r="F287" s="0" t="str">
        <f aca="false">IF($A287="","",IF(AT287="Y",BO287&amp;"",BB287&amp;""))</f>
        <v/>
      </c>
      <c r="G287" s="0" t="str">
        <f aca="false">IF($A287="","",IF(AT287="Y",BP287&amp;"",BC287&amp;""))</f>
        <v/>
      </c>
      <c r="H287" s="0" t="str">
        <f aca="false">IF($A287="","",IF(AT287="Y",BQ287&amp;"",BD287&amp;""))</f>
        <v>none</v>
      </c>
      <c r="I287" s="0" t="str">
        <f aca="false">IF($A287="","",IF(R287="Y","warm-intro",IF(H287="verified","email",IF(C287&lt;&gt;"","linkedin",CA287&amp;""))))</f>
        <v/>
      </c>
      <c r="J287" s="0" t="n">
        <f aca="false">IF($A287="","",IF(CK287="pass",ROUND(N(DO287)+N(DP287)+N(DQ287)+N(DR287)+N(DS287)+N(DT287)+N(DU287)+N(DV287),0),0))</f>
        <v>0</v>
      </c>
      <c r="K287" s="0" t="str">
        <f aca="false">IF($A287="","",IF(CK287&lt;&gt;"pass",BY287&amp;"",BY287&amp;", "&amp;IF(AT287="Y",BX287&amp;"",BK287&amp;"")&amp;BZ287&amp;IF(R287="Y","; known to the founder (+10)","")&amp;"."))</f>
        <v>Gated out: not-shelf-stable: Refrigerated product (site says the bars need to be refrigerated).</v>
      </c>
      <c r="M287" s="0" t="s">
        <v>6144</v>
      </c>
      <c r="N287" s="0" t="s">
        <v>740</v>
      </c>
      <c r="O287" s="0" t="s">
        <v>11748</v>
      </c>
      <c r="P287" s="0" t="s">
        <v>11784</v>
      </c>
      <c r="Q287" s="0" t="s">
        <v>5980</v>
      </c>
      <c r="R287" s="5" t="s">
        <v>189</v>
      </c>
      <c r="S287" s="0" t="s">
        <v>209</v>
      </c>
      <c r="T287" s="5" t="s">
        <v>189</v>
      </c>
      <c r="U287" s="5" t="s">
        <v>3896</v>
      </c>
      <c r="V287" s="0" t="s">
        <v>11784</v>
      </c>
      <c r="W287" s="0" t="s">
        <v>172</v>
      </c>
      <c r="X287" s="0" t="s">
        <v>5578</v>
      </c>
      <c r="Y287" s="0" t="str">
        <f aca="false">IF(FA287&lt;&gt;"Y","",COUNTIFS($FA$2:$FA$1000,"Y",$J$2:$J$1000,"&gt;"&amp;J287)+COUNTIFS($FA$2:$FA$1000,"Y",$J$2:$J$1000,J287,$FG$2:$FG$1000,"&lt;"&amp;FG287)+1)</f>
        <v/>
      </c>
      <c r="AA287" s="0" t="s">
        <v>189</v>
      </c>
      <c r="AB287" s="0" t="str">
        <f aca="false">IF($A287="","",IF(AT287="Y",BW287&amp;"",BJ287&amp;""))</f>
        <v/>
      </c>
      <c r="AC287" s="0" t="str">
        <f aca="false">IF($A287="","",IF(AT287="Y",BR287&amp;"",BE287&amp;""))</f>
        <v/>
      </c>
      <c r="AD287" s="0" t="str">
        <f aca="false">IF($A287="","",IF(AT287="Y",BS287&amp;"",BF287&amp;""))</f>
        <v>none</v>
      </c>
      <c r="AE287" s="0" t="str">
        <f aca="false">IF($A287="","",IF(AT287="Y",BT287&amp;"",BG287&amp;""))</f>
        <v/>
      </c>
      <c r="AF287" s="0" t="str">
        <f aca="false">IF($A287="","",IF(AT287="Y",BU287&amp;"",BH287&amp;""))</f>
        <v/>
      </c>
      <c r="AG287" s="0" t="str">
        <f aca="false">IF($A287="","",IF(AT287="Y",BV287&amp;"",BI287&amp;""))</f>
        <v/>
      </c>
      <c r="AH287" s="0" t="s">
        <v>11785</v>
      </c>
      <c r="AI287" s="0" t="s">
        <v>6007</v>
      </c>
      <c r="AJ287" s="0" t="s">
        <v>11786</v>
      </c>
      <c r="AK287" s="0" t="s">
        <v>11787</v>
      </c>
      <c r="AL287" s="0" t="s">
        <v>189</v>
      </c>
      <c r="AN287" s="0" t="s">
        <v>11782</v>
      </c>
      <c r="AO287" s="5" t="s">
        <v>189</v>
      </c>
      <c r="AR287" s="0" t="str">
        <f aca="false">IF($A287="","",IF(AND(CK287="pass",AO287&lt;&gt;"Y",C287&lt;&gt;"",OR(AU287&lt;&gt;"Y",AV287="Y")),"Y","N"))</f>
        <v>N</v>
      </c>
      <c r="AS287" s="0" t="str">
        <f aca="false">IF($A287="","",_xlfn.TEXTJOIN("; ",TRUE(),IF(CK287&lt;&gt;"pass","gated out",""),IF(AO287="Y","on hold: "&amp;AP287,""),IF(C287="","no contact named on an opened page",""),IF(AND(AU287="Y",AV287&lt;&gt;"Y"),"founder review pending (Founder review tab)","")))</f>
        <v>gated out; no contact named on an opened page</v>
      </c>
      <c r="AU287" s="0" t="s">
        <v>189</v>
      </c>
      <c r="BC287" s="0" t="str">
        <f aca="false">IF($A287="","",IFERROR(INDEX(Enrichment!$A$2:$GZ$2000,MATCH($A287,INDEX(Enrichment!$A$2:$GZ$2000,0,MATCH("row_id",Enrichment!$A$1:$GZ$1,0)),0),MATCH("work_email",Enrichment!$A$1:$GZ$1,0))&amp;"",""))</f>
        <v/>
      </c>
      <c r="BD287" s="0" t="str">
        <f aca="false">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none</v>
      </c>
      <c r="BF287" s="0" t="s">
        <v>380</v>
      </c>
      <c r="BK287" s="0" t="s">
        <v>6048</v>
      </c>
      <c r="BP287" s="0" t="str">
        <f aca="false">IF($A287="","",IFERROR(INDEX(Enrichment!$A$2:$GZ$2000,MATCH($A287,INDEX(Enrichment!$A$2:$GZ$2000,0,MATCH("row_id",Enrichment!$A$1:$GZ$1,0)),0),MATCH("backup_work_email",Enrichment!$A$1:$GZ$1,0))&amp;"",""))</f>
        <v/>
      </c>
      <c r="BQ287" s="0" t="str">
        <f aca="false">IF($A287="","",IF(BP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none</v>
      </c>
      <c r="BS287" s="0" t="s">
        <v>380</v>
      </c>
      <c r="BX287" s="0" t="s">
        <v>388</v>
      </c>
      <c r="BY287" s="0" t="s">
        <v>11788</v>
      </c>
      <c r="CJ287" s="0" t="s">
        <v>7088</v>
      </c>
      <c r="CK287" s="0" t="s">
        <v>4627</v>
      </c>
      <c r="CL287" s="0" t="s">
        <v>10343</v>
      </c>
      <c r="CM287" s="0" t="s">
        <v>11789</v>
      </c>
      <c r="CO287" s="0" t="s">
        <v>11787</v>
      </c>
      <c r="CP287" s="0" t="s">
        <v>5608</v>
      </c>
      <c r="CQ287" s="0" t="s">
        <v>5870</v>
      </c>
      <c r="CR287" s="0" t="s">
        <v>209</v>
      </c>
      <c r="CT287" s="0" t="s">
        <v>189</v>
      </c>
      <c r="CU287" s="0" t="s">
        <v>11790</v>
      </c>
      <c r="CV287" s="0" t="s">
        <v>164</v>
      </c>
      <c r="CW287" s="0" t="s">
        <v>164</v>
      </c>
      <c r="CX287" s="0" t="s">
        <v>209</v>
      </c>
      <c r="CZ287" s="0" t="s">
        <v>5993</v>
      </c>
      <c r="DA287" s="0" t="s">
        <v>189</v>
      </c>
      <c r="DB287" s="0" t="s">
        <v>164</v>
      </c>
      <c r="DC287" s="0" t="s">
        <v>11791</v>
      </c>
      <c r="DE287" s="0" t="s">
        <v>189</v>
      </c>
      <c r="DF287" s="0" t="n">
        <v>0</v>
      </c>
      <c r="DI287" s="0" t="s">
        <v>11792</v>
      </c>
      <c r="DK287" s="0" t="s">
        <v>5617</v>
      </c>
      <c r="DL287" s="0" t="n">
        <v>118</v>
      </c>
      <c r="DN287" s="0" t="n">
        <v>45</v>
      </c>
      <c r="DO287" s="0" t="n">
        <v>6</v>
      </c>
      <c r="DP287" s="0" t="n">
        <v>13</v>
      </c>
      <c r="DQ287" s="0" t="n">
        <v>15</v>
      </c>
      <c r="DR287" s="0" t="n">
        <v>5</v>
      </c>
      <c r="DS287" s="0" t="n">
        <v>6</v>
      </c>
      <c r="DT287" s="0" t="n">
        <v>0</v>
      </c>
      <c r="DU287" s="0" t="n">
        <f aca="false">IF($A287="","",IF(R287="Y",10,0))</f>
        <v>0</v>
      </c>
      <c r="DV287" s="0" t="n">
        <v>0</v>
      </c>
      <c r="DW287" s="0" t="s">
        <v>11793</v>
      </c>
      <c r="DX287" s="0" t="s">
        <v>5998</v>
      </c>
      <c r="DY287" s="0" t="s">
        <v>11794</v>
      </c>
      <c r="DZ287" s="0" t="s">
        <v>11795</v>
      </c>
      <c r="EV287" s="0" t="str">
        <f aca="false">IF($A287="","",IF(ISNUMBER(MATCH(U287,{"queued","contacted","replied","call_booked","call_done","yes_in_principle","materials_sent"},0)),"Y","N"))</f>
        <v>N</v>
      </c>
      <c r="EW287" s="0" t="str">
        <f aca="false">IF($A287="","",IF(OR(T287="Y",U287="do_not_contact",AQ287&amp;""&lt;&gt;""),"Y","N"))</f>
        <v>N</v>
      </c>
      <c r="EX287" s="0" t="str">
        <f aca="false">IF($A287="","",IF(AN287&amp;""&lt;&gt;"",AN287&amp;"",$A287))</f>
        <v>AB-300</v>
      </c>
      <c r="EY287" s="0" t="str">
        <f aca="false">IF($A287="","",IF(COUNTIFS($EX$2:$EX$1000,EX287,$EV$2:$EV$1000,"Y")+COUNTIFS($EX$2:$EX$1000,EX287,$EW$2:$EW$1000,"Y")&gt;0,"Y","N"))</f>
        <v>N</v>
      </c>
      <c r="EZ287" s="0" t="str">
        <f aca="false">IF($A287="","",IF(AND(U287="new",T287="N",EW287="N",AR287="Y",EY287="N"),"Y","N"))</f>
        <v>N</v>
      </c>
      <c r="FA287" s="0" t="str">
        <f aca="false">IF($A287="","",IF(EZ287&lt;&gt;"Y","N",IF(COUNTIFS($EX$2:$EX$1000,EX287,$EZ$2:$EZ$1000,"Y",$J$2:$J$1000,"&gt;"&amp;J287)+COUNTIFS($EX$2:$EX$1000,EX287,$EZ$2:$EZ$1000,"Y",$J$2:$J$1000,J287,$FG$2:$FG$1000,"&lt;"&amp;FG287)=0,"Y","N")))</f>
        <v>N</v>
      </c>
      <c r="FB287" s="0" t="str">
        <f aca="false">IF($A287="","",IF(AND(EZ287="Y",FA287="Y",Y287&amp;""&lt;&gt;""),IF(Y287&lt;=10,"Y","N"),"N"))</f>
        <v>N</v>
      </c>
      <c r="FC287" s="0" t="str">
        <f aca="false">IF(FB287="Y",Y287,"")</f>
        <v/>
      </c>
      <c r="FD287" s="0" t="str">
        <f aca="false">IF($A287="","",IF(AND(CK287="pass",AU287="Y",AV287&lt;&gt;"Y",U287="new",EW287="N"),"Y","N"))</f>
        <v>N</v>
      </c>
      <c r="FE287" s="0" t="str">
        <f aca="false">IF(FD287&lt;&gt;"Y","",IF(COUNTIFS($FD$2:$FD$1000,"Y",$J$2:$J$1000,"&gt;"&amp;J287)+COUNTIFS($FD$2:$FD$1000,"Y",$J$2:$J$1000,J287,$FG$2:$FG$1000,"&lt;"&amp;FG287)+1&lt;=30,COUNTIFS($FD$2:$FD$1000,"Y",$J$2:$J$1000,"&gt;"&amp;J287)+COUNTIFS($FD$2:$FD$1000,"Y",$J$2:$J$1000,J287,$FG$2:$FG$1000,"&lt;"&amp;FG287)+1,""))</f>
        <v/>
      </c>
      <c r="FF287" s="0" t="str">
        <f aca="false">IF(AND(_xlfn.ISFORMULA(C287),_xlfn.ISFORMULA(J287)),"Y","N")</f>
        <v>Y</v>
      </c>
      <c r="FG287" s="0" t="n">
        <f aca="false">ROW()-1</f>
        <v>286</v>
      </c>
    </row>
    <row r="288" customFormat="false" ht="15" hidden="false" customHeight="false" outlineLevel="0" collapsed="false">
      <c r="A288" s="0" t="s">
        <v>11796</v>
      </c>
      <c r="B288" s="0" t="s">
        <v>11797</v>
      </c>
      <c r="C288" s="0" t="str">
        <f aca="false">IF($A288="","",IF(AT288="Y",BL288&amp;"",AY288&amp;""))</f>
        <v/>
      </c>
      <c r="D288" s="0" t="str">
        <f aca="false">IF($A288="","",IF(AT288="Y",BM288&amp;"",AZ288&amp;""))</f>
        <v/>
      </c>
      <c r="E288" s="0" t="str">
        <f aca="false">IF($A288="","",IF(AT288="Y",BN288&amp;"",BA288&amp;""))</f>
        <v/>
      </c>
      <c r="F288" s="0" t="str">
        <f aca="false">IF($A288="","",IF(AT288="Y",BO288&amp;"",BB288&amp;""))</f>
        <v/>
      </c>
      <c r="G288" s="0" t="str">
        <f aca="false">IF($A288="","",IF(AT288="Y",BP288&amp;"",BC288&amp;""))</f>
        <v/>
      </c>
      <c r="H288" s="0" t="str">
        <f aca="false">IF($A288="","",IF(AT288="Y",BQ288&amp;"",BD288&amp;""))</f>
        <v>none</v>
      </c>
      <c r="I288" s="0" t="str">
        <f aca="false">IF($A288="","",IF(R288="Y","warm-intro",IF(H288="verified","email",IF(C288&lt;&gt;"","linkedin",CA288&amp;""))))</f>
        <v/>
      </c>
      <c r="J288" s="0" t="n">
        <f aca="false">IF($A288="","",IF(CK288="pass",ROUND(N(DO288)+N(DP288)+N(DQ288)+N(DR288)+N(DS288)+N(DT288)+N(DU288)+N(DV288),0),0))</f>
        <v>0</v>
      </c>
      <c r="K288" s="0" t="str">
        <f aca="false">IF($A288="","",IF(CK288&lt;&gt;"pass",BY288&amp;"",BY288&amp;", "&amp;IF(AT288="Y",BX288&amp;"",BK288&amp;"")&amp;BZ288&amp;IF(R288="Y","; known to the founder (+10)","")&amp;"."))</f>
        <v>Gated out: no-buy-path: no graded store within ten blocks and no online store shown.</v>
      </c>
      <c r="M288" s="0" t="s">
        <v>6144</v>
      </c>
      <c r="N288" s="0" t="s">
        <v>740</v>
      </c>
      <c r="O288" s="0" t="s">
        <v>11798</v>
      </c>
      <c r="P288" s="0" t="s">
        <v>11799</v>
      </c>
      <c r="Q288" s="0" t="s">
        <v>5980</v>
      </c>
      <c r="R288" s="5" t="s">
        <v>189</v>
      </c>
      <c r="S288" s="0" t="s">
        <v>209</v>
      </c>
      <c r="T288" s="5" t="s">
        <v>189</v>
      </c>
      <c r="U288" s="5" t="s">
        <v>3896</v>
      </c>
      <c r="V288" s="0" t="s">
        <v>11799</v>
      </c>
      <c r="W288" s="0" t="s">
        <v>172</v>
      </c>
      <c r="X288" s="0" t="s">
        <v>5578</v>
      </c>
      <c r="Y288" s="0" t="str">
        <f aca="false">IF(FA288&lt;&gt;"Y","",COUNTIFS($FA$2:$FA$1000,"Y",$J$2:$J$1000,"&gt;"&amp;J288)+COUNTIFS($FA$2:$FA$1000,"Y",$J$2:$J$1000,J288,$FG$2:$FG$1000,"&lt;"&amp;FG288)+1)</f>
        <v/>
      </c>
      <c r="AA288" s="0" t="s">
        <v>189</v>
      </c>
      <c r="AB288" s="0" t="str">
        <f aca="false">IF($A288="","",IF(AT288="Y",BW288&amp;"",BJ288&amp;""))</f>
        <v/>
      </c>
      <c r="AC288" s="0" t="str">
        <f aca="false">IF($A288="","",IF(AT288="Y",BR288&amp;"",BE288&amp;""))</f>
        <v/>
      </c>
      <c r="AD288" s="0" t="str">
        <f aca="false">IF($A288="","",IF(AT288="Y",BS288&amp;"",BF288&amp;""))</f>
        <v>none</v>
      </c>
      <c r="AE288" s="0" t="str">
        <f aca="false">IF($A288="","",IF(AT288="Y",BT288&amp;"",BG288&amp;""))</f>
        <v/>
      </c>
      <c r="AF288" s="0" t="str">
        <f aca="false">IF($A288="","",IF(AT288="Y",BU288&amp;"",BH288&amp;""))</f>
        <v/>
      </c>
      <c r="AG288" s="0" t="str">
        <f aca="false">IF($A288="","",IF(AT288="Y",BV288&amp;"",BI288&amp;""))</f>
        <v/>
      </c>
      <c r="AH288" s="0" t="s">
        <v>11800</v>
      </c>
      <c r="AI288" s="0" t="s">
        <v>5921</v>
      </c>
      <c r="AJ288" s="0" t="s">
        <v>11801</v>
      </c>
      <c r="AL288" s="0" t="s">
        <v>164</v>
      </c>
      <c r="AM288" s="0" t="s">
        <v>11802</v>
      </c>
      <c r="AN288" s="0" t="s">
        <v>11796</v>
      </c>
      <c r="AO288" s="5" t="s">
        <v>189</v>
      </c>
      <c r="AR288" s="0" t="str">
        <f aca="false">IF($A288="","",IF(AND(CK288="pass",AO288&lt;&gt;"Y",C288&lt;&gt;"",OR(AU288&lt;&gt;"Y",AV288="Y")),"Y","N"))</f>
        <v>N</v>
      </c>
      <c r="AS288" s="0" t="str">
        <f aca="false">IF($A288="","",_xlfn.TEXTJOIN("; ",TRUE(),IF(CK288&lt;&gt;"pass","gated out",""),IF(AO288="Y","on hold: "&amp;AP288,""),IF(C288="","no contact named on an opened page",""),IF(AND(AU288="Y",AV288&lt;&gt;"Y"),"founder review pending (Founder review tab)","")))</f>
        <v>gated out; no contact named on an opened page</v>
      </c>
      <c r="AU288" s="0" t="s">
        <v>189</v>
      </c>
      <c r="BC288" s="0" t="str">
        <f aca="false">IF($A288="","",IFERROR(INDEX(Enrichment!$A$2:$GZ$2000,MATCH($A288,INDEX(Enrichment!$A$2:$GZ$2000,0,MATCH("row_id",Enrichment!$A$1:$GZ$1,0)),0),MATCH("work_email",Enrichment!$A$1:$GZ$1,0))&amp;"",""))</f>
        <v/>
      </c>
      <c r="BD288" s="0" t="str">
        <f aca="false">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none</v>
      </c>
      <c r="BF288" s="0" t="s">
        <v>380</v>
      </c>
      <c r="BK288" s="0" t="s">
        <v>6048</v>
      </c>
      <c r="BP288" s="0" t="str">
        <f aca="false">IF($A288="","",IFERROR(INDEX(Enrichment!$A$2:$GZ$2000,MATCH($A288,INDEX(Enrichment!$A$2:$GZ$2000,0,MATCH("row_id",Enrichment!$A$1:$GZ$1,0)),0),MATCH("backup_work_email",Enrichment!$A$1:$GZ$1,0))&amp;"",""))</f>
        <v/>
      </c>
      <c r="BQ288" s="0" t="str">
        <f aca="false">IF($A288="","",IF(BP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none</v>
      </c>
      <c r="BS288" s="0" t="s">
        <v>380</v>
      </c>
      <c r="BX288" s="0" t="s">
        <v>388</v>
      </c>
      <c r="BY288" s="0" t="s">
        <v>11104</v>
      </c>
      <c r="CJ288" s="0" t="s">
        <v>7088</v>
      </c>
      <c r="CK288" s="0" t="s">
        <v>4627</v>
      </c>
      <c r="CL288" s="0" t="s">
        <v>10545</v>
      </c>
      <c r="CM288" s="0" t="s">
        <v>11105</v>
      </c>
      <c r="CN288" s="0" t="s">
        <v>7171</v>
      </c>
      <c r="CO288" s="0" t="s">
        <v>11803</v>
      </c>
      <c r="CP288" s="0" t="s">
        <v>5608</v>
      </c>
      <c r="CQ288" s="0" t="s">
        <v>5609</v>
      </c>
      <c r="CR288" s="0" t="s">
        <v>209</v>
      </c>
      <c r="CT288" s="0" t="s">
        <v>164</v>
      </c>
      <c r="CU288" s="0" t="s">
        <v>11804</v>
      </c>
      <c r="CV288" s="0" t="s">
        <v>209</v>
      </c>
      <c r="CW288" s="0" t="s">
        <v>189</v>
      </c>
      <c r="CX288" s="0" t="s">
        <v>209</v>
      </c>
      <c r="CZ288" s="0" t="s">
        <v>5993</v>
      </c>
      <c r="DA288" s="0" t="s">
        <v>189</v>
      </c>
      <c r="DB288" s="0" t="s">
        <v>189</v>
      </c>
      <c r="DE288" s="0" t="s">
        <v>189</v>
      </c>
      <c r="DF288" s="0" t="n">
        <v>0</v>
      </c>
      <c r="DI288" s="0" t="s">
        <v>11805</v>
      </c>
      <c r="DK288" s="0" t="s">
        <v>5617</v>
      </c>
      <c r="DL288" s="0" t="n">
        <v>118</v>
      </c>
      <c r="DN288" s="0" t="n">
        <v>43</v>
      </c>
      <c r="DO288" s="0" t="n">
        <v>0</v>
      </c>
      <c r="DP288" s="0" t="n">
        <v>20</v>
      </c>
      <c r="DQ288" s="0" t="n">
        <v>15</v>
      </c>
      <c r="DR288" s="0" t="n">
        <v>5</v>
      </c>
      <c r="DS288" s="0" t="n">
        <v>5</v>
      </c>
      <c r="DT288" s="0" t="n">
        <v>0</v>
      </c>
      <c r="DU288" s="0" t="n">
        <f aca="false">IF($A288="","",IF(R288="Y",10,0))</f>
        <v>0</v>
      </c>
      <c r="DV288" s="0" t="n">
        <v>-2</v>
      </c>
      <c r="DX288" s="0" t="s">
        <v>5998</v>
      </c>
      <c r="DY288" s="0" t="s">
        <v>11806</v>
      </c>
      <c r="DZ288" s="0" t="s">
        <v>11807</v>
      </c>
      <c r="EV288" s="0" t="str">
        <f aca="false">IF($A288="","",IF(ISNUMBER(MATCH(U288,{"queued","contacted","replied","call_booked","call_done","yes_in_principle","materials_sent"},0)),"Y","N"))</f>
        <v>N</v>
      </c>
      <c r="EW288" s="0" t="str">
        <f aca="false">IF($A288="","",IF(OR(T288="Y",U288="do_not_contact",AQ288&amp;""&lt;&gt;""),"Y","N"))</f>
        <v>N</v>
      </c>
      <c r="EX288" s="0" t="str">
        <f aca="false">IF($A288="","",IF(AN288&amp;""&lt;&gt;"",AN288&amp;"",$A288))</f>
        <v>AB-273</v>
      </c>
      <c r="EY288" s="0" t="str">
        <f aca="false">IF($A288="","",IF(COUNTIFS($EX$2:$EX$1000,EX288,$EV$2:$EV$1000,"Y")+COUNTIFS($EX$2:$EX$1000,EX288,$EW$2:$EW$1000,"Y")&gt;0,"Y","N"))</f>
        <v>N</v>
      </c>
      <c r="EZ288" s="0" t="str">
        <f aca="false">IF($A288="","",IF(AND(U288="new",T288="N",EW288="N",AR288="Y",EY288="N"),"Y","N"))</f>
        <v>N</v>
      </c>
      <c r="FA288" s="0" t="str">
        <f aca="false">IF($A288="","",IF(EZ288&lt;&gt;"Y","N",IF(COUNTIFS($EX$2:$EX$1000,EX288,$EZ$2:$EZ$1000,"Y",$J$2:$J$1000,"&gt;"&amp;J288)+COUNTIFS($EX$2:$EX$1000,EX288,$EZ$2:$EZ$1000,"Y",$J$2:$J$1000,J288,$FG$2:$FG$1000,"&lt;"&amp;FG288)=0,"Y","N")))</f>
        <v>N</v>
      </c>
      <c r="FB288" s="0" t="str">
        <f aca="false">IF($A288="","",IF(AND(EZ288="Y",FA288="Y",Y288&amp;""&lt;&gt;""),IF(Y288&lt;=10,"Y","N"),"N"))</f>
        <v>N</v>
      </c>
      <c r="FC288" s="0" t="str">
        <f aca="false">IF(FB288="Y",Y288,"")</f>
        <v/>
      </c>
      <c r="FD288" s="0" t="str">
        <f aca="false">IF($A288="","",IF(AND(CK288="pass",AU288="Y",AV288&lt;&gt;"Y",U288="new",EW288="N"),"Y","N"))</f>
        <v>N</v>
      </c>
      <c r="FE288" s="0" t="str">
        <f aca="false">IF(FD288&lt;&gt;"Y","",IF(COUNTIFS($FD$2:$FD$1000,"Y",$J$2:$J$1000,"&gt;"&amp;J288)+COUNTIFS($FD$2:$FD$1000,"Y",$J$2:$J$1000,J288,$FG$2:$FG$1000,"&lt;"&amp;FG288)+1&lt;=30,COUNTIFS($FD$2:$FD$1000,"Y",$J$2:$J$1000,"&gt;"&amp;J288)+COUNTIFS($FD$2:$FD$1000,"Y",$J$2:$J$1000,J288,$FG$2:$FG$1000,"&lt;"&amp;FG288)+1,""))</f>
        <v/>
      </c>
      <c r="FF288" s="0" t="str">
        <f aca="false">IF(AND(_xlfn.ISFORMULA(C288),_xlfn.ISFORMULA(J288)),"Y","N")</f>
        <v>Y</v>
      </c>
      <c r="FG288" s="0" t="n">
        <f aca="false">ROW()-1</f>
        <v>287</v>
      </c>
    </row>
    <row r="289" customFormat="false" ht="15" hidden="false" customHeight="false" outlineLevel="0" collapsed="false">
      <c r="A289" s="0" t="s">
        <v>11808</v>
      </c>
      <c r="B289" s="0" t="s">
        <v>11809</v>
      </c>
      <c r="C289" s="0" t="str">
        <f aca="false">IF($A289="","",IF(AT289="Y",BL289&amp;"",AY289&amp;""))</f>
        <v/>
      </c>
      <c r="D289" s="0" t="str">
        <f aca="false">IF($A289="","",IF(AT289="Y",BM289&amp;"",AZ289&amp;""))</f>
        <v/>
      </c>
      <c r="E289" s="0" t="str">
        <f aca="false">IF($A289="","",IF(AT289="Y",BN289&amp;"",BA289&amp;""))</f>
        <v/>
      </c>
      <c r="F289" s="0" t="str">
        <f aca="false">IF($A289="","",IF(AT289="Y",BO289&amp;"",BB289&amp;""))</f>
        <v/>
      </c>
      <c r="G289" s="0" t="str">
        <f aca="false">IF($A289="","",IF(AT289="Y",BP289&amp;"",BC289&amp;""))</f>
        <v/>
      </c>
      <c r="H289" s="0" t="str">
        <f aca="false">IF($A289="","",IF(AT289="Y",BQ289&amp;"",BD289&amp;""))</f>
        <v>none</v>
      </c>
      <c r="I289" s="0" t="str">
        <f aca="false">IF($A289="","",IF(R289="Y","warm-intro",IF(H289="verified","email",IF(C289&lt;&gt;"","linkedin",CA289&amp;""))))</f>
        <v/>
      </c>
      <c r="J289" s="0" t="n">
        <f aca="false">IF($A289="","",IF(CK289="pass",ROUND(N(DO289)+N(DP289)+N(DQ289)+N(DR289)+N(DS289)+N(DT289)+N(DU289)+N(DV289),0),0))</f>
        <v>0</v>
      </c>
      <c r="K289" s="0" t="str">
        <f aca="false">IF($A289="","",IF(CK289&lt;&gt;"pass",BY289&amp;"",BY289&amp;", "&amp;IF(AT289="Y",BX289&amp;"",BK289&amp;"")&amp;BZ289&amp;IF(R289="Y","; known to the founder (+10)","")&amp;"."))</f>
        <v>Gated out: no-buy-path: no graded store within ten blocks and no online store shown.</v>
      </c>
      <c r="M289" s="0" t="s">
        <v>6144</v>
      </c>
      <c r="N289" s="0" t="s">
        <v>740</v>
      </c>
      <c r="O289" s="0" t="s">
        <v>11810</v>
      </c>
      <c r="P289" s="0" t="s">
        <v>11811</v>
      </c>
      <c r="Q289" s="0" t="s">
        <v>5980</v>
      </c>
      <c r="R289" s="5" t="s">
        <v>189</v>
      </c>
      <c r="S289" s="0" t="s">
        <v>209</v>
      </c>
      <c r="T289" s="5" t="s">
        <v>189</v>
      </c>
      <c r="U289" s="5" t="s">
        <v>3896</v>
      </c>
      <c r="V289" s="0" t="s">
        <v>11811</v>
      </c>
      <c r="W289" s="0" t="s">
        <v>172</v>
      </c>
      <c r="X289" s="0" t="s">
        <v>5578</v>
      </c>
      <c r="Y289" s="0" t="str">
        <f aca="false">IF(FA289&lt;&gt;"Y","",COUNTIFS($FA$2:$FA$1000,"Y",$J$2:$J$1000,"&gt;"&amp;J289)+COUNTIFS($FA$2:$FA$1000,"Y",$J$2:$J$1000,J289,$FG$2:$FG$1000,"&lt;"&amp;FG289)+1)</f>
        <v/>
      </c>
      <c r="AA289" s="0" t="s">
        <v>189</v>
      </c>
      <c r="AB289" s="0" t="str">
        <f aca="false">IF($A289="","",IF(AT289="Y",BW289&amp;"",BJ289&amp;""))</f>
        <v/>
      </c>
      <c r="AC289" s="0" t="str">
        <f aca="false">IF($A289="","",IF(AT289="Y",BR289&amp;"",BE289&amp;""))</f>
        <v/>
      </c>
      <c r="AD289" s="0" t="str">
        <f aca="false">IF($A289="","",IF(AT289="Y",BS289&amp;"",BF289&amp;""))</f>
        <v>none</v>
      </c>
      <c r="AE289" s="0" t="str">
        <f aca="false">IF($A289="","",IF(AT289="Y",BT289&amp;"",BG289&amp;""))</f>
        <v/>
      </c>
      <c r="AF289" s="0" t="str">
        <f aca="false">IF($A289="","",IF(AT289="Y",BU289&amp;"",BH289&amp;""))</f>
        <v/>
      </c>
      <c r="AG289" s="0" t="str">
        <f aca="false">IF($A289="","",IF(AT289="Y",BV289&amp;"",BI289&amp;""))</f>
        <v/>
      </c>
      <c r="AH289" s="0" t="s">
        <v>11812</v>
      </c>
      <c r="AI289" s="0" t="s">
        <v>5580</v>
      </c>
      <c r="AJ289" s="0" t="s">
        <v>11813</v>
      </c>
      <c r="AL289" s="0" t="s">
        <v>164</v>
      </c>
      <c r="AM289" s="0" t="s">
        <v>11814</v>
      </c>
      <c r="AN289" s="0" t="s">
        <v>11808</v>
      </c>
      <c r="AO289" s="5" t="s">
        <v>189</v>
      </c>
      <c r="AR289" s="0" t="str">
        <f aca="false">IF($A289="","",IF(AND(CK289="pass",AO289&lt;&gt;"Y",C289&lt;&gt;"",OR(AU289&lt;&gt;"Y",AV289="Y")),"Y","N"))</f>
        <v>N</v>
      </c>
      <c r="AS289" s="0" t="str">
        <f aca="false">IF($A289="","",_xlfn.TEXTJOIN("; ",TRUE(),IF(CK289&lt;&gt;"pass","gated out",""),IF(AO289="Y","on hold: "&amp;AP289,""),IF(C289="","no contact named on an opened page",""),IF(AND(AU289="Y",AV289&lt;&gt;"Y"),"founder review pending (Founder review tab)","")))</f>
        <v>gated out; no contact named on an opened page</v>
      </c>
      <c r="AU289" s="0" t="s">
        <v>189</v>
      </c>
      <c r="BC289" s="0" t="str">
        <f aca="false">IF($A289="","",IFERROR(INDEX(Enrichment!$A$2:$GZ$2000,MATCH($A289,INDEX(Enrichment!$A$2:$GZ$2000,0,MATCH("row_id",Enrichment!$A$1:$GZ$1,0)),0),MATCH("work_email",Enrichment!$A$1:$GZ$1,0))&amp;"",""))</f>
        <v/>
      </c>
      <c r="BD289" s="0" t="str">
        <f aca="false">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none</v>
      </c>
      <c r="BF289" s="0" t="s">
        <v>380</v>
      </c>
      <c r="BK289" s="0" t="s">
        <v>6048</v>
      </c>
      <c r="BP289" s="0" t="str">
        <f aca="false">IF($A289="","",IFERROR(INDEX(Enrichment!$A$2:$GZ$2000,MATCH($A289,INDEX(Enrichment!$A$2:$GZ$2000,0,MATCH("row_id",Enrichment!$A$1:$GZ$1,0)),0),MATCH("backup_work_email",Enrichment!$A$1:$GZ$1,0))&amp;"",""))</f>
        <v/>
      </c>
      <c r="BQ289" s="0" t="str">
        <f aca="false">IF($A289="","",IF(BP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none</v>
      </c>
      <c r="BS289" s="0" t="s">
        <v>380</v>
      </c>
      <c r="BX289" s="0" t="s">
        <v>388</v>
      </c>
      <c r="BY289" s="0" t="s">
        <v>11104</v>
      </c>
      <c r="CJ289" s="0" t="s">
        <v>7088</v>
      </c>
      <c r="CK289" s="0" t="s">
        <v>4627</v>
      </c>
      <c r="CL289" s="0" t="s">
        <v>10545</v>
      </c>
      <c r="CM289" s="0" t="s">
        <v>11105</v>
      </c>
      <c r="CN289" s="0" t="s">
        <v>7171</v>
      </c>
      <c r="CO289" s="0" t="s">
        <v>11815</v>
      </c>
      <c r="CP289" s="0" t="s">
        <v>5608</v>
      </c>
      <c r="CQ289" s="0" t="s">
        <v>5870</v>
      </c>
      <c r="CR289" s="0" t="s">
        <v>209</v>
      </c>
      <c r="CT289" s="0" t="s">
        <v>209</v>
      </c>
      <c r="CU289" s="0" t="s">
        <v>11816</v>
      </c>
      <c r="CV289" s="0" t="s">
        <v>209</v>
      </c>
      <c r="CW289" s="0" t="s">
        <v>189</v>
      </c>
      <c r="CX289" s="0" t="s">
        <v>209</v>
      </c>
      <c r="CZ289" s="0" t="s">
        <v>5993</v>
      </c>
      <c r="DA289" s="0" t="s">
        <v>189</v>
      </c>
      <c r="DB289" s="0" t="s">
        <v>189</v>
      </c>
      <c r="DE289" s="0" t="s">
        <v>189</v>
      </c>
      <c r="DF289" s="0" t="n">
        <v>0</v>
      </c>
      <c r="DI289" s="0" t="s">
        <v>11817</v>
      </c>
      <c r="DK289" s="0" t="s">
        <v>5617</v>
      </c>
      <c r="DL289" s="0" t="n">
        <v>118</v>
      </c>
      <c r="DN289" s="0" t="n">
        <v>33</v>
      </c>
      <c r="DO289" s="0" t="n">
        <v>0</v>
      </c>
      <c r="DP289" s="0" t="n">
        <v>13</v>
      </c>
      <c r="DQ289" s="0" t="n">
        <v>15</v>
      </c>
      <c r="DR289" s="0" t="n">
        <v>5</v>
      </c>
      <c r="DS289" s="0" t="n">
        <v>2</v>
      </c>
      <c r="DT289" s="0" t="n">
        <v>0</v>
      </c>
      <c r="DU289" s="0" t="n">
        <f aca="false">IF($A289="","",IF(R289="Y",10,0))</f>
        <v>0</v>
      </c>
      <c r="DV289" s="0" t="n">
        <v>-2</v>
      </c>
      <c r="DW289" s="0" t="s">
        <v>11818</v>
      </c>
      <c r="DX289" s="0" t="s">
        <v>5998</v>
      </c>
      <c r="DY289" s="0" t="s">
        <v>11819</v>
      </c>
      <c r="DZ289" s="0" t="s">
        <v>11820</v>
      </c>
      <c r="EV289" s="0" t="str">
        <f aca="false">IF($A289="","",IF(ISNUMBER(MATCH(U289,{"queued","contacted","replied","call_booked","call_done","yes_in_principle","materials_sent"},0)),"Y","N"))</f>
        <v>N</v>
      </c>
      <c r="EW289" s="0" t="str">
        <f aca="false">IF($A289="","",IF(OR(T289="Y",U289="do_not_contact",AQ289&amp;""&lt;&gt;""),"Y","N"))</f>
        <v>N</v>
      </c>
      <c r="EX289" s="0" t="str">
        <f aca="false">IF($A289="","",IF(AN289&amp;""&lt;&gt;"",AN289&amp;"",$A289))</f>
        <v>AB-275</v>
      </c>
      <c r="EY289" s="0" t="str">
        <f aca="false">IF($A289="","",IF(COUNTIFS($EX$2:$EX$1000,EX289,$EV$2:$EV$1000,"Y")+COUNTIFS($EX$2:$EX$1000,EX289,$EW$2:$EW$1000,"Y")&gt;0,"Y","N"))</f>
        <v>N</v>
      </c>
      <c r="EZ289" s="0" t="str">
        <f aca="false">IF($A289="","",IF(AND(U289="new",T289="N",EW289="N",AR289="Y",EY289="N"),"Y","N"))</f>
        <v>N</v>
      </c>
      <c r="FA289" s="0" t="str">
        <f aca="false">IF($A289="","",IF(EZ289&lt;&gt;"Y","N",IF(COUNTIFS($EX$2:$EX$1000,EX289,$EZ$2:$EZ$1000,"Y",$J$2:$J$1000,"&gt;"&amp;J289)+COUNTIFS($EX$2:$EX$1000,EX289,$EZ$2:$EZ$1000,"Y",$J$2:$J$1000,J289,$FG$2:$FG$1000,"&lt;"&amp;FG289)=0,"Y","N")))</f>
        <v>N</v>
      </c>
      <c r="FB289" s="0" t="str">
        <f aca="false">IF($A289="","",IF(AND(EZ289="Y",FA289="Y",Y289&amp;""&lt;&gt;""),IF(Y289&lt;=10,"Y","N"),"N"))</f>
        <v>N</v>
      </c>
      <c r="FC289" s="0" t="str">
        <f aca="false">IF(FB289="Y",Y289,"")</f>
        <v/>
      </c>
      <c r="FD289" s="0" t="str">
        <f aca="false">IF($A289="","",IF(AND(CK289="pass",AU289="Y",AV289&lt;&gt;"Y",U289="new",EW289="N"),"Y","N"))</f>
        <v>N</v>
      </c>
      <c r="FE289" s="0" t="str">
        <f aca="false">IF(FD289&lt;&gt;"Y","",IF(COUNTIFS($FD$2:$FD$1000,"Y",$J$2:$J$1000,"&gt;"&amp;J289)+COUNTIFS($FD$2:$FD$1000,"Y",$J$2:$J$1000,J289,$FG$2:$FG$1000,"&lt;"&amp;FG289)+1&lt;=30,COUNTIFS($FD$2:$FD$1000,"Y",$J$2:$J$1000,"&gt;"&amp;J289)+COUNTIFS($FD$2:$FD$1000,"Y",$J$2:$J$1000,J289,$FG$2:$FG$1000,"&lt;"&amp;FG289)+1,""))</f>
        <v/>
      </c>
      <c r="FF289" s="0" t="str">
        <f aca="false">IF(AND(_xlfn.ISFORMULA(C289),_xlfn.ISFORMULA(J289)),"Y","N")</f>
        <v>Y</v>
      </c>
      <c r="FG289" s="0" t="n">
        <f aca="false">ROW()-1</f>
        <v>288</v>
      </c>
    </row>
    <row r="290" customFormat="false" ht="15" hidden="false" customHeight="false" outlineLevel="0" collapsed="false">
      <c r="A290" s="0" t="s">
        <v>11821</v>
      </c>
      <c r="B290" s="0" t="s">
        <v>11822</v>
      </c>
      <c r="C290" s="0" t="str">
        <f aca="false">IF($A290="","",IF(AT290="Y",BL290&amp;"",AY290&amp;""))</f>
        <v/>
      </c>
      <c r="D290" s="0" t="str">
        <f aca="false">IF($A290="","",IF(AT290="Y",BM290&amp;"",AZ290&amp;""))</f>
        <v/>
      </c>
      <c r="E290" s="0" t="str">
        <f aca="false">IF($A290="","",IF(AT290="Y",BN290&amp;"",BA290&amp;""))</f>
        <v/>
      </c>
      <c r="F290" s="0" t="str">
        <f aca="false">IF($A290="","",IF(AT290="Y",BO290&amp;"",BB290&amp;""))</f>
        <v/>
      </c>
      <c r="G290" s="0" t="str">
        <f aca="false">IF($A290="","",IF(AT290="Y",BP290&amp;"",BC290&amp;""))</f>
        <v/>
      </c>
      <c r="H290" s="0" t="str">
        <f aca="false">IF($A290="","",IF(AT290="Y",BQ290&amp;"",BD290&amp;""))</f>
        <v>none</v>
      </c>
      <c r="I290" s="0" t="str">
        <f aca="false">IF($A290="","",IF(R290="Y","warm-intro",IF(H290="verified","email",IF(C290&lt;&gt;"","linkedin",CA290&amp;""))))</f>
        <v/>
      </c>
      <c r="J290" s="0" t="n">
        <f aca="false">IF($A290="","",IF(CK290="pass",ROUND(N(DO290)+N(DP290)+N(DQ290)+N(DR290)+N(DS290)+N(DT290)+N(DU290)+N(DV290),0),0))</f>
        <v>0</v>
      </c>
      <c r="K290" s="0" t="str">
        <f aca="false">IF($A290="","",IF(CK290&lt;&gt;"pass",BY290&amp;"",BY290&amp;", "&amp;IF(AT290="Y",BX290&amp;"",BK290&amp;"")&amp;BZ290&amp;IF(R290="Y","; known to the founder (+10)","")&amp;"."))</f>
        <v>Gated out: health-claim: explicit health claim in the brand's own copy (opened 2026-10-24): 'the brand's own store sells teas and herbal products with structure/function w.</v>
      </c>
      <c r="M290" s="0" t="s">
        <v>6144</v>
      </c>
      <c r="N290" s="0" t="s">
        <v>740</v>
      </c>
      <c r="O290" s="0" t="s">
        <v>11823</v>
      </c>
      <c r="P290" s="0" t="s">
        <v>11824</v>
      </c>
      <c r="Q290" s="0" t="s">
        <v>11825</v>
      </c>
      <c r="R290" s="5" t="s">
        <v>189</v>
      </c>
      <c r="S290" s="0" t="s">
        <v>209</v>
      </c>
      <c r="T290" s="5" t="s">
        <v>189</v>
      </c>
      <c r="U290" s="5" t="s">
        <v>3896</v>
      </c>
      <c r="V290" s="0" t="s">
        <v>11826</v>
      </c>
      <c r="W290" s="0" t="s">
        <v>172</v>
      </c>
      <c r="X290" s="0" t="s">
        <v>5578</v>
      </c>
      <c r="Y290" s="0" t="str">
        <f aca="false">IF(FA290&lt;&gt;"Y","",COUNTIFS($FA$2:$FA$1000,"Y",$J$2:$J$1000,"&gt;"&amp;J290)+COUNTIFS($FA$2:$FA$1000,"Y",$J$2:$J$1000,J290,$FG$2:$FG$1000,"&lt;"&amp;FG290)+1)</f>
        <v/>
      </c>
      <c r="AA290" s="0" t="s">
        <v>189</v>
      </c>
      <c r="AB290" s="0" t="str">
        <f aca="false">IF($A290="","",IF(AT290="Y",BW290&amp;"",BJ290&amp;""))</f>
        <v/>
      </c>
      <c r="AC290" s="0" t="str">
        <f aca="false">IF($A290="","",IF(AT290="Y",BR290&amp;"",BE290&amp;""))</f>
        <v/>
      </c>
      <c r="AD290" s="0" t="str">
        <f aca="false">IF($A290="","",IF(AT290="Y",BS290&amp;"",BF290&amp;""))</f>
        <v>none</v>
      </c>
      <c r="AE290" s="0" t="str">
        <f aca="false">IF($A290="","",IF(AT290="Y",BT290&amp;"",BG290&amp;""))</f>
        <v/>
      </c>
      <c r="AF290" s="0" t="str">
        <f aca="false">IF($A290="","",IF(AT290="Y",BU290&amp;"",BH290&amp;""))</f>
        <v/>
      </c>
      <c r="AG290" s="0" t="str">
        <f aca="false">IF($A290="","",IF(AT290="Y",BV290&amp;"",BI290&amp;""))</f>
        <v/>
      </c>
      <c r="AH290" s="0" t="s">
        <v>11827</v>
      </c>
      <c r="AI290" s="0" t="s">
        <v>5921</v>
      </c>
      <c r="AJ290" s="0" t="s">
        <v>11828</v>
      </c>
      <c r="AK290" s="0" t="s">
        <v>11829</v>
      </c>
      <c r="AL290" s="0" t="s">
        <v>164</v>
      </c>
      <c r="AM290" s="0" t="s">
        <v>11830</v>
      </c>
      <c r="AN290" s="0" t="s">
        <v>11821</v>
      </c>
      <c r="AO290" s="5" t="s">
        <v>189</v>
      </c>
      <c r="AR290" s="0" t="str">
        <f aca="false">IF($A290="","",IF(AND(CK290="pass",AO290&lt;&gt;"Y",C290&lt;&gt;"",OR(AU290&lt;&gt;"Y",AV290="Y")),"Y","N"))</f>
        <v>N</v>
      </c>
      <c r="AS290" s="0" t="str">
        <f aca="false">IF($A290="","",_xlfn.TEXTJOIN("; ",TRUE(),IF(CK290&lt;&gt;"pass","gated out",""),IF(AO290="Y","on hold: "&amp;AP290,""),IF(C290="","no contact named on an opened page",""),IF(AND(AU290="Y",AV290&lt;&gt;"Y"),"founder review pending (Founder review tab)","")))</f>
        <v>gated out; no contact named on an opened page</v>
      </c>
      <c r="AU290" s="0" t="s">
        <v>189</v>
      </c>
      <c r="BC290" s="0" t="str">
        <f aca="false">IF($A290="","",IFERROR(INDEX(Enrichment!$A$2:$GZ$2000,MATCH($A290,INDEX(Enrichment!$A$2:$GZ$2000,0,MATCH("row_id",Enrichment!$A$1:$GZ$1,0)),0),MATCH("work_email",Enrichment!$A$1:$GZ$1,0))&amp;"",""))</f>
        <v/>
      </c>
      <c r="BD290" s="0" t="str">
        <f aca="false">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none</v>
      </c>
      <c r="BF290" s="0" t="s">
        <v>380</v>
      </c>
      <c r="BK290" s="0" t="s">
        <v>6048</v>
      </c>
      <c r="BP290" s="0" t="str">
        <f aca="false">IF($A290="","",IFERROR(INDEX(Enrichment!$A$2:$GZ$2000,MATCH($A290,INDEX(Enrichment!$A$2:$GZ$2000,0,MATCH("row_id",Enrichment!$A$1:$GZ$1,0)),0),MATCH("backup_work_email",Enrichment!$A$1:$GZ$1,0))&amp;"",""))</f>
        <v/>
      </c>
      <c r="BQ290" s="0" t="str">
        <f aca="false">IF($A290="","",IF(BP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none</v>
      </c>
      <c r="BS290" s="0" t="s">
        <v>380</v>
      </c>
      <c r="BX290" s="0" t="s">
        <v>388</v>
      </c>
      <c r="BY290" s="0" t="s">
        <v>11831</v>
      </c>
      <c r="CJ290" s="0" t="s">
        <v>7088</v>
      </c>
      <c r="CK290" s="0" t="s">
        <v>4627</v>
      </c>
      <c r="CL290" s="0" t="s">
        <v>10005</v>
      </c>
      <c r="CM290" s="0" t="s">
        <v>11832</v>
      </c>
      <c r="CN290" s="0" t="s">
        <v>5607</v>
      </c>
      <c r="CO290" s="0" t="s">
        <v>11833</v>
      </c>
      <c r="CP290" s="0" t="s">
        <v>5608</v>
      </c>
      <c r="CQ290" s="0" t="s">
        <v>5609</v>
      </c>
      <c r="CR290" s="0" t="s">
        <v>209</v>
      </c>
      <c r="CT290" s="0" t="s">
        <v>164</v>
      </c>
      <c r="CU290" s="0" t="s">
        <v>11834</v>
      </c>
      <c r="CV290" s="0" t="s">
        <v>164</v>
      </c>
      <c r="CW290" s="0" t="s">
        <v>164</v>
      </c>
      <c r="CX290" s="0" t="s">
        <v>209</v>
      </c>
      <c r="CZ290" s="0" t="s">
        <v>5993</v>
      </c>
      <c r="DA290" s="0" t="s">
        <v>189</v>
      </c>
      <c r="DB290" s="0" t="s">
        <v>164</v>
      </c>
      <c r="DC290" s="0" t="s">
        <v>11835</v>
      </c>
      <c r="DE290" s="0" t="s">
        <v>189</v>
      </c>
      <c r="DF290" s="0" t="n">
        <v>0</v>
      </c>
      <c r="DI290" s="0" t="s">
        <v>11836</v>
      </c>
      <c r="DK290" s="0" t="s">
        <v>5689</v>
      </c>
      <c r="DL290" s="0" t="n">
        <v>121</v>
      </c>
      <c r="DN290" s="0" t="n">
        <v>45</v>
      </c>
      <c r="DO290" s="0" t="n">
        <v>6</v>
      </c>
      <c r="DP290" s="0" t="n">
        <v>20</v>
      </c>
      <c r="DQ290" s="0" t="n">
        <v>8</v>
      </c>
      <c r="DR290" s="0" t="n">
        <v>5</v>
      </c>
      <c r="DS290" s="0" t="n">
        <v>10</v>
      </c>
      <c r="DT290" s="0" t="n">
        <v>0</v>
      </c>
      <c r="DU290" s="0" t="n">
        <f aca="false">IF($A290="","",IF(R290="Y",10,0))</f>
        <v>0</v>
      </c>
      <c r="DV290" s="0" t="n">
        <v>-4</v>
      </c>
      <c r="DW290" s="0" t="s">
        <v>11837</v>
      </c>
      <c r="DX290" s="0" t="s">
        <v>5998</v>
      </c>
      <c r="DY290" s="0" t="s">
        <v>11838</v>
      </c>
      <c r="DZ290" s="0" t="s">
        <v>11839</v>
      </c>
      <c r="EA290" s="0" t="s">
        <v>11840</v>
      </c>
      <c r="EV290" s="0" t="str">
        <f aca="false">IF($A290="","",IF(ISNUMBER(MATCH(U290,{"queued","contacted","replied","call_booked","call_done","yes_in_principle","materials_sent"},0)),"Y","N"))</f>
        <v>N</v>
      </c>
      <c r="EW290" s="0" t="str">
        <f aca="false">IF($A290="","",IF(OR(T290="Y",U290="do_not_contact",AQ290&amp;""&lt;&gt;""),"Y","N"))</f>
        <v>N</v>
      </c>
      <c r="EX290" s="0" t="str">
        <f aca="false">IF($A290="","",IF(AN290&amp;""&lt;&gt;"",AN290&amp;"",$A290))</f>
        <v>AB-267</v>
      </c>
      <c r="EY290" s="0" t="str">
        <f aca="false">IF($A290="","",IF(COUNTIFS($EX$2:$EX$1000,EX290,$EV$2:$EV$1000,"Y")+COUNTIFS($EX$2:$EX$1000,EX290,$EW$2:$EW$1000,"Y")&gt;0,"Y","N"))</f>
        <v>N</v>
      </c>
      <c r="EZ290" s="0" t="str">
        <f aca="false">IF($A290="","",IF(AND(U290="new",T290="N",EW290="N",AR290="Y",EY290="N"),"Y","N"))</f>
        <v>N</v>
      </c>
      <c r="FA290" s="0" t="str">
        <f aca="false">IF($A290="","",IF(EZ290&lt;&gt;"Y","N",IF(COUNTIFS($EX$2:$EX$1000,EX290,$EZ$2:$EZ$1000,"Y",$J$2:$J$1000,"&gt;"&amp;J290)+COUNTIFS($EX$2:$EX$1000,EX290,$EZ$2:$EZ$1000,"Y",$J$2:$J$1000,J290,$FG$2:$FG$1000,"&lt;"&amp;FG290)=0,"Y","N")))</f>
        <v>N</v>
      </c>
      <c r="FB290" s="0" t="str">
        <f aca="false">IF($A290="","",IF(AND(EZ290="Y",FA290="Y",Y290&amp;""&lt;&gt;""),IF(Y290&lt;=10,"Y","N"),"N"))</f>
        <v>N</v>
      </c>
      <c r="FC290" s="0" t="str">
        <f aca="false">IF(FB290="Y",Y290,"")</f>
        <v/>
      </c>
      <c r="FD290" s="0" t="str">
        <f aca="false">IF($A290="","",IF(AND(CK290="pass",AU290="Y",AV290&lt;&gt;"Y",U290="new",EW290="N"),"Y","N"))</f>
        <v>N</v>
      </c>
      <c r="FE290" s="0" t="str">
        <f aca="false">IF(FD290&lt;&gt;"Y","",IF(COUNTIFS($FD$2:$FD$1000,"Y",$J$2:$J$1000,"&gt;"&amp;J290)+COUNTIFS($FD$2:$FD$1000,"Y",$J$2:$J$1000,J290,$FG$2:$FG$1000,"&lt;"&amp;FG290)+1&lt;=30,COUNTIFS($FD$2:$FD$1000,"Y",$J$2:$J$1000,"&gt;"&amp;J290)+COUNTIFS($FD$2:$FD$1000,"Y",$J$2:$J$1000,J290,$FG$2:$FG$1000,"&lt;"&amp;FG290)+1,""))</f>
        <v/>
      </c>
      <c r="FF290" s="0" t="str">
        <f aca="false">IF(AND(_xlfn.ISFORMULA(C290),_xlfn.ISFORMULA(J290)),"Y","N")</f>
        <v>Y</v>
      </c>
      <c r="FG290" s="0" t="n">
        <f aca="false">ROW()-1</f>
        <v>289</v>
      </c>
    </row>
    <row r="291" customFormat="false" ht="15" hidden="false" customHeight="false" outlineLevel="0" collapsed="false">
      <c r="A291" s="0" t="s">
        <v>11841</v>
      </c>
      <c r="B291" s="0" t="s">
        <v>11842</v>
      </c>
      <c r="C291" s="0" t="str">
        <f aca="false">IF($A291="","",IF(AT291="Y",BL291&amp;"",AY291&amp;""))</f>
        <v/>
      </c>
      <c r="D291" s="0" t="str">
        <f aca="false">IF($A291="","",IF(AT291="Y",BM291&amp;"",AZ291&amp;""))</f>
        <v/>
      </c>
      <c r="E291" s="0" t="str">
        <f aca="false">IF($A291="","",IF(AT291="Y",BN291&amp;"",BA291&amp;""))</f>
        <v/>
      </c>
      <c r="F291" s="0" t="str">
        <f aca="false">IF($A291="","",IF(AT291="Y",BO291&amp;"",BB291&amp;""))</f>
        <v/>
      </c>
      <c r="G291" s="0" t="str">
        <f aca="false">IF($A291="","",IF(AT291="Y",BP291&amp;"",BC291&amp;""))</f>
        <v/>
      </c>
      <c r="H291" s="0" t="str">
        <f aca="false">IF($A291="","",IF(AT291="Y",BQ291&amp;"",BD291&amp;""))</f>
        <v>none</v>
      </c>
      <c r="I291" s="0" t="str">
        <f aca="false">IF($A291="","",IF(R291="Y","warm-intro",IF(H291="verified","email",IF(C291&lt;&gt;"","linkedin",CA291&amp;""))))</f>
        <v/>
      </c>
      <c r="J291" s="0" t="n">
        <f aca="false">IF($A291="","",IF(CK291="pass",ROUND(N(DO291)+N(DP291)+N(DQ291)+N(DR291)+N(DS291)+N(DT291)+N(DU291)+N(DV291),0),0))</f>
        <v>0</v>
      </c>
      <c r="K291" s="0" t="str">
        <f aca="false">IF($A291="","",IF(CK291&lt;&gt;"pass",BY291&amp;"",BY291&amp;", "&amp;IF(AT291="Y",BX291&amp;"",BK291&amp;"")&amp;BZ291&amp;IF(R291="Y","; known to the founder (+10)","")&amp;"."))</f>
        <v>Gated out: health-claim: Function claims: FAQ says bars 'fuel the brain and body' with '5 functional nutrients'; brand also sells hydration drink sticks.</v>
      </c>
      <c r="M291" s="0" t="s">
        <v>6144</v>
      </c>
      <c r="N291" s="0" t="s">
        <v>740</v>
      </c>
      <c r="O291" s="0" t="s">
        <v>11843</v>
      </c>
      <c r="P291" s="0" t="s">
        <v>11844</v>
      </c>
      <c r="Q291" s="0" t="s">
        <v>10121</v>
      </c>
      <c r="R291" s="5" t="s">
        <v>189</v>
      </c>
      <c r="S291" s="0" t="s">
        <v>209</v>
      </c>
      <c r="T291" s="5" t="s">
        <v>189</v>
      </c>
      <c r="U291" s="5" t="s">
        <v>3896</v>
      </c>
      <c r="V291" s="0" t="s">
        <v>11845</v>
      </c>
      <c r="W291" s="0" t="s">
        <v>263</v>
      </c>
      <c r="X291" s="0" t="s">
        <v>5578</v>
      </c>
      <c r="Y291" s="0" t="str">
        <f aca="false">IF(FA291&lt;&gt;"Y","",COUNTIFS($FA$2:$FA$1000,"Y",$J$2:$J$1000,"&gt;"&amp;J291)+COUNTIFS($FA$2:$FA$1000,"Y",$J$2:$J$1000,J291,$FG$2:$FG$1000,"&lt;"&amp;FG291)+1)</f>
        <v/>
      </c>
      <c r="AA291" s="0" t="s">
        <v>189</v>
      </c>
      <c r="AB291" s="0" t="str">
        <f aca="false">IF($A291="","",IF(AT291="Y",BW291&amp;"",BJ291&amp;""))</f>
        <v/>
      </c>
      <c r="AC291" s="0" t="str">
        <f aca="false">IF($A291="","",IF(AT291="Y",BR291&amp;"",BE291&amp;""))</f>
        <v/>
      </c>
      <c r="AD291" s="0" t="str">
        <f aca="false">IF($A291="","",IF(AT291="Y",BS291&amp;"",BF291&amp;""))</f>
        <v>none</v>
      </c>
      <c r="AE291" s="0" t="str">
        <f aca="false">IF($A291="","",IF(AT291="Y",BT291&amp;"",BG291&amp;""))</f>
        <v/>
      </c>
      <c r="AF291" s="0" t="str">
        <f aca="false">IF($A291="","",IF(AT291="Y",BU291&amp;"",BH291&amp;""))</f>
        <v/>
      </c>
      <c r="AG291" s="0" t="str">
        <f aca="false">IF($A291="","",IF(AT291="Y",BV291&amp;"",BI291&amp;""))</f>
        <v/>
      </c>
      <c r="AH291" s="0" t="s">
        <v>11846</v>
      </c>
      <c r="AI291" s="0" t="s">
        <v>6007</v>
      </c>
      <c r="AJ291" s="0" t="s">
        <v>209</v>
      </c>
      <c r="AK291" s="0" t="s">
        <v>11847</v>
      </c>
      <c r="AL291" s="0" t="s">
        <v>164</v>
      </c>
      <c r="AM291" s="0" t="s">
        <v>11848</v>
      </c>
      <c r="AN291" s="0" t="s">
        <v>11841</v>
      </c>
      <c r="AO291" s="5" t="s">
        <v>189</v>
      </c>
      <c r="AR291" s="0" t="str">
        <f aca="false">IF($A291="","",IF(AND(CK291="pass",AO291&lt;&gt;"Y",C291&lt;&gt;"",OR(AU291&lt;&gt;"Y",AV291="Y")),"Y","N"))</f>
        <v>N</v>
      </c>
      <c r="AS291" s="0" t="str">
        <f aca="false">IF($A291="","",_xlfn.TEXTJOIN("; ",TRUE(),IF(CK291&lt;&gt;"pass","gated out",""),IF(AO291="Y","on hold: "&amp;AP291,""),IF(C291="","no contact named on an opened page",""),IF(AND(AU291="Y",AV291&lt;&gt;"Y"),"founder review pending (Founder review tab)","")))</f>
        <v>gated out; no contact named on an opened page</v>
      </c>
      <c r="AU291" s="0" t="s">
        <v>189</v>
      </c>
      <c r="BC291" s="0" t="str">
        <f aca="false">IF($A291="","",IFERROR(INDEX(Enrichment!$A$2:$GZ$2000,MATCH($A291,INDEX(Enrichment!$A$2:$GZ$2000,0,MATCH("row_id",Enrichment!$A$1:$GZ$1,0)),0),MATCH("work_email",Enrichment!$A$1:$GZ$1,0))&amp;"",""))</f>
        <v/>
      </c>
      <c r="BD291" s="0" t="str">
        <f aca="false">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none</v>
      </c>
      <c r="BF291" s="0" t="s">
        <v>380</v>
      </c>
      <c r="BK291" s="0" t="s">
        <v>6048</v>
      </c>
      <c r="BP291" s="0" t="str">
        <f aca="false">IF($A291="","",IFERROR(INDEX(Enrichment!$A$2:$GZ$2000,MATCH($A291,INDEX(Enrichment!$A$2:$GZ$2000,0,MATCH("row_id",Enrichment!$A$1:$GZ$1,0)),0),MATCH("backup_work_email",Enrichment!$A$1:$GZ$1,0))&amp;"",""))</f>
        <v/>
      </c>
      <c r="BQ291" s="0" t="str">
        <f aca="false">IF($A291="","",IF(BP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none</v>
      </c>
      <c r="BS291" s="0" t="s">
        <v>380</v>
      </c>
      <c r="BX291" s="0" t="s">
        <v>388</v>
      </c>
      <c r="BY291" s="0" t="s">
        <v>11849</v>
      </c>
      <c r="CJ291" s="0" t="s">
        <v>7088</v>
      </c>
      <c r="CK291" s="0" t="s">
        <v>4627</v>
      </c>
      <c r="CL291" s="0" t="s">
        <v>10005</v>
      </c>
      <c r="CM291" s="0" t="s">
        <v>11850</v>
      </c>
      <c r="CN291" s="0" t="s">
        <v>5607</v>
      </c>
      <c r="CO291" s="0" t="s">
        <v>11847</v>
      </c>
      <c r="CP291" s="0" t="s">
        <v>209</v>
      </c>
      <c r="CQ291" s="0" t="s">
        <v>209</v>
      </c>
      <c r="CR291" s="0" t="s">
        <v>209</v>
      </c>
      <c r="CT291" s="0" t="s">
        <v>352</v>
      </c>
      <c r="CU291" s="0" t="s">
        <v>11436</v>
      </c>
      <c r="CV291" s="0" t="s">
        <v>164</v>
      </c>
      <c r="CW291" s="0" t="s">
        <v>164</v>
      </c>
      <c r="CX291" s="0" t="s">
        <v>209</v>
      </c>
      <c r="CZ291" s="0" t="s">
        <v>209</v>
      </c>
      <c r="DA291" s="0" t="s">
        <v>164</v>
      </c>
      <c r="DB291" s="0" t="s">
        <v>164</v>
      </c>
      <c r="DC291" s="0" t="s">
        <v>11851</v>
      </c>
      <c r="DE291" s="0" t="s">
        <v>189</v>
      </c>
      <c r="DF291" s="0" t="n">
        <v>0</v>
      </c>
      <c r="DI291" s="0" t="s">
        <v>11852</v>
      </c>
      <c r="DJ291" s="0" t="s">
        <v>11853</v>
      </c>
      <c r="DK291" s="0" t="s">
        <v>5689</v>
      </c>
      <c r="DL291" s="0" t="n">
        <v>11</v>
      </c>
      <c r="DN291" s="0" t="n">
        <v>27</v>
      </c>
      <c r="DO291" s="0" t="n">
        <v>6</v>
      </c>
      <c r="DP291" s="0" t="n">
        <v>4</v>
      </c>
      <c r="DQ291" s="0" t="n">
        <v>8</v>
      </c>
      <c r="DR291" s="0" t="n">
        <v>5</v>
      </c>
      <c r="DS291" s="0" t="n">
        <v>8</v>
      </c>
      <c r="DT291" s="0" t="n">
        <v>0</v>
      </c>
      <c r="DU291" s="0" t="n">
        <f aca="false">IF($A291="","",IF(R291="Y",10,0))</f>
        <v>0</v>
      </c>
      <c r="DV291" s="0" t="n">
        <v>-4</v>
      </c>
      <c r="DW291" s="0" t="s">
        <v>11854</v>
      </c>
      <c r="DX291" s="0" t="s">
        <v>5691</v>
      </c>
      <c r="DY291" s="0" t="s">
        <v>11855</v>
      </c>
      <c r="DZ291" s="0" t="s">
        <v>11856</v>
      </c>
      <c r="EV291" s="0" t="str">
        <f aca="false">IF($A291="","",IF(ISNUMBER(MATCH(U291,{"queued","contacted","replied","call_booked","call_done","yes_in_principle","materials_sent"},0)),"Y","N"))</f>
        <v>N</v>
      </c>
      <c r="EW291" s="0" t="str">
        <f aca="false">IF($A291="","",IF(OR(T291="Y",U291="do_not_contact",AQ291&amp;""&lt;&gt;""),"Y","N"))</f>
        <v>N</v>
      </c>
      <c r="EX291" s="0" t="str">
        <f aca="false">IF($A291="","",IF(AN291&amp;""&lt;&gt;"",AN291&amp;"",$A291))</f>
        <v>AB-103</v>
      </c>
      <c r="EY291" s="0" t="str">
        <f aca="false">IF($A291="","",IF(COUNTIFS($EX$2:$EX$1000,EX291,$EV$2:$EV$1000,"Y")+COUNTIFS($EX$2:$EX$1000,EX291,$EW$2:$EW$1000,"Y")&gt;0,"Y","N"))</f>
        <v>N</v>
      </c>
      <c r="EZ291" s="0" t="str">
        <f aca="false">IF($A291="","",IF(AND(U291="new",T291="N",EW291="N",AR291="Y",EY291="N"),"Y","N"))</f>
        <v>N</v>
      </c>
      <c r="FA291" s="0" t="str">
        <f aca="false">IF($A291="","",IF(EZ291&lt;&gt;"Y","N",IF(COUNTIFS($EX$2:$EX$1000,EX291,$EZ$2:$EZ$1000,"Y",$J$2:$J$1000,"&gt;"&amp;J291)+COUNTIFS($EX$2:$EX$1000,EX291,$EZ$2:$EZ$1000,"Y",$J$2:$J$1000,J291,$FG$2:$FG$1000,"&lt;"&amp;FG291)=0,"Y","N")))</f>
        <v>N</v>
      </c>
      <c r="FB291" s="0" t="str">
        <f aca="false">IF($A291="","",IF(AND(EZ291="Y",FA291="Y",Y291&amp;""&lt;&gt;""),IF(Y291&lt;=10,"Y","N"),"N"))</f>
        <v>N</v>
      </c>
      <c r="FC291" s="0" t="str">
        <f aca="false">IF(FB291="Y",Y291,"")</f>
        <v/>
      </c>
      <c r="FD291" s="0" t="str">
        <f aca="false">IF($A291="","",IF(AND(CK291="pass",AU291="Y",AV291&lt;&gt;"Y",U291="new",EW291="N"),"Y","N"))</f>
        <v>N</v>
      </c>
      <c r="FE291" s="0" t="str">
        <f aca="false">IF(FD291&lt;&gt;"Y","",IF(COUNTIFS($FD$2:$FD$1000,"Y",$J$2:$J$1000,"&gt;"&amp;J291)+COUNTIFS($FD$2:$FD$1000,"Y",$J$2:$J$1000,J291,$FG$2:$FG$1000,"&lt;"&amp;FG291)+1&lt;=30,COUNTIFS($FD$2:$FD$1000,"Y",$J$2:$J$1000,"&gt;"&amp;J291)+COUNTIFS($FD$2:$FD$1000,"Y",$J$2:$J$1000,J291,$FG$2:$FG$1000,"&lt;"&amp;FG291)+1,""))</f>
        <v/>
      </c>
      <c r="FF291" s="0" t="str">
        <f aca="false">IF(AND(_xlfn.ISFORMULA(C291),_xlfn.ISFORMULA(J291)),"Y","N")</f>
        <v>Y</v>
      </c>
      <c r="FG291" s="0" t="n">
        <f aca="false">ROW()-1</f>
        <v>290</v>
      </c>
    </row>
    <row r="292" customFormat="false" ht="15" hidden="false" customHeight="false" outlineLevel="0" collapsed="false">
      <c r="A292" s="0" t="s">
        <v>11857</v>
      </c>
      <c r="B292" s="0" t="s">
        <v>11858</v>
      </c>
      <c r="C292" s="0" t="str">
        <f aca="false">IF($A292="","",IF(AT292="Y",BL292&amp;"",AY292&amp;""))</f>
        <v/>
      </c>
      <c r="D292" s="0" t="str">
        <f aca="false">IF($A292="","",IF(AT292="Y",BM292&amp;"",AZ292&amp;""))</f>
        <v/>
      </c>
      <c r="E292" s="0" t="str">
        <f aca="false">IF($A292="","",IF(AT292="Y",BN292&amp;"",BA292&amp;""))</f>
        <v/>
      </c>
      <c r="F292" s="0" t="str">
        <f aca="false">IF($A292="","",IF(AT292="Y",BO292&amp;"",BB292&amp;""))</f>
        <v/>
      </c>
      <c r="G292" s="0" t="str">
        <f aca="false">IF($A292="","",IF(AT292="Y",BP292&amp;"",BC292&amp;""))</f>
        <v/>
      </c>
      <c r="H292" s="0" t="str">
        <f aca="false">IF($A292="","",IF(AT292="Y",BQ292&amp;"",BD292&amp;""))</f>
        <v>none</v>
      </c>
      <c r="I292" s="0" t="str">
        <f aca="false">IF($A292="","",IF(R292="Y","warm-intro",IF(H292="verified","email",IF(C292&lt;&gt;"","linkedin",CA292&amp;""))))</f>
        <v/>
      </c>
      <c r="J292" s="0" t="n">
        <f aca="false">IF($A292="","",IF(CK292="pass",ROUND(N(DO292)+N(DP292)+N(DQ292)+N(DR292)+N(DS292)+N(DT292)+N(DU292)+N(DV292),0),0))</f>
        <v>0</v>
      </c>
      <c r="K292" s="0" t="str">
        <f aca="false">IF($A292="","",IF(CK292&lt;&gt;"pass",BY292&amp;"",BY292&amp;", "&amp;IF(AT292="Y",BX292&amp;"",BK292&amp;"")&amp;BZ292&amp;IF(R292="Y","; known to the founder (+10)","")&amp;"."))</f>
        <v>Gated out: health-claim: explicit health claim in the brand's own copy (opened 2026-10-24): '15g of plant-based protein that keeps you full and focused without the sugar c.</v>
      </c>
      <c r="M292" s="0" t="s">
        <v>6144</v>
      </c>
      <c r="N292" s="0" t="s">
        <v>740</v>
      </c>
      <c r="O292" s="0" t="s">
        <v>11859</v>
      </c>
      <c r="P292" s="0" t="s">
        <v>11860</v>
      </c>
      <c r="Q292" s="0" t="s">
        <v>5756</v>
      </c>
      <c r="R292" s="5" t="s">
        <v>189</v>
      </c>
      <c r="S292" s="0" t="s">
        <v>209</v>
      </c>
      <c r="T292" s="5" t="s">
        <v>189</v>
      </c>
      <c r="U292" s="5" t="s">
        <v>3896</v>
      </c>
      <c r="V292" s="0" t="s">
        <v>11860</v>
      </c>
      <c r="W292" s="0" t="s">
        <v>263</v>
      </c>
      <c r="X292" s="0" t="s">
        <v>5578</v>
      </c>
      <c r="Y292" s="0" t="str">
        <f aca="false">IF(FA292&lt;&gt;"Y","",COUNTIFS($FA$2:$FA$1000,"Y",$J$2:$J$1000,"&gt;"&amp;J292)+COUNTIFS($FA$2:$FA$1000,"Y",$J$2:$J$1000,J292,$FG$2:$FG$1000,"&lt;"&amp;FG292)+1)</f>
        <v/>
      </c>
      <c r="AA292" s="0" t="s">
        <v>189</v>
      </c>
      <c r="AB292" s="0" t="str">
        <f aca="false">IF($A292="","",IF(AT292="Y",BW292&amp;"",BJ292&amp;""))</f>
        <v/>
      </c>
      <c r="AC292" s="0" t="str">
        <f aca="false">IF($A292="","",IF(AT292="Y",BR292&amp;"",BE292&amp;""))</f>
        <v/>
      </c>
      <c r="AD292" s="0" t="str">
        <f aca="false">IF($A292="","",IF(AT292="Y",BS292&amp;"",BF292&amp;""))</f>
        <v>none</v>
      </c>
      <c r="AE292" s="0" t="str">
        <f aca="false">IF($A292="","",IF(AT292="Y",BT292&amp;"",BG292&amp;""))</f>
        <v/>
      </c>
      <c r="AF292" s="0" t="str">
        <f aca="false">IF($A292="","",IF(AT292="Y",BU292&amp;"",BH292&amp;""))</f>
        <v/>
      </c>
      <c r="AG292" s="0" t="str">
        <f aca="false">IF($A292="","",IF(AT292="Y",BV292&amp;"",BI292&amp;""))</f>
        <v/>
      </c>
      <c r="AH292" s="0" t="s">
        <v>11861</v>
      </c>
      <c r="AI292" s="0" t="s">
        <v>6007</v>
      </c>
      <c r="AJ292" s="0" t="s">
        <v>11862</v>
      </c>
      <c r="AK292" s="0" t="s">
        <v>11863</v>
      </c>
      <c r="AL292" s="0" t="s">
        <v>164</v>
      </c>
      <c r="AM292" s="0" t="s">
        <v>11864</v>
      </c>
      <c r="AN292" s="0" t="s">
        <v>11857</v>
      </c>
      <c r="AO292" s="5" t="s">
        <v>189</v>
      </c>
      <c r="AR292" s="0" t="str">
        <f aca="false">IF($A292="","",IF(AND(CK292="pass",AO292&lt;&gt;"Y",C292&lt;&gt;"",OR(AU292&lt;&gt;"Y",AV292="Y")),"Y","N"))</f>
        <v>N</v>
      </c>
      <c r="AS292" s="0" t="str">
        <f aca="false">IF($A292="","",_xlfn.TEXTJOIN("; ",TRUE(),IF(CK292&lt;&gt;"pass","gated out",""),IF(AO292="Y","on hold: "&amp;AP292,""),IF(C292="","no contact named on an opened page",""),IF(AND(AU292="Y",AV292&lt;&gt;"Y"),"founder review pending (Founder review tab)","")))</f>
        <v>gated out; no contact named on an opened page; founder review pending (Founder review tab)</v>
      </c>
      <c r="AU292" s="0" t="s">
        <v>164</v>
      </c>
      <c r="BC292" s="0" t="str">
        <f aca="false">IF($A292="","",IFERROR(INDEX(Enrichment!$A$2:$GZ$2000,MATCH($A292,INDEX(Enrichment!$A$2:$GZ$2000,0,MATCH("row_id",Enrichment!$A$1:$GZ$1,0)),0),MATCH("work_email",Enrichment!$A$1:$GZ$1,0))&amp;"",""))</f>
        <v/>
      </c>
      <c r="BD292" s="0" t="str">
        <f aca="false">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none</v>
      </c>
      <c r="BF292" s="0" t="s">
        <v>380</v>
      </c>
      <c r="BK292" s="0" t="s">
        <v>6048</v>
      </c>
      <c r="BP292" s="0" t="str">
        <f aca="false">IF($A292="","",IFERROR(INDEX(Enrichment!$A$2:$GZ$2000,MATCH($A292,INDEX(Enrichment!$A$2:$GZ$2000,0,MATCH("row_id",Enrichment!$A$1:$GZ$1,0)),0),MATCH("backup_work_email",Enrichment!$A$1:$GZ$1,0))&amp;"",""))</f>
        <v/>
      </c>
      <c r="BQ292" s="0" t="str">
        <f aca="false">IF($A292="","",IF(BP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none</v>
      </c>
      <c r="BS292" s="0" t="s">
        <v>380</v>
      </c>
      <c r="BX292" s="0" t="s">
        <v>388</v>
      </c>
      <c r="BY292" s="0" t="s">
        <v>11865</v>
      </c>
      <c r="CJ292" s="0" t="s">
        <v>7088</v>
      </c>
      <c r="CK292" s="0" t="s">
        <v>4627</v>
      </c>
      <c r="CL292" s="0" t="s">
        <v>10005</v>
      </c>
      <c r="CM292" s="0" t="s">
        <v>11866</v>
      </c>
      <c r="CN292" s="0" t="s">
        <v>6051</v>
      </c>
      <c r="CO292" s="0" t="s">
        <v>11863</v>
      </c>
      <c r="CP292" s="0" t="s">
        <v>7784</v>
      </c>
      <c r="CQ292" s="0" t="s">
        <v>6198</v>
      </c>
      <c r="CR292" s="0" t="s">
        <v>209</v>
      </c>
      <c r="CT292" s="0" t="s">
        <v>164</v>
      </c>
      <c r="CU292" s="0" t="s">
        <v>11867</v>
      </c>
      <c r="CV292" s="0" t="s">
        <v>164</v>
      </c>
      <c r="CW292" s="0" t="s">
        <v>164</v>
      </c>
      <c r="CX292" s="0" t="s">
        <v>209</v>
      </c>
      <c r="CZ292" s="0" t="s">
        <v>209</v>
      </c>
      <c r="DA292" s="0" t="s">
        <v>189</v>
      </c>
      <c r="DB292" s="0" t="s">
        <v>164</v>
      </c>
      <c r="DC292" s="0" t="s">
        <v>11868</v>
      </c>
      <c r="DE292" s="0" t="s">
        <v>189</v>
      </c>
      <c r="DF292" s="0" t="n">
        <v>0</v>
      </c>
      <c r="DI292" s="0" t="s">
        <v>11869</v>
      </c>
      <c r="DJ292" s="0" t="s">
        <v>11870</v>
      </c>
      <c r="DK292" s="0" t="s">
        <v>5689</v>
      </c>
      <c r="DL292" s="0" t="n">
        <v>36</v>
      </c>
      <c r="DN292" s="0" t="n">
        <v>28</v>
      </c>
      <c r="DO292" s="0" t="n">
        <v>6</v>
      </c>
      <c r="DP292" s="0" t="n">
        <v>3</v>
      </c>
      <c r="DQ292" s="0" t="n">
        <v>8</v>
      </c>
      <c r="DR292" s="0" t="n">
        <v>5</v>
      </c>
      <c r="DS292" s="0" t="n">
        <v>10</v>
      </c>
      <c r="DT292" s="0" t="n">
        <v>0</v>
      </c>
      <c r="DU292" s="0" t="n">
        <f aca="false">IF($A292="","",IF(R292="Y",10,0))</f>
        <v>0</v>
      </c>
      <c r="DV292" s="0" t="n">
        <v>-4</v>
      </c>
      <c r="DW292" s="0" t="s">
        <v>11871</v>
      </c>
      <c r="DX292" s="0" t="s">
        <v>5691</v>
      </c>
      <c r="DY292" s="0" t="s">
        <v>11872</v>
      </c>
      <c r="DZ292" s="0" t="s">
        <v>11873</v>
      </c>
      <c r="EA292" s="0" t="s">
        <v>11874</v>
      </c>
      <c r="EV292" s="0" t="str">
        <f aca="false">IF($A292="","",IF(ISNUMBER(MATCH(U292,{"queued","contacted","replied","call_booked","call_done","yes_in_principle","materials_sent"},0)),"Y","N"))</f>
        <v>N</v>
      </c>
      <c r="EW292" s="0" t="str">
        <f aca="false">IF($A292="","",IF(OR(T292="Y",U292="do_not_contact",AQ292&amp;""&lt;&gt;""),"Y","N"))</f>
        <v>N</v>
      </c>
      <c r="EX292" s="0" t="str">
        <f aca="false">IF($A292="","",IF(AN292&amp;""&lt;&gt;"",AN292&amp;"",$A292))</f>
        <v>AB-109</v>
      </c>
      <c r="EY292" s="0" t="str">
        <f aca="false">IF($A292="","",IF(COUNTIFS($EX$2:$EX$1000,EX292,$EV$2:$EV$1000,"Y")+COUNTIFS($EX$2:$EX$1000,EX292,$EW$2:$EW$1000,"Y")&gt;0,"Y","N"))</f>
        <v>N</v>
      </c>
      <c r="EZ292" s="0" t="str">
        <f aca="false">IF($A292="","",IF(AND(U292="new",T292="N",EW292="N",AR292="Y",EY292="N"),"Y","N"))</f>
        <v>N</v>
      </c>
      <c r="FA292" s="0" t="str">
        <f aca="false">IF($A292="","",IF(EZ292&lt;&gt;"Y","N",IF(COUNTIFS($EX$2:$EX$1000,EX292,$EZ$2:$EZ$1000,"Y",$J$2:$J$1000,"&gt;"&amp;J292)+COUNTIFS($EX$2:$EX$1000,EX292,$EZ$2:$EZ$1000,"Y",$J$2:$J$1000,J292,$FG$2:$FG$1000,"&lt;"&amp;FG292)=0,"Y","N")))</f>
        <v>N</v>
      </c>
      <c r="FB292" s="0" t="str">
        <f aca="false">IF($A292="","",IF(AND(EZ292="Y",FA292="Y",Y292&amp;""&lt;&gt;""),IF(Y292&lt;=10,"Y","N"),"N"))</f>
        <v>N</v>
      </c>
      <c r="FC292" s="0" t="str">
        <f aca="false">IF(FB292="Y",Y292,"")</f>
        <v/>
      </c>
      <c r="FD292" s="0" t="str">
        <f aca="false">IF($A292="","",IF(AND(CK292="pass",AU292="Y",AV292&lt;&gt;"Y",U292="new",EW292="N"),"Y","N"))</f>
        <v>N</v>
      </c>
      <c r="FE292" s="0" t="str">
        <f aca="false">IF(FD292&lt;&gt;"Y","",IF(COUNTIFS($FD$2:$FD$1000,"Y",$J$2:$J$1000,"&gt;"&amp;J292)+COUNTIFS($FD$2:$FD$1000,"Y",$J$2:$J$1000,J292,$FG$2:$FG$1000,"&lt;"&amp;FG292)+1&lt;=30,COUNTIFS($FD$2:$FD$1000,"Y",$J$2:$J$1000,"&gt;"&amp;J292)+COUNTIFS($FD$2:$FD$1000,"Y",$J$2:$J$1000,J292,$FG$2:$FG$1000,"&lt;"&amp;FG292)+1,""))</f>
        <v/>
      </c>
      <c r="FF292" s="0" t="str">
        <f aca="false">IF(AND(_xlfn.ISFORMULA(C292),_xlfn.ISFORMULA(J292)),"Y","N")</f>
        <v>Y</v>
      </c>
      <c r="FG292" s="0" t="n">
        <f aca="false">ROW()-1</f>
        <v>291</v>
      </c>
    </row>
    <row r="293" customFormat="false" ht="15" hidden="false" customHeight="false" outlineLevel="0" collapsed="false">
      <c r="A293" s="0" t="s">
        <v>11875</v>
      </c>
      <c r="B293" s="0" t="s">
        <v>11876</v>
      </c>
      <c r="C293" s="0" t="str">
        <f aca="false">IF($A293="","",IF(AT293="Y",BL293&amp;"",AY293&amp;""))</f>
        <v/>
      </c>
      <c r="D293" s="0" t="str">
        <f aca="false">IF($A293="","",IF(AT293="Y",BM293&amp;"",AZ293&amp;""))</f>
        <v/>
      </c>
      <c r="E293" s="0" t="str">
        <f aca="false">IF($A293="","",IF(AT293="Y",BN293&amp;"",BA293&amp;""))</f>
        <v/>
      </c>
      <c r="F293" s="0" t="str">
        <f aca="false">IF($A293="","",IF(AT293="Y",BO293&amp;"",BB293&amp;""))</f>
        <v/>
      </c>
      <c r="G293" s="0" t="str">
        <f aca="false">IF($A293="","",IF(AT293="Y",BP293&amp;"",BC293&amp;""))</f>
        <v/>
      </c>
      <c r="H293" s="0" t="str">
        <f aca="false">IF($A293="","",IF(AT293="Y",BQ293&amp;"",BD293&amp;""))</f>
        <v>none</v>
      </c>
      <c r="I293" s="0" t="str">
        <f aca="false">IF($A293="","",IF(R293="Y","warm-intro",IF(H293="verified","email",IF(C293&lt;&gt;"","linkedin",CA293&amp;""))))</f>
        <v/>
      </c>
      <c r="J293" s="0" t="n">
        <f aca="false">IF($A293="","",IF(CK293="pass",ROUND(N(DO293)+N(DP293)+N(DQ293)+N(DR293)+N(DS293)+N(DT293)+N(DU293)+N(DV293),0),0))</f>
        <v>0</v>
      </c>
      <c r="K293" s="0" t="str">
        <f aca="false">IF($A293="","",IF(CK293&lt;&gt;"pass",BY293&amp;"",BY293&amp;", "&amp;IF(AT293="Y",BX293&amp;"",BK293&amp;"")&amp;BZ293&amp;IF(R293="Y","; known to the founder (+10)","")&amp;"."))</f>
        <v>Gated out: no-buy-path: no graded store within ten blocks and no online store shown (online store unknown).</v>
      </c>
      <c r="M293" s="0" t="s">
        <v>6144</v>
      </c>
      <c r="N293" s="0" t="s">
        <v>740</v>
      </c>
      <c r="O293" s="0" t="s">
        <v>9710</v>
      </c>
      <c r="P293" s="0" t="s">
        <v>11877</v>
      </c>
      <c r="Q293" s="0" t="s">
        <v>8492</v>
      </c>
      <c r="R293" s="5" t="s">
        <v>189</v>
      </c>
      <c r="S293" s="0" t="s">
        <v>209</v>
      </c>
      <c r="T293" s="5" t="s">
        <v>189</v>
      </c>
      <c r="U293" s="5" t="s">
        <v>3896</v>
      </c>
      <c r="V293" s="0" t="s">
        <v>11877</v>
      </c>
      <c r="W293" s="0" t="s">
        <v>263</v>
      </c>
      <c r="X293" s="0" t="s">
        <v>5578</v>
      </c>
      <c r="Y293" s="0" t="str">
        <f aca="false">IF(FA293&lt;&gt;"Y","",COUNTIFS($FA$2:$FA$1000,"Y",$J$2:$J$1000,"&gt;"&amp;J293)+COUNTIFS($FA$2:$FA$1000,"Y",$J$2:$J$1000,J293,$FG$2:$FG$1000,"&lt;"&amp;FG293)+1)</f>
        <v/>
      </c>
      <c r="AA293" s="0" t="s">
        <v>189</v>
      </c>
      <c r="AB293" s="0" t="str">
        <f aca="false">IF($A293="","",IF(AT293="Y",BW293&amp;"",BJ293&amp;""))</f>
        <v/>
      </c>
      <c r="AC293" s="0" t="str">
        <f aca="false">IF($A293="","",IF(AT293="Y",BR293&amp;"",BE293&amp;""))</f>
        <v/>
      </c>
      <c r="AD293" s="0" t="str">
        <f aca="false">IF($A293="","",IF(AT293="Y",BS293&amp;"",BF293&amp;""))</f>
        <v>none</v>
      </c>
      <c r="AE293" s="0" t="str">
        <f aca="false">IF($A293="","",IF(AT293="Y",BT293&amp;"",BG293&amp;""))</f>
        <v/>
      </c>
      <c r="AF293" s="0" t="str">
        <f aca="false">IF($A293="","",IF(AT293="Y",BU293&amp;"",BH293&amp;""))</f>
        <v/>
      </c>
      <c r="AG293" s="0" t="str">
        <f aca="false">IF($A293="","",IF(AT293="Y",BV293&amp;"",BI293&amp;""))</f>
        <v/>
      </c>
      <c r="AH293" s="0" t="s">
        <v>11878</v>
      </c>
      <c r="AI293" s="0" t="s">
        <v>5580</v>
      </c>
      <c r="AJ293" s="0" t="s">
        <v>209</v>
      </c>
      <c r="AK293" s="0" t="s">
        <v>209</v>
      </c>
      <c r="AL293" s="0" t="s">
        <v>164</v>
      </c>
      <c r="AM293" s="0" t="s">
        <v>11879</v>
      </c>
      <c r="AN293" s="0" t="s">
        <v>11875</v>
      </c>
      <c r="AO293" s="5" t="s">
        <v>189</v>
      </c>
      <c r="AR293" s="0" t="str">
        <f aca="false">IF($A293="","",IF(AND(CK293="pass",AO293&lt;&gt;"Y",C293&lt;&gt;"",OR(AU293&lt;&gt;"Y",AV293="Y")),"Y","N"))</f>
        <v>N</v>
      </c>
      <c r="AS293" s="0" t="str">
        <f aca="false">IF($A293="","",_xlfn.TEXTJOIN("; ",TRUE(),IF(CK293&lt;&gt;"pass","gated out",""),IF(AO293="Y","on hold: "&amp;AP293,""),IF(C293="","no contact named on an opened page",""),IF(AND(AU293="Y",AV293&lt;&gt;"Y"),"founder review pending (Founder review tab)","")))</f>
        <v>gated out; no contact named on an opened page; founder review pending (Founder review tab)</v>
      </c>
      <c r="AU293" s="0" t="s">
        <v>164</v>
      </c>
      <c r="BC293" s="0" t="str">
        <f aca="false">IF($A293="","",IFERROR(INDEX(Enrichment!$A$2:$GZ$2000,MATCH($A293,INDEX(Enrichment!$A$2:$GZ$2000,0,MATCH("row_id",Enrichment!$A$1:$GZ$1,0)),0),MATCH("work_email",Enrichment!$A$1:$GZ$1,0))&amp;"",""))</f>
        <v/>
      </c>
      <c r="BD293" s="0" t="str">
        <f aca="false">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none</v>
      </c>
      <c r="BF293" s="0" t="s">
        <v>380</v>
      </c>
      <c r="BK293" s="0" t="s">
        <v>6048</v>
      </c>
      <c r="BP293" s="0" t="str">
        <f aca="false">IF($A293="","",IFERROR(INDEX(Enrichment!$A$2:$GZ$2000,MATCH($A293,INDEX(Enrichment!$A$2:$GZ$2000,0,MATCH("row_id",Enrichment!$A$1:$GZ$1,0)),0),MATCH("backup_work_email",Enrichment!$A$1:$GZ$1,0))&amp;"",""))</f>
        <v/>
      </c>
      <c r="BQ293" s="0" t="str">
        <f aca="false">IF($A293="","",IF(BP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none</v>
      </c>
      <c r="BS293" s="0" t="s">
        <v>380</v>
      </c>
      <c r="BX293" s="0" t="s">
        <v>388</v>
      </c>
      <c r="BY293" s="0" t="s">
        <v>10542</v>
      </c>
      <c r="CJ293" s="0" t="s">
        <v>7088</v>
      </c>
      <c r="CK293" s="0" t="s">
        <v>4627</v>
      </c>
      <c r="CL293" s="0" t="s">
        <v>10545</v>
      </c>
      <c r="CM293" s="0" t="s">
        <v>10546</v>
      </c>
      <c r="CN293" s="0" t="s">
        <v>9344</v>
      </c>
      <c r="CO293" s="0" t="s">
        <v>11880</v>
      </c>
      <c r="CP293" s="0" t="s">
        <v>209</v>
      </c>
      <c r="CQ293" s="0" t="s">
        <v>209</v>
      </c>
      <c r="CR293" s="0" t="s">
        <v>209</v>
      </c>
      <c r="CT293" s="0" t="s">
        <v>209</v>
      </c>
      <c r="CU293" s="0" t="s">
        <v>11881</v>
      </c>
      <c r="CV293" s="0" t="s">
        <v>209</v>
      </c>
      <c r="CW293" s="0" t="s">
        <v>209</v>
      </c>
      <c r="CX293" s="0" t="s">
        <v>209</v>
      </c>
      <c r="CZ293" s="0" t="s">
        <v>6456</v>
      </c>
      <c r="DA293" s="0" t="s">
        <v>189</v>
      </c>
      <c r="DB293" s="0" t="s">
        <v>189</v>
      </c>
      <c r="DE293" s="0" t="s">
        <v>189</v>
      </c>
      <c r="DF293" s="0" t="n">
        <v>0</v>
      </c>
      <c r="DH293" s="0" t="s">
        <v>8505</v>
      </c>
      <c r="DI293" s="0" t="s">
        <v>8725</v>
      </c>
      <c r="DJ293" s="0" t="s">
        <v>11877</v>
      </c>
      <c r="DK293" s="0" t="s">
        <v>5689</v>
      </c>
      <c r="DL293" s="0" t="n">
        <v>115</v>
      </c>
      <c r="DN293" s="0" t="n">
        <v>16</v>
      </c>
      <c r="DO293" s="0" t="n">
        <v>0</v>
      </c>
      <c r="DP293" s="0" t="n">
        <v>4</v>
      </c>
      <c r="DQ293" s="0" t="n">
        <v>8</v>
      </c>
      <c r="DR293" s="0" t="n">
        <v>5</v>
      </c>
      <c r="DS293" s="0" t="n">
        <v>3</v>
      </c>
      <c r="DT293" s="0" t="n">
        <v>0</v>
      </c>
      <c r="DU293" s="0" t="n">
        <f aca="false">IF($A293="","",IF(R293="Y",10,0))</f>
        <v>0</v>
      </c>
      <c r="DV293" s="0" t="n">
        <v>-4</v>
      </c>
      <c r="DW293" s="0" t="s">
        <v>209</v>
      </c>
      <c r="DX293" s="0" t="s">
        <v>6462</v>
      </c>
      <c r="DY293" s="0" t="s">
        <v>11882</v>
      </c>
      <c r="DZ293" s="0" t="s">
        <v>11883</v>
      </c>
      <c r="EV293" s="0" t="str">
        <f aca="false">IF($A293="","",IF(ISNUMBER(MATCH(U293,{"queued","contacted","replied","call_booked","call_done","yes_in_principle","materials_sent"},0)),"Y","N"))</f>
        <v>N</v>
      </c>
      <c r="EW293" s="0" t="str">
        <f aca="false">IF($A293="","",IF(OR(T293="Y",U293="do_not_contact",AQ293&amp;""&lt;&gt;""),"Y","N"))</f>
        <v>N</v>
      </c>
      <c r="EX293" s="0" t="str">
        <f aca="false">IF($A293="","",IF(AN293&amp;""&lt;&gt;"",AN293&amp;"",$A293))</f>
        <v>AB-206</v>
      </c>
      <c r="EY293" s="0" t="str">
        <f aca="false">IF($A293="","",IF(COUNTIFS($EX$2:$EX$1000,EX293,$EV$2:$EV$1000,"Y")+COUNTIFS($EX$2:$EX$1000,EX293,$EW$2:$EW$1000,"Y")&gt;0,"Y","N"))</f>
        <v>N</v>
      </c>
      <c r="EZ293" s="0" t="str">
        <f aca="false">IF($A293="","",IF(AND(U293="new",T293="N",EW293="N",AR293="Y",EY293="N"),"Y","N"))</f>
        <v>N</v>
      </c>
      <c r="FA293" s="0" t="str">
        <f aca="false">IF($A293="","",IF(EZ293&lt;&gt;"Y","N",IF(COUNTIFS($EX$2:$EX$1000,EX293,$EZ$2:$EZ$1000,"Y",$J$2:$J$1000,"&gt;"&amp;J293)+COUNTIFS($EX$2:$EX$1000,EX293,$EZ$2:$EZ$1000,"Y",$J$2:$J$1000,J293,$FG$2:$FG$1000,"&lt;"&amp;FG293)=0,"Y","N")))</f>
        <v>N</v>
      </c>
      <c r="FB293" s="0" t="str">
        <f aca="false">IF($A293="","",IF(AND(EZ293="Y",FA293="Y",Y293&amp;""&lt;&gt;""),IF(Y293&lt;=10,"Y","N"),"N"))</f>
        <v>N</v>
      </c>
      <c r="FC293" s="0" t="str">
        <f aca="false">IF(FB293="Y",Y293,"")</f>
        <v/>
      </c>
      <c r="FD293" s="0" t="str">
        <f aca="false">IF($A293="","",IF(AND(CK293="pass",AU293="Y",AV293&lt;&gt;"Y",U293="new",EW293="N"),"Y","N"))</f>
        <v>N</v>
      </c>
      <c r="FE293" s="0" t="str">
        <f aca="false">IF(FD293&lt;&gt;"Y","",IF(COUNTIFS($FD$2:$FD$1000,"Y",$J$2:$J$1000,"&gt;"&amp;J293)+COUNTIFS($FD$2:$FD$1000,"Y",$J$2:$J$1000,J293,$FG$2:$FG$1000,"&lt;"&amp;FG293)+1&lt;=30,COUNTIFS($FD$2:$FD$1000,"Y",$J$2:$J$1000,"&gt;"&amp;J293)+COUNTIFS($FD$2:$FD$1000,"Y",$J$2:$J$1000,J293,$FG$2:$FG$1000,"&lt;"&amp;FG293)+1,""))</f>
        <v/>
      </c>
      <c r="FF293" s="0" t="str">
        <f aca="false">IF(AND(_xlfn.ISFORMULA(C293),_xlfn.ISFORMULA(J293)),"Y","N")</f>
        <v>Y</v>
      </c>
      <c r="FG293" s="0" t="n">
        <f aca="false">ROW()-1</f>
        <v>292</v>
      </c>
    </row>
    <row r="294" customFormat="false" ht="15" hidden="false" customHeight="false" outlineLevel="0" collapsed="false">
      <c r="A294" s="0" t="s">
        <v>11884</v>
      </c>
      <c r="B294" s="0" t="s">
        <v>11885</v>
      </c>
      <c r="C294" s="0" t="str">
        <f aca="false">IF($A294="","",IF(AT294="Y",BL294&amp;"",AY294&amp;""))</f>
        <v/>
      </c>
      <c r="D294" s="0" t="str">
        <f aca="false">IF($A294="","",IF(AT294="Y",BM294&amp;"",AZ294&amp;""))</f>
        <v/>
      </c>
      <c r="E294" s="0" t="str">
        <f aca="false">IF($A294="","",IF(AT294="Y",BN294&amp;"",BA294&amp;""))</f>
        <v/>
      </c>
      <c r="F294" s="0" t="str">
        <f aca="false">IF($A294="","",IF(AT294="Y",BO294&amp;"",BB294&amp;""))</f>
        <v/>
      </c>
      <c r="G294" s="0" t="str">
        <f aca="false">IF($A294="","",IF(AT294="Y",BP294&amp;"",BC294&amp;""))</f>
        <v/>
      </c>
      <c r="H294" s="0" t="str">
        <f aca="false">IF($A294="","",IF(AT294="Y",BQ294&amp;"",BD294&amp;""))</f>
        <v>none</v>
      </c>
      <c r="I294" s="0" t="str">
        <f aca="false">IF($A294="","",IF(R294="Y","warm-intro",IF(H294="verified","email",IF(C294&lt;&gt;"","linkedin",CA294&amp;""))))</f>
        <v/>
      </c>
      <c r="J294" s="0" t="n">
        <f aca="false">IF($A294="","",IF(CK294="pass",ROUND(N(DO294)+N(DP294)+N(DQ294)+N(DR294)+N(DS294)+N(DT294)+N(DU294)+N(DV294),0),0))</f>
        <v>0</v>
      </c>
      <c r="K294" s="0" t="str">
        <f aca="false">IF($A294="","",IF(CK294&lt;&gt;"pass",BY294&amp;"",BY294&amp;", "&amp;IF(AT294="Y",BX294&amp;"",BK294&amp;"")&amp;BZ294&amp;IF(R294="Y","; known to the founder (+10)","")&amp;"."))</f>
        <v>Gated out: health-claim: Brand About page says tallow fats 'have functions for nervous system health, anti-inflammation and anti-bacterial immune function' (structure/func.</v>
      </c>
      <c r="M294" s="0" t="s">
        <v>5572</v>
      </c>
      <c r="N294" s="0" t="s">
        <v>740</v>
      </c>
      <c r="O294" s="0" t="s">
        <v>11886</v>
      </c>
      <c r="P294" s="0" t="s">
        <v>11887</v>
      </c>
      <c r="Q294" s="0" t="s">
        <v>11888</v>
      </c>
      <c r="R294" s="5" t="s">
        <v>189</v>
      </c>
      <c r="S294" s="0" t="s">
        <v>209</v>
      </c>
      <c r="T294" s="5" t="s">
        <v>189</v>
      </c>
      <c r="U294" s="5" t="s">
        <v>3896</v>
      </c>
      <c r="V294" s="0" t="s">
        <v>11889</v>
      </c>
      <c r="W294" s="0" t="s">
        <v>263</v>
      </c>
      <c r="X294" s="0" t="s">
        <v>5578</v>
      </c>
      <c r="Y294" s="0" t="str">
        <f aca="false">IF(FA294&lt;&gt;"Y","",COUNTIFS($FA$2:$FA$1000,"Y",$J$2:$J$1000,"&gt;"&amp;J294)+COUNTIFS($FA$2:$FA$1000,"Y",$J$2:$J$1000,J294,$FG$2:$FG$1000,"&lt;"&amp;FG294)+1)</f>
        <v/>
      </c>
      <c r="AA294" s="0" t="s">
        <v>189</v>
      </c>
      <c r="AB294" s="0" t="str">
        <f aca="false">IF($A294="","",IF(AT294="Y",BW294&amp;"",BJ294&amp;""))</f>
        <v/>
      </c>
      <c r="AC294" s="0" t="str">
        <f aca="false">IF($A294="","",IF(AT294="Y",BR294&amp;"",BE294&amp;""))</f>
        <v/>
      </c>
      <c r="AD294" s="0" t="str">
        <f aca="false">IF($A294="","",IF(AT294="Y",BS294&amp;"",BF294&amp;""))</f>
        <v>none</v>
      </c>
      <c r="AE294" s="0" t="str">
        <f aca="false">IF($A294="","",IF(AT294="Y",BT294&amp;"",BG294&amp;""))</f>
        <v/>
      </c>
      <c r="AF294" s="0" t="str">
        <f aca="false">IF($A294="","",IF(AT294="Y",BU294&amp;"",BH294&amp;""))</f>
        <v/>
      </c>
      <c r="AG294" s="0" t="str">
        <f aca="false">IF($A294="","",IF(AT294="Y",BV294&amp;"",BI294&amp;""))</f>
        <v/>
      </c>
      <c r="AH294" s="0" t="s">
        <v>11890</v>
      </c>
      <c r="AI294" s="0" t="s">
        <v>5789</v>
      </c>
      <c r="AJ294" s="0" t="s">
        <v>209</v>
      </c>
      <c r="AK294" s="0" t="s">
        <v>11891</v>
      </c>
      <c r="AL294" s="0" t="s">
        <v>164</v>
      </c>
      <c r="AM294" s="0" t="s">
        <v>11892</v>
      </c>
      <c r="AN294" s="0" t="s">
        <v>11884</v>
      </c>
      <c r="AO294" s="5" t="s">
        <v>189</v>
      </c>
      <c r="AR294" s="0" t="str">
        <f aca="false">IF($A294="","",IF(AND(CK294="pass",AO294&lt;&gt;"Y",C294&lt;&gt;"",OR(AU294&lt;&gt;"Y",AV294="Y")),"Y","N"))</f>
        <v>N</v>
      </c>
      <c r="AS294" s="0" t="str">
        <f aca="false">IF($A294="","",_xlfn.TEXTJOIN("; ",TRUE(),IF(CK294&lt;&gt;"pass","gated out",""),IF(AO294="Y","on hold: "&amp;AP294,""),IF(C294="","no contact named on an opened page",""),IF(AND(AU294="Y",AV294&lt;&gt;"Y"),"founder review pending (Founder review tab)","")))</f>
        <v>gated out; no contact named on an opened page; founder review pending (Founder review tab)</v>
      </c>
      <c r="AU294" s="0" t="s">
        <v>164</v>
      </c>
      <c r="BC294" s="0" t="str">
        <f aca="false">IF($A294="","",IFERROR(INDEX(Enrichment!$A$2:$GZ$2000,MATCH($A294,INDEX(Enrichment!$A$2:$GZ$2000,0,MATCH("row_id",Enrichment!$A$1:$GZ$1,0)),0),MATCH("work_email",Enrichment!$A$1:$GZ$1,0))&amp;"",""))</f>
        <v/>
      </c>
      <c r="BD294" s="0" t="str">
        <f aca="false">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none</v>
      </c>
      <c r="BF294" s="0" t="s">
        <v>380</v>
      </c>
      <c r="BK294" s="0" t="s">
        <v>6048</v>
      </c>
      <c r="BP294" s="0" t="str">
        <f aca="false">IF($A294="","",IFERROR(INDEX(Enrichment!$A$2:$GZ$2000,MATCH($A294,INDEX(Enrichment!$A$2:$GZ$2000,0,MATCH("row_id",Enrichment!$A$1:$GZ$1,0)),0),MATCH("backup_work_email",Enrichment!$A$1:$GZ$1,0))&amp;"",""))</f>
        <v/>
      </c>
      <c r="BQ294" s="0" t="str">
        <f aca="false">IF($A294="","",IF(BP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none</v>
      </c>
      <c r="BS294" s="0" t="s">
        <v>380</v>
      </c>
      <c r="BX294" s="0" t="s">
        <v>388</v>
      </c>
      <c r="BY294" s="0" t="s">
        <v>11893</v>
      </c>
      <c r="CJ294" s="0" t="s">
        <v>7088</v>
      </c>
      <c r="CK294" s="0" t="s">
        <v>4627</v>
      </c>
      <c r="CL294" s="0" t="s">
        <v>10005</v>
      </c>
      <c r="CM294" s="0" t="s">
        <v>11894</v>
      </c>
      <c r="CN294" s="0" t="s">
        <v>6262</v>
      </c>
      <c r="CO294" s="0" t="s">
        <v>11891</v>
      </c>
      <c r="CP294" s="0" t="s">
        <v>209</v>
      </c>
      <c r="CQ294" s="0" t="s">
        <v>209</v>
      </c>
      <c r="CR294" s="0" t="s">
        <v>209</v>
      </c>
      <c r="CT294" s="0" t="s">
        <v>164</v>
      </c>
      <c r="CU294" s="0" t="s">
        <v>11895</v>
      </c>
      <c r="CV294" s="0" t="s">
        <v>189</v>
      </c>
      <c r="CW294" s="0" t="s">
        <v>164</v>
      </c>
      <c r="CX294" s="0" t="s">
        <v>209</v>
      </c>
      <c r="CZ294" s="0" t="s">
        <v>209</v>
      </c>
      <c r="DA294" s="0" t="s">
        <v>164</v>
      </c>
      <c r="DB294" s="0" t="s">
        <v>164</v>
      </c>
      <c r="DC294" s="0" t="s">
        <v>11896</v>
      </c>
      <c r="DD294" s="0" t="n">
        <v>0</v>
      </c>
      <c r="DE294" s="0" t="s">
        <v>164</v>
      </c>
      <c r="DF294" s="0" t="n">
        <v>0</v>
      </c>
      <c r="DG294" s="0" t="s">
        <v>9899</v>
      </c>
      <c r="DI294" s="0" t="s">
        <v>10031</v>
      </c>
      <c r="DJ294" s="0" t="s">
        <v>11897</v>
      </c>
      <c r="DK294" s="0" t="s">
        <v>5689</v>
      </c>
      <c r="DL294" s="0" t="n">
        <v>85</v>
      </c>
      <c r="DN294" s="0" t="n">
        <v>26</v>
      </c>
      <c r="DO294" s="0" t="n">
        <v>6</v>
      </c>
      <c r="DP294" s="0" t="n">
        <v>4</v>
      </c>
      <c r="DQ294" s="0" t="n">
        <v>8</v>
      </c>
      <c r="DR294" s="0" t="n">
        <v>5</v>
      </c>
      <c r="DS294" s="0" t="n">
        <v>7</v>
      </c>
      <c r="DT294" s="0" t="n">
        <v>0</v>
      </c>
      <c r="DU294" s="0" t="n">
        <f aca="false">IF($A294="","",IF(R294="Y",10,0))</f>
        <v>0</v>
      </c>
      <c r="DV294" s="0" t="n">
        <v>-4</v>
      </c>
      <c r="DW294" s="0" t="s">
        <v>11898</v>
      </c>
      <c r="DX294" s="0" t="s">
        <v>5814</v>
      </c>
      <c r="DY294" s="0" t="s">
        <v>11899</v>
      </c>
      <c r="DZ294" s="0" t="s">
        <v>11900</v>
      </c>
      <c r="EV294" s="0" t="str">
        <f aca="false">IF($A294="","",IF(ISNUMBER(MATCH(U294,{"queued","contacted","replied","call_booked","call_done","yes_in_principle","materials_sent"},0)),"Y","N"))</f>
        <v>N</v>
      </c>
      <c r="EW294" s="0" t="str">
        <f aca="false">IF($A294="","",IF(OR(T294="Y",U294="do_not_contact",AQ294&amp;""&lt;&gt;""),"Y","N"))</f>
        <v>N</v>
      </c>
      <c r="EX294" s="0" t="str">
        <f aca="false">IF($A294="","",IF(AN294&amp;""&lt;&gt;"",AN294&amp;"",$A294))</f>
        <v>AB-017</v>
      </c>
      <c r="EY294" s="0" t="str">
        <f aca="false">IF($A294="","",IF(COUNTIFS($EX$2:$EX$1000,EX294,$EV$2:$EV$1000,"Y")+COUNTIFS($EX$2:$EX$1000,EX294,$EW$2:$EW$1000,"Y")&gt;0,"Y","N"))</f>
        <v>N</v>
      </c>
      <c r="EZ294" s="0" t="str">
        <f aca="false">IF($A294="","",IF(AND(U294="new",T294="N",EW294="N",AR294="Y",EY294="N"),"Y","N"))</f>
        <v>N</v>
      </c>
      <c r="FA294" s="0" t="str">
        <f aca="false">IF($A294="","",IF(EZ294&lt;&gt;"Y","N",IF(COUNTIFS($EX$2:$EX$1000,EX294,$EZ$2:$EZ$1000,"Y",$J$2:$J$1000,"&gt;"&amp;J294)+COUNTIFS($EX$2:$EX$1000,EX294,$EZ$2:$EZ$1000,"Y",$J$2:$J$1000,J294,$FG$2:$FG$1000,"&lt;"&amp;FG294)=0,"Y","N")))</f>
        <v>N</v>
      </c>
      <c r="FB294" s="0" t="str">
        <f aca="false">IF($A294="","",IF(AND(EZ294="Y",FA294="Y",Y294&amp;""&lt;&gt;""),IF(Y294&lt;=10,"Y","N"),"N"))</f>
        <v>N</v>
      </c>
      <c r="FC294" s="0" t="str">
        <f aca="false">IF(FB294="Y",Y294,"")</f>
        <v/>
      </c>
      <c r="FD294" s="0" t="str">
        <f aca="false">IF($A294="","",IF(AND(CK294="pass",AU294="Y",AV294&lt;&gt;"Y",U294="new",EW294="N"),"Y","N"))</f>
        <v>N</v>
      </c>
      <c r="FE294" s="0" t="str">
        <f aca="false">IF(FD294&lt;&gt;"Y","",IF(COUNTIFS($FD$2:$FD$1000,"Y",$J$2:$J$1000,"&gt;"&amp;J294)+COUNTIFS($FD$2:$FD$1000,"Y",$J$2:$J$1000,J294,$FG$2:$FG$1000,"&lt;"&amp;FG294)+1&lt;=30,COUNTIFS($FD$2:$FD$1000,"Y",$J$2:$J$1000,"&gt;"&amp;J294)+COUNTIFS($FD$2:$FD$1000,"Y",$J$2:$J$1000,J294,$FG$2:$FG$1000,"&lt;"&amp;FG294)+1,""))</f>
        <v/>
      </c>
      <c r="FF294" s="0" t="str">
        <f aca="false">IF(AND(_xlfn.ISFORMULA(C294),_xlfn.ISFORMULA(J294)),"Y","N")</f>
        <v>Y</v>
      </c>
      <c r="FG294" s="0" t="n">
        <f aca="false">ROW()-1</f>
        <v>293</v>
      </c>
    </row>
    <row r="295" customFormat="false" ht="15" hidden="false" customHeight="false" outlineLevel="0" collapsed="false">
      <c r="A295" s="0" t="s">
        <v>11901</v>
      </c>
      <c r="B295" s="0" t="s">
        <v>11902</v>
      </c>
      <c r="C295" s="0" t="str">
        <f aca="false">IF($A295="","",IF(AT295="Y",BL295&amp;"",AY295&amp;""))</f>
        <v/>
      </c>
      <c r="D295" s="0" t="str">
        <f aca="false">IF($A295="","",IF(AT295="Y",BM295&amp;"",AZ295&amp;""))</f>
        <v/>
      </c>
      <c r="E295" s="0" t="str">
        <f aca="false">IF($A295="","",IF(AT295="Y",BN295&amp;"",BA295&amp;""))</f>
        <v/>
      </c>
      <c r="F295" s="0" t="str">
        <f aca="false">IF($A295="","",IF(AT295="Y",BO295&amp;"",BB295&amp;""))</f>
        <v/>
      </c>
      <c r="G295" s="0" t="str">
        <f aca="false">IF($A295="","",IF(AT295="Y",BP295&amp;"",BC295&amp;""))</f>
        <v/>
      </c>
      <c r="H295" s="0" t="str">
        <f aca="false">IF($A295="","",IF(AT295="Y",BQ295&amp;"",BD295&amp;""))</f>
        <v>none</v>
      </c>
      <c r="I295" s="0" t="str">
        <f aca="false">IF($A295="","",IF(R295="Y","warm-intro",IF(H295="verified","email",IF(C295&lt;&gt;"","linkedin",CA295&amp;""))))</f>
        <v/>
      </c>
      <c r="J295" s="0" t="n">
        <f aca="false">IF($A295="","",IF(CK295="pass",ROUND(N(DO295)+N(DP295)+N(DQ295)+N(DR295)+N(DS295)+N(DT295)+N(DU295)+N(DV295),0),0))</f>
        <v>0</v>
      </c>
      <c r="K295" s="0" t="str">
        <f aca="false">IF($A295="","",IF(CK295&lt;&gt;"pass",BY295&amp;"",BY295&amp;", "&amp;IF(AT295="Y",BX295&amp;"",BK295&amp;"")&amp;BZ295&amp;IF(R295="Y","; known to the founder (+10)","")&amp;"."))</f>
        <v>Gated out: excluded-category: explicit health claim in the brand's own copy (opened 2026-10-24): 'manganese, along with potassium, calcium, and magnesium, which support bo.</v>
      </c>
      <c r="M295" s="0" t="s">
        <v>6144</v>
      </c>
      <c r="N295" s="0" t="s">
        <v>740</v>
      </c>
      <c r="O295" s="0" t="s">
        <v>11903</v>
      </c>
      <c r="P295" s="0" t="s">
        <v>11904</v>
      </c>
      <c r="Q295" s="0" t="s">
        <v>5147</v>
      </c>
      <c r="R295" s="5" t="s">
        <v>189</v>
      </c>
      <c r="S295" s="0" t="s">
        <v>209</v>
      </c>
      <c r="T295" s="5" t="s">
        <v>189</v>
      </c>
      <c r="U295" s="5" t="s">
        <v>3896</v>
      </c>
      <c r="V295" s="0" t="s">
        <v>11905</v>
      </c>
      <c r="W295" s="0" t="s">
        <v>172</v>
      </c>
      <c r="X295" s="0" t="s">
        <v>5578</v>
      </c>
      <c r="Y295" s="0" t="str">
        <f aca="false">IF(FA295&lt;&gt;"Y","",COUNTIFS($FA$2:$FA$1000,"Y",$J$2:$J$1000,"&gt;"&amp;J295)+COUNTIFS($FA$2:$FA$1000,"Y",$J$2:$J$1000,J295,$FG$2:$FG$1000,"&lt;"&amp;FG295)+1)</f>
        <v/>
      </c>
      <c r="AA295" s="0" t="s">
        <v>189</v>
      </c>
      <c r="AB295" s="0" t="str">
        <f aca="false">IF($A295="","",IF(AT295="Y",BW295&amp;"",BJ295&amp;""))</f>
        <v/>
      </c>
      <c r="AC295" s="0" t="str">
        <f aca="false">IF($A295="","",IF(AT295="Y",BR295&amp;"",BE295&amp;""))</f>
        <v/>
      </c>
      <c r="AD295" s="0" t="str">
        <f aca="false">IF($A295="","",IF(AT295="Y",BS295&amp;"",BF295&amp;""))</f>
        <v>none</v>
      </c>
      <c r="AE295" s="0" t="str">
        <f aca="false">IF($A295="","",IF(AT295="Y",BT295&amp;"",BG295&amp;""))</f>
        <v/>
      </c>
      <c r="AF295" s="0" t="str">
        <f aca="false">IF($A295="","",IF(AT295="Y",BU295&amp;"",BH295&amp;""))</f>
        <v/>
      </c>
      <c r="AG295" s="0" t="str">
        <f aca="false">IF($A295="","",IF(AT295="Y",BV295&amp;"",BI295&amp;""))</f>
        <v/>
      </c>
      <c r="AH295" s="0" t="s">
        <v>11906</v>
      </c>
      <c r="AI295" s="0" t="s">
        <v>5580</v>
      </c>
      <c r="AJ295" s="0" t="s">
        <v>11907</v>
      </c>
      <c r="AK295" s="0" t="s">
        <v>11908</v>
      </c>
      <c r="AL295" s="0" t="s">
        <v>164</v>
      </c>
      <c r="AM295" s="0" t="s">
        <v>11909</v>
      </c>
      <c r="AN295" s="0" t="s">
        <v>11901</v>
      </c>
      <c r="AO295" s="5" t="s">
        <v>189</v>
      </c>
      <c r="AR295" s="0" t="str">
        <f aca="false">IF($A295="","",IF(AND(CK295="pass",AO295&lt;&gt;"Y",C295&lt;&gt;"",OR(AU295&lt;&gt;"Y",AV295="Y")),"Y","N"))</f>
        <v>N</v>
      </c>
      <c r="AS295" s="0" t="str">
        <f aca="false">IF($A295="","",_xlfn.TEXTJOIN("; ",TRUE(),IF(CK295&lt;&gt;"pass","gated out",""),IF(AO295="Y","on hold: "&amp;AP295,""),IF(C295="","no contact named on an opened page",""),IF(AND(AU295="Y",AV295&lt;&gt;"Y"),"founder review pending (Founder review tab)","")))</f>
        <v>gated out; no contact named on an opened page</v>
      </c>
      <c r="AU295" s="0" t="s">
        <v>189</v>
      </c>
      <c r="BC295" s="0" t="str">
        <f aca="false">IF($A295="","",IFERROR(INDEX(Enrichment!$A$2:$GZ$2000,MATCH($A295,INDEX(Enrichment!$A$2:$GZ$2000,0,MATCH("row_id",Enrichment!$A$1:$GZ$1,0)),0),MATCH("work_email",Enrichment!$A$1:$GZ$1,0))&amp;"",""))</f>
        <v/>
      </c>
      <c r="BD295" s="0" t="str">
        <f aca="false">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none</v>
      </c>
      <c r="BF295" s="0" t="s">
        <v>380</v>
      </c>
      <c r="BK295" s="0" t="s">
        <v>6048</v>
      </c>
      <c r="BP295" s="0" t="str">
        <f aca="false">IF($A295="","",IFERROR(INDEX(Enrichment!$A$2:$GZ$2000,MATCH($A295,INDEX(Enrichment!$A$2:$GZ$2000,0,MATCH("row_id",Enrichment!$A$1:$GZ$1,0)),0),MATCH("backup_work_email",Enrichment!$A$1:$GZ$1,0))&amp;"",""))</f>
        <v/>
      </c>
      <c r="BQ295" s="0" t="str">
        <f aca="false">IF($A295="","",IF(BP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none</v>
      </c>
      <c r="BS295" s="0" t="s">
        <v>380</v>
      </c>
      <c r="BX295" s="0" t="s">
        <v>388</v>
      </c>
      <c r="BY295" s="0" t="s">
        <v>11910</v>
      </c>
      <c r="CJ295" s="0" t="s">
        <v>7088</v>
      </c>
      <c r="CK295" s="0" t="s">
        <v>4627</v>
      </c>
      <c r="CL295" s="0" t="s">
        <v>10840</v>
      </c>
      <c r="CM295" s="0" t="s">
        <v>11911</v>
      </c>
      <c r="CN295" s="0" t="s">
        <v>5607</v>
      </c>
      <c r="CO295" s="0" t="s">
        <v>11912</v>
      </c>
      <c r="CP295" s="0" t="s">
        <v>5608</v>
      </c>
      <c r="CQ295" s="0" t="s">
        <v>5609</v>
      </c>
      <c r="CR295" s="0" t="s">
        <v>209</v>
      </c>
      <c r="CT295" s="0" t="s">
        <v>164</v>
      </c>
      <c r="CU295" s="0" t="s">
        <v>11913</v>
      </c>
      <c r="CV295" s="0" t="s">
        <v>164</v>
      </c>
      <c r="CW295" s="0" t="s">
        <v>164</v>
      </c>
      <c r="CX295" s="0" t="s">
        <v>209</v>
      </c>
      <c r="CZ295" s="0" t="s">
        <v>5993</v>
      </c>
      <c r="DA295" s="0" t="s">
        <v>164</v>
      </c>
      <c r="DB295" s="0" t="s">
        <v>164</v>
      </c>
      <c r="DC295" s="0" t="s">
        <v>11914</v>
      </c>
      <c r="DE295" s="0" t="s">
        <v>189</v>
      </c>
      <c r="DF295" s="0" t="n">
        <v>0</v>
      </c>
      <c r="DH295" s="0" t="s">
        <v>11915</v>
      </c>
      <c r="DI295" s="0" t="s">
        <v>11916</v>
      </c>
      <c r="DK295" s="0" t="s">
        <v>5689</v>
      </c>
      <c r="DL295" s="0" t="n">
        <v>80</v>
      </c>
      <c r="DN295" s="0" t="n">
        <v>45</v>
      </c>
      <c r="DO295" s="0" t="n">
        <v>6</v>
      </c>
      <c r="DP295" s="0" t="n">
        <v>20</v>
      </c>
      <c r="DQ295" s="0" t="n">
        <v>8</v>
      </c>
      <c r="DR295" s="0" t="n">
        <v>5</v>
      </c>
      <c r="DS295" s="0" t="n">
        <v>10</v>
      </c>
      <c r="DT295" s="0" t="n">
        <v>0</v>
      </c>
      <c r="DU295" s="0" t="n">
        <f aca="false">IF($A295="","",IF(R295="Y",10,0))</f>
        <v>0</v>
      </c>
      <c r="DV295" s="0" t="n">
        <v>-4</v>
      </c>
      <c r="DW295" s="0" t="s">
        <v>11917</v>
      </c>
      <c r="DX295" s="0" t="s">
        <v>5998</v>
      </c>
      <c r="DY295" s="0" t="s">
        <v>11918</v>
      </c>
      <c r="DZ295" s="0" t="s">
        <v>11919</v>
      </c>
      <c r="EA295" s="0" t="s">
        <v>11920</v>
      </c>
      <c r="EV295" s="0" t="str">
        <f aca="false">IF($A295="","",IF(ISNUMBER(MATCH(U295,{"queued","contacted","replied","call_booked","call_done","yes_in_principle","materials_sent"},0)),"Y","N"))</f>
        <v>N</v>
      </c>
      <c r="EW295" s="0" t="str">
        <f aca="false">IF($A295="","",IF(OR(T295="Y",U295="do_not_contact",AQ295&amp;""&lt;&gt;""),"Y","N"))</f>
        <v>N</v>
      </c>
      <c r="EX295" s="0" t="str">
        <f aca="false">IF($A295="","",IF(AN295&amp;""&lt;&gt;"",AN295&amp;"",$A295))</f>
        <v>AB-271</v>
      </c>
      <c r="EY295" s="0" t="str">
        <f aca="false">IF($A295="","",IF(COUNTIFS($EX$2:$EX$1000,EX295,$EV$2:$EV$1000,"Y")+COUNTIFS($EX$2:$EX$1000,EX295,$EW$2:$EW$1000,"Y")&gt;0,"Y","N"))</f>
        <v>N</v>
      </c>
      <c r="EZ295" s="0" t="str">
        <f aca="false">IF($A295="","",IF(AND(U295="new",T295="N",EW295="N",AR295="Y",EY295="N"),"Y","N"))</f>
        <v>N</v>
      </c>
      <c r="FA295" s="0" t="str">
        <f aca="false">IF($A295="","",IF(EZ295&lt;&gt;"Y","N",IF(COUNTIFS($EX$2:$EX$1000,EX295,$EZ$2:$EZ$1000,"Y",$J$2:$J$1000,"&gt;"&amp;J295)+COUNTIFS($EX$2:$EX$1000,EX295,$EZ$2:$EZ$1000,"Y",$J$2:$J$1000,J295,$FG$2:$FG$1000,"&lt;"&amp;FG295)=0,"Y","N")))</f>
        <v>N</v>
      </c>
      <c r="FB295" s="0" t="str">
        <f aca="false">IF($A295="","",IF(AND(EZ295="Y",FA295="Y",Y295&amp;""&lt;&gt;""),IF(Y295&lt;=10,"Y","N"),"N"))</f>
        <v>N</v>
      </c>
      <c r="FC295" s="0" t="str">
        <f aca="false">IF(FB295="Y",Y295,"")</f>
        <v/>
      </c>
      <c r="FD295" s="0" t="str">
        <f aca="false">IF($A295="","",IF(AND(CK295="pass",AU295="Y",AV295&lt;&gt;"Y",U295="new",EW295="N"),"Y","N"))</f>
        <v>N</v>
      </c>
      <c r="FE295" s="0" t="str">
        <f aca="false">IF(FD295&lt;&gt;"Y","",IF(COUNTIFS($FD$2:$FD$1000,"Y",$J$2:$J$1000,"&gt;"&amp;J295)+COUNTIFS($FD$2:$FD$1000,"Y",$J$2:$J$1000,J295,$FG$2:$FG$1000,"&lt;"&amp;FG295)+1&lt;=30,COUNTIFS($FD$2:$FD$1000,"Y",$J$2:$J$1000,"&gt;"&amp;J295)+COUNTIFS($FD$2:$FD$1000,"Y",$J$2:$J$1000,J295,$FG$2:$FG$1000,"&lt;"&amp;FG295)+1,""))</f>
        <v/>
      </c>
      <c r="FF295" s="0" t="str">
        <f aca="false">IF(AND(_xlfn.ISFORMULA(C295),_xlfn.ISFORMULA(J295)),"Y","N")</f>
        <v>Y</v>
      </c>
      <c r="FG295" s="0" t="n">
        <f aca="false">ROW()-1</f>
        <v>294</v>
      </c>
    </row>
    <row r="296" customFormat="false" ht="15" hidden="false" customHeight="false" outlineLevel="0" collapsed="false">
      <c r="A296" s="0" t="s">
        <v>11921</v>
      </c>
      <c r="B296" s="0" t="s">
        <v>11922</v>
      </c>
      <c r="C296" s="0" t="str">
        <f aca="false">IF($A296="","",IF(AT296="Y",BL296&amp;"",AY296&amp;""))</f>
        <v/>
      </c>
      <c r="D296" s="0" t="str">
        <f aca="false">IF($A296="","",IF(AT296="Y",BM296&amp;"",AZ296&amp;""))</f>
        <v/>
      </c>
      <c r="E296" s="0" t="str">
        <f aca="false">IF($A296="","",IF(AT296="Y",BN296&amp;"",BA296&amp;""))</f>
        <v/>
      </c>
      <c r="F296" s="0" t="str">
        <f aca="false">IF($A296="","",IF(AT296="Y",BO296&amp;"",BB296&amp;""))</f>
        <v/>
      </c>
      <c r="G296" s="0" t="str">
        <f aca="false">IF($A296="","",IF(AT296="Y",BP296&amp;"",BC296&amp;""))</f>
        <v/>
      </c>
      <c r="H296" s="0" t="str">
        <f aca="false">IF($A296="","",IF(AT296="Y",BQ296&amp;"",BD296&amp;""))</f>
        <v>none</v>
      </c>
      <c r="I296" s="0" t="str">
        <f aca="false">IF($A296="","",IF(R296="Y","warm-intro",IF(H296="verified","email",IF(C296&lt;&gt;"","linkedin",CA296&amp;""))))</f>
        <v/>
      </c>
      <c r="J296" s="0" t="n">
        <f aca="false">IF($A296="","",IF(CK296="pass",ROUND(N(DO296)+N(DP296)+N(DQ296)+N(DR296)+N(DS296)+N(DT296)+N(DU296)+N(DV296),0),0))</f>
        <v>0</v>
      </c>
      <c r="K296" s="0" t="str">
        <f aca="false">IF($A296="","",IF(CK296&lt;&gt;"pass",BY296&amp;"",BY296&amp;", "&amp;IF(AT296="Y",BX296&amp;"",BK296&amp;"")&amp;BZ296&amp;IF(R296="Y","; known to the founder (+10)","")&amp;"."))</f>
        <v>Gated out: health-claim: explicit health claim in the brand's own copy (opened 2026-10-24): 'it delivers smooth caffeine power to keep you focused, active, and energized t.</v>
      </c>
      <c r="M296" s="0" t="s">
        <v>6144</v>
      </c>
      <c r="N296" s="0" t="s">
        <v>740</v>
      </c>
      <c r="O296" s="0" t="s">
        <v>11923</v>
      </c>
      <c r="P296" s="0" t="s">
        <v>11924</v>
      </c>
      <c r="Q296" s="0" t="s">
        <v>8492</v>
      </c>
      <c r="R296" s="5" t="s">
        <v>189</v>
      </c>
      <c r="S296" s="0" t="s">
        <v>209</v>
      </c>
      <c r="T296" s="5" t="s">
        <v>189</v>
      </c>
      <c r="U296" s="5" t="s">
        <v>3896</v>
      </c>
      <c r="V296" s="0" t="s">
        <v>11925</v>
      </c>
      <c r="W296" s="0" t="s">
        <v>263</v>
      </c>
      <c r="X296" s="0" t="s">
        <v>5578</v>
      </c>
      <c r="Y296" s="0" t="str">
        <f aca="false">IF(FA296&lt;&gt;"Y","",COUNTIFS($FA$2:$FA$1000,"Y",$J$2:$J$1000,"&gt;"&amp;J296)+COUNTIFS($FA$2:$FA$1000,"Y",$J$2:$J$1000,J296,$FG$2:$FG$1000,"&lt;"&amp;FG296)+1)</f>
        <v/>
      </c>
      <c r="AA296" s="0" t="s">
        <v>189</v>
      </c>
      <c r="AB296" s="0" t="str">
        <f aca="false">IF($A296="","",IF(AT296="Y",BW296&amp;"",BJ296&amp;""))</f>
        <v/>
      </c>
      <c r="AC296" s="0" t="str">
        <f aca="false">IF($A296="","",IF(AT296="Y",BR296&amp;"",BE296&amp;""))</f>
        <v/>
      </c>
      <c r="AD296" s="0" t="str">
        <f aca="false">IF($A296="","",IF(AT296="Y",BS296&amp;"",BF296&amp;""))</f>
        <v>none</v>
      </c>
      <c r="AE296" s="0" t="str">
        <f aca="false">IF($A296="","",IF(AT296="Y",BT296&amp;"",BG296&amp;""))</f>
        <v/>
      </c>
      <c r="AF296" s="0" t="str">
        <f aca="false">IF($A296="","",IF(AT296="Y",BU296&amp;"",BH296&amp;""))</f>
        <v/>
      </c>
      <c r="AG296" s="0" t="str">
        <f aca="false">IF($A296="","",IF(AT296="Y",BV296&amp;"",BI296&amp;""))</f>
        <v/>
      </c>
      <c r="AH296" s="0" t="s">
        <v>11926</v>
      </c>
      <c r="AI296" s="0" t="s">
        <v>6473</v>
      </c>
      <c r="AJ296" s="0" t="s">
        <v>5631</v>
      </c>
      <c r="AK296" s="0" t="s">
        <v>11927</v>
      </c>
      <c r="AL296" s="0" t="s">
        <v>164</v>
      </c>
      <c r="AM296" s="0" t="s">
        <v>11928</v>
      </c>
      <c r="AN296" s="0" t="s">
        <v>11921</v>
      </c>
      <c r="AO296" s="5" t="s">
        <v>189</v>
      </c>
      <c r="AR296" s="0" t="str">
        <f aca="false">IF($A296="","",IF(AND(CK296="pass",AO296&lt;&gt;"Y",C296&lt;&gt;"",OR(AU296&lt;&gt;"Y",AV296="Y")),"Y","N"))</f>
        <v>N</v>
      </c>
      <c r="AS296" s="0" t="str">
        <f aca="false">IF($A296="","",_xlfn.TEXTJOIN("; ",TRUE(),IF(CK296&lt;&gt;"pass","gated out",""),IF(AO296="Y","on hold: "&amp;AP296,""),IF(C296="","no contact named on an opened page",""),IF(AND(AU296="Y",AV296&lt;&gt;"Y"),"founder review pending (Founder review tab)","")))</f>
        <v>gated out; no contact named on an opened page</v>
      </c>
      <c r="AU296" s="0" t="s">
        <v>189</v>
      </c>
      <c r="BC296" s="0" t="str">
        <f aca="false">IF($A296="","",IFERROR(INDEX(Enrichment!$A$2:$GZ$2000,MATCH($A296,INDEX(Enrichment!$A$2:$GZ$2000,0,MATCH("row_id",Enrichment!$A$1:$GZ$1,0)),0),MATCH("work_email",Enrichment!$A$1:$GZ$1,0))&amp;"",""))</f>
        <v/>
      </c>
      <c r="BD296" s="0" t="str">
        <f aca="false">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none</v>
      </c>
      <c r="BF296" s="0" t="s">
        <v>380</v>
      </c>
      <c r="BK296" s="0" t="s">
        <v>6048</v>
      </c>
      <c r="BP296" s="0" t="str">
        <f aca="false">IF($A296="","",IFERROR(INDEX(Enrichment!$A$2:$GZ$2000,MATCH($A296,INDEX(Enrichment!$A$2:$GZ$2000,0,MATCH("row_id",Enrichment!$A$1:$GZ$1,0)),0),MATCH("backup_work_email",Enrichment!$A$1:$GZ$1,0))&amp;"",""))</f>
        <v/>
      </c>
      <c r="BQ296" s="0" t="str">
        <f aca="false">IF($A296="","",IF(BP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none</v>
      </c>
      <c r="BS296" s="0" t="s">
        <v>380</v>
      </c>
      <c r="BX296" s="0" t="s">
        <v>388</v>
      </c>
      <c r="BY296" s="0" t="s">
        <v>11929</v>
      </c>
      <c r="CJ296" s="0" t="s">
        <v>7088</v>
      </c>
      <c r="CK296" s="0" t="s">
        <v>4627</v>
      </c>
      <c r="CL296" s="0" t="s">
        <v>10005</v>
      </c>
      <c r="CM296" s="0" t="s">
        <v>11930</v>
      </c>
      <c r="CN296" s="0" t="s">
        <v>7284</v>
      </c>
      <c r="CO296" s="0" t="s">
        <v>11927</v>
      </c>
      <c r="CP296" s="0" t="s">
        <v>5608</v>
      </c>
      <c r="CQ296" s="0" t="s">
        <v>5609</v>
      </c>
      <c r="CR296" s="0" t="s">
        <v>209</v>
      </c>
      <c r="CT296" s="0" t="s">
        <v>164</v>
      </c>
      <c r="CU296" s="0" t="s">
        <v>11931</v>
      </c>
      <c r="CV296" s="0" t="s">
        <v>164</v>
      </c>
      <c r="CW296" s="0" t="s">
        <v>164</v>
      </c>
      <c r="CX296" s="0" t="s">
        <v>209</v>
      </c>
      <c r="CZ296" s="0" t="s">
        <v>6456</v>
      </c>
      <c r="DA296" s="0" t="s">
        <v>189</v>
      </c>
      <c r="DB296" s="0" t="s">
        <v>164</v>
      </c>
      <c r="DC296" s="0" t="s">
        <v>11932</v>
      </c>
      <c r="DE296" s="0" t="s">
        <v>189</v>
      </c>
      <c r="DF296" s="0" t="n">
        <v>0</v>
      </c>
      <c r="DI296" s="0" t="s">
        <v>7906</v>
      </c>
      <c r="DJ296" s="0" t="s">
        <v>11924</v>
      </c>
      <c r="DK296" s="0" t="s">
        <v>5689</v>
      </c>
      <c r="DL296" s="0" t="n">
        <v>115</v>
      </c>
      <c r="DN296" s="0" t="n">
        <v>44</v>
      </c>
      <c r="DO296" s="0" t="n">
        <v>6</v>
      </c>
      <c r="DP296" s="0" t="n">
        <v>20</v>
      </c>
      <c r="DQ296" s="0" t="n">
        <v>8</v>
      </c>
      <c r="DR296" s="0" t="n">
        <v>5</v>
      </c>
      <c r="DS296" s="0" t="n">
        <v>10</v>
      </c>
      <c r="DT296" s="0" t="n">
        <v>0</v>
      </c>
      <c r="DU296" s="0" t="n">
        <f aca="false">IF($A296="","",IF(R296="Y",10,0))</f>
        <v>0</v>
      </c>
      <c r="DV296" s="0" t="n">
        <v>-5</v>
      </c>
      <c r="DW296" s="0" t="s">
        <v>209</v>
      </c>
      <c r="DX296" s="0" t="s">
        <v>6462</v>
      </c>
      <c r="DY296" s="0" t="s">
        <v>11933</v>
      </c>
      <c r="DZ296" s="0" t="s">
        <v>11934</v>
      </c>
      <c r="EA296" s="0" t="s">
        <v>11935</v>
      </c>
      <c r="EV296" s="0" t="str">
        <f aca="false">IF($A296="","",IF(ISNUMBER(MATCH(U296,{"queued","contacted","replied","call_booked","call_done","yes_in_principle","materials_sent"},0)),"Y","N"))</f>
        <v>N</v>
      </c>
      <c r="EW296" s="0" t="str">
        <f aca="false">IF($A296="","",IF(OR(T296="Y",U296="do_not_contact",AQ296&amp;""&lt;&gt;""),"Y","N"))</f>
        <v>N</v>
      </c>
      <c r="EX296" s="0" t="str">
        <f aca="false">IF($A296="","",IF(AN296&amp;""&lt;&gt;"",AN296&amp;"",$A296))</f>
        <v>AB-184</v>
      </c>
      <c r="EY296" s="0" t="str">
        <f aca="false">IF($A296="","",IF(COUNTIFS($EX$2:$EX$1000,EX296,$EV$2:$EV$1000,"Y")+COUNTIFS($EX$2:$EX$1000,EX296,$EW$2:$EW$1000,"Y")&gt;0,"Y","N"))</f>
        <v>N</v>
      </c>
      <c r="EZ296" s="0" t="str">
        <f aca="false">IF($A296="","",IF(AND(U296="new",T296="N",EW296="N",AR296="Y",EY296="N"),"Y","N"))</f>
        <v>N</v>
      </c>
      <c r="FA296" s="0" t="str">
        <f aca="false">IF($A296="","",IF(EZ296&lt;&gt;"Y","N",IF(COUNTIFS($EX$2:$EX$1000,EX296,$EZ$2:$EZ$1000,"Y",$J$2:$J$1000,"&gt;"&amp;J296)+COUNTIFS($EX$2:$EX$1000,EX296,$EZ$2:$EZ$1000,"Y",$J$2:$J$1000,J296,$FG$2:$FG$1000,"&lt;"&amp;FG296)=0,"Y","N")))</f>
        <v>N</v>
      </c>
      <c r="FB296" s="0" t="str">
        <f aca="false">IF($A296="","",IF(AND(EZ296="Y",FA296="Y",Y296&amp;""&lt;&gt;""),IF(Y296&lt;=10,"Y","N"),"N"))</f>
        <v>N</v>
      </c>
      <c r="FC296" s="0" t="str">
        <f aca="false">IF(FB296="Y",Y296,"")</f>
        <v/>
      </c>
      <c r="FD296" s="0" t="str">
        <f aca="false">IF($A296="","",IF(AND(CK296="pass",AU296="Y",AV296&lt;&gt;"Y",U296="new",EW296="N"),"Y","N"))</f>
        <v>N</v>
      </c>
      <c r="FE296" s="0" t="str">
        <f aca="false">IF(FD296&lt;&gt;"Y","",IF(COUNTIFS($FD$2:$FD$1000,"Y",$J$2:$J$1000,"&gt;"&amp;J296)+COUNTIFS($FD$2:$FD$1000,"Y",$J$2:$J$1000,J296,$FG$2:$FG$1000,"&lt;"&amp;FG296)+1&lt;=30,COUNTIFS($FD$2:$FD$1000,"Y",$J$2:$J$1000,"&gt;"&amp;J296)+COUNTIFS($FD$2:$FD$1000,"Y",$J$2:$J$1000,J296,$FG$2:$FG$1000,"&lt;"&amp;FG296)+1,""))</f>
        <v/>
      </c>
      <c r="FF296" s="0" t="str">
        <f aca="false">IF(AND(_xlfn.ISFORMULA(C296),_xlfn.ISFORMULA(J296)),"Y","N")</f>
        <v>Y</v>
      </c>
      <c r="FG296" s="0" t="n">
        <f aca="false">ROW()-1</f>
        <v>295</v>
      </c>
    </row>
    <row r="297" customFormat="false" ht="15" hidden="false" customHeight="false" outlineLevel="0" collapsed="false">
      <c r="A297" s="0" t="s">
        <v>11936</v>
      </c>
      <c r="B297" s="0" t="s">
        <v>11937</v>
      </c>
      <c r="C297" s="0" t="str">
        <f aca="false">IF($A297="","",IF(AT297="Y",BL297&amp;"",AY297&amp;""))</f>
        <v/>
      </c>
      <c r="D297" s="0" t="str">
        <f aca="false">IF($A297="","",IF(AT297="Y",BM297&amp;"",AZ297&amp;""))</f>
        <v/>
      </c>
      <c r="E297" s="0" t="str">
        <f aca="false">IF($A297="","",IF(AT297="Y",BN297&amp;"",BA297&amp;""))</f>
        <v/>
      </c>
      <c r="F297" s="0" t="str">
        <f aca="false">IF($A297="","",IF(AT297="Y",BO297&amp;"",BB297&amp;""))</f>
        <v/>
      </c>
      <c r="G297" s="0" t="str">
        <f aca="false">IF($A297="","",IF(AT297="Y",BP297&amp;"",BC297&amp;""))</f>
        <v/>
      </c>
      <c r="H297" s="0" t="str">
        <f aca="false">IF($A297="","",IF(AT297="Y",BQ297&amp;"",BD297&amp;""))</f>
        <v>none</v>
      </c>
      <c r="I297" s="0" t="str">
        <f aca="false">IF($A297="","",IF(R297="Y","warm-intro",IF(H297="verified","email",IF(C297&lt;&gt;"","linkedin",CA297&amp;""))))</f>
        <v/>
      </c>
      <c r="J297" s="0" t="n">
        <f aca="false">IF($A297="","",IF(CK297="pass",ROUND(N(DO297)+N(DP297)+N(DQ297)+N(DR297)+N(DS297)+N(DT297)+N(DU297)+N(DV297),0),0))</f>
        <v>0</v>
      </c>
      <c r="K297" s="0" t="str">
        <f aca="false">IF($A297="","",IF(CK297&lt;&gt;"pass",BY297&amp;"",BY297&amp;", "&amp;IF(AT297="Y",BX297&amp;"",BK297&amp;"")&amp;BZ297&amp;IF(R297="Y","; known to the founder (+10)","")&amp;"."))</f>
        <v>Gated out: health-claim: Explicit health claims in the website's ingredient panel: 'lowers blood pressure', 'boosts metabolism, fires up digestion', 'anti-inflammatory, be.</v>
      </c>
      <c r="M297" s="0" t="s">
        <v>6144</v>
      </c>
      <c r="N297" s="0" t="s">
        <v>740</v>
      </c>
      <c r="O297" s="0" t="s">
        <v>11938</v>
      </c>
      <c r="P297" s="0" t="s">
        <v>11939</v>
      </c>
      <c r="Q297" s="0" t="s">
        <v>9525</v>
      </c>
      <c r="R297" s="5" t="s">
        <v>189</v>
      </c>
      <c r="S297" s="0" t="s">
        <v>209</v>
      </c>
      <c r="T297" s="5" t="s">
        <v>189</v>
      </c>
      <c r="U297" s="5" t="s">
        <v>3896</v>
      </c>
      <c r="V297" s="0" t="s">
        <v>11940</v>
      </c>
      <c r="W297" s="0" t="s">
        <v>172</v>
      </c>
      <c r="X297" s="0" t="s">
        <v>5578</v>
      </c>
      <c r="Y297" s="0" t="str">
        <f aca="false">IF(FA297&lt;&gt;"Y","",COUNTIFS($FA$2:$FA$1000,"Y",$J$2:$J$1000,"&gt;"&amp;J297)+COUNTIFS($FA$2:$FA$1000,"Y",$J$2:$J$1000,J297,$FG$2:$FG$1000,"&lt;"&amp;FG297)+1)</f>
        <v/>
      </c>
      <c r="AA297" s="0" t="s">
        <v>189</v>
      </c>
      <c r="AB297" s="0" t="str">
        <f aca="false">IF($A297="","",IF(AT297="Y",BW297&amp;"",BJ297&amp;""))</f>
        <v/>
      </c>
      <c r="AC297" s="0" t="str">
        <f aca="false">IF($A297="","",IF(AT297="Y",BR297&amp;"",BE297&amp;""))</f>
        <v/>
      </c>
      <c r="AD297" s="0" t="str">
        <f aca="false">IF($A297="","",IF(AT297="Y",BS297&amp;"",BF297&amp;""))</f>
        <v>none</v>
      </c>
      <c r="AE297" s="0" t="str">
        <f aca="false">IF($A297="","",IF(AT297="Y",BT297&amp;"",BG297&amp;""))</f>
        <v/>
      </c>
      <c r="AF297" s="0" t="str">
        <f aca="false">IF($A297="","",IF(AT297="Y",BU297&amp;"",BH297&amp;""))</f>
        <v/>
      </c>
      <c r="AG297" s="0" t="str">
        <f aca="false">IF($A297="","",IF(AT297="Y",BV297&amp;"",BI297&amp;""))</f>
        <v/>
      </c>
      <c r="AH297" s="0" t="s">
        <v>11941</v>
      </c>
      <c r="AI297" s="0" t="s">
        <v>5921</v>
      </c>
      <c r="AJ297" s="0" t="s">
        <v>5631</v>
      </c>
      <c r="AK297" s="0" t="s">
        <v>11942</v>
      </c>
      <c r="AL297" s="0" t="s">
        <v>164</v>
      </c>
      <c r="AM297" s="0" t="s">
        <v>11943</v>
      </c>
      <c r="AN297" s="0" t="s">
        <v>11936</v>
      </c>
      <c r="AO297" s="5" t="s">
        <v>189</v>
      </c>
      <c r="AR297" s="0" t="str">
        <f aca="false">IF($A297="","",IF(AND(CK297="pass",AO297&lt;&gt;"Y",C297&lt;&gt;"",OR(AU297&lt;&gt;"Y",AV297="Y")),"Y","N"))</f>
        <v>N</v>
      </c>
      <c r="AS297" s="0" t="str">
        <f aca="false">IF($A297="","",_xlfn.TEXTJOIN("; ",TRUE(),IF(CK297&lt;&gt;"pass","gated out",""),IF(AO297="Y","on hold: "&amp;AP297,""),IF(C297="","no contact named on an opened page",""),IF(AND(AU297="Y",AV297&lt;&gt;"Y"),"founder review pending (Founder review tab)","")))</f>
        <v>gated out; no contact named on an opened page</v>
      </c>
      <c r="AU297" s="0" t="s">
        <v>189</v>
      </c>
      <c r="BC297" s="0" t="str">
        <f aca="false">IF($A297="","",IFERROR(INDEX(Enrichment!$A$2:$GZ$2000,MATCH($A297,INDEX(Enrichment!$A$2:$GZ$2000,0,MATCH("row_id",Enrichment!$A$1:$GZ$1,0)),0),MATCH("work_email",Enrichment!$A$1:$GZ$1,0))&amp;"",""))</f>
        <v/>
      </c>
      <c r="BD297" s="0" t="str">
        <f aca="false">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none</v>
      </c>
      <c r="BF297" s="0" t="s">
        <v>380</v>
      </c>
      <c r="BK297" s="0" t="s">
        <v>6048</v>
      </c>
      <c r="BP297" s="0" t="str">
        <f aca="false">IF($A297="","",IFERROR(INDEX(Enrichment!$A$2:$GZ$2000,MATCH($A297,INDEX(Enrichment!$A$2:$GZ$2000,0,MATCH("row_id",Enrichment!$A$1:$GZ$1,0)),0),MATCH("backup_work_email",Enrichment!$A$1:$GZ$1,0))&amp;"",""))</f>
        <v/>
      </c>
      <c r="BQ297" s="0" t="str">
        <f aca="false">IF($A297="","",IF(BP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none</v>
      </c>
      <c r="BS297" s="0" t="s">
        <v>380</v>
      </c>
      <c r="BX297" s="0" t="s">
        <v>388</v>
      </c>
      <c r="BY297" s="0" t="s">
        <v>11944</v>
      </c>
      <c r="CJ297" s="0" t="s">
        <v>7088</v>
      </c>
      <c r="CK297" s="0" t="s">
        <v>4627</v>
      </c>
      <c r="CL297" s="0" t="s">
        <v>10005</v>
      </c>
      <c r="CM297" s="0" t="s">
        <v>11945</v>
      </c>
      <c r="CN297" s="0" t="s">
        <v>5607</v>
      </c>
      <c r="CO297" s="0" t="s">
        <v>11946</v>
      </c>
      <c r="CP297" s="0" t="s">
        <v>5608</v>
      </c>
      <c r="CQ297" s="0" t="s">
        <v>5609</v>
      </c>
      <c r="CR297" s="0" t="s">
        <v>209</v>
      </c>
      <c r="CT297" s="0" t="s">
        <v>164</v>
      </c>
      <c r="CU297" s="0" t="s">
        <v>11947</v>
      </c>
      <c r="CV297" s="0" t="s">
        <v>164</v>
      </c>
      <c r="CW297" s="0" t="s">
        <v>164</v>
      </c>
      <c r="CX297" s="0" t="s">
        <v>209</v>
      </c>
      <c r="CZ297" s="0" t="s">
        <v>5993</v>
      </c>
      <c r="DA297" s="0" t="s">
        <v>164</v>
      </c>
      <c r="DB297" s="0" t="s">
        <v>164</v>
      </c>
      <c r="DC297" s="0" t="s">
        <v>11948</v>
      </c>
      <c r="DE297" s="0" t="s">
        <v>189</v>
      </c>
      <c r="DF297" s="0" t="n">
        <v>0</v>
      </c>
      <c r="DI297" s="0" t="s">
        <v>11949</v>
      </c>
      <c r="DK297" s="0" t="s">
        <v>5689</v>
      </c>
      <c r="DL297" s="0" t="n">
        <v>204</v>
      </c>
      <c r="DN297" s="0" t="n">
        <v>41</v>
      </c>
      <c r="DO297" s="0" t="n">
        <v>6</v>
      </c>
      <c r="DP297" s="0" t="n">
        <v>20</v>
      </c>
      <c r="DQ297" s="0" t="n">
        <v>4</v>
      </c>
      <c r="DR297" s="0" t="n">
        <v>5</v>
      </c>
      <c r="DS297" s="0" t="n">
        <v>10</v>
      </c>
      <c r="DT297" s="0" t="n">
        <v>0</v>
      </c>
      <c r="DU297" s="0" t="n">
        <f aca="false">IF($A297="","",IF(R297="Y",10,0))</f>
        <v>0</v>
      </c>
      <c r="DV297" s="0" t="n">
        <v>-4</v>
      </c>
      <c r="DW297" s="0" t="s">
        <v>11950</v>
      </c>
      <c r="DX297" s="0" t="s">
        <v>5998</v>
      </c>
      <c r="DY297" s="0" t="s">
        <v>11951</v>
      </c>
      <c r="DZ297" s="0" t="s">
        <v>11952</v>
      </c>
      <c r="EV297" s="0" t="str">
        <f aca="false">IF($A297="","",IF(ISNUMBER(MATCH(U297,{"queued","contacted","replied","call_booked","call_done","yes_in_principle","materials_sent"},0)),"Y","N"))</f>
        <v>N</v>
      </c>
      <c r="EW297" s="0" t="str">
        <f aca="false">IF($A297="","",IF(OR(T297="Y",U297="do_not_contact",AQ297&amp;""&lt;&gt;""),"Y","N"))</f>
        <v>N</v>
      </c>
      <c r="EX297" s="0" t="str">
        <f aca="false">IF($A297="","",IF(AN297&amp;""&lt;&gt;"",AN297&amp;"",$A297))</f>
        <v>AB-299</v>
      </c>
      <c r="EY297" s="0" t="str">
        <f aca="false">IF($A297="","",IF(COUNTIFS($EX$2:$EX$1000,EX297,$EV$2:$EV$1000,"Y")+COUNTIFS($EX$2:$EX$1000,EX297,$EW$2:$EW$1000,"Y")&gt;0,"Y","N"))</f>
        <v>N</v>
      </c>
      <c r="EZ297" s="0" t="str">
        <f aca="false">IF($A297="","",IF(AND(U297="new",T297="N",EW297="N",AR297="Y",EY297="N"),"Y","N"))</f>
        <v>N</v>
      </c>
      <c r="FA297" s="0" t="str">
        <f aca="false">IF($A297="","",IF(EZ297&lt;&gt;"Y","N",IF(COUNTIFS($EX$2:$EX$1000,EX297,$EZ$2:$EZ$1000,"Y",$J$2:$J$1000,"&gt;"&amp;J297)+COUNTIFS($EX$2:$EX$1000,EX297,$EZ$2:$EZ$1000,"Y",$J$2:$J$1000,J297,$FG$2:$FG$1000,"&lt;"&amp;FG297)=0,"Y","N")))</f>
        <v>N</v>
      </c>
      <c r="FB297" s="0" t="str">
        <f aca="false">IF($A297="","",IF(AND(EZ297="Y",FA297="Y",Y297&amp;""&lt;&gt;""),IF(Y297&lt;=10,"Y","N"),"N"))</f>
        <v>N</v>
      </c>
      <c r="FC297" s="0" t="str">
        <f aca="false">IF(FB297="Y",Y297,"")</f>
        <v/>
      </c>
      <c r="FD297" s="0" t="str">
        <f aca="false">IF($A297="","",IF(AND(CK297="pass",AU297="Y",AV297&lt;&gt;"Y",U297="new",EW297="N"),"Y","N"))</f>
        <v>N</v>
      </c>
      <c r="FE297" s="0" t="str">
        <f aca="false">IF(FD297&lt;&gt;"Y","",IF(COUNTIFS($FD$2:$FD$1000,"Y",$J$2:$J$1000,"&gt;"&amp;J297)+COUNTIFS($FD$2:$FD$1000,"Y",$J$2:$J$1000,J297,$FG$2:$FG$1000,"&lt;"&amp;FG297)+1&lt;=30,COUNTIFS($FD$2:$FD$1000,"Y",$J$2:$J$1000,"&gt;"&amp;J297)+COUNTIFS($FD$2:$FD$1000,"Y",$J$2:$J$1000,J297,$FG$2:$FG$1000,"&lt;"&amp;FG297)+1,""))</f>
        <v/>
      </c>
      <c r="FF297" s="0" t="str">
        <f aca="false">IF(AND(_xlfn.ISFORMULA(C297),_xlfn.ISFORMULA(J297)),"Y","N")</f>
        <v>Y</v>
      </c>
      <c r="FG297" s="0" t="n">
        <f aca="false">ROW()-1</f>
        <v>296</v>
      </c>
    </row>
    <row r="298" customFormat="false" ht="15" hidden="false" customHeight="false" outlineLevel="0" collapsed="false">
      <c r="A298" s="0" t="s">
        <v>11953</v>
      </c>
      <c r="B298" s="0" t="s">
        <v>11954</v>
      </c>
      <c r="C298" s="0" t="str">
        <f aca="false">IF($A298="","",IF(AT298="Y",BL298&amp;"",AY298&amp;""))</f>
        <v/>
      </c>
      <c r="D298" s="0" t="str">
        <f aca="false">IF($A298="","",IF(AT298="Y",BM298&amp;"",AZ298&amp;""))</f>
        <v/>
      </c>
      <c r="E298" s="0" t="str">
        <f aca="false">IF($A298="","",IF(AT298="Y",BN298&amp;"",BA298&amp;""))</f>
        <v/>
      </c>
      <c r="F298" s="0" t="str">
        <f aca="false">IF($A298="","",IF(AT298="Y",BO298&amp;"",BB298&amp;""))</f>
        <v/>
      </c>
      <c r="G298" s="0" t="str">
        <f aca="false">IF($A298="","",IF(AT298="Y",BP298&amp;"",BC298&amp;""))</f>
        <v/>
      </c>
      <c r="H298" s="0" t="str">
        <f aca="false">IF($A298="","",IF(AT298="Y",BQ298&amp;"",BD298&amp;""))</f>
        <v>none</v>
      </c>
      <c r="I298" s="0" t="str">
        <f aca="false">IF($A298="","",IF(R298="Y","warm-intro",IF(H298="verified","email",IF(C298&lt;&gt;"","linkedin",CA298&amp;""))))</f>
        <v/>
      </c>
      <c r="J298" s="0" t="n">
        <f aca="false">IF($A298="","",IF(CK298="pass",ROUND(N(DO298)+N(DP298)+N(DQ298)+N(DR298)+N(DS298)+N(DT298)+N(DU298)+N(DV298),0),0))</f>
        <v>0</v>
      </c>
      <c r="K298" s="0" t="str">
        <f aca="false">IF($A298="","",IF(CK298&lt;&gt;"pass",BY298&amp;"",BY298&amp;", "&amp;IF(AT298="Y",BX298&amp;"",BK298&amp;"")&amp;BZ298&amp;IF(R298="Y","; known to the founder (+10)","")&amp;"."))</f>
        <v>Gated out: health-claim: Explicit health claims: probiotics 'promote digestive wellness, enhance immune support, and foster a healthy gut microbiome'; homepage 'Gut Health.</v>
      </c>
      <c r="M298" s="0" t="s">
        <v>6144</v>
      </c>
      <c r="N298" s="0" t="s">
        <v>740</v>
      </c>
      <c r="R298" s="5" t="s">
        <v>189</v>
      </c>
      <c r="S298" s="0" t="s">
        <v>209</v>
      </c>
      <c r="T298" s="5" t="s">
        <v>189</v>
      </c>
      <c r="U298" s="5" t="s">
        <v>3896</v>
      </c>
      <c r="V298" s="0" t="s">
        <v>11955</v>
      </c>
      <c r="W298" s="0" t="s">
        <v>263</v>
      </c>
      <c r="X298" s="0" t="s">
        <v>5578</v>
      </c>
      <c r="Y298" s="0" t="str">
        <f aca="false">IF(FA298&lt;&gt;"Y","",COUNTIFS($FA$2:$FA$1000,"Y",$J$2:$J$1000,"&gt;"&amp;J298)+COUNTIFS($FA$2:$FA$1000,"Y",$J$2:$J$1000,J298,$FG$2:$FG$1000,"&lt;"&amp;FG298)+1)</f>
        <v/>
      </c>
      <c r="AA298" s="0" t="s">
        <v>189</v>
      </c>
      <c r="AB298" s="0" t="str">
        <f aca="false">IF($A298="","",IF(AT298="Y",BW298&amp;"",BJ298&amp;""))</f>
        <v/>
      </c>
      <c r="AC298" s="0" t="str">
        <f aca="false">IF($A298="","",IF(AT298="Y",BR298&amp;"",BE298&amp;""))</f>
        <v/>
      </c>
      <c r="AD298" s="0" t="str">
        <f aca="false">IF($A298="","",IF(AT298="Y",BS298&amp;"",BF298&amp;""))</f>
        <v>none</v>
      </c>
      <c r="AE298" s="0" t="str">
        <f aca="false">IF($A298="","",IF(AT298="Y",BT298&amp;"",BG298&amp;""))</f>
        <v/>
      </c>
      <c r="AF298" s="0" t="str">
        <f aca="false">IF($A298="","",IF(AT298="Y",BU298&amp;"",BH298&amp;""))</f>
        <v/>
      </c>
      <c r="AG298" s="0" t="str">
        <f aca="false">IF($A298="","",IF(AT298="Y",BV298&amp;"",BI298&amp;""))</f>
        <v/>
      </c>
      <c r="AH298" s="0" t="s">
        <v>11956</v>
      </c>
      <c r="AI298" s="0" t="s">
        <v>5580</v>
      </c>
      <c r="AJ298" s="0" t="s">
        <v>209</v>
      </c>
      <c r="AK298" s="0" t="s">
        <v>11957</v>
      </c>
      <c r="AL298" s="0" t="s">
        <v>164</v>
      </c>
      <c r="AM298" s="0" t="s">
        <v>5666</v>
      </c>
      <c r="AN298" s="0" t="s">
        <v>11953</v>
      </c>
      <c r="AO298" s="5" t="s">
        <v>189</v>
      </c>
      <c r="AR298" s="0" t="str">
        <f aca="false">IF($A298="","",IF(AND(CK298="pass",AO298&lt;&gt;"Y",C298&lt;&gt;"",OR(AU298&lt;&gt;"Y",AV298="Y")),"Y","N"))</f>
        <v>N</v>
      </c>
      <c r="AS298" s="0" t="str">
        <f aca="false">IF($A298="","",_xlfn.TEXTJOIN("; ",TRUE(),IF(CK298&lt;&gt;"pass","gated out",""),IF(AO298="Y","on hold: "&amp;AP298,""),IF(C298="","no contact named on an opened page",""),IF(AND(AU298="Y",AV298&lt;&gt;"Y"),"founder review pending (Founder review tab)","")))</f>
        <v>gated out; no contact named on an opened page</v>
      </c>
      <c r="AU298" s="0" t="s">
        <v>189</v>
      </c>
      <c r="BC298" s="0" t="str">
        <f aca="false">IF($A298="","",IFERROR(INDEX(Enrichment!$A$2:$GZ$2000,MATCH($A298,INDEX(Enrichment!$A$2:$GZ$2000,0,MATCH("row_id",Enrichment!$A$1:$GZ$1,0)),0),MATCH("work_email",Enrichment!$A$1:$GZ$1,0))&amp;"",""))</f>
        <v/>
      </c>
      <c r="BD298" s="0" t="str">
        <f aca="false">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none</v>
      </c>
      <c r="BF298" s="0" t="s">
        <v>380</v>
      </c>
      <c r="BK298" s="0" t="s">
        <v>6048</v>
      </c>
      <c r="BP298" s="0" t="str">
        <f aca="false">IF($A298="","",IFERROR(INDEX(Enrichment!$A$2:$GZ$2000,MATCH($A298,INDEX(Enrichment!$A$2:$GZ$2000,0,MATCH("row_id",Enrichment!$A$1:$GZ$1,0)),0),MATCH("backup_work_email",Enrichment!$A$1:$GZ$1,0))&amp;"",""))</f>
        <v/>
      </c>
      <c r="BQ298" s="0" t="str">
        <f aca="false">IF($A298="","",IF(BP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none</v>
      </c>
      <c r="BS298" s="0" t="s">
        <v>380</v>
      </c>
      <c r="BX298" s="0" t="s">
        <v>388</v>
      </c>
      <c r="BY298" s="0" t="s">
        <v>11958</v>
      </c>
      <c r="CJ298" s="0" t="s">
        <v>7088</v>
      </c>
      <c r="CK298" s="0" t="s">
        <v>4627</v>
      </c>
      <c r="CL298" s="0" t="s">
        <v>10005</v>
      </c>
      <c r="CM298" s="0" t="s">
        <v>11959</v>
      </c>
      <c r="CO298" s="0" t="s">
        <v>11957</v>
      </c>
      <c r="CP298" s="0" t="s">
        <v>5608</v>
      </c>
      <c r="CQ298" s="0" t="s">
        <v>5870</v>
      </c>
      <c r="CR298" s="0" t="s">
        <v>209</v>
      </c>
      <c r="CT298" s="0" t="s">
        <v>209</v>
      </c>
      <c r="CU298" s="0" t="s">
        <v>11960</v>
      </c>
      <c r="CV298" s="0" t="s">
        <v>164</v>
      </c>
      <c r="CW298" s="0" t="s">
        <v>164</v>
      </c>
      <c r="CX298" s="0" t="s">
        <v>209</v>
      </c>
      <c r="CZ298" s="0" t="s">
        <v>6456</v>
      </c>
      <c r="DA298" s="0" t="s">
        <v>164</v>
      </c>
      <c r="DB298" s="0" t="s">
        <v>164</v>
      </c>
      <c r="DC298" s="0" t="s">
        <v>11961</v>
      </c>
      <c r="DE298" s="0" t="s">
        <v>189</v>
      </c>
      <c r="DF298" s="0" t="n">
        <v>0</v>
      </c>
      <c r="DI298" s="0" t="s">
        <v>209</v>
      </c>
      <c r="DK298" s="0" t="s">
        <v>380</v>
      </c>
      <c r="DN298" s="0" t="n">
        <v>31</v>
      </c>
      <c r="DO298" s="0" t="n">
        <v>6</v>
      </c>
      <c r="DP298" s="0" t="n">
        <v>13</v>
      </c>
      <c r="DQ298" s="0" t="n">
        <v>0</v>
      </c>
      <c r="DR298" s="0" t="n">
        <v>5</v>
      </c>
      <c r="DS298" s="0" t="n">
        <v>7</v>
      </c>
      <c r="DT298" s="0" t="n">
        <v>0</v>
      </c>
      <c r="DU298" s="0" t="n">
        <f aca="false">IF($A298="","",IF(R298="Y",10,0))</f>
        <v>0</v>
      </c>
      <c r="DV298" s="0" t="n">
        <v>0</v>
      </c>
      <c r="DW298" s="0" t="s">
        <v>11962</v>
      </c>
      <c r="DX298" s="0" t="s">
        <v>6462</v>
      </c>
      <c r="DY298" s="0" t="s">
        <v>11963</v>
      </c>
      <c r="DZ298" s="0" t="s">
        <v>11964</v>
      </c>
      <c r="EV298" s="0" t="str">
        <f aca="false">IF($A298="","",IF(ISNUMBER(MATCH(U298,{"queued","contacted","replied","call_booked","call_done","yes_in_principle","materials_sent"},0)),"Y","N"))</f>
        <v>N</v>
      </c>
      <c r="EW298" s="0" t="str">
        <f aca="false">IF($A298="","",IF(OR(T298="Y",U298="do_not_contact",AQ298&amp;""&lt;&gt;""),"Y","N"))</f>
        <v>N</v>
      </c>
      <c r="EX298" s="0" t="str">
        <f aca="false">IF($A298="","",IF(AN298&amp;""&lt;&gt;"",AN298&amp;"",$A298))</f>
        <v>AB-138</v>
      </c>
      <c r="EY298" s="0" t="str">
        <f aca="false">IF($A298="","",IF(COUNTIFS($EX$2:$EX$1000,EX298,$EV$2:$EV$1000,"Y")+COUNTIFS($EX$2:$EX$1000,EX298,$EW$2:$EW$1000,"Y")&gt;0,"Y","N"))</f>
        <v>N</v>
      </c>
      <c r="EZ298" s="0" t="str">
        <f aca="false">IF($A298="","",IF(AND(U298="new",T298="N",EW298="N",AR298="Y",EY298="N"),"Y","N"))</f>
        <v>N</v>
      </c>
      <c r="FA298" s="0" t="str">
        <f aca="false">IF($A298="","",IF(EZ298&lt;&gt;"Y","N",IF(COUNTIFS($EX$2:$EX$1000,EX298,$EZ$2:$EZ$1000,"Y",$J$2:$J$1000,"&gt;"&amp;J298)+COUNTIFS($EX$2:$EX$1000,EX298,$EZ$2:$EZ$1000,"Y",$J$2:$J$1000,J298,$FG$2:$FG$1000,"&lt;"&amp;FG298)=0,"Y","N")))</f>
        <v>N</v>
      </c>
      <c r="FB298" s="0" t="str">
        <f aca="false">IF($A298="","",IF(AND(EZ298="Y",FA298="Y",Y298&amp;""&lt;&gt;""),IF(Y298&lt;=10,"Y","N"),"N"))</f>
        <v>N</v>
      </c>
      <c r="FC298" s="0" t="str">
        <f aca="false">IF(FB298="Y",Y298,"")</f>
        <v/>
      </c>
      <c r="FD298" s="0" t="str">
        <f aca="false">IF($A298="","",IF(AND(CK298="pass",AU298="Y",AV298&lt;&gt;"Y",U298="new",EW298="N"),"Y","N"))</f>
        <v>N</v>
      </c>
      <c r="FE298" s="0" t="str">
        <f aca="false">IF(FD298&lt;&gt;"Y","",IF(COUNTIFS($FD$2:$FD$1000,"Y",$J$2:$J$1000,"&gt;"&amp;J298)+COUNTIFS($FD$2:$FD$1000,"Y",$J$2:$J$1000,J298,$FG$2:$FG$1000,"&lt;"&amp;FG298)+1&lt;=30,COUNTIFS($FD$2:$FD$1000,"Y",$J$2:$J$1000,"&gt;"&amp;J298)+COUNTIFS($FD$2:$FD$1000,"Y",$J$2:$J$1000,J298,$FG$2:$FG$1000,"&lt;"&amp;FG298)+1,""))</f>
        <v/>
      </c>
      <c r="FF298" s="0" t="str">
        <f aca="false">IF(AND(_xlfn.ISFORMULA(C298),_xlfn.ISFORMULA(J298)),"Y","N")</f>
        <v>Y</v>
      </c>
      <c r="FG298" s="0" t="n">
        <f aca="false">ROW()-1</f>
        <v>297</v>
      </c>
    </row>
    <row r="299" customFormat="false" ht="15" hidden="false" customHeight="false" outlineLevel="0" collapsed="false">
      <c r="A299" s="0" t="s">
        <v>11965</v>
      </c>
      <c r="B299" s="0" t="s">
        <v>11966</v>
      </c>
      <c r="C299" s="0" t="str">
        <f aca="false">IF($A299="","",IF(AT299="Y",BL299&amp;"",AY299&amp;""))</f>
        <v/>
      </c>
      <c r="D299" s="0" t="str">
        <f aca="false">IF($A299="","",IF(AT299="Y",BM299&amp;"",AZ299&amp;""))</f>
        <v/>
      </c>
      <c r="E299" s="0" t="str">
        <f aca="false">IF($A299="","",IF(AT299="Y",BN299&amp;"",BA299&amp;""))</f>
        <v/>
      </c>
      <c r="F299" s="0" t="str">
        <f aca="false">IF($A299="","",IF(AT299="Y",BO299&amp;"",BB299&amp;""))</f>
        <v/>
      </c>
      <c r="G299" s="0" t="str">
        <f aca="false">IF($A299="","",IF(AT299="Y",BP299&amp;"",BC299&amp;""))</f>
        <v/>
      </c>
      <c r="H299" s="0" t="str">
        <f aca="false">IF($A299="","",IF(AT299="Y",BQ299&amp;"",BD299&amp;""))</f>
        <v>none</v>
      </c>
      <c r="I299" s="0" t="str">
        <f aca="false">IF($A299="","",IF(R299="Y","warm-intro",IF(H299="verified","email",IF(C299&lt;&gt;"","linkedin",CA299&amp;""))))</f>
        <v/>
      </c>
      <c r="J299" s="0" t="n">
        <f aca="false">IF($A299="","",IF(CK299="pass",ROUND(N(DO299)+N(DP299)+N(DQ299)+N(DR299)+N(DS299)+N(DT299)+N(DU299)+N(DV299),0),0))</f>
        <v>0</v>
      </c>
      <c r="K299" s="0" t="str">
        <f aca="false">IF($A299="","",IF(CK299&lt;&gt;"pass",BY299&amp;"",BY299&amp;", "&amp;IF(AT299="Y",BX299&amp;"",BK299&amp;"")&amp;BZ299&amp;IF(R299="Y","; known to the founder (+10)","")&amp;"."))</f>
        <v>Gated out: health-claim: Adaptogen drinks with structure or function claims ('support your immune system', 'boost mood, promote relaxation'; elderberry 'for immunity').</v>
      </c>
      <c r="M299" s="0" t="s">
        <v>6144</v>
      </c>
      <c r="N299" s="0" t="s">
        <v>740</v>
      </c>
      <c r="R299" s="5" t="s">
        <v>189</v>
      </c>
      <c r="S299" s="0" t="s">
        <v>209</v>
      </c>
      <c r="T299" s="5" t="s">
        <v>189</v>
      </c>
      <c r="U299" s="5" t="s">
        <v>3896</v>
      </c>
      <c r="V299" s="0" t="s">
        <v>11967</v>
      </c>
      <c r="W299" s="0" t="s">
        <v>263</v>
      </c>
      <c r="X299" s="0" t="s">
        <v>5578</v>
      </c>
      <c r="Y299" s="0" t="str">
        <f aca="false">IF(FA299&lt;&gt;"Y","",COUNTIFS($FA$2:$FA$1000,"Y",$J$2:$J$1000,"&gt;"&amp;J299)+COUNTIFS($FA$2:$FA$1000,"Y",$J$2:$J$1000,J299,$FG$2:$FG$1000,"&lt;"&amp;FG299)+1)</f>
        <v/>
      </c>
      <c r="AA299" s="0" t="s">
        <v>189</v>
      </c>
      <c r="AB299" s="0" t="str">
        <f aca="false">IF($A299="","",IF(AT299="Y",BW299&amp;"",BJ299&amp;""))</f>
        <v/>
      </c>
      <c r="AC299" s="0" t="str">
        <f aca="false">IF($A299="","",IF(AT299="Y",BR299&amp;"",BE299&amp;""))</f>
        <v/>
      </c>
      <c r="AD299" s="0" t="str">
        <f aca="false">IF($A299="","",IF(AT299="Y",BS299&amp;"",BF299&amp;""))</f>
        <v>none</v>
      </c>
      <c r="AE299" s="0" t="str">
        <f aca="false">IF($A299="","",IF(AT299="Y",BT299&amp;"",BG299&amp;""))</f>
        <v/>
      </c>
      <c r="AF299" s="0" t="str">
        <f aca="false">IF($A299="","",IF(AT299="Y",BU299&amp;"",BH299&amp;""))</f>
        <v/>
      </c>
      <c r="AG299" s="0" t="str">
        <f aca="false">IF($A299="","",IF(AT299="Y",BV299&amp;"",BI299&amp;""))</f>
        <v/>
      </c>
      <c r="AH299" s="0" t="s">
        <v>11968</v>
      </c>
      <c r="AI299" s="0" t="s">
        <v>6699</v>
      </c>
      <c r="AJ299" s="0" t="s">
        <v>209</v>
      </c>
      <c r="AK299" s="0" t="s">
        <v>11969</v>
      </c>
      <c r="AL299" s="0" t="s">
        <v>164</v>
      </c>
      <c r="AM299" s="0" t="s">
        <v>5666</v>
      </c>
      <c r="AN299" s="0" t="s">
        <v>11965</v>
      </c>
      <c r="AO299" s="5" t="s">
        <v>189</v>
      </c>
      <c r="AR299" s="0" t="str">
        <f aca="false">IF($A299="","",IF(AND(CK299="pass",AO299&lt;&gt;"Y",C299&lt;&gt;"",OR(AU299&lt;&gt;"Y",AV299="Y")),"Y","N"))</f>
        <v>N</v>
      </c>
      <c r="AS299" s="0" t="str">
        <f aca="false">IF($A299="","",_xlfn.TEXTJOIN("; ",TRUE(),IF(CK299&lt;&gt;"pass","gated out",""),IF(AO299="Y","on hold: "&amp;AP299,""),IF(C299="","no contact named on an opened page",""),IF(AND(AU299="Y",AV299&lt;&gt;"Y"),"founder review pending (Founder review tab)","")))</f>
        <v>gated out; no contact named on an opened page</v>
      </c>
      <c r="AU299" s="0" t="s">
        <v>189</v>
      </c>
      <c r="BC299" s="0" t="str">
        <f aca="false">IF($A299="","",IFERROR(INDEX(Enrichment!$A$2:$GZ$2000,MATCH($A299,INDEX(Enrichment!$A$2:$GZ$2000,0,MATCH("row_id",Enrichment!$A$1:$GZ$1,0)),0),MATCH("work_email",Enrichment!$A$1:$GZ$1,0))&amp;"",""))</f>
        <v/>
      </c>
      <c r="BD299" s="0" t="str">
        <f aca="false">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none</v>
      </c>
      <c r="BF299" s="0" t="s">
        <v>380</v>
      </c>
      <c r="BK299" s="0" t="s">
        <v>6048</v>
      </c>
      <c r="BP299" s="0" t="str">
        <f aca="false">IF($A299="","",IFERROR(INDEX(Enrichment!$A$2:$GZ$2000,MATCH($A299,INDEX(Enrichment!$A$2:$GZ$2000,0,MATCH("row_id",Enrichment!$A$1:$GZ$1,0)),0),MATCH("backup_work_email",Enrichment!$A$1:$GZ$1,0))&amp;"",""))</f>
        <v/>
      </c>
      <c r="BQ299" s="0" t="str">
        <f aca="false">IF($A299="","",IF(BP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none</v>
      </c>
      <c r="BS299" s="0" t="s">
        <v>380</v>
      </c>
      <c r="BX299" s="0" t="s">
        <v>388</v>
      </c>
      <c r="BY299" s="0" t="s">
        <v>11970</v>
      </c>
      <c r="CJ299" s="0" t="s">
        <v>7088</v>
      </c>
      <c r="CK299" s="0" t="s">
        <v>4627</v>
      </c>
      <c r="CL299" s="0" t="s">
        <v>10005</v>
      </c>
      <c r="CM299" s="0" t="s">
        <v>11971</v>
      </c>
      <c r="CO299" s="0" t="s">
        <v>11969</v>
      </c>
      <c r="CP299" s="0" t="s">
        <v>209</v>
      </c>
      <c r="CQ299" s="0" t="s">
        <v>209</v>
      </c>
      <c r="CR299" s="0" t="s">
        <v>209</v>
      </c>
      <c r="CT299" s="0" t="s">
        <v>209</v>
      </c>
      <c r="CU299" s="0" t="s">
        <v>11262</v>
      </c>
      <c r="CV299" s="0" t="s">
        <v>164</v>
      </c>
      <c r="CW299" s="0" t="s">
        <v>164</v>
      </c>
      <c r="CX299" s="0" t="s">
        <v>209</v>
      </c>
      <c r="CZ299" s="0" t="s">
        <v>6456</v>
      </c>
      <c r="DA299" s="0" t="s">
        <v>164</v>
      </c>
      <c r="DB299" s="0" t="s">
        <v>164</v>
      </c>
      <c r="DC299" s="0" t="s">
        <v>11972</v>
      </c>
      <c r="DE299" s="0" t="s">
        <v>189</v>
      </c>
      <c r="DF299" s="0" t="n">
        <v>0</v>
      </c>
      <c r="DI299" s="0" t="s">
        <v>209</v>
      </c>
      <c r="DK299" s="0" t="s">
        <v>380</v>
      </c>
      <c r="DN299" s="0" t="n">
        <v>22</v>
      </c>
      <c r="DO299" s="0" t="n">
        <v>6</v>
      </c>
      <c r="DP299" s="0" t="n">
        <v>4</v>
      </c>
      <c r="DQ299" s="0" t="n">
        <v>0</v>
      </c>
      <c r="DR299" s="0" t="n">
        <v>5</v>
      </c>
      <c r="DS299" s="0" t="n">
        <v>7</v>
      </c>
      <c r="DT299" s="0" t="n">
        <v>0</v>
      </c>
      <c r="DU299" s="0" t="n">
        <f aca="false">IF($A299="","",IF(R299="Y",10,0))</f>
        <v>0</v>
      </c>
      <c r="DV299" s="0" t="n">
        <v>0</v>
      </c>
      <c r="DW299" s="0" t="s">
        <v>11973</v>
      </c>
      <c r="DX299" s="0" t="s">
        <v>6462</v>
      </c>
      <c r="DY299" s="0" t="s">
        <v>11974</v>
      </c>
      <c r="DZ299" s="0" t="s">
        <v>11975</v>
      </c>
      <c r="EV299" s="0" t="str">
        <f aca="false">IF($A299="","",IF(ISNUMBER(MATCH(U299,{"queued","contacted","replied","call_booked","call_done","yes_in_principle","materials_sent"},0)),"Y","N"))</f>
        <v>N</v>
      </c>
      <c r="EW299" s="0" t="str">
        <f aca="false">IF($A299="","",IF(OR(T299="Y",U299="do_not_contact",AQ299&amp;""&lt;&gt;""),"Y","N"))</f>
        <v>N</v>
      </c>
      <c r="EX299" s="0" t="str">
        <f aca="false">IF($A299="","",IF(AN299&amp;""&lt;&gt;"",AN299&amp;"",$A299))</f>
        <v>AB-149</v>
      </c>
      <c r="EY299" s="0" t="str">
        <f aca="false">IF($A299="","",IF(COUNTIFS($EX$2:$EX$1000,EX299,$EV$2:$EV$1000,"Y")+COUNTIFS($EX$2:$EX$1000,EX299,$EW$2:$EW$1000,"Y")&gt;0,"Y","N"))</f>
        <v>N</v>
      </c>
      <c r="EZ299" s="0" t="str">
        <f aca="false">IF($A299="","",IF(AND(U299="new",T299="N",EW299="N",AR299="Y",EY299="N"),"Y","N"))</f>
        <v>N</v>
      </c>
      <c r="FA299" s="0" t="str">
        <f aca="false">IF($A299="","",IF(EZ299&lt;&gt;"Y","N",IF(COUNTIFS($EX$2:$EX$1000,EX299,$EZ$2:$EZ$1000,"Y",$J$2:$J$1000,"&gt;"&amp;J299)+COUNTIFS($EX$2:$EX$1000,EX299,$EZ$2:$EZ$1000,"Y",$J$2:$J$1000,J299,$FG$2:$FG$1000,"&lt;"&amp;FG299)=0,"Y","N")))</f>
        <v>N</v>
      </c>
      <c r="FB299" s="0" t="str">
        <f aca="false">IF($A299="","",IF(AND(EZ299="Y",FA299="Y",Y299&amp;""&lt;&gt;""),IF(Y299&lt;=10,"Y","N"),"N"))</f>
        <v>N</v>
      </c>
      <c r="FC299" s="0" t="str">
        <f aca="false">IF(FB299="Y",Y299,"")</f>
        <v/>
      </c>
      <c r="FD299" s="0" t="str">
        <f aca="false">IF($A299="","",IF(AND(CK299="pass",AU299="Y",AV299&lt;&gt;"Y",U299="new",EW299="N"),"Y","N"))</f>
        <v>N</v>
      </c>
      <c r="FE299" s="0" t="str">
        <f aca="false">IF(FD299&lt;&gt;"Y","",IF(COUNTIFS($FD$2:$FD$1000,"Y",$J$2:$J$1000,"&gt;"&amp;J299)+COUNTIFS($FD$2:$FD$1000,"Y",$J$2:$J$1000,J299,$FG$2:$FG$1000,"&lt;"&amp;FG299)+1&lt;=30,COUNTIFS($FD$2:$FD$1000,"Y",$J$2:$J$1000,"&gt;"&amp;J299)+COUNTIFS($FD$2:$FD$1000,"Y",$J$2:$J$1000,J299,$FG$2:$FG$1000,"&lt;"&amp;FG299)+1,""))</f>
        <v/>
      </c>
      <c r="FF299" s="0" t="str">
        <f aca="false">IF(AND(_xlfn.ISFORMULA(C299),_xlfn.ISFORMULA(J299)),"Y","N")</f>
        <v>Y</v>
      </c>
      <c r="FG299" s="0" t="n">
        <f aca="false">ROW()-1</f>
        <v>298</v>
      </c>
    </row>
    <row r="300" customFormat="false" ht="15" hidden="false" customHeight="false" outlineLevel="0" collapsed="false">
      <c r="A300" s="0" t="s">
        <v>11976</v>
      </c>
      <c r="B300" s="0" t="s">
        <v>11977</v>
      </c>
      <c r="C300" s="0" t="str">
        <f aca="false">IF($A300="","",IF(AT300="Y",BL300&amp;"",AY300&amp;""))</f>
        <v/>
      </c>
      <c r="D300" s="0" t="str">
        <f aca="false">IF($A300="","",IF(AT300="Y",BM300&amp;"",AZ300&amp;""))</f>
        <v/>
      </c>
      <c r="E300" s="0" t="str">
        <f aca="false">IF($A300="","",IF(AT300="Y",BN300&amp;"",BA300&amp;""))</f>
        <v/>
      </c>
      <c r="F300" s="0" t="str">
        <f aca="false">IF($A300="","",IF(AT300="Y",BO300&amp;"",BB300&amp;""))</f>
        <v/>
      </c>
      <c r="G300" s="0" t="str">
        <f aca="false">IF($A300="","",IF(AT300="Y",BP300&amp;"",BC300&amp;""))</f>
        <v/>
      </c>
      <c r="H300" s="0" t="str">
        <f aca="false">IF($A300="","",IF(AT300="Y",BQ300&amp;"",BD300&amp;""))</f>
        <v>none</v>
      </c>
      <c r="I300" s="0" t="str">
        <f aca="false">IF($A300="","",IF(R300="Y","warm-intro",IF(H300="verified","email",IF(C300&lt;&gt;"","linkedin",CA300&amp;""))))</f>
        <v/>
      </c>
      <c r="J300" s="0" t="n">
        <f aca="false">IF($A300="","",IF(CK300="pass",ROUND(N(DO300)+N(DP300)+N(DQ300)+N(DR300)+N(DS300)+N(DT300)+N(DU300)+N(DV300),0),0))</f>
        <v>0</v>
      </c>
      <c r="K300" s="0" t="str">
        <f aca="false">IF($A300="","",IF(CK300&lt;&gt;"pass",BY300&amp;"",BY300&amp;", "&amp;IF(AT300="Y",BX300&amp;"",BK300&amp;"")&amp;BZ300&amp;IF(R300="Y","; known to the founder (+10)","")&amp;"."))</f>
        <v>Gated out: not-shelf-stable: Refrigerated cold-pressed juice; 'health juices/elixirs' positioning.</v>
      </c>
      <c r="M300" s="0" t="s">
        <v>6144</v>
      </c>
      <c r="N300" s="0" t="s">
        <v>740</v>
      </c>
      <c r="R300" s="5" t="s">
        <v>189</v>
      </c>
      <c r="S300" s="0" t="s">
        <v>209</v>
      </c>
      <c r="T300" s="5" t="s">
        <v>189</v>
      </c>
      <c r="U300" s="5" t="s">
        <v>3896</v>
      </c>
      <c r="V300" s="0" t="s">
        <v>11978</v>
      </c>
      <c r="W300" s="0" t="s">
        <v>263</v>
      </c>
      <c r="X300" s="0" t="s">
        <v>5578</v>
      </c>
      <c r="Y300" s="0" t="str">
        <f aca="false">IF(FA300&lt;&gt;"Y","",COUNTIFS($FA$2:$FA$1000,"Y",$J$2:$J$1000,"&gt;"&amp;J300)+COUNTIFS($FA$2:$FA$1000,"Y",$J$2:$J$1000,J300,$FG$2:$FG$1000,"&lt;"&amp;FG300)+1)</f>
        <v/>
      </c>
      <c r="AA300" s="0" t="s">
        <v>189</v>
      </c>
      <c r="AB300" s="0" t="str">
        <f aca="false">IF($A300="","",IF(AT300="Y",BW300&amp;"",BJ300&amp;""))</f>
        <v/>
      </c>
      <c r="AC300" s="0" t="str">
        <f aca="false">IF($A300="","",IF(AT300="Y",BR300&amp;"",BE300&amp;""))</f>
        <v/>
      </c>
      <c r="AD300" s="0" t="str">
        <f aca="false">IF($A300="","",IF(AT300="Y",BS300&amp;"",BF300&amp;""))</f>
        <v>none</v>
      </c>
      <c r="AE300" s="0" t="str">
        <f aca="false">IF($A300="","",IF(AT300="Y",BT300&amp;"",BG300&amp;""))</f>
        <v/>
      </c>
      <c r="AF300" s="0" t="str">
        <f aca="false">IF($A300="","",IF(AT300="Y",BU300&amp;"",BH300&amp;""))</f>
        <v/>
      </c>
      <c r="AG300" s="0" t="str">
        <f aca="false">IF($A300="","",IF(AT300="Y",BV300&amp;"",BI300&amp;""))</f>
        <v/>
      </c>
      <c r="AH300" s="0" t="s">
        <v>11979</v>
      </c>
      <c r="AI300" s="0" t="s">
        <v>6621</v>
      </c>
      <c r="AJ300" s="0" t="s">
        <v>11980</v>
      </c>
      <c r="AK300" s="0" t="s">
        <v>11981</v>
      </c>
      <c r="AL300" s="0" t="s">
        <v>189</v>
      </c>
      <c r="AN300" s="0" t="s">
        <v>11976</v>
      </c>
      <c r="AO300" s="5" t="s">
        <v>189</v>
      </c>
      <c r="AR300" s="0" t="str">
        <f aca="false">IF($A300="","",IF(AND(CK300="pass",AO300&lt;&gt;"Y",C300&lt;&gt;"",OR(AU300&lt;&gt;"Y",AV300="Y")),"Y","N"))</f>
        <v>N</v>
      </c>
      <c r="AS300" s="0" t="str">
        <f aca="false">IF($A300="","",_xlfn.TEXTJOIN("; ",TRUE(),IF(CK300&lt;&gt;"pass","gated out",""),IF(AO300="Y","on hold: "&amp;AP300,""),IF(C300="","no contact named on an opened page",""),IF(AND(AU300="Y",AV300&lt;&gt;"Y"),"founder review pending (Founder review tab)","")))</f>
        <v>gated out; no contact named on an opened page</v>
      </c>
      <c r="AU300" s="0" t="s">
        <v>189</v>
      </c>
      <c r="BC300" s="0" t="str">
        <f aca="false">IF($A300="","",IFERROR(INDEX(Enrichment!$A$2:$GZ$2000,MATCH($A300,INDEX(Enrichment!$A$2:$GZ$2000,0,MATCH("row_id",Enrichment!$A$1:$GZ$1,0)),0),MATCH("work_email",Enrichment!$A$1:$GZ$1,0))&amp;"",""))</f>
        <v/>
      </c>
      <c r="BD300" s="0" t="str">
        <f aca="false">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none</v>
      </c>
      <c r="BF300" s="0" t="s">
        <v>380</v>
      </c>
      <c r="BK300" s="0" t="s">
        <v>6048</v>
      </c>
      <c r="BP300" s="0" t="str">
        <f aca="false">IF($A300="","",IFERROR(INDEX(Enrichment!$A$2:$GZ$2000,MATCH($A300,INDEX(Enrichment!$A$2:$GZ$2000,0,MATCH("row_id",Enrichment!$A$1:$GZ$1,0)),0),MATCH("backup_work_email",Enrichment!$A$1:$GZ$1,0))&amp;"",""))</f>
        <v/>
      </c>
      <c r="BQ300" s="0" t="str">
        <f aca="false">IF($A300="","",IF(BP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none</v>
      </c>
      <c r="BS300" s="0" t="s">
        <v>380</v>
      </c>
      <c r="BX300" s="0" t="s">
        <v>388</v>
      </c>
      <c r="BY300" s="0" t="s">
        <v>11982</v>
      </c>
      <c r="CJ300" s="0" t="s">
        <v>7088</v>
      </c>
      <c r="CK300" s="0" t="s">
        <v>4627</v>
      </c>
      <c r="CL300" s="0" t="s">
        <v>10343</v>
      </c>
      <c r="CM300" s="0" t="s">
        <v>11983</v>
      </c>
      <c r="CO300" s="0" t="s">
        <v>11981</v>
      </c>
      <c r="CP300" s="0" t="s">
        <v>5608</v>
      </c>
      <c r="CQ300" s="0" t="s">
        <v>5609</v>
      </c>
      <c r="CR300" s="0" t="s">
        <v>209</v>
      </c>
      <c r="CT300" s="0" t="s">
        <v>189</v>
      </c>
      <c r="CU300" s="0" t="s">
        <v>11984</v>
      </c>
      <c r="CV300" s="0" t="s">
        <v>164</v>
      </c>
      <c r="CW300" s="0" t="s">
        <v>164</v>
      </c>
      <c r="CX300" s="0" t="s">
        <v>209</v>
      </c>
      <c r="CZ300" s="0" t="s">
        <v>209</v>
      </c>
      <c r="DA300" s="0" t="s">
        <v>189</v>
      </c>
      <c r="DB300" s="0" t="s">
        <v>164</v>
      </c>
      <c r="DC300" s="0" t="s">
        <v>11985</v>
      </c>
      <c r="DE300" s="0" t="s">
        <v>189</v>
      </c>
      <c r="DF300" s="0" t="n">
        <v>0</v>
      </c>
      <c r="DI300" s="0" t="s">
        <v>11986</v>
      </c>
      <c r="DK300" s="0" t="s">
        <v>380</v>
      </c>
      <c r="DN300" s="0" t="n">
        <v>37</v>
      </c>
      <c r="DO300" s="0" t="n">
        <v>6</v>
      </c>
      <c r="DP300" s="0" t="n">
        <v>20</v>
      </c>
      <c r="DQ300" s="0" t="n">
        <v>0</v>
      </c>
      <c r="DR300" s="0" t="n">
        <v>5</v>
      </c>
      <c r="DS300" s="0" t="n">
        <v>6</v>
      </c>
      <c r="DT300" s="0" t="n">
        <v>0</v>
      </c>
      <c r="DU300" s="0" t="n">
        <f aca="false">IF($A300="","",IF(R300="Y",10,0))</f>
        <v>0</v>
      </c>
      <c r="DV300" s="0" t="n">
        <v>0</v>
      </c>
      <c r="DX300" s="0" t="s">
        <v>5619</v>
      </c>
      <c r="DY300" s="0" t="s">
        <v>11987</v>
      </c>
      <c r="DZ300" s="0" t="s">
        <v>11988</v>
      </c>
      <c r="EV300" s="0" t="str">
        <f aca="false">IF($A300="","",IF(ISNUMBER(MATCH(U300,{"queued","contacted","replied","call_booked","call_done","yes_in_principle","materials_sent"},0)),"Y","N"))</f>
        <v>N</v>
      </c>
      <c r="EW300" s="0" t="str">
        <f aca="false">IF($A300="","",IF(OR(T300="Y",U300="do_not_contact",AQ300&amp;""&lt;&gt;""),"Y","N"))</f>
        <v>N</v>
      </c>
      <c r="EX300" s="0" t="str">
        <f aca="false">IF($A300="","",IF(AN300&amp;""&lt;&gt;"",AN300&amp;"",$A300))</f>
        <v>AB-263</v>
      </c>
      <c r="EY300" s="0" t="str">
        <f aca="false">IF($A300="","",IF(COUNTIFS($EX$2:$EX$1000,EX300,$EV$2:$EV$1000,"Y")+COUNTIFS($EX$2:$EX$1000,EX300,$EW$2:$EW$1000,"Y")&gt;0,"Y","N"))</f>
        <v>N</v>
      </c>
      <c r="EZ300" s="0" t="str">
        <f aca="false">IF($A300="","",IF(AND(U300="new",T300="N",EW300="N",AR300="Y",EY300="N"),"Y","N"))</f>
        <v>N</v>
      </c>
      <c r="FA300" s="0" t="str">
        <f aca="false">IF($A300="","",IF(EZ300&lt;&gt;"Y","N",IF(COUNTIFS($EX$2:$EX$1000,EX300,$EZ$2:$EZ$1000,"Y",$J$2:$J$1000,"&gt;"&amp;J300)+COUNTIFS($EX$2:$EX$1000,EX300,$EZ$2:$EZ$1000,"Y",$J$2:$J$1000,J300,$FG$2:$FG$1000,"&lt;"&amp;FG300)=0,"Y","N")))</f>
        <v>N</v>
      </c>
      <c r="FB300" s="0" t="str">
        <f aca="false">IF($A300="","",IF(AND(EZ300="Y",FA300="Y",Y300&amp;""&lt;&gt;""),IF(Y300&lt;=10,"Y","N"),"N"))</f>
        <v>N</v>
      </c>
      <c r="FC300" s="0" t="str">
        <f aca="false">IF(FB300="Y",Y300,"")</f>
        <v/>
      </c>
      <c r="FD300" s="0" t="str">
        <f aca="false">IF($A300="","",IF(AND(CK300="pass",AU300="Y",AV300&lt;&gt;"Y",U300="new",EW300="N"),"Y","N"))</f>
        <v>N</v>
      </c>
      <c r="FE300" s="0" t="str">
        <f aca="false">IF(FD300&lt;&gt;"Y","",IF(COUNTIFS($FD$2:$FD$1000,"Y",$J$2:$J$1000,"&gt;"&amp;J300)+COUNTIFS($FD$2:$FD$1000,"Y",$J$2:$J$1000,J300,$FG$2:$FG$1000,"&lt;"&amp;FG300)+1&lt;=30,COUNTIFS($FD$2:$FD$1000,"Y",$J$2:$J$1000,"&gt;"&amp;J300)+COUNTIFS($FD$2:$FD$1000,"Y",$J$2:$J$1000,J300,$FG$2:$FG$1000,"&lt;"&amp;FG300)+1,""))</f>
        <v/>
      </c>
      <c r="FF300" s="0" t="str">
        <f aca="false">IF(AND(_xlfn.ISFORMULA(C300),_xlfn.ISFORMULA(J300)),"Y","N")</f>
        <v>Y</v>
      </c>
      <c r="FG300" s="0" t="n">
        <f aca="false">ROW()-1</f>
        <v>299</v>
      </c>
    </row>
    <row r="301" customFormat="false" ht="15" hidden="false" customHeight="false" outlineLevel="0" collapsed="false">
      <c r="A301" s="0" t="s">
        <v>11989</v>
      </c>
      <c r="B301" s="0" t="s">
        <v>11990</v>
      </c>
      <c r="C301" s="0" t="str">
        <f aca="false">IF($A301="","",IF(AT301="Y",BL301&amp;"",AY301&amp;""))</f>
        <v/>
      </c>
      <c r="D301" s="0" t="str">
        <f aca="false">IF($A301="","",IF(AT301="Y",BM301&amp;"",AZ301&amp;""))</f>
        <v/>
      </c>
      <c r="E301" s="0" t="str">
        <f aca="false">IF($A301="","",IF(AT301="Y",BN301&amp;"",BA301&amp;""))</f>
        <v/>
      </c>
      <c r="F301" s="0" t="str">
        <f aca="false">IF($A301="","",IF(AT301="Y",BO301&amp;"",BB301&amp;""))</f>
        <v/>
      </c>
      <c r="G301" s="0" t="str">
        <f aca="false">IF($A301="","",IF(AT301="Y",BP301&amp;"",BC301&amp;""))</f>
        <v/>
      </c>
      <c r="H301" s="0" t="str">
        <f aca="false">IF($A301="","",IF(AT301="Y",BQ301&amp;"",BD301&amp;""))</f>
        <v>none</v>
      </c>
      <c r="I301" s="0" t="str">
        <f aca="false">IF($A301="","",IF(R301="Y","warm-intro",IF(H301="verified","email",IF(C301&lt;&gt;"","linkedin",CA301&amp;""))))</f>
        <v/>
      </c>
      <c r="J301" s="0" t="n">
        <f aca="false">IF($A301="","",IF(CK301="pass",ROUND(N(DO301)+N(DP301)+N(DQ301)+N(DR301)+N(DS301)+N(DT301)+N(DU301)+N(DV301),0),0))</f>
        <v>0</v>
      </c>
      <c r="K301" s="0" t="str">
        <f aca="false">IF($A301="","",IF(CK301&lt;&gt;"pass",BY301&amp;"",BY301&amp;", "&amp;IF(AT301="Y",BX301&amp;"",BK301&amp;"")&amp;BZ301&amp;IF(R301="Y","; known to the founder (+10)","")&amp;"."))</f>
        <v>Gated out: excluded-category: Functional ingredients: 225 mg KSM-66 ashwagandha (Paloma Libre) and lion's mane (Carajillo Tejas); adaptogens are treated as supplement-styl.</v>
      </c>
      <c r="M301" s="0" t="s">
        <v>6144</v>
      </c>
      <c r="N301" s="0" t="s">
        <v>740</v>
      </c>
      <c r="R301" s="5" t="s">
        <v>189</v>
      </c>
      <c r="S301" s="0" t="s">
        <v>209</v>
      </c>
      <c r="T301" s="5" t="s">
        <v>189</v>
      </c>
      <c r="U301" s="5" t="s">
        <v>3896</v>
      </c>
      <c r="V301" s="0" t="s">
        <v>11991</v>
      </c>
      <c r="W301" s="0" t="s">
        <v>263</v>
      </c>
      <c r="X301" s="0" t="s">
        <v>5578</v>
      </c>
      <c r="Y301" s="0" t="str">
        <f aca="false">IF(FA301&lt;&gt;"Y","",COUNTIFS($FA$2:$FA$1000,"Y",$J$2:$J$1000,"&gt;"&amp;J301)+COUNTIFS($FA$2:$FA$1000,"Y",$J$2:$J$1000,J301,$FG$2:$FG$1000,"&lt;"&amp;FG301)+1)</f>
        <v/>
      </c>
      <c r="AA301" s="0" t="s">
        <v>189</v>
      </c>
      <c r="AB301" s="0" t="str">
        <f aca="false">IF($A301="","",IF(AT301="Y",BW301&amp;"",BJ301&amp;""))</f>
        <v/>
      </c>
      <c r="AC301" s="0" t="str">
        <f aca="false">IF($A301="","",IF(AT301="Y",BR301&amp;"",BE301&amp;""))</f>
        <v/>
      </c>
      <c r="AD301" s="0" t="str">
        <f aca="false">IF($A301="","",IF(AT301="Y",BS301&amp;"",BF301&amp;""))</f>
        <v>none</v>
      </c>
      <c r="AE301" s="0" t="str">
        <f aca="false">IF($A301="","",IF(AT301="Y",BT301&amp;"",BG301&amp;""))</f>
        <v/>
      </c>
      <c r="AF301" s="0" t="str">
        <f aca="false">IF($A301="","",IF(AT301="Y",BU301&amp;"",BH301&amp;""))</f>
        <v/>
      </c>
      <c r="AG301" s="0" t="str">
        <f aca="false">IF($A301="","",IF(AT301="Y",BV301&amp;"",BI301&amp;""))</f>
        <v/>
      </c>
      <c r="AH301" s="0" t="s">
        <v>11992</v>
      </c>
      <c r="AI301" s="0" t="s">
        <v>6699</v>
      </c>
      <c r="AJ301" s="0" t="s">
        <v>209</v>
      </c>
      <c r="AK301" s="0" t="s">
        <v>11993</v>
      </c>
      <c r="AL301" s="0" t="s">
        <v>164</v>
      </c>
      <c r="AM301" s="0" t="s">
        <v>11994</v>
      </c>
      <c r="AN301" s="0" t="s">
        <v>11989</v>
      </c>
      <c r="AO301" s="5" t="s">
        <v>189</v>
      </c>
      <c r="AR301" s="0" t="str">
        <f aca="false">IF($A301="","",IF(AND(CK301="pass",AO301&lt;&gt;"Y",C301&lt;&gt;"",OR(AU301&lt;&gt;"Y",AV301="Y")),"Y","N"))</f>
        <v>N</v>
      </c>
      <c r="AS301" s="0" t="str">
        <f aca="false">IF($A301="","",_xlfn.TEXTJOIN("; ",TRUE(),IF(CK301&lt;&gt;"pass","gated out",""),IF(AO301="Y","on hold: "&amp;AP301,""),IF(C301="","no contact named on an opened page",""),IF(AND(AU301="Y",AV301&lt;&gt;"Y"),"founder review pending (Founder review tab)","")))</f>
        <v>gated out; no contact named on an opened page</v>
      </c>
      <c r="AU301" s="0" t="s">
        <v>189</v>
      </c>
      <c r="BC301" s="0" t="str">
        <f aca="false">IF($A301="","",IFERROR(INDEX(Enrichment!$A$2:$GZ$2000,MATCH($A301,INDEX(Enrichment!$A$2:$GZ$2000,0,MATCH("row_id",Enrichment!$A$1:$GZ$1,0)),0),MATCH("work_email",Enrichment!$A$1:$GZ$1,0))&amp;"",""))</f>
        <v/>
      </c>
      <c r="BD301" s="0" t="str">
        <f aca="false">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none</v>
      </c>
      <c r="BF301" s="0" t="s">
        <v>380</v>
      </c>
      <c r="BK301" s="0" t="s">
        <v>6048</v>
      </c>
      <c r="BP301" s="0" t="str">
        <f aca="false">IF($A301="","",IFERROR(INDEX(Enrichment!$A$2:$GZ$2000,MATCH($A301,INDEX(Enrichment!$A$2:$GZ$2000,0,MATCH("row_id",Enrichment!$A$1:$GZ$1,0)),0),MATCH("backup_work_email",Enrichment!$A$1:$GZ$1,0))&amp;"",""))</f>
        <v/>
      </c>
      <c r="BQ301" s="0" t="str">
        <f aca="false">IF($A301="","",IF(BP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none</v>
      </c>
      <c r="BS301" s="0" t="s">
        <v>380</v>
      </c>
      <c r="BX301" s="0" t="s">
        <v>388</v>
      </c>
      <c r="BY301" s="0" t="s">
        <v>11995</v>
      </c>
      <c r="CJ301" s="0" t="s">
        <v>7088</v>
      </c>
      <c r="CK301" s="0" t="s">
        <v>4627</v>
      </c>
      <c r="CL301" s="0" t="s">
        <v>10840</v>
      </c>
      <c r="CM301" s="0" t="s">
        <v>11996</v>
      </c>
      <c r="CN301" s="0" t="s">
        <v>5607</v>
      </c>
      <c r="CO301" s="0" t="s">
        <v>11993</v>
      </c>
      <c r="CP301" s="0" t="s">
        <v>6226</v>
      </c>
      <c r="CQ301" s="0" t="s">
        <v>6198</v>
      </c>
      <c r="CR301" s="0" t="s">
        <v>209</v>
      </c>
      <c r="CT301" s="0" t="s">
        <v>164</v>
      </c>
      <c r="CU301" s="0" t="s">
        <v>11997</v>
      </c>
      <c r="CV301" s="0" t="s">
        <v>164</v>
      </c>
      <c r="CW301" s="0" t="s">
        <v>164</v>
      </c>
      <c r="CX301" s="0" t="s">
        <v>209</v>
      </c>
      <c r="CZ301" s="0" t="s">
        <v>6456</v>
      </c>
      <c r="DA301" s="0" t="s">
        <v>164</v>
      </c>
      <c r="DB301" s="0" t="s">
        <v>164</v>
      </c>
      <c r="DC301" s="0" t="s">
        <v>11998</v>
      </c>
      <c r="DE301" s="0" t="s">
        <v>189</v>
      </c>
      <c r="DF301" s="0" t="n">
        <v>0</v>
      </c>
      <c r="DI301" s="0" t="s">
        <v>7906</v>
      </c>
      <c r="DK301" s="0" t="s">
        <v>380</v>
      </c>
      <c r="DN301" s="0" t="n">
        <v>20</v>
      </c>
      <c r="DO301" s="0" t="n">
        <v>6</v>
      </c>
      <c r="DP301" s="0" t="n">
        <v>3</v>
      </c>
      <c r="DQ301" s="0" t="n">
        <v>0</v>
      </c>
      <c r="DR301" s="0" t="n">
        <v>5</v>
      </c>
      <c r="DS301" s="0" t="n">
        <v>10</v>
      </c>
      <c r="DT301" s="0" t="n">
        <v>0</v>
      </c>
      <c r="DU301" s="0" t="n">
        <f aca="false">IF($A301="","",IF(R301="Y",10,0))</f>
        <v>0</v>
      </c>
      <c r="DV301" s="0" t="n">
        <v>-4</v>
      </c>
      <c r="DW301" s="0" t="s">
        <v>11999</v>
      </c>
      <c r="DX301" s="0" t="s">
        <v>6462</v>
      </c>
      <c r="DY301" s="0" t="s">
        <v>12000</v>
      </c>
      <c r="DZ301" s="0" t="s">
        <v>12001</v>
      </c>
      <c r="EV301" s="0" t="str">
        <f aca="false">IF($A301="","",IF(ISNUMBER(MATCH(U301,{"queued","contacted","replied","call_booked","call_done","yes_in_principle","materials_sent"},0)),"Y","N"))</f>
        <v>N</v>
      </c>
      <c r="EW301" s="0" t="str">
        <f aca="false">IF($A301="","",IF(OR(T301="Y",U301="do_not_contact",AQ301&amp;""&lt;&gt;""),"Y","N"))</f>
        <v>N</v>
      </c>
      <c r="EX301" s="0" t="str">
        <f aca="false">IF($A301="","",IF(AN301&amp;""&lt;&gt;"",AN301&amp;"",$A301))</f>
        <v>AB-201</v>
      </c>
      <c r="EY301" s="0" t="str">
        <f aca="false">IF($A301="","",IF(COUNTIFS($EX$2:$EX$1000,EX301,$EV$2:$EV$1000,"Y")+COUNTIFS($EX$2:$EX$1000,EX301,$EW$2:$EW$1000,"Y")&gt;0,"Y","N"))</f>
        <v>N</v>
      </c>
      <c r="EZ301" s="0" t="str">
        <f aca="false">IF($A301="","",IF(AND(U301="new",T301="N",EW301="N",AR301="Y",EY301="N"),"Y","N"))</f>
        <v>N</v>
      </c>
      <c r="FA301" s="0" t="str">
        <f aca="false">IF($A301="","",IF(EZ301&lt;&gt;"Y","N",IF(COUNTIFS($EX$2:$EX$1000,EX301,$EZ$2:$EZ$1000,"Y",$J$2:$J$1000,"&gt;"&amp;J301)+COUNTIFS($EX$2:$EX$1000,EX301,$EZ$2:$EZ$1000,"Y",$J$2:$J$1000,J301,$FG$2:$FG$1000,"&lt;"&amp;FG301)=0,"Y","N")))</f>
        <v>N</v>
      </c>
      <c r="FB301" s="0" t="str">
        <f aca="false">IF($A301="","",IF(AND(EZ301="Y",FA301="Y",Y301&amp;""&lt;&gt;""),IF(Y301&lt;=10,"Y","N"),"N"))</f>
        <v>N</v>
      </c>
      <c r="FC301" s="0" t="str">
        <f aca="false">IF(FB301="Y",Y301,"")</f>
        <v/>
      </c>
      <c r="FD301" s="0" t="str">
        <f aca="false">IF($A301="","",IF(AND(CK301="pass",AU301="Y",AV301&lt;&gt;"Y",U301="new",EW301="N"),"Y","N"))</f>
        <v>N</v>
      </c>
      <c r="FE301" s="0" t="str">
        <f aca="false">IF(FD301&lt;&gt;"Y","",IF(COUNTIFS($FD$2:$FD$1000,"Y",$J$2:$J$1000,"&gt;"&amp;J301)+COUNTIFS($FD$2:$FD$1000,"Y",$J$2:$J$1000,J301,$FG$2:$FG$1000,"&lt;"&amp;FG301)+1&lt;=30,COUNTIFS($FD$2:$FD$1000,"Y",$J$2:$J$1000,"&gt;"&amp;J301)+COUNTIFS($FD$2:$FD$1000,"Y",$J$2:$J$1000,J301,$FG$2:$FG$1000,"&lt;"&amp;FG301)+1,""))</f>
        <v/>
      </c>
      <c r="FF301" s="0" t="str">
        <f aca="false">IF(AND(_xlfn.ISFORMULA(C301),_xlfn.ISFORMULA(J301)),"Y","N")</f>
        <v>Y</v>
      </c>
      <c r="FG301" s="0" t="n">
        <f aca="false">ROW()-1</f>
        <v>300</v>
      </c>
    </row>
    <row r="302" customFormat="false" ht="15" hidden="false" customHeight="false" outlineLevel="0" collapsed="false">
      <c r="A302" s="0" t="s">
        <v>12002</v>
      </c>
      <c r="B302" s="0" t="s">
        <v>12003</v>
      </c>
      <c r="C302" s="0" t="str">
        <f aca="false">IF($A302="","",IF(AT302="Y",BL302&amp;"",AY302&amp;""))</f>
        <v/>
      </c>
      <c r="D302" s="0" t="str">
        <f aca="false">IF($A302="","",IF(AT302="Y",BM302&amp;"",AZ302&amp;""))</f>
        <v/>
      </c>
      <c r="E302" s="0" t="str">
        <f aca="false">IF($A302="","",IF(AT302="Y",BN302&amp;"",BA302&amp;""))</f>
        <v/>
      </c>
      <c r="F302" s="0" t="str">
        <f aca="false">IF($A302="","",IF(AT302="Y",BO302&amp;"",BB302&amp;""))</f>
        <v/>
      </c>
      <c r="G302" s="0" t="str">
        <f aca="false">IF($A302="","",IF(AT302="Y",BP302&amp;"",BC302&amp;""))</f>
        <v/>
      </c>
      <c r="H302" s="0" t="str">
        <f aca="false">IF($A302="","",IF(AT302="Y",BQ302&amp;"",BD302&amp;""))</f>
        <v>none</v>
      </c>
      <c r="I302" s="0" t="str">
        <f aca="false">IF($A302="","",IF(R302="Y","warm-intro",IF(H302="verified","email",IF(C302&lt;&gt;"","linkedin",CA302&amp;""))))</f>
        <v/>
      </c>
      <c r="J302" s="0" t="n">
        <f aca="false">IF($A302="","",IF(CK302="pass",ROUND(N(DO302)+N(DP302)+N(DQ302)+N(DR302)+N(DS302)+N(DT302)+N(DU302)+N(DV302),0),0))</f>
        <v>0</v>
      </c>
      <c r="K302" s="0" t="str">
        <f aca="false">IF($A302="","",IF(CK302&lt;&gt;"pass",BY302&amp;"",BY302&amp;", "&amp;IF(AT302="Y",BX302&amp;"",BK302&amp;"")&amp;BZ302&amp;IF(R302="Y","; known to the founder (+10)","")&amp;"."))</f>
        <v>Gated out: health-claim: Explicit health claim in FAQ: '100% Daily Value vitamin C for immune support'.</v>
      </c>
      <c r="M302" s="0" t="s">
        <v>6144</v>
      </c>
      <c r="N302" s="0" t="s">
        <v>740</v>
      </c>
      <c r="R302" s="5" t="s">
        <v>189</v>
      </c>
      <c r="S302" s="0" t="s">
        <v>209</v>
      </c>
      <c r="T302" s="5" t="s">
        <v>189</v>
      </c>
      <c r="U302" s="5" t="s">
        <v>3896</v>
      </c>
      <c r="V302" s="0" t="s">
        <v>12004</v>
      </c>
      <c r="W302" s="0" t="s">
        <v>263</v>
      </c>
      <c r="X302" s="0" t="s">
        <v>5578</v>
      </c>
      <c r="Y302" s="0" t="str">
        <f aca="false">IF(FA302&lt;&gt;"Y","",COUNTIFS($FA$2:$FA$1000,"Y",$J$2:$J$1000,"&gt;"&amp;J302)+COUNTIFS($FA$2:$FA$1000,"Y",$J$2:$J$1000,J302,$FG$2:$FG$1000,"&lt;"&amp;FG302)+1)</f>
        <v/>
      </c>
      <c r="AA302" s="0" t="s">
        <v>189</v>
      </c>
      <c r="AB302" s="0" t="str">
        <f aca="false">IF($A302="","",IF(AT302="Y",BW302&amp;"",BJ302&amp;""))</f>
        <v/>
      </c>
      <c r="AC302" s="0" t="str">
        <f aca="false">IF($A302="","",IF(AT302="Y",BR302&amp;"",BE302&amp;""))</f>
        <v/>
      </c>
      <c r="AD302" s="0" t="str">
        <f aca="false">IF($A302="","",IF(AT302="Y",BS302&amp;"",BF302&amp;""))</f>
        <v>none</v>
      </c>
      <c r="AE302" s="0" t="str">
        <f aca="false">IF($A302="","",IF(AT302="Y",BT302&amp;"",BG302&amp;""))</f>
        <v/>
      </c>
      <c r="AF302" s="0" t="str">
        <f aca="false">IF($A302="","",IF(AT302="Y",BU302&amp;"",BH302&amp;""))</f>
        <v/>
      </c>
      <c r="AG302" s="0" t="str">
        <f aca="false">IF($A302="","",IF(AT302="Y",BV302&amp;"",BI302&amp;""))</f>
        <v/>
      </c>
      <c r="AH302" s="0" t="s">
        <v>12005</v>
      </c>
      <c r="AI302" s="0" t="s">
        <v>6699</v>
      </c>
      <c r="AJ302" s="0" t="s">
        <v>209</v>
      </c>
      <c r="AK302" s="0" t="s">
        <v>12006</v>
      </c>
      <c r="AL302" s="0" t="s">
        <v>164</v>
      </c>
      <c r="AM302" s="0" t="s">
        <v>5666</v>
      </c>
      <c r="AN302" s="0" t="s">
        <v>12002</v>
      </c>
      <c r="AO302" s="5" t="s">
        <v>189</v>
      </c>
      <c r="AR302" s="0" t="str">
        <f aca="false">IF($A302="","",IF(AND(CK302="pass",AO302&lt;&gt;"Y",C302&lt;&gt;"",OR(AU302&lt;&gt;"Y",AV302="Y")),"Y","N"))</f>
        <v>N</v>
      </c>
      <c r="AS302" s="0" t="str">
        <f aca="false">IF($A302="","",_xlfn.TEXTJOIN("; ",TRUE(),IF(CK302&lt;&gt;"pass","gated out",""),IF(AO302="Y","on hold: "&amp;AP302,""),IF(C302="","no contact named on an opened page",""),IF(AND(AU302="Y",AV302&lt;&gt;"Y"),"founder review pending (Founder review tab)","")))</f>
        <v>gated out; no contact named on an opened page</v>
      </c>
      <c r="AU302" s="0" t="s">
        <v>189</v>
      </c>
      <c r="BC302" s="0" t="str">
        <f aca="false">IF($A302="","",IFERROR(INDEX(Enrichment!$A$2:$GZ$2000,MATCH($A302,INDEX(Enrichment!$A$2:$GZ$2000,0,MATCH("row_id",Enrichment!$A$1:$GZ$1,0)),0),MATCH("work_email",Enrichment!$A$1:$GZ$1,0))&amp;"",""))</f>
        <v/>
      </c>
      <c r="BD302" s="0" t="str">
        <f aca="false">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none</v>
      </c>
      <c r="BF302" s="0" t="s">
        <v>380</v>
      </c>
      <c r="BK302" s="0" t="s">
        <v>6048</v>
      </c>
      <c r="BP302" s="0" t="str">
        <f aca="false">IF($A302="","",IFERROR(INDEX(Enrichment!$A$2:$GZ$2000,MATCH($A302,INDEX(Enrichment!$A$2:$GZ$2000,0,MATCH("row_id",Enrichment!$A$1:$GZ$1,0)),0),MATCH("backup_work_email",Enrichment!$A$1:$GZ$1,0))&amp;"",""))</f>
        <v/>
      </c>
      <c r="BQ302" s="0" t="str">
        <f aca="false">IF($A302="","",IF(BP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none</v>
      </c>
      <c r="BS302" s="0" t="s">
        <v>380</v>
      </c>
      <c r="BX302" s="0" t="s">
        <v>388</v>
      </c>
      <c r="BY302" s="0" t="s">
        <v>12007</v>
      </c>
      <c r="CJ302" s="0" t="s">
        <v>7088</v>
      </c>
      <c r="CK302" s="0" t="s">
        <v>4627</v>
      </c>
      <c r="CL302" s="0" t="s">
        <v>10005</v>
      </c>
      <c r="CM302" s="0" t="s">
        <v>12008</v>
      </c>
      <c r="CO302" s="0" t="s">
        <v>12006</v>
      </c>
      <c r="CP302" s="0" t="s">
        <v>209</v>
      </c>
      <c r="CQ302" s="0" t="s">
        <v>209</v>
      </c>
      <c r="CR302" s="0" t="s">
        <v>209</v>
      </c>
      <c r="CT302" s="0" t="s">
        <v>209</v>
      </c>
      <c r="CU302" s="0" t="s">
        <v>9076</v>
      </c>
      <c r="CV302" s="0" t="s">
        <v>164</v>
      </c>
      <c r="CW302" s="0" t="s">
        <v>164</v>
      </c>
      <c r="CX302" s="0" t="s">
        <v>209</v>
      </c>
      <c r="CZ302" s="0" t="s">
        <v>12009</v>
      </c>
      <c r="DA302" s="0" t="s">
        <v>164</v>
      </c>
      <c r="DB302" s="0" t="s">
        <v>164</v>
      </c>
      <c r="DC302" s="0" t="s">
        <v>12010</v>
      </c>
      <c r="DE302" s="0" t="s">
        <v>189</v>
      </c>
      <c r="DF302" s="0" t="n">
        <v>0</v>
      </c>
      <c r="DI302" s="0" t="s">
        <v>209</v>
      </c>
      <c r="DK302" s="0" t="s">
        <v>380</v>
      </c>
      <c r="DN302" s="0" t="n">
        <v>22</v>
      </c>
      <c r="DO302" s="0" t="n">
        <v>6</v>
      </c>
      <c r="DP302" s="0" t="n">
        <v>4</v>
      </c>
      <c r="DQ302" s="0" t="n">
        <v>0</v>
      </c>
      <c r="DR302" s="0" t="n">
        <v>5</v>
      </c>
      <c r="DS302" s="0" t="n">
        <v>7</v>
      </c>
      <c r="DT302" s="0" t="n">
        <v>0</v>
      </c>
      <c r="DU302" s="0" t="n">
        <f aca="false">IF($A302="","",IF(R302="Y",10,0))</f>
        <v>0</v>
      </c>
      <c r="DV302" s="0" t="n">
        <v>0</v>
      </c>
      <c r="DW302" s="0" t="s">
        <v>12011</v>
      </c>
      <c r="DX302" s="0" t="s">
        <v>6462</v>
      </c>
      <c r="DY302" s="0" t="s">
        <v>12012</v>
      </c>
      <c r="DZ302" s="0" t="s">
        <v>12013</v>
      </c>
      <c r="EV302" s="0" t="str">
        <f aca="false">IF($A302="","",IF(ISNUMBER(MATCH(U302,{"queued","contacted","replied","call_booked","call_done","yes_in_principle","materials_sent"},0)),"Y","N"))</f>
        <v>N</v>
      </c>
      <c r="EW302" s="0" t="str">
        <f aca="false">IF($A302="","",IF(OR(T302="Y",U302="do_not_contact",AQ302&amp;""&lt;&gt;""),"Y","N"))</f>
        <v>N</v>
      </c>
      <c r="EX302" s="0" t="str">
        <f aca="false">IF($A302="","",IF(AN302&amp;""&lt;&gt;"",AN302&amp;"",$A302))</f>
        <v>AB-198</v>
      </c>
      <c r="EY302" s="0" t="str">
        <f aca="false">IF($A302="","",IF(COUNTIFS($EX$2:$EX$1000,EX302,$EV$2:$EV$1000,"Y")+COUNTIFS($EX$2:$EX$1000,EX302,$EW$2:$EW$1000,"Y")&gt;0,"Y","N"))</f>
        <v>N</v>
      </c>
      <c r="EZ302" s="0" t="str">
        <f aca="false">IF($A302="","",IF(AND(U302="new",T302="N",EW302="N",AR302="Y",EY302="N"),"Y","N"))</f>
        <v>N</v>
      </c>
      <c r="FA302" s="0" t="str">
        <f aca="false">IF($A302="","",IF(EZ302&lt;&gt;"Y","N",IF(COUNTIFS($EX$2:$EX$1000,EX302,$EZ$2:$EZ$1000,"Y",$J$2:$J$1000,"&gt;"&amp;J302)+COUNTIFS($EX$2:$EX$1000,EX302,$EZ$2:$EZ$1000,"Y",$J$2:$J$1000,J302,$FG$2:$FG$1000,"&lt;"&amp;FG302)=0,"Y","N")))</f>
        <v>N</v>
      </c>
      <c r="FB302" s="0" t="str">
        <f aca="false">IF($A302="","",IF(AND(EZ302="Y",FA302="Y",Y302&amp;""&lt;&gt;""),IF(Y302&lt;=10,"Y","N"),"N"))</f>
        <v>N</v>
      </c>
      <c r="FC302" s="0" t="str">
        <f aca="false">IF(FB302="Y",Y302,"")</f>
        <v/>
      </c>
      <c r="FD302" s="0" t="str">
        <f aca="false">IF($A302="","",IF(AND(CK302="pass",AU302="Y",AV302&lt;&gt;"Y",U302="new",EW302="N"),"Y","N"))</f>
        <v>N</v>
      </c>
      <c r="FE302" s="0" t="str">
        <f aca="false">IF(FD302&lt;&gt;"Y","",IF(COUNTIFS($FD$2:$FD$1000,"Y",$J$2:$J$1000,"&gt;"&amp;J302)+COUNTIFS($FD$2:$FD$1000,"Y",$J$2:$J$1000,J302,$FG$2:$FG$1000,"&lt;"&amp;FG302)+1&lt;=30,COUNTIFS($FD$2:$FD$1000,"Y",$J$2:$J$1000,"&gt;"&amp;J302)+COUNTIFS($FD$2:$FD$1000,"Y",$J$2:$J$1000,J302,$FG$2:$FG$1000,"&lt;"&amp;FG302)+1,""))</f>
        <v/>
      </c>
      <c r="FF302" s="0" t="str">
        <f aca="false">IF(AND(_xlfn.ISFORMULA(C302),_xlfn.ISFORMULA(J302)),"Y","N")</f>
        <v>Y</v>
      </c>
      <c r="FG302" s="0" t="n">
        <f aca="false">ROW()-1</f>
        <v>301</v>
      </c>
    </row>
    <row r="303" customFormat="false" ht="15" hidden="false" customHeight="false" outlineLevel="0" collapsed="false">
      <c r="A303" s="0" t="s">
        <v>12014</v>
      </c>
      <c r="B303" s="0" t="s">
        <v>12015</v>
      </c>
      <c r="C303" s="0" t="str">
        <f aca="false">IF($A303="","",IF(AT303="Y",BL303&amp;"",AY303&amp;""))</f>
        <v/>
      </c>
      <c r="D303" s="0" t="str">
        <f aca="false">IF($A303="","",IF(AT303="Y",BM303&amp;"",AZ303&amp;""))</f>
        <v/>
      </c>
      <c r="E303" s="0" t="str">
        <f aca="false">IF($A303="","",IF(AT303="Y",BN303&amp;"",BA303&amp;""))</f>
        <v/>
      </c>
      <c r="F303" s="0" t="str">
        <f aca="false">IF($A303="","",IF(AT303="Y",BO303&amp;"",BB303&amp;""))</f>
        <v/>
      </c>
      <c r="G303" s="0" t="str">
        <f aca="false">IF($A303="","",IF(AT303="Y",BP303&amp;"",BC303&amp;""))</f>
        <v/>
      </c>
      <c r="H303" s="0" t="str">
        <f aca="false">IF($A303="","",IF(AT303="Y",BQ303&amp;"",BD303&amp;""))</f>
        <v>none</v>
      </c>
      <c r="I303" s="0" t="str">
        <f aca="false">IF($A303="","",IF(R303="Y","warm-intro",IF(H303="verified","email",IF(C303&lt;&gt;"","linkedin",CA303&amp;""))))</f>
        <v/>
      </c>
      <c r="J303" s="0" t="n">
        <f aca="false">IF($A303="","",IF(CK303="pass",ROUND(N(DO303)+N(DP303)+N(DQ303)+N(DR303)+N(DS303)+N(DT303)+N(DU303)+N(DV303),0),0))</f>
        <v>0</v>
      </c>
      <c r="K303" s="0" t="str">
        <f aca="false">IF($A303="","",IF(CK303&lt;&gt;"pass",BY303&amp;"",BY303&amp;", "&amp;IF(AT303="Y",BX303&amp;"",BK303&amp;"")&amp;BZ303&amp;IF(R303="Y","; known to the founder (+10)","")&amp;"."))</f>
        <v>Gated out: no-buy-path: no graded store within ten blocks and no online store shown (online store unknown).</v>
      </c>
      <c r="M303" s="0" t="s">
        <v>6144</v>
      </c>
      <c r="N303" s="0" t="s">
        <v>740</v>
      </c>
      <c r="R303" s="5" t="s">
        <v>189</v>
      </c>
      <c r="S303" s="0" t="s">
        <v>209</v>
      </c>
      <c r="T303" s="5" t="s">
        <v>189</v>
      </c>
      <c r="U303" s="5" t="s">
        <v>3896</v>
      </c>
      <c r="V303" s="0" t="s">
        <v>12016</v>
      </c>
      <c r="W303" s="0" t="s">
        <v>263</v>
      </c>
      <c r="X303" s="0" t="s">
        <v>5578</v>
      </c>
      <c r="Y303" s="0" t="str">
        <f aca="false">IF(FA303&lt;&gt;"Y","",COUNTIFS($FA$2:$FA$1000,"Y",$J$2:$J$1000,"&gt;"&amp;J303)+COUNTIFS($FA$2:$FA$1000,"Y",$J$2:$J$1000,J303,$FG$2:$FG$1000,"&lt;"&amp;FG303)+1)</f>
        <v/>
      </c>
      <c r="AA303" s="0" t="s">
        <v>189</v>
      </c>
      <c r="AB303" s="0" t="str">
        <f aca="false">IF($A303="","",IF(AT303="Y",BW303&amp;"",BJ303&amp;""))</f>
        <v/>
      </c>
      <c r="AC303" s="0" t="str">
        <f aca="false">IF($A303="","",IF(AT303="Y",BR303&amp;"",BE303&amp;""))</f>
        <v/>
      </c>
      <c r="AD303" s="0" t="str">
        <f aca="false">IF($A303="","",IF(AT303="Y",BS303&amp;"",BF303&amp;""))</f>
        <v>none</v>
      </c>
      <c r="AE303" s="0" t="str">
        <f aca="false">IF($A303="","",IF(AT303="Y",BT303&amp;"",BG303&amp;""))</f>
        <v/>
      </c>
      <c r="AF303" s="0" t="str">
        <f aca="false">IF($A303="","",IF(AT303="Y",BU303&amp;"",BH303&amp;""))</f>
        <v/>
      </c>
      <c r="AG303" s="0" t="str">
        <f aca="false">IF($A303="","",IF(AT303="Y",BV303&amp;"",BI303&amp;""))</f>
        <v/>
      </c>
      <c r="AH303" s="0" t="s">
        <v>12017</v>
      </c>
      <c r="AI303" s="0" t="s">
        <v>5580</v>
      </c>
      <c r="AJ303" s="0" t="s">
        <v>209</v>
      </c>
      <c r="AK303" s="0" t="s">
        <v>209</v>
      </c>
      <c r="AL303" s="0" t="s">
        <v>164</v>
      </c>
      <c r="AM303" s="0" t="s">
        <v>12018</v>
      </c>
      <c r="AN303" s="0" t="s">
        <v>12014</v>
      </c>
      <c r="AO303" s="5" t="s">
        <v>189</v>
      </c>
      <c r="AR303" s="0" t="str">
        <f aca="false">IF($A303="","",IF(AND(CK303="pass",AO303&lt;&gt;"Y",C303&lt;&gt;"",OR(AU303&lt;&gt;"Y",AV303="Y")),"Y","N"))</f>
        <v>N</v>
      </c>
      <c r="AS303" s="0" t="str">
        <f aca="false">IF($A303="","",_xlfn.TEXTJOIN("; ",TRUE(),IF(CK303&lt;&gt;"pass","gated out",""),IF(AO303="Y","on hold: "&amp;AP303,""),IF(C303="","no contact named on an opened page",""),IF(AND(AU303="Y",AV303&lt;&gt;"Y"),"founder review pending (Founder review tab)","")))</f>
        <v>gated out; no contact named on an opened page</v>
      </c>
      <c r="AU303" s="0" t="s">
        <v>189</v>
      </c>
      <c r="BC303" s="0" t="str">
        <f aca="false">IF($A303="","",IFERROR(INDEX(Enrichment!$A$2:$GZ$2000,MATCH($A303,INDEX(Enrichment!$A$2:$GZ$2000,0,MATCH("row_id",Enrichment!$A$1:$GZ$1,0)),0),MATCH("work_email",Enrichment!$A$1:$GZ$1,0))&amp;"",""))</f>
        <v/>
      </c>
      <c r="BD303" s="0" t="str">
        <f aca="false">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none</v>
      </c>
      <c r="BF303" s="0" t="s">
        <v>380</v>
      </c>
      <c r="BK303" s="0" t="s">
        <v>6048</v>
      </c>
      <c r="BP303" s="0" t="str">
        <f aca="false">IF($A303="","",IFERROR(INDEX(Enrichment!$A$2:$GZ$2000,MATCH($A303,INDEX(Enrichment!$A$2:$GZ$2000,0,MATCH("row_id",Enrichment!$A$1:$GZ$1,0)),0),MATCH("backup_work_email",Enrichment!$A$1:$GZ$1,0))&amp;"",""))</f>
        <v/>
      </c>
      <c r="BQ303" s="0" t="str">
        <f aca="false">IF($A303="","",IF(BP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none</v>
      </c>
      <c r="BS303" s="0" t="s">
        <v>380</v>
      </c>
      <c r="BX303" s="0" t="s">
        <v>388</v>
      </c>
      <c r="BY303" s="0" t="s">
        <v>10542</v>
      </c>
      <c r="CJ303" s="0" t="s">
        <v>7088</v>
      </c>
      <c r="CK303" s="0" t="s">
        <v>4627</v>
      </c>
      <c r="CL303" s="0" t="s">
        <v>10545</v>
      </c>
      <c r="CM303" s="0" t="s">
        <v>10546</v>
      </c>
      <c r="CN303" s="0" t="s">
        <v>443</v>
      </c>
      <c r="CO303" s="0" t="s">
        <v>12019</v>
      </c>
      <c r="CP303" s="0" t="s">
        <v>209</v>
      </c>
      <c r="CQ303" s="0" t="s">
        <v>209</v>
      </c>
      <c r="CR303" s="0" t="s">
        <v>209</v>
      </c>
      <c r="CT303" s="0" t="s">
        <v>209</v>
      </c>
      <c r="CU303" s="0" t="s">
        <v>6710</v>
      </c>
      <c r="CV303" s="0" t="s">
        <v>164</v>
      </c>
      <c r="CW303" s="0" t="s">
        <v>209</v>
      </c>
      <c r="CX303" s="0" t="s">
        <v>209</v>
      </c>
      <c r="CZ303" s="0" t="s">
        <v>6456</v>
      </c>
      <c r="DA303" s="0" t="s">
        <v>189</v>
      </c>
      <c r="DB303" s="0" t="s">
        <v>189</v>
      </c>
      <c r="DE303" s="0" t="s">
        <v>189</v>
      </c>
      <c r="DF303" s="0" t="n">
        <v>0</v>
      </c>
      <c r="DI303" s="0" t="s">
        <v>12020</v>
      </c>
      <c r="DK303" s="0" t="s">
        <v>380</v>
      </c>
      <c r="DN303" s="0" t="n">
        <v>12</v>
      </c>
      <c r="DO303" s="0" t="n">
        <v>0</v>
      </c>
      <c r="DP303" s="0" t="n">
        <v>4</v>
      </c>
      <c r="DQ303" s="0" t="n">
        <v>0</v>
      </c>
      <c r="DR303" s="0" t="n">
        <v>5</v>
      </c>
      <c r="DS303" s="0" t="n">
        <v>5</v>
      </c>
      <c r="DT303" s="0" t="n">
        <v>0</v>
      </c>
      <c r="DU303" s="0" t="n">
        <f aca="false">IF($A303="","",IF(R303="Y",10,0))</f>
        <v>0</v>
      </c>
      <c r="DV303" s="0" t="n">
        <v>-2</v>
      </c>
      <c r="DW303" s="0" t="s">
        <v>12021</v>
      </c>
      <c r="DX303" s="0" t="s">
        <v>6462</v>
      </c>
      <c r="DY303" s="0" t="s">
        <v>12022</v>
      </c>
      <c r="DZ303" s="0" t="s">
        <v>12023</v>
      </c>
      <c r="EA303" s="0" t="s">
        <v>12024</v>
      </c>
      <c r="EV303" s="0" t="str">
        <f aca="false">IF($A303="","",IF(ISNUMBER(MATCH(U303,{"queued","contacted","replied","call_booked","call_done","yes_in_principle","materials_sent"},0)),"Y","N"))</f>
        <v>N</v>
      </c>
      <c r="EW303" s="0" t="str">
        <f aca="false">IF($A303="","",IF(OR(T303="Y",U303="do_not_contact",AQ303&amp;""&lt;&gt;""),"Y","N"))</f>
        <v>N</v>
      </c>
      <c r="EX303" s="0" t="str">
        <f aca="false">IF($A303="","",IF(AN303&amp;""&lt;&gt;"",AN303&amp;"",$A303))</f>
        <v>AB-153</v>
      </c>
      <c r="EY303" s="0" t="str">
        <f aca="false">IF($A303="","",IF(COUNTIFS($EX$2:$EX$1000,EX303,$EV$2:$EV$1000,"Y")+COUNTIFS($EX$2:$EX$1000,EX303,$EW$2:$EW$1000,"Y")&gt;0,"Y","N"))</f>
        <v>N</v>
      </c>
      <c r="EZ303" s="0" t="str">
        <f aca="false">IF($A303="","",IF(AND(U303="new",T303="N",EW303="N",AR303="Y",EY303="N"),"Y","N"))</f>
        <v>N</v>
      </c>
      <c r="FA303" s="0" t="str">
        <f aca="false">IF($A303="","",IF(EZ303&lt;&gt;"Y","N",IF(COUNTIFS($EX$2:$EX$1000,EX303,$EZ$2:$EZ$1000,"Y",$J$2:$J$1000,"&gt;"&amp;J303)+COUNTIFS($EX$2:$EX$1000,EX303,$EZ$2:$EZ$1000,"Y",$J$2:$J$1000,J303,$FG$2:$FG$1000,"&lt;"&amp;FG303)=0,"Y","N")))</f>
        <v>N</v>
      </c>
      <c r="FB303" s="0" t="str">
        <f aca="false">IF($A303="","",IF(AND(EZ303="Y",FA303="Y",Y303&amp;""&lt;&gt;""),IF(Y303&lt;=10,"Y","N"),"N"))</f>
        <v>N</v>
      </c>
      <c r="FC303" s="0" t="str">
        <f aca="false">IF(FB303="Y",Y303,"")</f>
        <v/>
      </c>
      <c r="FD303" s="0" t="str">
        <f aca="false">IF($A303="","",IF(AND(CK303="pass",AU303="Y",AV303&lt;&gt;"Y",U303="new",EW303="N"),"Y","N"))</f>
        <v>N</v>
      </c>
      <c r="FE303" s="0" t="str">
        <f aca="false">IF(FD303&lt;&gt;"Y","",IF(COUNTIFS($FD$2:$FD$1000,"Y",$J$2:$J$1000,"&gt;"&amp;J303)+COUNTIFS($FD$2:$FD$1000,"Y",$J$2:$J$1000,J303,$FG$2:$FG$1000,"&lt;"&amp;FG303)+1&lt;=30,COUNTIFS($FD$2:$FD$1000,"Y",$J$2:$J$1000,"&gt;"&amp;J303)+COUNTIFS($FD$2:$FD$1000,"Y",$J$2:$J$1000,J303,$FG$2:$FG$1000,"&lt;"&amp;FG303)+1,""))</f>
        <v/>
      </c>
      <c r="FF303" s="0" t="str">
        <f aca="false">IF(AND(_xlfn.ISFORMULA(C303),_xlfn.ISFORMULA(J303)),"Y","N")</f>
        <v>Y</v>
      </c>
      <c r="FG303" s="0" t="n">
        <f aca="false">ROW()-1</f>
        <v>302</v>
      </c>
    </row>
    <row r="304" customFormat="false" ht="15" hidden="false" customHeight="false" outlineLevel="0" collapsed="false">
      <c r="A304" s="0" t="s">
        <v>12025</v>
      </c>
      <c r="B304" s="0" t="s">
        <v>12026</v>
      </c>
      <c r="C304" s="0" t="str">
        <f aca="false">IF($A304="","",IF(AT304="Y",BL304&amp;"",AY304&amp;""))</f>
        <v/>
      </c>
      <c r="D304" s="0" t="str">
        <f aca="false">IF($A304="","",IF(AT304="Y",BM304&amp;"",AZ304&amp;""))</f>
        <v/>
      </c>
      <c r="E304" s="0" t="str">
        <f aca="false">IF($A304="","",IF(AT304="Y",BN304&amp;"",BA304&amp;""))</f>
        <v/>
      </c>
      <c r="F304" s="0" t="str">
        <f aca="false">IF($A304="","",IF(AT304="Y",BO304&amp;"",BB304&amp;""))</f>
        <v/>
      </c>
      <c r="G304" s="0" t="str">
        <f aca="false">IF($A304="","",IF(AT304="Y",BP304&amp;"",BC304&amp;""))</f>
        <v/>
      </c>
      <c r="H304" s="0" t="str">
        <f aca="false">IF($A304="","",IF(AT304="Y",BQ304&amp;"",BD304&amp;""))</f>
        <v>none</v>
      </c>
      <c r="I304" s="0" t="str">
        <f aca="false">IF($A304="","",IF(R304="Y","warm-intro",IF(H304="verified","email",IF(C304&lt;&gt;"","linkedin",CA304&amp;""))))</f>
        <v/>
      </c>
      <c r="J304" s="0" t="n">
        <f aca="false">IF($A304="","",IF(CK304="pass",ROUND(N(DO304)+N(DP304)+N(DQ304)+N(DR304)+N(DS304)+N(DT304)+N(DU304)+N(DV304),0),0))</f>
        <v>0</v>
      </c>
      <c r="K304" s="0" t="str">
        <f aca="false">IF($A304="","",IF(CK304&lt;&gt;"pass",BY304&amp;"",BY304&amp;", "&amp;IF(AT304="Y",BX304&amp;"",BK304&amp;"")&amp;BZ304&amp;IF(R304="Y","; known to the founder (+10)","")&amp;"."))</f>
        <v>Gated out: health-claim: explicit health claim in the brand's own copy (opened 2026-10-24): 'HEALTH BENEFITS: Chili Peppers have Capsaicin which are known to lower blood p.</v>
      </c>
      <c r="M304" s="0" t="s">
        <v>6144</v>
      </c>
      <c r="N304" s="0" t="s">
        <v>740</v>
      </c>
      <c r="R304" s="5" t="s">
        <v>189</v>
      </c>
      <c r="S304" s="0" t="s">
        <v>209</v>
      </c>
      <c r="T304" s="5" t="s">
        <v>189</v>
      </c>
      <c r="U304" s="5" t="s">
        <v>3896</v>
      </c>
      <c r="V304" s="0" t="s">
        <v>12027</v>
      </c>
      <c r="W304" s="0" t="s">
        <v>263</v>
      </c>
      <c r="X304" s="0" t="s">
        <v>5578</v>
      </c>
      <c r="Y304" s="0" t="str">
        <f aca="false">IF(FA304&lt;&gt;"Y","",COUNTIFS($FA$2:$FA$1000,"Y",$J$2:$J$1000,"&gt;"&amp;J304)+COUNTIFS($FA$2:$FA$1000,"Y",$J$2:$J$1000,J304,$FG$2:$FG$1000,"&lt;"&amp;FG304)+1)</f>
        <v/>
      </c>
      <c r="AA304" s="0" t="s">
        <v>189</v>
      </c>
      <c r="AB304" s="0" t="str">
        <f aca="false">IF($A304="","",IF(AT304="Y",BW304&amp;"",BJ304&amp;""))</f>
        <v/>
      </c>
      <c r="AC304" s="0" t="str">
        <f aca="false">IF($A304="","",IF(AT304="Y",BR304&amp;"",BE304&amp;""))</f>
        <v/>
      </c>
      <c r="AD304" s="0" t="str">
        <f aca="false">IF($A304="","",IF(AT304="Y",BS304&amp;"",BF304&amp;""))</f>
        <v>none</v>
      </c>
      <c r="AE304" s="0" t="str">
        <f aca="false">IF($A304="","",IF(AT304="Y",BT304&amp;"",BG304&amp;""))</f>
        <v/>
      </c>
      <c r="AF304" s="0" t="str">
        <f aca="false">IF($A304="","",IF(AT304="Y",BU304&amp;"",BH304&amp;""))</f>
        <v/>
      </c>
      <c r="AG304" s="0" t="str">
        <f aca="false">IF($A304="","",IF(AT304="Y",BV304&amp;"",BI304&amp;""))</f>
        <v/>
      </c>
      <c r="AH304" s="0" t="s">
        <v>12028</v>
      </c>
      <c r="AI304" s="0" t="s">
        <v>5664</v>
      </c>
      <c r="AJ304" s="0" t="s">
        <v>12029</v>
      </c>
      <c r="AK304" s="0" t="s">
        <v>12030</v>
      </c>
      <c r="AL304" s="0" t="s">
        <v>164</v>
      </c>
      <c r="AM304" s="0" t="s">
        <v>12031</v>
      </c>
      <c r="AN304" s="0" t="s">
        <v>12025</v>
      </c>
      <c r="AO304" s="5" t="s">
        <v>189</v>
      </c>
      <c r="AR304" s="0" t="str">
        <f aca="false">IF($A304="","",IF(AND(CK304="pass",AO304&lt;&gt;"Y",C304&lt;&gt;"",OR(AU304&lt;&gt;"Y",AV304="Y")),"Y","N"))</f>
        <v>N</v>
      </c>
      <c r="AS304" s="0" t="str">
        <f aca="false">IF($A304="","",_xlfn.TEXTJOIN("; ",TRUE(),IF(CK304&lt;&gt;"pass","gated out",""),IF(AO304="Y","on hold: "&amp;AP304,""),IF(C304="","no contact named on an opened page",""),IF(AND(AU304="Y",AV304&lt;&gt;"Y"),"founder review pending (Founder review tab)","")))</f>
        <v>gated out; no contact named on an opened page</v>
      </c>
      <c r="AU304" s="0" t="s">
        <v>189</v>
      </c>
      <c r="BC304" s="0" t="str">
        <f aca="false">IF($A304="","",IFERROR(INDEX(Enrichment!$A$2:$GZ$2000,MATCH($A304,INDEX(Enrichment!$A$2:$GZ$2000,0,MATCH("row_id",Enrichment!$A$1:$GZ$1,0)),0),MATCH("work_email",Enrichment!$A$1:$GZ$1,0))&amp;"",""))</f>
        <v/>
      </c>
      <c r="BD304" s="0" t="str">
        <f aca="false">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none</v>
      </c>
      <c r="BF304" s="0" t="s">
        <v>380</v>
      </c>
      <c r="BK304" s="0" t="s">
        <v>6048</v>
      </c>
      <c r="BP304" s="0" t="str">
        <f aca="false">IF($A304="","",IFERROR(INDEX(Enrichment!$A$2:$GZ$2000,MATCH($A304,INDEX(Enrichment!$A$2:$GZ$2000,0,MATCH("row_id",Enrichment!$A$1:$GZ$1,0)),0),MATCH("backup_work_email",Enrichment!$A$1:$GZ$1,0))&amp;"",""))</f>
        <v/>
      </c>
      <c r="BQ304" s="0" t="str">
        <f aca="false">IF($A304="","",IF(BP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none</v>
      </c>
      <c r="BS304" s="0" t="s">
        <v>380</v>
      </c>
      <c r="BX304" s="0" t="s">
        <v>388</v>
      </c>
      <c r="BY304" s="0" t="s">
        <v>12032</v>
      </c>
      <c r="CJ304" s="0" t="s">
        <v>7088</v>
      </c>
      <c r="CK304" s="0" t="s">
        <v>4627</v>
      </c>
      <c r="CL304" s="0" t="s">
        <v>10005</v>
      </c>
      <c r="CM304" s="0" t="s">
        <v>12033</v>
      </c>
      <c r="CN304" s="0" t="s">
        <v>443</v>
      </c>
      <c r="CO304" s="0" t="s">
        <v>12030</v>
      </c>
      <c r="CP304" s="0" t="s">
        <v>5608</v>
      </c>
      <c r="CQ304" s="0" t="s">
        <v>5870</v>
      </c>
      <c r="CR304" s="0" t="s">
        <v>209</v>
      </c>
      <c r="CT304" s="0" t="s">
        <v>352</v>
      </c>
      <c r="CU304" s="0" t="s">
        <v>12034</v>
      </c>
      <c r="CV304" s="0" t="s">
        <v>164</v>
      </c>
      <c r="CW304" s="0" t="s">
        <v>164</v>
      </c>
      <c r="CX304" s="0" t="s">
        <v>209</v>
      </c>
      <c r="CZ304" s="0" t="s">
        <v>209</v>
      </c>
      <c r="DA304" s="0" t="s">
        <v>189</v>
      </c>
      <c r="DB304" s="0" t="s">
        <v>164</v>
      </c>
      <c r="DC304" s="0" t="s">
        <v>12035</v>
      </c>
      <c r="DE304" s="0" t="s">
        <v>189</v>
      </c>
      <c r="DF304" s="0" t="n">
        <v>0</v>
      </c>
      <c r="DH304" s="0" t="s">
        <v>12036</v>
      </c>
      <c r="DI304" s="0" t="s">
        <v>12037</v>
      </c>
      <c r="DJ304" s="0" t="s">
        <v>12038</v>
      </c>
      <c r="DK304" s="0" t="s">
        <v>380</v>
      </c>
      <c r="DN304" s="0" t="n">
        <v>30</v>
      </c>
      <c r="DO304" s="0" t="n">
        <v>6</v>
      </c>
      <c r="DP304" s="0" t="n">
        <v>13</v>
      </c>
      <c r="DQ304" s="0" t="n">
        <v>0</v>
      </c>
      <c r="DR304" s="0" t="n">
        <v>5</v>
      </c>
      <c r="DS304" s="0" t="n">
        <v>8</v>
      </c>
      <c r="DT304" s="0" t="n">
        <v>0</v>
      </c>
      <c r="DU304" s="0" t="n">
        <f aca="false">IF($A304="","",IF(R304="Y",10,0))</f>
        <v>0</v>
      </c>
      <c r="DV304" s="0" t="n">
        <v>-2</v>
      </c>
      <c r="DW304" s="0" t="s">
        <v>12039</v>
      </c>
      <c r="DX304" s="0" t="s">
        <v>5691</v>
      </c>
      <c r="DY304" s="0" t="s">
        <v>12040</v>
      </c>
      <c r="DZ304" s="0" t="s">
        <v>12041</v>
      </c>
      <c r="EA304" s="0" t="s">
        <v>12042</v>
      </c>
      <c r="EV304" s="0" t="str">
        <f aca="false">IF($A304="","",IF(ISNUMBER(MATCH(U304,{"queued","contacted","replied","call_booked","call_done","yes_in_principle","materials_sent"},0)),"Y","N"))</f>
        <v>N</v>
      </c>
      <c r="EW304" s="0" t="str">
        <f aca="false">IF($A304="","",IF(OR(T304="Y",U304="do_not_contact",AQ304&amp;""&lt;&gt;""),"Y","N"))</f>
        <v>N</v>
      </c>
      <c r="EX304" s="0" t="str">
        <f aca="false">IF($A304="","",IF(AN304&amp;""&lt;&gt;"",AN304&amp;"",$A304))</f>
        <v>AB-115</v>
      </c>
      <c r="EY304" s="0" t="str">
        <f aca="false">IF($A304="","",IF(COUNTIFS($EX$2:$EX$1000,EX304,$EV$2:$EV$1000,"Y")+COUNTIFS($EX$2:$EX$1000,EX304,$EW$2:$EW$1000,"Y")&gt;0,"Y","N"))</f>
        <v>N</v>
      </c>
      <c r="EZ304" s="0" t="str">
        <f aca="false">IF($A304="","",IF(AND(U304="new",T304="N",EW304="N",AR304="Y",EY304="N"),"Y","N"))</f>
        <v>N</v>
      </c>
      <c r="FA304" s="0" t="str">
        <f aca="false">IF($A304="","",IF(EZ304&lt;&gt;"Y","N",IF(COUNTIFS($EX$2:$EX$1000,EX304,$EZ$2:$EZ$1000,"Y",$J$2:$J$1000,"&gt;"&amp;J304)+COUNTIFS($EX$2:$EX$1000,EX304,$EZ$2:$EZ$1000,"Y",$J$2:$J$1000,J304,$FG$2:$FG$1000,"&lt;"&amp;FG304)=0,"Y","N")))</f>
        <v>N</v>
      </c>
      <c r="FB304" s="0" t="str">
        <f aca="false">IF($A304="","",IF(AND(EZ304="Y",FA304="Y",Y304&amp;""&lt;&gt;""),IF(Y304&lt;=10,"Y","N"),"N"))</f>
        <v>N</v>
      </c>
      <c r="FC304" s="0" t="str">
        <f aca="false">IF(FB304="Y",Y304,"")</f>
        <v/>
      </c>
      <c r="FD304" s="0" t="str">
        <f aca="false">IF($A304="","",IF(AND(CK304="pass",AU304="Y",AV304&lt;&gt;"Y",U304="new",EW304="N"),"Y","N"))</f>
        <v>N</v>
      </c>
      <c r="FE304" s="0" t="str">
        <f aca="false">IF(FD304&lt;&gt;"Y","",IF(COUNTIFS($FD$2:$FD$1000,"Y",$J$2:$J$1000,"&gt;"&amp;J304)+COUNTIFS($FD$2:$FD$1000,"Y",$J$2:$J$1000,J304,$FG$2:$FG$1000,"&lt;"&amp;FG304)+1&lt;=30,COUNTIFS($FD$2:$FD$1000,"Y",$J$2:$J$1000,"&gt;"&amp;J304)+COUNTIFS($FD$2:$FD$1000,"Y",$J$2:$J$1000,J304,$FG$2:$FG$1000,"&lt;"&amp;FG304)+1,""))</f>
        <v/>
      </c>
      <c r="FF304" s="0" t="str">
        <f aca="false">IF(AND(_xlfn.ISFORMULA(C304),_xlfn.ISFORMULA(J304)),"Y","N")</f>
        <v>Y</v>
      </c>
      <c r="FG304" s="0" t="n">
        <f aca="false">ROW()-1</f>
        <v>303</v>
      </c>
    </row>
    <row r="305" customFormat="false" ht="15" hidden="false" customHeight="false" outlineLevel="0" collapsed="false">
      <c r="A305" s="0" t="s">
        <v>12043</v>
      </c>
      <c r="B305" s="0" t="s">
        <v>12044</v>
      </c>
      <c r="C305" s="0" t="str">
        <f aca="false">IF($A305="","",IF(AT305="Y",BL305&amp;"",AY305&amp;""))</f>
        <v/>
      </c>
      <c r="D305" s="0" t="str">
        <f aca="false">IF($A305="","",IF(AT305="Y",BM305&amp;"",AZ305&amp;""))</f>
        <v/>
      </c>
      <c r="E305" s="0" t="str">
        <f aca="false">IF($A305="","",IF(AT305="Y",BN305&amp;"",BA305&amp;""))</f>
        <v/>
      </c>
      <c r="F305" s="0" t="str">
        <f aca="false">IF($A305="","",IF(AT305="Y",BO305&amp;"",BB305&amp;""))</f>
        <v/>
      </c>
      <c r="G305" s="0" t="str">
        <f aca="false">IF($A305="","",IF(AT305="Y",BP305&amp;"",BC305&amp;""))</f>
        <v/>
      </c>
      <c r="H305" s="0" t="str">
        <f aca="false">IF($A305="","",IF(AT305="Y",BQ305&amp;"",BD305&amp;""))</f>
        <v>none</v>
      </c>
      <c r="I305" s="0" t="str">
        <f aca="false">IF($A305="","",IF(R305="Y","warm-intro",IF(H305="verified","email",IF(C305&lt;&gt;"","linkedin",CA305&amp;""))))</f>
        <v/>
      </c>
      <c r="J305" s="0" t="n">
        <f aca="false">IF($A305="","",IF(CK305="pass",ROUND(N(DO305)+N(DP305)+N(DQ305)+N(DR305)+N(DS305)+N(DT305)+N(DU305)+N(DV305),0),0))</f>
        <v>0</v>
      </c>
      <c r="K305" s="0" t="str">
        <f aca="false">IF($A305="","",IF(CK305&lt;&gt;"pass",BY305&amp;"",BY305&amp;", "&amp;IF(AT305="Y",BX305&amp;"",BK305&amp;"")&amp;BZ305&amp;IF(R305="Y","; known to the founder (+10)","")&amp;"."))</f>
        <v>Gated out: not-shelf-stable: Refrigerated before and after opening (cold-pressed juice).</v>
      </c>
      <c r="M305" s="0" t="s">
        <v>6144</v>
      </c>
      <c r="N305" s="0" t="s">
        <v>740</v>
      </c>
      <c r="R305" s="5" t="s">
        <v>189</v>
      </c>
      <c r="S305" s="0" t="s">
        <v>209</v>
      </c>
      <c r="T305" s="5" t="s">
        <v>189</v>
      </c>
      <c r="U305" s="5" t="s">
        <v>3896</v>
      </c>
      <c r="V305" s="0" t="s">
        <v>12045</v>
      </c>
      <c r="W305" s="0" t="s">
        <v>263</v>
      </c>
      <c r="X305" s="0" t="s">
        <v>5578</v>
      </c>
      <c r="Y305" s="0" t="str">
        <f aca="false">IF(FA305&lt;&gt;"Y","",COUNTIFS($FA$2:$FA$1000,"Y",$J$2:$J$1000,"&gt;"&amp;J305)+COUNTIFS($FA$2:$FA$1000,"Y",$J$2:$J$1000,J305,$FG$2:$FG$1000,"&lt;"&amp;FG305)+1)</f>
        <v/>
      </c>
      <c r="AA305" s="0" t="s">
        <v>189</v>
      </c>
      <c r="AB305" s="0" t="str">
        <f aca="false">IF($A305="","",IF(AT305="Y",BW305&amp;"",BJ305&amp;""))</f>
        <v/>
      </c>
      <c r="AC305" s="0" t="str">
        <f aca="false">IF($A305="","",IF(AT305="Y",BR305&amp;"",BE305&amp;""))</f>
        <v/>
      </c>
      <c r="AD305" s="0" t="str">
        <f aca="false">IF($A305="","",IF(AT305="Y",BS305&amp;"",BF305&amp;""))</f>
        <v>none</v>
      </c>
      <c r="AE305" s="0" t="str">
        <f aca="false">IF($A305="","",IF(AT305="Y",BT305&amp;"",BG305&amp;""))</f>
        <v/>
      </c>
      <c r="AF305" s="0" t="str">
        <f aca="false">IF($A305="","",IF(AT305="Y",BU305&amp;"",BH305&amp;""))</f>
        <v/>
      </c>
      <c r="AG305" s="0" t="str">
        <f aca="false">IF($A305="","",IF(AT305="Y",BV305&amp;"",BI305&amp;""))</f>
        <v/>
      </c>
      <c r="AH305" s="0" t="s">
        <v>12046</v>
      </c>
      <c r="AI305" s="0" t="s">
        <v>6621</v>
      </c>
      <c r="AJ305" s="0" t="s">
        <v>209</v>
      </c>
      <c r="AK305" s="0" t="s">
        <v>209</v>
      </c>
      <c r="AL305" s="0" t="s">
        <v>189</v>
      </c>
      <c r="AN305" s="0" t="s">
        <v>12043</v>
      </c>
      <c r="AO305" s="5" t="s">
        <v>189</v>
      </c>
      <c r="AR305" s="0" t="str">
        <f aca="false">IF($A305="","",IF(AND(CK305="pass",AO305&lt;&gt;"Y",C305&lt;&gt;"",OR(AU305&lt;&gt;"Y",AV305="Y")),"Y","N"))</f>
        <v>N</v>
      </c>
      <c r="AS305" s="0" t="str">
        <f aca="false">IF($A305="","",_xlfn.TEXTJOIN("; ",TRUE(),IF(CK305&lt;&gt;"pass","gated out",""),IF(AO305="Y","on hold: "&amp;AP305,""),IF(C305="","no contact named on an opened page",""),IF(AND(AU305="Y",AV305&lt;&gt;"Y"),"founder review pending (Founder review tab)","")))</f>
        <v>gated out; no contact named on an opened page</v>
      </c>
      <c r="AU305" s="0" t="s">
        <v>189</v>
      </c>
      <c r="BC305" s="0" t="str">
        <f aca="false">IF($A305="","",IFERROR(INDEX(Enrichment!$A$2:$GZ$2000,MATCH($A305,INDEX(Enrichment!$A$2:$GZ$2000,0,MATCH("row_id",Enrichment!$A$1:$GZ$1,0)),0),MATCH("work_email",Enrichment!$A$1:$GZ$1,0))&amp;"",""))</f>
        <v/>
      </c>
      <c r="BD305" s="0" t="str">
        <f aca="false">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none</v>
      </c>
      <c r="BF305" s="0" t="s">
        <v>380</v>
      </c>
      <c r="BK305" s="0" t="s">
        <v>6048</v>
      </c>
      <c r="BP305" s="0" t="str">
        <f aca="false">IF($A305="","",IFERROR(INDEX(Enrichment!$A$2:$GZ$2000,MATCH($A305,INDEX(Enrichment!$A$2:$GZ$2000,0,MATCH("row_id",Enrichment!$A$1:$GZ$1,0)),0),MATCH("backup_work_email",Enrichment!$A$1:$GZ$1,0))&amp;"",""))</f>
        <v/>
      </c>
      <c r="BQ305" s="0" t="str">
        <f aca="false">IF($A305="","",IF(BP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none</v>
      </c>
      <c r="BS305" s="0" t="s">
        <v>380</v>
      </c>
      <c r="BX305" s="0" t="s">
        <v>388</v>
      </c>
      <c r="BY305" s="0" t="s">
        <v>12047</v>
      </c>
      <c r="CJ305" s="0" t="s">
        <v>7088</v>
      </c>
      <c r="CK305" s="0" t="s">
        <v>4627</v>
      </c>
      <c r="CL305" s="0" t="s">
        <v>10659</v>
      </c>
      <c r="CM305" s="0" t="s">
        <v>12048</v>
      </c>
      <c r="CO305" s="0" t="s">
        <v>12045</v>
      </c>
      <c r="CP305" s="0" t="s">
        <v>209</v>
      </c>
      <c r="CQ305" s="0" t="s">
        <v>209</v>
      </c>
      <c r="CR305" s="0" t="s">
        <v>209</v>
      </c>
      <c r="CT305" s="0" t="s">
        <v>189</v>
      </c>
      <c r="CU305" s="0" t="s">
        <v>12049</v>
      </c>
      <c r="CV305" s="0" t="s">
        <v>164</v>
      </c>
      <c r="CW305" s="0" t="s">
        <v>189</v>
      </c>
      <c r="CX305" s="0" t="s">
        <v>209</v>
      </c>
      <c r="CZ305" s="0" t="s">
        <v>6456</v>
      </c>
      <c r="DA305" s="0" t="s">
        <v>189</v>
      </c>
      <c r="DB305" s="0" t="s">
        <v>164</v>
      </c>
      <c r="DC305" s="0" t="s">
        <v>12050</v>
      </c>
      <c r="DE305" s="0" t="s">
        <v>189</v>
      </c>
      <c r="DF305" s="0" t="n">
        <v>0</v>
      </c>
      <c r="DH305" s="0" t="s">
        <v>8505</v>
      </c>
      <c r="DI305" s="0" t="s">
        <v>12051</v>
      </c>
      <c r="DJ305" s="0" t="s">
        <v>12052</v>
      </c>
      <c r="DK305" s="0" t="s">
        <v>380</v>
      </c>
      <c r="DN305" s="0" t="n">
        <v>12</v>
      </c>
      <c r="DO305" s="0" t="n">
        <v>0</v>
      </c>
      <c r="DP305" s="0" t="n">
        <v>4</v>
      </c>
      <c r="DQ305" s="0" t="n">
        <v>0</v>
      </c>
      <c r="DR305" s="0" t="n">
        <v>5</v>
      </c>
      <c r="DS305" s="0" t="n">
        <v>3</v>
      </c>
      <c r="DT305" s="0" t="n">
        <v>0</v>
      </c>
      <c r="DU305" s="0" t="n">
        <f aca="false">IF($A305="","",IF(R305="Y",10,0))</f>
        <v>0</v>
      </c>
      <c r="DV305" s="0" t="n">
        <v>0</v>
      </c>
      <c r="DW305" s="0" t="s">
        <v>209</v>
      </c>
      <c r="DX305" s="0" t="s">
        <v>6462</v>
      </c>
      <c r="DY305" s="0" t="s">
        <v>12053</v>
      </c>
      <c r="DZ305" s="0" t="s">
        <v>12054</v>
      </c>
      <c r="EV305" s="0" t="str">
        <f aca="false">IF($A305="","",IF(ISNUMBER(MATCH(U305,{"queued","contacted","replied","call_booked","call_done","yes_in_principle","materials_sent"},0)),"Y","N"))</f>
        <v>N</v>
      </c>
      <c r="EW305" s="0" t="str">
        <f aca="false">IF($A305="","",IF(OR(T305="Y",U305="do_not_contact",AQ305&amp;""&lt;&gt;""),"Y","N"))</f>
        <v>N</v>
      </c>
      <c r="EX305" s="0" t="str">
        <f aca="false">IF($A305="","",IF(AN305&amp;""&lt;&gt;"",AN305&amp;"",$A305))</f>
        <v>AB-204</v>
      </c>
      <c r="EY305" s="0" t="str">
        <f aca="false">IF($A305="","",IF(COUNTIFS($EX$2:$EX$1000,EX305,$EV$2:$EV$1000,"Y")+COUNTIFS($EX$2:$EX$1000,EX305,$EW$2:$EW$1000,"Y")&gt;0,"Y","N"))</f>
        <v>N</v>
      </c>
      <c r="EZ305" s="0" t="str">
        <f aca="false">IF($A305="","",IF(AND(U305="new",T305="N",EW305="N",AR305="Y",EY305="N"),"Y","N"))</f>
        <v>N</v>
      </c>
      <c r="FA305" s="0" t="str">
        <f aca="false">IF($A305="","",IF(EZ305&lt;&gt;"Y","N",IF(COUNTIFS($EX$2:$EX$1000,EX305,$EZ$2:$EZ$1000,"Y",$J$2:$J$1000,"&gt;"&amp;J305)+COUNTIFS($EX$2:$EX$1000,EX305,$EZ$2:$EZ$1000,"Y",$J$2:$J$1000,J305,$FG$2:$FG$1000,"&lt;"&amp;FG305)=0,"Y","N")))</f>
        <v>N</v>
      </c>
      <c r="FB305" s="0" t="str">
        <f aca="false">IF($A305="","",IF(AND(EZ305="Y",FA305="Y",Y305&amp;""&lt;&gt;""),IF(Y305&lt;=10,"Y","N"),"N"))</f>
        <v>N</v>
      </c>
      <c r="FC305" s="0" t="str">
        <f aca="false">IF(FB305="Y",Y305,"")</f>
        <v/>
      </c>
      <c r="FD305" s="0" t="str">
        <f aca="false">IF($A305="","",IF(AND(CK305="pass",AU305="Y",AV305&lt;&gt;"Y",U305="new",EW305="N"),"Y","N"))</f>
        <v>N</v>
      </c>
      <c r="FE305" s="0" t="str">
        <f aca="false">IF(FD305&lt;&gt;"Y","",IF(COUNTIFS($FD$2:$FD$1000,"Y",$J$2:$J$1000,"&gt;"&amp;J305)+COUNTIFS($FD$2:$FD$1000,"Y",$J$2:$J$1000,J305,$FG$2:$FG$1000,"&lt;"&amp;FG305)+1&lt;=30,COUNTIFS($FD$2:$FD$1000,"Y",$J$2:$J$1000,"&gt;"&amp;J305)+COUNTIFS($FD$2:$FD$1000,"Y",$J$2:$J$1000,J305,$FG$2:$FG$1000,"&lt;"&amp;FG305)+1,""))</f>
        <v/>
      </c>
      <c r="FF305" s="0" t="str">
        <f aca="false">IF(AND(_xlfn.ISFORMULA(C305),_xlfn.ISFORMULA(J305)),"Y","N")</f>
        <v>Y</v>
      </c>
      <c r="FG305" s="0" t="n">
        <f aca="false">ROW()-1</f>
        <v>304</v>
      </c>
    </row>
    <row r="306" customFormat="false" ht="15" hidden="false" customHeight="false" outlineLevel="0" collapsed="false">
      <c r="A306" s="0" t="s">
        <v>12055</v>
      </c>
      <c r="B306" s="0" t="s">
        <v>12056</v>
      </c>
      <c r="C306" s="0" t="str">
        <f aca="false">IF($A306="","",IF(AT306="Y",BL306&amp;"",AY306&amp;""))</f>
        <v/>
      </c>
      <c r="D306" s="0" t="str">
        <f aca="false">IF($A306="","",IF(AT306="Y",BM306&amp;"",AZ306&amp;""))</f>
        <v/>
      </c>
      <c r="E306" s="0" t="str">
        <f aca="false">IF($A306="","",IF(AT306="Y",BN306&amp;"",BA306&amp;""))</f>
        <v/>
      </c>
      <c r="F306" s="0" t="str">
        <f aca="false">IF($A306="","",IF(AT306="Y",BO306&amp;"",BB306&amp;""))</f>
        <v/>
      </c>
      <c r="G306" s="0" t="str">
        <f aca="false">IF($A306="","",IF(AT306="Y",BP306&amp;"",BC306&amp;""))</f>
        <v/>
      </c>
      <c r="H306" s="0" t="str">
        <f aca="false">IF($A306="","",IF(AT306="Y",BQ306&amp;"",BD306&amp;""))</f>
        <v>none</v>
      </c>
      <c r="I306" s="0" t="str">
        <f aca="false">IF($A306="","",IF(R306="Y","warm-intro",IF(H306="verified","email",IF(C306&lt;&gt;"","linkedin",CA306&amp;""))))</f>
        <v/>
      </c>
      <c r="J306" s="0" t="n">
        <f aca="false">IF($A306="","",IF(CK306="pass",ROUND(N(DO306)+N(DP306)+N(DQ306)+N(DR306)+N(DS306)+N(DT306)+N(DU306)+N(DV306),0),0))</f>
        <v>0</v>
      </c>
      <c r="K306" s="0" t="str">
        <f aca="false">IF($A306="","",IF(CK306&lt;&gt;"pass",BY306&amp;"",BY306&amp;", "&amp;IF(AT306="Y",BX306&amp;"",BK306&amp;"")&amp;BZ306&amp;IF(R306="Y","; known to the founder (+10)","")&amp;"."))</f>
        <v>Gated out: not-shelf-stable: Refrigerated product (brand FAQ).</v>
      </c>
      <c r="M306" s="0" t="s">
        <v>6144</v>
      </c>
      <c r="N306" s="0" t="s">
        <v>740</v>
      </c>
      <c r="R306" s="5" t="s">
        <v>189</v>
      </c>
      <c r="S306" s="0" t="s">
        <v>209</v>
      </c>
      <c r="T306" s="5" t="s">
        <v>189</v>
      </c>
      <c r="U306" s="5" t="s">
        <v>3896</v>
      </c>
      <c r="V306" s="0" t="s">
        <v>12057</v>
      </c>
      <c r="W306" s="0" t="s">
        <v>263</v>
      </c>
      <c r="X306" s="0" t="s">
        <v>5578</v>
      </c>
      <c r="Y306" s="0" t="str">
        <f aca="false">IF(FA306&lt;&gt;"Y","",COUNTIFS($FA$2:$FA$1000,"Y",$J$2:$J$1000,"&gt;"&amp;J306)+COUNTIFS($FA$2:$FA$1000,"Y",$J$2:$J$1000,J306,$FG$2:$FG$1000,"&lt;"&amp;FG306)+1)</f>
        <v/>
      </c>
      <c r="AA306" s="0" t="s">
        <v>189</v>
      </c>
      <c r="AB306" s="0" t="str">
        <f aca="false">IF($A306="","",IF(AT306="Y",BW306&amp;"",BJ306&amp;""))</f>
        <v/>
      </c>
      <c r="AC306" s="0" t="str">
        <f aca="false">IF($A306="","",IF(AT306="Y",BR306&amp;"",BE306&amp;""))</f>
        <v/>
      </c>
      <c r="AD306" s="0" t="str">
        <f aca="false">IF($A306="","",IF(AT306="Y",BS306&amp;"",BF306&amp;""))</f>
        <v>none</v>
      </c>
      <c r="AE306" s="0" t="str">
        <f aca="false">IF($A306="","",IF(AT306="Y",BT306&amp;"",BG306&amp;""))</f>
        <v/>
      </c>
      <c r="AF306" s="0" t="str">
        <f aca="false">IF($A306="","",IF(AT306="Y",BU306&amp;"",BH306&amp;""))</f>
        <v/>
      </c>
      <c r="AG306" s="0" t="str">
        <f aca="false">IF($A306="","",IF(AT306="Y",BV306&amp;"",BI306&amp;""))</f>
        <v/>
      </c>
      <c r="AH306" s="0" t="s">
        <v>12058</v>
      </c>
      <c r="AI306" s="0" t="s">
        <v>5664</v>
      </c>
      <c r="AJ306" s="0" t="s">
        <v>209</v>
      </c>
      <c r="AK306" s="0" t="s">
        <v>12059</v>
      </c>
      <c r="AL306" s="0" t="s">
        <v>189</v>
      </c>
      <c r="AN306" s="0" t="s">
        <v>12055</v>
      </c>
      <c r="AO306" s="5" t="s">
        <v>189</v>
      </c>
      <c r="AR306" s="0" t="str">
        <f aca="false">IF($A306="","",IF(AND(CK306="pass",AO306&lt;&gt;"Y",C306&lt;&gt;"",OR(AU306&lt;&gt;"Y",AV306="Y")),"Y","N"))</f>
        <v>N</v>
      </c>
      <c r="AS306" s="0" t="str">
        <f aca="false">IF($A306="","",_xlfn.TEXTJOIN("; ",TRUE(),IF(CK306&lt;&gt;"pass","gated out",""),IF(AO306="Y","on hold: "&amp;AP306,""),IF(C306="","no contact named on an opened page",""),IF(AND(AU306="Y",AV306&lt;&gt;"Y"),"founder review pending (Founder review tab)","")))</f>
        <v>gated out; no contact named on an opened page</v>
      </c>
      <c r="AU306" s="0" t="s">
        <v>189</v>
      </c>
      <c r="BC306" s="0" t="str">
        <f aca="false">IF($A306="","",IFERROR(INDEX(Enrichment!$A$2:$GZ$2000,MATCH($A306,INDEX(Enrichment!$A$2:$GZ$2000,0,MATCH("row_id",Enrichment!$A$1:$GZ$1,0)),0),MATCH("work_email",Enrichment!$A$1:$GZ$1,0))&amp;"",""))</f>
        <v/>
      </c>
      <c r="BD306" s="0" t="str">
        <f aca="false">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none</v>
      </c>
      <c r="BF306" s="0" t="s">
        <v>380</v>
      </c>
      <c r="BK306" s="0" t="s">
        <v>6048</v>
      </c>
      <c r="BP306" s="0" t="str">
        <f aca="false">IF($A306="","",IFERROR(INDEX(Enrichment!$A$2:$GZ$2000,MATCH($A306,INDEX(Enrichment!$A$2:$GZ$2000,0,MATCH("row_id",Enrichment!$A$1:$GZ$1,0)),0),MATCH("backup_work_email",Enrichment!$A$1:$GZ$1,0))&amp;"",""))</f>
        <v/>
      </c>
      <c r="BQ306" s="0" t="str">
        <f aca="false">IF($A306="","",IF(BP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none</v>
      </c>
      <c r="BS306" s="0" t="s">
        <v>380</v>
      </c>
      <c r="BX306" s="0" t="s">
        <v>388</v>
      </c>
      <c r="BY306" s="0" t="s">
        <v>11119</v>
      </c>
      <c r="CJ306" s="0" t="s">
        <v>7088</v>
      </c>
      <c r="CK306" s="0" t="s">
        <v>4627</v>
      </c>
      <c r="CL306" s="0" t="s">
        <v>10343</v>
      </c>
      <c r="CM306" s="0" t="s">
        <v>11121</v>
      </c>
      <c r="CO306" s="0" t="s">
        <v>12059</v>
      </c>
      <c r="CP306" s="0" t="s">
        <v>209</v>
      </c>
      <c r="CQ306" s="0" t="s">
        <v>209</v>
      </c>
      <c r="CR306" s="0" t="s">
        <v>209</v>
      </c>
      <c r="CT306" s="0" t="s">
        <v>189</v>
      </c>
      <c r="CU306" s="0" t="s">
        <v>12060</v>
      </c>
      <c r="CV306" s="0" t="s">
        <v>164</v>
      </c>
      <c r="CW306" s="0" t="s">
        <v>164</v>
      </c>
      <c r="CX306" s="0" t="s">
        <v>209</v>
      </c>
      <c r="CZ306" s="0" t="s">
        <v>209</v>
      </c>
      <c r="DA306" s="0" t="s">
        <v>189</v>
      </c>
      <c r="DB306" s="0" t="s">
        <v>164</v>
      </c>
      <c r="DC306" s="0" t="s">
        <v>11123</v>
      </c>
      <c r="DE306" s="0" t="s">
        <v>189</v>
      </c>
      <c r="DF306" s="0" t="n">
        <v>0</v>
      </c>
      <c r="DI306" s="0" t="s">
        <v>12061</v>
      </c>
      <c r="DK306" s="0" t="s">
        <v>380</v>
      </c>
      <c r="DN306" s="0" t="n">
        <v>21</v>
      </c>
      <c r="DO306" s="0" t="n">
        <v>6</v>
      </c>
      <c r="DP306" s="0" t="n">
        <v>4</v>
      </c>
      <c r="DQ306" s="0" t="n">
        <v>0</v>
      </c>
      <c r="DR306" s="0" t="n">
        <v>5</v>
      </c>
      <c r="DS306" s="0" t="n">
        <v>6</v>
      </c>
      <c r="DT306" s="0" t="n">
        <v>0</v>
      </c>
      <c r="DU306" s="0" t="n">
        <f aca="false">IF($A306="","",IF(R306="Y",10,0))</f>
        <v>0</v>
      </c>
      <c r="DV306" s="0" t="n">
        <v>0</v>
      </c>
      <c r="DW306" s="0" t="s">
        <v>12062</v>
      </c>
      <c r="DX306" s="0" t="s">
        <v>5691</v>
      </c>
      <c r="DY306" s="0" t="s">
        <v>12063</v>
      </c>
      <c r="DZ306" s="0" t="s">
        <v>12064</v>
      </c>
      <c r="EV306" s="0" t="str">
        <f aca="false">IF($A306="","",IF(ISNUMBER(MATCH(U306,{"queued","contacted","replied","call_booked","call_done","yes_in_principle","materials_sent"},0)),"Y","N"))</f>
        <v>N</v>
      </c>
      <c r="EW306" s="0" t="str">
        <f aca="false">IF($A306="","",IF(OR(T306="Y",U306="do_not_contact",AQ306&amp;""&lt;&gt;""),"Y","N"))</f>
        <v>N</v>
      </c>
      <c r="EX306" s="0" t="str">
        <f aca="false">IF($A306="","",IF(AN306&amp;""&lt;&gt;"",AN306&amp;"",$A306))</f>
        <v>AB-113</v>
      </c>
      <c r="EY306" s="0" t="str">
        <f aca="false">IF($A306="","",IF(COUNTIFS($EX$2:$EX$1000,EX306,$EV$2:$EV$1000,"Y")+COUNTIFS($EX$2:$EX$1000,EX306,$EW$2:$EW$1000,"Y")&gt;0,"Y","N"))</f>
        <v>N</v>
      </c>
      <c r="EZ306" s="0" t="str">
        <f aca="false">IF($A306="","",IF(AND(U306="new",T306="N",EW306="N",AR306="Y",EY306="N"),"Y","N"))</f>
        <v>N</v>
      </c>
      <c r="FA306" s="0" t="str">
        <f aca="false">IF($A306="","",IF(EZ306&lt;&gt;"Y","N",IF(COUNTIFS($EX$2:$EX$1000,EX306,$EZ$2:$EZ$1000,"Y",$J$2:$J$1000,"&gt;"&amp;J306)+COUNTIFS($EX$2:$EX$1000,EX306,$EZ$2:$EZ$1000,"Y",$J$2:$J$1000,J306,$FG$2:$FG$1000,"&lt;"&amp;FG306)=0,"Y","N")))</f>
        <v>N</v>
      </c>
      <c r="FB306" s="0" t="str">
        <f aca="false">IF($A306="","",IF(AND(EZ306="Y",FA306="Y",Y306&amp;""&lt;&gt;""),IF(Y306&lt;=10,"Y","N"),"N"))</f>
        <v>N</v>
      </c>
      <c r="FC306" s="0" t="str">
        <f aca="false">IF(FB306="Y",Y306,"")</f>
        <v/>
      </c>
      <c r="FD306" s="0" t="str">
        <f aca="false">IF($A306="","",IF(AND(CK306="pass",AU306="Y",AV306&lt;&gt;"Y",U306="new",EW306="N"),"Y","N"))</f>
        <v>N</v>
      </c>
      <c r="FE306" s="0" t="str">
        <f aca="false">IF(FD306&lt;&gt;"Y","",IF(COUNTIFS($FD$2:$FD$1000,"Y",$J$2:$J$1000,"&gt;"&amp;J306)+COUNTIFS($FD$2:$FD$1000,"Y",$J$2:$J$1000,J306,$FG$2:$FG$1000,"&lt;"&amp;FG306)+1&lt;=30,COUNTIFS($FD$2:$FD$1000,"Y",$J$2:$J$1000,"&gt;"&amp;J306)+COUNTIFS($FD$2:$FD$1000,"Y",$J$2:$J$1000,J306,$FG$2:$FG$1000,"&lt;"&amp;FG306)+1,""))</f>
        <v/>
      </c>
      <c r="FF306" s="0" t="str">
        <f aca="false">IF(AND(_xlfn.ISFORMULA(C306),_xlfn.ISFORMULA(J306)),"Y","N")</f>
        <v>Y</v>
      </c>
      <c r="FG306" s="0" t="n">
        <f aca="false">ROW()-1</f>
        <v>305</v>
      </c>
    </row>
    <row r="307" customFormat="false" ht="15" hidden="false" customHeight="false" outlineLevel="0" collapsed="false">
      <c r="A307" s="0" t="s">
        <v>12065</v>
      </c>
      <c r="B307" s="0" t="s">
        <v>12066</v>
      </c>
      <c r="C307" s="0" t="str">
        <f aca="false">IF($A307="","",IF(AT307="Y",BL307&amp;"",AY307&amp;""))</f>
        <v/>
      </c>
      <c r="D307" s="0" t="str">
        <f aca="false">IF($A307="","",IF(AT307="Y",BM307&amp;"",AZ307&amp;""))</f>
        <v/>
      </c>
      <c r="E307" s="0" t="str">
        <f aca="false">IF($A307="","",IF(AT307="Y",BN307&amp;"",BA307&amp;""))</f>
        <v/>
      </c>
      <c r="F307" s="0" t="str">
        <f aca="false">IF($A307="","",IF(AT307="Y",BO307&amp;"",BB307&amp;""))</f>
        <v/>
      </c>
      <c r="G307" s="0" t="str">
        <f aca="false">IF($A307="","",IF(AT307="Y",BP307&amp;"",BC307&amp;""))</f>
        <v/>
      </c>
      <c r="H307" s="0" t="str">
        <f aca="false">IF($A307="","",IF(AT307="Y",BQ307&amp;"",BD307&amp;""))</f>
        <v>none</v>
      </c>
      <c r="I307" s="0" t="str">
        <f aca="false">IF($A307="","",IF(R307="Y","warm-intro",IF(H307="verified","email",IF(C307&lt;&gt;"","linkedin",CA307&amp;""))))</f>
        <v/>
      </c>
      <c r="J307" s="0" t="n">
        <f aca="false">IF($A307="","",IF(CK307="pass",ROUND(N(DO307)+N(DP307)+N(DQ307)+N(DR307)+N(DS307)+N(DT307)+N(DU307)+N(DV307),0),0))</f>
        <v>0</v>
      </c>
      <c r="K307" s="0" t="str">
        <f aca="false">IF($A307="","",IF(CK307&lt;&gt;"pass",BY307&amp;"",BY307&amp;", "&amp;IF(AT307="Y",BX307&amp;"",BK307&amp;"")&amp;BZ307&amp;IF(R307="Y","; known to the founder (+10)","")&amp;"."))</f>
        <v>Gated out: health-claim: Structure or function wording: L-theanine 'can lead to improved alertness', 'Phocus helps you stay focused, energized' (FAQ).</v>
      </c>
      <c r="M307" s="0" t="s">
        <v>6144</v>
      </c>
      <c r="N307" s="0" t="s">
        <v>740</v>
      </c>
      <c r="R307" s="5" t="s">
        <v>189</v>
      </c>
      <c r="S307" s="0" t="s">
        <v>209</v>
      </c>
      <c r="T307" s="5" t="s">
        <v>189</v>
      </c>
      <c r="U307" s="5" t="s">
        <v>3896</v>
      </c>
      <c r="V307" s="0" t="s">
        <v>12067</v>
      </c>
      <c r="W307" s="0" t="s">
        <v>263</v>
      </c>
      <c r="X307" s="0" t="s">
        <v>5578</v>
      </c>
      <c r="Y307" s="0" t="str">
        <f aca="false">IF(FA307&lt;&gt;"Y","",COUNTIFS($FA$2:$FA$1000,"Y",$J$2:$J$1000,"&gt;"&amp;J307)+COUNTIFS($FA$2:$FA$1000,"Y",$J$2:$J$1000,J307,$FG$2:$FG$1000,"&lt;"&amp;FG307)+1)</f>
        <v/>
      </c>
      <c r="AA307" s="0" t="s">
        <v>189</v>
      </c>
      <c r="AB307" s="0" t="str">
        <f aca="false">IF($A307="","",IF(AT307="Y",BW307&amp;"",BJ307&amp;""))</f>
        <v/>
      </c>
      <c r="AC307" s="0" t="str">
        <f aca="false">IF($A307="","",IF(AT307="Y",BR307&amp;"",BE307&amp;""))</f>
        <v/>
      </c>
      <c r="AD307" s="0" t="str">
        <f aca="false">IF($A307="","",IF(AT307="Y",BS307&amp;"",BF307&amp;""))</f>
        <v>none</v>
      </c>
      <c r="AE307" s="0" t="str">
        <f aca="false">IF($A307="","",IF(AT307="Y",BT307&amp;"",BG307&amp;""))</f>
        <v/>
      </c>
      <c r="AF307" s="0" t="str">
        <f aca="false">IF($A307="","",IF(AT307="Y",BU307&amp;"",BH307&amp;""))</f>
        <v/>
      </c>
      <c r="AG307" s="0" t="str">
        <f aca="false">IF($A307="","",IF(AT307="Y",BV307&amp;"",BI307&amp;""))</f>
        <v/>
      </c>
      <c r="AH307" s="0" t="s">
        <v>12068</v>
      </c>
      <c r="AI307" s="0" t="s">
        <v>5580</v>
      </c>
      <c r="AJ307" s="0" t="s">
        <v>209</v>
      </c>
      <c r="AK307" s="0" t="s">
        <v>12069</v>
      </c>
      <c r="AL307" s="0" t="s">
        <v>164</v>
      </c>
      <c r="AM307" s="0" t="s">
        <v>5666</v>
      </c>
      <c r="AN307" s="0" t="s">
        <v>12065</v>
      </c>
      <c r="AO307" s="5" t="s">
        <v>189</v>
      </c>
      <c r="AR307" s="0" t="str">
        <f aca="false">IF($A307="","",IF(AND(CK307="pass",AO307&lt;&gt;"Y",C307&lt;&gt;"",OR(AU307&lt;&gt;"Y",AV307="Y")),"Y","N"))</f>
        <v>N</v>
      </c>
      <c r="AS307" s="0" t="str">
        <f aca="false">IF($A307="","",_xlfn.TEXTJOIN("; ",TRUE(),IF(CK307&lt;&gt;"pass","gated out",""),IF(AO307="Y","on hold: "&amp;AP307,""),IF(C307="","no contact named on an opened page",""),IF(AND(AU307="Y",AV307&lt;&gt;"Y"),"founder review pending (Founder review tab)","")))</f>
        <v>gated out; no contact named on an opened page</v>
      </c>
      <c r="AU307" s="0" t="s">
        <v>189</v>
      </c>
      <c r="BC307" s="0" t="str">
        <f aca="false">IF($A307="","",IFERROR(INDEX(Enrichment!$A$2:$GZ$2000,MATCH($A307,INDEX(Enrichment!$A$2:$GZ$2000,0,MATCH("row_id",Enrichment!$A$1:$GZ$1,0)),0),MATCH("work_email",Enrichment!$A$1:$GZ$1,0))&amp;"",""))</f>
        <v/>
      </c>
      <c r="BD307" s="0" t="str">
        <f aca="false">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none</v>
      </c>
      <c r="BF307" s="0" t="s">
        <v>380</v>
      </c>
      <c r="BK307" s="0" t="s">
        <v>6048</v>
      </c>
      <c r="BP307" s="0" t="str">
        <f aca="false">IF($A307="","",IFERROR(INDEX(Enrichment!$A$2:$GZ$2000,MATCH($A307,INDEX(Enrichment!$A$2:$GZ$2000,0,MATCH("row_id",Enrichment!$A$1:$GZ$1,0)),0),MATCH("backup_work_email",Enrichment!$A$1:$GZ$1,0))&amp;"",""))</f>
        <v/>
      </c>
      <c r="BQ307" s="0" t="str">
        <f aca="false">IF($A307="","",IF(BP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none</v>
      </c>
      <c r="BS307" s="0" t="s">
        <v>380</v>
      </c>
      <c r="BX307" s="0" t="s">
        <v>388</v>
      </c>
      <c r="BY307" s="0" t="s">
        <v>12070</v>
      </c>
      <c r="CJ307" s="0" t="s">
        <v>7088</v>
      </c>
      <c r="CK307" s="0" t="s">
        <v>4627</v>
      </c>
      <c r="CL307" s="0" t="s">
        <v>10005</v>
      </c>
      <c r="CM307" s="0" t="s">
        <v>12071</v>
      </c>
      <c r="CO307" s="0" t="s">
        <v>12069</v>
      </c>
      <c r="CP307" s="0" t="s">
        <v>209</v>
      </c>
      <c r="CQ307" s="0" t="s">
        <v>209</v>
      </c>
      <c r="CR307" s="0" t="s">
        <v>209</v>
      </c>
      <c r="CT307" s="0" t="s">
        <v>209</v>
      </c>
      <c r="CU307" s="0" t="s">
        <v>9076</v>
      </c>
      <c r="CV307" s="0" t="s">
        <v>164</v>
      </c>
      <c r="CW307" s="0" t="s">
        <v>164</v>
      </c>
      <c r="CX307" s="0" t="s">
        <v>209</v>
      </c>
      <c r="CZ307" s="0" t="s">
        <v>6456</v>
      </c>
      <c r="DA307" s="0" t="s">
        <v>164</v>
      </c>
      <c r="DB307" s="0" t="s">
        <v>164</v>
      </c>
      <c r="DC307" s="0" t="s">
        <v>12072</v>
      </c>
      <c r="DE307" s="0" t="s">
        <v>189</v>
      </c>
      <c r="DF307" s="0" t="n">
        <v>0</v>
      </c>
      <c r="DI307" s="0" t="s">
        <v>209</v>
      </c>
      <c r="DK307" s="0" t="s">
        <v>380</v>
      </c>
      <c r="DN307" s="0" t="n">
        <v>22</v>
      </c>
      <c r="DO307" s="0" t="n">
        <v>6</v>
      </c>
      <c r="DP307" s="0" t="n">
        <v>4</v>
      </c>
      <c r="DQ307" s="0" t="n">
        <v>0</v>
      </c>
      <c r="DR307" s="0" t="n">
        <v>5</v>
      </c>
      <c r="DS307" s="0" t="n">
        <v>7</v>
      </c>
      <c r="DT307" s="0" t="n">
        <v>0</v>
      </c>
      <c r="DU307" s="0" t="n">
        <f aca="false">IF($A307="","",IF(R307="Y",10,0))</f>
        <v>0</v>
      </c>
      <c r="DV307" s="0" t="n">
        <v>0</v>
      </c>
      <c r="DW307" s="0" t="s">
        <v>12073</v>
      </c>
      <c r="DX307" s="0" t="s">
        <v>6462</v>
      </c>
      <c r="DY307" s="0" t="s">
        <v>12074</v>
      </c>
      <c r="DZ307" s="0" t="s">
        <v>12075</v>
      </c>
      <c r="EV307" s="0" t="str">
        <f aca="false">IF($A307="","",IF(ISNUMBER(MATCH(U307,{"queued","contacted","replied","call_booked","call_done","yes_in_principle","materials_sent"},0)),"Y","N"))</f>
        <v>N</v>
      </c>
      <c r="EW307" s="0" t="str">
        <f aca="false">IF($A307="","",IF(OR(T307="Y",U307="do_not_contact",AQ307&amp;""&lt;&gt;""),"Y","N"))</f>
        <v>N</v>
      </c>
      <c r="EX307" s="0" t="str">
        <f aca="false">IF($A307="","",IF(AN307&amp;""&lt;&gt;"",AN307&amp;"",$A307))</f>
        <v>AB-166</v>
      </c>
      <c r="EY307" s="0" t="str">
        <f aca="false">IF($A307="","",IF(COUNTIFS($EX$2:$EX$1000,EX307,$EV$2:$EV$1000,"Y")+COUNTIFS($EX$2:$EX$1000,EX307,$EW$2:$EW$1000,"Y")&gt;0,"Y","N"))</f>
        <v>N</v>
      </c>
      <c r="EZ307" s="0" t="str">
        <f aca="false">IF($A307="","",IF(AND(U307="new",T307="N",EW307="N",AR307="Y",EY307="N"),"Y","N"))</f>
        <v>N</v>
      </c>
      <c r="FA307" s="0" t="str">
        <f aca="false">IF($A307="","",IF(EZ307&lt;&gt;"Y","N",IF(COUNTIFS($EX$2:$EX$1000,EX307,$EZ$2:$EZ$1000,"Y",$J$2:$J$1000,"&gt;"&amp;J307)+COUNTIFS($EX$2:$EX$1000,EX307,$EZ$2:$EZ$1000,"Y",$J$2:$J$1000,J307,$FG$2:$FG$1000,"&lt;"&amp;FG307)=0,"Y","N")))</f>
        <v>N</v>
      </c>
      <c r="FB307" s="0" t="str">
        <f aca="false">IF($A307="","",IF(AND(EZ307="Y",FA307="Y",Y307&amp;""&lt;&gt;""),IF(Y307&lt;=10,"Y","N"),"N"))</f>
        <v>N</v>
      </c>
      <c r="FC307" s="0" t="str">
        <f aca="false">IF(FB307="Y",Y307,"")</f>
        <v/>
      </c>
      <c r="FD307" s="0" t="str">
        <f aca="false">IF($A307="","",IF(AND(CK307="pass",AU307="Y",AV307&lt;&gt;"Y",U307="new",EW307="N"),"Y","N"))</f>
        <v>N</v>
      </c>
      <c r="FE307" s="0" t="str">
        <f aca="false">IF(FD307&lt;&gt;"Y","",IF(COUNTIFS($FD$2:$FD$1000,"Y",$J$2:$J$1000,"&gt;"&amp;J307)+COUNTIFS($FD$2:$FD$1000,"Y",$J$2:$J$1000,J307,$FG$2:$FG$1000,"&lt;"&amp;FG307)+1&lt;=30,COUNTIFS($FD$2:$FD$1000,"Y",$J$2:$J$1000,"&gt;"&amp;J307)+COUNTIFS($FD$2:$FD$1000,"Y",$J$2:$J$1000,J307,$FG$2:$FG$1000,"&lt;"&amp;FG307)+1,""))</f>
        <v/>
      </c>
      <c r="FF307" s="0" t="str">
        <f aca="false">IF(AND(_xlfn.ISFORMULA(C307),_xlfn.ISFORMULA(J307)),"Y","N")</f>
        <v>Y</v>
      </c>
      <c r="FG307" s="0" t="n">
        <f aca="false">ROW()-1</f>
        <v>306</v>
      </c>
    </row>
    <row r="308" customFormat="false" ht="15" hidden="false" customHeight="false" outlineLevel="0" collapsed="false">
      <c r="A308" s="0" t="s">
        <v>12076</v>
      </c>
      <c r="B308" s="0" t="s">
        <v>12077</v>
      </c>
      <c r="C308" s="0" t="str">
        <f aca="false">IF($A308="","",IF(AT308="Y",BL308&amp;"",AY308&amp;""))</f>
        <v/>
      </c>
      <c r="D308" s="0" t="str">
        <f aca="false">IF($A308="","",IF(AT308="Y",BM308&amp;"",AZ308&amp;""))</f>
        <v/>
      </c>
      <c r="E308" s="0" t="str">
        <f aca="false">IF($A308="","",IF(AT308="Y",BN308&amp;"",BA308&amp;""))</f>
        <v/>
      </c>
      <c r="F308" s="0" t="str">
        <f aca="false">IF($A308="","",IF(AT308="Y",BO308&amp;"",BB308&amp;""))</f>
        <v/>
      </c>
      <c r="G308" s="0" t="str">
        <f aca="false">IF($A308="","",IF(AT308="Y",BP308&amp;"",BC308&amp;""))</f>
        <v/>
      </c>
      <c r="H308" s="0" t="str">
        <f aca="false">IF($A308="","",IF(AT308="Y",BQ308&amp;"",BD308&amp;""))</f>
        <v>none</v>
      </c>
      <c r="I308" s="0" t="str">
        <f aca="false">IF($A308="","",IF(R308="Y","warm-intro",IF(H308="verified","email",IF(C308&lt;&gt;"","linkedin",CA308&amp;""))))</f>
        <v/>
      </c>
      <c r="J308" s="0" t="n">
        <f aca="false">IF($A308="","",IF(CK308="pass",ROUND(N(DO308)+N(DP308)+N(DQ308)+N(DR308)+N(DS308)+N(DT308)+N(DU308)+N(DV308),0),0))</f>
        <v>0</v>
      </c>
      <c r="K308" s="0" t="str">
        <f aca="false">IF($A308="","",IF(CK308&lt;&gt;"pass",BY308&amp;"",BY308&amp;", "&amp;IF(AT308="Y",BX308&amp;"",BK308&amp;"")&amp;BZ308&amp;IF(R308="Y","; known to the founder (+10)","")&amp;"."))</f>
        <v>Gated out: excluded-category: Supplement-style energy shots and gummies with asterisked structure or function claims ('boost energy, focus and productivity'); now also sel.</v>
      </c>
      <c r="M308" s="0" t="s">
        <v>6144</v>
      </c>
      <c r="N308" s="0" t="s">
        <v>740</v>
      </c>
      <c r="R308" s="5" t="s">
        <v>189</v>
      </c>
      <c r="S308" s="0" t="s">
        <v>209</v>
      </c>
      <c r="T308" s="5" t="s">
        <v>189</v>
      </c>
      <c r="U308" s="5" t="s">
        <v>3896</v>
      </c>
      <c r="V308" s="0" t="s">
        <v>12078</v>
      </c>
      <c r="W308" s="0" t="s">
        <v>263</v>
      </c>
      <c r="X308" s="0" t="s">
        <v>5578</v>
      </c>
      <c r="Y308" s="0" t="str">
        <f aca="false">IF(FA308&lt;&gt;"Y","",COUNTIFS($FA$2:$FA$1000,"Y",$J$2:$J$1000,"&gt;"&amp;J308)+COUNTIFS($FA$2:$FA$1000,"Y",$J$2:$J$1000,J308,$FG$2:$FG$1000,"&lt;"&amp;FG308)+1)</f>
        <v/>
      </c>
      <c r="AA308" s="0" t="s">
        <v>189</v>
      </c>
      <c r="AB308" s="0" t="str">
        <f aca="false">IF($A308="","",IF(AT308="Y",BW308&amp;"",BJ308&amp;""))</f>
        <v/>
      </c>
      <c r="AC308" s="0" t="str">
        <f aca="false">IF($A308="","",IF(AT308="Y",BR308&amp;"",BE308&amp;""))</f>
        <v/>
      </c>
      <c r="AD308" s="0" t="str">
        <f aca="false">IF($A308="","",IF(AT308="Y",BS308&amp;"",BF308&amp;""))</f>
        <v>none</v>
      </c>
      <c r="AE308" s="0" t="str">
        <f aca="false">IF($A308="","",IF(AT308="Y",BT308&amp;"",BG308&amp;""))</f>
        <v/>
      </c>
      <c r="AF308" s="0" t="str">
        <f aca="false">IF($A308="","",IF(AT308="Y",BU308&amp;"",BH308&amp;""))</f>
        <v/>
      </c>
      <c r="AG308" s="0" t="str">
        <f aca="false">IF($A308="","",IF(AT308="Y",BV308&amp;"",BI308&amp;""))</f>
        <v/>
      </c>
      <c r="AH308" s="0" t="s">
        <v>12079</v>
      </c>
      <c r="AI308" s="0" t="s">
        <v>6699</v>
      </c>
      <c r="AJ308" s="0" t="s">
        <v>259</v>
      </c>
      <c r="AK308" s="0" t="s">
        <v>12080</v>
      </c>
      <c r="AL308" s="0" t="s">
        <v>189</v>
      </c>
      <c r="AN308" s="0" t="s">
        <v>12076</v>
      </c>
      <c r="AO308" s="5" t="s">
        <v>189</v>
      </c>
      <c r="AR308" s="0" t="str">
        <f aca="false">IF($A308="","",IF(AND(CK308="pass",AO308&lt;&gt;"Y",C308&lt;&gt;"",OR(AU308&lt;&gt;"Y",AV308="Y")),"Y","N"))</f>
        <v>N</v>
      </c>
      <c r="AS308" s="0" t="str">
        <f aca="false">IF($A308="","",_xlfn.TEXTJOIN("; ",TRUE(),IF(CK308&lt;&gt;"pass","gated out",""),IF(AO308="Y","on hold: "&amp;AP308,""),IF(C308="","no contact named on an opened page",""),IF(AND(AU308="Y",AV308&lt;&gt;"Y"),"founder review pending (Founder review tab)","")))</f>
        <v>gated out; no contact named on an opened page</v>
      </c>
      <c r="AU308" s="0" t="s">
        <v>189</v>
      </c>
      <c r="BC308" s="0" t="str">
        <f aca="false">IF($A308="","",IFERROR(INDEX(Enrichment!$A$2:$GZ$2000,MATCH($A308,INDEX(Enrichment!$A$2:$GZ$2000,0,MATCH("row_id",Enrichment!$A$1:$GZ$1,0)),0),MATCH("work_email",Enrichment!$A$1:$GZ$1,0))&amp;"",""))</f>
        <v/>
      </c>
      <c r="BD308" s="0" t="str">
        <f aca="false">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none</v>
      </c>
      <c r="BF308" s="0" t="s">
        <v>380</v>
      </c>
      <c r="BK308" s="0" t="s">
        <v>6048</v>
      </c>
      <c r="BP308" s="0" t="str">
        <f aca="false">IF($A308="","",IFERROR(INDEX(Enrichment!$A$2:$GZ$2000,MATCH($A308,INDEX(Enrichment!$A$2:$GZ$2000,0,MATCH("row_id",Enrichment!$A$1:$GZ$1,0)),0),MATCH("backup_work_email",Enrichment!$A$1:$GZ$1,0))&amp;"",""))</f>
        <v/>
      </c>
      <c r="BQ308" s="0" t="str">
        <f aca="false">IF($A308="","",IF(BP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none</v>
      </c>
      <c r="BS308" s="0" t="s">
        <v>380</v>
      </c>
      <c r="BX308" s="0" t="s">
        <v>388</v>
      </c>
      <c r="BY308" s="0" t="s">
        <v>12081</v>
      </c>
      <c r="CJ308" s="0" t="s">
        <v>7088</v>
      </c>
      <c r="CK308" s="0" t="s">
        <v>4627</v>
      </c>
      <c r="CL308" s="0" t="s">
        <v>10840</v>
      </c>
      <c r="CM308" s="0" t="s">
        <v>12082</v>
      </c>
      <c r="CO308" s="0" t="s">
        <v>12080</v>
      </c>
      <c r="CP308" s="0" t="s">
        <v>5608</v>
      </c>
      <c r="CQ308" s="0" t="s">
        <v>5609</v>
      </c>
      <c r="CR308" s="0" t="s">
        <v>209</v>
      </c>
      <c r="CT308" s="0" t="s">
        <v>164</v>
      </c>
      <c r="CU308" s="0" t="s">
        <v>12083</v>
      </c>
      <c r="CV308" s="0" t="s">
        <v>164</v>
      </c>
      <c r="CW308" s="0" t="s">
        <v>164</v>
      </c>
      <c r="CX308" s="0" t="s">
        <v>209</v>
      </c>
      <c r="CZ308" s="0" t="s">
        <v>6456</v>
      </c>
      <c r="DA308" s="0" t="s">
        <v>164</v>
      </c>
      <c r="DB308" s="0" t="s">
        <v>164</v>
      </c>
      <c r="DC308" s="0" t="s">
        <v>12084</v>
      </c>
      <c r="DE308" s="0" t="s">
        <v>189</v>
      </c>
      <c r="DF308" s="0" t="n">
        <v>0</v>
      </c>
      <c r="DI308" s="0" t="s">
        <v>12085</v>
      </c>
      <c r="DK308" s="0" t="s">
        <v>380</v>
      </c>
      <c r="DN308" s="0" t="n">
        <v>41</v>
      </c>
      <c r="DO308" s="0" t="n">
        <v>6</v>
      </c>
      <c r="DP308" s="0" t="n">
        <v>20</v>
      </c>
      <c r="DQ308" s="0" t="n">
        <v>0</v>
      </c>
      <c r="DR308" s="0" t="n">
        <v>5</v>
      </c>
      <c r="DS308" s="0" t="n">
        <v>10</v>
      </c>
      <c r="DT308" s="0" t="n">
        <v>0</v>
      </c>
      <c r="DU308" s="0" t="n">
        <f aca="false">IF($A308="","",IF(R308="Y",10,0))</f>
        <v>0</v>
      </c>
      <c r="DV308" s="0" t="n">
        <v>0</v>
      </c>
      <c r="DW308" s="0" t="s">
        <v>12086</v>
      </c>
      <c r="DX308" s="0" t="s">
        <v>6462</v>
      </c>
      <c r="DY308" s="0" t="s">
        <v>12087</v>
      </c>
      <c r="DZ308" s="0" t="s">
        <v>12088</v>
      </c>
      <c r="EV308" s="0" t="str">
        <f aca="false">IF($A308="","",IF(ISNUMBER(MATCH(U308,{"queued","contacted","replied","call_booked","call_done","yes_in_principle","materials_sent"},0)),"Y","N"))</f>
        <v>N</v>
      </c>
      <c r="EW308" s="0" t="str">
        <f aca="false">IF($A308="","",IF(OR(T308="Y",U308="do_not_contact",AQ308&amp;""&lt;&gt;""),"Y","N"))</f>
        <v>N</v>
      </c>
      <c r="EX308" s="0" t="str">
        <f aca="false">IF($A308="","",IF(AN308&amp;""&lt;&gt;"",AN308&amp;"",$A308))</f>
        <v>AB-167</v>
      </c>
      <c r="EY308" s="0" t="str">
        <f aca="false">IF($A308="","",IF(COUNTIFS($EX$2:$EX$1000,EX308,$EV$2:$EV$1000,"Y")+COUNTIFS($EX$2:$EX$1000,EX308,$EW$2:$EW$1000,"Y")&gt;0,"Y","N"))</f>
        <v>N</v>
      </c>
      <c r="EZ308" s="0" t="str">
        <f aca="false">IF($A308="","",IF(AND(U308="new",T308="N",EW308="N",AR308="Y",EY308="N"),"Y","N"))</f>
        <v>N</v>
      </c>
      <c r="FA308" s="0" t="str">
        <f aca="false">IF($A308="","",IF(EZ308&lt;&gt;"Y","N",IF(COUNTIFS($EX$2:$EX$1000,EX308,$EZ$2:$EZ$1000,"Y",$J$2:$J$1000,"&gt;"&amp;J308)+COUNTIFS($EX$2:$EX$1000,EX308,$EZ$2:$EZ$1000,"Y",$J$2:$J$1000,J308,$FG$2:$FG$1000,"&lt;"&amp;FG308)=0,"Y","N")))</f>
        <v>N</v>
      </c>
      <c r="FB308" s="0" t="str">
        <f aca="false">IF($A308="","",IF(AND(EZ308="Y",FA308="Y",Y308&amp;""&lt;&gt;""),IF(Y308&lt;=10,"Y","N"),"N"))</f>
        <v>N</v>
      </c>
      <c r="FC308" s="0" t="str">
        <f aca="false">IF(FB308="Y",Y308,"")</f>
        <v/>
      </c>
      <c r="FD308" s="0" t="str">
        <f aca="false">IF($A308="","",IF(AND(CK308="pass",AU308="Y",AV308&lt;&gt;"Y",U308="new",EW308="N"),"Y","N"))</f>
        <v>N</v>
      </c>
      <c r="FE308" s="0" t="str">
        <f aca="false">IF(FD308&lt;&gt;"Y","",IF(COUNTIFS($FD$2:$FD$1000,"Y",$J$2:$J$1000,"&gt;"&amp;J308)+COUNTIFS($FD$2:$FD$1000,"Y",$J$2:$J$1000,J308,$FG$2:$FG$1000,"&lt;"&amp;FG308)+1&lt;=30,COUNTIFS($FD$2:$FD$1000,"Y",$J$2:$J$1000,"&gt;"&amp;J308)+COUNTIFS($FD$2:$FD$1000,"Y",$J$2:$J$1000,J308,$FG$2:$FG$1000,"&lt;"&amp;FG308)+1,""))</f>
        <v/>
      </c>
      <c r="FF308" s="0" t="str">
        <f aca="false">IF(AND(_xlfn.ISFORMULA(C308),_xlfn.ISFORMULA(J308)),"Y","N")</f>
        <v>Y</v>
      </c>
      <c r="FG308" s="0" t="n">
        <f aca="false">ROW()-1</f>
        <v>307</v>
      </c>
    </row>
    <row r="309" customFormat="false" ht="15" hidden="false" customHeight="false" outlineLevel="0" collapsed="false">
      <c r="A309" s="0" t="s">
        <v>12089</v>
      </c>
      <c r="B309" s="0" t="s">
        <v>12090</v>
      </c>
      <c r="C309" s="0" t="str">
        <f aca="false">IF($A309="","",IF(AT309="Y",BL309&amp;"",AY309&amp;""))</f>
        <v/>
      </c>
      <c r="D309" s="0" t="str">
        <f aca="false">IF($A309="","",IF(AT309="Y",BM309&amp;"",AZ309&amp;""))</f>
        <v/>
      </c>
      <c r="E309" s="0" t="str">
        <f aca="false">IF($A309="","",IF(AT309="Y",BN309&amp;"",BA309&amp;""))</f>
        <v/>
      </c>
      <c r="F309" s="0" t="str">
        <f aca="false">IF($A309="","",IF(AT309="Y",BO309&amp;"",BB309&amp;""))</f>
        <v/>
      </c>
      <c r="G309" s="0" t="str">
        <f aca="false">IF($A309="","",IF(AT309="Y",BP309&amp;"",BC309&amp;""))</f>
        <v/>
      </c>
      <c r="H309" s="0" t="str">
        <f aca="false">IF($A309="","",IF(AT309="Y",BQ309&amp;"",BD309&amp;""))</f>
        <v>none</v>
      </c>
      <c r="I309" s="0" t="str">
        <f aca="false">IF($A309="","",IF(R309="Y","warm-intro",IF(H309="verified","email",IF(C309&lt;&gt;"","linkedin",CA309&amp;""))))</f>
        <v/>
      </c>
      <c r="J309" s="0" t="n">
        <f aca="false">IF($A309="","",IF(CK309="pass",ROUND(N(DO309)+N(DP309)+N(DQ309)+N(DR309)+N(DS309)+N(DT309)+N(DU309)+N(DV309),0),0))</f>
        <v>0</v>
      </c>
      <c r="K309" s="0" t="str">
        <f aca="false">IF($A309="","",IF(CK309&lt;&gt;"pass",BY309&amp;"",BY309&amp;", "&amp;IF(AT309="Y",BX309&amp;"",BK309&amp;"")&amp;BZ309&amp;IF(R309="Y","; known to the founder (+10)","")&amp;"."))</f>
        <v>Gated out: excluded-category: Hemp-extract line (cannabis category) and adaptogen/magnesium drinks marketed to 'help you unwind' and feel calm (structure or function claim.</v>
      </c>
      <c r="M309" s="0" t="s">
        <v>6144</v>
      </c>
      <c r="N309" s="0" t="s">
        <v>740</v>
      </c>
      <c r="R309" s="5" t="s">
        <v>189</v>
      </c>
      <c r="S309" s="0" t="s">
        <v>209</v>
      </c>
      <c r="T309" s="5" t="s">
        <v>189</v>
      </c>
      <c r="U309" s="5" t="s">
        <v>3896</v>
      </c>
      <c r="V309" s="0" t="s">
        <v>12091</v>
      </c>
      <c r="W309" s="0" t="s">
        <v>263</v>
      </c>
      <c r="X309" s="0" t="s">
        <v>5578</v>
      </c>
      <c r="Y309" s="0" t="str">
        <f aca="false">IF(FA309&lt;&gt;"Y","",COUNTIFS($FA$2:$FA$1000,"Y",$J$2:$J$1000,"&gt;"&amp;J309)+COUNTIFS($FA$2:$FA$1000,"Y",$J$2:$J$1000,J309,$FG$2:$FG$1000,"&lt;"&amp;FG309)+1)</f>
        <v/>
      </c>
      <c r="AA309" s="0" t="s">
        <v>189</v>
      </c>
      <c r="AB309" s="0" t="str">
        <f aca="false">IF($A309="","",IF(AT309="Y",BW309&amp;"",BJ309&amp;""))</f>
        <v/>
      </c>
      <c r="AC309" s="0" t="str">
        <f aca="false">IF($A309="","",IF(AT309="Y",BR309&amp;"",BE309&amp;""))</f>
        <v/>
      </c>
      <c r="AD309" s="0" t="str">
        <f aca="false">IF($A309="","",IF(AT309="Y",BS309&amp;"",BF309&amp;""))</f>
        <v>none</v>
      </c>
      <c r="AE309" s="0" t="str">
        <f aca="false">IF($A309="","",IF(AT309="Y",BT309&amp;"",BG309&amp;""))</f>
        <v/>
      </c>
      <c r="AF309" s="0" t="str">
        <f aca="false">IF($A309="","",IF(AT309="Y",BU309&amp;"",BH309&amp;""))</f>
        <v/>
      </c>
      <c r="AG309" s="0" t="str">
        <f aca="false">IF($A309="","",IF(AT309="Y",BV309&amp;"",BI309&amp;""))</f>
        <v/>
      </c>
      <c r="AH309" s="0" t="s">
        <v>12092</v>
      </c>
      <c r="AI309" s="0" t="s">
        <v>5580</v>
      </c>
      <c r="AJ309" s="0" t="s">
        <v>259</v>
      </c>
      <c r="AK309" s="0" t="s">
        <v>12093</v>
      </c>
      <c r="AL309" s="0" t="s">
        <v>189</v>
      </c>
      <c r="AN309" s="0" t="s">
        <v>12089</v>
      </c>
      <c r="AO309" s="5" t="s">
        <v>189</v>
      </c>
      <c r="AR309" s="0" t="str">
        <f aca="false">IF($A309="","",IF(AND(CK309="pass",AO309&lt;&gt;"Y",C309&lt;&gt;"",OR(AU309&lt;&gt;"Y",AV309="Y")),"Y","N"))</f>
        <v>N</v>
      </c>
      <c r="AS309" s="0" t="str">
        <f aca="false">IF($A309="","",_xlfn.TEXTJOIN("; ",TRUE(),IF(CK309&lt;&gt;"pass","gated out",""),IF(AO309="Y","on hold: "&amp;AP309,""),IF(C309="","no contact named on an opened page",""),IF(AND(AU309="Y",AV309&lt;&gt;"Y"),"founder review pending (Founder review tab)","")))</f>
        <v>gated out; no contact named on an opened page</v>
      </c>
      <c r="AU309" s="0" t="s">
        <v>189</v>
      </c>
      <c r="BC309" s="0" t="str">
        <f aca="false">IF($A309="","",IFERROR(INDEX(Enrichment!$A$2:$GZ$2000,MATCH($A309,INDEX(Enrichment!$A$2:$GZ$2000,0,MATCH("row_id",Enrichment!$A$1:$GZ$1,0)),0),MATCH("work_email",Enrichment!$A$1:$GZ$1,0))&amp;"",""))</f>
        <v/>
      </c>
      <c r="BD309" s="0" t="str">
        <f aca="false">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none</v>
      </c>
      <c r="BF309" s="0" t="s">
        <v>380</v>
      </c>
      <c r="BK309" s="0" t="s">
        <v>6048</v>
      </c>
      <c r="BP309" s="0" t="str">
        <f aca="false">IF($A309="","",IFERROR(INDEX(Enrichment!$A$2:$GZ$2000,MATCH($A309,INDEX(Enrichment!$A$2:$GZ$2000,0,MATCH("row_id",Enrichment!$A$1:$GZ$1,0)),0),MATCH("backup_work_email",Enrichment!$A$1:$GZ$1,0))&amp;"",""))</f>
        <v/>
      </c>
      <c r="BQ309" s="0" t="str">
        <f aca="false">IF($A309="","",IF(BP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none</v>
      </c>
      <c r="BS309" s="0" t="s">
        <v>380</v>
      </c>
      <c r="BX309" s="0" t="s">
        <v>388</v>
      </c>
      <c r="BY309" s="0" t="s">
        <v>12094</v>
      </c>
      <c r="CJ309" s="0" t="s">
        <v>7088</v>
      </c>
      <c r="CK309" s="0" t="s">
        <v>4627</v>
      </c>
      <c r="CL309" s="0" t="s">
        <v>10840</v>
      </c>
      <c r="CM309" s="0" t="s">
        <v>12095</v>
      </c>
      <c r="CO309" s="0" t="s">
        <v>12093</v>
      </c>
      <c r="CP309" s="0" t="s">
        <v>5608</v>
      </c>
      <c r="CQ309" s="0" t="s">
        <v>5609</v>
      </c>
      <c r="CR309" s="0" t="s">
        <v>209</v>
      </c>
      <c r="CT309" s="0" t="s">
        <v>164</v>
      </c>
      <c r="CU309" s="0" t="s">
        <v>12096</v>
      </c>
      <c r="CV309" s="0" t="s">
        <v>164</v>
      </c>
      <c r="CW309" s="0" t="s">
        <v>164</v>
      </c>
      <c r="CX309" s="0" t="s">
        <v>209</v>
      </c>
      <c r="CZ309" s="0" t="s">
        <v>6456</v>
      </c>
      <c r="DA309" s="0" t="s">
        <v>164</v>
      </c>
      <c r="DB309" s="0" t="s">
        <v>164</v>
      </c>
      <c r="DC309" s="0" t="s">
        <v>12097</v>
      </c>
      <c r="DE309" s="0" t="s">
        <v>189</v>
      </c>
      <c r="DF309" s="0" t="n">
        <v>0</v>
      </c>
      <c r="DI309" s="0" t="s">
        <v>209</v>
      </c>
      <c r="DK309" s="0" t="s">
        <v>380</v>
      </c>
      <c r="DN309" s="0" t="n">
        <v>41</v>
      </c>
      <c r="DO309" s="0" t="n">
        <v>6</v>
      </c>
      <c r="DP309" s="0" t="n">
        <v>20</v>
      </c>
      <c r="DQ309" s="0" t="n">
        <v>0</v>
      </c>
      <c r="DR309" s="0" t="n">
        <v>5</v>
      </c>
      <c r="DS309" s="0" t="n">
        <v>10</v>
      </c>
      <c r="DT309" s="0" t="n">
        <v>0</v>
      </c>
      <c r="DU309" s="0" t="n">
        <f aca="false">IF($A309="","",IF(R309="Y",10,0))</f>
        <v>0</v>
      </c>
      <c r="DV309" s="0" t="n">
        <v>0</v>
      </c>
      <c r="DW309" s="0" t="s">
        <v>12098</v>
      </c>
      <c r="DX309" s="0" t="s">
        <v>6462</v>
      </c>
      <c r="DY309" s="0" t="s">
        <v>12099</v>
      </c>
      <c r="DZ309" s="0" t="s">
        <v>12100</v>
      </c>
      <c r="EV309" s="0" t="str">
        <f aca="false">IF($A309="","",IF(ISNUMBER(MATCH(U309,{"queued","contacted","replied","call_booked","call_done","yes_in_principle","materials_sent"},0)),"Y","N"))</f>
        <v>N</v>
      </c>
      <c r="EW309" s="0" t="str">
        <f aca="false">IF($A309="","",IF(OR(T309="Y",U309="do_not_contact",AQ309&amp;""&lt;&gt;""),"Y","N"))</f>
        <v>N</v>
      </c>
      <c r="EX309" s="0" t="str">
        <f aca="false">IF($A309="","",IF(AN309&amp;""&lt;&gt;"",AN309&amp;"",$A309))</f>
        <v>AB-137</v>
      </c>
      <c r="EY309" s="0" t="str">
        <f aca="false">IF($A309="","",IF(COUNTIFS($EX$2:$EX$1000,EX309,$EV$2:$EV$1000,"Y")+COUNTIFS($EX$2:$EX$1000,EX309,$EW$2:$EW$1000,"Y")&gt;0,"Y","N"))</f>
        <v>N</v>
      </c>
      <c r="EZ309" s="0" t="str">
        <f aca="false">IF($A309="","",IF(AND(U309="new",T309="N",EW309="N",AR309="Y",EY309="N"),"Y","N"))</f>
        <v>N</v>
      </c>
      <c r="FA309" s="0" t="str">
        <f aca="false">IF($A309="","",IF(EZ309&lt;&gt;"Y","N",IF(COUNTIFS($EX$2:$EX$1000,EX309,$EZ$2:$EZ$1000,"Y",$J$2:$J$1000,"&gt;"&amp;J309)+COUNTIFS($EX$2:$EX$1000,EX309,$EZ$2:$EZ$1000,"Y",$J$2:$J$1000,J309,$FG$2:$FG$1000,"&lt;"&amp;FG309)=0,"Y","N")))</f>
        <v>N</v>
      </c>
      <c r="FB309" s="0" t="str">
        <f aca="false">IF($A309="","",IF(AND(EZ309="Y",FA309="Y",Y309&amp;""&lt;&gt;""),IF(Y309&lt;=10,"Y","N"),"N"))</f>
        <v>N</v>
      </c>
      <c r="FC309" s="0" t="str">
        <f aca="false">IF(FB309="Y",Y309,"")</f>
        <v/>
      </c>
      <c r="FD309" s="0" t="str">
        <f aca="false">IF($A309="","",IF(AND(CK309="pass",AU309="Y",AV309&lt;&gt;"Y",U309="new",EW309="N"),"Y","N"))</f>
        <v>N</v>
      </c>
      <c r="FE309" s="0" t="str">
        <f aca="false">IF(FD309&lt;&gt;"Y","",IF(COUNTIFS($FD$2:$FD$1000,"Y",$J$2:$J$1000,"&gt;"&amp;J309)+COUNTIFS($FD$2:$FD$1000,"Y",$J$2:$J$1000,J309,$FG$2:$FG$1000,"&lt;"&amp;FG309)+1&lt;=30,COUNTIFS($FD$2:$FD$1000,"Y",$J$2:$J$1000,"&gt;"&amp;J309)+COUNTIFS($FD$2:$FD$1000,"Y",$J$2:$J$1000,J309,$FG$2:$FG$1000,"&lt;"&amp;FG309)+1,""))</f>
        <v/>
      </c>
      <c r="FF309" s="0" t="str">
        <f aca="false">IF(AND(_xlfn.ISFORMULA(C309),_xlfn.ISFORMULA(J309)),"Y","N")</f>
        <v>Y</v>
      </c>
      <c r="FG309" s="0" t="n">
        <f aca="false">ROW()-1</f>
        <v>308</v>
      </c>
    </row>
    <row r="310" customFormat="false" ht="15" hidden="false" customHeight="false" outlineLevel="0" collapsed="false">
      <c r="A310" s="0" t="s">
        <v>12101</v>
      </c>
      <c r="B310" s="0" t="s">
        <v>12102</v>
      </c>
      <c r="C310" s="0" t="str">
        <f aca="false">IF($A310="","",IF(AT310="Y",BL310&amp;"",AY310&amp;""))</f>
        <v/>
      </c>
      <c r="D310" s="0" t="str">
        <f aca="false">IF($A310="","",IF(AT310="Y",BM310&amp;"",AZ310&amp;""))</f>
        <v/>
      </c>
      <c r="E310" s="0" t="str">
        <f aca="false">IF($A310="","",IF(AT310="Y",BN310&amp;"",BA310&amp;""))</f>
        <v/>
      </c>
      <c r="F310" s="0" t="str">
        <f aca="false">IF($A310="","",IF(AT310="Y",BO310&amp;"",BB310&amp;""))</f>
        <v/>
      </c>
      <c r="G310" s="0" t="str">
        <f aca="false">IF($A310="","",IF(AT310="Y",BP310&amp;"",BC310&amp;""))</f>
        <v/>
      </c>
      <c r="H310" s="0" t="str">
        <f aca="false">IF($A310="","",IF(AT310="Y",BQ310&amp;"",BD310&amp;""))</f>
        <v>none</v>
      </c>
      <c r="I310" s="0" t="str">
        <f aca="false">IF($A310="","",IF(R310="Y","warm-intro",IF(H310="verified","email",IF(C310&lt;&gt;"","linkedin",CA310&amp;""))))</f>
        <v/>
      </c>
      <c r="J310" s="0" t="n">
        <f aca="false">IF($A310="","",IF(CK310="pass",ROUND(N(DO310)+N(DP310)+N(DQ310)+N(DR310)+N(DS310)+N(DT310)+N(DU310)+N(DV310),0),0))</f>
        <v>0</v>
      </c>
      <c r="K310" s="0" t="str">
        <f aca="false">IF($A310="","",IF(CK310&lt;&gt;"pass",BY310&amp;"",BY310&amp;", "&amp;IF(AT310="Y",BX310&amp;"",BK310&amp;"")&amp;BZ310&amp;IF(R310="Y","; known to the founder (+10)","")&amp;"."))</f>
        <v>Gated out: not-shelf-stable: Refrigerated: brand FAQ says all products must be refrigerated before and after opening.</v>
      </c>
      <c r="M310" s="0" t="s">
        <v>6144</v>
      </c>
      <c r="N310" s="0" t="s">
        <v>740</v>
      </c>
      <c r="R310" s="5" t="s">
        <v>189</v>
      </c>
      <c r="S310" s="0" t="s">
        <v>209</v>
      </c>
      <c r="T310" s="5" t="s">
        <v>189</v>
      </c>
      <c r="U310" s="5" t="s">
        <v>3896</v>
      </c>
      <c r="V310" s="0" t="s">
        <v>12103</v>
      </c>
      <c r="W310" s="0" t="s">
        <v>263</v>
      </c>
      <c r="X310" s="0" t="s">
        <v>5578</v>
      </c>
      <c r="Y310" s="0" t="str">
        <f aca="false">IF(FA310&lt;&gt;"Y","",COUNTIFS($FA$2:$FA$1000,"Y",$J$2:$J$1000,"&gt;"&amp;J310)+COUNTIFS($FA$2:$FA$1000,"Y",$J$2:$J$1000,J310,$FG$2:$FG$1000,"&lt;"&amp;FG310)+1)</f>
        <v/>
      </c>
      <c r="AA310" s="0" t="s">
        <v>189</v>
      </c>
      <c r="AB310" s="0" t="str">
        <f aca="false">IF($A310="","",IF(AT310="Y",BW310&amp;"",BJ310&amp;""))</f>
        <v/>
      </c>
      <c r="AC310" s="0" t="str">
        <f aca="false">IF($A310="","",IF(AT310="Y",BR310&amp;"",BE310&amp;""))</f>
        <v/>
      </c>
      <c r="AD310" s="0" t="str">
        <f aca="false">IF($A310="","",IF(AT310="Y",BS310&amp;"",BF310&amp;""))</f>
        <v>none</v>
      </c>
      <c r="AE310" s="0" t="str">
        <f aca="false">IF($A310="","",IF(AT310="Y",BT310&amp;"",BG310&amp;""))</f>
        <v/>
      </c>
      <c r="AF310" s="0" t="str">
        <f aca="false">IF($A310="","",IF(AT310="Y",BU310&amp;"",BH310&amp;""))</f>
        <v/>
      </c>
      <c r="AG310" s="0" t="str">
        <f aca="false">IF($A310="","",IF(AT310="Y",BV310&amp;"",BI310&amp;""))</f>
        <v/>
      </c>
      <c r="AH310" s="0" t="s">
        <v>12104</v>
      </c>
      <c r="AI310" s="0" t="s">
        <v>6621</v>
      </c>
      <c r="AJ310" s="0" t="s">
        <v>209</v>
      </c>
      <c r="AK310" s="0" t="s">
        <v>12105</v>
      </c>
      <c r="AL310" s="0" t="s">
        <v>164</v>
      </c>
      <c r="AM310" s="0" t="s">
        <v>12106</v>
      </c>
      <c r="AN310" s="0" t="s">
        <v>12101</v>
      </c>
      <c r="AO310" s="5" t="s">
        <v>189</v>
      </c>
      <c r="AR310" s="0" t="str">
        <f aca="false">IF($A310="","",IF(AND(CK310="pass",AO310&lt;&gt;"Y",C310&lt;&gt;"",OR(AU310&lt;&gt;"Y",AV310="Y")),"Y","N"))</f>
        <v>N</v>
      </c>
      <c r="AS310" s="0" t="str">
        <f aca="false">IF($A310="","",_xlfn.TEXTJOIN("; ",TRUE(),IF(CK310&lt;&gt;"pass","gated out",""),IF(AO310="Y","on hold: "&amp;AP310,""),IF(C310="","no contact named on an opened page",""),IF(AND(AU310="Y",AV310&lt;&gt;"Y"),"founder review pending (Founder review tab)","")))</f>
        <v>gated out; no contact named on an opened page</v>
      </c>
      <c r="AU310" s="0" t="s">
        <v>189</v>
      </c>
      <c r="BC310" s="0" t="str">
        <f aca="false">IF($A310="","",IFERROR(INDEX(Enrichment!$A$2:$GZ$2000,MATCH($A310,INDEX(Enrichment!$A$2:$GZ$2000,0,MATCH("row_id",Enrichment!$A$1:$GZ$1,0)),0),MATCH("work_email",Enrichment!$A$1:$GZ$1,0))&amp;"",""))</f>
        <v/>
      </c>
      <c r="BD310" s="0" t="str">
        <f aca="false">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none</v>
      </c>
      <c r="BF310" s="0" t="s">
        <v>380</v>
      </c>
      <c r="BK310" s="0" t="s">
        <v>6048</v>
      </c>
      <c r="BP310" s="0" t="str">
        <f aca="false">IF($A310="","",IFERROR(INDEX(Enrichment!$A$2:$GZ$2000,MATCH($A310,INDEX(Enrichment!$A$2:$GZ$2000,0,MATCH("row_id",Enrichment!$A$1:$GZ$1,0)),0),MATCH("backup_work_email",Enrichment!$A$1:$GZ$1,0))&amp;"",""))</f>
        <v/>
      </c>
      <c r="BQ310" s="0" t="str">
        <f aca="false">IF($A310="","",IF(BP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none</v>
      </c>
      <c r="BS310" s="0" t="s">
        <v>380</v>
      </c>
      <c r="BX310" s="0" t="s">
        <v>388</v>
      </c>
      <c r="BY310" s="0" t="s">
        <v>12107</v>
      </c>
      <c r="CJ310" s="0" t="s">
        <v>7088</v>
      </c>
      <c r="CK310" s="0" t="s">
        <v>4627</v>
      </c>
      <c r="CL310" s="0" t="s">
        <v>10343</v>
      </c>
      <c r="CM310" s="0" t="s">
        <v>12108</v>
      </c>
      <c r="CN310" s="0" t="s">
        <v>5607</v>
      </c>
      <c r="CO310" s="0" t="s">
        <v>12105</v>
      </c>
      <c r="CP310" s="0" t="s">
        <v>5608</v>
      </c>
      <c r="CQ310" s="0" t="s">
        <v>5870</v>
      </c>
      <c r="CR310" s="0" t="s">
        <v>9345</v>
      </c>
      <c r="CT310" s="0" t="s">
        <v>189</v>
      </c>
      <c r="CU310" s="0" t="s">
        <v>12109</v>
      </c>
      <c r="CV310" s="0" t="s">
        <v>164</v>
      </c>
      <c r="CW310" s="0" t="s">
        <v>164</v>
      </c>
      <c r="CX310" s="0" t="s">
        <v>209</v>
      </c>
      <c r="CZ310" s="0" t="s">
        <v>6456</v>
      </c>
      <c r="DA310" s="0" t="s">
        <v>189</v>
      </c>
      <c r="DB310" s="0" t="s">
        <v>164</v>
      </c>
      <c r="DC310" s="0" t="s">
        <v>12110</v>
      </c>
      <c r="DE310" s="0" t="s">
        <v>189</v>
      </c>
      <c r="DF310" s="0" t="n">
        <v>0</v>
      </c>
      <c r="DI310" s="0" t="s">
        <v>209</v>
      </c>
      <c r="DK310" s="0" t="s">
        <v>380</v>
      </c>
      <c r="DN310" s="0" t="n">
        <v>26</v>
      </c>
      <c r="DO310" s="0" t="n">
        <v>6</v>
      </c>
      <c r="DP310" s="0" t="n">
        <v>13</v>
      </c>
      <c r="DQ310" s="0" t="n">
        <v>0</v>
      </c>
      <c r="DR310" s="0" t="n">
        <v>5</v>
      </c>
      <c r="DS310" s="0" t="n">
        <v>6</v>
      </c>
      <c r="DT310" s="0" t="n">
        <v>0</v>
      </c>
      <c r="DU310" s="0" t="n">
        <f aca="false">IF($A310="","",IF(R310="Y",10,0))</f>
        <v>0</v>
      </c>
      <c r="DV310" s="0" t="n">
        <v>-4</v>
      </c>
      <c r="DW310" s="0" t="s">
        <v>12111</v>
      </c>
      <c r="DX310" s="0" t="s">
        <v>6462</v>
      </c>
      <c r="DY310" s="0" t="s">
        <v>12112</v>
      </c>
      <c r="DZ310" s="0" t="s">
        <v>12113</v>
      </c>
      <c r="EA310" s="0" t="s">
        <v>12114</v>
      </c>
      <c r="EV310" s="0" t="str">
        <f aca="false">IF($A310="","",IF(ISNUMBER(MATCH(U310,{"queued","contacted","replied","call_booked","call_done","yes_in_principle","materials_sent"},0)),"Y","N"))</f>
        <v>N</v>
      </c>
      <c r="EW310" s="0" t="str">
        <f aca="false">IF($A310="","",IF(OR(T310="Y",U310="do_not_contact",AQ310&amp;""&lt;&gt;""),"Y","N"))</f>
        <v>N</v>
      </c>
      <c r="EX310" s="0" t="str">
        <f aca="false">IF($A310="","",IF(AN310&amp;""&lt;&gt;"",AN310&amp;"",$A310))</f>
        <v>AB-145</v>
      </c>
      <c r="EY310" s="0" t="str">
        <f aca="false">IF($A310="","",IF(COUNTIFS($EX$2:$EX$1000,EX310,$EV$2:$EV$1000,"Y")+COUNTIFS($EX$2:$EX$1000,EX310,$EW$2:$EW$1000,"Y")&gt;0,"Y","N"))</f>
        <v>N</v>
      </c>
      <c r="EZ310" s="0" t="str">
        <f aca="false">IF($A310="","",IF(AND(U310="new",T310="N",EW310="N",AR310="Y",EY310="N"),"Y","N"))</f>
        <v>N</v>
      </c>
      <c r="FA310" s="0" t="str">
        <f aca="false">IF($A310="","",IF(EZ310&lt;&gt;"Y","N",IF(COUNTIFS($EX$2:$EX$1000,EX310,$EZ$2:$EZ$1000,"Y",$J$2:$J$1000,"&gt;"&amp;J310)+COUNTIFS($EX$2:$EX$1000,EX310,$EZ$2:$EZ$1000,"Y",$J$2:$J$1000,J310,$FG$2:$FG$1000,"&lt;"&amp;FG310)=0,"Y","N")))</f>
        <v>N</v>
      </c>
      <c r="FB310" s="0" t="str">
        <f aca="false">IF($A310="","",IF(AND(EZ310="Y",FA310="Y",Y310&amp;""&lt;&gt;""),IF(Y310&lt;=10,"Y","N"),"N"))</f>
        <v>N</v>
      </c>
      <c r="FC310" s="0" t="str">
        <f aca="false">IF(FB310="Y",Y310,"")</f>
        <v/>
      </c>
      <c r="FD310" s="0" t="str">
        <f aca="false">IF($A310="","",IF(AND(CK310="pass",AU310="Y",AV310&lt;&gt;"Y",U310="new",EW310="N"),"Y","N"))</f>
        <v>N</v>
      </c>
      <c r="FE310" s="0" t="str">
        <f aca="false">IF(FD310&lt;&gt;"Y","",IF(COUNTIFS($FD$2:$FD$1000,"Y",$J$2:$J$1000,"&gt;"&amp;J310)+COUNTIFS($FD$2:$FD$1000,"Y",$J$2:$J$1000,J310,$FG$2:$FG$1000,"&lt;"&amp;FG310)+1&lt;=30,COUNTIFS($FD$2:$FD$1000,"Y",$J$2:$J$1000,"&gt;"&amp;J310)+COUNTIFS($FD$2:$FD$1000,"Y",$J$2:$J$1000,J310,$FG$2:$FG$1000,"&lt;"&amp;FG310)+1,""))</f>
        <v/>
      </c>
      <c r="FF310" s="0" t="str">
        <f aca="false">IF(AND(_xlfn.ISFORMULA(C310),_xlfn.ISFORMULA(J310)),"Y","N")</f>
        <v>Y</v>
      </c>
      <c r="FG310" s="0" t="n">
        <f aca="false">ROW()-1</f>
        <v>309</v>
      </c>
    </row>
    <row r="311" customFormat="false" ht="15" hidden="false" customHeight="false" outlineLevel="0" collapsed="false">
      <c r="A311" s="0" t="s">
        <v>12115</v>
      </c>
      <c r="B311" s="0" t="s">
        <v>12116</v>
      </c>
      <c r="C311" s="0" t="str">
        <f aca="false">IF($A311="","",IF(AT311="Y",BL311&amp;"",AY311&amp;""))</f>
        <v/>
      </c>
      <c r="D311" s="0" t="str">
        <f aca="false">IF($A311="","",IF(AT311="Y",BM311&amp;"",AZ311&amp;""))</f>
        <v/>
      </c>
      <c r="E311" s="0" t="str">
        <f aca="false">IF($A311="","",IF(AT311="Y",BN311&amp;"",BA311&amp;""))</f>
        <v/>
      </c>
      <c r="F311" s="0" t="str">
        <f aca="false">IF($A311="","",IF(AT311="Y",BO311&amp;"",BB311&amp;""))</f>
        <v/>
      </c>
      <c r="G311" s="0" t="str">
        <f aca="false">IF($A311="","",IF(AT311="Y",BP311&amp;"",BC311&amp;""))</f>
        <v/>
      </c>
      <c r="H311" s="0" t="str">
        <f aca="false">IF($A311="","",IF(AT311="Y",BQ311&amp;"",BD311&amp;""))</f>
        <v>none</v>
      </c>
      <c r="I311" s="0" t="str">
        <f aca="false">IF($A311="","",IF(R311="Y","warm-intro",IF(H311="verified","email",IF(C311&lt;&gt;"","linkedin",CA311&amp;""))))</f>
        <v/>
      </c>
      <c r="J311" s="0" t="n">
        <f aca="false">IF($A311="","",IF(CK311="pass",ROUND(N(DO311)+N(DP311)+N(DQ311)+N(DR311)+N(DS311)+N(DT311)+N(DU311)+N(DV311),0),0))</f>
        <v>0</v>
      </c>
      <c r="K311" s="0" t="str">
        <f aca="false">IF($A311="","",IF(CK311&lt;&gt;"pass",BY311&amp;"",BY311&amp;", "&amp;IF(AT311="Y",BX311&amp;"",BK311&amp;"")&amp;BZ311&amp;IF(R311="Y","; known to the founder (+10)","")&amp;"."))</f>
        <v>Gated out: no-buy-path: no graded store within ten blocks and no online store shown (online store unknown).</v>
      </c>
      <c r="M311" s="0" t="s">
        <v>6144</v>
      </c>
      <c r="N311" s="0" t="s">
        <v>740</v>
      </c>
      <c r="R311" s="5" t="s">
        <v>189</v>
      </c>
      <c r="S311" s="0" t="s">
        <v>209</v>
      </c>
      <c r="T311" s="5" t="s">
        <v>189</v>
      </c>
      <c r="U311" s="5" t="s">
        <v>3896</v>
      </c>
      <c r="V311" s="0" t="s">
        <v>12117</v>
      </c>
      <c r="W311" s="0" t="s">
        <v>263</v>
      </c>
      <c r="X311" s="0" t="s">
        <v>5578</v>
      </c>
      <c r="Y311" s="0" t="str">
        <f aca="false">IF(FA311&lt;&gt;"Y","",COUNTIFS($FA$2:$FA$1000,"Y",$J$2:$J$1000,"&gt;"&amp;J311)+COUNTIFS($FA$2:$FA$1000,"Y",$J$2:$J$1000,J311,$FG$2:$FG$1000,"&lt;"&amp;FG311)+1)</f>
        <v/>
      </c>
      <c r="AA311" s="0" t="s">
        <v>189</v>
      </c>
      <c r="AB311" s="0" t="str">
        <f aca="false">IF($A311="","",IF(AT311="Y",BW311&amp;"",BJ311&amp;""))</f>
        <v/>
      </c>
      <c r="AC311" s="0" t="str">
        <f aca="false">IF($A311="","",IF(AT311="Y",BR311&amp;"",BE311&amp;""))</f>
        <v/>
      </c>
      <c r="AD311" s="0" t="str">
        <f aca="false">IF($A311="","",IF(AT311="Y",BS311&amp;"",BF311&amp;""))</f>
        <v>none</v>
      </c>
      <c r="AE311" s="0" t="str">
        <f aca="false">IF($A311="","",IF(AT311="Y",BT311&amp;"",BG311&amp;""))</f>
        <v/>
      </c>
      <c r="AF311" s="0" t="str">
        <f aca="false">IF($A311="","",IF(AT311="Y",BU311&amp;"",BH311&amp;""))</f>
        <v/>
      </c>
      <c r="AG311" s="0" t="str">
        <f aca="false">IF($A311="","",IF(AT311="Y",BV311&amp;"",BI311&amp;""))</f>
        <v/>
      </c>
      <c r="AH311" s="0" t="s">
        <v>12118</v>
      </c>
      <c r="AI311" s="0" t="s">
        <v>5664</v>
      </c>
      <c r="AJ311" s="0" t="s">
        <v>209</v>
      </c>
      <c r="AL311" s="0" t="s">
        <v>164</v>
      </c>
      <c r="AM311" s="0" t="s">
        <v>12119</v>
      </c>
      <c r="AN311" s="0" t="s">
        <v>12115</v>
      </c>
      <c r="AO311" s="5" t="s">
        <v>189</v>
      </c>
      <c r="AR311" s="0" t="str">
        <f aca="false">IF($A311="","",IF(AND(CK311="pass",AO311&lt;&gt;"Y",C311&lt;&gt;"",OR(AU311&lt;&gt;"Y",AV311="Y")),"Y","N"))</f>
        <v>N</v>
      </c>
      <c r="AS311" s="0" t="str">
        <f aca="false">IF($A311="","",_xlfn.TEXTJOIN("; ",TRUE(),IF(CK311&lt;&gt;"pass","gated out",""),IF(AO311="Y","on hold: "&amp;AP311,""),IF(C311="","no contact named on an opened page",""),IF(AND(AU311="Y",AV311&lt;&gt;"Y"),"founder review pending (Founder review tab)","")))</f>
        <v>gated out; no contact named on an opened page; founder review pending (Founder review tab)</v>
      </c>
      <c r="AU311" s="0" t="s">
        <v>164</v>
      </c>
      <c r="BC311" s="0" t="str">
        <f aca="false">IF($A311="","",IFERROR(INDEX(Enrichment!$A$2:$GZ$2000,MATCH($A311,INDEX(Enrichment!$A$2:$GZ$2000,0,MATCH("row_id",Enrichment!$A$1:$GZ$1,0)),0),MATCH("work_email",Enrichment!$A$1:$GZ$1,0))&amp;"",""))</f>
        <v/>
      </c>
      <c r="BD311" s="0" t="str">
        <f aca="false">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none</v>
      </c>
      <c r="BF311" s="0" t="s">
        <v>380</v>
      </c>
      <c r="BK311" s="0" t="s">
        <v>6048</v>
      </c>
      <c r="BP311" s="0" t="str">
        <f aca="false">IF($A311="","",IFERROR(INDEX(Enrichment!$A$2:$GZ$2000,MATCH($A311,INDEX(Enrichment!$A$2:$GZ$2000,0,MATCH("row_id",Enrichment!$A$1:$GZ$1,0)),0),MATCH("backup_work_email",Enrichment!$A$1:$GZ$1,0))&amp;"",""))</f>
        <v/>
      </c>
      <c r="BQ311" s="0" t="str">
        <f aca="false">IF($A311="","",IF(BP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none</v>
      </c>
      <c r="BS311" s="0" t="s">
        <v>380</v>
      </c>
      <c r="BX311" s="0" t="s">
        <v>388</v>
      </c>
      <c r="BY311" s="0" t="s">
        <v>10542</v>
      </c>
      <c r="CJ311" s="0" t="s">
        <v>7088</v>
      </c>
      <c r="CK311" s="0" t="s">
        <v>4627</v>
      </c>
      <c r="CL311" s="0" t="s">
        <v>10545</v>
      </c>
      <c r="CM311" s="0" t="s">
        <v>10546</v>
      </c>
      <c r="CN311" s="0" t="s">
        <v>12120</v>
      </c>
      <c r="CO311" s="0" t="s">
        <v>12121</v>
      </c>
      <c r="CP311" s="0" t="s">
        <v>209</v>
      </c>
      <c r="CQ311" s="0" t="s">
        <v>209</v>
      </c>
      <c r="CR311" s="0" t="s">
        <v>12122</v>
      </c>
      <c r="CS311" s="0" t="s">
        <v>12117</v>
      </c>
      <c r="CT311" s="0" t="s">
        <v>352</v>
      </c>
      <c r="CU311" s="0" t="s">
        <v>12123</v>
      </c>
      <c r="CV311" s="0" t="s">
        <v>209</v>
      </c>
      <c r="CW311" s="0" t="s">
        <v>209</v>
      </c>
      <c r="CX311" s="0" t="s">
        <v>209</v>
      </c>
      <c r="CZ311" s="0" t="s">
        <v>209</v>
      </c>
      <c r="DA311" s="0" t="s">
        <v>189</v>
      </c>
      <c r="DB311" s="0" t="s">
        <v>189</v>
      </c>
      <c r="DE311" s="0" t="s">
        <v>189</v>
      </c>
      <c r="DF311" s="0" t="n">
        <v>0</v>
      </c>
      <c r="DI311" s="0" t="s">
        <v>12124</v>
      </c>
      <c r="DK311" s="0" t="s">
        <v>380</v>
      </c>
      <c r="DN311" s="0" t="n">
        <v>-12</v>
      </c>
      <c r="DO311" s="0" t="n">
        <v>0</v>
      </c>
      <c r="DP311" s="0" t="n">
        <v>4</v>
      </c>
      <c r="DQ311" s="0" t="n">
        <v>0</v>
      </c>
      <c r="DR311" s="0" t="n">
        <v>5</v>
      </c>
      <c r="DS311" s="0" t="n">
        <v>4</v>
      </c>
      <c r="DT311" s="0" t="n">
        <v>0</v>
      </c>
      <c r="DU311" s="0" t="n">
        <f aca="false">IF($A311="","",IF(R311="Y",10,0))</f>
        <v>0</v>
      </c>
      <c r="DV311" s="0" t="n">
        <v>-25</v>
      </c>
      <c r="DX311" s="0" t="s">
        <v>5691</v>
      </c>
      <c r="DY311" s="0" t="s">
        <v>12125</v>
      </c>
      <c r="DZ311" s="0" t="s">
        <v>12126</v>
      </c>
      <c r="EV311" s="0" t="str">
        <f aca="false">IF($A311="","",IF(ISNUMBER(MATCH(U311,{"queued","contacted","replied","call_booked","call_done","yes_in_principle","materials_sent"},0)),"Y","N"))</f>
        <v>N</v>
      </c>
      <c r="EW311" s="0" t="str">
        <f aca="false">IF($A311="","",IF(OR(T311="Y",U311="do_not_contact",AQ311&amp;""&lt;&gt;""),"Y","N"))</f>
        <v>N</v>
      </c>
      <c r="EX311" s="0" t="str">
        <f aca="false">IF($A311="","",IF(AN311&amp;""&lt;&gt;"",AN311&amp;"",$A311))</f>
        <v>AB-076</v>
      </c>
      <c r="EY311" s="0" t="str">
        <f aca="false">IF($A311="","",IF(COUNTIFS($EX$2:$EX$1000,EX311,$EV$2:$EV$1000,"Y")+COUNTIFS($EX$2:$EX$1000,EX311,$EW$2:$EW$1000,"Y")&gt;0,"Y","N"))</f>
        <v>N</v>
      </c>
      <c r="EZ311" s="0" t="str">
        <f aca="false">IF($A311="","",IF(AND(U311="new",T311="N",EW311="N",AR311="Y",EY311="N"),"Y","N"))</f>
        <v>N</v>
      </c>
      <c r="FA311" s="0" t="str">
        <f aca="false">IF($A311="","",IF(EZ311&lt;&gt;"Y","N",IF(COUNTIFS($EX$2:$EX$1000,EX311,$EZ$2:$EZ$1000,"Y",$J$2:$J$1000,"&gt;"&amp;J311)+COUNTIFS($EX$2:$EX$1000,EX311,$EZ$2:$EZ$1000,"Y",$J$2:$J$1000,J311,$FG$2:$FG$1000,"&lt;"&amp;FG311)=0,"Y","N")))</f>
        <v>N</v>
      </c>
      <c r="FB311" s="0" t="str">
        <f aca="false">IF($A311="","",IF(AND(EZ311="Y",FA311="Y",Y311&amp;""&lt;&gt;""),IF(Y311&lt;=10,"Y","N"),"N"))</f>
        <v>N</v>
      </c>
      <c r="FC311" s="0" t="str">
        <f aca="false">IF(FB311="Y",Y311,"")</f>
        <v/>
      </c>
      <c r="FD311" s="0" t="str">
        <f aca="false">IF($A311="","",IF(AND(CK311="pass",AU311="Y",AV311&lt;&gt;"Y",U311="new",EW311="N"),"Y","N"))</f>
        <v>N</v>
      </c>
      <c r="FE311" s="0" t="str">
        <f aca="false">IF(FD311&lt;&gt;"Y","",IF(COUNTIFS($FD$2:$FD$1000,"Y",$J$2:$J$1000,"&gt;"&amp;J311)+COUNTIFS($FD$2:$FD$1000,"Y",$J$2:$J$1000,J311,$FG$2:$FG$1000,"&lt;"&amp;FG311)+1&lt;=30,COUNTIFS($FD$2:$FD$1000,"Y",$J$2:$J$1000,"&gt;"&amp;J311)+COUNTIFS($FD$2:$FD$1000,"Y",$J$2:$J$1000,J311,$FG$2:$FG$1000,"&lt;"&amp;FG311)+1,""))</f>
        <v/>
      </c>
      <c r="FF311" s="0" t="str">
        <f aca="false">IF(AND(_xlfn.ISFORMULA(C311),_xlfn.ISFORMULA(J311)),"Y","N")</f>
        <v>Y</v>
      </c>
      <c r="FG311" s="0" t="n">
        <f aca="false">ROW()-1</f>
        <v>310</v>
      </c>
    </row>
    <row r="312" customFormat="false" ht="15" hidden="false" customHeight="false" outlineLevel="0" collapsed="false">
      <c r="A312" s="0" t="s">
        <v>12127</v>
      </c>
      <c r="B312" s="0" t="s">
        <v>12128</v>
      </c>
      <c r="C312" s="0" t="str">
        <f aca="false">IF($A312="","",IF(AT312="Y",BL312&amp;"",AY312&amp;""))</f>
        <v/>
      </c>
      <c r="D312" s="0" t="str">
        <f aca="false">IF($A312="","",IF(AT312="Y",BM312&amp;"",AZ312&amp;""))</f>
        <v/>
      </c>
      <c r="E312" s="0" t="str">
        <f aca="false">IF($A312="","",IF(AT312="Y",BN312&amp;"",BA312&amp;""))</f>
        <v/>
      </c>
      <c r="F312" s="0" t="str">
        <f aca="false">IF($A312="","",IF(AT312="Y",BO312&amp;"",BB312&amp;""))</f>
        <v/>
      </c>
      <c r="G312" s="0" t="str">
        <f aca="false">IF($A312="","",IF(AT312="Y",BP312&amp;"",BC312&amp;""))</f>
        <v/>
      </c>
      <c r="H312" s="0" t="str">
        <f aca="false">IF($A312="","",IF(AT312="Y",BQ312&amp;"",BD312&amp;""))</f>
        <v>none</v>
      </c>
      <c r="I312" s="0" t="str">
        <f aca="false">IF($A312="","",IF(R312="Y","warm-intro",IF(H312="verified","email",IF(C312&lt;&gt;"","linkedin",CA312&amp;""))))</f>
        <v/>
      </c>
      <c r="J312" s="0" t="n">
        <f aca="false">IF($A312="","",IF(CK312="pass",ROUND(N(DO312)+N(DP312)+N(DQ312)+N(DR312)+N(DS312)+N(DT312)+N(DU312)+N(DV312),0),0))</f>
        <v>0</v>
      </c>
      <c r="K312" s="0" t="str">
        <f aca="false">IF($A312="","",IF(CK312&lt;&gt;"pass",BY312&amp;"",BY312&amp;", "&amp;IF(AT312="Y",BX312&amp;"",BK312&amp;"")&amp;BZ312&amp;IF(R312="Y","; known to the founder (+10)","")&amp;"."))</f>
        <v>Gated out: health-claim: Explicit health claims on every product: 'Good for gut health', 'Lactic acid for your gut', 'Natural energy'.</v>
      </c>
      <c r="M312" s="0" t="s">
        <v>6144</v>
      </c>
      <c r="N312" s="0" t="s">
        <v>740</v>
      </c>
      <c r="R312" s="5" t="s">
        <v>189</v>
      </c>
      <c r="S312" s="0" t="s">
        <v>209</v>
      </c>
      <c r="T312" s="5" t="s">
        <v>189</v>
      </c>
      <c r="U312" s="5" t="s">
        <v>3896</v>
      </c>
      <c r="V312" s="0" t="s">
        <v>12129</v>
      </c>
      <c r="W312" s="0" t="s">
        <v>263</v>
      </c>
      <c r="X312" s="0" t="s">
        <v>5578</v>
      </c>
      <c r="Y312" s="0" t="str">
        <f aca="false">IF(FA312&lt;&gt;"Y","",COUNTIFS($FA$2:$FA$1000,"Y",$J$2:$J$1000,"&gt;"&amp;J312)+COUNTIFS($FA$2:$FA$1000,"Y",$J$2:$J$1000,J312,$FG$2:$FG$1000,"&lt;"&amp;FG312)+1)</f>
        <v/>
      </c>
      <c r="AA312" s="0" t="s">
        <v>189</v>
      </c>
      <c r="AB312" s="0" t="str">
        <f aca="false">IF($A312="","",IF(AT312="Y",BW312&amp;"",BJ312&amp;""))</f>
        <v/>
      </c>
      <c r="AC312" s="0" t="str">
        <f aca="false">IF($A312="","",IF(AT312="Y",BR312&amp;"",BE312&amp;""))</f>
        <v/>
      </c>
      <c r="AD312" s="0" t="str">
        <f aca="false">IF($A312="","",IF(AT312="Y",BS312&amp;"",BF312&amp;""))</f>
        <v>none</v>
      </c>
      <c r="AE312" s="0" t="str">
        <f aca="false">IF($A312="","",IF(AT312="Y",BT312&amp;"",BG312&amp;""))</f>
        <v/>
      </c>
      <c r="AF312" s="0" t="str">
        <f aca="false">IF($A312="","",IF(AT312="Y",BU312&amp;"",BH312&amp;""))</f>
        <v/>
      </c>
      <c r="AG312" s="0" t="str">
        <f aca="false">IF($A312="","",IF(AT312="Y",BV312&amp;"",BI312&amp;""))</f>
        <v/>
      </c>
      <c r="AH312" s="0" t="s">
        <v>12130</v>
      </c>
      <c r="AI312" s="0" t="s">
        <v>5580</v>
      </c>
      <c r="AJ312" s="0" t="s">
        <v>209</v>
      </c>
      <c r="AK312" s="0" t="s">
        <v>12131</v>
      </c>
      <c r="AL312" s="0" t="s">
        <v>189</v>
      </c>
      <c r="AN312" s="0" t="s">
        <v>12127</v>
      </c>
      <c r="AO312" s="5" t="s">
        <v>189</v>
      </c>
      <c r="AR312" s="0" t="str">
        <f aca="false">IF($A312="","",IF(AND(CK312="pass",AO312&lt;&gt;"Y",C312&lt;&gt;"",OR(AU312&lt;&gt;"Y",AV312="Y")),"Y","N"))</f>
        <v>N</v>
      </c>
      <c r="AS312" s="0" t="str">
        <f aca="false">IF($A312="","",_xlfn.TEXTJOIN("; ",TRUE(),IF(CK312&lt;&gt;"pass","gated out",""),IF(AO312="Y","on hold: "&amp;AP312,""),IF(C312="","no contact named on an opened page",""),IF(AND(AU312="Y",AV312&lt;&gt;"Y"),"founder review pending (Founder review tab)","")))</f>
        <v>gated out; no contact named on an opened page</v>
      </c>
      <c r="AU312" s="0" t="s">
        <v>189</v>
      </c>
      <c r="BC312" s="0" t="str">
        <f aca="false">IF($A312="","",IFERROR(INDEX(Enrichment!$A$2:$GZ$2000,MATCH($A312,INDEX(Enrichment!$A$2:$GZ$2000,0,MATCH("row_id",Enrichment!$A$1:$GZ$1,0)),0),MATCH("work_email",Enrichment!$A$1:$GZ$1,0))&amp;"",""))</f>
        <v/>
      </c>
      <c r="BD312" s="0" t="str">
        <f aca="false">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none</v>
      </c>
      <c r="BF312" s="0" t="s">
        <v>380</v>
      </c>
      <c r="BK312" s="0" t="s">
        <v>6048</v>
      </c>
      <c r="BP312" s="0" t="str">
        <f aca="false">IF($A312="","",IFERROR(INDEX(Enrichment!$A$2:$GZ$2000,MATCH($A312,INDEX(Enrichment!$A$2:$GZ$2000,0,MATCH("row_id",Enrichment!$A$1:$GZ$1,0)),0),MATCH("backup_work_email",Enrichment!$A$1:$GZ$1,0))&amp;"",""))</f>
        <v/>
      </c>
      <c r="BQ312" s="0" t="str">
        <f aca="false">IF($A312="","",IF(BP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none</v>
      </c>
      <c r="BS312" s="0" t="s">
        <v>380</v>
      </c>
      <c r="BX312" s="0" t="s">
        <v>388</v>
      </c>
      <c r="BY312" s="0" t="s">
        <v>12132</v>
      </c>
      <c r="CJ312" s="0" t="s">
        <v>7088</v>
      </c>
      <c r="CK312" s="0" t="s">
        <v>4627</v>
      </c>
      <c r="CL312" s="0" t="s">
        <v>10005</v>
      </c>
      <c r="CM312" s="0" t="s">
        <v>12133</v>
      </c>
      <c r="CO312" s="0" t="s">
        <v>12131</v>
      </c>
      <c r="CP312" s="0" t="s">
        <v>209</v>
      </c>
      <c r="CQ312" s="0" t="s">
        <v>209</v>
      </c>
      <c r="CR312" s="0" t="s">
        <v>209</v>
      </c>
      <c r="CT312" s="0" t="s">
        <v>164</v>
      </c>
      <c r="CU312" s="0" t="s">
        <v>12134</v>
      </c>
      <c r="CV312" s="0" t="s">
        <v>164</v>
      </c>
      <c r="CW312" s="0" t="s">
        <v>164</v>
      </c>
      <c r="CX312" s="0" t="s">
        <v>209</v>
      </c>
      <c r="CZ312" s="0" t="s">
        <v>6456</v>
      </c>
      <c r="DA312" s="0" t="s">
        <v>164</v>
      </c>
      <c r="DB312" s="0" t="s">
        <v>164</v>
      </c>
      <c r="DC312" s="0" t="s">
        <v>12135</v>
      </c>
      <c r="DE312" s="0" t="s">
        <v>189</v>
      </c>
      <c r="DF312" s="0" t="n">
        <v>0</v>
      </c>
      <c r="DI312" s="0" t="s">
        <v>12136</v>
      </c>
      <c r="DK312" s="0" t="s">
        <v>380</v>
      </c>
      <c r="DN312" s="0" t="n">
        <v>25</v>
      </c>
      <c r="DO312" s="0" t="n">
        <v>6</v>
      </c>
      <c r="DP312" s="0" t="n">
        <v>4</v>
      </c>
      <c r="DQ312" s="0" t="n">
        <v>0</v>
      </c>
      <c r="DR312" s="0" t="n">
        <v>5</v>
      </c>
      <c r="DS312" s="0" t="n">
        <v>10</v>
      </c>
      <c r="DT312" s="0" t="n">
        <v>0</v>
      </c>
      <c r="DU312" s="0" t="n">
        <f aca="false">IF($A312="","",IF(R312="Y",10,0))</f>
        <v>0</v>
      </c>
      <c r="DV312" s="0" t="n">
        <v>0</v>
      </c>
      <c r="DW312" s="0" t="s">
        <v>12137</v>
      </c>
      <c r="DX312" s="0" t="s">
        <v>6462</v>
      </c>
      <c r="DY312" s="0" t="s">
        <v>12138</v>
      </c>
      <c r="DZ312" s="0" t="s">
        <v>12139</v>
      </c>
      <c r="EV312" s="0" t="str">
        <f aca="false">IF($A312="","",IF(ISNUMBER(MATCH(U312,{"queued","contacted","replied","call_booked","call_done","yes_in_principle","materials_sent"},0)),"Y","N"))</f>
        <v>N</v>
      </c>
      <c r="EW312" s="0" t="str">
        <f aca="false">IF($A312="","",IF(OR(T312="Y",U312="do_not_contact",AQ312&amp;""&lt;&gt;""),"Y","N"))</f>
        <v>N</v>
      </c>
      <c r="EX312" s="0" t="str">
        <f aca="false">IF($A312="","",IF(AN312&amp;""&lt;&gt;"",AN312&amp;"",$A312))</f>
        <v>AB-141</v>
      </c>
      <c r="EY312" s="0" t="str">
        <f aca="false">IF($A312="","",IF(COUNTIFS($EX$2:$EX$1000,EX312,$EV$2:$EV$1000,"Y")+COUNTIFS($EX$2:$EX$1000,EX312,$EW$2:$EW$1000,"Y")&gt;0,"Y","N"))</f>
        <v>N</v>
      </c>
      <c r="EZ312" s="0" t="str">
        <f aca="false">IF($A312="","",IF(AND(U312="new",T312="N",EW312="N",AR312="Y",EY312="N"),"Y","N"))</f>
        <v>N</v>
      </c>
      <c r="FA312" s="0" t="str">
        <f aca="false">IF($A312="","",IF(EZ312&lt;&gt;"Y","N",IF(COUNTIFS($EX$2:$EX$1000,EX312,$EZ$2:$EZ$1000,"Y",$J$2:$J$1000,"&gt;"&amp;J312)+COUNTIFS($EX$2:$EX$1000,EX312,$EZ$2:$EZ$1000,"Y",$J$2:$J$1000,J312,$FG$2:$FG$1000,"&lt;"&amp;FG312)=0,"Y","N")))</f>
        <v>N</v>
      </c>
      <c r="FB312" s="0" t="str">
        <f aca="false">IF($A312="","",IF(AND(EZ312="Y",FA312="Y",Y312&amp;""&lt;&gt;""),IF(Y312&lt;=10,"Y","N"),"N"))</f>
        <v>N</v>
      </c>
      <c r="FC312" s="0" t="str">
        <f aca="false">IF(FB312="Y",Y312,"")</f>
        <v/>
      </c>
      <c r="FD312" s="0" t="str">
        <f aca="false">IF($A312="","",IF(AND(CK312="pass",AU312="Y",AV312&lt;&gt;"Y",U312="new",EW312="N"),"Y","N"))</f>
        <v>N</v>
      </c>
      <c r="FE312" s="0" t="str">
        <f aca="false">IF(FD312&lt;&gt;"Y","",IF(COUNTIFS($FD$2:$FD$1000,"Y",$J$2:$J$1000,"&gt;"&amp;J312)+COUNTIFS($FD$2:$FD$1000,"Y",$J$2:$J$1000,J312,$FG$2:$FG$1000,"&lt;"&amp;FG312)+1&lt;=30,COUNTIFS($FD$2:$FD$1000,"Y",$J$2:$J$1000,"&gt;"&amp;J312)+COUNTIFS($FD$2:$FD$1000,"Y",$J$2:$J$1000,J312,$FG$2:$FG$1000,"&lt;"&amp;FG312)+1,""))</f>
        <v/>
      </c>
      <c r="FF312" s="0" t="str">
        <f aca="false">IF(AND(_xlfn.ISFORMULA(C312),_xlfn.ISFORMULA(J312)),"Y","N")</f>
        <v>Y</v>
      </c>
      <c r="FG312" s="0" t="n">
        <f aca="false">ROW()-1</f>
        <v>311</v>
      </c>
    </row>
    <row r="313" customFormat="false" ht="15" hidden="false" customHeight="false" outlineLevel="0" collapsed="false">
      <c r="C313" s="0" t="str">
        <f aca="false">IF($A313="","",IF(AT313="Y",BL313&amp;"",AY313&amp;""))</f>
        <v/>
      </c>
      <c r="D313" s="0" t="str">
        <f aca="false">IF($A313="","",IF(AT313="Y",BM313&amp;"",AZ313&amp;""))</f>
        <v/>
      </c>
      <c r="E313" s="0" t="str">
        <f aca="false">IF($A313="","",IF(AT313="Y",BN313&amp;"",BA313&amp;""))</f>
        <v/>
      </c>
      <c r="F313" s="0" t="str">
        <f aca="false">IF($A313="","",IF(AT313="Y",BO313&amp;"",BB313&amp;""))</f>
        <v/>
      </c>
      <c r="G313" s="0" t="str">
        <f aca="false">IF($A313="","",IF(AT313="Y",BP313&amp;"",BC313&amp;""))</f>
        <v/>
      </c>
      <c r="H313" s="0" t="str">
        <f aca="false">IF($A313="","",IF(AT313="Y",BQ313&amp;"",BD313&amp;""))</f>
        <v/>
      </c>
      <c r="I313" s="0" t="str">
        <f aca="false">IF($A313="","",IF(R313="Y","warm-intro",IF(H313="verified","email",IF(C313&lt;&gt;"","linkedin",CA313&amp;""))))</f>
        <v/>
      </c>
      <c r="J313" s="0" t="str">
        <f aca="false">IF($A313="","",IF(CK313="pass",ROUND(N(DO313)+N(DP313)+N(DQ313)+N(DR313)+N(DS313)+N(DT313)+N(DU313)+N(DV313),0),0))</f>
        <v/>
      </c>
      <c r="K313" s="0" t="str">
        <f aca="false">IF($A313="","",IF(CK313&lt;&gt;"pass",BY313&amp;"",BY313&amp;", "&amp;IF(AT313="Y",BX313&amp;"",BK313&amp;"")&amp;BZ313&amp;IF(R313="Y","; known to the founder (+10)","")&amp;"."))</f>
        <v/>
      </c>
      <c r="R313" s="5"/>
      <c r="T313" s="5"/>
      <c r="U313" s="5"/>
      <c r="Y313" s="0" t="str">
        <f aca="false">IF(FA313&lt;&gt;"Y","",COUNTIFS($FA$2:$FA$1000,"Y",$J$2:$J$1000,"&gt;"&amp;J313)+COUNTIFS($FA$2:$FA$1000,"Y",$J$2:$J$1000,J313,$FG$2:$FG$1000,"&lt;"&amp;FG313)+1)</f>
        <v/>
      </c>
      <c r="AB313" s="0" t="str">
        <f aca="false">IF($A313="","",IF(AT313="Y",BW313&amp;"",BJ313&amp;""))</f>
        <v/>
      </c>
      <c r="AC313" s="0" t="str">
        <f aca="false">IF($A313="","",IF(AT313="Y",BR313&amp;"",BE313&amp;""))</f>
        <v/>
      </c>
      <c r="AD313" s="0" t="str">
        <f aca="false">IF($A313="","",IF(AT313="Y",BS313&amp;"",BF313&amp;""))</f>
        <v/>
      </c>
      <c r="AE313" s="0" t="str">
        <f aca="false">IF($A313="","",IF(AT313="Y",BT313&amp;"",BG313&amp;""))</f>
        <v/>
      </c>
      <c r="AF313" s="0" t="str">
        <f aca="false">IF($A313="","",IF(AT313="Y",BU313&amp;"",BH313&amp;""))</f>
        <v/>
      </c>
      <c r="AG313" s="0" t="str">
        <f aca="false">IF($A313="","",IF(AT313="Y",BV313&amp;"",BI313&amp;""))</f>
        <v/>
      </c>
      <c r="AO313" s="5"/>
      <c r="AR313" s="0" t="str">
        <f aca="false">IF($A313="","",IF(AND(CK313="pass",AO313&lt;&gt;"Y",C313&lt;&gt;"",OR(AU313&lt;&gt;"Y",AV313="Y")),"Y","N"))</f>
        <v/>
      </c>
      <c r="AS313" s="0" t="str">
        <f aca="false">IF($A313="","",_xlfn.TEXTJOIN("; ",TRUE(),IF(CK313&lt;&gt;"pass","gated out",""),IF(AO313="Y","on hold: "&amp;AP313,""),IF(C313="","no contact named on an opened page",""),IF(AND(AU313="Y",AV313&lt;&gt;"Y"),"founder review pending (Founder review tab)","")))</f>
        <v/>
      </c>
      <c r="BC313" s="0" t="str">
        <f aca="false">IF($A313="","",IFERROR(INDEX(Enrichment!$A$2:$GZ$2000,MATCH($A313,INDEX(Enrichment!$A$2:$GZ$2000,0,MATCH("row_id",Enrichment!$A$1:$GZ$1,0)),0),MATCH("work_email",Enrichment!$A$1:$GZ$1,0))&amp;"",""))</f>
        <v/>
      </c>
      <c r="BD313" s="0" t="str">
        <f aca="false">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P313" s="0" t="str">
        <f aca="false">IF($A313="","",IFERROR(INDEX(Enrichment!$A$2:$GZ$2000,MATCH($A313,INDEX(Enrichment!$A$2:$GZ$2000,0,MATCH("row_id",Enrichment!$A$1:$GZ$1,0)),0),MATCH("backup_work_email",Enrichment!$A$1:$GZ$1,0))&amp;"",""))</f>
        <v/>
      </c>
      <c r="BQ313" s="0" t="str">
        <f aca="false">IF($A313="","",IF(BP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DU313" s="0" t="str">
        <f aca="false">IF($A313="","",IF(R313="Y",10,0))</f>
        <v/>
      </c>
      <c r="EV313" s="0" t="str">
        <f aca="false">IF($A313="","",IF(ISNUMBER(MATCH(U313,{"queued","contacted","replied","call_booked","call_done","yes_in_principle","materials_sent"},0)),"Y","N"))</f>
        <v/>
      </c>
      <c r="EW313" s="0" t="str">
        <f aca="false">IF($A313="","",IF(OR(T313="Y",U313="do_not_contact",AQ313&amp;""&lt;&gt;""),"Y","N"))</f>
        <v/>
      </c>
      <c r="EX313" s="0" t="str">
        <f aca="false">IF($A313="","",IF(AN313&amp;""&lt;&gt;"",AN313&amp;"",$A313))</f>
        <v/>
      </c>
      <c r="EY313" s="0" t="str">
        <f aca="false">IF($A313="","",IF(COUNTIFS($EX$2:$EX$1000,EX313,$EV$2:$EV$1000,"Y")+COUNTIFS($EX$2:$EX$1000,EX313,$EW$2:$EW$1000,"Y")&gt;0,"Y","N"))</f>
        <v/>
      </c>
      <c r="EZ313" s="0" t="str">
        <f aca="false">IF($A313="","",IF(AND(U313="new",T313="N",EW313="N",AR313="Y",EY313="N"),"Y","N"))</f>
        <v/>
      </c>
      <c r="FA313" s="0" t="str">
        <f aca="false">IF($A313="","",IF(EZ313&lt;&gt;"Y","N",IF(COUNTIFS($EX$2:$EX$1000,EX313,$EZ$2:$EZ$1000,"Y",$J$2:$J$1000,"&gt;"&amp;J313)+COUNTIFS($EX$2:$EX$1000,EX313,$EZ$2:$EZ$1000,"Y",$J$2:$J$1000,J313,$FG$2:$FG$1000,"&lt;"&amp;FG313)=0,"Y","N")))</f>
        <v/>
      </c>
      <c r="FB313" s="0" t="str">
        <f aca="false">IF($A313="","",IF(AND(EZ313="Y",FA313="Y",Y313&amp;""&lt;&gt;""),IF(Y313&lt;=10,"Y","N"),"N"))</f>
        <v/>
      </c>
      <c r="FC313" s="0" t="str">
        <f aca="false">IF(FB313="Y",Y313,"")</f>
        <v/>
      </c>
      <c r="FD313" s="0" t="str">
        <f aca="false">IF($A313="","",IF(AND(CK313="pass",AU313="Y",AV313&lt;&gt;"Y",U313="new",EW313="N"),"Y","N"))</f>
        <v/>
      </c>
      <c r="FE313" s="0" t="str">
        <f aca="false">IF(FD313&lt;&gt;"Y","",IF(COUNTIFS($FD$2:$FD$1000,"Y",$J$2:$J$1000,"&gt;"&amp;J313)+COUNTIFS($FD$2:$FD$1000,"Y",$J$2:$J$1000,J313,$FG$2:$FG$1000,"&lt;"&amp;FG313)+1&lt;=30,COUNTIFS($FD$2:$FD$1000,"Y",$J$2:$J$1000,"&gt;"&amp;J313)+COUNTIFS($FD$2:$FD$1000,"Y",$J$2:$J$1000,J313,$FG$2:$FG$1000,"&lt;"&amp;FG313)+1,""))</f>
        <v/>
      </c>
      <c r="FF313" s="0" t="str">
        <f aca="false">IF(AND(_xlfn.ISFORMULA(C313),_xlfn.ISFORMULA(J313)),"Y","N")</f>
        <v>Y</v>
      </c>
      <c r="FG313" s="0" t="n">
        <f aca="false">ROW()-1</f>
        <v>312</v>
      </c>
    </row>
    <row r="314" customFormat="false" ht="15" hidden="false" customHeight="false" outlineLevel="0" collapsed="false">
      <c r="C314" s="0" t="str">
        <f aca="false">IF($A314="","",IF(AT314="Y",BL314&amp;"",AY314&amp;""))</f>
        <v/>
      </c>
      <c r="D314" s="0" t="str">
        <f aca="false">IF($A314="","",IF(AT314="Y",BM314&amp;"",AZ314&amp;""))</f>
        <v/>
      </c>
      <c r="E314" s="0" t="str">
        <f aca="false">IF($A314="","",IF(AT314="Y",BN314&amp;"",BA314&amp;""))</f>
        <v/>
      </c>
      <c r="F314" s="0" t="str">
        <f aca="false">IF($A314="","",IF(AT314="Y",BO314&amp;"",BB314&amp;""))</f>
        <v/>
      </c>
      <c r="G314" s="0" t="str">
        <f aca="false">IF($A314="","",IF(AT314="Y",BP314&amp;"",BC314&amp;""))</f>
        <v/>
      </c>
      <c r="H314" s="0" t="str">
        <f aca="false">IF($A314="","",IF(AT314="Y",BQ314&amp;"",BD314&amp;""))</f>
        <v/>
      </c>
      <c r="I314" s="0" t="str">
        <f aca="false">IF($A314="","",IF(R314="Y","warm-intro",IF(H314="verified","email",IF(C314&lt;&gt;"","linkedin",CA314&amp;""))))</f>
        <v/>
      </c>
      <c r="J314" s="0" t="str">
        <f aca="false">IF($A314="","",IF(CK314="pass",ROUND(N(DO314)+N(DP314)+N(DQ314)+N(DR314)+N(DS314)+N(DT314)+N(DU314)+N(DV314),0),0))</f>
        <v/>
      </c>
      <c r="K314" s="0" t="str">
        <f aca="false">IF($A314="","",IF(CK314&lt;&gt;"pass",BY314&amp;"",BY314&amp;", "&amp;IF(AT314="Y",BX314&amp;"",BK314&amp;"")&amp;BZ314&amp;IF(R314="Y","; known to the founder (+10)","")&amp;"."))</f>
        <v/>
      </c>
      <c r="R314" s="5"/>
      <c r="T314" s="5"/>
      <c r="U314" s="5"/>
      <c r="Y314" s="0" t="str">
        <f aca="false">IF(FA314&lt;&gt;"Y","",COUNTIFS($FA$2:$FA$1000,"Y",$J$2:$J$1000,"&gt;"&amp;J314)+COUNTIFS($FA$2:$FA$1000,"Y",$J$2:$J$1000,J314,$FG$2:$FG$1000,"&lt;"&amp;FG314)+1)</f>
        <v/>
      </c>
      <c r="AB314" s="0" t="str">
        <f aca="false">IF($A314="","",IF(AT314="Y",BW314&amp;"",BJ314&amp;""))</f>
        <v/>
      </c>
      <c r="AC314" s="0" t="str">
        <f aca="false">IF($A314="","",IF(AT314="Y",BR314&amp;"",BE314&amp;""))</f>
        <v/>
      </c>
      <c r="AD314" s="0" t="str">
        <f aca="false">IF($A314="","",IF(AT314="Y",BS314&amp;"",BF314&amp;""))</f>
        <v/>
      </c>
      <c r="AE314" s="0" t="str">
        <f aca="false">IF($A314="","",IF(AT314="Y",BT314&amp;"",BG314&amp;""))</f>
        <v/>
      </c>
      <c r="AF314" s="0" t="str">
        <f aca="false">IF($A314="","",IF(AT314="Y",BU314&amp;"",BH314&amp;""))</f>
        <v/>
      </c>
      <c r="AG314" s="0" t="str">
        <f aca="false">IF($A314="","",IF(AT314="Y",BV314&amp;"",BI314&amp;""))</f>
        <v/>
      </c>
      <c r="AO314" s="5"/>
      <c r="AR314" s="0" t="str">
        <f aca="false">IF($A314="","",IF(AND(CK314="pass",AO314&lt;&gt;"Y",C314&lt;&gt;"",OR(AU314&lt;&gt;"Y",AV314="Y")),"Y","N"))</f>
        <v/>
      </c>
      <c r="AS314" s="0" t="str">
        <f aca="false">IF($A314="","",_xlfn.TEXTJOIN("; ",TRUE(),IF(CK314&lt;&gt;"pass","gated out",""),IF(AO314="Y","on hold: "&amp;AP314,""),IF(C314="","no contact named on an opened page",""),IF(AND(AU314="Y",AV314&lt;&gt;"Y"),"founder review pending (Founder review tab)","")))</f>
        <v/>
      </c>
      <c r="BC314" s="0" t="str">
        <f aca="false">IF($A314="","",IFERROR(INDEX(Enrichment!$A$2:$GZ$2000,MATCH($A314,INDEX(Enrichment!$A$2:$GZ$2000,0,MATCH("row_id",Enrichment!$A$1:$GZ$1,0)),0),MATCH("work_email",Enrichment!$A$1:$GZ$1,0))&amp;"",""))</f>
        <v/>
      </c>
      <c r="BD314" s="0" t="str">
        <f aca="false">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P314" s="0" t="str">
        <f aca="false">IF($A314="","",IFERROR(INDEX(Enrichment!$A$2:$GZ$2000,MATCH($A314,INDEX(Enrichment!$A$2:$GZ$2000,0,MATCH("row_id",Enrichment!$A$1:$GZ$1,0)),0),MATCH("backup_work_email",Enrichment!$A$1:$GZ$1,0))&amp;"",""))</f>
        <v/>
      </c>
      <c r="BQ314" s="0" t="str">
        <f aca="false">IF($A314="","",IF(BP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DU314" s="0" t="str">
        <f aca="false">IF($A314="","",IF(R314="Y",10,0))</f>
        <v/>
      </c>
      <c r="EV314" s="0" t="str">
        <f aca="false">IF($A314="","",IF(ISNUMBER(MATCH(U314,{"queued","contacted","replied","call_booked","call_done","yes_in_principle","materials_sent"},0)),"Y","N"))</f>
        <v/>
      </c>
      <c r="EW314" s="0" t="str">
        <f aca="false">IF($A314="","",IF(OR(T314="Y",U314="do_not_contact",AQ314&amp;""&lt;&gt;""),"Y","N"))</f>
        <v/>
      </c>
      <c r="EX314" s="0" t="str">
        <f aca="false">IF($A314="","",IF(AN314&amp;""&lt;&gt;"",AN314&amp;"",$A314))</f>
        <v/>
      </c>
      <c r="EY314" s="0" t="str">
        <f aca="false">IF($A314="","",IF(COUNTIFS($EX$2:$EX$1000,EX314,$EV$2:$EV$1000,"Y")+COUNTIFS($EX$2:$EX$1000,EX314,$EW$2:$EW$1000,"Y")&gt;0,"Y","N"))</f>
        <v/>
      </c>
      <c r="EZ314" s="0" t="str">
        <f aca="false">IF($A314="","",IF(AND(U314="new",T314="N",EW314="N",AR314="Y",EY314="N"),"Y","N"))</f>
        <v/>
      </c>
      <c r="FA314" s="0" t="str">
        <f aca="false">IF($A314="","",IF(EZ314&lt;&gt;"Y","N",IF(COUNTIFS($EX$2:$EX$1000,EX314,$EZ$2:$EZ$1000,"Y",$J$2:$J$1000,"&gt;"&amp;J314)+COUNTIFS($EX$2:$EX$1000,EX314,$EZ$2:$EZ$1000,"Y",$J$2:$J$1000,J314,$FG$2:$FG$1000,"&lt;"&amp;FG314)=0,"Y","N")))</f>
        <v/>
      </c>
      <c r="FB314" s="0" t="str">
        <f aca="false">IF($A314="","",IF(AND(EZ314="Y",FA314="Y",Y314&amp;""&lt;&gt;""),IF(Y314&lt;=10,"Y","N"),"N"))</f>
        <v/>
      </c>
      <c r="FC314" s="0" t="str">
        <f aca="false">IF(FB314="Y",Y314,"")</f>
        <v/>
      </c>
      <c r="FD314" s="0" t="str">
        <f aca="false">IF($A314="","",IF(AND(CK314="pass",AU314="Y",AV314&lt;&gt;"Y",U314="new",EW314="N"),"Y","N"))</f>
        <v/>
      </c>
      <c r="FE314" s="0" t="str">
        <f aca="false">IF(FD314&lt;&gt;"Y","",IF(COUNTIFS($FD$2:$FD$1000,"Y",$J$2:$J$1000,"&gt;"&amp;J314)+COUNTIFS($FD$2:$FD$1000,"Y",$J$2:$J$1000,J314,$FG$2:$FG$1000,"&lt;"&amp;FG314)+1&lt;=30,COUNTIFS($FD$2:$FD$1000,"Y",$J$2:$J$1000,"&gt;"&amp;J314)+COUNTIFS($FD$2:$FD$1000,"Y",$J$2:$J$1000,J314,$FG$2:$FG$1000,"&lt;"&amp;FG314)+1,""))</f>
        <v/>
      </c>
      <c r="FF314" s="0" t="str">
        <f aca="false">IF(AND(_xlfn.ISFORMULA(C314),_xlfn.ISFORMULA(J314)),"Y","N")</f>
        <v>Y</v>
      </c>
      <c r="FG314" s="0" t="n">
        <f aca="false">ROW()-1</f>
        <v>313</v>
      </c>
    </row>
    <row r="315" customFormat="false" ht="15" hidden="false" customHeight="false" outlineLevel="0" collapsed="false">
      <c r="C315" s="0" t="str">
        <f aca="false">IF($A315="","",IF(AT315="Y",BL315&amp;"",AY315&amp;""))</f>
        <v/>
      </c>
      <c r="D315" s="0" t="str">
        <f aca="false">IF($A315="","",IF(AT315="Y",BM315&amp;"",AZ315&amp;""))</f>
        <v/>
      </c>
      <c r="E315" s="0" t="str">
        <f aca="false">IF($A315="","",IF(AT315="Y",BN315&amp;"",BA315&amp;""))</f>
        <v/>
      </c>
      <c r="F315" s="0" t="str">
        <f aca="false">IF($A315="","",IF(AT315="Y",BO315&amp;"",BB315&amp;""))</f>
        <v/>
      </c>
      <c r="G315" s="0" t="str">
        <f aca="false">IF($A315="","",IF(AT315="Y",BP315&amp;"",BC315&amp;""))</f>
        <v/>
      </c>
      <c r="H315" s="0" t="str">
        <f aca="false">IF($A315="","",IF(AT315="Y",BQ315&amp;"",BD315&amp;""))</f>
        <v/>
      </c>
      <c r="I315" s="0" t="str">
        <f aca="false">IF($A315="","",IF(R315="Y","warm-intro",IF(H315="verified","email",IF(C315&lt;&gt;"","linkedin",CA315&amp;""))))</f>
        <v/>
      </c>
      <c r="J315" s="0" t="str">
        <f aca="false">IF($A315="","",IF(CK315="pass",ROUND(N(DO315)+N(DP315)+N(DQ315)+N(DR315)+N(DS315)+N(DT315)+N(DU315)+N(DV315),0),0))</f>
        <v/>
      </c>
      <c r="K315" s="0" t="str">
        <f aca="false">IF($A315="","",IF(CK315&lt;&gt;"pass",BY315&amp;"",BY315&amp;", "&amp;IF(AT315="Y",BX315&amp;"",BK315&amp;"")&amp;BZ315&amp;IF(R315="Y","; known to the founder (+10)","")&amp;"."))</f>
        <v/>
      </c>
      <c r="R315" s="5"/>
      <c r="T315" s="5"/>
      <c r="U315" s="5"/>
      <c r="Y315" s="0" t="str">
        <f aca="false">IF(FA315&lt;&gt;"Y","",COUNTIFS($FA$2:$FA$1000,"Y",$J$2:$J$1000,"&gt;"&amp;J315)+COUNTIFS($FA$2:$FA$1000,"Y",$J$2:$J$1000,J315,$FG$2:$FG$1000,"&lt;"&amp;FG315)+1)</f>
        <v/>
      </c>
      <c r="AB315" s="0" t="str">
        <f aca="false">IF($A315="","",IF(AT315="Y",BW315&amp;"",BJ315&amp;""))</f>
        <v/>
      </c>
      <c r="AC315" s="0" t="str">
        <f aca="false">IF($A315="","",IF(AT315="Y",BR315&amp;"",BE315&amp;""))</f>
        <v/>
      </c>
      <c r="AD315" s="0" t="str">
        <f aca="false">IF($A315="","",IF(AT315="Y",BS315&amp;"",BF315&amp;""))</f>
        <v/>
      </c>
      <c r="AE315" s="0" t="str">
        <f aca="false">IF($A315="","",IF(AT315="Y",BT315&amp;"",BG315&amp;""))</f>
        <v/>
      </c>
      <c r="AF315" s="0" t="str">
        <f aca="false">IF($A315="","",IF(AT315="Y",BU315&amp;"",BH315&amp;""))</f>
        <v/>
      </c>
      <c r="AG315" s="0" t="str">
        <f aca="false">IF($A315="","",IF(AT315="Y",BV315&amp;"",BI315&amp;""))</f>
        <v/>
      </c>
      <c r="AO315" s="5"/>
      <c r="AR315" s="0" t="str">
        <f aca="false">IF($A315="","",IF(AND(CK315="pass",AO315&lt;&gt;"Y",C315&lt;&gt;"",OR(AU315&lt;&gt;"Y",AV315="Y")),"Y","N"))</f>
        <v/>
      </c>
      <c r="AS315" s="0" t="str">
        <f aca="false">IF($A315="","",_xlfn.TEXTJOIN("; ",TRUE(),IF(CK315&lt;&gt;"pass","gated out",""),IF(AO315="Y","on hold: "&amp;AP315,""),IF(C315="","no contact named on an opened page",""),IF(AND(AU315="Y",AV315&lt;&gt;"Y"),"founder review pending (Founder review tab)","")))</f>
        <v/>
      </c>
      <c r="BC315" s="0" t="str">
        <f aca="false">IF($A315="","",IFERROR(INDEX(Enrichment!$A$2:$GZ$2000,MATCH($A315,INDEX(Enrichment!$A$2:$GZ$2000,0,MATCH("row_id",Enrichment!$A$1:$GZ$1,0)),0),MATCH("work_email",Enrichment!$A$1:$GZ$1,0))&amp;"",""))</f>
        <v/>
      </c>
      <c r="BD315" s="0" t="str">
        <f aca="false">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P315" s="0" t="str">
        <f aca="false">IF($A315="","",IFERROR(INDEX(Enrichment!$A$2:$GZ$2000,MATCH($A315,INDEX(Enrichment!$A$2:$GZ$2000,0,MATCH("row_id",Enrichment!$A$1:$GZ$1,0)),0),MATCH("backup_work_email",Enrichment!$A$1:$GZ$1,0))&amp;"",""))</f>
        <v/>
      </c>
      <c r="BQ315" s="0" t="str">
        <f aca="false">IF($A315="","",IF(BP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DU315" s="0" t="str">
        <f aca="false">IF($A315="","",IF(R315="Y",10,0))</f>
        <v/>
      </c>
      <c r="EV315" s="0" t="str">
        <f aca="false">IF($A315="","",IF(ISNUMBER(MATCH(U315,{"queued","contacted","replied","call_booked","call_done","yes_in_principle","materials_sent"},0)),"Y","N"))</f>
        <v/>
      </c>
      <c r="EW315" s="0" t="str">
        <f aca="false">IF($A315="","",IF(OR(T315="Y",U315="do_not_contact",AQ315&amp;""&lt;&gt;""),"Y","N"))</f>
        <v/>
      </c>
      <c r="EX315" s="0" t="str">
        <f aca="false">IF($A315="","",IF(AN315&amp;""&lt;&gt;"",AN315&amp;"",$A315))</f>
        <v/>
      </c>
      <c r="EY315" s="0" t="str">
        <f aca="false">IF($A315="","",IF(COUNTIFS($EX$2:$EX$1000,EX315,$EV$2:$EV$1000,"Y")+COUNTIFS($EX$2:$EX$1000,EX315,$EW$2:$EW$1000,"Y")&gt;0,"Y","N"))</f>
        <v/>
      </c>
      <c r="EZ315" s="0" t="str">
        <f aca="false">IF($A315="","",IF(AND(U315="new",T315="N",EW315="N",AR315="Y",EY315="N"),"Y","N"))</f>
        <v/>
      </c>
      <c r="FA315" s="0" t="str">
        <f aca="false">IF($A315="","",IF(EZ315&lt;&gt;"Y","N",IF(COUNTIFS($EX$2:$EX$1000,EX315,$EZ$2:$EZ$1000,"Y",$J$2:$J$1000,"&gt;"&amp;J315)+COUNTIFS($EX$2:$EX$1000,EX315,$EZ$2:$EZ$1000,"Y",$J$2:$J$1000,J315,$FG$2:$FG$1000,"&lt;"&amp;FG315)=0,"Y","N")))</f>
        <v/>
      </c>
      <c r="FB315" s="0" t="str">
        <f aca="false">IF($A315="","",IF(AND(EZ315="Y",FA315="Y",Y315&amp;""&lt;&gt;""),IF(Y315&lt;=10,"Y","N"),"N"))</f>
        <v/>
      </c>
      <c r="FC315" s="0" t="str">
        <f aca="false">IF(FB315="Y",Y315,"")</f>
        <v/>
      </c>
      <c r="FD315" s="0" t="str">
        <f aca="false">IF($A315="","",IF(AND(CK315="pass",AU315="Y",AV315&lt;&gt;"Y",U315="new",EW315="N"),"Y","N"))</f>
        <v/>
      </c>
      <c r="FE315" s="0" t="str">
        <f aca="false">IF(FD315&lt;&gt;"Y","",IF(COUNTIFS($FD$2:$FD$1000,"Y",$J$2:$J$1000,"&gt;"&amp;J315)+COUNTIFS($FD$2:$FD$1000,"Y",$J$2:$J$1000,J315,$FG$2:$FG$1000,"&lt;"&amp;FG315)+1&lt;=30,COUNTIFS($FD$2:$FD$1000,"Y",$J$2:$J$1000,"&gt;"&amp;J315)+COUNTIFS($FD$2:$FD$1000,"Y",$J$2:$J$1000,J315,$FG$2:$FG$1000,"&lt;"&amp;FG315)+1,""))</f>
        <v/>
      </c>
      <c r="FF315" s="0" t="str">
        <f aca="false">IF(AND(_xlfn.ISFORMULA(C315),_xlfn.ISFORMULA(J315)),"Y","N")</f>
        <v>Y</v>
      </c>
      <c r="FG315" s="0" t="n">
        <f aca="false">ROW()-1</f>
        <v>314</v>
      </c>
    </row>
    <row r="316" customFormat="false" ht="15" hidden="false" customHeight="false" outlineLevel="0" collapsed="false">
      <c r="C316" s="0" t="str">
        <f aca="false">IF($A316="","",IF(AT316="Y",BL316&amp;"",AY316&amp;""))</f>
        <v/>
      </c>
      <c r="D316" s="0" t="str">
        <f aca="false">IF($A316="","",IF(AT316="Y",BM316&amp;"",AZ316&amp;""))</f>
        <v/>
      </c>
      <c r="E316" s="0" t="str">
        <f aca="false">IF($A316="","",IF(AT316="Y",BN316&amp;"",BA316&amp;""))</f>
        <v/>
      </c>
      <c r="F316" s="0" t="str">
        <f aca="false">IF($A316="","",IF(AT316="Y",BO316&amp;"",BB316&amp;""))</f>
        <v/>
      </c>
      <c r="G316" s="0" t="str">
        <f aca="false">IF($A316="","",IF(AT316="Y",BP316&amp;"",BC316&amp;""))</f>
        <v/>
      </c>
      <c r="H316" s="0" t="str">
        <f aca="false">IF($A316="","",IF(AT316="Y",BQ316&amp;"",BD316&amp;""))</f>
        <v/>
      </c>
      <c r="I316" s="0" t="str">
        <f aca="false">IF($A316="","",IF(R316="Y","warm-intro",IF(H316="verified","email",IF(C316&lt;&gt;"","linkedin",CA316&amp;""))))</f>
        <v/>
      </c>
      <c r="J316" s="0" t="str">
        <f aca="false">IF($A316="","",IF(CK316="pass",ROUND(N(DO316)+N(DP316)+N(DQ316)+N(DR316)+N(DS316)+N(DT316)+N(DU316)+N(DV316),0),0))</f>
        <v/>
      </c>
      <c r="K316" s="0" t="str">
        <f aca="false">IF($A316="","",IF(CK316&lt;&gt;"pass",BY316&amp;"",BY316&amp;", "&amp;IF(AT316="Y",BX316&amp;"",BK316&amp;"")&amp;BZ316&amp;IF(R316="Y","; known to the founder (+10)","")&amp;"."))</f>
        <v/>
      </c>
      <c r="R316" s="5"/>
      <c r="T316" s="5"/>
      <c r="U316" s="5"/>
      <c r="Y316" s="0" t="str">
        <f aca="false">IF(FA316&lt;&gt;"Y","",COUNTIFS($FA$2:$FA$1000,"Y",$J$2:$J$1000,"&gt;"&amp;J316)+COUNTIFS($FA$2:$FA$1000,"Y",$J$2:$J$1000,J316,$FG$2:$FG$1000,"&lt;"&amp;FG316)+1)</f>
        <v/>
      </c>
      <c r="AB316" s="0" t="str">
        <f aca="false">IF($A316="","",IF(AT316="Y",BW316&amp;"",BJ316&amp;""))</f>
        <v/>
      </c>
      <c r="AC316" s="0" t="str">
        <f aca="false">IF($A316="","",IF(AT316="Y",BR316&amp;"",BE316&amp;""))</f>
        <v/>
      </c>
      <c r="AD316" s="0" t="str">
        <f aca="false">IF($A316="","",IF(AT316="Y",BS316&amp;"",BF316&amp;""))</f>
        <v/>
      </c>
      <c r="AE316" s="0" t="str">
        <f aca="false">IF($A316="","",IF(AT316="Y",BT316&amp;"",BG316&amp;""))</f>
        <v/>
      </c>
      <c r="AF316" s="0" t="str">
        <f aca="false">IF($A316="","",IF(AT316="Y",BU316&amp;"",BH316&amp;""))</f>
        <v/>
      </c>
      <c r="AG316" s="0" t="str">
        <f aca="false">IF($A316="","",IF(AT316="Y",BV316&amp;"",BI316&amp;""))</f>
        <v/>
      </c>
      <c r="AO316" s="5"/>
      <c r="AR316" s="0" t="str">
        <f aca="false">IF($A316="","",IF(AND(CK316="pass",AO316&lt;&gt;"Y",C316&lt;&gt;"",OR(AU316&lt;&gt;"Y",AV316="Y")),"Y","N"))</f>
        <v/>
      </c>
      <c r="AS316" s="0" t="str">
        <f aca="false">IF($A316="","",_xlfn.TEXTJOIN("; ",TRUE(),IF(CK316&lt;&gt;"pass","gated out",""),IF(AO316="Y","on hold: "&amp;AP316,""),IF(C316="","no contact named on an opened page",""),IF(AND(AU316="Y",AV316&lt;&gt;"Y"),"founder review pending (Founder review tab)","")))</f>
        <v/>
      </c>
      <c r="BC316" s="0" t="str">
        <f aca="false">IF($A316="","",IFERROR(INDEX(Enrichment!$A$2:$GZ$2000,MATCH($A316,INDEX(Enrichment!$A$2:$GZ$2000,0,MATCH("row_id",Enrichment!$A$1:$GZ$1,0)),0),MATCH("work_email",Enrichment!$A$1:$GZ$1,0))&amp;"",""))</f>
        <v/>
      </c>
      <c r="BD316" s="0" t="str">
        <f aca="false">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P316" s="0" t="str">
        <f aca="false">IF($A316="","",IFERROR(INDEX(Enrichment!$A$2:$GZ$2000,MATCH($A316,INDEX(Enrichment!$A$2:$GZ$2000,0,MATCH("row_id",Enrichment!$A$1:$GZ$1,0)),0),MATCH("backup_work_email",Enrichment!$A$1:$GZ$1,0))&amp;"",""))</f>
        <v/>
      </c>
      <c r="BQ316" s="0" t="str">
        <f aca="false">IF($A316="","",IF(BP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DU316" s="0" t="str">
        <f aca="false">IF($A316="","",IF(R316="Y",10,0))</f>
        <v/>
      </c>
      <c r="EV316" s="0" t="str">
        <f aca="false">IF($A316="","",IF(ISNUMBER(MATCH(U316,{"queued","contacted","replied","call_booked","call_done","yes_in_principle","materials_sent"},0)),"Y","N"))</f>
        <v/>
      </c>
      <c r="EW316" s="0" t="str">
        <f aca="false">IF($A316="","",IF(OR(T316="Y",U316="do_not_contact",AQ316&amp;""&lt;&gt;""),"Y","N"))</f>
        <v/>
      </c>
      <c r="EX316" s="0" t="str">
        <f aca="false">IF($A316="","",IF(AN316&amp;""&lt;&gt;"",AN316&amp;"",$A316))</f>
        <v/>
      </c>
      <c r="EY316" s="0" t="str">
        <f aca="false">IF($A316="","",IF(COUNTIFS($EX$2:$EX$1000,EX316,$EV$2:$EV$1000,"Y")+COUNTIFS($EX$2:$EX$1000,EX316,$EW$2:$EW$1000,"Y")&gt;0,"Y","N"))</f>
        <v/>
      </c>
      <c r="EZ316" s="0" t="str">
        <f aca="false">IF($A316="","",IF(AND(U316="new",T316="N",EW316="N",AR316="Y",EY316="N"),"Y","N"))</f>
        <v/>
      </c>
      <c r="FA316" s="0" t="str">
        <f aca="false">IF($A316="","",IF(EZ316&lt;&gt;"Y","N",IF(COUNTIFS($EX$2:$EX$1000,EX316,$EZ$2:$EZ$1000,"Y",$J$2:$J$1000,"&gt;"&amp;J316)+COUNTIFS($EX$2:$EX$1000,EX316,$EZ$2:$EZ$1000,"Y",$J$2:$J$1000,J316,$FG$2:$FG$1000,"&lt;"&amp;FG316)=0,"Y","N")))</f>
        <v/>
      </c>
      <c r="FB316" s="0" t="str">
        <f aca="false">IF($A316="","",IF(AND(EZ316="Y",FA316="Y",Y316&amp;""&lt;&gt;""),IF(Y316&lt;=10,"Y","N"),"N"))</f>
        <v/>
      </c>
      <c r="FC316" s="0" t="str">
        <f aca="false">IF(FB316="Y",Y316,"")</f>
        <v/>
      </c>
      <c r="FD316" s="0" t="str">
        <f aca="false">IF($A316="","",IF(AND(CK316="pass",AU316="Y",AV316&lt;&gt;"Y",U316="new",EW316="N"),"Y","N"))</f>
        <v/>
      </c>
      <c r="FE316" s="0" t="str">
        <f aca="false">IF(FD316&lt;&gt;"Y","",IF(COUNTIFS($FD$2:$FD$1000,"Y",$J$2:$J$1000,"&gt;"&amp;J316)+COUNTIFS($FD$2:$FD$1000,"Y",$J$2:$J$1000,J316,$FG$2:$FG$1000,"&lt;"&amp;FG316)+1&lt;=30,COUNTIFS($FD$2:$FD$1000,"Y",$J$2:$J$1000,"&gt;"&amp;J316)+COUNTIFS($FD$2:$FD$1000,"Y",$J$2:$J$1000,J316,$FG$2:$FG$1000,"&lt;"&amp;FG316)+1,""))</f>
        <v/>
      </c>
      <c r="FF316" s="0" t="str">
        <f aca="false">IF(AND(_xlfn.ISFORMULA(C316),_xlfn.ISFORMULA(J316)),"Y","N")</f>
        <v>Y</v>
      </c>
      <c r="FG316" s="0" t="n">
        <f aca="false">ROW()-1</f>
        <v>315</v>
      </c>
    </row>
    <row r="317" customFormat="false" ht="15" hidden="false" customHeight="false" outlineLevel="0" collapsed="false">
      <c r="C317" s="0" t="str">
        <f aca="false">IF($A317="","",IF(AT317="Y",BL317&amp;"",AY317&amp;""))</f>
        <v/>
      </c>
      <c r="D317" s="0" t="str">
        <f aca="false">IF($A317="","",IF(AT317="Y",BM317&amp;"",AZ317&amp;""))</f>
        <v/>
      </c>
      <c r="E317" s="0" t="str">
        <f aca="false">IF($A317="","",IF(AT317="Y",BN317&amp;"",BA317&amp;""))</f>
        <v/>
      </c>
      <c r="F317" s="0" t="str">
        <f aca="false">IF($A317="","",IF(AT317="Y",BO317&amp;"",BB317&amp;""))</f>
        <v/>
      </c>
      <c r="G317" s="0" t="str">
        <f aca="false">IF($A317="","",IF(AT317="Y",BP317&amp;"",BC317&amp;""))</f>
        <v/>
      </c>
      <c r="H317" s="0" t="str">
        <f aca="false">IF($A317="","",IF(AT317="Y",BQ317&amp;"",BD317&amp;""))</f>
        <v/>
      </c>
      <c r="I317" s="0" t="str">
        <f aca="false">IF($A317="","",IF(R317="Y","warm-intro",IF(H317="verified","email",IF(C317&lt;&gt;"","linkedin",CA317&amp;""))))</f>
        <v/>
      </c>
      <c r="J317" s="0" t="str">
        <f aca="false">IF($A317="","",IF(CK317="pass",ROUND(N(DO317)+N(DP317)+N(DQ317)+N(DR317)+N(DS317)+N(DT317)+N(DU317)+N(DV317),0),0))</f>
        <v/>
      </c>
      <c r="K317" s="0" t="str">
        <f aca="false">IF($A317="","",IF(CK317&lt;&gt;"pass",BY317&amp;"",BY317&amp;", "&amp;IF(AT317="Y",BX317&amp;"",BK317&amp;"")&amp;BZ317&amp;IF(R317="Y","; known to the founder (+10)","")&amp;"."))</f>
        <v/>
      </c>
      <c r="R317" s="5"/>
      <c r="T317" s="5"/>
      <c r="U317" s="5"/>
      <c r="Y317" s="0" t="str">
        <f aca="false">IF(FA317&lt;&gt;"Y","",COUNTIFS($FA$2:$FA$1000,"Y",$J$2:$J$1000,"&gt;"&amp;J317)+COUNTIFS($FA$2:$FA$1000,"Y",$J$2:$J$1000,J317,$FG$2:$FG$1000,"&lt;"&amp;FG317)+1)</f>
        <v/>
      </c>
      <c r="AB317" s="0" t="str">
        <f aca="false">IF($A317="","",IF(AT317="Y",BW317&amp;"",BJ317&amp;""))</f>
        <v/>
      </c>
      <c r="AC317" s="0" t="str">
        <f aca="false">IF($A317="","",IF(AT317="Y",BR317&amp;"",BE317&amp;""))</f>
        <v/>
      </c>
      <c r="AD317" s="0" t="str">
        <f aca="false">IF($A317="","",IF(AT317="Y",BS317&amp;"",BF317&amp;""))</f>
        <v/>
      </c>
      <c r="AE317" s="0" t="str">
        <f aca="false">IF($A317="","",IF(AT317="Y",BT317&amp;"",BG317&amp;""))</f>
        <v/>
      </c>
      <c r="AF317" s="0" t="str">
        <f aca="false">IF($A317="","",IF(AT317="Y",BU317&amp;"",BH317&amp;""))</f>
        <v/>
      </c>
      <c r="AG317" s="0" t="str">
        <f aca="false">IF($A317="","",IF(AT317="Y",BV317&amp;"",BI317&amp;""))</f>
        <v/>
      </c>
      <c r="AO317" s="5"/>
      <c r="AR317" s="0" t="str">
        <f aca="false">IF($A317="","",IF(AND(CK317="pass",AO317&lt;&gt;"Y",C317&lt;&gt;"",OR(AU317&lt;&gt;"Y",AV317="Y")),"Y","N"))</f>
        <v/>
      </c>
      <c r="AS317" s="0" t="str">
        <f aca="false">IF($A317="","",_xlfn.TEXTJOIN("; ",TRUE(),IF(CK317&lt;&gt;"pass","gated out",""),IF(AO317="Y","on hold: "&amp;AP317,""),IF(C317="","no contact named on an opened page",""),IF(AND(AU317="Y",AV317&lt;&gt;"Y"),"founder review pending (Founder review tab)","")))</f>
        <v/>
      </c>
      <c r="BC317" s="0" t="str">
        <f aca="false">IF($A317="","",IFERROR(INDEX(Enrichment!$A$2:$GZ$2000,MATCH($A317,INDEX(Enrichment!$A$2:$GZ$2000,0,MATCH("row_id",Enrichment!$A$1:$GZ$1,0)),0),MATCH("work_email",Enrichment!$A$1:$GZ$1,0))&amp;"",""))</f>
        <v/>
      </c>
      <c r="BD317" s="0" t="str">
        <f aca="false">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P317" s="0" t="str">
        <f aca="false">IF($A317="","",IFERROR(INDEX(Enrichment!$A$2:$GZ$2000,MATCH($A317,INDEX(Enrichment!$A$2:$GZ$2000,0,MATCH("row_id",Enrichment!$A$1:$GZ$1,0)),0),MATCH("backup_work_email",Enrichment!$A$1:$GZ$1,0))&amp;"",""))</f>
        <v/>
      </c>
      <c r="BQ317" s="0" t="str">
        <f aca="false">IF($A317="","",IF(BP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DU317" s="0" t="str">
        <f aca="false">IF($A317="","",IF(R317="Y",10,0))</f>
        <v/>
      </c>
      <c r="EV317" s="0" t="str">
        <f aca="false">IF($A317="","",IF(ISNUMBER(MATCH(U317,{"queued","contacted","replied","call_booked","call_done","yes_in_principle","materials_sent"},0)),"Y","N"))</f>
        <v/>
      </c>
      <c r="EW317" s="0" t="str">
        <f aca="false">IF($A317="","",IF(OR(T317="Y",U317="do_not_contact",AQ317&amp;""&lt;&gt;""),"Y","N"))</f>
        <v/>
      </c>
      <c r="EX317" s="0" t="str">
        <f aca="false">IF($A317="","",IF(AN317&amp;""&lt;&gt;"",AN317&amp;"",$A317))</f>
        <v/>
      </c>
      <c r="EY317" s="0" t="str">
        <f aca="false">IF($A317="","",IF(COUNTIFS($EX$2:$EX$1000,EX317,$EV$2:$EV$1000,"Y")+COUNTIFS($EX$2:$EX$1000,EX317,$EW$2:$EW$1000,"Y")&gt;0,"Y","N"))</f>
        <v/>
      </c>
      <c r="EZ317" s="0" t="str">
        <f aca="false">IF($A317="","",IF(AND(U317="new",T317="N",EW317="N",AR317="Y",EY317="N"),"Y","N"))</f>
        <v/>
      </c>
      <c r="FA317" s="0" t="str">
        <f aca="false">IF($A317="","",IF(EZ317&lt;&gt;"Y","N",IF(COUNTIFS($EX$2:$EX$1000,EX317,$EZ$2:$EZ$1000,"Y",$J$2:$J$1000,"&gt;"&amp;J317)+COUNTIFS($EX$2:$EX$1000,EX317,$EZ$2:$EZ$1000,"Y",$J$2:$J$1000,J317,$FG$2:$FG$1000,"&lt;"&amp;FG317)=0,"Y","N")))</f>
        <v/>
      </c>
      <c r="FB317" s="0" t="str">
        <f aca="false">IF($A317="","",IF(AND(EZ317="Y",FA317="Y",Y317&amp;""&lt;&gt;""),IF(Y317&lt;=10,"Y","N"),"N"))</f>
        <v/>
      </c>
      <c r="FC317" s="0" t="str">
        <f aca="false">IF(FB317="Y",Y317,"")</f>
        <v/>
      </c>
      <c r="FD317" s="0" t="str">
        <f aca="false">IF($A317="","",IF(AND(CK317="pass",AU317="Y",AV317&lt;&gt;"Y",U317="new",EW317="N"),"Y","N"))</f>
        <v/>
      </c>
      <c r="FE317" s="0" t="str">
        <f aca="false">IF(FD317&lt;&gt;"Y","",IF(COUNTIFS($FD$2:$FD$1000,"Y",$J$2:$J$1000,"&gt;"&amp;J317)+COUNTIFS($FD$2:$FD$1000,"Y",$J$2:$J$1000,J317,$FG$2:$FG$1000,"&lt;"&amp;FG317)+1&lt;=30,COUNTIFS($FD$2:$FD$1000,"Y",$J$2:$J$1000,"&gt;"&amp;J317)+COUNTIFS($FD$2:$FD$1000,"Y",$J$2:$J$1000,J317,$FG$2:$FG$1000,"&lt;"&amp;FG317)+1,""))</f>
        <v/>
      </c>
      <c r="FF317" s="0" t="str">
        <f aca="false">IF(AND(_xlfn.ISFORMULA(C317),_xlfn.ISFORMULA(J317)),"Y","N")</f>
        <v>Y</v>
      </c>
      <c r="FG317" s="0" t="n">
        <f aca="false">ROW()-1</f>
        <v>316</v>
      </c>
    </row>
    <row r="318" customFormat="false" ht="15" hidden="false" customHeight="false" outlineLevel="0" collapsed="false">
      <c r="C318" s="0" t="str">
        <f aca="false">IF($A318="","",IF(AT318="Y",BL318&amp;"",AY318&amp;""))</f>
        <v/>
      </c>
      <c r="D318" s="0" t="str">
        <f aca="false">IF($A318="","",IF(AT318="Y",BM318&amp;"",AZ318&amp;""))</f>
        <v/>
      </c>
      <c r="E318" s="0" t="str">
        <f aca="false">IF($A318="","",IF(AT318="Y",BN318&amp;"",BA318&amp;""))</f>
        <v/>
      </c>
      <c r="F318" s="0" t="str">
        <f aca="false">IF($A318="","",IF(AT318="Y",BO318&amp;"",BB318&amp;""))</f>
        <v/>
      </c>
      <c r="G318" s="0" t="str">
        <f aca="false">IF($A318="","",IF(AT318="Y",BP318&amp;"",BC318&amp;""))</f>
        <v/>
      </c>
      <c r="H318" s="0" t="str">
        <f aca="false">IF($A318="","",IF(AT318="Y",BQ318&amp;"",BD318&amp;""))</f>
        <v/>
      </c>
      <c r="I318" s="0" t="str">
        <f aca="false">IF($A318="","",IF(R318="Y","warm-intro",IF(H318="verified","email",IF(C318&lt;&gt;"","linkedin",CA318&amp;""))))</f>
        <v/>
      </c>
      <c r="J318" s="0" t="str">
        <f aca="false">IF($A318="","",IF(CK318="pass",ROUND(N(DO318)+N(DP318)+N(DQ318)+N(DR318)+N(DS318)+N(DT318)+N(DU318)+N(DV318),0),0))</f>
        <v/>
      </c>
      <c r="K318" s="0" t="str">
        <f aca="false">IF($A318="","",IF(CK318&lt;&gt;"pass",BY318&amp;"",BY318&amp;", "&amp;IF(AT318="Y",BX318&amp;"",BK318&amp;"")&amp;BZ318&amp;IF(R318="Y","; known to the founder (+10)","")&amp;"."))</f>
        <v/>
      </c>
      <c r="R318" s="5"/>
      <c r="T318" s="5"/>
      <c r="U318" s="5"/>
      <c r="Y318" s="0" t="str">
        <f aca="false">IF(FA318&lt;&gt;"Y","",COUNTIFS($FA$2:$FA$1000,"Y",$J$2:$J$1000,"&gt;"&amp;J318)+COUNTIFS($FA$2:$FA$1000,"Y",$J$2:$J$1000,J318,$FG$2:$FG$1000,"&lt;"&amp;FG318)+1)</f>
        <v/>
      </c>
      <c r="AB318" s="0" t="str">
        <f aca="false">IF($A318="","",IF(AT318="Y",BW318&amp;"",BJ318&amp;""))</f>
        <v/>
      </c>
      <c r="AC318" s="0" t="str">
        <f aca="false">IF($A318="","",IF(AT318="Y",BR318&amp;"",BE318&amp;""))</f>
        <v/>
      </c>
      <c r="AD318" s="0" t="str">
        <f aca="false">IF($A318="","",IF(AT318="Y",BS318&amp;"",BF318&amp;""))</f>
        <v/>
      </c>
      <c r="AE318" s="0" t="str">
        <f aca="false">IF($A318="","",IF(AT318="Y",BT318&amp;"",BG318&amp;""))</f>
        <v/>
      </c>
      <c r="AF318" s="0" t="str">
        <f aca="false">IF($A318="","",IF(AT318="Y",BU318&amp;"",BH318&amp;""))</f>
        <v/>
      </c>
      <c r="AG318" s="0" t="str">
        <f aca="false">IF($A318="","",IF(AT318="Y",BV318&amp;"",BI318&amp;""))</f>
        <v/>
      </c>
      <c r="AO318" s="5"/>
      <c r="AR318" s="0" t="str">
        <f aca="false">IF($A318="","",IF(AND(CK318="pass",AO318&lt;&gt;"Y",C318&lt;&gt;"",OR(AU318&lt;&gt;"Y",AV318="Y")),"Y","N"))</f>
        <v/>
      </c>
      <c r="AS318" s="0" t="str">
        <f aca="false">IF($A318="","",_xlfn.TEXTJOIN("; ",TRUE(),IF(CK318&lt;&gt;"pass","gated out",""),IF(AO318="Y","on hold: "&amp;AP318,""),IF(C318="","no contact named on an opened page",""),IF(AND(AU318="Y",AV318&lt;&gt;"Y"),"founder review pending (Founder review tab)","")))</f>
        <v/>
      </c>
      <c r="BC318" s="0" t="str">
        <f aca="false">IF($A318="","",IFERROR(INDEX(Enrichment!$A$2:$GZ$2000,MATCH($A318,INDEX(Enrichment!$A$2:$GZ$2000,0,MATCH("row_id",Enrichment!$A$1:$GZ$1,0)),0),MATCH("work_email",Enrichment!$A$1:$GZ$1,0))&amp;"",""))</f>
        <v/>
      </c>
      <c r="BD318" s="0" t="str">
        <f aca="false">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P318" s="0" t="str">
        <f aca="false">IF($A318="","",IFERROR(INDEX(Enrichment!$A$2:$GZ$2000,MATCH($A318,INDEX(Enrichment!$A$2:$GZ$2000,0,MATCH("row_id",Enrichment!$A$1:$GZ$1,0)),0),MATCH("backup_work_email",Enrichment!$A$1:$GZ$1,0))&amp;"",""))</f>
        <v/>
      </c>
      <c r="BQ318" s="0" t="str">
        <f aca="false">IF($A318="","",IF(BP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DU318" s="0" t="str">
        <f aca="false">IF($A318="","",IF(R318="Y",10,0))</f>
        <v/>
      </c>
      <c r="EV318" s="0" t="str">
        <f aca="false">IF($A318="","",IF(ISNUMBER(MATCH(U318,{"queued","contacted","replied","call_booked","call_done","yes_in_principle","materials_sent"},0)),"Y","N"))</f>
        <v/>
      </c>
      <c r="EW318" s="0" t="str">
        <f aca="false">IF($A318="","",IF(OR(T318="Y",U318="do_not_contact",AQ318&amp;""&lt;&gt;""),"Y","N"))</f>
        <v/>
      </c>
      <c r="EX318" s="0" t="str">
        <f aca="false">IF($A318="","",IF(AN318&amp;""&lt;&gt;"",AN318&amp;"",$A318))</f>
        <v/>
      </c>
      <c r="EY318" s="0" t="str">
        <f aca="false">IF($A318="","",IF(COUNTIFS($EX$2:$EX$1000,EX318,$EV$2:$EV$1000,"Y")+COUNTIFS($EX$2:$EX$1000,EX318,$EW$2:$EW$1000,"Y")&gt;0,"Y","N"))</f>
        <v/>
      </c>
      <c r="EZ318" s="0" t="str">
        <f aca="false">IF($A318="","",IF(AND(U318="new",T318="N",EW318="N",AR318="Y",EY318="N"),"Y","N"))</f>
        <v/>
      </c>
      <c r="FA318" s="0" t="str">
        <f aca="false">IF($A318="","",IF(EZ318&lt;&gt;"Y","N",IF(COUNTIFS($EX$2:$EX$1000,EX318,$EZ$2:$EZ$1000,"Y",$J$2:$J$1000,"&gt;"&amp;J318)+COUNTIFS($EX$2:$EX$1000,EX318,$EZ$2:$EZ$1000,"Y",$J$2:$J$1000,J318,$FG$2:$FG$1000,"&lt;"&amp;FG318)=0,"Y","N")))</f>
        <v/>
      </c>
      <c r="FB318" s="0" t="str">
        <f aca="false">IF($A318="","",IF(AND(EZ318="Y",FA318="Y",Y318&amp;""&lt;&gt;""),IF(Y318&lt;=10,"Y","N"),"N"))</f>
        <v/>
      </c>
      <c r="FC318" s="0" t="str">
        <f aca="false">IF(FB318="Y",Y318,"")</f>
        <v/>
      </c>
      <c r="FD318" s="0" t="str">
        <f aca="false">IF($A318="","",IF(AND(CK318="pass",AU318="Y",AV318&lt;&gt;"Y",U318="new",EW318="N"),"Y","N"))</f>
        <v/>
      </c>
      <c r="FE318" s="0" t="str">
        <f aca="false">IF(FD318&lt;&gt;"Y","",IF(COUNTIFS($FD$2:$FD$1000,"Y",$J$2:$J$1000,"&gt;"&amp;J318)+COUNTIFS($FD$2:$FD$1000,"Y",$J$2:$J$1000,J318,$FG$2:$FG$1000,"&lt;"&amp;FG318)+1&lt;=30,COUNTIFS($FD$2:$FD$1000,"Y",$J$2:$J$1000,"&gt;"&amp;J318)+COUNTIFS($FD$2:$FD$1000,"Y",$J$2:$J$1000,J318,$FG$2:$FG$1000,"&lt;"&amp;FG318)+1,""))</f>
        <v/>
      </c>
      <c r="FF318" s="0" t="str">
        <f aca="false">IF(AND(_xlfn.ISFORMULA(C318),_xlfn.ISFORMULA(J318)),"Y","N")</f>
        <v>Y</v>
      </c>
      <c r="FG318" s="0" t="n">
        <f aca="false">ROW()-1</f>
        <v>317</v>
      </c>
    </row>
    <row r="319" customFormat="false" ht="15" hidden="false" customHeight="false" outlineLevel="0" collapsed="false">
      <c r="C319" s="0" t="str">
        <f aca="false">IF($A319="","",IF(AT319="Y",BL319&amp;"",AY319&amp;""))</f>
        <v/>
      </c>
      <c r="D319" s="0" t="str">
        <f aca="false">IF($A319="","",IF(AT319="Y",BM319&amp;"",AZ319&amp;""))</f>
        <v/>
      </c>
      <c r="E319" s="0" t="str">
        <f aca="false">IF($A319="","",IF(AT319="Y",BN319&amp;"",BA319&amp;""))</f>
        <v/>
      </c>
      <c r="F319" s="0" t="str">
        <f aca="false">IF($A319="","",IF(AT319="Y",BO319&amp;"",BB319&amp;""))</f>
        <v/>
      </c>
      <c r="G319" s="0" t="str">
        <f aca="false">IF($A319="","",IF(AT319="Y",BP319&amp;"",BC319&amp;""))</f>
        <v/>
      </c>
      <c r="H319" s="0" t="str">
        <f aca="false">IF($A319="","",IF(AT319="Y",BQ319&amp;"",BD319&amp;""))</f>
        <v/>
      </c>
      <c r="I319" s="0" t="str">
        <f aca="false">IF($A319="","",IF(R319="Y","warm-intro",IF(H319="verified","email",IF(C319&lt;&gt;"","linkedin",CA319&amp;""))))</f>
        <v/>
      </c>
      <c r="J319" s="0" t="str">
        <f aca="false">IF($A319="","",IF(CK319="pass",ROUND(N(DO319)+N(DP319)+N(DQ319)+N(DR319)+N(DS319)+N(DT319)+N(DU319)+N(DV319),0),0))</f>
        <v/>
      </c>
      <c r="K319" s="0" t="str">
        <f aca="false">IF($A319="","",IF(CK319&lt;&gt;"pass",BY319&amp;"",BY319&amp;", "&amp;IF(AT319="Y",BX319&amp;"",BK319&amp;"")&amp;BZ319&amp;IF(R319="Y","; known to the founder (+10)","")&amp;"."))</f>
        <v/>
      </c>
      <c r="R319" s="5"/>
      <c r="T319" s="5"/>
      <c r="U319" s="5"/>
      <c r="Y319" s="0" t="str">
        <f aca="false">IF(FA319&lt;&gt;"Y","",COUNTIFS($FA$2:$FA$1000,"Y",$J$2:$J$1000,"&gt;"&amp;J319)+COUNTIFS($FA$2:$FA$1000,"Y",$J$2:$J$1000,J319,$FG$2:$FG$1000,"&lt;"&amp;FG319)+1)</f>
        <v/>
      </c>
      <c r="AB319" s="0" t="str">
        <f aca="false">IF($A319="","",IF(AT319="Y",BW319&amp;"",BJ319&amp;""))</f>
        <v/>
      </c>
      <c r="AC319" s="0" t="str">
        <f aca="false">IF($A319="","",IF(AT319="Y",BR319&amp;"",BE319&amp;""))</f>
        <v/>
      </c>
      <c r="AD319" s="0" t="str">
        <f aca="false">IF($A319="","",IF(AT319="Y",BS319&amp;"",BF319&amp;""))</f>
        <v/>
      </c>
      <c r="AE319" s="0" t="str">
        <f aca="false">IF($A319="","",IF(AT319="Y",BT319&amp;"",BG319&amp;""))</f>
        <v/>
      </c>
      <c r="AF319" s="0" t="str">
        <f aca="false">IF($A319="","",IF(AT319="Y",BU319&amp;"",BH319&amp;""))</f>
        <v/>
      </c>
      <c r="AG319" s="0" t="str">
        <f aca="false">IF($A319="","",IF(AT319="Y",BV319&amp;"",BI319&amp;""))</f>
        <v/>
      </c>
      <c r="AO319" s="5"/>
      <c r="AR319" s="0" t="str">
        <f aca="false">IF($A319="","",IF(AND(CK319="pass",AO319&lt;&gt;"Y",C319&lt;&gt;"",OR(AU319&lt;&gt;"Y",AV319="Y")),"Y","N"))</f>
        <v/>
      </c>
      <c r="AS319" s="0" t="str">
        <f aca="false">IF($A319="","",_xlfn.TEXTJOIN("; ",TRUE(),IF(CK319&lt;&gt;"pass","gated out",""),IF(AO319="Y","on hold: "&amp;AP319,""),IF(C319="","no contact named on an opened page",""),IF(AND(AU319="Y",AV319&lt;&gt;"Y"),"founder review pending (Founder review tab)","")))</f>
        <v/>
      </c>
      <c r="BC319" s="0" t="str">
        <f aca="false">IF($A319="","",IFERROR(INDEX(Enrichment!$A$2:$GZ$2000,MATCH($A319,INDEX(Enrichment!$A$2:$GZ$2000,0,MATCH("row_id",Enrichment!$A$1:$GZ$1,0)),0),MATCH("work_email",Enrichment!$A$1:$GZ$1,0))&amp;"",""))</f>
        <v/>
      </c>
      <c r="BD319" s="0" t="str">
        <f aca="false">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P319" s="0" t="str">
        <f aca="false">IF($A319="","",IFERROR(INDEX(Enrichment!$A$2:$GZ$2000,MATCH($A319,INDEX(Enrichment!$A$2:$GZ$2000,0,MATCH("row_id",Enrichment!$A$1:$GZ$1,0)),0),MATCH("backup_work_email",Enrichment!$A$1:$GZ$1,0))&amp;"",""))</f>
        <v/>
      </c>
      <c r="BQ319" s="0" t="str">
        <f aca="false">IF($A319="","",IF(BP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DU319" s="0" t="str">
        <f aca="false">IF($A319="","",IF(R319="Y",10,0))</f>
        <v/>
      </c>
      <c r="EV319" s="0" t="str">
        <f aca="false">IF($A319="","",IF(ISNUMBER(MATCH(U319,{"queued","contacted","replied","call_booked","call_done","yes_in_principle","materials_sent"},0)),"Y","N"))</f>
        <v/>
      </c>
      <c r="EW319" s="0" t="str">
        <f aca="false">IF($A319="","",IF(OR(T319="Y",U319="do_not_contact",AQ319&amp;""&lt;&gt;""),"Y","N"))</f>
        <v/>
      </c>
      <c r="EX319" s="0" t="str">
        <f aca="false">IF($A319="","",IF(AN319&amp;""&lt;&gt;"",AN319&amp;"",$A319))</f>
        <v/>
      </c>
      <c r="EY319" s="0" t="str">
        <f aca="false">IF($A319="","",IF(COUNTIFS($EX$2:$EX$1000,EX319,$EV$2:$EV$1000,"Y")+COUNTIFS($EX$2:$EX$1000,EX319,$EW$2:$EW$1000,"Y")&gt;0,"Y","N"))</f>
        <v/>
      </c>
      <c r="EZ319" s="0" t="str">
        <f aca="false">IF($A319="","",IF(AND(U319="new",T319="N",EW319="N",AR319="Y",EY319="N"),"Y","N"))</f>
        <v/>
      </c>
      <c r="FA319" s="0" t="str">
        <f aca="false">IF($A319="","",IF(EZ319&lt;&gt;"Y","N",IF(COUNTIFS($EX$2:$EX$1000,EX319,$EZ$2:$EZ$1000,"Y",$J$2:$J$1000,"&gt;"&amp;J319)+COUNTIFS($EX$2:$EX$1000,EX319,$EZ$2:$EZ$1000,"Y",$J$2:$J$1000,J319,$FG$2:$FG$1000,"&lt;"&amp;FG319)=0,"Y","N")))</f>
        <v/>
      </c>
      <c r="FB319" s="0" t="str">
        <f aca="false">IF($A319="","",IF(AND(EZ319="Y",FA319="Y",Y319&amp;""&lt;&gt;""),IF(Y319&lt;=10,"Y","N"),"N"))</f>
        <v/>
      </c>
      <c r="FC319" s="0" t="str">
        <f aca="false">IF(FB319="Y",Y319,"")</f>
        <v/>
      </c>
      <c r="FD319" s="0" t="str">
        <f aca="false">IF($A319="","",IF(AND(CK319="pass",AU319="Y",AV319&lt;&gt;"Y",U319="new",EW319="N"),"Y","N"))</f>
        <v/>
      </c>
      <c r="FE319" s="0" t="str">
        <f aca="false">IF(FD319&lt;&gt;"Y","",IF(COUNTIFS($FD$2:$FD$1000,"Y",$J$2:$J$1000,"&gt;"&amp;J319)+COUNTIFS($FD$2:$FD$1000,"Y",$J$2:$J$1000,J319,$FG$2:$FG$1000,"&lt;"&amp;FG319)+1&lt;=30,COUNTIFS($FD$2:$FD$1000,"Y",$J$2:$J$1000,"&gt;"&amp;J319)+COUNTIFS($FD$2:$FD$1000,"Y",$J$2:$J$1000,J319,$FG$2:$FG$1000,"&lt;"&amp;FG319)+1,""))</f>
        <v/>
      </c>
      <c r="FF319" s="0" t="str">
        <f aca="false">IF(AND(_xlfn.ISFORMULA(C319),_xlfn.ISFORMULA(J319)),"Y","N")</f>
        <v>Y</v>
      </c>
      <c r="FG319" s="0" t="n">
        <f aca="false">ROW()-1</f>
        <v>318</v>
      </c>
    </row>
    <row r="320" customFormat="false" ht="15" hidden="false" customHeight="false" outlineLevel="0" collapsed="false">
      <c r="C320" s="0" t="str">
        <f aca="false">IF($A320="","",IF(AT320="Y",BL320&amp;"",AY320&amp;""))</f>
        <v/>
      </c>
      <c r="D320" s="0" t="str">
        <f aca="false">IF($A320="","",IF(AT320="Y",BM320&amp;"",AZ320&amp;""))</f>
        <v/>
      </c>
      <c r="E320" s="0" t="str">
        <f aca="false">IF($A320="","",IF(AT320="Y",BN320&amp;"",BA320&amp;""))</f>
        <v/>
      </c>
      <c r="F320" s="0" t="str">
        <f aca="false">IF($A320="","",IF(AT320="Y",BO320&amp;"",BB320&amp;""))</f>
        <v/>
      </c>
      <c r="G320" s="0" t="str">
        <f aca="false">IF($A320="","",IF(AT320="Y",BP320&amp;"",BC320&amp;""))</f>
        <v/>
      </c>
      <c r="H320" s="0" t="str">
        <f aca="false">IF($A320="","",IF(AT320="Y",BQ320&amp;"",BD320&amp;""))</f>
        <v/>
      </c>
      <c r="I320" s="0" t="str">
        <f aca="false">IF($A320="","",IF(R320="Y","warm-intro",IF(H320="verified","email",IF(C320&lt;&gt;"","linkedin",CA320&amp;""))))</f>
        <v/>
      </c>
      <c r="J320" s="0" t="str">
        <f aca="false">IF($A320="","",IF(CK320="pass",ROUND(N(DO320)+N(DP320)+N(DQ320)+N(DR320)+N(DS320)+N(DT320)+N(DU320)+N(DV320),0),0))</f>
        <v/>
      </c>
      <c r="K320" s="0" t="str">
        <f aca="false">IF($A320="","",IF(CK320&lt;&gt;"pass",BY320&amp;"",BY320&amp;", "&amp;IF(AT320="Y",BX320&amp;"",BK320&amp;"")&amp;BZ320&amp;IF(R320="Y","; known to the founder (+10)","")&amp;"."))</f>
        <v/>
      </c>
      <c r="R320" s="5"/>
      <c r="T320" s="5"/>
      <c r="U320" s="5"/>
      <c r="Y320" s="0" t="str">
        <f aca="false">IF(FA320&lt;&gt;"Y","",COUNTIFS($FA$2:$FA$1000,"Y",$J$2:$J$1000,"&gt;"&amp;J320)+COUNTIFS($FA$2:$FA$1000,"Y",$J$2:$J$1000,J320,$FG$2:$FG$1000,"&lt;"&amp;FG320)+1)</f>
        <v/>
      </c>
      <c r="AB320" s="0" t="str">
        <f aca="false">IF($A320="","",IF(AT320="Y",BW320&amp;"",BJ320&amp;""))</f>
        <v/>
      </c>
      <c r="AC320" s="0" t="str">
        <f aca="false">IF($A320="","",IF(AT320="Y",BR320&amp;"",BE320&amp;""))</f>
        <v/>
      </c>
      <c r="AD320" s="0" t="str">
        <f aca="false">IF($A320="","",IF(AT320="Y",BS320&amp;"",BF320&amp;""))</f>
        <v/>
      </c>
      <c r="AE320" s="0" t="str">
        <f aca="false">IF($A320="","",IF(AT320="Y",BT320&amp;"",BG320&amp;""))</f>
        <v/>
      </c>
      <c r="AF320" s="0" t="str">
        <f aca="false">IF($A320="","",IF(AT320="Y",BU320&amp;"",BH320&amp;""))</f>
        <v/>
      </c>
      <c r="AG320" s="0" t="str">
        <f aca="false">IF($A320="","",IF(AT320="Y",BV320&amp;"",BI320&amp;""))</f>
        <v/>
      </c>
      <c r="AO320" s="5"/>
      <c r="AR320" s="0" t="str">
        <f aca="false">IF($A320="","",IF(AND(CK320="pass",AO320&lt;&gt;"Y",C320&lt;&gt;"",OR(AU320&lt;&gt;"Y",AV320="Y")),"Y","N"))</f>
        <v/>
      </c>
      <c r="AS320" s="0" t="str">
        <f aca="false">IF($A320="","",_xlfn.TEXTJOIN("; ",TRUE(),IF(CK320&lt;&gt;"pass","gated out",""),IF(AO320="Y","on hold: "&amp;AP320,""),IF(C320="","no contact named on an opened page",""),IF(AND(AU320="Y",AV320&lt;&gt;"Y"),"founder review pending (Founder review tab)","")))</f>
        <v/>
      </c>
      <c r="BC320" s="0" t="str">
        <f aca="false">IF($A320="","",IFERROR(INDEX(Enrichment!$A$2:$GZ$2000,MATCH($A320,INDEX(Enrichment!$A$2:$GZ$2000,0,MATCH("row_id",Enrichment!$A$1:$GZ$1,0)),0),MATCH("work_email",Enrichment!$A$1:$GZ$1,0))&amp;"",""))</f>
        <v/>
      </c>
      <c r="BD320" s="0" t="str">
        <f aca="false">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P320" s="0" t="str">
        <f aca="false">IF($A320="","",IFERROR(INDEX(Enrichment!$A$2:$GZ$2000,MATCH($A320,INDEX(Enrichment!$A$2:$GZ$2000,0,MATCH("row_id",Enrichment!$A$1:$GZ$1,0)),0),MATCH("backup_work_email",Enrichment!$A$1:$GZ$1,0))&amp;"",""))</f>
        <v/>
      </c>
      <c r="BQ320" s="0" t="str">
        <f aca="false">IF($A320="","",IF(BP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DU320" s="0" t="str">
        <f aca="false">IF($A320="","",IF(R320="Y",10,0))</f>
        <v/>
      </c>
      <c r="EV320" s="0" t="str">
        <f aca="false">IF($A320="","",IF(ISNUMBER(MATCH(U320,{"queued","contacted","replied","call_booked","call_done","yes_in_principle","materials_sent"},0)),"Y","N"))</f>
        <v/>
      </c>
      <c r="EW320" s="0" t="str">
        <f aca="false">IF($A320="","",IF(OR(T320="Y",U320="do_not_contact",AQ320&amp;""&lt;&gt;""),"Y","N"))</f>
        <v/>
      </c>
      <c r="EX320" s="0" t="str">
        <f aca="false">IF($A320="","",IF(AN320&amp;""&lt;&gt;"",AN320&amp;"",$A320))</f>
        <v/>
      </c>
      <c r="EY320" s="0" t="str">
        <f aca="false">IF($A320="","",IF(COUNTIFS($EX$2:$EX$1000,EX320,$EV$2:$EV$1000,"Y")+COUNTIFS($EX$2:$EX$1000,EX320,$EW$2:$EW$1000,"Y")&gt;0,"Y","N"))</f>
        <v/>
      </c>
      <c r="EZ320" s="0" t="str">
        <f aca="false">IF($A320="","",IF(AND(U320="new",T320="N",EW320="N",AR320="Y",EY320="N"),"Y","N"))</f>
        <v/>
      </c>
      <c r="FA320" s="0" t="str">
        <f aca="false">IF($A320="","",IF(EZ320&lt;&gt;"Y","N",IF(COUNTIFS($EX$2:$EX$1000,EX320,$EZ$2:$EZ$1000,"Y",$J$2:$J$1000,"&gt;"&amp;J320)+COUNTIFS($EX$2:$EX$1000,EX320,$EZ$2:$EZ$1000,"Y",$J$2:$J$1000,J320,$FG$2:$FG$1000,"&lt;"&amp;FG320)=0,"Y","N")))</f>
        <v/>
      </c>
      <c r="FB320" s="0" t="str">
        <f aca="false">IF($A320="","",IF(AND(EZ320="Y",FA320="Y",Y320&amp;""&lt;&gt;""),IF(Y320&lt;=10,"Y","N"),"N"))</f>
        <v/>
      </c>
      <c r="FC320" s="0" t="str">
        <f aca="false">IF(FB320="Y",Y320,"")</f>
        <v/>
      </c>
      <c r="FD320" s="0" t="str">
        <f aca="false">IF($A320="","",IF(AND(CK320="pass",AU320="Y",AV320&lt;&gt;"Y",U320="new",EW320="N"),"Y","N"))</f>
        <v/>
      </c>
      <c r="FE320" s="0" t="str">
        <f aca="false">IF(FD320&lt;&gt;"Y","",IF(COUNTIFS($FD$2:$FD$1000,"Y",$J$2:$J$1000,"&gt;"&amp;J320)+COUNTIFS($FD$2:$FD$1000,"Y",$J$2:$J$1000,J320,$FG$2:$FG$1000,"&lt;"&amp;FG320)+1&lt;=30,COUNTIFS($FD$2:$FD$1000,"Y",$J$2:$J$1000,"&gt;"&amp;J320)+COUNTIFS($FD$2:$FD$1000,"Y",$J$2:$J$1000,J320,$FG$2:$FG$1000,"&lt;"&amp;FG320)+1,""))</f>
        <v/>
      </c>
      <c r="FF320" s="0" t="str">
        <f aca="false">IF(AND(_xlfn.ISFORMULA(C320),_xlfn.ISFORMULA(J320)),"Y","N")</f>
        <v>Y</v>
      </c>
      <c r="FG320" s="0" t="n">
        <f aca="false">ROW()-1</f>
        <v>319</v>
      </c>
    </row>
    <row r="321" customFormat="false" ht="15" hidden="false" customHeight="false" outlineLevel="0" collapsed="false">
      <c r="C321" s="0" t="str">
        <f aca="false">IF($A321="","",IF(AT321="Y",BL321&amp;"",AY321&amp;""))</f>
        <v/>
      </c>
      <c r="D321" s="0" t="str">
        <f aca="false">IF($A321="","",IF(AT321="Y",BM321&amp;"",AZ321&amp;""))</f>
        <v/>
      </c>
      <c r="E321" s="0" t="str">
        <f aca="false">IF($A321="","",IF(AT321="Y",BN321&amp;"",BA321&amp;""))</f>
        <v/>
      </c>
      <c r="F321" s="0" t="str">
        <f aca="false">IF($A321="","",IF(AT321="Y",BO321&amp;"",BB321&amp;""))</f>
        <v/>
      </c>
      <c r="G321" s="0" t="str">
        <f aca="false">IF($A321="","",IF(AT321="Y",BP321&amp;"",BC321&amp;""))</f>
        <v/>
      </c>
      <c r="H321" s="0" t="str">
        <f aca="false">IF($A321="","",IF(AT321="Y",BQ321&amp;"",BD321&amp;""))</f>
        <v/>
      </c>
      <c r="I321" s="0" t="str">
        <f aca="false">IF($A321="","",IF(R321="Y","warm-intro",IF(H321="verified","email",IF(C321&lt;&gt;"","linkedin",CA321&amp;""))))</f>
        <v/>
      </c>
      <c r="J321" s="0" t="str">
        <f aca="false">IF($A321="","",IF(CK321="pass",ROUND(N(DO321)+N(DP321)+N(DQ321)+N(DR321)+N(DS321)+N(DT321)+N(DU321)+N(DV321),0),0))</f>
        <v/>
      </c>
      <c r="K321" s="0" t="str">
        <f aca="false">IF($A321="","",IF(CK321&lt;&gt;"pass",BY321&amp;"",BY321&amp;", "&amp;IF(AT321="Y",BX321&amp;"",BK321&amp;"")&amp;BZ321&amp;IF(R321="Y","; known to the founder (+10)","")&amp;"."))</f>
        <v/>
      </c>
      <c r="R321" s="5"/>
      <c r="T321" s="5"/>
      <c r="U321" s="5"/>
      <c r="Y321" s="0" t="str">
        <f aca="false">IF(FA321&lt;&gt;"Y","",COUNTIFS($FA$2:$FA$1000,"Y",$J$2:$J$1000,"&gt;"&amp;J321)+COUNTIFS($FA$2:$FA$1000,"Y",$J$2:$J$1000,J321,$FG$2:$FG$1000,"&lt;"&amp;FG321)+1)</f>
        <v/>
      </c>
      <c r="AB321" s="0" t="str">
        <f aca="false">IF($A321="","",IF(AT321="Y",BW321&amp;"",BJ321&amp;""))</f>
        <v/>
      </c>
      <c r="AC321" s="0" t="str">
        <f aca="false">IF($A321="","",IF(AT321="Y",BR321&amp;"",BE321&amp;""))</f>
        <v/>
      </c>
      <c r="AD321" s="0" t="str">
        <f aca="false">IF($A321="","",IF(AT321="Y",BS321&amp;"",BF321&amp;""))</f>
        <v/>
      </c>
      <c r="AE321" s="0" t="str">
        <f aca="false">IF($A321="","",IF(AT321="Y",BT321&amp;"",BG321&amp;""))</f>
        <v/>
      </c>
      <c r="AF321" s="0" t="str">
        <f aca="false">IF($A321="","",IF(AT321="Y",BU321&amp;"",BH321&amp;""))</f>
        <v/>
      </c>
      <c r="AG321" s="0" t="str">
        <f aca="false">IF($A321="","",IF(AT321="Y",BV321&amp;"",BI321&amp;""))</f>
        <v/>
      </c>
      <c r="AO321" s="5"/>
      <c r="AR321" s="0" t="str">
        <f aca="false">IF($A321="","",IF(AND(CK321="pass",AO321&lt;&gt;"Y",C321&lt;&gt;"",OR(AU321&lt;&gt;"Y",AV321="Y")),"Y","N"))</f>
        <v/>
      </c>
      <c r="AS321" s="0" t="str">
        <f aca="false">IF($A321="","",_xlfn.TEXTJOIN("; ",TRUE(),IF(CK321&lt;&gt;"pass","gated out",""),IF(AO321="Y","on hold: "&amp;AP321,""),IF(C321="","no contact named on an opened page",""),IF(AND(AU321="Y",AV321&lt;&gt;"Y"),"founder review pending (Founder review tab)","")))</f>
        <v/>
      </c>
      <c r="BC321" s="0" t="str">
        <f aca="false">IF($A321="","",IFERROR(INDEX(Enrichment!$A$2:$GZ$2000,MATCH($A321,INDEX(Enrichment!$A$2:$GZ$2000,0,MATCH("row_id",Enrichment!$A$1:$GZ$1,0)),0),MATCH("work_email",Enrichment!$A$1:$GZ$1,0))&amp;"",""))</f>
        <v/>
      </c>
      <c r="BD321" s="0" t="str">
        <f aca="false">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P321" s="0" t="str">
        <f aca="false">IF($A321="","",IFERROR(INDEX(Enrichment!$A$2:$GZ$2000,MATCH($A321,INDEX(Enrichment!$A$2:$GZ$2000,0,MATCH("row_id",Enrichment!$A$1:$GZ$1,0)),0),MATCH("backup_work_email",Enrichment!$A$1:$GZ$1,0))&amp;"",""))</f>
        <v/>
      </c>
      <c r="BQ321" s="0" t="str">
        <f aca="false">IF($A321="","",IF(BP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DU321" s="0" t="str">
        <f aca="false">IF($A321="","",IF(R321="Y",10,0))</f>
        <v/>
      </c>
      <c r="EV321" s="0" t="str">
        <f aca="false">IF($A321="","",IF(ISNUMBER(MATCH(U321,{"queued","contacted","replied","call_booked","call_done","yes_in_principle","materials_sent"},0)),"Y","N"))</f>
        <v/>
      </c>
      <c r="EW321" s="0" t="str">
        <f aca="false">IF($A321="","",IF(OR(T321="Y",U321="do_not_contact",AQ321&amp;""&lt;&gt;""),"Y","N"))</f>
        <v/>
      </c>
      <c r="EX321" s="0" t="str">
        <f aca="false">IF($A321="","",IF(AN321&amp;""&lt;&gt;"",AN321&amp;"",$A321))</f>
        <v/>
      </c>
      <c r="EY321" s="0" t="str">
        <f aca="false">IF($A321="","",IF(COUNTIFS($EX$2:$EX$1000,EX321,$EV$2:$EV$1000,"Y")+COUNTIFS($EX$2:$EX$1000,EX321,$EW$2:$EW$1000,"Y")&gt;0,"Y","N"))</f>
        <v/>
      </c>
      <c r="EZ321" s="0" t="str">
        <f aca="false">IF($A321="","",IF(AND(U321="new",T321="N",EW321="N",AR321="Y",EY321="N"),"Y","N"))</f>
        <v/>
      </c>
      <c r="FA321" s="0" t="str">
        <f aca="false">IF($A321="","",IF(EZ321&lt;&gt;"Y","N",IF(COUNTIFS($EX$2:$EX$1000,EX321,$EZ$2:$EZ$1000,"Y",$J$2:$J$1000,"&gt;"&amp;J321)+COUNTIFS($EX$2:$EX$1000,EX321,$EZ$2:$EZ$1000,"Y",$J$2:$J$1000,J321,$FG$2:$FG$1000,"&lt;"&amp;FG321)=0,"Y","N")))</f>
        <v/>
      </c>
      <c r="FB321" s="0" t="str">
        <f aca="false">IF($A321="","",IF(AND(EZ321="Y",FA321="Y",Y321&amp;""&lt;&gt;""),IF(Y321&lt;=10,"Y","N"),"N"))</f>
        <v/>
      </c>
      <c r="FC321" s="0" t="str">
        <f aca="false">IF(FB321="Y",Y321,"")</f>
        <v/>
      </c>
      <c r="FD321" s="0" t="str">
        <f aca="false">IF($A321="","",IF(AND(CK321="pass",AU321="Y",AV321&lt;&gt;"Y",U321="new",EW321="N"),"Y","N"))</f>
        <v/>
      </c>
      <c r="FE321" s="0" t="str">
        <f aca="false">IF(FD321&lt;&gt;"Y","",IF(COUNTIFS($FD$2:$FD$1000,"Y",$J$2:$J$1000,"&gt;"&amp;J321)+COUNTIFS($FD$2:$FD$1000,"Y",$J$2:$J$1000,J321,$FG$2:$FG$1000,"&lt;"&amp;FG321)+1&lt;=30,COUNTIFS($FD$2:$FD$1000,"Y",$J$2:$J$1000,"&gt;"&amp;J321)+COUNTIFS($FD$2:$FD$1000,"Y",$J$2:$J$1000,J321,$FG$2:$FG$1000,"&lt;"&amp;FG321)+1,""))</f>
        <v/>
      </c>
      <c r="FF321" s="0" t="str">
        <f aca="false">IF(AND(_xlfn.ISFORMULA(C321),_xlfn.ISFORMULA(J321)),"Y","N")</f>
        <v>Y</v>
      </c>
      <c r="FG321" s="0" t="n">
        <f aca="false">ROW()-1</f>
        <v>320</v>
      </c>
    </row>
    <row r="322" customFormat="false" ht="15" hidden="false" customHeight="false" outlineLevel="0" collapsed="false">
      <c r="C322" s="0" t="str">
        <f aca="false">IF($A322="","",IF(AT322="Y",BL322&amp;"",AY322&amp;""))</f>
        <v/>
      </c>
      <c r="D322" s="0" t="str">
        <f aca="false">IF($A322="","",IF(AT322="Y",BM322&amp;"",AZ322&amp;""))</f>
        <v/>
      </c>
      <c r="E322" s="0" t="str">
        <f aca="false">IF($A322="","",IF(AT322="Y",BN322&amp;"",BA322&amp;""))</f>
        <v/>
      </c>
      <c r="F322" s="0" t="str">
        <f aca="false">IF($A322="","",IF(AT322="Y",BO322&amp;"",BB322&amp;""))</f>
        <v/>
      </c>
      <c r="G322" s="0" t="str">
        <f aca="false">IF($A322="","",IF(AT322="Y",BP322&amp;"",BC322&amp;""))</f>
        <v/>
      </c>
      <c r="H322" s="0" t="str">
        <f aca="false">IF($A322="","",IF(AT322="Y",BQ322&amp;"",BD322&amp;""))</f>
        <v/>
      </c>
      <c r="I322" s="0" t="str">
        <f aca="false">IF($A322="","",IF(R322="Y","warm-intro",IF(H322="verified","email",IF(C322&lt;&gt;"","linkedin",CA322&amp;""))))</f>
        <v/>
      </c>
      <c r="J322" s="0" t="str">
        <f aca="false">IF($A322="","",IF(CK322="pass",ROUND(N(DO322)+N(DP322)+N(DQ322)+N(DR322)+N(DS322)+N(DT322)+N(DU322)+N(DV322),0),0))</f>
        <v/>
      </c>
      <c r="K322" s="0" t="str">
        <f aca="false">IF($A322="","",IF(CK322&lt;&gt;"pass",BY322&amp;"",BY322&amp;", "&amp;IF(AT322="Y",BX322&amp;"",BK322&amp;"")&amp;BZ322&amp;IF(R322="Y","; known to the founder (+10)","")&amp;"."))</f>
        <v/>
      </c>
      <c r="R322" s="5"/>
      <c r="T322" s="5"/>
      <c r="U322" s="5"/>
      <c r="Y322" s="0" t="str">
        <f aca="false">IF(FA322&lt;&gt;"Y","",COUNTIFS($FA$2:$FA$1000,"Y",$J$2:$J$1000,"&gt;"&amp;J322)+COUNTIFS($FA$2:$FA$1000,"Y",$J$2:$J$1000,J322,$FG$2:$FG$1000,"&lt;"&amp;FG322)+1)</f>
        <v/>
      </c>
      <c r="AB322" s="0" t="str">
        <f aca="false">IF($A322="","",IF(AT322="Y",BW322&amp;"",BJ322&amp;""))</f>
        <v/>
      </c>
      <c r="AC322" s="0" t="str">
        <f aca="false">IF($A322="","",IF(AT322="Y",BR322&amp;"",BE322&amp;""))</f>
        <v/>
      </c>
      <c r="AD322" s="0" t="str">
        <f aca="false">IF($A322="","",IF(AT322="Y",BS322&amp;"",BF322&amp;""))</f>
        <v/>
      </c>
      <c r="AE322" s="0" t="str">
        <f aca="false">IF($A322="","",IF(AT322="Y",BT322&amp;"",BG322&amp;""))</f>
        <v/>
      </c>
      <c r="AF322" s="0" t="str">
        <f aca="false">IF($A322="","",IF(AT322="Y",BU322&amp;"",BH322&amp;""))</f>
        <v/>
      </c>
      <c r="AG322" s="0" t="str">
        <f aca="false">IF($A322="","",IF(AT322="Y",BV322&amp;"",BI322&amp;""))</f>
        <v/>
      </c>
      <c r="AO322" s="5"/>
      <c r="AR322" s="0" t="str">
        <f aca="false">IF($A322="","",IF(AND(CK322="pass",AO322&lt;&gt;"Y",C322&lt;&gt;"",OR(AU322&lt;&gt;"Y",AV322="Y")),"Y","N"))</f>
        <v/>
      </c>
      <c r="AS322" s="0" t="str">
        <f aca="false">IF($A322="","",_xlfn.TEXTJOIN("; ",TRUE(),IF(CK322&lt;&gt;"pass","gated out",""),IF(AO322="Y","on hold: "&amp;AP322,""),IF(C322="","no contact named on an opened page",""),IF(AND(AU322="Y",AV322&lt;&gt;"Y"),"founder review pending (Founder review tab)","")))</f>
        <v/>
      </c>
      <c r="BC322" s="0" t="str">
        <f aca="false">IF($A322="","",IFERROR(INDEX(Enrichment!$A$2:$GZ$2000,MATCH($A322,INDEX(Enrichment!$A$2:$GZ$2000,0,MATCH("row_id",Enrichment!$A$1:$GZ$1,0)),0),MATCH("work_email",Enrichment!$A$1:$GZ$1,0))&amp;"",""))</f>
        <v/>
      </c>
      <c r="BD322" s="0" t="str">
        <f aca="false">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P322" s="0" t="str">
        <f aca="false">IF($A322="","",IFERROR(INDEX(Enrichment!$A$2:$GZ$2000,MATCH($A322,INDEX(Enrichment!$A$2:$GZ$2000,0,MATCH("row_id",Enrichment!$A$1:$GZ$1,0)),0),MATCH("backup_work_email",Enrichment!$A$1:$GZ$1,0))&amp;"",""))</f>
        <v/>
      </c>
      <c r="BQ322" s="0" t="str">
        <f aca="false">IF($A322="","",IF(BP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DU322" s="0" t="str">
        <f aca="false">IF($A322="","",IF(R322="Y",10,0))</f>
        <v/>
      </c>
      <c r="EV322" s="0" t="str">
        <f aca="false">IF($A322="","",IF(ISNUMBER(MATCH(U322,{"queued","contacted","replied","call_booked","call_done","yes_in_principle","materials_sent"},0)),"Y","N"))</f>
        <v/>
      </c>
      <c r="EW322" s="0" t="str">
        <f aca="false">IF($A322="","",IF(OR(T322="Y",U322="do_not_contact",AQ322&amp;""&lt;&gt;""),"Y","N"))</f>
        <v/>
      </c>
      <c r="EX322" s="0" t="str">
        <f aca="false">IF($A322="","",IF(AN322&amp;""&lt;&gt;"",AN322&amp;"",$A322))</f>
        <v/>
      </c>
      <c r="EY322" s="0" t="str">
        <f aca="false">IF($A322="","",IF(COUNTIFS($EX$2:$EX$1000,EX322,$EV$2:$EV$1000,"Y")+COUNTIFS($EX$2:$EX$1000,EX322,$EW$2:$EW$1000,"Y")&gt;0,"Y","N"))</f>
        <v/>
      </c>
      <c r="EZ322" s="0" t="str">
        <f aca="false">IF($A322="","",IF(AND(U322="new",T322="N",EW322="N",AR322="Y",EY322="N"),"Y","N"))</f>
        <v/>
      </c>
      <c r="FA322" s="0" t="str">
        <f aca="false">IF($A322="","",IF(EZ322&lt;&gt;"Y","N",IF(COUNTIFS($EX$2:$EX$1000,EX322,$EZ$2:$EZ$1000,"Y",$J$2:$J$1000,"&gt;"&amp;J322)+COUNTIFS($EX$2:$EX$1000,EX322,$EZ$2:$EZ$1000,"Y",$J$2:$J$1000,J322,$FG$2:$FG$1000,"&lt;"&amp;FG322)=0,"Y","N")))</f>
        <v/>
      </c>
      <c r="FB322" s="0" t="str">
        <f aca="false">IF($A322="","",IF(AND(EZ322="Y",FA322="Y",Y322&amp;""&lt;&gt;""),IF(Y322&lt;=10,"Y","N"),"N"))</f>
        <v/>
      </c>
      <c r="FC322" s="0" t="str">
        <f aca="false">IF(FB322="Y",Y322,"")</f>
        <v/>
      </c>
      <c r="FD322" s="0" t="str">
        <f aca="false">IF($A322="","",IF(AND(CK322="pass",AU322="Y",AV322&lt;&gt;"Y",U322="new",EW322="N"),"Y","N"))</f>
        <v/>
      </c>
      <c r="FE322" s="0" t="str">
        <f aca="false">IF(FD322&lt;&gt;"Y","",IF(COUNTIFS($FD$2:$FD$1000,"Y",$J$2:$J$1000,"&gt;"&amp;J322)+COUNTIFS($FD$2:$FD$1000,"Y",$J$2:$J$1000,J322,$FG$2:$FG$1000,"&lt;"&amp;FG322)+1&lt;=30,COUNTIFS($FD$2:$FD$1000,"Y",$J$2:$J$1000,"&gt;"&amp;J322)+COUNTIFS($FD$2:$FD$1000,"Y",$J$2:$J$1000,J322,$FG$2:$FG$1000,"&lt;"&amp;FG322)+1,""))</f>
        <v/>
      </c>
      <c r="FF322" s="0" t="str">
        <f aca="false">IF(AND(_xlfn.ISFORMULA(C322),_xlfn.ISFORMULA(J322)),"Y","N")</f>
        <v>Y</v>
      </c>
      <c r="FG322" s="0" t="n">
        <f aca="false">ROW()-1</f>
        <v>321</v>
      </c>
    </row>
    <row r="323" customFormat="false" ht="15" hidden="false" customHeight="false" outlineLevel="0" collapsed="false">
      <c r="C323" s="0" t="str">
        <f aca="false">IF($A323="","",IF(AT323="Y",BL323&amp;"",AY323&amp;""))</f>
        <v/>
      </c>
      <c r="D323" s="0" t="str">
        <f aca="false">IF($A323="","",IF(AT323="Y",BM323&amp;"",AZ323&amp;""))</f>
        <v/>
      </c>
      <c r="E323" s="0" t="str">
        <f aca="false">IF($A323="","",IF(AT323="Y",BN323&amp;"",BA323&amp;""))</f>
        <v/>
      </c>
      <c r="F323" s="0" t="str">
        <f aca="false">IF($A323="","",IF(AT323="Y",BO323&amp;"",BB323&amp;""))</f>
        <v/>
      </c>
      <c r="G323" s="0" t="str">
        <f aca="false">IF($A323="","",IF(AT323="Y",BP323&amp;"",BC323&amp;""))</f>
        <v/>
      </c>
      <c r="H323" s="0" t="str">
        <f aca="false">IF($A323="","",IF(AT323="Y",BQ323&amp;"",BD323&amp;""))</f>
        <v/>
      </c>
      <c r="I323" s="0" t="str">
        <f aca="false">IF($A323="","",IF(R323="Y","warm-intro",IF(H323="verified","email",IF(C323&lt;&gt;"","linkedin",CA323&amp;""))))</f>
        <v/>
      </c>
      <c r="J323" s="0" t="str">
        <f aca="false">IF($A323="","",IF(CK323="pass",ROUND(N(DO323)+N(DP323)+N(DQ323)+N(DR323)+N(DS323)+N(DT323)+N(DU323)+N(DV323),0),0))</f>
        <v/>
      </c>
      <c r="K323" s="0" t="str">
        <f aca="false">IF($A323="","",IF(CK323&lt;&gt;"pass",BY323&amp;"",BY323&amp;", "&amp;IF(AT323="Y",BX323&amp;"",BK323&amp;"")&amp;BZ323&amp;IF(R323="Y","; known to the founder (+10)","")&amp;"."))</f>
        <v/>
      </c>
      <c r="R323" s="5"/>
      <c r="T323" s="5"/>
      <c r="U323" s="5"/>
      <c r="Y323" s="0" t="str">
        <f aca="false">IF(FA323&lt;&gt;"Y","",COUNTIFS($FA$2:$FA$1000,"Y",$J$2:$J$1000,"&gt;"&amp;J323)+COUNTIFS($FA$2:$FA$1000,"Y",$J$2:$J$1000,J323,$FG$2:$FG$1000,"&lt;"&amp;FG323)+1)</f>
        <v/>
      </c>
      <c r="AB323" s="0" t="str">
        <f aca="false">IF($A323="","",IF(AT323="Y",BW323&amp;"",BJ323&amp;""))</f>
        <v/>
      </c>
      <c r="AC323" s="0" t="str">
        <f aca="false">IF($A323="","",IF(AT323="Y",BR323&amp;"",BE323&amp;""))</f>
        <v/>
      </c>
      <c r="AD323" s="0" t="str">
        <f aca="false">IF($A323="","",IF(AT323="Y",BS323&amp;"",BF323&amp;""))</f>
        <v/>
      </c>
      <c r="AE323" s="0" t="str">
        <f aca="false">IF($A323="","",IF(AT323="Y",BT323&amp;"",BG323&amp;""))</f>
        <v/>
      </c>
      <c r="AF323" s="0" t="str">
        <f aca="false">IF($A323="","",IF(AT323="Y",BU323&amp;"",BH323&amp;""))</f>
        <v/>
      </c>
      <c r="AG323" s="0" t="str">
        <f aca="false">IF($A323="","",IF(AT323="Y",BV323&amp;"",BI323&amp;""))</f>
        <v/>
      </c>
      <c r="AO323" s="5"/>
      <c r="AR323" s="0" t="str">
        <f aca="false">IF($A323="","",IF(AND(CK323="pass",AO323&lt;&gt;"Y",C323&lt;&gt;"",OR(AU323&lt;&gt;"Y",AV323="Y")),"Y","N"))</f>
        <v/>
      </c>
      <c r="AS323" s="0" t="str">
        <f aca="false">IF($A323="","",_xlfn.TEXTJOIN("; ",TRUE(),IF(CK323&lt;&gt;"pass","gated out",""),IF(AO323="Y","on hold: "&amp;AP323,""),IF(C323="","no contact named on an opened page",""),IF(AND(AU323="Y",AV323&lt;&gt;"Y"),"founder review pending (Founder review tab)","")))</f>
        <v/>
      </c>
      <c r="BC323" s="0" t="str">
        <f aca="false">IF($A323="","",IFERROR(INDEX(Enrichment!$A$2:$GZ$2000,MATCH($A323,INDEX(Enrichment!$A$2:$GZ$2000,0,MATCH("row_id",Enrichment!$A$1:$GZ$1,0)),0),MATCH("work_email",Enrichment!$A$1:$GZ$1,0))&amp;"",""))</f>
        <v/>
      </c>
      <c r="BD323" s="0" t="str">
        <f aca="false">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P323" s="0" t="str">
        <f aca="false">IF($A323="","",IFERROR(INDEX(Enrichment!$A$2:$GZ$2000,MATCH($A323,INDEX(Enrichment!$A$2:$GZ$2000,0,MATCH("row_id",Enrichment!$A$1:$GZ$1,0)),0),MATCH("backup_work_email",Enrichment!$A$1:$GZ$1,0))&amp;"",""))</f>
        <v/>
      </c>
      <c r="BQ323" s="0" t="str">
        <f aca="false">IF($A323="","",IF(BP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DU323" s="0" t="str">
        <f aca="false">IF($A323="","",IF(R323="Y",10,0))</f>
        <v/>
      </c>
      <c r="EV323" s="0" t="str">
        <f aca="false">IF($A323="","",IF(ISNUMBER(MATCH(U323,{"queued","contacted","replied","call_booked","call_done","yes_in_principle","materials_sent"},0)),"Y","N"))</f>
        <v/>
      </c>
      <c r="EW323" s="0" t="str">
        <f aca="false">IF($A323="","",IF(OR(T323="Y",U323="do_not_contact",AQ323&amp;""&lt;&gt;""),"Y","N"))</f>
        <v/>
      </c>
      <c r="EX323" s="0" t="str">
        <f aca="false">IF($A323="","",IF(AN323&amp;""&lt;&gt;"",AN323&amp;"",$A323))</f>
        <v/>
      </c>
      <c r="EY323" s="0" t="str">
        <f aca="false">IF($A323="","",IF(COUNTIFS($EX$2:$EX$1000,EX323,$EV$2:$EV$1000,"Y")+COUNTIFS($EX$2:$EX$1000,EX323,$EW$2:$EW$1000,"Y")&gt;0,"Y","N"))</f>
        <v/>
      </c>
      <c r="EZ323" s="0" t="str">
        <f aca="false">IF($A323="","",IF(AND(U323="new",T323="N",EW323="N",AR323="Y",EY323="N"),"Y","N"))</f>
        <v/>
      </c>
      <c r="FA323" s="0" t="str">
        <f aca="false">IF($A323="","",IF(EZ323&lt;&gt;"Y","N",IF(COUNTIFS($EX$2:$EX$1000,EX323,$EZ$2:$EZ$1000,"Y",$J$2:$J$1000,"&gt;"&amp;J323)+COUNTIFS($EX$2:$EX$1000,EX323,$EZ$2:$EZ$1000,"Y",$J$2:$J$1000,J323,$FG$2:$FG$1000,"&lt;"&amp;FG323)=0,"Y","N")))</f>
        <v/>
      </c>
      <c r="FB323" s="0" t="str">
        <f aca="false">IF($A323="","",IF(AND(EZ323="Y",FA323="Y",Y323&amp;""&lt;&gt;""),IF(Y323&lt;=10,"Y","N"),"N"))</f>
        <v/>
      </c>
      <c r="FC323" s="0" t="str">
        <f aca="false">IF(FB323="Y",Y323,"")</f>
        <v/>
      </c>
      <c r="FD323" s="0" t="str">
        <f aca="false">IF($A323="","",IF(AND(CK323="pass",AU323="Y",AV323&lt;&gt;"Y",U323="new",EW323="N"),"Y","N"))</f>
        <v/>
      </c>
      <c r="FE323" s="0" t="str">
        <f aca="false">IF(FD323&lt;&gt;"Y","",IF(COUNTIFS($FD$2:$FD$1000,"Y",$J$2:$J$1000,"&gt;"&amp;J323)+COUNTIFS($FD$2:$FD$1000,"Y",$J$2:$J$1000,J323,$FG$2:$FG$1000,"&lt;"&amp;FG323)+1&lt;=30,COUNTIFS($FD$2:$FD$1000,"Y",$J$2:$J$1000,"&gt;"&amp;J323)+COUNTIFS($FD$2:$FD$1000,"Y",$J$2:$J$1000,J323,$FG$2:$FG$1000,"&lt;"&amp;FG323)+1,""))</f>
        <v/>
      </c>
      <c r="FF323" s="0" t="str">
        <f aca="false">IF(AND(_xlfn.ISFORMULA(C323),_xlfn.ISFORMULA(J323)),"Y","N")</f>
        <v>Y</v>
      </c>
      <c r="FG323" s="0" t="n">
        <f aca="false">ROW()-1</f>
        <v>322</v>
      </c>
    </row>
    <row r="324" customFormat="false" ht="15" hidden="false" customHeight="false" outlineLevel="0" collapsed="false">
      <c r="C324" s="0" t="str">
        <f aca="false">IF($A324="","",IF(AT324="Y",BL324&amp;"",AY324&amp;""))</f>
        <v/>
      </c>
      <c r="D324" s="0" t="str">
        <f aca="false">IF($A324="","",IF(AT324="Y",BM324&amp;"",AZ324&amp;""))</f>
        <v/>
      </c>
      <c r="E324" s="0" t="str">
        <f aca="false">IF($A324="","",IF(AT324="Y",BN324&amp;"",BA324&amp;""))</f>
        <v/>
      </c>
      <c r="F324" s="0" t="str">
        <f aca="false">IF($A324="","",IF(AT324="Y",BO324&amp;"",BB324&amp;""))</f>
        <v/>
      </c>
      <c r="G324" s="0" t="str">
        <f aca="false">IF($A324="","",IF(AT324="Y",BP324&amp;"",BC324&amp;""))</f>
        <v/>
      </c>
      <c r="H324" s="0" t="str">
        <f aca="false">IF($A324="","",IF(AT324="Y",BQ324&amp;"",BD324&amp;""))</f>
        <v/>
      </c>
      <c r="I324" s="0" t="str">
        <f aca="false">IF($A324="","",IF(R324="Y","warm-intro",IF(H324="verified","email",IF(C324&lt;&gt;"","linkedin",CA324&amp;""))))</f>
        <v/>
      </c>
      <c r="J324" s="0" t="str">
        <f aca="false">IF($A324="","",IF(CK324="pass",ROUND(N(DO324)+N(DP324)+N(DQ324)+N(DR324)+N(DS324)+N(DT324)+N(DU324)+N(DV324),0),0))</f>
        <v/>
      </c>
      <c r="K324" s="0" t="str">
        <f aca="false">IF($A324="","",IF(CK324&lt;&gt;"pass",BY324&amp;"",BY324&amp;", "&amp;IF(AT324="Y",BX324&amp;"",BK324&amp;"")&amp;BZ324&amp;IF(R324="Y","; known to the founder (+10)","")&amp;"."))</f>
        <v/>
      </c>
      <c r="R324" s="5"/>
      <c r="T324" s="5"/>
      <c r="U324" s="5"/>
      <c r="Y324" s="0" t="str">
        <f aca="false">IF(FA324&lt;&gt;"Y","",COUNTIFS($FA$2:$FA$1000,"Y",$J$2:$J$1000,"&gt;"&amp;J324)+COUNTIFS($FA$2:$FA$1000,"Y",$J$2:$J$1000,J324,$FG$2:$FG$1000,"&lt;"&amp;FG324)+1)</f>
        <v/>
      </c>
      <c r="AB324" s="0" t="str">
        <f aca="false">IF($A324="","",IF(AT324="Y",BW324&amp;"",BJ324&amp;""))</f>
        <v/>
      </c>
      <c r="AC324" s="0" t="str">
        <f aca="false">IF($A324="","",IF(AT324="Y",BR324&amp;"",BE324&amp;""))</f>
        <v/>
      </c>
      <c r="AD324" s="0" t="str">
        <f aca="false">IF($A324="","",IF(AT324="Y",BS324&amp;"",BF324&amp;""))</f>
        <v/>
      </c>
      <c r="AE324" s="0" t="str">
        <f aca="false">IF($A324="","",IF(AT324="Y",BT324&amp;"",BG324&amp;""))</f>
        <v/>
      </c>
      <c r="AF324" s="0" t="str">
        <f aca="false">IF($A324="","",IF(AT324="Y",BU324&amp;"",BH324&amp;""))</f>
        <v/>
      </c>
      <c r="AG324" s="0" t="str">
        <f aca="false">IF($A324="","",IF(AT324="Y",BV324&amp;"",BI324&amp;""))</f>
        <v/>
      </c>
      <c r="AO324" s="5"/>
      <c r="AR324" s="0" t="str">
        <f aca="false">IF($A324="","",IF(AND(CK324="pass",AO324&lt;&gt;"Y",C324&lt;&gt;"",OR(AU324&lt;&gt;"Y",AV324="Y")),"Y","N"))</f>
        <v/>
      </c>
      <c r="AS324" s="0" t="str">
        <f aca="false">IF($A324="","",_xlfn.TEXTJOIN("; ",TRUE(),IF(CK324&lt;&gt;"pass","gated out",""),IF(AO324="Y","on hold: "&amp;AP324,""),IF(C324="","no contact named on an opened page",""),IF(AND(AU324="Y",AV324&lt;&gt;"Y"),"founder review pending (Founder review tab)","")))</f>
        <v/>
      </c>
      <c r="BC324" s="0" t="str">
        <f aca="false">IF($A324="","",IFERROR(INDEX(Enrichment!$A$2:$GZ$2000,MATCH($A324,INDEX(Enrichment!$A$2:$GZ$2000,0,MATCH("row_id",Enrichment!$A$1:$GZ$1,0)),0),MATCH("work_email",Enrichment!$A$1:$GZ$1,0))&amp;"",""))</f>
        <v/>
      </c>
      <c r="BD324" s="0" t="str">
        <f aca="false">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P324" s="0" t="str">
        <f aca="false">IF($A324="","",IFERROR(INDEX(Enrichment!$A$2:$GZ$2000,MATCH($A324,INDEX(Enrichment!$A$2:$GZ$2000,0,MATCH("row_id",Enrichment!$A$1:$GZ$1,0)),0),MATCH("backup_work_email",Enrichment!$A$1:$GZ$1,0))&amp;"",""))</f>
        <v/>
      </c>
      <c r="BQ324" s="0" t="str">
        <f aca="false">IF($A324="","",IF(BP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DU324" s="0" t="str">
        <f aca="false">IF($A324="","",IF(R324="Y",10,0))</f>
        <v/>
      </c>
      <c r="EV324" s="0" t="str">
        <f aca="false">IF($A324="","",IF(ISNUMBER(MATCH(U324,{"queued","contacted","replied","call_booked","call_done","yes_in_principle","materials_sent"},0)),"Y","N"))</f>
        <v/>
      </c>
      <c r="EW324" s="0" t="str">
        <f aca="false">IF($A324="","",IF(OR(T324="Y",U324="do_not_contact",AQ324&amp;""&lt;&gt;""),"Y","N"))</f>
        <v/>
      </c>
      <c r="EX324" s="0" t="str">
        <f aca="false">IF($A324="","",IF(AN324&amp;""&lt;&gt;"",AN324&amp;"",$A324))</f>
        <v/>
      </c>
      <c r="EY324" s="0" t="str">
        <f aca="false">IF($A324="","",IF(COUNTIFS($EX$2:$EX$1000,EX324,$EV$2:$EV$1000,"Y")+COUNTIFS($EX$2:$EX$1000,EX324,$EW$2:$EW$1000,"Y")&gt;0,"Y","N"))</f>
        <v/>
      </c>
      <c r="EZ324" s="0" t="str">
        <f aca="false">IF($A324="","",IF(AND(U324="new",T324="N",EW324="N",AR324="Y",EY324="N"),"Y","N"))</f>
        <v/>
      </c>
      <c r="FA324" s="0" t="str">
        <f aca="false">IF($A324="","",IF(EZ324&lt;&gt;"Y","N",IF(COUNTIFS($EX$2:$EX$1000,EX324,$EZ$2:$EZ$1000,"Y",$J$2:$J$1000,"&gt;"&amp;J324)+COUNTIFS($EX$2:$EX$1000,EX324,$EZ$2:$EZ$1000,"Y",$J$2:$J$1000,J324,$FG$2:$FG$1000,"&lt;"&amp;FG324)=0,"Y","N")))</f>
        <v/>
      </c>
      <c r="FB324" s="0" t="str">
        <f aca="false">IF($A324="","",IF(AND(EZ324="Y",FA324="Y",Y324&amp;""&lt;&gt;""),IF(Y324&lt;=10,"Y","N"),"N"))</f>
        <v/>
      </c>
      <c r="FC324" s="0" t="str">
        <f aca="false">IF(FB324="Y",Y324,"")</f>
        <v/>
      </c>
      <c r="FD324" s="0" t="str">
        <f aca="false">IF($A324="","",IF(AND(CK324="pass",AU324="Y",AV324&lt;&gt;"Y",U324="new",EW324="N"),"Y","N"))</f>
        <v/>
      </c>
      <c r="FE324" s="0" t="str">
        <f aca="false">IF(FD324&lt;&gt;"Y","",IF(COUNTIFS($FD$2:$FD$1000,"Y",$J$2:$J$1000,"&gt;"&amp;J324)+COUNTIFS($FD$2:$FD$1000,"Y",$J$2:$J$1000,J324,$FG$2:$FG$1000,"&lt;"&amp;FG324)+1&lt;=30,COUNTIFS($FD$2:$FD$1000,"Y",$J$2:$J$1000,"&gt;"&amp;J324)+COUNTIFS($FD$2:$FD$1000,"Y",$J$2:$J$1000,J324,$FG$2:$FG$1000,"&lt;"&amp;FG324)+1,""))</f>
        <v/>
      </c>
      <c r="FF324" s="0" t="str">
        <f aca="false">IF(AND(_xlfn.ISFORMULA(C324),_xlfn.ISFORMULA(J324)),"Y","N")</f>
        <v>Y</v>
      </c>
      <c r="FG324" s="0" t="n">
        <f aca="false">ROW()-1</f>
        <v>323</v>
      </c>
    </row>
    <row r="325" customFormat="false" ht="15" hidden="false" customHeight="false" outlineLevel="0" collapsed="false">
      <c r="C325" s="0" t="str">
        <f aca="false">IF($A325="","",IF(AT325="Y",BL325&amp;"",AY325&amp;""))</f>
        <v/>
      </c>
      <c r="D325" s="0" t="str">
        <f aca="false">IF($A325="","",IF(AT325="Y",BM325&amp;"",AZ325&amp;""))</f>
        <v/>
      </c>
      <c r="E325" s="0" t="str">
        <f aca="false">IF($A325="","",IF(AT325="Y",BN325&amp;"",BA325&amp;""))</f>
        <v/>
      </c>
      <c r="F325" s="0" t="str">
        <f aca="false">IF($A325="","",IF(AT325="Y",BO325&amp;"",BB325&amp;""))</f>
        <v/>
      </c>
      <c r="G325" s="0" t="str">
        <f aca="false">IF($A325="","",IF(AT325="Y",BP325&amp;"",BC325&amp;""))</f>
        <v/>
      </c>
      <c r="H325" s="0" t="str">
        <f aca="false">IF($A325="","",IF(AT325="Y",BQ325&amp;"",BD325&amp;""))</f>
        <v/>
      </c>
      <c r="I325" s="0" t="str">
        <f aca="false">IF($A325="","",IF(R325="Y","warm-intro",IF(H325="verified","email",IF(C325&lt;&gt;"","linkedin",CA325&amp;""))))</f>
        <v/>
      </c>
      <c r="J325" s="0" t="str">
        <f aca="false">IF($A325="","",IF(CK325="pass",ROUND(N(DO325)+N(DP325)+N(DQ325)+N(DR325)+N(DS325)+N(DT325)+N(DU325)+N(DV325),0),0))</f>
        <v/>
      </c>
      <c r="K325" s="0" t="str">
        <f aca="false">IF($A325="","",IF(CK325&lt;&gt;"pass",BY325&amp;"",BY325&amp;", "&amp;IF(AT325="Y",BX325&amp;"",BK325&amp;"")&amp;BZ325&amp;IF(R325="Y","; known to the founder (+10)","")&amp;"."))</f>
        <v/>
      </c>
      <c r="R325" s="5"/>
      <c r="T325" s="5"/>
      <c r="U325" s="5"/>
      <c r="Y325" s="0" t="str">
        <f aca="false">IF(FA325&lt;&gt;"Y","",COUNTIFS($FA$2:$FA$1000,"Y",$J$2:$J$1000,"&gt;"&amp;J325)+COUNTIFS($FA$2:$FA$1000,"Y",$J$2:$J$1000,J325,$FG$2:$FG$1000,"&lt;"&amp;FG325)+1)</f>
        <v/>
      </c>
      <c r="AB325" s="0" t="str">
        <f aca="false">IF($A325="","",IF(AT325="Y",BW325&amp;"",BJ325&amp;""))</f>
        <v/>
      </c>
      <c r="AC325" s="0" t="str">
        <f aca="false">IF($A325="","",IF(AT325="Y",BR325&amp;"",BE325&amp;""))</f>
        <v/>
      </c>
      <c r="AD325" s="0" t="str">
        <f aca="false">IF($A325="","",IF(AT325="Y",BS325&amp;"",BF325&amp;""))</f>
        <v/>
      </c>
      <c r="AE325" s="0" t="str">
        <f aca="false">IF($A325="","",IF(AT325="Y",BT325&amp;"",BG325&amp;""))</f>
        <v/>
      </c>
      <c r="AF325" s="0" t="str">
        <f aca="false">IF($A325="","",IF(AT325="Y",BU325&amp;"",BH325&amp;""))</f>
        <v/>
      </c>
      <c r="AG325" s="0" t="str">
        <f aca="false">IF($A325="","",IF(AT325="Y",BV325&amp;"",BI325&amp;""))</f>
        <v/>
      </c>
      <c r="AO325" s="5"/>
      <c r="AR325" s="0" t="str">
        <f aca="false">IF($A325="","",IF(AND(CK325="pass",AO325&lt;&gt;"Y",C325&lt;&gt;"",OR(AU325&lt;&gt;"Y",AV325="Y")),"Y","N"))</f>
        <v/>
      </c>
      <c r="AS325" s="0" t="str">
        <f aca="false">IF($A325="","",_xlfn.TEXTJOIN("; ",TRUE(),IF(CK325&lt;&gt;"pass","gated out",""),IF(AO325="Y","on hold: "&amp;AP325,""),IF(C325="","no contact named on an opened page",""),IF(AND(AU325="Y",AV325&lt;&gt;"Y"),"founder review pending (Founder review tab)","")))</f>
        <v/>
      </c>
      <c r="BC325" s="0" t="str">
        <f aca="false">IF($A325="","",IFERROR(INDEX(Enrichment!$A$2:$GZ$2000,MATCH($A325,INDEX(Enrichment!$A$2:$GZ$2000,0,MATCH("row_id",Enrichment!$A$1:$GZ$1,0)),0),MATCH("work_email",Enrichment!$A$1:$GZ$1,0))&amp;"",""))</f>
        <v/>
      </c>
      <c r="BD325" s="0" t="str">
        <f aca="false">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P325" s="0" t="str">
        <f aca="false">IF($A325="","",IFERROR(INDEX(Enrichment!$A$2:$GZ$2000,MATCH($A325,INDEX(Enrichment!$A$2:$GZ$2000,0,MATCH("row_id",Enrichment!$A$1:$GZ$1,0)),0),MATCH("backup_work_email",Enrichment!$A$1:$GZ$1,0))&amp;"",""))</f>
        <v/>
      </c>
      <c r="BQ325" s="0" t="str">
        <f aca="false">IF($A325="","",IF(BP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DU325" s="0" t="str">
        <f aca="false">IF($A325="","",IF(R325="Y",10,0))</f>
        <v/>
      </c>
      <c r="EV325" s="0" t="str">
        <f aca="false">IF($A325="","",IF(ISNUMBER(MATCH(U325,{"queued","contacted","replied","call_booked","call_done","yes_in_principle","materials_sent"},0)),"Y","N"))</f>
        <v/>
      </c>
      <c r="EW325" s="0" t="str">
        <f aca="false">IF($A325="","",IF(OR(T325="Y",U325="do_not_contact",AQ325&amp;""&lt;&gt;""),"Y","N"))</f>
        <v/>
      </c>
      <c r="EX325" s="0" t="str">
        <f aca="false">IF($A325="","",IF(AN325&amp;""&lt;&gt;"",AN325&amp;"",$A325))</f>
        <v/>
      </c>
      <c r="EY325" s="0" t="str">
        <f aca="false">IF($A325="","",IF(COUNTIFS($EX$2:$EX$1000,EX325,$EV$2:$EV$1000,"Y")+COUNTIFS($EX$2:$EX$1000,EX325,$EW$2:$EW$1000,"Y")&gt;0,"Y","N"))</f>
        <v/>
      </c>
      <c r="EZ325" s="0" t="str">
        <f aca="false">IF($A325="","",IF(AND(U325="new",T325="N",EW325="N",AR325="Y",EY325="N"),"Y","N"))</f>
        <v/>
      </c>
      <c r="FA325" s="0" t="str">
        <f aca="false">IF($A325="","",IF(EZ325&lt;&gt;"Y","N",IF(COUNTIFS($EX$2:$EX$1000,EX325,$EZ$2:$EZ$1000,"Y",$J$2:$J$1000,"&gt;"&amp;J325)+COUNTIFS($EX$2:$EX$1000,EX325,$EZ$2:$EZ$1000,"Y",$J$2:$J$1000,J325,$FG$2:$FG$1000,"&lt;"&amp;FG325)=0,"Y","N")))</f>
        <v/>
      </c>
      <c r="FB325" s="0" t="str">
        <f aca="false">IF($A325="","",IF(AND(EZ325="Y",FA325="Y",Y325&amp;""&lt;&gt;""),IF(Y325&lt;=10,"Y","N"),"N"))</f>
        <v/>
      </c>
      <c r="FC325" s="0" t="str">
        <f aca="false">IF(FB325="Y",Y325,"")</f>
        <v/>
      </c>
      <c r="FD325" s="0" t="str">
        <f aca="false">IF($A325="","",IF(AND(CK325="pass",AU325="Y",AV325&lt;&gt;"Y",U325="new",EW325="N"),"Y","N"))</f>
        <v/>
      </c>
      <c r="FE325" s="0" t="str">
        <f aca="false">IF(FD325&lt;&gt;"Y","",IF(COUNTIFS($FD$2:$FD$1000,"Y",$J$2:$J$1000,"&gt;"&amp;J325)+COUNTIFS($FD$2:$FD$1000,"Y",$J$2:$J$1000,J325,$FG$2:$FG$1000,"&lt;"&amp;FG325)+1&lt;=30,COUNTIFS($FD$2:$FD$1000,"Y",$J$2:$J$1000,"&gt;"&amp;J325)+COUNTIFS($FD$2:$FD$1000,"Y",$J$2:$J$1000,J325,$FG$2:$FG$1000,"&lt;"&amp;FG325)+1,""))</f>
        <v/>
      </c>
      <c r="FF325" s="0" t="str">
        <f aca="false">IF(AND(_xlfn.ISFORMULA(C325),_xlfn.ISFORMULA(J325)),"Y","N")</f>
        <v>Y</v>
      </c>
      <c r="FG325" s="0" t="n">
        <f aca="false">ROW()-1</f>
        <v>324</v>
      </c>
    </row>
    <row r="326" customFormat="false" ht="15" hidden="false" customHeight="false" outlineLevel="0" collapsed="false">
      <c r="C326" s="0" t="str">
        <f aca="false">IF($A326="","",IF(AT326="Y",BL326&amp;"",AY326&amp;""))</f>
        <v/>
      </c>
      <c r="D326" s="0" t="str">
        <f aca="false">IF($A326="","",IF(AT326="Y",BM326&amp;"",AZ326&amp;""))</f>
        <v/>
      </c>
      <c r="E326" s="0" t="str">
        <f aca="false">IF($A326="","",IF(AT326="Y",BN326&amp;"",BA326&amp;""))</f>
        <v/>
      </c>
      <c r="F326" s="0" t="str">
        <f aca="false">IF($A326="","",IF(AT326="Y",BO326&amp;"",BB326&amp;""))</f>
        <v/>
      </c>
      <c r="G326" s="0" t="str">
        <f aca="false">IF($A326="","",IF(AT326="Y",BP326&amp;"",BC326&amp;""))</f>
        <v/>
      </c>
      <c r="H326" s="0" t="str">
        <f aca="false">IF($A326="","",IF(AT326="Y",BQ326&amp;"",BD326&amp;""))</f>
        <v/>
      </c>
      <c r="I326" s="0" t="str">
        <f aca="false">IF($A326="","",IF(R326="Y","warm-intro",IF(H326="verified","email",IF(C326&lt;&gt;"","linkedin",CA326&amp;""))))</f>
        <v/>
      </c>
      <c r="J326" s="0" t="str">
        <f aca="false">IF($A326="","",IF(CK326="pass",ROUND(N(DO326)+N(DP326)+N(DQ326)+N(DR326)+N(DS326)+N(DT326)+N(DU326)+N(DV326),0),0))</f>
        <v/>
      </c>
      <c r="K326" s="0" t="str">
        <f aca="false">IF($A326="","",IF(CK326&lt;&gt;"pass",BY326&amp;"",BY326&amp;", "&amp;IF(AT326="Y",BX326&amp;"",BK326&amp;"")&amp;BZ326&amp;IF(R326="Y","; known to the founder (+10)","")&amp;"."))</f>
        <v/>
      </c>
      <c r="R326" s="5"/>
      <c r="T326" s="5"/>
      <c r="U326" s="5"/>
      <c r="Y326" s="0" t="str">
        <f aca="false">IF(FA326&lt;&gt;"Y","",COUNTIFS($FA$2:$FA$1000,"Y",$J$2:$J$1000,"&gt;"&amp;J326)+COUNTIFS($FA$2:$FA$1000,"Y",$J$2:$J$1000,J326,$FG$2:$FG$1000,"&lt;"&amp;FG326)+1)</f>
        <v/>
      </c>
      <c r="AB326" s="0" t="str">
        <f aca="false">IF($A326="","",IF(AT326="Y",BW326&amp;"",BJ326&amp;""))</f>
        <v/>
      </c>
      <c r="AC326" s="0" t="str">
        <f aca="false">IF($A326="","",IF(AT326="Y",BR326&amp;"",BE326&amp;""))</f>
        <v/>
      </c>
      <c r="AD326" s="0" t="str">
        <f aca="false">IF($A326="","",IF(AT326="Y",BS326&amp;"",BF326&amp;""))</f>
        <v/>
      </c>
      <c r="AE326" s="0" t="str">
        <f aca="false">IF($A326="","",IF(AT326="Y",BT326&amp;"",BG326&amp;""))</f>
        <v/>
      </c>
      <c r="AF326" s="0" t="str">
        <f aca="false">IF($A326="","",IF(AT326="Y",BU326&amp;"",BH326&amp;""))</f>
        <v/>
      </c>
      <c r="AG326" s="0" t="str">
        <f aca="false">IF($A326="","",IF(AT326="Y",BV326&amp;"",BI326&amp;""))</f>
        <v/>
      </c>
      <c r="AO326" s="5"/>
      <c r="AR326" s="0" t="str">
        <f aca="false">IF($A326="","",IF(AND(CK326="pass",AO326&lt;&gt;"Y",C326&lt;&gt;"",OR(AU326&lt;&gt;"Y",AV326="Y")),"Y","N"))</f>
        <v/>
      </c>
      <c r="AS326" s="0" t="str">
        <f aca="false">IF($A326="","",_xlfn.TEXTJOIN("; ",TRUE(),IF(CK326&lt;&gt;"pass","gated out",""),IF(AO326="Y","on hold: "&amp;AP326,""),IF(C326="","no contact named on an opened page",""),IF(AND(AU326="Y",AV326&lt;&gt;"Y"),"founder review pending (Founder review tab)","")))</f>
        <v/>
      </c>
      <c r="BC326" s="0" t="str">
        <f aca="false">IF($A326="","",IFERROR(INDEX(Enrichment!$A$2:$GZ$2000,MATCH($A326,INDEX(Enrichment!$A$2:$GZ$2000,0,MATCH("row_id",Enrichment!$A$1:$GZ$1,0)),0),MATCH("work_email",Enrichment!$A$1:$GZ$1,0))&amp;"",""))</f>
        <v/>
      </c>
      <c r="BD326" s="0" t="str">
        <f aca="false">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P326" s="0" t="str">
        <f aca="false">IF($A326="","",IFERROR(INDEX(Enrichment!$A$2:$GZ$2000,MATCH($A326,INDEX(Enrichment!$A$2:$GZ$2000,0,MATCH("row_id",Enrichment!$A$1:$GZ$1,0)),0),MATCH("backup_work_email",Enrichment!$A$1:$GZ$1,0))&amp;"",""))</f>
        <v/>
      </c>
      <c r="BQ326" s="0" t="str">
        <f aca="false">IF($A326="","",IF(BP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DU326" s="0" t="str">
        <f aca="false">IF($A326="","",IF(R326="Y",10,0))</f>
        <v/>
      </c>
      <c r="EV326" s="0" t="str">
        <f aca="false">IF($A326="","",IF(ISNUMBER(MATCH(U326,{"queued","contacted","replied","call_booked","call_done","yes_in_principle","materials_sent"},0)),"Y","N"))</f>
        <v/>
      </c>
      <c r="EW326" s="0" t="str">
        <f aca="false">IF($A326="","",IF(OR(T326="Y",U326="do_not_contact",AQ326&amp;""&lt;&gt;""),"Y","N"))</f>
        <v/>
      </c>
      <c r="EX326" s="0" t="str">
        <f aca="false">IF($A326="","",IF(AN326&amp;""&lt;&gt;"",AN326&amp;"",$A326))</f>
        <v/>
      </c>
      <c r="EY326" s="0" t="str">
        <f aca="false">IF($A326="","",IF(COUNTIFS($EX$2:$EX$1000,EX326,$EV$2:$EV$1000,"Y")+COUNTIFS($EX$2:$EX$1000,EX326,$EW$2:$EW$1000,"Y")&gt;0,"Y","N"))</f>
        <v/>
      </c>
      <c r="EZ326" s="0" t="str">
        <f aca="false">IF($A326="","",IF(AND(U326="new",T326="N",EW326="N",AR326="Y",EY326="N"),"Y","N"))</f>
        <v/>
      </c>
      <c r="FA326" s="0" t="str">
        <f aca="false">IF($A326="","",IF(EZ326&lt;&gt;"Y","N",IF(COUNTIFS($EX$2:$EX$1000,EX326,$EZ$2:$EZ$1000,"Y",$J$2:$J$1000,"&gt;"&amp;J326)+COUNTIFS($EX$2:$EX$1000,EX326,$EZ$2:$EZ$1000,"Y",$J$2:$J$1000,J326,$FG$2:$FG$1000,"&lt;"&amp;FG326)=0,"Y","N")))</f>
        <v/>
      </c>
      <c r="FB326" s="0" t="str">
        <f aca="false">IF($A326="","",IF(AND(EZ326="Y",FA326="Y",Y326&amp;""&lt;&gt;""),IF(Y326&lt;=10,"Y","N"),"N"))</f>
        <v/>
      </c>
      <c r="FC326" s="0" t="str">
        <f aca="false">IF(FB326="Y",Y326,"")</f>
        <v/>
      </c>
      <c r="FD326" s="0" t="str">
        <f aca="false">IF($A326="","",IF(AND(CK326="pass",AU326="Y",AV326&lt;&gt;"Y",U326="new",EW326="N"),"Y","N"))</f>
        <v/>
      </c>
      <c r="FE326" s="0" t="str">
        <f aca="false">IF(FD326&lt;&gt;"Y","",IF(COUNTIFS($FD$2:$FD$1000,"Y",$J$2:$J$1000,"&gt;"&amp;J326)+COUNTIFS($FD$2:$FD$1000,"Y",$J$2:$J$1000,J326,$FG$2:$FG$1000,"&lt;"&amp;FG326)+1&lt;=30,COUNTIFS($FD$2:$FD$1000,"Y",$J$2:$J$1000,"&gt;"&amp;J326)+COUNTIFS($FD$2:$FD$1000,"Y",$J$2:$J$1000,J326,$FG$2:$FG$1000,"&lt;"&amp;FG326)+1,""))</f>
        <v/>
      </c>
      <c r="FF326" s="0" t="str">
        <f aca="false">IF(AND(_xlfn.ISFORMULA(C326),_xlfn.ISFORMULA(J326)),"Y","N")</f>
        <v>Y</v>
      </c>
      <c r="FG326" s="0" t="n">
        <f aca="false">ROW()-1</f>
        <v>325</v>
      </c>
    </row>
    <row r="327" customFormat="false" ht="15" hidden="false" customHeight="false" outlineLevel="0" collapsed="false">
      <c r="C327" s="0" t="str">
        <f aca="false">IF($A327="","",IF(AT327="Y",BL327&amp;"",AY327&amp;""))</f>
        <v/>
      </c>
      <c r="D327" s="0" t="str">
        <f aca="false">IF($A327="","",IF(AT327="Y",BM327&amp;"",AZ327&amp;""))</f>
        <v/>
      </c>
      <c r="E327" s="0" t="str">
        <f aca="false">IF($A327="","",IF(AT327="Y",BN327&amp;"",BA327&amp;""))</f>
        <v/>
      </c>
      <c r="F327" s="0" t="str">
        <f aca="false">IF($A327="","",IF(AT327="Y",BO327&amp;"",BB327&amp;""))</f>
        <v/>
      </c>
      <c r="G327" s="0" t="str">
        <f aca="false">IF($A327="","",IF(AT327="Y",BP327&amp;"",BC327&amp;""))</f>
        <v/>
      </c>
      <c r="H327" s="0" t="str">
        <f aca="false">IF($A327="","",IF(AT327="Y",BQ327&amp;"",BD327&amp;""))</f>
        <v/>
      </c>
      <c r="I327" s="0" t="str">
        <f aca="false">IF($A327="","",IF(R327="Y","warm-intro",IF(H327="verified","email",IF(C327&lt;&gt;"","linkedin",CA327&amp;""))))</f>
        <v/>
      </c>
      <c r="J327" s="0" t="str">
        <f aca="false">IF($A327="","",IF(CK327="pass",ROUND(N(DO327)+N(DP327)+N(DQ327)+N(DR327)+N(DS327)+N(DT327)+N(DU327)+N(DV327),0),0))</f>
        <v/>
      </c>
      <c r="K327" s="0" t="str">
        <f aca="false">IF($A327="","",IF(CK327&lt;&gt;"pass",BY327&amp;"",BY327&amp;", "&amp;IF(AT327="Y",BX327&amp;"",BK327&amp;"")&amp;BZ327&amp;IF(R327="Y","; known to the founder (+10)","")&amp;"."))</f>
        <v/>
      </c>
      <c r="R327" s="5"/>
      <c r="T327" s="5"/>
      <c r="U327" s="5"/>
      <c r="Y327" s="0" t="str">
        <f aca="false">IF(FA327&lt;&gt;"Y","",COUNTIFS($FA$2:$FA$1000,"Y",$J$2:$J$1000,"&gt;"&amp;J327)+COUNTIFS($FA$2:$FA$1000,"Y",$J$2:$J$1000,J327,$FG$2:$FG$1000,"&lt;"&amp;FG327)+1)</f>
        <v/>
      </c>
      <c r="AB327" s="0" t="str">
        <f aca="false">IF($A327="","",IF(AT327="Y",BW327&amp;"",BJ327&amp;""))</f>
        <v/>
      </c>
      <c r="AC327" s="0" t="str">
        <f aca="false">IF($A327="","",IF(AT327="Y",BR327&amp;"",BE327&amp;""))</f>
        <v/>
      </c>
      <c r="AD327" s="0" t="str">
        <f aca="false">IF($A327="","",IF(AT327="Y",BS327&amp;"",BF327&amp;""))</f>
        <v/>
      </c>
      <c r="AE327" s="0" t="str">
        <f aca="false">IF($A327="","",IF(AT327="Y",BT327&amp;"",BG327&amp;""))</f>
        <v/>
      </c>
      <c r="AF327" s="0" t="str">
        <f aca="false">IF($A327="","",IF(AT327="Y",BU327&amp;"",BH327&amp;""))</f>
        <v/>
      </c>
      <c r="AG327" s="0" t="str">
        <f aca="false">IF($A327="","",IF(AT327="Y",BV327&amp;"",BI327&amp;""))</f>
        <v/>
      </c>
      <c r="AO327" s="5"/>
      <c r="AR327" s="0" t="str">
        <f aca="false">IF($A327="","",IF(AND(CK327="pass",AO327&lt;&gt;"Y",C327&lt;&gt;"",OR(AU327&lt;&gt;"Y",AV327="Y")),"Y","N"))</f>
        <v/>
      </c>
      <c r="AS327" s="0" t="str">
        <f aca="false">IF($A327="","",_xlfn.TEXTJOIN("; ",TRUE(),IF(CK327&lt;&gt;"pass","gated out",""),IF(AO327="Y","on hold: "&amp;AP327,""),IF(C327="","no contact named on an opened page",""),IF(AND(AU327="Y",AV327&lt;&gt;"Y"),"founder review pending (Founder review tab)","")))</f>
        <v/>
      </c>
      <c r="BC327" s="0" t="str">
        <f aca="false">IF($A327="","",IFERROR(INDEX(Enrichment!$A$2:$GZ$2000,MATCH($A327,INDEX(Enrichment!$A$2:$GZ$2000,0,MATCH("row_id",Enrichment!$A$1:$GZ$1,0)),0),MATCH("work_email",Enrichment!$A$1:$GZ$1,0))&amp;"",""))</f>
        <v/>
      </c>
      <c r="BD327" s="0" t="str">
        <f aca="false">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P327" s="0" t="str">
        <f aca="false">IF($A327="","",IFERROR(INDEX(Enrichment!$A$2:$GZ$2000,MATCH($A327,INDEX(Enrichment!$A$2:$GZ$2000,0,MATCH("row_id",Enrichment!$A$1:$GZ$1,0)),0),MATCH("backup_work_email",Enrichment!$A$1:$GZ$1,0))&amp;"",""))</f>
        <v/>
      </c>
      <c r="BQ327" s="0" t="str">
        <f aca="false">IF($A327="","",IF(BP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DU327" s="0" t="str">
        <f aca="false">IF($A327="","",IF(R327="Y",10,0))</f>
        <v/>
      </c>
      <c r="EV327" s="0" t="str">
        <f aca="false">IF($A327="","",IF(ISNUMBER(MATCH(U327,{"queued","contacted","replied","call_booked","call_done","yes_in_principle","materials_sent"},0)),"Y","N"))</f>
        <v/>
      </c>
      <c r="EW327" s="0" t="str">
        <f aca="false">IF($A327="","",IF(OR(T327="Y",U327="do_not_contact",AQ327&amp;""&lt;&gt;""),"Y","N"))</f>
        <v/>
      </c>
      <c r="EX327" s="0" t="str">
        <f aca="false">IF($A327="","",IF(AN327&amp;""&lt;&gt;"",AN327&amp;"",$A327))</f>
        <v/>
      </c>
      <c r="EY327" s="0" t="str">
        <f aca="false">IF($A327="","",IF(COUNTIFS($EX$2:$EX$1000,EX327,$EV$2:$EV$1000,"Y")+COUNTIFS($EX$2:$EX$1000,EX327,$EW$2:$EW$1000,"Y")&gt;0,"Y","N"))</f>
        <v/>
      </c>
      <c r="EZ327" s="0" t="str">
        <f aca="false">IF($A327="","",IF(AND(U327="new",T327="N",EW327="N",AR327="Y",EY327="N"),"Y","N"))</f>
        <v/>
      </c>
      <c r="FA327" s="0" t="str">
        <f aca="false">IF($A327="","",IF(EZ327&lt;&gt;"Y","N",IF(COUNTIFS($EX$2:$EX$1000,EX327,$EZ$2:$EZ$1000,"Y",$J$2:$J$1000,"&gt;"&amp;J327)+COUNTIFS($EX$2:$EX$1000,EX327,$EZ$2:$EZ$1000,"Y",$J$2:$J$1000,J327,$FG$2:$FG$1000,"&lt;"&amp;FG327)=0,"Y","N")))</f>
        <v/>
      </c>
      <c r="FB327" s="0" t="str">
        <f aca="false">IF($A327="","",IF(AND(EZ327="Y",FA327="Y",Y327&amp;""&lt;&gt;""),IF(Y327&lt;=10,"Y","N"),"N"))</f>
        <v/>
      </c>
      <c r="FC327" s="0" t="str">
        <f aca="false">IF(FB327="Y",Y327,"")</f>
        <v/>
      </c>
      <c r="FD327" s="0" t="str">
        <f aca="false">IF($A327="","",IF(AND(CK327="pass",AU327="Y",AV327&lt;&gt;"Y",U327="new",EW327="N"),"Y","N"))</f>
        <v/>
      </c>
      <c r="FE327" s="0" t="str">
        <f aca="false">IF(FD327&lt;&gt;"Y","",IF(COUNTIFS($FD$2:$FD$1000,"Y",$J$2:$J$1000,"&gt;"&amp;J327)+COUNTIFS($FD$2:$FD$1000,"Y",$J$2:$J$1000,J327,$FG$2:$FG$1000,"&lt;"&amp;FG327)+1&lt;=30,COUNTIFS($FD$2:$FD$1000,"Y",$J$2:$J$1000,"&gt;"&amp;J327)+COUNTIFS($FD$2:$FD$1000,"Y",$J$2:$J$1000,J327,$FG$2:$FG$1000,"&lt;"&amp;FG327)+1,""))</f>
        <v/>
      </c>
      <c r="FF327" s="0" t="str">
        <f aca="false">IF(AND(_xlfn.ISFORMULA(C327),_xlfn.ISFORMULA(J327)),"Y","N")</f>
        <v>Y</v>
      </c>
      <c r="FG327" s="0" t="n">
        <f aca="false">ROW()-1</f>
        <v>326</v>
      </c>
    </row>
    <row r="328" customFormat="false" ht="15" hidden="false" customHeight="false" outlineLevel="0" collapsed="false">
      <c r="C328" s="0" t="str">
        <f aca="false">IF($A328="","",IF(AT328="Y",BL328&amp;"",AY328&amp;""))</f>
        <v/>
      </c>
      <c r="D328" s="0" t="str">
        <f aca="false">IF($A328="","",IF(AT328="Y",BM328&amp;"",AZ328&amp;""))</f>
        <v/>
      </c>
      <c r="E328" s="0" t="str">
        <f aca="false">IF($A328="","",IF(AT328="Y",BN328&amp;"",BA328&amp;""))</f>
        <v/>
      </c>
      <c r="F328" s="0" t="str">
        <f aca="false">IF($A328="","",IF(AT328="Y",BO328&amp;"",BB328&amp;""))</f>
        <v/>
      </c>
      <c r="G328" s="0" t="str">
        <f aca="false">IF($A328="","",IF(AT328="Y",BP328&amp;"",BC328&amp;""))</f>
        <v/>
      </c>
      <c r="H328" s="0" t="str">
        <f aca="false">IF($A328="","",IF(AT328="Y",BQ328&amp;"",BD328&amp;""))</f>
        <v/>
      </c>
      <c r="I328" s="0" t="str">
        <f aca="false">IF($A328="","",IF(R328="Y","warm-intro",IF(H328="verified","email",IF(C328&lt;&gt;"","linkedin",CA328&amp;""))))</f>
        <v/>
      </c>
      <c r="J328" s="0" t="str">
        <f aca="false">IF($A328="","",IF(CK328="pass",ROUND(N(DO328)+N(DP328)+N(DQ328)+N(DR328)+N(DS328)+N(DT328)+N(DU328)+N(DV328),0),0))</f>
        <v/>
      </c>
      <c r="K328" s="0" t="str">
        <f aca="false">IF($A328="","",IF(CK328&lt;&gt;"pass",BY328&amp;"",BY328&amp;", "&amp;IF(AT328="Y",BX328&amp;"",BK328&amp;"")&amp;BZ328&amp;IF(R328="Y","; known to the founder (+10)","")&amp;"."))</f>
        <v/>
      </c>
      <c r="R328" s="5"/>
      <c r="T328" s="5"/>
      <c r="U328" s="5"/>
      <c r="Y328" s="0" t="str">
        <f aca="false">IF(FA328&lt;&gt;"Y","",COUNTIFS($FA$2:$FA$1000,"Y",$J$2:$J$1000,"&gt;"&amp;J328)+COUNTIFS($FA$2:$FA$1000,"Y",$J$2:$J$1000,J328,$FG$2:$FG$1000,"&lt;"&amp;FG328)+1)</f>
        <v/>
      </c>
      <c r="AB328" s="0" t="str">
        <f aca="false">IF($A328="","",IF(AT328="Y",BW328&amp;"",BJ328&amp;""))</f>
        <v/>
      </c>
      <c r="AC328" s="0" t="str">
        <f aca="false">IF($A328="","",IF(AT328="Y",BR328&amp;"",BE328&amp;""))</f>
        <v/>
      </c>
      <c r="AD328" s="0" t="str">
        <f aca="false">IF($A328="","",IF(AT328="Y",BS328&amp;"",BF328&amp;""))</f>
        <v/>
      </c>
      <c r="AE328" s="0" t="str">
        <f aca="false">IF($A328="","",IF(AT328="Y",BT328&amp;"",BG328&amp;""))</f>
        <v/>
      </c>
      <c r="AF328" s="0" t="str">
        <f aca="false">IF($A328="","",IF(AT328="Y",BU328&amp;"",BH328&amp;""))</f>
        <v/>
      </c>
      <c r="AG328" s="0" t="str">
        <f aca="false">IF($A328="","",IF(AT328="Y",BV328&amp;"",BI328&amp;""))</f>
        <v/>
      </c>
      <c r="AO328" s="5"/>
      <c r="AR328" s="0" t="str">
        <f aca="false">IF($A328="","",IF(AND(CK328="pass",AO328&lt;&gt;"Y",C328&lt;&gt;"",OR(AU328&lt;&gt;"Y",AV328="Y")),"Y","N"))</f>
        <v/>
      </c>
      <c r="AS328" s="0" t="str">
        <f aca="false">IF($A328="","",_xlfn.TEXTJOIN("; ",TRUE(),IF(CK328&lt;&gt;"pass","gated out",""),IF(AO328="Y","on hold: "&amp;AP328,""),IF(C328="","no contact named on an opened page",""),IF(AND(AU328="Y",AV328&lt;&gt;"Y"),"founder review pending (Founder review tab)","")))</f>
        <v/>
      </c>
      <c r="BC328" s="0" t="str">
        <f aca="false">IF($A328="","",IFERROR(INDEX(Enrichment!$A$2:$GZ$2000,MATCH($A328,INDEX(Enrichment!$A$2:$GZ$2000,0,MATCH("row_id",Enrichment!$A$1:$GZ$1,0)),0),MATCH("work_email",Enrichment!$A$1:$GZ$1,0))&amp;"",""))</f>
        <v/>
      </c>
      <c r="BD328" s="0" t="str">
        <f aca="false">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P328" s="0" t="str">
        <f aca="false">IF($A328="","",IFERROR(INDEX(Enrichment!$A$2:$GZ$2000,MATCH($A328,INDEX(Enrichment!$A$2:$GZ$2000,0,MATCH("row_id",Enrichment!$A$1:$GZ$1,0)),0),MATCH("backup_work_email",Enrichment!$A$1:$GZ$1,0))&amp;"",""))</f>
        <v/>
      </c>
      <c r="BQ328" s="0" t="str">
        <f aca="false">IF($A328="","",IF(BP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DU328" s="0" t="str">
        <f aca="false">IF($A328="","",IF(R328="Y",10,0))</f>
        <v/>
      </c>
      <c r="EV328" s="0" t="str">
        <f aca="false">IF($A328="","",IF(ISNUMBER(MATCH(U328,{"queued","contacted","replied","call_booked","call_done","yes_in_principle","materials_sent"},0)),"Y","N"))</f>
        <v/>
      </c>
      <c r="EW328" s="0" t="str">
        <f aca="false">IF($A328="","",IF(OR(T328="Y",U328="do_not_contact",AQ328&amp;""&lt;&gt;""),"Y","N"))</f>
        <v/>
      </c>
      <c r="EX328" s="0" t="str">
        <f aca="false">IF($A328="","",IF(AN328&amp;""&lt;&gt;"",AN328&amp;"",$A328))</f>
        <v/>
      </c>
      <c r="EY328" s="0" t="str">
        <f aca="false">IF($A328="","",IF(COUNTIFS($EX$2:$EX$1000,EX328,$EV$2:$EV$1000,"Y")+COUNTIFS($EX$2:$EX$1000,EX328,$EW$2:$EW$1000,"Y")&gt;0,"Y","N"))</f>
        <v/>
      </c>
      <c r="EZ328" s="0" t="str">
        <f aca="false">IF($A328="","",IF(AND(U328="new",T328="N",EW328="N",AR328="Y",EY328="N"),"Y","N"))</f>
        <v/>
      </c>
      <c r="FA328" s="0" t="str">
        <f aca="false">IF($A328="","",IF(EZ328&lt;&gt;"Y","N",IF(COUNTIFS($EX$2:$EX$1000,EX328,$EZ$2:$EZ$1000,"Y",$J$2:$J$1000,"&gt;"&amp;J328)+COUNTIFS($EX$2:$EX$1000,EX328,$EZ$2:$EZ$1000,"Y",$J$2:$J$1000,J328,$FG$2:$FG$1000,"&lt;"&amp;FG328)=0,"Y","N")))</f>
        <v/>
      </c>
      <c r="FB328" s="0" t="str">
        <f aca="false">IF($A328="","",IF(AND(EZ328="Y",FA328="Y",Y328&amp;""&lt;&gt;""),IF(Y328&lt;=10,"Y","N"),"N"))</f>
        <v/>
      </c>
      <c r="FC328" s="0" t="str">
        <f aca="false">IF(FB328="Y",Y328,"")</f>
        <v/>
      </c>
      <c r="FD328" s="0" t="str">
        <f aca="false">IF($A328="","",IF(AND(CK328="pass",AU328="Y",AV328&lt;&gt;"Y",U328="new",EW328="N"),"Y","N"))</f>
        <v/>
      </c>
      <c r="FE328" s="0" t="str">
        <f aca="false">IF(FD328&lt;&gt;"Y","",IF(COUNTIFS($FD$2:$FD$1000,"Y",$J$2:$J$1000,"&gt;"&amp;J328)+COUNTIFS($FD$2:$FD$1000,"Y",$J$2:$J$1000,J328,$FG$2:$FG$1000,"&lt;"&amp;FG328)+1&lt;=30,COUNTIFS($FD$2:$FD$1000,"Y",$J$2:$J$1000,"&gt;"&amp;J328)+COUNTIFS($FD$2:$FD$1000,"Y",$J$2:$J$1000,J328,$FG$2:$FG$1000,"&lt;"&amp;FG328)+1,""))</f>
        <v/>
      </c>
      <c r="FF328" s="0" t="str">
        <f aca="false">IF(AND(_xlfn.ISFORMULA(C328),_xlfn.ISFORMULA(J328)),"Y","N")</f>
        <v>Y</v>
      </c>
      <c r="FG328" s="0" t="n">
        <f aca="false">ROW()-1</f>
        <v>327</v>
      </c>
    </row>
    <row r="329" customFormat="false" ht="15" hidden="false" customHeight="false" outlineLevel="0" collapsed="false">
      <c r="C329" s="0" t="str">
        <f aca="false">IF($A329="","",IF(AT329="Y",BL329&amp;"",AY329&amp;""))</f>
        <v/>
      </c>
      <c r="D329" s="0" t="str">
        <f aca="false">IF($A329="","",IF(AT329="Y",BM329&amp;"",AZ329&amp;""))</f>
        <v/>
      </c>
      <c r="E329" s="0" t="str">
        <f aca="false">IF($A329="","",IF(AT329="Y",BN329&amp;"",BA329&amp;""))</f>
        <v/>
      </c>
      <c r="F329" s="0" t="str">
        <f aca="false">IF($A329="","",IF(AT329="Y",BO329&amp;"",BB329&amp;""))</f>
        <v/>
      </c>
      <c r="G329" s="0" t="str">
        <f aca="false">IF($A329="","",IF(AT329="Y",BP329&amp;"",BC329&amp;""))</f>
        <v/>
      </c>
      <c r="H329" s="0" t="str">
        <f aca="false">IF($A329="","",IF(AT329="Y",BQ329&amp;"",BD329&amp;""))</f>
        <v/>
      </c>
      <c r="I329" s="0" t="str">
        <f aca="false">IF($A329="","",IF(R329="Y","warm-intro",IF(H329="verified","email",IF(C329&lt;&gt;"","linkedin",CA329&amp;""))))</f>
        <v/>
      </c>
      <c r="J329" s="0" t="str">
        <f aca="false">IF($A329="","",IF(CK329="pass",ROUND(N(DO329)+N(DP329)+N(DQ329)+N(DR329)+N(DS329)+N(DT329)+N(DU329)+N(DV329),0),0))</f>
        <v/>
      </c>
      <c r="K329" s="0" t="str">
        <f aca="false">IF($A329="","",IF(CK329&lt;&gt;"pass",BY329&amp;"",BY329&amp;", "&amp;IF(AT329="Y",BX329&amp;"",BK329&amp;"")&amp;BZ329&amp;IF(R329="Y","; known to the founder (+10)","")&amp;"."))</f>
        <v/>
      </c>
      <c r="R329" s="5"/>
      <c r="T329" s="5"/>
      <c r="U329" s="5"/>
      <c r="Y329" s="0" t="str">
        <f aca="false">IF(FA329&lt;&gt;"Y","",COUNTIFS($FA$2:$FA$1000,"Y",$J$2:$J$1000,"&gt;"&amp;J329)+COUNTIFS($FA$2:$FA$1000,"Y",$J$2:$J$1000,J329,$FG$2:$FG$1000,"&lt;"&amp;FG329)+1)</f>
        <v/>
      </c>
      <c r="AB329" s="0" t="str">
        <f aca="false">IF($A329="","",IF(AT329="Y",BW329&amp;"",BJ329&amp;""))</f>
        <v/>
      </c>
      <c r="AC329" s="0" t="str">
        <f aca="false">IF($A329="","",IF(AT329="Y",BR329&amp;"",BE329&amp;""))</f>
        <v/>
      </c>
      <c r="AD329" s="0" t="str">
        <f aca="false">IF($A329="","",IF(AT329="Y",BS329&amp;"",BF329&amp;""))</f>
        <v/>
      </c>
      <c r="AE329" s="0" t="str">
        <f aca="false">IF($A329="","",IF(AT329="Y",BT329&amp;"",BG329&amp;""))</f>
        <v/>
      </c>
      <c r="AF329" s="0" t="str">
        <f aca="false">IF($A329="","",IF(AT329="Y",BU329&amp;"",BH329&amp;""))</f>
        <v/>
      </c>
      <c r="AG329" s="0" t="str">
        <f aca="false">IF($A329="","",IF(AT329="Y",BV329&amp;"",BI329&amp;""))</f>
        <v/>
      </c>
      <c r="AO329" s="5"/>
      <c r="AR329" s="0" t="str">
        <f aca="false">IF($A329="","",IF(AND(CK329="pass",AO329&lt;&gt;"Y",C329&lt;&gt;"",OR(AU329&lt;&gt;"Y",AV329="Y")),"Y","N"))</f>
        <v/>
      </c>
      <c r="AS329" s="0" t="str">
        <f aca="false">IF($A329="","",_xlfn.TEXTJOIN("; ",TRUE(),IF(CK329&lt;&gt;"pass","gated out",""),IF(AO329="Y","on hold: "&amp;AP329,""),IF(C329="","no contact named on an opened page",""),IF(AND(AU329="Y",AV329&lt;&gt;"Y"),"founder review pending (Founder review tab)","")))</f>
        <v/>
      </c>
      <c r="BC329" s="0" t="str">
        <f aca="false">IF($A329="","",IFERROR(INDEX(Enrichment!$A$2:$GZ$2000,MATCH($A329,INDEX(Enrichment!$A$2:$GZ$2000,0,MATCH("row_id",Enrichment!$A$1:$GZ$1,0)),0),MATCH("work_email",Enrichment!$A$1:$GZ$1,0))&amp;"",""))</f>
        <v/>
      </c>
      <c r="BD329" s="0" t="str">
        <f aca="false">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P329" s="0" t="str">
        <f aca="false">IF($A329="","",IFERROR(INDEX(Enrichment!$A$2:$GZ$2000,MATCH($A329,INDEX(Enrichment!$A$2:$GZ$2000,0,MATCH("row_id",Enrichment!$A$1:$GZ$1,0)),0),MATCH("backup_work_email",Enrichment!$A$1:$GZ$1,0))&amp;"",""))</f>
        <v/>
      </c>
      <c r="BQ329" s="0" t="str">
        <f aca="false">IF($A329="","",IF(BP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DU329" s="0" t="str">
        <f aca="false">IF($A329="","",IF(R329="Y",10,0))</f>
        <v/>
      </c>
      <c r="EV329" s="0" t="str">
        <f aca="false">IF($A329="","",IF(ISNUMBER(MATCH(U329,{"queued","contacted","replied","call_booked","call_done","yes_in_principle","materials_sent"},0)),"Y","N"))</f>
        <v/>
      </c>
      <c r="EW329" s="0" t="str">
        <f aca="false">IF($A329="","",IF(OR(T329="Y",U329="do_not_contact",AQ329&amp;""&lt;&gt;""),"Y","N"))</f>
        <v/>
      </c>
      <c r="EX329" s="0" t="str">
        <f aca="false">IF($A329="","",IF(AN329&amp;""&lt;&gt;"",AN329&amp;"",$A329))</f>
        <v/>
      </c>
      <c r="EY329" s="0" t="str">
        <f aca="false">IF($A329="","",IF(COUNTIFS($EX$2:$EX$1000,EX329,$EV$2:$EV$1000,"Y")+COUNTIFS($EX$2:$EX$1000,EX329,$EW$2:$EW$1000,"Y")&gt;0,"Y","N"))</f>
        <v/>
      </c>
      <c r="EZ329" s="0" t="str">
        <f aca="false">IF($A329="","",IF(AND(U329="new",T329="N",EW329="N",AR329="Y",EY329="N"),"Y","N"))</f>
        <v/>
      </c>
      <c r="FA329" s="0" t="str">
        <f aca="false">IF($A329="","",IF(EZ329&lt;&gt;"Y","N",IF(COUNTIFS($EX$2:$EX$1000,EX329,$EZ$2:$EZ$1000,"Y",$J$2:$J$1000,"&gt;"&amp;J329)+COUNTIFS($EX$2:$EX$1000,EX329,$EZ$2:$EZ$1000,"Y",$J$2:$J$1000,J329,$FG$2:$FG$1000,"&lt;"&amp;FG329)=0,"Y","N")))</f>
        <v/>
      </c>
      <c r="FB329" s="0" t="str">
        <f aca="false">IF($A329="","",IF(AND(EZ329="Y",FA329="Y",Y329&amp;""&lt;&gt;""),IF(Y329&lt;=10,"Y","N"),"N"))</f>
        <v/>
      </c>
      <c r="FC329" s="0" t="str">
        <f aca="false">IF(FB329="Y",Y329,"")</f>
        <v/>
      </c>
      <c r="FD329" s="0" t="str">
        <f aca="false">IF($A329="","",IF(AND(CK329="pass",AU329="Y",AV329&lt;&gt;"Y",U329="new",EW329="N"),"Y","N"))</f>
        <v/>
      </c>
      <c r="FE329" s="0" t="str">
        <f aca="false">IF(FD329&lt;&gt;"Y","",IF(COUNTIFS($FD$2:$FD$1000,"Y",$J$2:$J$1000,"&gt;"&amp;J329)+COUNTIFS($FD$2:$FD$1000,"Y",$J$2:$J$1000,J329,$FG$2:$FG$1000,"&lt;"&amp;FG329)+1&lt;=30,COUNTIFS($FD$2:$FD$1000,"Y",$J$2:$J$1000,"&gt;"&amp;J329)+COUNTIFS($FD$2:$FD$1000,"Y",$J$2:$J$1000,J329,$FG$2:$FG$1000,"&lt;"&amp;FG329)+1,""))</f>
        <v/>
      </c>
      <c r="FF329" s="0" t="str">
        <f aca="false">IF(AND(_xlfn.ISFORMULA(C329),_xlfn.ISFORMULA(J329)),"Y","N")</f>
        <v>Y</v>
      </c>
      <c r="FG329" s="0" t="n">
        <f aca="false">ROW()-1</f>
        <v>328</v>
      </c>
    </row>
    <row r="330" customFormat="false" ht="15" hidden="false" customHeight="false" outlineLevel="0" collapsed="false">
      <c r="C330" s="0" t="str">
        <f aca="false">IF($A330="","",IF(AT330="Y",BL330&amp;"",AY330&amp;""))</f>
        <v/>
      </c>
      <c r="D330" s="0" t="str">
        <f aca="false">IF($A330="","",IF(AT330="Y",BM330&amp;"",AZ330&amp;""))</f>
        <v/>
      </c>
      <c r="E330" s="0" t="str">
        <f aca="false">IF($A330="","",IF(AT330="Y",BN330&amp;"",BA330&amp;""))</f>
        <v/>
      </c>
      <c r="F330" s="0" t="str">
        <f aca="false">IF($A330="","",IF(AT330="Y",BO330&amp;"",BB330&amp;""))</f>
        <v/>
      </c>
      <c r="G330" s="0" t="str">
        <f aca="false">IF($A330="","",IF(AT330="Y",BP330&amp;"",BC330&amp;""))</f>
        <v/>
      </c>
      <c r="H330" s="0" t="str">
        <f aca="false">IF($A330="","",IF(AT330="Y",BQ330&amp;"",BD330&amp;""))</f>
        <v/>
      </c>
      <c r="I330" s="0" t="str">
        <f aca="false">IF($A330="","",IF(R330="Y","warm-intro",IF(H330="verified","email",IF(C330&lt;&gt;"","linkedin",CA330&amp;""))))</f>
        <v/>
      </c>
      <c r="J330" s="0" t="str">
        <f aca="false">IF($A330="","",IF(CK330="pass",ROUND(N(DO330)+N(DP330)+N(DQ330)+N(DR330)+N(DS330)+N(DT330)+N(DU330)+N(DV330),0),0))</f>
        <v/>
      </c>
      <c r="K330" s="0" t="str">
        <f aca="false">IF($A330="","",IF(CK330&lt;&gt;"pass",BY330&amp;"",BY330&amp;", "&amp;IF(AT330="Y",BX330&amp;"",BK330&amp;"")&amp;BZ330&amp;IF(R330="Y","; known to the founder (+10)","")&amp;"."))</f>
        <v/>
      </c>
      <c r="R330" s="5"/>
      <c r="T330" s="5"/>
      <c r="U330" s="5"/>
      <c r="Y330" s="0" t="str">
        <f aca="false">IF(FA330&lt;&gt;"Y","",COUNTIFS($FA$2:$FA$1000,"Y",$J$2:$J$1000,"&gt;"&amp;J330)+COUNTIFS($FA$2:$FA$1000,"Y",$J$2:$J$1000,J330,$FG$2:$FG$1000,"&lt;"&amp;FG330)+1)</f>
        <v/>
      </c>
      <c r="AB330" s="0" t="str">
        <f aca="false">IF($A330="","",IF(AT330="Y",BW330&amp;"",BJ330&amp;""))</f>
        <v/>
      </c>
      <c r="AC330" s="0" t="str">
        <f aca="false">IF($A330="","",IF(AT330="Y",BR330&amp;"",BE330&amp;""))</f>
        <v/>
      </c>
      <c r="AD330" s="0" t="str">
        <f aca="false">IF($A330="","",IF(AT330="Y",BS330&amp;"",BF330&amp;""))</f>
        <v/>
      </c>
      <c r="AE330" s="0" t="str">
        <f aca="false">IF($A330="","",IF(AT330="Y",BT330&amp;"",BG330&amp;""))</f>
        <v/>
      </c>
      <c r="AF330" s="0" t="str">
        <f aca="false">IF($A330="","",IF(AT330="Y",BU330&amp;"",BH330&amp;""))</f>
        <v/>
      </c>
      <c r="AG330" s="0" t="str">
        <f aca="false">IF($A330="","",IF(AT330="Y",BV330&amp;"",BI330&amp;""))</f>
        <v/>
      </c>
      <c r="AO330" s="5"/>
      <c r="AR330" s="0" t="str">
        <f aca="false">IF($A330="","",IF(AND(CK330="pass",AO330&lt;&gt;"Y",C330&lt;&gt;"",OR(AU330&lt;&gt;"Y",AV330="Y")),"Y","N"))</f>
        <v/>
      </c>
      <c r="AS330" s="0" t="str">
        <f aca="false">IF($A330="","",_xlfn.TEXTJOIN("; ",TRUE(),IF(CK330&lt;&gt;"pass","gated out",""),IF(AO330="Y","on hold: "&amp;AP330,""),IF(C330="","no contact named on an opened page",""),IF(AND(AU330="Y",AV330&lt;&gt;"Y"),"founder review pending (Founder review tab)","")))</f>
        <v/>
      </c>
      <c r="BC330" s="0" t="str">
        <f aca="false">IF($A330="","",IFERROR(INDEX(Enrichment!$A$2:$GZ$2000,MATCH($A330,INDEX(Enrichment!$A$2:$GZ$2000,0,MATCH("row_id",Enrichment!$A$1:$GZ$1,0)),0),MATCH("work_email",Enrichment!$A$1:$GZ$1,0))&amp;"",""))</f>
        <v/>
      </c>
      <c r="BD330" s="0" t="str">
        <f aca="false">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P330" s="0" t="str">
        <f aca="false">IF($A330="","",IFERROR(INDEX(Enrichment!$A$2:$GZ$2000,MATCH($A330,INDEX(Enrichment!$A$2:$GZ$2000,0,MATCH("row_id",Enrichment!$A$1:$GZ$1,0)),0),MATCH("backup_work_email",Enrichment!$A$1:$GZ$1,0))&amp;"",""))</f>
        <v/>
      </c>
      <c r="BQ330" s="0" t="str">
        <f aca="false">IF($A330="","",IF(BP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DU330" s="0" t="str">
        <f aca="false">IF($A330="","",IF(R330="Y",10,0))</f>
        <v/>
      </c>
      <c r="EV330" s="0" t="str">
        <f aca="false">IF($A330="","",IF(ISNUMBER(MATCH(U330,{"queued","contacted","replied","call_booked","call_done","yes_in_principle","materials_sent"},0)),"Y","N"))</f>
        <v/>
      </c>
      <c r="EW330" s="0" t="str">
        <f aca="false">IF($A330="","",IF(OR(T330="Y",U330="do_not_contact",AQ330&amp;""&lt;&gt;""),"Y","N"))</f>
        <v/>
      </c>
      <c r="EX330" s="0" t="str">
        <f aca="false">IF($A330="","",IF(AN330&amp;""&lt;&gt;"",AN330&amp;"",$A330))</f>
        <v/>
      </c>
      <c r="EY330" s="0" t="str">
        <f aca="false">IF($A330="","",IF(COUNTIFS($EX$2:$EX$1000,EX330,$EV$2:$EV$1000,"Y")+COUNTIFS($EX$2:$EX$1000,EX330,$EW$2:$EW$1000,"Y")&gt;0,"Y","N"))</f>
        <v/>
      </c>
      <c r="EZ330" s="0" t="str">
        <f aca="false">IF($A330="","",IF(AND(U330="new",T330="N",EW330="N",AR330="Y",EY330="N"),"Y","N"))</f>
        <v/>
      </c>
      <c r="FA330" s="0" t="str">
        <f aca="false">IF($A330="","",IF(EZ330&lt;&gt;"Y","N",IF(COUNTIFS($EX$2:$EX$1000,EX330,$EZ$2:$EZ$1000,"Y",$J$2:$J$1000,"&gt;"&amp;J330)+COUNTIFS($EX$2:$EX$1000,EX330,$EZ$2:$EZ$1000,"Y",$J$2:$J$1000,J330,$FG$2:$FG$1000,"&lt;"&amp;FG330)=0,"Y","N")))</f>
        <v/>
      </c>
      <c r="FB330" s="0" t="str">
        <f aca="false">IF($A330="","",IF(AND(EZ330="Y",FA330="Y",Y330&amp;""&lt;&gt;""),IF(Y330&lt;=10,"Y","N"),"N"))</f>
        <v/>
      </c>
      <c r="FC330" s="0" t="str">
        <f aca="false">IF(FB330="Y",Y330,"")</f>
        <v/>
      </c>
      <c r="FD330" s="0" t="str">
        <f aca="false">IF($A330="","",IF(AND(CK330="pass",AU330="Y",AV330&lt;&gt;"Y",U330="new",EW330="N"),"Y","N"))</f>
        <v/>
      </c>
      <c r="FE330" s="0" t="str">
        <f aca="false">IF(FD330&lt;&gt;"Y","",IF(COUNTIFS($FD$2:$FD$1000,"Y",$J$2:$J$1000,"&gt;"&amp;J330)+COUNTIFS($FD$2:$FD$1000,"Y",$J$2:$J$1000,J330,$FG$2:$FG$1000,"&lt;"&amp;FG330)+1&lt;=30,COUNTIFS($FD$2:$FD$1000,"Y",$J$2:$J$1000,"&gt;"&amp;J330)+COUNTIFS($FD$2:$FD$1000,"Y",$J$2:$J$1000,J330,$FG$2:$FG$1000,"&lt;"&amp;FG330)+1,""))</f>
        <v/>
      </c>
      <c r="FF330" s="0" t="str">
        <f aca="false">IF(AND(_xlfn.ISFORMULA(C330),_xlfn.ISFORMULA(J330)),"Y","N")</f>
        <v>Y</v>
      </c>
      <c r="FG330" s="0" t="n">
        <f aca="false">ROW()-1</f>
        <v>329</v>
      </c>
    </row>
    <row r="331" customFormat="false" ht="15" hidden="false" customHeight="false" outlineLevel="0" collapsed="false">
      <c r="C331" s="0" t="str">
        <f aca="false">IF($A331="","",IF(AT331="Y",BL331&amp;"",AY331&amp;""))</f>
        <v/>
      </c>
      <c r="D331" s="0" t="str">
        <f aca="false">IF($A331="","",IF(AT331="Y",BM331&amp;"",AZ331&amp;""))</f>
        <v/>
      </c>
      <c r="E331" s="0" t="str">
        <f aca="false">IF($A331="","",IF(AT331="Y",BN331&amp;"",BA331&amp;""))</f>
        <v/>
      </c>
      <c r="F331" s="0" t="str">
        <f aca="false">IF($A331="","",IF(AT331="Y",BO331&amp;"",BB331&amp;""))</f>
        <v/>
      </c>
      <c r="G331" s="0" t="str">
        <f aca="false">IF($A331="","",IF(AT331="Y",BP331&amp;"",BC331&amp;""))</f>
        <v/>
      </c>
      <c r="H331" s="0" t="str">
        <f aca="false">IF($A331="","",IF(AT331="Y",BQ331&amp;"",BD331&amp;""))</f>
        <v/>
      </c>
      <c r="I331" s="0" t="str">
        <f aca="false">IF($A331="","",IF(R331="Y","warm-intro",IF(H331="verified","email",IF(C331&lt;&gt;"","linkedin",CA331&amp;""))))</f>
        <v/>
      </c>
      <c r="J331" s="0" t="str">
        <f aca="false">IF($A331="","",IF(CK331="pass",ROUND(N(DO331)+N(DP331)+N(DQ331)+N(DR331)+N(DS331)+N(DT331)+N(DU331)+N(DV331),0),0))</f>
        <v/>
      </c>
      <c r="K331" s="0" t="str">
        <f aca="false">IF($A331="","",IF(CK331&lt;&gt;"pass",BY331&amp;"",BY331&amp;", "&amp;IF(AT331="Y",BX331&amp;"",BK331&amp;"")&amp;BZ331&amp;IF(R331="Y","; known to the founder (+10)","")&amp;"."))</f>
        <v/>
      </c>
      <c r="R331" s="5"/>
      <c r="T331" s="5"/>
      <c r="U331" s="5"/>
      <c r="Y331" s="0" t="str">
        <f aca="false">IF(FA331&lt;&gt;"Y","",COUNTIFS($FA$2:$FA$1000,"Y",$J$2:$J$1000,"&gt;"&amp;J331)+COUNTIFS($FA$2:$FA$1000,"Y",$J$2:$J$1000,J331,$FG$2:$FG$1000,"&lt;"&amp;FG331)+1)</f>
        <v/>
      </c>
      <c r="AB331" s="0" t="str">
        <f aca="false">IF($A331="","",IF(AT331="Y",BW331&amp;"",BJ331&amp;""))</f>
        <v/>
      </c>
      <c r="AC331" s="0" t="str">
        <f aca="false">IF($A331="","",IF(AT331="Y",BR331&amp;"",BE331&amp;""))</f>
        <v/>
      </c>
      <c r="AD331" s="0" t="str">
        <f aca="false">IF($A331="","",IF(AT331="Y",BS331&amp;"",BF331&amp;""))</f>
        <v/>
      </c>
      <c r="AE331" s="0" t="str">
        <f aca="false">IF($A331="","",IF(AT331="Y",BT331&amp;"",BG331&amp;""))</f>
        <v/>
      </c>
      <c r="AF331" s="0" t="str">
        <f aca="false">IF($A331="","",IF(AT331="Y",BU331&amp;"",BH331&amp;""))</f>
        <v/>
      </c>
      <c r="AG331" s="0" t="str">
        <f aca="false">IF($A331="","",IF(AT331="Y",BV331&amp;"",BI331&amp;""))</f>
        <v/>
      </c>
      <c r="AO331" s="5"/>
      <c r="AR331" s="0" t="str">
        <f aca="false">IF($A331="","",IF(AND(CK331="pass",AO331&lt;&gt;"Y",C331&lt;&gt;"",OR(AU331&lt;&gt;"Y",AV331="Y")),"Y","N"))</f>
        <v/>
      </c>
      <c r="AS331" s="0" t="str">
        <f aca="false">IF($A331="","",_xlfn.TEXTJOIN("; ",TRUE(),IF(CK331&lt;&gt;"pass","gated out",""),IF(AO331="Y","on hold: "&amp;AP331,""),IF(C331="","no contact named on an opened page",""),IF(AND(AU331="Y",AV331&lt;&gt;"Y"),"founder review pending (Founder review tab)","")))</f>
        <v/>
      </c>
      <c r="BC331" s="0" t="str">
        <f aca="false">IF($A331="","",IFERROR(INDEX(Enrichment!$A$2:$GZ$2000,MATCH($A331,INDEX(Enrichment!$A$2:$GZ$2000,0,MATCH("row_id",Enrichment!$A$1:$GZ$1,0)),0),MATCH("work_email",Enrichment!$A$1:$GZ$1,0))&amp;"",""))</f>
        <v/>
      </c>
      <c r="BD331" s="0" t="str">
        <f aca="false">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P331" s="0" t="str">
        <f aca="false">IF($A331="","",IFERROR(INDEX(Enrichment!$A$2:$GZ$2000,MATCH($A331,INDEX(Enrichment!$A$2:$GZ$2000,0,MATCH("row_id",Enrichment!$A$1:$GZ$1,0)),0),MATCH("backup_work_email",Enrichment!$A$1:$GZ$1,0))&amp;"",""))</f>
        <v/>
      </c>
      <c r="BQ331" s="0" t="str">
        <f aca="false">IF($A331="","",IF(BP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DU331" s="0" t="str">
        <f aca="false">IF($A331="","",IF(R331="Y",10,0))</f>
        <v/>
      </c>
      <c r="EV331" s="0" t="str">
        <f aca="false">IF($A331="","",IF(ISNUMBER(MATCH(U331,{"queued","contacted","replied","call_booked","call_done","yes_in_principle","materials_sent"},0)),"Y","N"))</f>
        <v/>
      </c>
      <c r="EW331" s="0" t="str">
        <f aca="false">IF($A331="","",IF(OR(T331="Y",U331="do_not_contact",AQ331&amp;""&lt;&gt;""),"Y","N"))</f>
        <v/>
      </c>
      <c r="EX331" s="0" t="str">
        <f aca="false">IF($A331="","",IF(AN331&amp;""&lt;&gt;"",AN331&amp;"",$A331))</f>
        <v/>
      </c>
      <c r="EY331" s="0" t="str">
        <f aca="false">IF($A331="","",IF(COUNTIFS($EX$2:$EX$1000,EX331,$EV$2:$EV$1000,"Y")+COUNTIFS($EX$2:$EX$1000,EX331,$EW$2:$EW$1000,"Y")&gt;0,"Y","N"))</f>
        <v/>
      </c>
      <c r="EZ331" s="0" t="str">
        <f aca="false">IF($A331="","",IF(AND(U331="new",T331="N",EW331="N",AR331="Y",EY331="N"),"Y","N"))</f>
        <v/>
      </c>
      <c r="FA331" s="0" t="str">
        <f aca="false">IF($A331="","",IF(EZ331&lt;&gt;"Y","N",IF(COUNTIFS($EX$2:$EX$1000,EX331,$EZ$2:$EZ$1000,"Y",$J$2:$J$1000,"&gt;"&amp;J331)+COUNTIFS($EX$2:$EX$1000,EX331,$EZ$2:$EZ$1000,"Y",$J$2:$J$1000,J331,$FG$2:$FG$1000,"&lt;"&amp;FG331)=0,"Y","N")))</f>
        <v/>
      </c>
      <c r="FB331" s="0" t="str">
        <f aca="false">IF($A331="","",IF(AND(EZ331="Y",FA331="Y",Y331&amp;""&lt;&gt;""),IF(Y331&lt;=10,"Y","N"),"N"))</f>
        <v/>
      </c>
      <c r="FC331" s="0" t="str">
        <f aca="false">IF(FB331="Y",Y331,"")</f>
        <v/>
      </c>
      <c r="FD331" s="0" t="str">
        <f aca="false">IF($A331="","",IF(AND(CK331="pass",AU331="Y",AV331&lt;&gt;"Y",U331="new",EW331="N"),"Y","N"))</f>
        <v/>
      </c>
      <c r="FE331" s="0" t="str">
        <f aca="false">IF(FD331&lt;&gt;"Y","",IF(COUNTIFS($FD$2:$FD$1000,"Y",$J$2:$J$1000,"&gt;"&amp;J331)+COUNTIFS($FD$2:$FD$1000,"Y",$J$2:$J$1000,J331,$FG$2:$FG$1000,"&lt;"&amp;FG331)+1&lt;=30,COUNTIFS($FD$2:$FD$1000,"Y",$J$2:$J$1000,"&gt;"&amp;J331)+COUNTIFS($FD$2:$FD$1000,"Y",$J$2:$J$1000,J331,$FG$2:$FG$1000,"&lt;"&amp;FG331)+1,""))</f>
        <v/>
      </c>
      <c r="FF331" s="0" t="str">
        <f aca="false">IF(AND(_xlfn.ISFORMULA(C331),_xlfn.ISFORMULA(J331)),"Y","N")</f>
        <v>Y</v>
      </c>
      <c r="FG331" s="0" t="n">
        <f aca="false">ROW()-1</f>
        <v>330</v>
      </c>
    </row>
    <row r="332" customFormat="false" ht="15" hidden="false" customHeight="false" outlineLevel="0" collapsed="false">
      <c r="C332" s="0" t="str">
        <f aca="false">IF($A332="","",IF(AT332="Y",BL332&amp;"",AY332&amp;""))</f>
        <v/>
      </c>
      <c r="D332" s="0" t="str">
        <f aca="false">IF($A332="","",IF(AT332="Y",BM332&amp;"",AZ332&amp;""))</f>
        <v/>
      </c>
      <c r="E332" s="0" t="str">
        <f aca="false">IF($A332="","",IF(AT332="Y",BN332&amp;"",BA332&amp;""))</f>
        <v/>
      </c>
      <c r="F332" s="0" t="str">
        <f aca="false">IF($A332="","",IF(AT332="Y",BO332&amp;"",BB332&amp;""))</f>
        <v/>
      </c>
      <c r="G332" s="0" t="str">
        <f aca="false">IF($A332="","",IF(AT332="Y",BP332&amp;"",BC332&amp;""))</f>
        <v/>
      </c>
      <c r="H332" s="0" t="str">
        <f aca="false">IF($A332="","",IF(AT332="Y",BQ332&amp;"",BD332&amp;""))</f>
        <v/>
      </c>
      <c r="I332" s="0" t="str">
        <f aca="false">IF($A332="","",IF(R332="Y","warm-intro",IF(H332="verified","email",IF(C332&lt;&gt;"","linkedin",CA332&amp;""))))</f>
        <v/>
      </c>
      <c r="J332" s="0" t="str">
        <f aca="false">IF($A332="","",IF(CK332="pass",ROUND(N(DO332)+N(DP332)+N(DQ332)+N(DR332)+N(DS332)+N(DT332)+N(DU332)+N(DV332),0),0))</f>
        <v/>
      </c>
      <c r="K332" s="0" t="str">
        <f aca="false">IF($A332="","",IF(CK332&lt;&gt;"pass",BY332&amp;"",BY332&amp;", "&amp;IF(AT332="Y",BX332&amp;"",BK332&amp;"")&amp;BZ332&amp;IF(R332="Y","; known to the founder (+10)","")&amp;"."))</f>
        <v/>
      </c>
      <c r="R332" s="5"/>
      <c r="T332" s="5"/>
      <c r="U332" s="5"/>
      <c r="Y332" s="0" t="str">
        <f aca="false">IF(FA332&lt;&gt;"Y","",COUNTIFS($FA$2:$FA$1000,"Y",$J$2:$J$1000,"&gt;"&amp;J332)+COUNTIFS($FA$2:$FA$1000,"Y",$J$2:$J$1000,J332,$FG$2:$FG$1000,"&lt;"&amp;FG332)+1)</f>
        <v/>
      </c>
      <c r="AB332" s="0" t="str">
        <f aca="false">IF($A332="","",IF(AT332="Y",BW332&amp;"",BJ332&amp;""))</f>
        <v/>
      </c>
      <c r="AC332" s="0" t="str">
        <f aca="false">IF($A332="","",IF(AT332="Y",BR332&amp;"",BE332&amp;""))</f>
        <v/>
      </c>
      <c r="AD332" s="0" t="str">
        <f aca="false">IF($A332="","",IF(AT332="Y",BS332&amp;"",BF332&amp;""))</f>
        <v/>
      </c>
      <c r="AE332" s="0" t="str">
        <f aca="false">IF($A332="","",IF(AT332="Y",BT332&amp;"",BG332&amp;""))</f>
        <v/>
      </c>
      <c r="AF332" s="0" t="str">
        <f aca="false">IF($A332="","",IF(AT332="Y",BU332&amp;"",BH332&amp;""))</f>
        <v/>
      </c>
      <c r="AG332" s="0" t="str">
        <f aca="false">IF($A332="","",IF(AT332="Y",BV332&amp;"",BI332&amp;""))</f>
        <v/>
      </c>
      <c r="AO332" s="5"/>
      <c r="AR332" s="0" t="str">
        <f aca="false">IF($A332="","",IF(AND(CK332="pass",AO332&lt;&gt;"Y",C332&lt;&gt;"",OR(AU332&lt;&gt;"Y",AV332="Y")),"Y","N"))</f>
        <v/>
      </c>
      <c r="AS332" s="0" t="str">
        <f aca="false">IF($A332="","",_xlfn.TEXTJOIN("; ",TRUE(),IF(CK332&lt;&gt;"pass","gated out",""),IF(AO332="Y","on hold: "&amp;AP332,""),IF(C332="","no contact named on an opened page",""),IF(AND(AU332="Y",AV332&lt;&gt;"Y"),"founder review pending (Founder review tab)","")))</f>
        <v/>
      </c>
      <c r="BC332" s="0" t="str">
        <f aca="false">IF($A332="","",IFERROR(INDEX(Enrichment!$A$2:$GZ$2000,MATCH($A332,INDEX(Enrichment!$A$2:$GZ$2000,0,MATCH("row_id",Enrichment!$A$1:$GZ$1,0)),0),MATCH("work_email",Enrichment!$A$1:$GZ$1,0))&amp;"",""))</f>
        <v/>
      </c>
      <c r="BD332" s="0" t="str">
        <f aca="false">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P332" s="0" t="str">
        <f aca="false">IF($A332="","",IFERROR(INDEX(Enrichment!$A$2:$GZ$2000,MATCH($A332,INDEX(Enrichment!$A$2:$GZ$2000,0,MATCH("row_id",Enrichment!$A$1:$GZ$1,0)),0),MATCH("backup_work_email",Enrichment!$A$1:$GZ$1,0))&amp;"",""))</f>
        <v/>
      </c>
      <c r="BQ332" s="0" t="str">
        <f aca="false">IF($A332="","",IF(BP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DU332" s="0" t="str">
        <f aca="false">IF($A332="","",IF(R332="Y",10,0))</f>
        <v/>
      </c>
      <c r="EV332" s="0" t="str">
        <f aca="false">IF($A332="","",IF(ISNUMBER(MATCH(U332,{"queued","contacted","replied","call_booked","call_done","yes_in_principle","materials_sent"},0)),"Y","N"))</f>
        <v/>
      </c>
      <c r="EW332" s="0" t="str">
        <f aca="false">IF($A332="","",IF(OR(T332="Y",U332="do_not_contact",AQ332&amp;""&lt;&gt;""),"Y","N"))</f>
        <v/>
      </c>
      <c r="EX332" s="0" t="str">
        <f aca="false">IF($A332="","",IF(AN332&amp;""&lt;&gt;"",AN332&amp;"",$A332))</f>
        <v/>
      </c>
      <c r="EY332" s="0" t="str">
        <f aca="false">IF($A332="","",IF(COUNTIFS($EX$2:$EX$1000,EX332,$EV$2:$EV$1000,"Y")+COUNTIFS($EX$2:$EX$1000,EX332,$EW$2:$EW$1000,"Y")&gt;0,"Y","N"))</f>
        <v/>
      </c>
      <c r="EZ332" s="0" t="str">
        <f aca="false">IF($A332="","",IF(AND(U332="new",T332="N",EW332="N",AR332="Y",EY332="N"),"Y","N"))</f>
        <v/>
      </c>
      <c r="FA332" s="0" t="str">
        <f aca="false">IF($A332="","",IF(EZ332&lt;&gt;"Y","N",IF(COUNTIFS($EX$2:$EX$1000,EX332,$EZ$2:$EZ$1000,"Y",$J$2:$J$1000,"&gt;"&amp;J332)+COUNTIFS($EX$2:$EX$1000,EX332,$EZ$2:$EZ$1000,"Y",$J$2:$J$1000,J332,$FG$2:$FG$1000,"&lt;"&amp;FG332)=0,"Y","N")))</f>
        <v/>
      </c>
      <c r="FB332" s="0" t="str">
        <f aca="false">IF($A332="","",IF(AND(EZ332="Y",FA332="Y",Y332&amp;""&lt;&gt;""),IF(Y332&lt;=10,"Y","N"),"N"))</f>
        <v/>
      </c>
      <c r="FC332" s="0" t="str">
        <f aca="false">IF(FB332="Y",Y332,"")</f>
        <v/>
      </c>
      <c r="FD332" s="0" t="str">
        <f aca="false">IF($A332="","",IF(AND(CK332="pass",AU332="Y",AV332&lt;&gt;"Y",U332="new",EW332="N"),"Y","N"))</f>
        <v/>
      </c>
      <c r="FE332" s="0" t="str">
        <f aca="false">IF(FD332&lt;&gt;"Y","",IF(COUNTIFS($FD$2:$FD$1000,"Y",$J$2:$J$1000,"&gt;"&amp;J332)+COUNTIFS($FD$2:$FD$1000,"Y",$J$2:$J$1000,J332,$FG$2:$FG$1000,"&lt;"&amp;FG332)+1&lt;=30,COUNTIFS($FD$2:$FD$1000,"Y",$J$2:$J$1000,"&gt;"&amp;J332)+COUNTIFS($FD$2:$FD$1000,"Y",$J$2:$J$1000,J332,$FG$2:$FG$1000,"&lt;"&amp;FG332)+1,""))</f>
        <v/>
      </c>
      <c r="FF332" s="0" t="str">
        <f aca="false">IF(AND(_xlfn.ISFORMULA(C332),_xlfn.ISFORMULA(J332)),"Y","N")</f>
        <v>Y</v>
      </c>
      <c r="FG332" s="0" t="n">
        <f aca="false">ROW()-1</f>
        <v>331</v>
      </c>
    </row>
    <row r="333" customFormat="false" ht="15" hidden="false" customHeight="false" outlineLevel="0" collapsed="false">
      <c r="C333" s="0" t="str">
        <f aca="false">IF($A333="","",IF(AT333="Y",BL333&amp;"",AY333&amp;""))</f>
        <v/>
      </c>
      <c r="D333" s="0" t="str">
        <f aca="false">IF($A333="","",IF(AT333="Y",BM333&amp;"",AZ333&amp;""))</f>
        <v/>
      </c>
      <c r="E333" s="0" t="str">
        <f aca="false">IF($A333="","",IF(AT333="Y",BN333&amp;"",BA333&amp;""))</f>
        <v/>
      </c>
      <c r="F333" s="0" t="str">
        <f aca="false">IF($A333="","",IF(AT333="Y",BO333&amp;"",BB333&amp;""))</f>
        <v/>
      </c>
      <c r="G333" s="0" t="str">
        <f aca="false">IF($A333="","",IF(AT333="Y",BP333&amp;"",BC333&amp;""))</f>
        <v/>
      </c>
      <c r="H333" s="0" t="str">
        <f aca="false">IF($A333="","",IF(AT333="Y",BQ333&amp;"",BD333&amp;""))</f>
        <v/>
      </c>
      <c r="I333" s="0" t="str">
        <f aca="false">IF($A333="","",IF(R333="Y","warm-intro",IF(H333="verified","email",IF(C333&lt;&gt;"","linkedin",CA333&amp;""))))</f>
        <v/>
      </c>
      <c r="J333" s="0" t="str">
        <f aca="false">IF($A333="","",IF(CK333="pass",ROUND(N(DO333)+N(DP333)+N(DQ333)+N(DR333)+N(DS333)+N(DT333)+N(DU333)+N(DV333),0),0))</f>
        <v/>
      </c>
      <c r="K333" s="0" t="str">
        <f aca="false">IF($A333="","",IF(CK333&lt;&gt;"pass",BY333&amp;"",BY333&amp;", "&amp;IF(AT333="Y",BX333&amp;"",BK333&amp;"")&amp;BZ333&amp;IF(R333="Y","; known to the founder (+10)","")&amp;"."))</f>
        <v/>
      </c>
      <c r="R333" s="5"/>
      <c r="T333" s="5"/>
      <c r="U333" s="5"/>
      <c r="Y333" s="0" t="str">
        <f aca="false">IF(FA333&lt;&gt;"Y","",COUNTIFS($FA$2:$FA$1000,"Y",$J$2:$J$1000,"&gt;"&amp;J333)+COUNTIFS($FA$2:$FA$1000,"Y",$J$2:$J$1000,J333,$FG$2:$FG$1000,"&lt;"&amp;FG333)+1)</f>
        <v/>
      </c>
      <c r="AB333" s="0" t="str">
        <f aca="false">IF($A333="","",IF(AT333="Y",BW333&amp;"",BJ333&amp;""))</f>
        <v/>
      </c>
      <c r="AC333" s="0" t="str">
        <f aca="false">IF($A333="","",IF(AT333="Y",BR333&amp;"",BE333&amp;""))</f>
        <v/>
      </c>
      <c r="AD333" s="0" t="str">
        <f aca="false">IF($A333="","",IF(AT333="Y",BS333&amp;"",BF333&amp;""))</f>
        <v/>
      </c>
      <c r="AE333" s="0" t="str">
        <f aca="false">IF($A333="","",IF(AT333="Y",BT333&amp;"",BG333&amp;""))</f>
        <v/>
      </c>
      <c r="AF333" s="0" t="str">
        <f aca="false">IF($A333="","",IF(AT333="Y",BU333&amp;"",BH333&amp;""))</f>
        <v/>
      </c>
      <c r="AG333" s="0" t="str">
        <f aca="false">IF($A333="","",IF(AT333="Y",BV333&amp;"",BI333&amp;""))</f>
        <v/>
      </c>
      <c r="AO333" s="5"/>
      <c r="AR333" s="0" t="str">
        <f aca="false">IF($A333="","",IF(AND(CK333="pass",AO333&lt;&gt;"Y",C333&lt;&gt;"",OR(AU333&lt;&gt;"Y",AV333="Y")),"Y","N"))</f>
        <v/>
      </c>
      <c r="AS333" s="0" t="str">
        <f aca="false">IF($A333="","",_xlfn.TEXTJOIN("; ",TRUE(),IF(CK333&lt;&gt;"pass","gated out",""),IF(AO333="Y","on hold: "&amp;AP333,""),IF(C333="","no contact named on an opened page",""),IF(AND(AU333="Y",AV333&lt;&gt;"Y"),"founder review pending (Founder review tab)","")))</f>
        <v/>
      </c>
      <c r="BC333" s="0" t="str">
        <f aca="false">IF($A333="","",IFERROR(INDEX(Enrichment!$A$2:$GZ$2000,MATCH($A333,INDEX(Enrichment!$A$2:$GZ$2000,0,MATCH("row_id",Enrichment!$A$1:$GZ$1,0)),0),MATCH("work_email",Enrichment!$A$1:$GZ$1,0))&amp;"",""))</f>
        <v/>
      </c>
      <c r="BD333" s="0" t="str">
        <f aca="false">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P333" s="0" t="str">
        <f aca="false">IF($A333="","",IFERROR(INDEX(Enrichment!$A$2:$GZ$2000,MATCH($A333,INDEX(Enrichment!$A$2:$GZ$2000,0,MATCH("row_id",Enrichment!$A$1:$GZ$1,0)),0),MATCH("backup_work_email",Enrichment!$A$1:$GZ$1,0))&amp;"",""))</f>
        <v/>
      </c>
      <c r="BQ333" s="0" t="str">
        <f aca="false">IF($A333="","",IF(BP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DU333" s="0" t="str">
        <f aca="false">IF($A333="","",IF(R333="Y",10,0))</f>
        <v/>
      </c>
      <c r="EV333" s="0" t="str">
        <f aca="false">IF($A333="","",IF(ISNUMBER(MATCH(U333,{"queued","contacted","replied","call_booked","call_done","yes_in_principle","materials_sent"},0)),"Y","N"))</f>
        <v/>
      </c>
      <c r="EW333" s="0" t="str">
        <f aca="false">IF($A333="","",IF(OR(T333="Y",U333="do_not_contact",AQ333&amp;""&lt;&gt;""),"Y","N"))</f>
        <v/>
      </c>
      <c r="EX333" s="0" t="str">
        <f aca="false">IF($A333="","",IF(AN333&amp;""&lt;&gt;"",AN333&amp;"",$A333))</f>
        <v/>
      </c>
      <c r="EY333" s="0" t="str">
        <f aca="false">IF($A333="","",IF(COUNTIFS($EX$2:$EX$1000,EX333,$EV$2:$EV$1000,"Y")+COUNTIFS($EX$2:$EX$1000,EX333,$EW$2:$EW$1000,"Y")&gt;0,"Y","N"))</f>
        <v/>
      </c>
      <c r="EZ333" s="0" t="str">
        <f aca="false">IF($A333="","",IF(AND(U333="new",T333="N",EW333="N",AR333="Y",EY333="N"),"Y","N"))</f>
        <v/>
      </c>
      <c r="FA333" s="0" t="str">
        <f aca="false">IF($A333="","",IF(EZ333&lt;&gt;"Y","N",IF(COUNTIFS($EX$2:$EX$1000,EX333,$EZ$2:$EZ$1000,"Y",$J$2:$J$1000,"&gt;"&amp;J333)+COUNTIFS($EX$2:$EX$1000,EX333,$EZ$2:$EZ$1000,"Y",$J$2:$J$1000,J333,$FG$2:$FG$1000,"&lt;"&amp;FG333)=0,"Y","N")))</f>
        <v/>
      </c>
      <c r="FB333" s="0" t="str">
        <f aca="false">IF($A333="","",IF(AND(EZ333="Y",FA333="Y",Y333&amp;""&lt;&gt;""),IF(Y333&lt;=10,"Y","N"),"N"))</f>
        <v/>
      </c>
      <c r="FC333" s="0" t="str">
        <f aca="false">IF(FB333="Y",Y333,"")</f>
        <v/>
      </c>
      <c r="FD333" s="0" t="str">
        <f aca="false">IF($A333="","",IF(AND(CK333="pass",AU333="Y",AV333&lt;&gt;"Y",U333="new",EW333="N"),"Y","N"))</f>
        <v/>
      </c>
      <c r="FE333" s="0" t="str">
        <f aca="false">IF(FD333&lt;&gt;"Y","",IF(COUNTIFS($FD$2:$FD$1000,"Y",$J$2:$J$1000,"&gt;"&amp;J333)+COUNTIFS($FD$2:$FD$1000,"Y",$J$2:$J$1000,J333,$FG$2:$FG$1000,"&lt;"&amp;FG333)+1&lt;=30,COUNTIFS($FD$2:$FD$1000,"Y",$J$2:$J$1000,"&gt;"&amp;J333)+COUNTIFS($FD$2:$FD$1000,"Y",$J$2:$J$1000,J333,$FG$2:$FG$1000,"&lt;"&amp;FG333)+1,""))</f>
        <v/>
      </c>
      <c r="FF333" s="0" t="str">
        <f aca="false">IF(AND(_xlfn.ISFORMULA(C333),_xlfn.ISFORMULA(J333)),"Y","N")</f>
        <v>Y</v>
      </c>
      <c r="FG333" s="0" t="n">
        <f aca="false">ROW()-1</f>
        <v>332</v>
      </c>
    </row>
    <row r="334" customFormat="false" ht="15" hidden="false" customHeight="false" outlineLevel="0" collapsed="false">
      <c r="C334" s="0" t="str">
        <f aca="false">IF($A334="","",IF(AT334="Y",BL334&amp;"",AY334&amp;""))</f>
        <v/>
      </c>
      <c r="D334" s="0" t="str">
        <f aca="false">IF($A334="","",IF(AT334="Y",BM334&amp;"",AZ334&amp;""))</f>
        <v/>
      </c>
      <c r="E334" s="0" t="str">
        <f aca="false">IF($A334="","",IF(AT334="Y",BN334&amp;"",BA334&amp;""))</f>
        <v/>
      </c>
      <c r="F334" s="0" t="str">
        <f aca="false">IF($A334="","",IF(AT334="Y",BO334&amp;"",BB334&amp;""))</f>
        <v/>
      </c>
      <c r="G334" s="0" t="str">
        <f aca="false">IF($A334="","",IF(AT334="Y",BP334&amp;"",BC334&amp;""))</f>
        <v/>
      </c>
      <c r="H334" s="0" t="str">
        <f aca="false">IF($A334="","",IF(AT334="Y",BQ334&amp;"",BD334&amp;""))</f>
        <v/>
      </c>
      <c r="I334" s="0" t="str">
        <f aca="false">IF($A334="","",IF(R334="Y","warm-intro",IF(H334="verified","email",IF(C334&lt;&gt;"","linkedin",CA334&amp;""))))</f>
        <v/>
      </c>
      <c r="J334" s="0" t="str">
        <f aca="false">IF($A334="","",IF(CK334="pass",ROUND(N(DO334)+N(DP334)+N(DQ334)+N(DR334)+N(DS334)+N(DT334)+N(DU334)+N(DV334),0),0))</f>
        <v/>
      </c>
      <c r="K334" s="0" t="str">
        <f aca="false">IF($A334="","",IF(CK334&lt;&gt;"pass",BY334&amp;"",BY334&amp;", "&amp;IF(AT334="Y",BX334&amp;"",BK334&amp;"")&amp;BZ334&amp;IF(R334="Y","; known to the founder (+10)","")&amp;"."))</f>
        <v/>
      </c>
      <c r="R334" s="5"/>
      <c r="T334" s="5"/>
      <c r="U334" s="5"/>
      <c r="Y334" s="0" t="str">
        <f aca="false">IF(FA334&lt;&gt;"Y","",COUNTIFS($FA$2:$FA$1000,"Y",$J$2:$J$1000,"&gt;"&amp;J334)+COUNTIFS($FA$2:$FA$1000,"Y",$J$2:$J$1000,J334,$FG$2:$FG$1000,"&lt;"&amp;FG334)+1)</f>
        <v/>
      </c>
      <c r="AB334" s="0" t="str">
        <f aca="false">IF($A334="","",IF(AT334="Y",BW334&amp;"",BJ334&amp;""))</f>
        <v/>
      </c>
      <c r="AC334" s="0" t="str">
        <f aca="false">IF($A334="","",IF(AT334="Y",BR334&amp;"",BE334&amp;""))</f>
        <v/>
      </c>
      <c r="AD334" s="0" t="str">
        <f aca="false">IF($A334="","",IF(AT334="Y",BS334&amp;"",BF334&amp;""))</f>
        <v/>
      </c>
      <c r="AE334" s="0" t="str">
        <f aca="false">IF($A334="","",IF(AT334="Y",BT334&amp;"",BG334&amp;""))</f>
        <v/>
      </c>
      <c r="AF334" s="0" t="str">
        <f aca="false">IF($A334="","",IF(AT334="Y",BU334&amp;"",BH334&amp;""))</f>
        <v/>
      </c>
      <c r="AG334" s="0" t="str">
        <f aca="false">IF($A334="","",IF(AT334="Y",BV334&amp;"",BI334&amp;""))</f>
        <v/>
      </c>
      <c r="AO334" s="5"/>
      <c r="AR334" s="0" t="str">
        <f aca="false">IF($A334="","",IF(AND(CK334="pass",AO334&lt;&gt;"Y",C334&lt;&gt;"",OR(AU334&lt;&gt;"Y",AV334="Y")),"Y","N"))</f>
        <v/>
      </c>
      <c r="AS334" s="0" t="str">
        <f aca="false">IF($A334="","",_xlfn.TEXTJOIN("; ",TRUE(),IF(CK334&lt;&gt;"pass","gated out",""),IF(AO334="Y","on hold: "&amp;AP334,""),IF(C334="","no contact named on an opened page",""),IF(AND(AU334="Y",AV334&lt;&gt;"Y"),"founder review pending (Founder review tab)","")))</f>
        <v/>
      </c>
      <c r="BC334" s="0" t="str">
        <f aca="false">IF($A334="","",IFERROR(INDEX(Enrichment!$A$2:$GZ$2000,MATCH($A334,INDEX(Enrichment!$A$2:$GZ$2000,0,MATCH("row_id",Enrichment!$A$1:$GZ$1,0)),0),MATCH("work_email",Enrichment!$A$1:$GZ$1,0))&amp;"",""))</f>
        <v/>
      </c>
      <c r="BD334" s="0" t="str">
        <f aca="false">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P334" s="0" t="str">
        <f aca="false">IF($A334="","",IFERROR(INDEX(Enrichment!$A$2:$GZ$2000,MATCH($A334,INDEX(Enrichment!$A$2:$GZ$2000,0,MATCH("row_id",Enrichment!$A$1:$GZ$1,0)),0),MATCH("backup_work_email",Enrichment!$A$1:$GZ$1,0))&amp;"",""))</f>
        <v/>
      </c>
      <c r="BQ334" s="0" t="str">
        <f aca="false">IF($A334="","",IF(BP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DU334" s="0" t="str">
        <f aca="false">IF($A334="","",IF(R334="Y",10,0))</f>
        <v/>
      </c>
      <c r="EV334" s="0" t="str">
        <f aca="false">IF($A334="","",IF(ISNUMBER(MATCH(U334,{"queued","contacted","replied","call_booked","call_done","yes_in_principle","materials_sent"},0)),"Y","N"))</f>
        <v/>
      </c>
      <c r="EW334" s="0" t="str">
        <f aca="false">IF($A334="","",IF(OR(T334="Y",U334="do_not_contact",AQ334&amp;""&lt;&gt;""),"Y","N"))</f>
        <v/>
      </c>
      <c r="EX334" s="0" t="str">
        <f aca="false">IF($A334="","",IF(AN334&amp;""&lt;&gt;"",AN334&amp;"",$A334))</f>
        <v/>
      </c>
      <c r="EY334" s="0" t="str">
        <f aca="false">IF($A334="","",IF(COUNTIFS($EX$2:$EX$1000,EX334,$EV$2:$EV$1000,"Y")+COUNTIFS($EX$2:$EX$1000,EX334,$EW$2:$EW$1000,"Y")&gt;0,"Y","N"))</f>
        <v/>
      </c>
      <c r="EZ334" s="0" t="str">
        <f aca="false">IF($A334="","",IF(AND(U334="new",T334="N",EW334="N",AR334="Y",EY334="N"),"Y","N"))</f>
        <v/>
      </c>
      <c r="FA334" s="0" t="str">
        <f aca="false">IF($A334="","",IF(EZ334&lt;&gt;"Y","N",IF(COUNTIFS($EX$2:$EX$1000,EX334,$EZ$2:$EZ$1000,"Y",$J$2:$J$1000,"&gt;"&amp;J334)+COUNTIFS($EX$2:$EX$1000,EX334,$EZ$2:$EZ$1000,"Y",$J$2:$J$1000,J334,$FG$2:$FG$1000,"&lt;"&amp;FG334)=0,"Y","N")))</f>
        <v/>
      </c>
      <c r="FB334" s="0" t="str">
        <f aca="false">IF($A334="","",IF(AND(EZ334="Y",FA334="Y",Y334&amp;""&lt;&gt;""),IF(Y334&lt;=10,"Y","N"),"N"))</f>
        <v/>
      </c>
      <c r="FC334" s="0" t="str">
        <f aca="false">IF(FB334="Y",Y334,"")</f>
        <v/>
      </c>
      <c r="FD334" s="0" t="str">
        <f aca="false">IF($A334="","",IF(AND(CK334="pass",AU334="Y",AV334&lt;&gt;"Y",U334="new",EW334="N"),"Y","N"))</f>
        <v/>
      </c>
      <c r="FE334" s="0" t="str">
        <f aca="false">IF(FD334&lt;&gt;"Y","",IF(COUNTIFS($FD$2:$FD$1000,"Y",$J$2:$J$1000,"&gt;"&amp;J334)+COUNTIFS($FD$2:$FD$1000,"Y",$J$2:$J$1000,J334,$FG$2:$FG$1000,"&lt;"&amp;FG334)+1&lt;=30,COUNTIFS($FD$2:$FD$1000,"Y",$J$2:$J$1000,"&gt;"&amp;J334)+COUNTIFS($FD$2:$FD$1000,"Y",$J$2:$J$1000,J334,$FG$2:$FG$1000,"&lt;"&amp;FG334)+1,""))</f>
        <v/>
      </c>
      <c r="FF334" s="0" t="str">
        <f aca="false">IF(AND(_xlfn.ISFORMULA(C334),_xlfn.ISFORMULA(J334)),"Y","N")</f>
        <v>Y</v>
      </c>
      <c r="FG334" s="0" t="n">
        <f aca="false">ROW()-1</f>
        <v>333</v>
      </c>
    </row>
    <row r="335" customFormat="false" ht="15" hidden="false" customHeight="false" outlineLevel="0" collapsed="false">
      <c r="C335" s="0" t="str">
        <f aca="false">IF($A335="","",IF(AT335="Y",BL335&amp;"",AY335&amp;""))</f>
        <v/>
      </c>
      <c r="D335" s="0" t="str">
        <f aca="false">IF($A335="","",IF(AT335="Y",BM335&amp;"",AZ335&amp;""))</f>
        <v/>
      </c>
      <c r="E335" s="0" t="str">
        <f aca="false">IF($A335="","",IF(AT335="Y",BN335&amp;"",BA335&amp;""))</f>
        <v/>
      </c>
      <c r="F335" s="0" t="str">
        <f aca="false">IF($A335="","",IF(AT335="Y",BO335&amp;"",BB335&amp;""))</f>
        <v/>
      </c>
      <c r="G335" s="0" t="str">
        <f aca="false">IF($A335="","",IF(AT335="Y",BP335&amp;"",BC335&amp;""))</f>
        <v/>
      </c>
      <c r="H335" s="0" t="str">
        <f aca="false">IF($A335="","",IF(AT335="Y",BQ335&amp;"",BD335&amp;""))</f>
        <v/>
      </c>
      <c r="I335" s="0" t="str">
        <f aca="false">IF($A335="","",IF(R335="Y","warm-intro",IF(H335="verified","email",IF(C335&lt;&gt;"","linkedin",CA335&amp;""))))</f>
        <v/>
      </c>
      <c r="J335" s="0" t="str">
        <f aca="false">IF($A335="","",IF(CK335="pass",ROUND(N(DO335)+N(DP335)+N(DQ335)+N(DR335)+N(DS335)+N(DT335)+N(DU335)+N(DV335),0),0))</f>
        <v/>
      </c>
      <c r="K335" s="0" t="str">
        <f aca="false">IF($A335="","",IF(CK335&lt;&gt;"pass",BY335&amp;"",BY335&amp;", "&amp;IF(AT335="Y",BX335&amp;"",BK335&amp;"")&amp;BZ335&amp;IF(R335="Y","; known to the founder (+10)","")&amp;"."))</f>
        <v/>
      </c>
      <c r="R335" s="5"/>
      <c r="T335" s="5"/>
      <c r="U335" s="5"/>
      <c r="Y335" s="0" t="str">
        <f aca="false">IF(FA335&lt;&gt;"Y","",COUNTIFS($FA$2:$FA$1000,"Y",$J$2:$J$1000,"&gt;"&amp;J335)+COUNTIFS($FA$2:$FA$1000,"Y",$J$2:$J$1000,J335,$FG$2:$FG$1000,"&lt;"&amp;FG335)+1)</f>
        <v/>
      </c>
      <c r="AB335" s="0" t="str">
        <f aca="false">IF($A335="","",IF(AT335="Y",BW335&amp;"",BJ335&amp;""))</f>
        <v/>
      </c>
      <c r="AC335" s="0" t="str">
        <f aca="false">IF($A335="","",IF(AT335="Y",BR335&amp;"",BE335&amp;""))</f>
        <v/>
      </c>
      <c r="AD335" s="0" t="str">
        <f aca="false">IF($A335="","",IF(AT335="Y",BS335&amp;"",BF335&amp;""))</f>
        <v/>
      </c>
      <c r="AE335" s="0" t="str">
        <f aca="false">IF($A335="","",IF(AT335="Y",BT335&amp;"",BG335&amp;""))</f>
        <v/>
      </c>
      <c r="AF335" s="0" t="str">
        <f aca="false">IF($A335="","",IF(AT335="Y",BU335&amp;"",BH335&amp;""))</f>
        <v/>
      </c>
      <c r="AG335" s="0" t="str">
        <f aca="false">IF($A335="","",IF(AT335="Y",BV335&amp;"",BI335&amp;""))</f>
        <v/>
      </c>
      <c r="AO335" s="5"/>
      <c r="AR335" s="0" t="str">
        <f aca="false">IF($A335="","",IF(AND(CK335="pass",AO335&lt;&gt;"Y",C335&lt;&gt;"",OR(AU335&lt;&gt;"Y",AV335="Y")),"Y","N"))</f>
        <v/>
      </c>
      <c r="AS335" s="0" t="str">
        <f aca="false">IF($A335="","",_xlfn.TEXTJOIN("; ",TRUE(),IF(CK335&lt;&gt;"pass","gated out",""),IF(AO335="Y","on hold: "&amp;AP335,""),IF(C335="","no contact named on an opened page",""),IF(AND(AU335="Y",AV335&lt;&gt;"Y"),"founder review pending (Founder review tab)","")))</f>
        <v/>
      </c>
      <c r="BC335" s="0" t="str">
        <f aca="false">IF($A335="","",IFERROR(INDEX(Enrichment!$A$2:$GZ$2000,MATCH($A335,INDEX(Enrichment!$A$2:$GZ$2000,0,MATCH("row_id",Enrichment!$A$1:$GZ$1,0)),0),MATCH("work_email",Enrichment!$A$1:$GZ$1,0))&amp;"",""))</f>
        <v/>
      </c>
      <c r="BD335" s="0" t="str">
        <f aca="false">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P335" s="0" t="str">
        <f aca="false">IF($A335="","",IFERROR(INDEX(Enrichment!$A$2:$GZ$2000,MATCH($A335,INDEX(Enrichment!$A$2:$GZ$2000,0,MATCH("row_id",Enrichment!$A$1:$GZ$1,0)),0),MATCH("backup_work_email",Enrichment!$A$1:$GZ$1,0))&amp;"",""))</f>
        <v/>
      </c>
      <c r="BQ335" s="0" t="str">
        <f aca="false">IF($A335="","",IF(BP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DU335" s="0" t="str">
        <f aca="false">IF($A335="","",IF(R335="Y",10,0))</f>
        <v/>
      </c>
      <c r="EV335" s="0" t="str">
        <f aca="false">IF($A335="","",IF(ISNUMBER(MATCH(U335,{"queued","contacted","replied","call_booked","call_done","yes_in_principle","materials_sent"},0)),"Y","N"))</f>
        <v/>
      </c>
      <c r="EW335" s="0" t="str">
        <f aca="false">IF($A335="","",IF(OR(T335="Y",U335="do_not_contact",AQ335&amp;""&lt;&gt;""),"Y","N"))</f>
        <v/>
      </c>
      <c r="EX335" s="0" t="str">
        <f aca="false">IF($A335="","",IF(AN335&amp;""&lt;&gt;"",AN335&amp;"",$A335))</f>
        <v/>
      </c>
      <c r="EY335" s="0" t="str">
        <f aca="false">IF($A335="","",IF(COUNTIFS($EX$2:$EX$1000,EX335,$EV$2:$EV$1000,"Y")+COUNTIFS($EX$2:$EX$1000,EX335,$EW$2:$EW$1000,"Y")&gt;0,"Y","N"))</f>
        <v/>
      </c>
      <c r="EZ335" s="0" t="str">
        <f aca="false">IF($A335="","",IF(AND(U335="new",T335="N",EW335="N",AR335="Y",EY335="N"),"Y","N"))</f>
        <v/>
      </c>
      <c r="FA335" s="0" t="str">
        <f aca="false">IF($A335="","",IF(EZ335&lt;&gt;"Y","N",IF(COUNTIFS($EX$2:$EX$1000,EX335,$EZ$2:$EZ$1000,"Y",$J$2:$J$1000,"&gt;"&amp;J335)+COUNTIFS($EX$2:$EX$1000,EX335,$EZ$2:$EZ$1000,"Y",$J$2:$J$1000,J335,$FG$2:$FG$1000,"&lt;"&amp;FG335)=0,"Y","N")))</f>
        <v/>
      </c>
      <c r="FB335" s="0" t="str">
        <f aca="false">IF($A335="","",IF(AND(EZ335="Y",FA335="Y",Y335&amp;""&lt;&gt;""),IF(Y335&lt;=10,"Y","N"),"N"))</f>
        <v/>
      </c>
      <c r="FC335" s="0" t="str">
        <f aca="false">IF(FB335="Y",Y335,"")</f>
        <v/>
      </c>
      <c r="FD335" s="0" t="str">
        <f aca="false">IF($A335="","",IF(AND(CK335="pass",AU335="Y",AV335&lt;&gt;"Y",U335="new",EW335="N"),"Y","N"))</f>
        <v/>
      </c>
      <c r="FE335" s="0" t="str">
        <f aca="false">IF(FD335&lt;&gt;"Y","",IF(COUNTIFS($FD$2:$FD$1000,"Y",$J$2:$J$1000,"&gt;"&amp;J335)+COUNTIFS($FD$2:$FD$1000,"Y",$J$2:$J$1000,J335,$FG$2:$FG$1000,"&lt;"&amp;FG335)+1&lt;=30,COUNTIFS($FD$2:$FD$1000,"Y",$J$2:$J$1000,"&gt;"&amp;J335)+COUNTIFS($FD$2:$FD$1000,"Y",$J$2:$J$1000,J335,$FG$2:$FG$1000,"&lt;"&amp;FG335)+1,""))</f>
        <v/>
      </c>
      <c r="FF335" s="0" t="str">
        <f aca="false">IF(AND(_xlfn.ISFORMULA(C335),_xlfn.ISFORMULA(J335)),"Y","N")</f>
        <v>Y</v>
      </c>
      <c r="FG335" s="0" t="n">
        <f aca="false">ROW()-1</f>
        <v>334</v>
      </c>
    </row>
    <row r="336" customFormat="false" ht="15" hidden="false" customHeight="false" outlineLevel="0" collapsed="false">
      <c r="C336" s="0" t="str">
        <f aca="false">IF($A336="","",IF(AT336="Y",BL336&amp;"",AY336&amp;""))</f>
        <v/>
      </c>
      <c r="D336" s="0" t="str">
        <f aca="false">IF($A336="","",IF(AT336="Y",BM336&amp;"",AZ336&amp;""))</f>
        <v/>
      </c>
      <c r="E336" s="0" t="str">
        <f aca="false">IF($A336="","",IF(AT336="Y",BN336&amp;"",BA336&amp;""))</f>
        <v/>
      </c>
      <c r="F336" s="0" t="str">
        <f aca="false">IF($A336="","",IF(AT336="Y",BO336&amp;"",BB336&amp;""))</f>
        <v/>
      </c>
      <c r="G336" s="0" t="str">
        <f aca="false">IF($A336="","",IF(AT336="Y",BP336&amp;"",BC336&amp;""))</f>
        <v/>
      </c>
      <c r="H336" s="0" t="str">
        <f aca="false">IF($A336="","",IF(AT336="Y",BQ336&amp;"",BD336&amp;""))</f>
        <v/>
      </c>
      <c r="I336" s="0" t="str">
        <f aca="false">IF($A336="","",IF(R336="Y","warm-intro",IF(H336="verified","email",IF(C336&lt;&gt;"","linkedin",CA336&amp;""))))</f>
        <v/>
      </c>
      <c r="J336" s="0" t="str">
        <f aca="false">IF($A336="","",IF(CK336="pass",ROUND(N(DO336)+N(DP336)+N(DQ336)+N(DR336)+N(DS336)+N(DT336)+N(DU336)+N(DV336),0),0))</f>
        <v/>
      </c>
      <c r="K336" s="0" t="str">
        <f aca="false">IF($A336="","",IF(CK336&lt;&gt;"pass",BY336&amp;"",BY336&amp;", "&amp;IF(AT336="Y",BX336&amp;"",BK336&amp;"")&amp;BZ336&amp;IF(R336="Y","; known to the founder (+10)","")&amp;"."))</f>
        <v/>
      </c>
      <c r="R336" s="5"/>
      <c r="T336" s="5"/>
      <c r="U336" s="5"/>
      <c r="Y336" s="0" t="str">
        <f aca="false">IF(FA336&lt;&gt;"Y","",COUNTIFS($FA$2:$FA$1000,"Y",$J$2:$J$1000,"&gt;"&amp;J336)+COUNTIFS($FA$2:$FA$1000,"Y",$J$2:$J$1000,J336,$FG$2:$FG$1000,"&lt;"&amp;FG336)+1)</f>
        <v/>
      </c>
      <c r="AB336" s="0" t="str">
        <f aca="false">IF($A336="","",IF(AT336="Y",BW336&amp;"",BJ336&amp;""))</f>
        <v/>
      </c>
      <c r="AC336" s="0" t="str">
        <f aca="false">IF($A336="","",IF(AT336="Y",BR336&amp;"",BE336&amp;""))</f>
        <v/>
      </c>
      <c r="AD336" s="0" t="str">
        <f aca="false">IF($A336="","",IF(AT336="Y",BS336&amp;"",BF336&amp;""))</f>
        <v/>
      </c>
      <c r="AE336" s="0" t="str">
        <f aca="false">IF($A336="","",IF(AT336="Y",BT336&amp;"",BG336&amp;""))</f>
        <v/>
      </c>
      <c r="AF336" s="0" t="str">
        <f aca="false">IF($A336="","",IF(AT336="Y",BU336&amp;"",BH336&amp;""))</f>
        <v/>
      </c>
      <c r="AG336" s="0" t="str">
        <f aca="false">IF($A336="","",IF(AT336="Y",BV336&amp;"",BI336&amp;""))</f>
        <v/>
      </c>
      <c r="AO336" s="5"/>
      <c r="AR336" s="0" t="str">
        <f aca="false">IF($A336="","",IF(AND(CK336="pass",AO336&lt;&gt;"Y",C336&lt;&gt;"",OR(AU336&lt;&gt;"Y",AV336="Y")),"Y","N"))</f>
        <v/>
      </c>
      <c r="AS336" s="0" t="str">
        <f aca="false">IF($A336="","",_xlfn.TEXTJOIN("; ",TRUE(),IF(CK336&lt;&gt;"pass","gated out",""),IF(AO336="Y","on hold: "&amp;AP336,""),IF(C336="","no contact named on an opened page",""),IF(AND(AU336="Y",AV336&lt;&gt;"Y"),"founder review pending (Founder review tab)","")))</f>
        <v/>
      </c>
      <c r="BC336" s="0" t="str">
        <f aca="false">IF($A336="","",IFERROR(INDEX(Enrichment!$A$2:$GZ$2000,MATCH($A336,INDEX(Enrichment!$A$2:$GZ$2000,0,MATCH("row_id",Enrichment!$A$1:$GZ$1,0)),0),MATCH("work_email",Enrichment!$A$1:$GZ$1,0))&amp;"",""))</f>
        <v/>
      </c>
      <c r="BD336" s="0" t="str">
        <f aca="false">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P336" s="0" t="str">
        <f aca="false">IF($A336="","",IFERROR(INDEX(Enrichment!$A$2:$GZ$2000,MATCH($A336,INDEX(Enrichment!$A$2:$GZ$2000,0,MATCH("row_id",Enrichment!$A$1:$GZ$1,0)),0),MATCH("backup_work_email",Enrichment!$A$1:$GZ$1,0))&amp;"",""))</f>
        <v/>
      </c>
      <c r="BQ336" s="0" t="str">
        <f aca="false">IF($A336="","",IF(BP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DU336" s="0" t="str">
        <f aca="false">IF($A336="","",IF(R336="Y",10,0))</f>
        <v/>
      </c>
      <c r="EV336" s="0" t="str">
        <f aca="false">IF($A336="","",IF(ISNUMBER(MATCH(U336,{"queued","contacted","replied","call_booked","call_done","yes_in_principle","materials_sent"},0)),"Y","N"))</f>
        <v/>
      </c>
      <c r="EW336" s="0" t="str">
        <f aca="false">IF($A336="","",IF(OR(T336="Y",U336="do_not_contact",AQ336&amp;""&lt;&gt;""),"Y","N"))</f>
        <v/>
      </c>
      <c r="EX336" s="0" t="str">
        <f aca="false">IF($A336="","",IF(AN336&amp;""&lt;&gt;"",AN336&amp;"",$A336))</f>
        <v/>
      </c>
      <c r="EY336" s="0" t="str">
        <f aca="false">IF($A336="","",IF(COUNTIFS($EX$2:$EX$1000,EX336,$EV$2:$EV$1000,"Y")+COUNTIFS($EX$2:$EX$1000,EX336,$EW$2:$EW$1000,"Y")&gt;0,"Y","N"))</f>
        <v/>
      </c>
      <c r="EZ336" s="0" t="str">
        <f aca="false">IF($A336="","",IF(AND(U336="new",T336="N",EW336="N",AR336="Y",EY336="N"),"Y","N"))</f>
        <v/>
      </c>
      <c r="FA336" s="0" t="str">
        <f aca="false">IF($A336="","",IF(EZ336&lt;&gt;"Y","N",IF(COUNTIFS($EX$2:$EX$1000,EX336,$EZ$2:$EZ$1000,"Y",$J$2:$J$1000,"&gt;"&amp;J336)+COUNTIFS($EX$2:$EX$1000,EX336,$EZ$2:$EZ$1000,"Y",$J$2:$J$1000,J336,$FG$2:$FG$1000,"&lt;"&amp;FG336)=0,"Y","N")))</f>
        <v/>
      </c>
      <c r="FB336" s="0" t="str">
        <f aca="false">IF($A336="","",IF(AND(EZ336="Y",FA336="Y",Y336&amp;""&lt;&gt;""),IF(Y336&lt;=10,"Y","N"),"N"))</f>
        <v/>
      </c>
      <c r="FC336" s="0" t="str">
        <f aca="false">IF(FB336="Y",Y336,"")</f>
        <v/>
      </c>
      <c r="FD336" s="0" t="str">
        <f aca="false">IF($A336="","",IF(AND(CK336="pass",AU336="Y",AV336&lt;&gt;"Y",U336="new",EW336="N"),"Y","N"))</f>
        <v/>
      </c>
      <c r="FE336" s="0" t="str">
        <f aca="false">IF(FD336&lt;&gt;"Y","",IF(COUNTIFS($FD$2:$FD$1000,"Y",$J$2:$J$1000,"&gt;"&amp;J336)+COUNTIFS($FD$2:$FD$1000,"Y",$J$2:$J$1000,J336,$FG$2:$FG$1000,"&lt;"&amp;FG336)+1&lt;=30,COUNTIFS($FD$2:$FD$1000,"Y",$J$2:$J$1000,"&gt;"&amp;J336)+COUNTIFS($FD$2:$FD$1000,"Y",$J$2:$J$1000,J336,$FG$2:$FG$1000,"&lt;"&amp;FG336)+1,""))</f>
        <v/>
      </c>
      <c r="FF336" s="0" t="str">
        <f aca="false">IF(AND(_xlfn.ISFORMULA(C336),_xlfn.ISFORMULA(J336)),"Y","N")</f>
        <v>Y</v>
      </c>
      <c r="FG336" s="0" t="n">
        <f aca="false">ROW()-1</f>
        <v>335</v>
      </c>
    </row>
    <row r="337" customFormat="false" ht="15" hidden="false" customHeight="false" outlineLevel="0" collapsed="false">
      <c r="C337" s="0" t="str">
        <f aca="false">IF($A337="","",IF(AT337="Y",BL337&amp;"",AY337&amp;""))</f>
        <v/>
      </c>
      <c r="D337" s="0" t="str">
        <f aca="false">IF($A337="","",IF(AT337="Y",BM337&amp;"",AZ337&amp;""))</f>
        <v/>
      </c>
      <c r="E337" s="0" t="str">
        <f aca="false">IF($A337="","",IF(AT337="Y",BN337&amp;"",BA337&amp;""))</f>
        <v/>
      </c>
      <c r="F337" s="0" t="str">
        <f aca="false">IF($A337="","",IF(AT337="Y",BO337&amp;"",BB337&amp;""))</f>
        <v/>
      </c>
      <c r="G337" s="0" t="str">
        <f aca="false">IF($A337="","",IF(AT337="Y",BP337&amp;"",BC337&amp;""))</f>
        <v/>
      </c>
      <c r="H337" s="0" t="str">
        <f aca="false">IF($A337="","",IF(AT337="Y",BQ337&amp;"",BD337&amp;""))</f>
        <v/>
      </c>
      <c r="I337" s="0" t="str">
        <f aca="false">IF($A337="","",IF(R337="Y","warm-intro",IF(H337="verified","email",IF(C337&lt;&gt;"","linkedin",CA337&amp;""))))</f>
        <v/>
      </c>
      <c r="J337" s="0" t="str">
        <f aca="false">IF($A337="","",IF(CK337="pass",ROUND(N(DO337)+N(DP337)+N(DQ337)+N(DR337)+N(DS337)+N(DT337)+N(DU337)+N(DV337),0),0))</f>
        <v/>
      </c>
      <c r="K337" s="0" t="str">
        <f aca="false">IF($A337="","",IF(CK337&lt;&gt;"pass",BY337&amp;"",BY337&amp;", "&amp;IF(AT337="Y",BX337&amp;"",BK337&amp;"")&amp;BZ337&amp;IF(R337="Y","; known to the founder (+10)","")&amp;"."))</f>
        <v/>
      </c>
      <c r="R337" s="5"/>
      <c r="T337" s="5"/>
      <c r="U337" s="5"/>
      <c r="Y337" s="0" t="str">
        <f aca="false">IF(FA337&lt;&gt;"Y","",COUNTIFS($FA$2:$FA$1000,"Y",$J$2:$J$1000,"&gt;"&amp;J337)+COUNTIFS($FA$2:$FA$1000,"Y",$J$2:$J$1000,J337,$FG$2:$FG$1000,"&lt;"&amp;FG337)+1)</f>
        <v/>
      </c>
      <c r="AB337" s="0" t="str">
        <f aca="false">IF($A337="","",IF(AT337="Y",BW337&amp;"",BJ337&amp;""))</f>
        <v/>
      </c>
      <c r="AC337" s="0" t="str">
        <f aca="false">IF($A337="","",IF(AT337="Y",BR337&amp;"",BE337&amp;""))</f>
        <v/>
      </c>
      <c r="AD337" s="0" t="str">
        <f aca="false">IF($A337="","",IF(AT337="Y",BS337&amp;"",BF337&amp;""))</f>
        <v/>
      </c>
      <c r="AE337" s="0" t="str">
        <f aca="false">IF($A337="","",IF(AT337="Y",BT337&amp;"",BG337&amp;""))</f>
        <v/>
      </c>
      <c r="AF337" s="0" t="str">
        <f aca="false">IF($A337="","",IF(AT337="Y",BU337&amp;"",BH337&amp;""))</f>
        <v/>
      </c>
      <c r="AG337" s="0" t="str">
        <f aca="false">IF($A337="","",IF(AT337="Y",BV337&amp;"",BI337&amp;""))</f>
        <v/>
      </c>
      <c r="AO337" s="5"/>
      <c r="AR337" s="0" t="str">
        <f aca="false">IF($A337="","",IF(AND(CK337="pass",AO337&lt;&gt;"Y",C337&lt;&gt;"",OR(AU337&lt;&gt;"Y",AV337="Y")),"Y","N"))</f>
        <v/>
      </c>
      <c r="AS337" s="0" t="str">
        <f aca="false">IF($A337="","",_xlfn.TEXTJOIN("; ",TRUE(),IF(CK337&lt;&gt;"pass","gated out",""),IF(AO337="Y","on hold: "&amp;AP337,""),IF(C337="","no contact named on an opened page",""),IF(AND(AU337="Y",AV337&lt;&gt;"Y"),"founder review pending (Founder review tab)","")))</f>
        <v/>
      </c>
      <c r="BC337" s="0" t="str">
        <f aca="false">IF($A337="","",IFERROR(INDEX(Enrichment!$A$2:$GZ$2000,MATCH($A337,INDEX(Enrichment!$A$2:$GZ$2000,0,MATCH("row_id",Enrichment!$A$1:$GZ$1,0)),0),MATCH("work_email",Enrichment!$A$1:$GZ$1,0))&amp;"",""))</f>
        <v/>
      </c>
      <c r="BD337" s="0" t="str">
        <f aca="false">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P337" s="0" t="str">
        <f aca="false">IF($A337="","",IFERROR(INDEX(Enrichment!$A$2:$GZ$2000,MATCH($A337,INDEX(Enrichment!$A$2:$GZ$2000,0,MATCH("row_id",Enrichment!$A$1:$GZ$1,0)),0),MATCH("backup_work_email",Enrichment!$A$1:$GZ$1,0))&amp;"",""))</f>
        <v/>
      </c>
      <c r="BQ337" s="0" t="str">
        <f aca="false">IF($A337="","",IF(BP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DU337" s="0" t="str">
        <f aca="false">IF($A337="","",IF(R337="Y",10,0))</f>
        <v/>
      </c>
      <c r="EV337" s="0" t="str">
        <f aca="false">IF($A337="","",IF(ISNUMBER(MATCH(U337,{"queued","contacted","replied","call_booked","call_done","yes_in_principle","materials_sent"},0)),"Y","N"))</f>
        <v/>
      </c>
      <c r="EW337" s="0" t="str">
        <f aca="false">IF($A337="","",IF(OR(T337="Y",U337="do_not_contact",AQ337&amp;""&lt;&gt;""),"Y","N"))</f>
        <v/>
      </c>
      <c r="EX337" s="0" t="str">
        <f aca="false">IF($A337="","",IF(AN337&amp;""&lt;&gt;"",AN337&amp;"",$A337))</f>
        <v/>
      </c>
      <c r="EY337" s="0" t="str">
        <f aca="false">IF($A337="","",IF(COUNTIFS($EX$2:$EX$1000,EX337,$EV$2:$EV$1000,"Y")+COUNTIFS($EX$2:$EX$1000,EX337,$EW$2:$EW$1000,"Y")&gt;0,"Y","N"))</f>
        <v/>
      </c>
      <c r="EZ337" s="0" t="str">
        <f aca="false">IF($A337="","",IF(AND(U337="new",T337="N",EW337="N",AR337="Y",EY337="N"),"Y","N"))</f>
        <v/>
      </c>
      <c r="FA337" s="0" t="str">
        <f aca="false">IF($A337="","",IF(EZ337&lt;&gt;"Y","N",IF(COUNTIFS($EX$2:$EX$1000,EX337,$EZ$2:$EZ$1000,"Y",$J$2:$J$1000,"&gt;"&amp;J337)+COUNTIFS($EX$2:$EX$1000,EX337,$EZ$2:$EZ$1000,"Y",$J$2:$J$1000,J337,$FG$2:$FG$1000,"&lt;"&amp;FG337)=0,"Y","N")))</f>
        <v/>
      </c>
      <c r="FB337" s="0" t="str">
        <f aca="false">IF($A337="","",IF(AND(EZ337="Y",FA337="Y",Y337&amp;""&lt;&gt;""),IF(Y337&lt;=10,"Y","N"),"N"))</f>
        <v/>
      </c>
      <c r="FC337" s="0" t="str">
        <f aca="false">IF(FB337="Y",Y337,"")</f>
        <v/>
      </c>
      <c r="FD337" s="0" t="str">
        <f aca="false">IF($A337="","",IF(AND(CK337="pass",AU337="Y",AV337&lt;&gt;"Y",U337="new",EW337="N"),"Y","N"))</f>
        <v/>
      </c>
      <c r="FE337" s="0" t="str">
        <f aca="false">IF(FD337&lt;&gt;"Y","",IF(COUNTIFS($FD$2:$FD$1000,"Y",$J$2:$J$1000,"&gt;"&amp;J337)+COUNTIFS($FD$2:$FD$1000,"Y",$J$2:$J$1000,J337,$FG$2:$FG$1000,"&lt;"&amp;FG337)+1&lt;=30,COUNTIFS($FD$2:$FD$1000,"Y",$J$2:$J$1000,"&gt;"&amp;J337)+COUNTIFS($FD$2:$FD$1000,"Y",$J$2:$J$1000,J337,$FG$2:$FG$1000,"&lt;"&amp;FG337)+1,""))</f>
        <v/>
      </c>
      <c r="FF337" s="0" t="str">
        <f aca="false">IF(AND(_xlfn.ISFORMULA(C337),_xlfn.ISFORMULA(J337)),"Y","N")</f>
        <v>Y</v>
      </c>
      <c r="FG337" s="0" t="n">
        <f aca="false">ROW()-1</f>
        <v>336</v>
      </c>
    </row>
    <row r="338" customFormat="false" ht="15" hidden="false" customHeight="false" outlineLevel="0" collapsed="false">
      <c r="C338" s="0" t="str">
        <f aca="false">IF($A338="","",IF(AT338="Y",BL338&amp;"",AY338&amp;""))</f>
        <v/>
      </c>
      <c r="D338" s="0" t="str">
        <f aca="false">IF($A338="","",IF(AT338="Y",BM338&amp;"",AZ338&amp;""))</f>
        <v/>
      </c>
      <c r="E338" s="0" t="str">
        <f aca="false">IF($A338="","",IF(AT338="Y",BN338&amp;"",BA338&amp;""))</f>
        <v/>
      </c>
      <c r="F338" s="0" t="str">
        <f aca="false">IF($A338="","",IF(AT338="Y",BO338&amp;"",BB338&amp;""))</f>
        <v/>
      </c>
      <c r="G338" s="0" t="str">
        <f aca="false">IF($A338="","",IF(AT338="Y",BP338&amp;"",BC338&amp;""))</f>
        <v/>
      </c>
      <c r="H338" s="0" t="str">
        <f aca="false">IF($A338="","",IF(AT338="Y",BQ338&amp;"",BD338&amp;""))</f>
        <v/>
      </c>
      <c r="I338" s="0" t="str">
        <f aca="false">IF($A338="","",IF(R338="Y","warm-intro",IF(H338="verified","email",IF(C338&lt;&gt;"","linkedin",CA338&amp;""))))</f>
        <v/>
      </c>
      <c r="J338" s="0" t="str">
        <f aca="false">IF($A338="","",IF(CK338="pass",ROUND(N(DO338)+N(DP338)+N(DQ338)+N(DR338)+N(DS338)+N(DT338)+N(DU338)+N(DV338),0),0))</f>
        <v/>
      </c>
      <c r="K338" s="0" t="str">
        <f aca="false">IF($A338="","",IF(CK338&lt;&gt;"pass",BY338&amp;"",BY338&amp;", "&amp;IF(AT338="Y",BX338&amp;"",BK338&amp;"")&amp;BZ338&amp;IF(R338="Y","; known to the founder (+10)","")&amp;"."))</f>
        <v/>
      </c>
      <c r="R338" s="5"/>
      <c r="T338" s="5"/>
      <c r="U338" s="5"/>
      <c r="Y338" s="0" t="str">
        <f aca="false">IF(FA338&lt;&gt;"Y","",COUNTIFS($FA$2:$FA$1000,"Y",$J$2:$J$1000,"&gt;"&amp;J338)+COUNTIFS($FA$2:$FA$1000,"Y",$J$2:$J$1000,J338,$FG$2:$FG$1000,"&lt;"&amp;FG338)+1)</f>
        <v/>
      </c>
      <c r="AB338" s="0" t="str">
        <f aca="false">IF($A338="","",IF(AT338="Y",BW338&amp;"",BJ338&amp;""))</f>
        <v/>
      </c>
      <c r="AC338" s="0" t="str">
        <f aca="false">IF($A338="","",IF(AT338="Y",BR338&amp;"",BE338&amp;""))</f>
        <v/>
      </c>
      <c r="AD338" s="0" t="str">
        <f aca="false">IF($A338="","",IF(AT338="Y",BS338&amp;"",BF338&amp;""))</f>
        <v/>
      </c>
      <c r="AE338" s="0" t="str">
        <f aca="false">IF($A338="","",IF(AT338="Y",BT338&amp;"",BG338&amp;""))</f>
        <v/>
      </c>
      <c r="AF338" s="0" t="str">
        <f aca="false">IF($A338="","",IF(AT338="Y",BU338&amp;"",BH338&amp;""))</f>
        <v/>
      </c>
      <c r="AG338" s="0" t="str">
        <f aca="false">IF($A338="","",IF(AT338="Y",BV338&amp;"",BI338&amp;""))</f>
        <v/>
      </c>
      <c r="AO338" s="5"/>
      <c r="AR338" s="0" t="str">
        <f aca="false">IF($A338="","",IF(AND(CK338="pass",AO338&lt;&gt;"Y",C338&lt;&gt;"",OR(AU338&lt;&gt;"Y",AV338="Y")),"Y","N"))</f>
        <v/>
      </c>
      <c r="AS338" s="0" t="str">
        <f aca="false">IF($A338="","",_xlfn.TEXTJOIN("; ",TRUE(),IF(CK338&lt;&gt;"pass","gated out",""),IF(AO338="Y","on hold: "&amp;AP338,""),IF(C338="","no contact named on an opened page",""),IF(AND(AU338="Y",AV338&lt;&gt;"Y"),"founder review pending (Founder review tab)","")))</f>
        <v/>
      </c>
      <c r="BC338" s="0" t="str">
        <f aca="false">IF($A338="","",IFERROR(INDEX(Enrichment!$A$2:$GZ$2000,MATCH($A338,INDEX(Enrichment!$A$2:$GZ$2000,0,MATCH("row_id",Enrichment!$A$1:$GZ$1,0)),0),MATCH("work_email",Enrichment!$A$1:$GZ$1,0))&amp;"",""))</f>
        <v/>
      </c>
      <c r="BD338" s="0" t="str">
        <f aca="false">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P338" s="0" t="str">
        <f aca="false">IF($A338="","",IFERROR(INDEX(Enrichment!$A$2:$GZ$2000,MATCH($A338,INDEX(Enrichment!$A$2:$GZ$2000,0,MATCH("row_id",Enrichment!$A$1:$GZ$1,0)),0),MATCH("backup_work_email",Enrichment!$A$1:$GZ$1,0))&amp;"",""))</f>
        <v/>
      </c>
      <c r="BQ338" s="0" t="str">
        <f aca="false">IF($A338="","",IF(BP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DU338" s="0" t="str">
        <f aca="false">IF($A338="","",IF(R338="Y",10,0))</f>
        <v/>
      </c>
      <c r="EV338" s="0" t="str">
        <f aca="false">IF($A338="","",IF(ISNUMBER(MATCH(U338,{"queued","contacted","replied","call_booked","call_done","yes_in_principle","materials_sent"},0)),"Y","N"))</f>
        <v/>
      </c>
      <c r="EW338" s="0" t="str">
        <f aca="false">IF($A338="","",IF(OR(T338="Y",U338="do_not_contact",AQ338&amp;""&lt;&gt;""),"Y","N"))</f>
        <v/>
      </c>
      <c r="EX338" s="0" t="str">
        <f aca="false">IF($A338="","",IF(AN338&amp;""&lt;&gt;"",AN338&amp;"",$A338))</f>
        <v/>
      </c>
      <c r="EY338" s="0" t="str">
        <f aca="false">IF($A338="","",IF(COUNTIFS($EX$2:$EX$1000,EX338,$EV$2:$EV$1000,"Y")+COUNTIFS($EX$2:$EX$1000,EX338,$EW$2:$EW$1000,"Y")&gt;0,"Y","N"))</f>
        <v/>
      </c>
      <c r="EZ338" s="0" t="str">
        <f aca="false">IF($A338="","",IF(AND(U338="new",T338="N",EW338="N",AR338="Y",EY338="N"),"Y","N"))</f>
        <v/>
      </c>
      <c r="FA338" s="0" t="str">
        <f aca="false">IF($A338="","",IF(EZ338&lt;&gt;"Y","N",IF(COUNTIFS($EX$2:$EX$1000,EX338,$EZ$2:$EZ$1000,"Y",$J$2:$J$1000,"&gt;"&amp;J338)+COUNTIFS($EX$2:$EX$1000,EX338,$EZ$2:$EZ$1000,"Y",$J$2:$J$1000,J338,$FG$2:$FG$1000,"&lt;"&amp;FG338)=0,"Y","N")))</f>
        <v/>
      </c>
      <c r="FB338" s="0" t="str">
        <f aca="false">IF($A338="","",IF(AND(EZ338="Y",FA338="Y",Y338&amp;""&lt;&gt;""),IF(Y338&lt;=10,"Y","N"),"N"))</f>
        <v/>
      </c>
      <c r="FC338" s="0" t="str">
        <f aca="false">IF(FB338="Y",Y338,"")</f>
        <v/>
      </c>
      <c r="FD338" s="0" t="str">
        <f aca="false">IF($A338="","",IF(AND(CK338="pass",AU338="Y",AV338&lt;&gt;"Y",U338="new",EW338="N"),"Y","N"))</f>
        <v/>
      </c>
      <c r="FE338" s="0" t="str">
        <f aca="false">IF(FD338&lt;&gt;"Y","",IF(COUNTIFS($FD$2:$FD$1000,"Y",$J$2:$J$1000,"&gt;"&amp;J338)+COUNTIFS($FD$2:$FD$1000,"Y",$J$2:$J$1000,J338,$FG$2:$FG$1000,"&lt;"&amp;FG338)+1&lt;=30,COUNTIFS($FD$2:$FD$1000,"Y",$J$2:$J$1000,"&gt;"&amp;J338)+COUNTIFS($FD$2:$FD$1000,"Y",$J$2:$J$1000,J338,$FG$2:$FG$1000,"&lt;"&amp;FG338)+1,""))</f>
        <v/>
      </c>
      <c r="FF338" s="0" t="str">
        <f aca="false">IF(AND(_xlfn.ISFORMULA(C338),_xlfn.ISFORMULA(J338)),"Y","N")</f>
        <v>Y</v>
      </c>
      <c r="FG338" s="0" t="n">
        <f aca="false">ROW()-1</f>
        <v>337</v>
      </c>
    </row>
    <row r="339" customFormat="false" ht="15" hidden="false" customHeight="false" outlineLevel="0" collapsed="false">
      <c r="C339" s="0" t="str">
        <f aca="false">IF($A339="","",IF(AT339="Y",BL339&amp;"",AY339&amp;""))</f>
        <v/>
      </c>
      <c r="D339" s="0" t="str">
        <f aca="false">IF($A339="","",IF(AT339="Y",BM339&amp;"",AZ339&amp;""))</f>
        <v/>
      </c>
      <c r="E339" s="0" t="str">
        <f aca="false">IF($A339="","",IF(AT339="Y",BN339&amp;"",BA339&amp;""))</f>
        <v/>
      </c>
      <c r="F339" s="0" t="str">
        <f aca="false">IF($A339="","",IF(AT339="Y",BO339&amp;"",BB339&amp;""))</f>
        <v/>
      </c>
      <c r="G339" s="0" t="str">
        <f aca="false">IF($A339="","",IF(AT339="Y",BP339&amp;"",BC339&amp;""))</f>
        <v/>
      </c>
      <c r="H339" s="0" t="str">
        <f aca="false">IF($A339="","",IF(AT339="Y",BQ339&amp;"",BD339&amp;""))</f>
        <v/>
      </c>
      <c r="I339" s="0" t="str">
        <f aca="false">IF($A339="","",IF(R339="Y","warm-intro",IF(H339="verified","email",IF(C339&lt;&gt;"","linkedin",CA339&amp;""))))</f>
        <v/>
      </c>
      <c r="J339" s="0" t="str">
        <f aca="false">IF($A339="","",IF(CK339="pass",ROUND(N(DO339)+N(DP339)+N(DQ339)+N(DR339)+N(DS339)+N(DT339)+N(DU339)+N(DV339),0),0))</f>
        <v/>
      </c>
      <c r="K339" s="0" t="str">
        <f aca="false">IF($A339="","",IF(CK339&lt;&gt;"pass",BY339&amp;"",BY339&amp;", "&amp;IF(AT339="Y",BX339&amp;"",BK339&amp;"")&amp;BZ339&amp;IF(R339="Y","; known to the founder (+10)","")&amp;"."))</f>
        <v/>
      </c>
      <c r="R339" s="5"/>
      <c r="T339" s="5"/>
      <c r="U339" s="5"/>
      <c r="Y339" s="0" t="str">
        <f aca="false">IF(FA339&lt;&gt;"Y","",COUNTIFS($FA$2:$FA$1000,"Y",$J$2:$J$1000,"&gt;"&amp;J339)+COUNTIFS($FA$2:$FA$1000,"Y",$J$2:$J$1000,J339,$FG$2:$FG$1000,"&lt;"&amp;FG339)+1)</f>
        <v/>
      </c>
      <c r="AB339" s="0" t="str">
        <f aca="false">IF($A339="","",IF(AT339="Y",BW339&amp;"",BJ339&amp;""))</f>
        <v/>
      </c>
      <c r="AC339" s="0" t="str">
        <f aca="false">IF($A339="","",IF(AT339="Y",BR339&amp;"",BE339&amp;""))</f>
        <v/>
      </c>
      <c r="AD339" s="0" t="str">
        <f aca="false">IF($A339="","",IF(AT339="Y",BS339&amp;"",BF339&amp;""))</f>
        <v/>
      </c>
      <c r="AE339" s="0" t="str">
        <f aca="false">IF($A339="","",IF(AT339="Y",BT339&amp;"",BG339&amp;""))</f>
        <v/>
      </c>
      <c r="AF339" s="0" t="str">
        <f aca="false">IF($A339="","",IF(AT339="Y",BU339&amp;"",BH339&amp;""))</f>
        <v/>
      </c>
      <c r="AG339" s="0" t="str">
        <f aca="false">IF($A339="","",IF(AT339="Y",BV339&amp;"",BI339&amp;""))</f>
        <v/>
      </c>
      <c r="AO339" s="5"/>
      <c r="AR339" s="0" t="str">
        <f aca="false">IF($A339="","",IF(AND(CK339="pass",AO339&lt;&gt;"Y",C339&lt;&gt;"",OR(AU339&lt;&gt;"Y",AV339="Y")),"Y","N"))</f>
        <v/>
      </c>
      <c r="AS339" s="0" t="str">
        <f aca="false">IF($A339="","",_xlfn.TEXTJOIN("; ",TRUE(),IF(CK339&lt;&gt;"pass","gated out",""),IF(AO339="Y","on hold: "&amp;AP339,""),IF(C339="","no contact named on an opened page",""),IF(AND(AU339="Y",AV339&lt;&gt;"Y"),"founder review pending (Founder review tab)","")))</f>
        <v/>
      </c>
      <c r="BC339" s="0" t="str">
        <f aca="false">IF($A339="","",IFERROR(INDEX(Enrichment!$A$2:$GZ$2000,MATCH($A339,INDEX(Enrichment!$A$2:$GZ$2000,0,MATCH("row_id",Enrichment!$A$1:$GZ$1,0)),0),MATCH("work_email",Enrichment!$A$1:$GZ$1,0))&amp;"",""))</f>
        <v/>
      </c>
      <c r="BD339" s="0" t="str">
        <f aca="false">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P339" s="0" t="str">
        <f aca="false">IF($A339="","",IFERROR(INDEX(Enrichment!$A$2:$GZ$2000,MATCH($A339,INDEX(Enrichment!$A$2:$GZ$2000,0,MATCH("row_id",Enrichment!$A$1:$GZ$1,0)),0),MATCH("backup_work_email",Enrichment!$A$1:$GZ$1,0))&amp;"",""))</f>
        <v/>
      </c>
      <c r="BQ339" s="0" t="str">
        <f aca="false">IF($A339="","",IF(BP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DU339" s="0" t="str">
        <f aca="false">IF($A339="","",IF(R339="Y",10,0))</f>
        <v/>
      </c>
      <c r="EV339" s="0" t="str">
        <f aca="false">IF($A339="","",IF(ISNUMBER(MATCH(U339,{"queued","contacted","replied","call_booked","call_done","yes_in_principle","materials_sent"},0)),"Y","N"))</f>
        <v/>
      </c>
      <c r="EW339" s="0" t="str">
        <f aca="false">IF($A339="","",IF(OR(T339="Y",U339="do_not_contact",AQ339&amp;""&lt;&gt;""),"Y","N"))</f>
        <v/>
      </c>
      <c r="EX339" s="0" t="str">
        <f aca="false">IF($A339="","",IF(AN339&amp;""&lt;&gt;"",AN339&amp;"",$A339))</f>
        <v/>
      </c>
      <c r="EY339" s="0" t="str">
        <f aca="false">IF($A339="","",IF(COUNTIFS($EX$2:$EX$1000,EX339,$EV$2:$EV$1000,"Y")+COUNTIFS($EX$2:$EX$1000,EX339,$EW$2:$EW$1000,"Y")&gt;0,"Y","N"))</f>
        <v/>
      </c>
      <c r="EZ339" s="0" t="str">
        <f aca="false">IF($A339="","",IF(AND(U339="new",T339="N",EW339="N",AR339="Y",EY339="N"),"Y","N"))</f>
        <v/>
      </c>
      <c r="FA339" s="0" t="str">
        <f aca="false">IF($A339="","",IF(EZ339&lt;&gt;"Y","N",IF(COUNTIFS($EX$2:$EX$1000,EX339,$EZ$2:$EZ$1000,"Y",$J$2:$J$1000,"&gt;"&amp;J339)+COUNTIFS($EX$2:$EX$1000,EX339,$EZ$2:$EZ$1000,"Y",$J$2:$J$1000,J339,$FG$2:$FG$1000,"&lt;"&amp;FG339)=0,"Y","N")))</f>
        <v/>
      </c>
      <c r="FB339" s="0" t="str">
        <f aca="false">IF($A339="","",IF(AND(EZ339="Y",FA339="Y",Y339&amp;""&lt;&gt;""),IF(Y339&lt;=10,"Y","N"),"N"))</f>
        <v/>
      </c>
      <c r="FC339" s="0" t="str">
        <f aca="false">IF(FB339="Y",Y339,"")</f>
        <v/>
      </c>
      <c r="FD339" s="0" t="str">
        <f aca="false">IF($A339="","",IF(AND(CK339="pass",AU339="Y",AV339&lt;&gt;"Y",U339="new",EW339="N"),"Y","N"))</f>
        <v/>
      </c>
      <c r="FE339" s="0" t="str">
        <f aca="false">IF(FD339&lt;&gt;"Y","",IF(COUNTIFS($FD$2:$FD$1000,"Y",$J$2:$J$1000,"&gt;"&amp;J339)+COUNTIFS($FD$2:$FD$1000,"Y",$J$2:$J$1000,J339,$FG$2:$FG$1000,"&lt;"&amp;FG339)+1&lt;=30,COUNTIFS($FD$2:$FD$1000,"Y",$J$2:$J$1000,"&gt;"&amp;J339)+COUNTIFS($FD$2:$FD$1000,"Y",$J$2:$J$1000,J339,$FG$2:$FG$1000,"&lt;"&amp;FG339)+1,""))</f>
        <v/>
      </c>
      <c r="FF339" s="0" t="str">
        <f aca="false">IF(AND(_xlfn.ISFORMULA(C339),_xlfn.ISFORMULA(J339)),"Y","N")</f>
        <v>Y</v>
      </c>
      <c r="FG339" s="0" t="n">
        <f aca="false">ROW()-1</f>
        <v>338</v>
      </c>
    </row>
    <row r="340" customFormat="false" ht="15" hidden="false" customHeight="false" outlineLevel="0" collapsed="false">
      <c r="C340" s="0" t="str">
        <f aca="false">IF($A340="","",IF(AT340="Y",BL340&amp;"",AY340&amp;""))</f>
        <v/>
      </c>
      <c r="D340" s="0" t="str">
        <f aca="false">IF($A340="","",IF(AT340="Y",BM340&amp;"",AZ340&amp;""))</f>
        <v/>
      </c>
      <c r="E340" s="0" t="str">
        <f aca="false">IF($A340="","",IF(AT340="Y",BN340&amp;"",BA340&amp;""))</f>
        <v/>
      </c>
      <c r="F340" s="0" t="str">
        <f aca="false">IF($A340="","",IF(AT340="Y",BO340&amp;"",BB340&amp;""))</f>
        <v/>
      </c>
      <c r="G340" s="0" t="str">
        <f aca="false">IF($A340="","",IF(AT340="Y",BP340&amp;"",BC340&amp;""))</f>
        <v/>
      </c>
      <c r="H340" s="0" t="str">
        <f aca="false">IF($A340="","",IF(AT340="Y",BQ340&amp;"",BD340&amp;""))</f>
        <v/>
      </c>
      <c r="I340" s="0" t="str">
        <f aca="false">IF($A340="","",IF(R340="Y","warm-intro",IF(H340="verified","email",IF(C340&lt;&gt;"","linkedin",CA340&amp;""))))</f>
        <v/>
      </c>
      <c r="J340" s="0" t="str">
        <f aca="false">IF($A340="","",IF(CK340="pass",ROUND(N(DO340)+N(DP340)+N(DQ340)+N(DR340)+N(DS340)+N(DT340)+N(DU340)+N(DV340),0),0))</f>
        <v/>
      </c>
      <c r="K340" s="0" t="str">
        <f aca="false">IF($A340="","",IF(CK340&lt;&gt;"pass",BY340&amp;"",BY340&amp;", "&amp;IF(AT340="Y",BX340&amp;"",BK340&amp;"")&amp;BZ340&amp;IF(R340="Y","; known to the founder (+10)","")&amp;"."))</f>
        <v/>
      </c>
      <c r="R340" s="5"/>
      <c r="T340" s="5"/>
      <c r="U340" s="5"/>
      <c r="Y340" s="0" t="str">
        <f aca="false">IF(FA340&lt;&gt;"Y","",COUNTIFS($FA$2:$FA$1000,"Y",$J$2:$J$1000,"&gt;"&amp;J340)+COUNTIFS($FA$2:$FA$1000,"Y",$J$2:$J$1000,J340,$FG$2:$FG$1000,"&lt;"&amp;FG340)+1)</f>
        <v/>
      </c>
      <c r="AB340" s="0" t="str">
        <f aca="false">IF($A340="","",IF(AT340="Y",BW340&amp;"",BJ340&amp;""))</f>
        <v/>
      </c>
      <c r="AC340" s="0" t="str">
        <f aca="false">IF($A340="","",IF(AT340="Y",BR340&amp;"",BE340&amp;""))</f>
        <v/>
      </c>
      <c r="AD340" s="0" t="str">
        <f aca="false">IF($A340="","",IF(AT340="Y",BS340&amp;"",BF340&amp;""))</f>
        <v/>
      </c>
      <c r="AE340" s="0" t="str">
        <f aca="false">IF($A340="","",IF(AT340="Y",BT340&amp;"",BG340&amp;""))</f>
        <v/>
      </c>
      <c r="AF340" s="0" t="str">
        <f aca="false">IF($A340="","",IF(AT340="Y",BU340&amp;"",BH340&amp;""))</f>
        <v/>
      </c>
      <c r="AG340" s="0" t="str">
        <f aca="false">IF($A340="","",IF(AT340="Y",BV340&amp;"",BI340&amp;""))</f>
        <v/>
      </c>
      <c r="AO340" s="5"/>
      <c r="AR340" s="0" t="str">
        <f aca="false">IF($A340="","",IF(AND(CK340="pass",AO340&lt;&gt;"Y",C340&lt;&gt;"",OR(AU340&lt;&gt;"Y",AV340="Y")),"Y","N"))</f>
        <v/>
      </c>
      <c r="AS340" s="0" t="str">
        <f aca="false">IF($A340="","",_xlfn.TEXTJOIN("; ",TRUE(),IF(CK340&lt;&gt;"pass","gated out",""),IF(AO340="Y","on hold: "&amp;AP340,""),IF(C340="","no contact named on an opened page",""),IF(AND(AU340="Y",AV340&lt;&gt;"Y"),"founder review pending (Founder review tab)","")))</f>
        <v/>
      </c>
      <c r="BC340" s="0" t="str">
        <f aca="false">IF($A340="","",IFERROR(INDEX(Enrichment!$A$2:$GZ$2000,MATCH($A340,INDEX(Enrichment!$A$2:$GZ$2000,0,MATCH("row_id",Enrichment!$A$1:$GZ$1,0)),0),MATCH("work_email",Enrichment!$A$1:$GZ$1,0))&amp;"",""))</f>
        <v/>
      </c>
      <c r="BD340" s="0" t="str">
        <f aca="false">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P340" s="0" t="str">
        <f aca="false">IF($A340="","",IFERROR(INDEX(Enrichment!$A$2:$GZ$2000,MATCH($A340,INDEX(Enrichment!$A$2:$GZ$2000,0,MATCH("row_id",Enrichment!$A$1:$GZ$1,0)),0),MATCH("backup_work_email",Enrichment!$A$1:$GZ$1,0))&amp;"",""))</f>
        <v/>
      </c>
      <c r="BQ340" s="0" t="str">
        <f aca="false">IF($A340="","",IF(BP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DU340" s="0" t="str">
        <f aca="false">IF($A340="","",IF(R340="Y",10,0))</f>
        <v/>
      </c>
      <c r="EV340" s="0" t="str">
        <f aca="false">IF($A340="","",IF(ISNUMBER(MATCH(U340,{"queued","contacted","replied","call_booked","call_done","yes_in_principle","materials_sent"},0)),"Y","N"))</f>
        <v/>
      </c>
      <c r="EW340" s="0" t="str">
        <f aca="false">IF($A340="","",IF(OR(T340="Y",U340="do_not_contact",AQ340&amp;""&lt;&gt;""),"Y","N"))</f>
        <v/>
      </c>
      <c r="EX340" s="0" t="str">
        <f aca="false">IF($A340="","",IF(AN340&amp;""&lt;&gt;"",AN340&amp;"",$A340))</f>
        <v/>
      </c>
      <c r="EY340" s="0" t="str">
        <f aca="false">IF($A340="","",IF(COUNTIFS($EX$2:$EX$1000,EX340,$EV$2:$EV$1000,"Y")+COUNTIFS($EX$2:$EX$1000,EX340,$EW$2:$EW$1000,"Y")&gt;0,"Y","N"))</f>
        <v/>
      </c>
      <c r="EZ340" s="0" t="str">
        <f aca="false">IF($A340="","",IF(AND(U340="new",T340="N",EW340="N",AR340="Y",EY340="N"),"Y","N"))</f>
        <v/>
      </c>
      <c r="FA340" s="0" t="str">
        <f aca="false">IF($A340="","",IF(EZ340&lt;&gt;"Y","N",IF(COUNTIFS($EX$2:$EX$1000,EX340,$EZ$2:$EZ$1000,"Y",$J$2:$J$1000,"&gt;"&amp;J340)+COUNTIFS($EX$2:$EX$1000,EX340,$EZ$2:$EZ$1000,"Y",$J$2:$J$1000,J340,$FG$2:$FG$1000,"&lt;"&amp;FG340)=0,"Y","N")))</f>
        <v/>
      </c>
      <c r="FB340" s="0" t="str">
        <f aca="false">IF($A340="","",IF(AND(EZ340="Y",FA340="Y",Y340&amp;""&lt;&gt;""),IF(Y340&lt;=10,"Y","N"),"N"))</f>
        <v/>
      </c>
      <c r="FC340" s="0" t="str">
        <f aca="false">IF(FB340="Y",Y340,"")</f>
        <v/>
      </c>
      <c r="FD340" s="0" t="str">
        <f aca="false">IF($A340="","",IF(AND(CK340="pass",AU340="Y",AV340&lt;&gt;"Y",U340="new",EW340="N"),"Y","N"))</f>
        <v/>
      </c>
      <c r="FE340" s="0" t="str">
        <f aca="false">IF(FD340&lt;&gt;"Y","",IF(COUNTIFS($FD$2:$FD$1000,"Y",$J$2:$J$1000,"&gt;"&amp;J340)+COUNTIFS($FD$2:$FD$1000,"Y",$J$2:$J$1000,J340,$FG$2:$FG$1000,"&lt;"&amp;FG340)+1&lt;=30,COUNTIFS($FD$2:$FD$1000,"Y",$J$2:$J$1000,"&gt;"&amp;J340)+COUNTIFS($FD$2:$FD$1000,"Y",$J$2:$J$1000,J340,$FG$2:$FG$1000,"&lt;"&amp;FG340)+1,""))</f>
        <v/>
      </c>
      <c r="FF340" s="0" t="str">
        <f aca="false">IF(AND(_xlfn.ISFORMULA(C340),_xlfn.ISFORMULA(J340)),"Y","N")</f>
        <v>Y</v>
      </c>
      <c r="FG340" s="0" t="n">
        <f aca="false">ROW()-1</f>
        <v>339</v>
      </c>
    </row>
    <row r="341" customFormat="false" ht="15" hidden="false" customHeight="false" outlineLevel="0" collapsed="false">
      <c r="C341" s="0" t="str">
        <f aca="false">IF($A341="","",IF(AT341="Y",BL341&amp;"",AY341&amp;""))</f>
        <v/>
      </c>
      <c r="D341" s="0" t="str">
        <f aca="false">IF($A341="","",IF(AT341="Y",BM341&amp;"",AZ341&amp;""))</f>
        <v/>
      </c>
      <c r="E341" s="0" t="str">
        <f aca="false">IF($A341="","",IF(AT341="Y",BN341&amp;"",BA341&amp;""))</f>
        <v/>
      </c>
      <c r="F341" s="0" t="str">
        <f aca="false">IF($A341="","",IF(AT341="Y",BO341&amp;"",BB341&amp;""))</f>
        <v/>
      </c>
      <c r="G341" s="0" t="str">
        <f aca="false">IF($A341="","",IF(AT341="Y",BP341&amp;"",BC341&amp;""))</f>
        <v/>
      </c>
      <c r="H341" s="0" t="str">
        <f aca="false">IF($A341="","",IF(AT341="Y",BQ341&amp;"",BD341&amp;""))</f>
        <v/>
      </c>
      <c r="I341" s="0" t="str">
        <f aca="false">IF($A341="","",IF(R341="Y","warm-intro",IF(H341="verified","email",IF(C341&lt;&gt;"","linkedin",CA341&amp;""))))</f>
        <v/>
      </c>
      <c r="J341" s="0" t="str">
        <f aca="false">IF($A341="","",IF(CK341="pass",ROUND(N(DO341)+N(DP341)+N(DQ341)+N(DR341)+N(DS341)+N(DT341)+N(DU341)+N(DV341),0),0))</f>
        <v/>
      </c>
      <c r="K341" s="0" t="str">
        <f aca="false">IF($A341="","",IF(CK341&lt;&gt;"pass",BY341&amp;"",BY341&amp;", "&amp;IF(AT341="Y",BX341&amp;"",BK341&amp;"")&amp;BZ341&amp;IF(R341="Y","; known to the founder (+10)","")&amp;"."))</f>
        <v/>
      </c>
      <c r="R341" s="5"/>
      <c r="T341" s="5"/>
      <c r="U341" s="5"/>
      <c r="Y341" s="0" t="str">
        <f aca="false">IF(FA341&lt;&gt;"Y","",COUNTIFS($FA$2:$FA$1000,"Y",$J$2:$J$1000,"&gt;"&amp;J341)+COUNTIFS($FA$2:$FA$1000,"Y",$J$2:$J$1000,J341,$FG$2:$FG$1000,"&lt;"&amp;FG341)+1)</f>
        <v/>
      </c>
      <c r="AB341" s="0" t="str">
        <f aca="false">IF($A341="","",IF(AT341="Y",BW341&amp;"",BJ341&amp;""))</f>
        <v/>
      </c>
      <c r="AC341" s="0" t="str">
        <f aca="false">IF($A341="","",IF(AT341="Y",BR341&amp;"",BE341&amp;""))</f>
        <v/>
      </c>
      <c r="AD341" s="0" t="str">
        <f aca="false">IF($A341="","",IF(AT341="Y",BS341&amp;"",BF341&amp;""))</f>
        <v/>
      </c>
      <c r="AE341" s="0" t="str">
        <f aca="false">IF($A341="","",IF(AT341="Y",BT341&amp;"",BG341&amp;""))</f>
        <v/>
      </c>
      <c r="AF341" s="0" t="str">
        <f aca="false">IF($A341="","",IF(AT341="Y",BU341&amp;"",BH341&amp;""))</f>
        <v/>
      </c>
      <c r="AG341" s="0" t="str">
        <f aca="false">IF($A341="","",IF(AT341="Y",BV341&amp;"",BI341&amp;""))</f>
        <v/>
      </c>
      <c r="AO341" s="5"/>
      <c r="AR341" s="0" t="str">
        <f aca="false">IF($A341="","",IF(AND(CK341="pass",AO341&lt;&gt;"Y",C341&lt;&gt;"",OR(AU341&lt;&gt;"Y",AV341="Y")),"Y","N"))</f>
        <v/>
      </c>
      <c r="AS341" s="0" t="str">
        <f aca="false">IF($A341="","",_xlfn.TEXTJOIN("; ",TRUE(),IF(CK341&lt;&gt;"pass","gated out",""),IF(AO341="Y","on hold: "&amp;AP341,""),IF(C341="","no contact named on an opened page",""),IF(AND(AU341="Y",AV341&lt;&gt;"Y"),"founder review pending (Founder review tab)","")))</f>
        <v/>
      </c>
      <c r="BC341" s="0" t="str">
        <f aca="false">IF($A341="","",IFERROR(INDEX(Enrichment!$A$2:$GZ$2000,MATCH($A341,INDEX(Enrichment!$A$2:$GZ$2000,0,MATCH("row_id",Enrichment!$A$1:$GZ$1,0)),0),MATCH("work_email",Enrichment!$A$1:$GZ$1,0))&amp;"",""))</f>
        <v/>
      </c>
      <c r="BD341" s="0" t="str">
        <f aca="false">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P341" s="0" t="str">
        <f aca="false">IF($A341="","",IFERROR(INDEX(Enrichment!$A$2:$GZ$2000,MATCH($A341,INDEX(Enrichment!$A$2:$GZ$2000,0,MATCH("row_id",Enrichment!$A$1:$GZ$1,0)),0),MATCH("backup_work_email",Enrichment!$A$1:$GZ$1,0))&amp;"",""))</f>
        <v/>
      </c>
      <c r="BQ341" s="0" t="str">
        <f aca="false">IF($A341="","",IF(BP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DU341" s="0" t="str">
        <f aca="false">IF($A341="","",IF(R341="Y",10,0))</f>
        <v/>
      </c>
      <c r="EV341" s="0" t="str">
        <f aca="false">IF($A341="","",IF(ISNUMBER(MATCH(U341,{"queued","contacted","replied","call_booked","call_done","yes_in_principle","materials_sent"},0)),"Y","N"))</f>
        <v/>
      </c>
      <c r="EW341" s="0" t="str">
        <f aca="false">IF($A341="","",IF(OR(T341="Y",U341="do_not_contact",AQ341&amp;""&lt;&gt;""),"Y","N"))</f>
        <v/>
      </c>
      <c r="EX341" s="0" t="str">
        <f aca="false">IF($A341="","",IF(AN341&amp;""&lt;&gt;"",AN341&amp;"",$A341))</f>
        <v/>
      </c>
      <c r="EY341" s="0" t="str">
        <f aca="false">IF($A341="","",IF(COUNTIFS($EX$2:$EX$1000,EX341,$EV$2:$EV$1000,"Y")+COUNTIFS($EX$2:$EX$1000,EX341,$EW$2:$EW$1000,"Y")&gt;0,"Y","N"))</f>
        <v/>
      </c>
      <c r="EZ341" s="0" t="str">
        <f aca="false">IF($A341="","",IF(AND(U341="new",T341="N",EW341="N",AR341="Y",EY341="N"),"Y","N"))</f>
        <v/>
      </c>
      <c r="FA341" s="0" t="str">
        <f aca="false">IF($A341="","",IF(EZ341&lt;&gt;"Y","N",IF(COUNTIFS($EX$2:$EX$1000,EX341,$EZ$2:$EZ$1000,"Y",$J$2:$J$1000,"&gt;"&amp;J341)+COUNTIFS($EX$2:$EX$1000,EX341,$EZ$2:$EZ$1000,"Y",$J$2:$J$1000,J341,$FG$2:$FG$1000,"&lt;"&amp;FG341)=0,"Y","N")))</f>
        <v/>
      </c>
      <c r="FB341" s="0" t="str">
        <f aca="false">IF($A341="","",IF(AND(EZ341="Y",FA341="Y",Y341&amp;""&lt;&gt;""),IF(Y341&lt;=10,"Y","N"),"N"))</f>
        <v/>
      </c>
      <c r="FC341" s="0" t="str">
        <f aca="false">IF(FB341="Y",Y341,"")</f>
        <v/>
      </c>
      <c r="FD341" s="0" t="str">
        <f aca="false">IF($A341="","",IF(AND(CK341="pass",AU341="Y",AV341&lt;&gt;"Y",U341="new",EW341="N"),"Y","N"))</f>
        <v/>
      </c>
      <c r="FE341" s="0" t="str">
        <f aca="false">IF(FD341&lt;&gt;"Y","",IF(COUNTIFS($FD$2:$FD$1000,"Y",$J$2:$J$1000,"&gt;"&amp;J341)+COUNTIFS($FD$2:$FD$1000,"Y",$J$2:$J$1000,J341,$FG$2:$FG$1000,"&lt;"&amp;FG341)+1&lt;=30,COUNTIFS($FD$2:$FD$1000,"Y",$J$2:$J$1000,"&gt;"&amp;J341)+COUNTIFS($FD$2:$FD$1000,"Y",$J$2:$J$1000,J341,$FG$2:$FG$1000,"&lt;"&amp;FG341)+1,""))</f>
        <v/>
      </c>
      <c r="FF341" s="0" t="str">
        <f aca="false">IF(AND(_xlfn.ISFORMULA(C341),_xlfn.ISFORMULA(J341)),"Y","N")</f>
        <v>Y</v>
      </c>
      <c r="FG341" s="0" t="n">
        <f aca="false">ROW()-1</f>
        <v>340</v>
      </c>
    </row>
    <row r="342" customFormat="false" ht="15" hidden="false" customHeight="false" outlineLevel="0" collapsed="false">
      <c r="C342" s="0" t="str">
        <f aca="false">IF($A342="","",IF(AT342="Y",BL342&amp;"",AY342&amp;""))</f>
        <v/>
      </c>
      <c r="D342" s="0" t="str">
        <f aca="false">IF($A342="","",IF(AT342="Y",BM342&amp;"",AZ342&amp;""))</f>
        <v/>
      </c>
      <c r="E342" s="0" t="str">
        <f aca="false">IF($A342="","",IF(AT342="Y",BN342&amp;"",BA342&amp;""))</f>
        <v/>
      </c>
      <c r="F342" s="0" t="str">
        <f aca="false">IF($A342="","",IF(AT342="Y",BO342&amp;"",BB342&amp;""))</f>
        <v/>
      </c>
      <c r="G342" s="0" t="str">
        <f aca="false">IF($A342="","",IF(AT342="Y",BP342&amp;"",BC342&amp;""))</f>
        <v/>
      </c>
      <c r="H342" s="0" t="str">
        <f aca="false">IF($A342="","",IF(AT342="Y",BQ342&amp;"",BD342&amp;""))</f>
        <v/>
      </c>
      <c r="I342" s="0" t="str">
        <f aca="false">IF($A342="","",IF(R342="Y","warm-intro",IF(H342="verified","email",IF(C342&lt;&gt;"","linkedin",CA342&amp;""))))</f>
        <v/>
      </c>
      <c r="J342" s="0" t="str">
        <f aca="false">IF($A342="","",IF(CK342="pass",ROUND(N(DO342)+N(DP342)+N(DQ342)+N(DR342)+N(DS342)+N(DT342)+N(DU342)+N(DV342),0),0))</f>
        <v/>
      </c>
      <c r="K342" s="0" t="str">
        <f aca="false">IF($A342="","",IF(CK342&lt;&gt;"pass",BY342&amp;"",BY342&amp;", "&amp;IF(AT342="Y",BX342&amp;"",BK342&amp;"")&amp;BZ342&amp;IF(R342="Y","; known to the founder (+10)","")&amp;"."))</f>
        <v/>
      </c>
      <c r="R342" s="5"/>
      <c r="T342" s="5"/>
      <c r="U342" s="5"/>
      <c r="Y342" s="0" t="str">
        <f aca="false">IF(FA342&lt;&gt;"Y","",COUNTIFS($FA$2:$FA$1000,"Y",$J$2:$J$1000,"&gt;"&amp;J342)+COUNTIFS($FA$2:$FA$1000,"Y",$J$2:$J$1000,J342,$FG$2:$FG$1000,"&lt;"&amp;FG342)+1)</f>
        <v/>
      </c>
      <c r="AB342" s="0" t="str">
        <f aca="false">IF($A342="","",IF(AT342="Y",BW342&amp;"",BJ342&amp;""))</f>
        <v/>
      </c>
      <c r="AC342" s="0" t="str">
        <f aca="false">IF($A342="","",IF(AT342="Y",BR342&amp;"",BE342&amp;""))</f>
        <v/>
      </c>
      <c r="AD342" s="0" t="str">
        <f aca="false">IF($A342="","",IF(AT342="Y",BS342&amp;"",BF342&amp;""))</f>
        <v/>
      </c>
      <c r="AE342" s="0" t="str">
        <f aca="false">IF($A342="","",IF(AT342="Y",BT342&amp;"",BG342&amp;""))</f>
        <v/>
      </c>
      <c r="AF342" s="0" t="str">
        <f aca="false">IF($A342="","",IF(AT342="Y",BU342&amp;"",BH342&amp;""))</f>
        <v/>
      </c>
      <c r="AG342" s="0" t="str">
        <f aca="false">IF($A342="","",IF(AT342="Y",BV342&amp;"",BI342&amp;""))</f>
        <v/>
      </c>
      <c r="AO342" s="5"/>
      <c r="AR342" s="0" t="str">
        <f aca="false">IF($A342="","",IF(AND(CK342="pass",AO342&lt;&gt;"Y",C342&lt;&gt;"",OR(AU342&lt;&gt;"Y",AV342="Y")),"Y","N"))</f>
        <v/>
      </c>
      <c r="AS342" s="0" t="str">
        <f aca="false">IF($A342="","",_xlfn.TEXTJOIN("; ",TRUE(),IF(CK342&lt;&gt;"pass","gated out",""),IF(AO342="Y","on hold: "&amp;AP342,""),IF(C342="","no contact named on an opened page",""),IF(AND(AU342="Y",AV342&lt;&gt;"Y"),"founder review pending (Founder review tab)","")))</f>
        <v/>
      </c>
      <c r="BC342" s="0" t="str">
        <f aca="false">IF($A342="","",IFERROR(INDEX(Enrichment!$A$2:$GZ$2000,MATCH($A342,INDEX(Enrichment!$A$2:$GZ$2000,0,MATCH("row_id",Enrichment!$A$1:$GZ$1,0)),0),MATCH("work_email",Enrichment!$A$1:$GZ$1,0))&amp;"",""))</f>
        <v/>
      </c>
      <c r="BD342" s="0" t="str">
        <f aca="false">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P342" s="0" t="str">
        <f aca="false">IF($A342="","",IFERROR(INDEX(Enrichment!$A$2:$GZ$2000,MATCH($A342,INDEX(Enrichment!$A$2:$GZ$2000,0,MATCH("row_id",Enrichment!$A$1:$GZ$1,0)),0),MATCH("backup_work_email",Enrichment!$A$1:$GZ$1,0))&amp;"",""))</f>
        <v/>
      </c>
      <c r="BQ342" s="0" t="str">
        <f aca="false">IF($A342="","",IF(BP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DU342" s="0" t="str">
        <f aca="false">IF($A342="","",IF(R342="Y",10,0))</f>
        <v/>
      </c>
      <c r="EV342" s="0" t="str">
        <f aca="false">IF($A342="","",IF(ISNUMBER(MATCH(U342,{"queued","contacted","replied","call_booked","call_done","yes_in_principle","materials_sent"},0)),"Y","N"))</f>
        <v/>
      </c>
      <c r="EW342" s="0" t="str">
        <f aca="false">IF($A342="","",IF(OR(T342="Y",U342="do_not_contact",AQ342&amp;""&lt;&gt;""),"Y","N"))</f>
        <v/>
      </c>
      <c r="EX342" s="0" t="str">
        <f aca="false">IF($A342="","",IF(AN342&amp;""&lt;&gt;"",AN342&amp;"",$A342))</f>
        <v/>
      </c>
      <c r="EY342" s="0" t="str">
        <f aca="false">IF($A342="","",IF(COUNTIFS($EX$2:$EX$1000,EX342,$EV$2:$EV$1000,"Y")+COUNTIFS($EX$2:$EX$1000,EX342,$EW$2:$EW$1000,"Y")&gt;0,"Y","N"))</f>
        <v/>
      </c>
      <c r="EZ342" s="0" t="str">
        <f aca="false">IF($A342="","",IF(AND(U342="new",T342="N",EW342="N",AR342="Y",EY342="N"),"Y","N"))</f>
        <v/>
      </c>
      <c r="FA342" s="0" t="str">
        <f aca="false">IF($A342="","",IF(EZ342&lt;&gt;"Y","N",IF(COUNTIFS($EX$2:$EX$1000,EX342,$EZ$2:$EZ$1000,"Y",$J$2:$J$1000,"&gt;"&amp;J342)+COUNTIFS($EX$2:$EX$1000,EX342,$EZ$2:$EZ$1000,"Y",$J$2:$J$1000,J342,$FG$2:$FG$1000,"&lt;"&amp;FG342)=0,"Y","N")))</f>
        <v/>
      </c>
      <c r="FB342" s="0" t="str">
        <f aca="false">IF($A342="","",IF(AND(EZ342="Y",FA342="Y",Y342&amp;""&lt;&gt;""),IF(Y342&lt;=10,"Y","N"),"N"))</f>
        <v/>
      </c>
      <c r="FC342" s="0" t="str">
        <f aca="false">IF(FB342="Y",Y342,"")</f>
        <v/>
      </c>
      <c r="FD342" s="0" t="str">
        <f aca="false">IF($A342="","",IF(AND(CK342="pass",AU342="Y",AV342&lt;&gt;"Y",U342="new",EW342="N"),"Y","N"))</f>
        <v/>
      </c>
      <c r="FE342" s="0" t="str">
        <f aca="false">IF(FD342&lt;&gt;"Y","",IF(COUNTIFS($FD$2:$FD$1000,"Y",$J$2:$J$1000,"&gt;"&amp;J342)+COUNTIFS($FD$2:$FD$1000,"Y",$J$2:$J$1000,J342,$FG$2:$FG$1000,"&lt;"&amp;FG342)+1&lt;=30,COUNTIFS($FD$2:$FD$1000,"Y",$J$2:$J$1000,"&gt;"&amp;J342)+COUNTIFS($FD$2:$FD$1000,"Y",$J$2:$J$1000,J342,$FG$2:$FG$1000,"&lt;"&amp;FG342)+1,""))</f>
        <v/>
      </c>
      <c r="FF342" s="0" t="str">
        <f aca="false">IF(AND(_xlfn.ISFORMULA(C342),_xlfn.ISFORMULA(J342)),"Y","N")</f>
        <v>Y</v>
      </c>
      <c r="FG342" s="0" t="n">
        <f aca="false">ROW()-1</f>
        <v>341</v>
      </c>
    </row>
    <row r="343" customFormat="false" ht="15" hidden="false" customHeight="false" outlineLevel="0" collapsed="false">
      <c r="C343" s="0" t="str">
        <f aca="false">IF($A343="","",IF(AT343="Y",BL343&amp;"",AY343&amp;""))</f>
        <v/>
      </c>
      <c r="D343" s="0" t="str">
        <f aca="false">IF($A343="","",IF(AT343="Y",BM343&amp;"",AZ343&amp;""))</f>
        <v/>
      </c>
      <c r="E343" s="0" t="str">
        <f aca="false">IF($A343="","",IF(AT343="Y",BN343&amp;"",BA343&amp;""))</f>
        <v/>
      </c>
      <c r="F343" s="0" t="str">
        <f aca="false">IF($A343="","",IF(AT343="Y",BO343&amp;"",BB343&amp;""))</f>
        <v/>
      </c>
      <c r="G343" s="0" t="str">
        <f aca="false">IF($A343="","",IF(AT343="Y",BP343&amp;"",BC343&amp;""))</f>
        <v/>
      </c>
      <c r="H343" s="0" t="str">
        <f aca="false">IF($A343="","",IF(AT343="Y",BQ343&amp;"",BD343&amp;""))</f>
        <v/>
      </c>
      <c r="I343" s="0" t="str">
        <f aca="false">IF($A343="","",IF(R343="Y","warm-intro",IF(H343="verified","email",IF(C343&lt;&gt;"","linkedin",CA343&amp;""))))</f>
        <v/>
      </c>
      <c r="J343" s="0" t="str">
        <f aca="false">IF($A343="","",IF(CK343="pass",ROUND(N(DO343)+N(DP343)+N(DQ343)+N(DR343)+N(DS343)+N(DT343)+N(DU343)+N(DV343),0),0))</f>
        <v/>
      </c>
      <c r="K343" s="0" t="str">
        <f aca="false">IF($A343="","",IF(CK343&lt;&gt;"pass",BY343&amp;"",BY343&amp;", "&amp;IF(AT343="Y",BX343&amp;"",BK343&amp;"")&amp;BZ343&amp;IF(R343="Y","; known to the founder (+10)","")&amp;"."))</f>
        <v/>
      </c>
      <c r="R343" s="5"/>
      <c r="T343" s="5"/>
      <c r="U343" s="5"/>
      <c r="Y343" s="0" t="str">
        <f aca="false">IF(FA343&lt;&gt;"Y","",COUNTIFS($FA$2:$FA$1000,"Y",$J$2:$J$1000,"&gt;"&amp;J343)+COUNTIFS($FA$2:$FA$1000,"Y",$J$2:$J$1000,J343,$FG$2:$FG$1000,"&lt;"&amp;FG343)+1)</f>
        <v/>
      </c>
      <c r="AB343" s="0" t="str">
        <f aca="false">IF($A343="","",IF(AT343="Y",BW343&amp;"",BJ343&amp;""))</f>
        <v/>
      </c>
      <c r="AC343" s="0" t="str">
        <f aca="false">IF($A343="","",IF(AT343="Y",BR343&amp;"",BE343&amp;""))</f>
        <v/>
      </c>
      <c r="AD343" s="0" t="str">
        <f aca="false">IF($A343="","",IF(AT343="Y",BS343&amp;"",BF343&amp;""))</f>
        <v/>
      </c>
      <c r="AE343" s="0" t="str">
        <f aca="false">IF($A343="","",IF(AT343="Y",BT343&amp;"",BG343&amp;""))</f>
        <v/>
      </c>
      <c r="AF343" s="0" t="str">
        <f aca="false">IF($A343="","",IF(AT343="Y",BU343&amp;"",BH343&amp;""))</f>
        <v/>
      </c>
      <c r="AG343" s="0" t="str">
        <f aca="false">IF($A343="","",IF(AT343="Y",BV343&amp;"",BI343&amp;""))</f>
        <v/>
      </c>
      <c r="AO343" s="5"/>
      <c r="AR343" s="0" t="str">
        <f aca="false">IF($A343="","",IF(AND(CK343="pass",AO343&lt;&gt;"Y",C343&lt;&gt;"",OR(AU343&lt;&gt;"Y",AV343="Y")),"Y","N"))</f>
        <v/>
      </c>
      <c r="AS343" s="0" t="str">
        <f aca="false">IF($A343="","",_xlfn.TEXTJOIN("; ",TRUE(),IF(CK343&lt;&gt;"pass","gated out",""),IF(AO343="Y","on hold: "&amp;AP343,""),IF(C343="","no contact named on an opened page",""),IF(AND(AU343="Y",AV343&lt;&gt;"Y"),"founder review pending (Founder review tab)","")))</f>
        <v/>
      </c>
      <c r="BC343" s="0" t="str">
        <f aca="false">IF($A343="","",IFERROR(INDEX(Enrichment!$A$2:$GZ$2000,MATCH($A343,INDEX(Enrichment!$A$2:$GZ$2000,0,MATCH("row_id",Enrichment!$A$1:$GZ$1,0)),0),MATCH("work_email",Enrichment!$A$1:$GZ$1,0))&amp;"",""))</f>
        <v/>
      </c>
      <c r="BD343" s="0" t="str">
        <f aca="false">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P343" s="0" t="str">
        <f aca="false">IF($A343="","",IFERROR(INDEX(Enrichment!$A$2:$GZ$2000,MATCH($A343,INDEX(Enrichment!$A$2:$GZ$2000,0,MATCH("row_id",Enrichment!$A$1:$GZ$1,0)),0),MATCH("backup_work_email",Enrichment!$A$1:$GZ$1,0))&amp;"",""))</f>
        <v/>
      </c>
      <c r="BQ343" s="0" t="str">
        <f aca="false">IF($A343="","",IF(BP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DU343" s="0" t="str">
        <f aca="false">IF($A343="","",IF(R343="Y",10,0))</f>
        <v/>
      </c>
      <c r="EV343" s="0" t="str">
        <f aca="false">IF($A343="","",IF(ISNUMBER(MATCH(U343,{"queued","contacted","replied","call_booked","call_done","yes_in_principle","materials_sent"},0)),"Y","N"))</f>
        <v/>
      </c>
      <c r="EW343" s="0" t="str">
        <f aca="false">IF($A343="","",IF(OR(T343="Y",U343="do_not_contact",AQ343&amp;""&lt;&gt;""),"Y","N"))</f>
        <v/>
      </c>
      <c r="EX343" s="0" t="str">
        <f aca="false">IF($A343="","",IF(AN343&amp;""&lt;&gt;"",AN343&amp;"",$A343))</f>
        <v/>
      </c>
      <c r="EY343" s="0" t="str">
        <f aca="false">IF($A343="","",IF(COUNTIFS($EX$2:$EX$1000,EX343,$EV$2:$EV$1000,"Y")+COUNTIFS($EX$2:$EX$1000,EX343,$EW$2:$EW$1000,"Y")&gt;0,"Y","N"))</f>
        <v/>
      </c>
      <c r="EZ343" s="0" t="str">
        <f aca="false">IF($A343="","",IF(AND(U343="new",T343="N",EW343="N",AR343="Y",EY343="N"),"Y","N"))</f>
        <v/>
      </c>
      <c r="FA343" s="0" t="str">
        <f aca="false">IF($A343="","",IF(EZ343&lt;&gt;"Y","N",IF(COUNTIFS($EX$2:$EX$1000,EX343,$EZ$2:$EZ$1000,"Y",$J$2:$J$1000,"&gt;"&amp;J343)+COUNTIFS($EX$2:$EX$1000,EX343,$EZ$2:$EZ$1000,"Y",$J$2:$J$1000,J343,$FG$2:$FG$1000,"&lt;"&amp;FG343)=0,"Y","N")))</f>
        <v/>
      </c>
      <c r="FB343" s="0" t="str">
        <f aca="false">IF($A343="","",IF(AND(EZ343="Y",FA343="Y",Y343&amp;""&lt;&gt;""),IF(Y343&lt;=10,"Y","N"),"N"))</f>
        <v/>
      </c>
      <c r="FC343" s="0" t="str">
        <f aca="false">IF(FB343="Y",Y343,"")</f>
        <v/>
      </c>
      <c r="FD343" s="0" t="str">
        <f aca="false">IF($A343="","",IF(AND(CK343="pass",AU343="Y",AV343&lt;&gt;"Y",U343="new",EW343="N"),"Y","N"))</f>
        <v/>
      </c>
      <c r="FE343" s="0" t="str">
        <f aca="false">IF(FD343&lt;&gt;"Y","",IF(COUNTIFS($FD$2:$FD$1000,"Y",$J$2:$J$1000,"&gt;"&amp;J343)+COUNTIFS($FD$2:$FD$1000,"Y",$J$2:$J$1000,J343,$FG$2:$FG$1000,"&lt;"&amp;FG343)+1&lt;=30,COUNTIFS($FD$2:$FD$1000,"Y",$J$2:$J$1000,"&gt;"&amp;J343)+COUNTIFS($FD$2:$FD$1000,"Y",$J$2:$J$1000,J343,$FG$2:$FG$1000,"&lt;"&amp;FG343)+1,""))</f>
        <v/>
      </c>
      <c r="FF343" s="0" t="str">
        <f aca="false">IF(AND(_xlfn.ISFORMULA(C343),_xlfn.ISFORMULA(J343)),"Y","N")</f>
        <v>Y</v>
      </c>
      <c r="FG343" s="0" t="n">
        <f aca="false">ROW()-1</f>
        <v>342</v>
      </c>
    </row>
    <row r="344" customFormat="false" ht="15" hidden="false" customHeight="false" outlineLevel="0" collapsed="false">
      <c r="C344" s="0" t="str">
        <f aca="false">IF($A344="","",IF(AT344="Y",BL344&amp;"",AY344&amp;""))</f>
        <v/>
      </c>
      <c r="D344" s="0" t="str">
        <f aca="false">IF($A344="","",IF(AT344="Y",BM344&amp;"",AZ344&amp;""))</f>
        <v/>
      </c>
      <c r="E344" s="0" t="str">
        <f aca="false">IF($A344="","",IF(AT344="Y",BN344&amp;"",BA344&amp;""))</f>
        <v/>
      </c>
      <c r="F344" s="0" t="str">
        <f aca="false">IF($A344="","",IF(AT344="Y",BO344&amp;"",BB344&amp;""))</f>
        <v/>
      </c>
      <c r="G344" s="0" t="str">
        <f aca="false">IF($A344="","",IF(AT344="Y",BP344&amp;"",BC344&amp;""))</f>
        <v/>
      </c>
      <c r="H344" s="0" t="str">
        <f aca="false">IF($A344="","",IF(AT344="Y",BQ344&amp;"",BD344&amp;""))</f>
        <v/>
      </c>
      <c r="I344" s="0" t="str">
        <f aca="false">IF($A344="","",IF(R344="Y","warm-intro",IF(H344="verified","email",IF(C344&lt;&gt;"","linkedin",CA344&amp;""))))</f>
        <v/>
      </c>
      <c r="J344" s="0" t="str">
        <f aca="false">IF($A344="","",IF(CK344="pass",ROUND(N(DO344)+N(DP344)+N(DQ344)+N(DR344)+N(DS344)+N(DT344)+N(DU344)+N(DV344),0),0))</f>
        <v/>
      </c>
      <c r="K344" s="0" t="str">
        <f aca="false">IF($A344="","",IF(CK344&lt;&gt;"pass",BY344&amp;"",BY344&amp;", "&amp;IF(AT344="Y",BX344&amp;"",BK344&amp;"")&amp;BZ344&amp;IF(R344="Y","; known to the founder (+10)","")&amp;"."))</f>
        <v/>
      </c>
      <c r="R344" s="5"/>
      <c r="T344" s="5"/>
      <c r="U344" s="5"/>
      <c r="Y344" s="0" t="str">
        <f aca="false">IF(FA344&lt;&gt;"Y","",COUNTIFS($FA$2:$FA$1000,"Y",$J$2:$J$1000,"&gt;"&amp;J344)+COUNTIFS($FA$2:$FA$1000,"Y",$J$2:$J$1000,J344,$FG$2:$FG$1000,"&lt;"&amp;FG344)+1)</f>
        <v/>
      </c>
      <c r="AB344" s="0" t="str">
        <f aca="false">IF($A344="","",IF(AT344="Y",BW344&amp;"",BJ344&amp;""))</f>
        <v/>
      </c>
      <c r="AC344" s="0" t="str">
        <f aca="false">IF($A344="","",IF(AT344="Y",BR344&amp;"",BE344&amp;""))</f>
        <v/>
      </c>
      <c r="AD344" s="0" t="str">
        <f aca="false">IF($A344="","",IF(AT344="Y",BS344&amp;"",BF344&amp;""))</f>
        <v/>
      </c>
      <c r="AE344" s="0" t="str">
        <f aca="false">IF($A344="","",IF(AT344="Y",BT344&amp;"",BG344&amp;""))</f>
        <v/>
      </c>
      <c r="AF344" s="0" t="str">
        <f aca="false">IF($A344="","",IF(AT344="Y",BU344&amp;"",BH344&amp;""))</f>
        <v/>
      </c>
      <c r="AG344" s="0" t="str">
        <f aca="false">IF($A344="","",IF(AT344="Y",BV344&amp;"",BI344&amp;""))</f>
        <v/>
      </c>
      <c r="AO344" s="5"/>
      <c r="AR344" s="0" t="str">
        <f aca="false">IF($A344="","",IF(AND(CK344="pass",AO344&lt;&gt;"Y",C344&lt;&gt;"",OR(AU344&lt;&gt;"Y",AV344="Y")),"Y","N"))</f>
        <v/>
      </c>
      <c r="AS344" s="0" t="str">
        <f aca="false">IF($A344="","",_xlfn.TEXTJOIN("; ",TRUE(),IF(CK344&lt;&gt;"pass","gated out",""),IF(AO344="Y","on hold: "&amp;AP344,""),IF(C344="","no contact named on an opened page",""),IF(AND(AU344="Y",AV344&lt;&gt;"Y"),"founder review pending (Founder review tab)","")))</f>
        <v/>
      </c>
      <c r="BC344" s="0" t="str">
        <f aca="false">IF($A344="","",IFERROR(INDEX(Enrichment!$A$2:$GZ$2000,MATCH($A344,INDEX(Enrichment!$A$2:$GZ$2000,0,MATCH("row_id",Enrichment!$A$1:$GZ$1,0)),0),MATCH("work_email",Enrichment!$A$1:$GZ$1,0))&amp;"",""))</f>
        <v/>
      </c>
      <c r="BD344" s="0" t="str">
        <f aca="false">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P344" s="0" t="str">
        <f aca="false">IF($A344="","",IFERROR(INDEX(Enrichment!$A$2:$GZ$2000,MATCH($A344,INDEX(Enrichment!$A$2:$GZ$2000,0,MATCH("row_id",Enrichment!$A$1:$GZ$1,0)),0),MATCH("backup_work_email",Enrichment!$A$1:$GZ$1,0))&amp;"",""))</f>
        <v/>
      </c>
      <c r="BQ344" s="0" t="str">
        <f aca="false">IF($A344="","",IF(BP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DU344" s="0" t="str">
        <f aca="false">IF($A344="","",IF(R344="Y",10,0))</f>
        <v/>
      </c>
      <c r="EV344" s="0" t="str">
        <f aca="false">IF($A344="","",IF(ISNUMBER(MATCH(U344,{"queued","contacted","replied","call_booked","call_done","yes_in_principle","materials_sent"},0)),"Y","N"))</f>
        <v/>
      </c>
      <c r="EW344" s="0" t="str">
        <f aca="false">IF($A344="","",IF(OR(T344="Y",U344="do_not_contact",AQ344&amp;""&lt;&gt;""),"Y","N"))</f>
        <v/>
      </c>
      <c r="EX344" s="0" t="str">
        <f aca="false">IF($A344="","",IF(AN344&amp;""&lt;&gt;"",AN344&amp;"",$A344))</f>
        <v/>
      </c>
      <c r="EY344" s="0" t="str">
        <f aca="false">IF($A344="","",IF(COUNTIFS($EX$2:$EX$1000,EX344,$EV$2:$EV$1000,"Y")+COUNTIFS($EX$2:$EX$1000,EX344,$EW$2:$EW$1000,"Y")&gt;0,"Y","N"))</f>
        <v/>
      </c>
      <c r="EZ344" s="0" t="str">
        <f aca="false">IF($A344="","",IF(AND(U344="new",T344="N",EW344="N",AR344="Y",EY344="N"),"Y","N"))</f>
        <v/>
      </c>
      <c r="FA344" s="0" t="str">
        <f aca="false">IF($A344="","",IF(EZ344&lt;&gt;"Y","N",IF(COUNTIFS($EX$2:$EX$1000,EX344,$EZ$2:$EZ$1000,"Y",$J$2:$J$1000,"&gt;"&amp;J344)+COUNTIFS($EX$2:$EX$1000,EX344,$EZ$2:$EZ$1000,"Y",$J$2:$J$1000,J344,$FG$2:$FG$1000,"&lt;"&amp;FG344)=0,"Y","N")))</f>
        <v/>
      </c>
      <c r="FB344" s="0" t="str">
        <f aca="false">IF($A344="","",IF(AND(EZ344="Y",FA344="Y",Y344&amp;""&lt;&gt;""),IF(Y344&lt;=10,"Y","N"),"N"))</f>
        <v/>
      </c>
      <c r="FC344" s="0" t="str">
        <f aca="false">IF(FB344="Y",Y344,"")</f>
        <v/>
      </c>
      <c r="FD344" s="0" t="str">
        <f aca="false">IF($A344="","",IF(AND(CK344="pass",AU344="Y",AV344&lt;&gt;"Y",U344="new",EW344="N"),"Y","N"))</f>
        <v/>
      </c>
      <c r="FE344" s="0" t="str">
        <f aca="false">IF(FD344&lt;&gt;"Y","",IF(COUNTIFS($FD$2:$FD$1000,"Y",$J$2:$J$1000,"&gt;"&amp;J344)+COUNTIFS($FD$2:$FD$1000,"Y",$J$2:$J$1000,J344,$FG$2:$FG$1000,"&lt;"&amp;FG344)+1&lt;=30,COUNTIFS($FD$2:$FD$1000,"Y",$J$2:$J$1000,"&gt;"&amp;J344)+COUNTIFS($FD$2:$FD$1000,"Y",$J$2:$J$1000,J344,$FG$2:$FG$1000,"&lt;"&amp;FG344)+1,""))</f>
        <v/>
      </c>
      <c r="FF344" s="0" t="str">
        <f aca="false">IF(AND(_xlfn.ISFORMULA(C344),_xlfn.ISFORMULA(J344)),"Y","N")</f>
        <v>Y</v>
      </c>
      <c r="FG344" s="0" t="n">
        <f aca="false">ROW()-1</f>
        <v>343</v>
      </c>
    </row>
    <row r="345" customFormat="false" ht="15" hidden="false" customHeight="false" outlineLevel="0" collapsed="false">
      <c r="C345" s="0" t="str">
        <f aca="false">IF($A345="","",IF(AT345="Y",BL345&amp;"",AY345&amp;""))</f>
        <v/>
      </c>
      <c r="D345" s="0" t="str">
        <f aca="false">IF($A345="","",IF(AT345="Y",BM345&amp;"",AZ345&amp;""))</f>
        <v/>
      </c>
      <c r="E345" s="0" t="str">
        <f aca="false">IF($A345="","",IF(AT345="Y",BN345&amp;"",BA345&amp;""))</f>
        <v/>
      </c>
      <c r="F345" s="0" t="str">
        <f aca="false">IF($A345="","",IF(AT345="Y",BO345&amp;"",BB345&amp;""))</f>
        <v/>
      </c>
      <c r="G345" s="0" t="str">
        <f aca="false">IF($A345="","",IF(AT345="Y",BP345&amp;"",BC345&amp;""))</f>
        <v/>
      </c>
      <c r="H345" s="0" t="str">
        <f aca="false">IF($A345="","",IF(AT345="Y",BQ345&amp;"",BD345&amp;""))</f>
        <v/>
      </c>
      <c r="I345" s="0" t="str">
        <f aca="false">IF($A345="","",IF(R345="Y","warm-intro",IF(H345="verified","email",IF(C345&lt;&gt;"","linkedin",CA345&amp;""))))</f>
        <v/>
      </c>
      <c r="J345" s="0" t="str">
        <f aca="false">IF($A345="","",IF(CK345="pass",ROUND(N(DO345)+N(DP345)+N(DQ345)+N(DR345)+N(DS345)+N(DT345)+N(DU345)+N(DV345),0),0))</f>
        <v/>
      </c>
      <c r="K345" s="0" t="str">
        <f aca="false">IF($A345="","",IF(CK345&lt;&gt;"pass",BY345&amp;"",BY345&amp;", "&amp;IF(AT345="Y",BX345&amp;"",BK345&amp;"")&amp;BZ345&amp;IF(R345="Y","; known to the founder (+10)","")&amp;"."))</f>
        <v/>
      </c>
      <c r="R345" s="5"/>
      <c r="T345" s="5"/>
      <c r="U345" s="5"/>
      <c r="Y345" s="0" t="str">
        <f aca="false">IF(FA345&lt;&gt;"Y","",COUNTIFS($FA$2:$FA$1000,"Y",$J$2:$J$1000,"&gt;"&amp;J345)+COUNTIFS($FA$2:$FA$1000,"Y",$J$2:$J$1000,J345,$FG$2:$FG$1000,"&lt;"&amp;FG345)+1)</f>
        <v/>
      </c>
      <c r="AB345" s="0" t="str">
        <f aca="false">IF($A345="","",IF(AT345="Y",BW345&amp;"",BJ345&amp;""))</f>
        <v/>
      </c>
      <c r="AC345" s="0" t="str">
        <f aca="false">IF($A345="","",IF(AT345="Y",BR345&amp;"",BE345&amp;""))</f>
        <v/>
      </c>
      <c r="AD345" s="0" t="str">
        <f aca="false">IF($A345="","",IF(AT345="Y",BS345&amp;"",BF345&amp;""))</f>
        <v/>
      </c>
      <c r="AE345" s="0" t="str">
        <f aca="false">IF($A345="","",IF(AT345="Y",BT345&amp;"",BG345&amp;""))</f>
        <v/>
      </c>
      <c r="AF345" s="0" t="str">
        <f aca="false">IF($A345="","",IF(AT345="Y",BU345&amp;"",BH345&amp;""))</f>
        <v/>
      </c>
      <c r="AG345" s="0" t="str">
        <f aca="false">IF($A345="","",IF(AT345="Y",BV345&amp;"",BI345&amp;""))</f>
        <v/>
      </c>
      <c r="AO345" s="5"/>
      <c r="AR345" s="0" t="str">
        <f aca="false">IF($A345="","",IF(AND(CK345="pass",AO345&lt;&gt;"Y",C345&lt;&gt;"",OR(AU345&lt;&gt;"Y",AV345="Y")),"Y","N"))</f>
        <v/>
      </c>
      <c r="AS345" s="0" t="str">
        <f aca="false">IF($A345="","",_xlfn.TEXTJOIN("; ",TRUE(),IF(CK345&lt;&gt;"pass","gated out",""),IF(AO345="Y","on hold: "&amp;AP345,""),IF(C345="","no contact named on an opened page",""),IF(AND(AU345="Y",AV345&lt;&gt;"Y"),"founder review pending (Founder review tab)","")))</f>
        <v/>
      </c>
      <c r="BC345" s="0" t="str">
        <f aca="false">IF($A345="","",IFERROR(INDEX(Enrichment!$A$2:$GZ$2000,MATCH($A345,INDEX(Enrichment!$A$2:$GZ$2000,0,MATCH("row_id",Enrichment!$A$1:$GZ$1,0)),0),MATCH("work_email",Enrichment!$A$1:$GZ$1,0))&amp;"",""))</f>
        <v/>
      </c>
      <c r="BD345" s="0" t="str">
        <f aca="false">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P345" s="0" t="str">
        <f aca="false">IF($A345="","",IFERROR(INDEX(Enrichment!$A$2:$GZ$2000,MATCH($A345,INDEX(Enrichment!$A$2:$GZ$2000,0,MATCH("row_id",Enrichment!$A$1:$GZ$1,0)),0),MATCH("backup_work_email",Enrichment!$A$1:$GZ$1,0))&amp;"",""))</f>
        <v/>
      </c>
      <c r="BQ345" s="0" t="str">
        <f aca="false">IF($A345="","",IF(BP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DU345" s="0" t="str">
        <f aca="false">IF($A345="","",IF(R345="Y",10,0))</f>
        <v/>
      </c>
      <c r="EV345" s="0" t="str">
        <f aca="false">IF($A345="","",IF(ISNUMBER(MATCH(U345,{"queued","contacted","replied","call_booked","call_done","yes_in_principle","materials_sent"},0)),"Y","N"))</f>
        <v/>
      </c>
      <c r="EW345" s="0" t="str">
        <f aca="false">IF($A345="","",IF(OR(T345="Y",U345="do_not_contact",AQ345&amp;""&lt;&gt;""),"Y","N"))</f>
        <v/>
      </c>
      <c r="EX345" s="0" t="str">
        <f aca="false">IF($A345="","",IF(AN345&amp;""&lt;&gt;"",AN345&amp;"",$A345))</f>
        <v/>
      </c>
      <c r="EY345" s="0" t="str">
        <f aca="false">IF($A345="","",IF(COUNTIFS($EX$2:$EX$1000,EX345,$EV$2:$EV$1000,"Y")+COUNTIFS($EX$2:$EX$1000,EX345,$EW$2:$EW$1000,"Y")&gt;0,"Y","N"))</f>
        <v/>
      </c>
      <c r="EZ345" s="0" t="str">
        <f aca="false">IF($A345="","",IF(AND(U345="new",T345="N",EW345="N",AR345="Y",EY345="N"),"Y","N"))</f>
        <v/>
      </c>
      <c r="FA345" s="0" t="str">
        <f aca="false">IF($A345="","",IF(EZ345&lt;&gt;"Y","N",IF(COUNTIFS($EX$2:$EX$1000,EX345,$EZ$2:$EZ$1000,"Y",$J$2:$J$1000,"&gt;"&amp;J345)+COUNTIFS($EX$2:$EX$1000,EX345,$EZ$2:$EZ$1000,"Y",$J$2:$J$1000,J345,$FG$2:$FG$1000,"&lt;"&amp;FG345)=0,"Y","N")))</f>
        <v/>
      </c>
      <c r="FB345" s="0" t="str">
        <f aca="false">IF($A345="","",IF(AND(EZ345="Y",FA345="Y",Y345&amp;""&lt;&gt;""),IF(Y345&lt;=10,"Y","N"),"N"))</f>
        <v/>
      </c>
      <c r="FC345" s="0" t="str">
        <f aca="false">IF(FB345="Y",Y345,"")</f>
        <v/>
      </c>
      <c r="FD345" s="0" t="str">
        <f aca="false">IF($A345="","",IF(AND(CK345="pass",AU345="Y",AV345&lt;&gt;"Y",U345="new",EW345="N"),"Y","N"))</f>
        <v/>
      </c>
      <c r="FE345" s="0" t="str">
        <f aca="false">IF(FD345&lt;&gt;"Y","",IF(COUNTIFS($FD$2:$FD$1000,"Y",$J$2:$J$1000,"&gt;"&amp;J345)+COUNTIFS($FD$2:$FD$1000,"Y",$J$2:$J$1000,J345,$FG$2:$FG$1000,"&lt;"&amp;FG345)+1&lt;=30,COUNTIFS($FD$2:$FD$1000,"Y",$J$2:$J$1000,"&gt;"&amp;J345)+COUNTIFS($FD$2:$FD$1000,"Y",$J$2:$J$1000,J345,$FG$2:$FG$1000,"&lt;"&amp;FG345)+1,""))</f>
        <v/>
      </c>
      <c r="FF345" s="0" t="str">
        <f aca="false">IF(AND(_xlfn.ISFORMULA(C345),_xlfn.ISFORMULA(J345)),"Y","N")</f>
        <v>Y</v>
      </c>
      <c r="FG345" s="0" t="n">
        <f aca="false">ROW()-1</f>
        <v>344</v>
      </c>
    </row>
    <row r="346" customFormat="false" ht="15" hidden="false" customHeight="false" outlineLevel="0" collapsed="false">
      <c r="C346" s="0" t="str">
        <f aca="false">IF($A346="","",IF(AT346="Y",BL346&amp;"",AY346&amp;""))</f>
        <v/>
      </c>
      <c r="D346" s="0" t="str">
        <f aca="false">IF($A346="","",IF(AT346="Y",BM346&amp;"",AZ346&amp;""))</f>
        <v/>
      </c>
      <c r="E346" s="0" t="str">
        <f aca="false">IF($A346="","",IF(AT346="Y",BN346&amp;"",BA346&amp;""))</f>
        <v/>
      </c>
      <c r="F346" s="0" t="str">
        <f aca="false">IF($A346="","",IF(AT346="Y",BO346&amp;"",BB346&amp;""))</f>
        <v/>
      </c>
      <c r="G346" s="0" t="str">
        <f aca="false">IF($A346="","",IF(AT346="Y",BP346&amp;"",BC346&amp;""))</f>
        <v/>
      </c>
      <c r="H346" s="0" t="str">
        <f aca="false">IF($A346="","",IF(AT346="Y",BQ346&amp;"",BD346&amp;""))</f>
        <v/>
      </c>
      <c r="I346" s="0" t="str">
        <f aca="false">IF($A346="","",IF(R346="Y","warm-intro",IF(H346="verified","email",IF(C346&lt;&gt;"","linkedin",CA346&amp;""))))</f>
        <v/>
      </c>
      <c r="J346" s="0" t="str">
        <f aca="false">IF($A346="","",IF(CK346="pass",ROUND(N(DO346)+N(DP346)+N(DQ346)+N(DR346)+N(DS346)+N(DT346)+N(DU346)+N(DV346),0),0))</f>
        <v/>
      </c>
      <c r="K346" s="0" t="str">
        <f aca="false">IF($A346="","",IF(CK346&lt;&gt;"pass",BY346&amp;"",BY346&amp;", "&amp;IF(AT346="Y",BX346&amp;"",BK346&amp;"")&amp;BZ346&amp;IF(R346="Y","; known to the founder (+10)","")&amp;"."))</f>
        <v/>
      </c>
      <c r="R346" s="5"/>
      <c r="T346" s="5"/>
      <c r="U346" s="5"/>
      <c r="Y346" s="0" t="str">
        <f aca="false">IF(FA346&lt;&gt;"Y","",COUNTIFS($FA$2:$FA$1000,"Y",$J$2:$J$1000,"&gt;"&amp;J346)+COUNTIFS($FA$2:$FA$1000,"Y",$J$2:$J$1000,J346,$FG$2:$FG$1000,"&lt;"&amp;FG346)+1)</f>
        <v/>
      </c>
      <c r="AB346" s="0" t="str">
        <f aca="false">IF($A346="","",IF(AT346="Y",BW346&amp;"",BJ346&amp;""))</f>
        <v/>
      </c>
      <c r="AC346" s="0" t="str">
        <f aca="false">IF($A346="","",IF(AT346="Y",BR346&amp;"",BE346&amp;""))</f>
        <v/>
      </c>
      <c r="AD346" s="0" t="str">
        <f aca="false">IF($A346="","",IF(AT346="Y",BS346&amp;"",BF346&amp;""))</f>
        <v/>
      </c>
      <c r="AE346" s="0" t="str">
        <f aca="false">IF($A346="","",IF(AT346="Y",BT346&amp;"",BG346&amp;""))</f>
        <v/>
      </c>
      <c r="AF346" s="0" t="str">
        <f aca="false">IF($A346="","",IF(AT346="Y",BU346&amp;"",BH346&amp;""))</f>
        <v/>
      </c>
      <c r="AG346" s="0" t="str">
        <f aca="false">IF($A346="","",IF(AT346="Y",BV346&amp;"",BI346&amp;""))</f>
        <v/>
      </c>
      <c r="AO346" s="5"/>
      <c r="AR346" s="0" t="str">
        <f aca="false">IF($A346="","",IF(AND(CK346="pass",AO346&lt;&gt;"Y",C346&lt;&gt;"",OR(AU346&lt;&gt;"Y",AV346="Y")),"Y","N"))</f>
        <v/>
      </c>
      <c r="AS346" s="0" t="str">
        <f aca="false">IF($A346="","",_xlfn.TEXTJOIN("; ",TRUE(),IF(CK346&lt;&gt;"pass","gated out",""),IF(AO346="Y","on hold: "&amp;AP346,""),IF(C346="","no contact named on an opened page",""),IF(AND(AU346="Y",AV346&lt;&gt;"Y"),"founder review pending (Founder review tab)","")))</f>
        <v/>
      </c>
      <c r="BC346" s="0" t="str">
        <f aca="false">IF($A346="","",IFERROR(INDEX(Enrichment!$A$2:$GZ$2000,MATCH($A346,INDEX(Enrichment!$A$2:$GZ$2000,0,MATCH("row_id",Enrichment!$A$1:$GZ$1,0)),0),MATCH("work_email",Enrichment!$A$1:$GZ$1,0))&amp;"",""))</f>
        <v/>
      </c>
      <c r="BD346" s="0" t="str">
        <f aca="false">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P346" s="0" t="str">
        <f aca="false">IF($A346="","",IFERROR(INDEX(Enrichment!$A$2:$GZ$2000,MATCH($A346,INDEX(Enrichment!$A$2:$GZ$2000,0,MATCH("row_id",Enrichment!$A$1:$GZ$1,0)),0),MATCH("backup_work_email",Enrichment!$A$1:$GZ$1,0))&amp;"",""))</f>
        <v/>
      </c>
      <c r="BQ346" s="0" t="str">
        <f aca="false">IF($A346="","",IF(BP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DU346" s="0" t="str">
        <f aca="false">IF($A346="","",IF(R346="Y",10,0))</f>
        <v/>
      </c>
      <c r="EV346" s="0" t="str">
        <f aca="false">IF($A346="","",IF(ISNUMBER(MATCH(U346,{"queued","contacted","replied","call_booked","call_done","yes_in_principle","materials_sent"},0)),"Y","N"))</f>
        <v/>
      </c>
      <c r="EW346" s="0" t="str">
        <f aca="false">IF($A346="","",IF(OR(T346="Y",U346="do_not_contact",AQ346&amp;""&lt;&gt;""),"Y","N"))</f>
        <v/>
      </c>
      <c r="EX346" s="0" t="str">
        <f aca="false">IF($A346="","",IF(AN346&amp;""&lt;&gt;"",AN346&amp;"",$A346))</f>
        <v/>
      </c>
      <c r="EY346" s="0" t="str">
        <f aca="false">IF($A346="","",IF(COUNTIFS($EX$2:$EX$1000,EX346,$EV$2:$EV$1000,"Y")+COUNTIFS($EX$2:$EX$1000,EX346,$EW$2:$EW$1000,"Y")&gt;0,"Y","N"))</f>
        <v/>
      </c>
      <c r="EZ346" s="0" t="str">
        <f aca="false">IF($A346="","",IF(AND(U346="new",T346="N",EW346="N",AR346="Y",EY346="N"),"Y","N"))</f>
        <v/>
      </c>
      <c r="FA346" s="0" t="str">
        <f aca="false">IF($A346="","",IF(EZ346&lt;&gt;"Y","N",IF(COUNTIFS($EX$2:$EX$1000,EX346,$EZ$2:$EZ$1000,"Y",$J$2:$J$1000,"&gt;"&amp;J346)+COUNTIFS($EX$2:$EX$1000,EX346,$EZ$2:$EZ$1000,"Y",$J$2:$J$1000,J346,$FG$2:$FG$1000,"&lt;"&amp;FG346)=0,"Y","N")))</f>
        <v/>
      </c>
      <c r="FB346" s="0" t="str">
        <f aca="false">IF($A346="","",IF(AND(EZ346="Y",FA346="Y",Y346&amp;""&lt;&gt;""),IF(Y346&lt;=10,"Y","N"),"N"))</f>
        <v/>
      </c>
      <c r="FC346" s="0" t="str">
        <f aca="false">IF(FB346="Y",Y346,"")</f>
        <v/>
      </c>
      <c r="FD346" s="0" t="str">
        <f aca="false">IF($A346="","",IF(AND(CK346="pass",AU346="Y",AV346&lt;&gt;"Y",U346="new",EW346="N"),"Y","N"))</f>
        <v/>
      </c>
      <c r="FE346" s="0" t="str">
        <f aca="false">IF(FD346&lt;&gt;"Y","",IF(COUNTIFS($FD$2:$FD$1000,"Y",$J$2:$J$1000,"&gt;"&amp;J346)+COUNTIFS($FD$2:$FD$1000,"Y",$J$2:$J$1000,J346,$FG$2:$FG$1000,"&lt;"&amp;FG346)+1&lt;=30,COUNTIFS($FD$2:$FD$1000,"Y",$J$2:$J$1000,"&gt;"&amp;J346)+COUNTIFS($FD$2:$FD$1000,"Y",$J$2:$J$1000,J346,$FG$2:$FG$1000,"&lt;"&amp;FG346)+1,""))</f>
        <v/>
      </c>
      <c r="FF346" s="0" t="str">
        <f aca="false">IF(AND(_xlfn.ISFORMULA(C346),_xlfn.ISFORMULA(J346)),"Y","N")</f>
        <v>Y</v>
      </c>
      <c r="FG346" s="0" t="n">
        <f aca="false">ROW()-1</f>
        <v>345</v>
      </c>
    </row>
    <row r="347" customFormat="false" ht="15" hidden="false" customHeight="false" outlineLevel="0" collapsed="false">
      <c r="C347" s="0" t="str">
        <f aca="false">IF($A347="","",IF(AT347="Y",BL347&amp;"",AY347&amp;""))</f>
        <v/>
      </c>
      <c r="D347" s="0" t="str">
        <f aca="false">IF($A347="","",IF(AT347="Y",BM347&amp;"",AZ347&amp;""))</f>
        <v/>
      </c>
      <c r="E347" s="0" t="str">
        <f aca="false">IF($A347="","",IF(AT347="Y",BN347&amp;"",BA347&amp;""))</f>
        <v/>
      </c>
      <c r="F347" s="0" t="str">
        <f aca="false">IF($A347="","",IF(AT347="Y",BO347&amp;"",BB347&amp;""))</f>
        <v/>
      </c>
      <c r="G347" s="0" t="str">
        <f aca="false">IF($A347="","",IF(AT347="Y",BP347&amp;"",BC347&amp;""))</f>
        <v/>
      </c>
      <c r="H347" s="0" t="str">
        <f aca="false">IF($A347="","",IF(AT347="Y",BQ347&amp;"",BD347&amp;""))</f>
        <v/>
      </c>
      <c r="I347" s="0" t="str">
        <f aca="false">IF($A347="","",IF(R347="Y","warm-intro",IF(H347="verified","email",IF(C347&lt;&gt;"","linkedin",CA347&amp;""))))</f>
        <v/>
      </c>
      <c r="J347" s="0" t="str">
        <f aca="false">IF($A347="","",IF(CK347="pass",ROUND(N(DO347)+N(DP347)+N(DQ347)+N(DR347)+N(DS347)+N(DT347)+N(DU347)+N(DV347),0),0))</f>
        <v/>
      </c>
      <c r="K347" s="0" t="str">
        <f aca="false">IF($A347="","",IF(CK347&lt;&gt;"pass",BY347&amp;"",BY347&amp;", "&amp;IF(AT347="Y",BX347&amp;"",BK347&amp;"")&amp;BZ347&amp;IF(R347="Y","; known to the founder (+10)","")&amp;"."))</f>
        <v/>
      </c>
      <c r="R347" s="5"/>
      <c r="T347" s="5"/>
      <c r="U347" s="5"/>
      <c r="Y347" s="0" t="str">
        <f aca="false">IF(FA347&lt;&gt;"Y","",COUNTIFS($FA$2:$FA$1000,"Y",$J$2:$J$1000,"&gt;"&amp;J347)+COUNTIFS($FA$2:$FA$1000,"Y",$J$2:$J$1000,J347,$FG$2:$FG$1000,"&lt;"&amp;FG347)+1)</f>
        <v/>
      </c>
      <c r="AB347" s="0" t="str">
        <f aca="false">IF($A347="","",IF(AT347="Y",BW347&amp;"",BJ347&amp;""))</f>
        <v/>
      </c>
      <c r="AC347" s="0" t="str">
        <f aca="false">IF($A347="","",IF(AT347="Y",BR347&amp;"",BE347&amp;""))</f>
        <v/>
      </c>
      <c r="AD347" s="0" t="str">
        <f aca="false">IF($A347="","",IF(AT347="Y",BS347&amp;"",BF347&amp;""))</f>
        <v/>
      </c>
      <c r="AE347" s="0" t="str">
        <f aca="false">IF($A347="","",IF(AT347="Y",BT347&amp;"",BG347&amp;""))</f>
        <v/>
      </c>
      <c r="AF347" s="0" t="str">
        <f aca="false">IF($A347="","",IF(AT347="Y",BU347&amp;"",BH347&amp;""))</f>
        <v/>
      </c>
      <c r="AG347" s="0" t="str">
        <f aca="false">IF($A347="","",IF(AT347="Y",BV347&amp;"",BI347&amp;""))</f>
        <v/>
      </c>
      <c r="AO347" s="5"/>
      <c r="AR347" s="0" t="str">
        <f aca="false">IF($A347="","",IF(AND(CK347="pass",AO347&lt;&gt;"Y",C347&lt;&gt;"",OR(AU347&lt;&gt;"Y",AV347="Y")),"Y","N"))</f>
        <v/>
      </c>
      <c r="AS347" s="0" t="str">
        <f aca="false">IF($A347="","",_xlfn.TEXTJOIN("; ",TRUE(),IF(CK347&lt;&gt;"pass","gated out",""),IF(AO347="Y","on hold: "&amp;AP347,""),IF(C347="","no contact named on an opened page",""),IF(AND(AU347="Y",AV347&lt;&gt;"Y"),"founder review pending (Founder review tab)","")))</f>
        <v/>
      </c>
      <c r="BC347" s="0" t="str">
        <f aca="false">IF($A347="","",IFERROR(INDEX(Enrichment!$A$2:$GZ$2000,MATCH($A347,INDEX(Enrichment!$A$2:$GZ$2000,0,MATCH("row_id",Enrichment!$A$1:$GZ$1,0)),0),MATCH("work_email",Enrichment!$A$1:$GZ$1,0))&amp;"",""))</f>
        <v/>
      </c>
      <c r="BD347" s="0" t="str">
        <f aca="false">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P347" s="0" t="str">
        <f aca="false">IF($A347="","",IFERROR(INDEX(Enrichment!$A$2:$GZ$2000,MATCH($A347,INDEX(Enrichment!$A$2:$GZ$2000,0,MATCH("row_id",Enrichment!$A$1:$GZ$1,0)),0),MATCH("backup_work_email",Enrichment!$A$1:$GZ$1,0))&amp;"",""))</f>
        <v/>
      </c>
      <c r="BQ347" s="0" t="str">
        <f aca="false">IF($A347="","",IF(BP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DU347" s="0" t="str">
        <f aca="false">IF($A347="","",IF(R347="Y",10,0))</f>
        <v/>
      </c>
      <c r="EV347" s="0" t="str">
        <f aca="false">IF($A347="","",IF(ISNUMBER(MATCH(U347,{"queued","contacted","replied","call_booked","call_done","yes_in_principle","materials_sent"},0)),"Y","N"))</f>
        <v/>
      </c>
      <c r="EW347" s="0" t="str">
        <f aca="false">IF($A347="","",IF(OR(T347="Y",U347="do_not_contact",AQ347&amp;""&lt;&gt;""),"Y","N"))</f>
        <v/>
      </c>
      <c r="EX347" s="0" t="str">
        <f aca="false">IF($A347="","",IF(AN347&amp;""&lt;&gt;"",AN347&amp;"",$A347))</f>
        <v/>
      </c>
      <c r="EY347" s="0" t="str">
        <f aca="false">IF($A347="","",IF(COUNTIFS($EX$2:$EX$1000,EX347,$EV$2:$EV$1000,"Y")+COUNTIFS($EX$2:$EX$1000,EX347,$EW$2:$EW$1000,"Y")&gt;0,"Y","N"))</f>
        <v/>
      </c>
      <c r="EZ347" s="0" t="str">
        <f aca="false">IF($A347="","",IF(AND(U347="new",T347="N",EW347="N",AR347="Y",EY347="N"),"Y","N"))</f>
        <v/>
      </c>
      <c r="FA347" s="0" t="str">
        <f aca="false">IF($A347="","",IF(EZ347&lt;&gt;"Y","N",IF(COUNTIFS($EX$2:$EX$1000,EX347,$EZ$2:$EZ$1000,"Y",$J$2:$J$1000,"&gt;"&amp;J347)+COUNTIFS($EX$2:$EX$1000,EX347,$EZ$2:$EZ$1000,"Y",$J$2:$J$1000,J347,$FG$2:$FG$1000,"&lt;"&amp;FG347)=0,"Y","N")))</f>
        <v/>
      </c>
      <c r="FB347" s="0" t="str">
        <f aca="false">IF($A347="","",IF(AND(EZ347="Y",FA347="Y",Y347&amp;""&lt;&gt;""),IF(Y347&lt;=10,"Y","N"),"N"))</f>
        <v/>
      </c>
      <c r="FC347" s="0" t="str">
        <f aca="false">IF(FB347="Y",Y347,"")</f>
        <v/>
      </c>
      <c r="FD347" s="0" t="str">
        <f aca="false">IF($A347="","",IF(AND(CK347="pass",AU347="Y",AV347&lt;&gt;"Y",U347="new",EW347="N"),"Y","N"))</f>
        <v/>
      </c>
      <c r="FE347" s="0" t="str">
        <f aca="false">IF(FD347&lt;&gt;"Y","",IF(COUNTIFS($FD$2:$FD$1000,"Y",$J$2:$J$1000,"&gt;"&amp;J347)+COUNTIFS($FD$2:$FD$1000,"Y",$J$2:$J$1000,J347,$FG$2:$FG$1000,"&lt;"&amp;FG347)+1&lt;=30,COUNTIFS($FD$2:$FD$1000,"Y",$J$2:$J$1000,"&gt;"&amp;J347)+COUNTIFS($FD$2:$FD$1000,"Y",$J$2:$J$1000,J347,$FG$2:$FG$1000,"&lt;"&amp;FG347)+1,""))</f>
        <v/>
      </c>
      <c r="FF347" s="0" t="str">
        <f aca="false">IF(AND(_xlfn.ISFORMULA(C347),_xlfn.ISFORMULA(J347)),"Y","N")</f>
        <v>Y</v>
      </c>
      <c r="FG347" s="0" t="n">
        <f aca="false">ROW()-1</f>
        <v>346</v>
      </c>
    </row>
    <row r="348" customFormat="false" ht="15" hidden="false" customHeight="false" outlineLevel="0" collapsed="false">
      <c r="C348" s="0" t="str">
        <f aca="false">IF($A348="","",IF(AT348="Y",BL348&amp;"",AY348&amp;""))</f>
        <v/>
      </c>
      <c r="D348" s="0" t="str">
        <f aca="false">IF($A348="","",IF(AT348="Y",BM348&amp;"",AZ348&amp;""))</f>
        <v/>
      </c>
      <c r="E348" s="0" t="str">
        <f aca="false">IF($A348="","",IF(AT348="Y",BN348&amp;"",BA348&amp;""))</f>
        <v/>
      </c>
      <c r="F348" s="0" t="str">
        <f aca="false">IF($A348="","",IF(AT348="Y",BO348&amp;"",BB348&amp;""))</f>
        <v/>
      </c>
      <c r="G348" s="0" t="str">
        <f aca="false">IF($A348="","",IF(AT348="Y",BP348&amp;"",BC348&amp;""))</f>
        <v/>
      </c>
      <c r="H348" s="0" t="str">
        <f aca="false">IF($A348="","",IF(AT348="Y",BQ348&amp;"",BD348&amp;""))</f>
        <v/>
      </c>
      <c r="I348" s="0" t="str">
        <f aca="false">IF($A348="","",IF(R348="Y","warm-intro",IF(H348="verified","email",IF(C348&lt;&gt;"","linkedin",CA348&amp;""))))</f>
        <v/>
      </c>
      <c r="J348" s="0" t="str">
        <f aca="false">IF($A348="","",IF(CK348="pass",ROUND(N(DO348)+N(DP348)+N(DQ348)+N(DR348)+N(DS348)+N(DT348)+N(DU348)+N(DV348),0),0))</f>
        <v/>
      </c>
      <c r="K348" s="0" t="str">
        <f aca="false">IF($A348="","",IF(CK348&lt;&gt;"pass",BY348&amp;"",BY348&amp;", "&amp;IF(AT348="Y",BX348&amp;"",BK348&amp;"")&amp;BZ348&amp;IF(R348="Y","; known to the founder (+10)","")&amp;"."))</f>
        <v/>
      </c>
      <c r="R348" s="5"/>
      <c r="T348" s="5"/>
      <c r="U348" s="5"/>
      <c r="Y348" s="0" t="str">
        <f aca="false">IF(FA348&lt;&gt;"Y","",COUNTIFS($FA$2:$FA$1000,"Y",$J$2:$J$1000,"&gt;"&amp;J348)+COUNTIFS($FA$2:$FA$1000,"Y",$J$2:$J$1000,J348,$FG$2:$FG$1000,"&lt;"&amp;FG348)+1)</f>
        <v/>
      </c>
      <c r="AB348" s="0" t="str">
        <f aca="false">IF($A348="","",IF(AT348="Y",BW348&amp;"",BJ348&amp;""))</f>
        <v/>
      </c>
      <c r="AC348" s="0" t="str">
        <f aca="false">IF($A348="","",IF(AT348="Y",BR348&amp;"",BE348&amp;""))</f>
        <v/>
      </c>
      <c r="AD348" s="0" t="str">
        <f aca="false">IF($A348="","",IF(AT348="Y",BS348&amp;"",BF348&amp;""))</f>
        <v/>
      </c>
      <c r="AE348" s="0" t="str">
        <f aca="false">IF($A348="","",IF(AT348="Y",BT348&amp;"",BG348&amp;""))</f>
        <v/>
      </c>
      <c r="AF348" s="0" t="str">
        <f aca="false">IF($A348="","",IF(AT348="Y",BU348&amp;"",BH348&amp;""))</f>
        <v/>
      </c>
      <c r="AG348" s="0" t="str">
        <f aca="false">IF($A348="","",IF(AT348="Y",BV348&amp;"",BI348&amp;""))</f>
        <v/>
      </c>
      <c r="AO348" s="5"/>
      <c r="AR348" s="0" t="str">
        <f aca="false">IF($A348="","",IF(AND(CK348="pass",AO348&lt;&gt;"Y",C348&lt;&gt;"",OR(AU348&lt;&gt;"Y",AV348="Y")),"Y","N"))</f>
        <v/>
      </c>
      <c r="AS348" s="0" t="str">
        <f aca="false">IF($A348="","",_xlfn.TEXTJOIN("; ",TRUE(),IF(CK348&lt;&gt;"pass","gated out",""),IF(AO348="Y","on hold: "&amp;AP348,""),IF(C348="","no contact named on an opened page",""),IF(AND(AU348="Y",AV348&lt;&gt;"Y"),"founder review pending (Founder review tab)","")))</f>
        <v/>
      </c>
      <c r="BC348" s="0" t="str">
        <f aca="false">IF($A348="","",IFERROR(INDEX(Enrichment!$A$2:$GZ$2000,MATCH($A348,INDEX(Enrichment!$A$2:$GZ$2000,0,MATCH("row_id",Enrichment!$A$1:$GZ$1,0)),0),MATCH("work_email",Enrichment!$A$1:$GZ$1,0))&amp;"",""))</f>
        <v/>
      </c>
      <c r="BD348" s="0" t="str">
        <f aca="false">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P348" s="0" t="str">
        <f aca="false">IF($A348="","",IFERROR(INDEX(Enrichment!$A$2:$GZ$2000,MATCH($A348,INDEX(Enrichment!$A$2:$GZ$2000,0,MATCH("row_id",Enrichment!$A$1:$GZ$1,0)),0),MATCH("backup_work_email",Enrichment!$A$1:$GZ$1,0))&amp;"",""))</f>
        <v/>
      </c>
      <c r="BQ348" s="0" t="str">
        <f aca="false">IF($A348="","",IF(BP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DU348" s="0" t="str">
        <f aca="false">IF($A348="","",IF(R348="Y",10,0))</f>
        <v/>
      </c>
      <c r="EV348" s="0" t="str">
        <f aca="false">IF($A348="","",IF(ISNUMBER(MATCH(U348,{"queued","contacted","replied","call_booked","call_done","yes_in_principle","materials_sent"},0)),"Y","N"))</f>
        <v/>
      </c>
      <c r="EW348" s="0" t="str">
        <f aca="false">IF($A348="","",IF(OR(T348="Y",U348="do_not_contact",AQ348&amp;""&lt;&gt;""),"Y","N"))</f>
        <v/>
      </c>
      <c r="EX348" s="0" t="str">
        <f aca="false">IF($A348="","",IF(AN348&amp;""&lt;&gt;"",AN348&amp;"",$A348))</f>
        <v/>
      </c>
      <c r="EY348" s="0" t="str">
        <f aca="false">IF($A348="","",IF(COUNTIFS($EX$2:$EX$1000,EX348,$EV$2:$EV$1000,"Y")+COUNTIFS($EX$2:$EX$1000,EX348,$EW$2:$EW$1000,"Y")&gt;0,"Y","N"))</f>
        <v/>
      </c>
      <c r="EZ348" s="0" t="str">
        <f aca="false">IF($A348="","",IF(AND(U348="new",T348="N",EW348="N",AR348="Y",EY348="N"),"Y","N"))</f>
        <v/>
      </c>
      <c r="FA348" s="0" t="str">
        <f aca="false">IF($A348="","",IF(EZ348&lt;&gt;"Y","N",IF(COUNTIFS($EX$2:$EX$1000,EX348,$EZ$2:$EZ$1000,"Y",$J$2:$J$1000,"&gt;"&amp;J348)+COUNTIFS($EX$2:$EX$1000,EX348,$EZ$2:$EZ$1000,"Y",$J$2:$J$1000,J348,$FG$2:$FG$1000,"&lt;"&amp;FG348)=0,"Y","N")))</f>
        <v/>
      </c>
      <c r="FB348" s="0" t="str">
        <f aca="false">IF($A348="","",IF(AND(EZ348="Y",FA348="Y",Y348&amp;""&lt;&gt;""),IF(Y348&lt;=10,"Y","N"),"N"))</f>
        <v/>
      </c>
      <c r="FC348" s="0" t="str">
        <f aca="false">IF(FB348="Y",Y348,"")</f>
        <v/>
      </c>
      <c r="FD348" s="0" t="str">
        <f aca="false">IF($A348="","",IF(AND(CK348="pass",AU348="Y",AV348&lt;&gt;"Y",U348="new",EW348="N"),"Y","N"))</f>
        <v/>
      </c>
      <c r="FE348" s="0" t="str">
        <f aca="false">IF(FD348&lt;&gt;"Y","",IF(COUNTIFS($FD$2:$FD$1000,"Y",$J$2:$J$1000,"&gt;"&amp;J348)+COUNTIFS($FD$2:$FD$1000,"Y",$J$2:$J$1000,J348,$FG$2:$FG$1000,"&lt;"&amp;FG348)+1&lt;=30,COUNTIFS($FD$2:$FD$1000,"Y",$J$2:$J$1000,"&gt;"&amp;J348)+COUNTIFS($FD$2:$FD$1000,"Y",$J$2:$J$1000,J348,$FG$2:$FG$1000,"&lt;"&amp;FG348)+1,""))</f>
        <v/>
      </c>
      <c r="FF348" s="0" t="str">
        <f aca="false">IF(AND(_xlfn.ISFORMULA(C348),_xlfn.ISFORMULA(J348)),"Y","N")</f>
        <v>Y</v>
      </c>
      <c r="FG348" s="0" t="n">
        <f aca="false">ROW()-1</f>
        <v>347</v>
      </c>
    </row>
    <row r="349" customFormat="false" ht="15" hidden="false" customHeight="false" outlineLevel="0" collapsed="false">
      <c r="C349" s="0" t="str">
        <f aca="false">IF($A349="","",IF(AT349="Y",BL349&amp;"",AY349&amp;""))</f>
        <v/>
      </c>
      <c r="D349" s="0" t="str">
        <f aca="false">IF($A349="","",IF(AT349="Y",BM349&amp;"",AZ349&amp;""))</f>
        <v/>
      </c>
      <c r="E349" s="0" t="str">
        <f aca="false">IF($A349="","",IF(AT349="Y",BN349&amp;"",BA349&amp;""))</f>
        <v/>
      </c>
      <c r="F349" s="0" t="str">
        <f aca="false">IF($A349="","",IF(AT349="Y",BO349&amp;"",BB349&amp;""))</f>
        <v/>
      </c>
      <c r="G349" s="0" t="str">
        <f aca="false">IF($A349="","",IF(AT349="Y",BP349&amp;"",BC349&amp;""))</f>
        <v/>
      </c>
      <c r="H349" s="0" t="str">
        <f aca="false">IF($A349="","",IF(AT349="Y",BQ349&amp;"",BD349&amp;""))</f>
        <v/>
      </c>
      <c r="I349" s="0" t="str">
        <f aca="false">IF($A349="","",IF(R349="Y","warm-intro",IF(H349="verified","email",IF(C349&lt;&gt;"","linkedin",CA349&amp;""))))</f>
        <v/>
      </c>
      <c r="J349" s="0" t="str">
        <f aca="false">IF($A349="","",IF(CK349="pass",ROUND(N(DO349)+N(DP349)+N(DQ349)+N(DR349)+N(DS349)+N(DT349)+N(DU349)+N(DV349),0),0))</f>
        <v/>
      </c>
      <c r="K349" s="0" t="str">
        <f aca="false">IF($A349="","",IF(CK349&lt;&gt;"pass",BY349&amp;"",BY349&amp;", "&amp;IF(AT349="Y",BX349&amp;"",BK349&amp;"")&amp;BZ349&amp;IF(R349="Y","; known to the founder (+10)","")&amp;"."))</f>
        <v/>
      </c>
      <c r="R349" s="5"/>
      <c r="T349" s="5"/>
      <c r="U349" s="5"/>
      <c r="Y349" s="0" t="str">
        <f aca="false">IF(FA349&lt;&gt;"Y","",COUNTIFS($FA$2:$FA$1000,"Y",$J$2:$J$1000,"&gt;"&amp;J349)+COUNTIFS($FA$2:$FA$1000,"Y",$J$2:$J$1000,J349,$FG$2:$FG$1000,"&lt;"&amp;FG349)+1)</f>
        <v/>
      </c>
      <c r="AB349" s="0" t="str">
        <f aca="false">IF($A349="","",IF(AT349="Y",BW349&amp;"",BJ349&amp;""))</f>
        <v/>
      </c>
      <c r="AC349" s="0" t="str">
        <f aca="false">IF($A349="","",IF(AT349="Y",BR349&amp;"",BE349&amp;""))</f>
        <v/>
      </c>
      <c r="AD349" s="0" t="str">
        <f aca="false">IF($A349="","",IF(AT349="Y",BS349&amp;"",BF349&amp;""))</f>
        <v/>
      </c>
      <c r="AE349" s="0" t="str">
        <f aca="false">IF($A349="","",IF(AT349="Y",BT349&amp;"",BG349&amp;""))</f>
        <v/>
      </c>
      <c r="AF349" s="0" t="str">
        <f aca="false">IF($A349="","",IF(AT349="Y",BU349&amp;"",BH349&amp;""))</f>
        <v/>
      </c>
      <c r="AG349" s="0" t="str">
        <f aca="false">IF($A349="","",IF(AT349="Y",BV349&amp;"",BI349&amp;""))</f>
        <v/>
      </c>
      <c r="AO349" s="5"/>
      <c r="AR349" s="0" t="str">
        <f aca="false">IF($A349="","",IF(AND(CK349="pass",AO349&lt;&gt;"Y",C349&lt;&gt;"",OR(AU349&lt;&gt;"Y",AV349="Y")),"Y","N"))</f>
        <v/>
      </c>
      <c r="AS349" s="0" t="str">
        <f aca="false">IF($A349="","",_xlfn.TEXTJOIN("; ",TRUE(),IF(CK349&lt;&gt;"pass","gated out",""),IF(AO349="Y","on hold: "&amp;AP349,""),IF(C349="","no contact named on an opened page",""),IF(AND(AU349="Y",AV349&lt;&gt;"Y"),"founder review pending (Founder review tab)","")))</f>
        <v/>
      </c>
      <c r="BC349" s="0" t="str">
        <f aca="false">IF($A349="","",IFERROR(INDEX(Enrichment!$A$2:$GZ$2000,MATCH($A349,INDEX(Enrichment!$A$2:$GZ$2000,0,MATCH("row_id",Enrichment!$A$1:$GZ$1,0)),0),MATCH("work_email",Enrichment!$A$1:$GZ$1,0))&amp;"",""))</f>
        <v/>
      </c>
      <c r="BD349" s="0" t="str">
        <f aca="false">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P349" s="0" t="str">
        <f aca="false">IF($A349="","",IFERROR(INDEX(Enrichment!$A$2:$GZ$2000,MATCH($A349,INDEX(Enrichment!$A$2:$GZ$2000,0,MATCH("row_id",Enrichment!$A$1:$GZ$1,0)),0),MATCH("backup_work_email",Enrichment!$A$1:$GZ$1,0))&amp;"",""))</f>
        <v/>
      </c>
      <c r="BQ349" s="0" t="str">
        <f aca="false">IF($A349="","",IF(BP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DU349" s="0" t="str">
        <f aca="false">IF($A349="","",IF(R349="Y",10,0))</f>
        <v/>
      </c>
      <c r="EV349" s="0" t="str">
        <f aca="false">IF($A349="","",IF(ISNUMBER(MATCH(U349,{"queued","contacted","replied","call_booked","call_done","yes_in_principle","materials_sent"},0)),"Y","N"))</f>
        <v/>
      </c>
      <c r="EW349" s="0" t="str">
        <f aca="false">IF($A349="","",IF(OR(T349="Y",U349="do_not_contact",AQ349&amp;""&lt;&gt;""),"Y","N"))</f>
        <v/>
      </c>
      <c r="EX349" s="0" t="str">
        <f aca="false">IF($A349="","",IF(AN349&amp;""&lt;&gt;"",AN349&amp;"",$A349))</f>
        <v/>
      </c>
      <c r="EY349" s="0" t="str">
        <f aca="false">IF($A349="","",IF(COUNTIFS($EX$2:$EX$1000,EX349,$EV$2:$EV$1000,"Y")+COUNTIFS($EX$2:$EX$1000,EX349,$EW$2:$EW$1000,"Y")&gt;0,"Y","N"))</f>
        <v/>
      </c>
      <c r="EZ349" s="0" t="str">
        <f aca="false">IF($A349="","",IF(AND(U349="new",T349="N",EW349="N",AR349="Y",EY349="N"),"Y","N"))</f>
        <v/>
      </c>
      <c r="FA349" s="0" t="str">
        <f aca="false">IF($A349="","",IF(EZ349&lt;&gt;"Y","N",IF(COUNTIFS($EX$2:$EX$1000,EX349,$EZ$2:$EZ$1000,"Y",$J$2:$J$1000,"&gt;"&amp;J349)+COUNTIFS($EX$2:$EX$1000,EX349,$EZ$2:$EZ$1000,"Y",$J$2:$J$1000,J349,$FG$2:$FG$1000,"&lt;"&amp;FG349)=0,"Y","N")))</f>
        <v/>
      </c>
      <c r="FB349" s="0" t="str">
        <f aca="false">IF($A349="","",IF(AND(EZ349="Y",FA349="Y",Y349&amp;""&lt;&gt;""),IF(Y349&lt;=10,"Y","N"),"N"))</f>
        <v/>
      </c>
      <c r="FC349" s="0" t="str">
        <f aca="false">IF(FB349="Y",Y349,"")</f>
        <v/>
      </c>
      <c r="FD349" s="0" t="str">
        <f aca="false">IF($A349="","",IF(AND(CK349="pass",AU349="Y",AV349&lt;&gt;"Y",U349="new",EW349="N"),"Y","N"))</f>
        <v/>
      </c>
      <c r="FE349" s="0" t="str">
        <f aca="false">IF(FD349&lt;&gt;"Y","",IF(COUNTIFS($FD$2:$FD$1000,"Y",$J$2:$J$1000,"&gt;"&amp;J349)+COUNTIFS($FD$2:$FD$1000,"Y",$J$2:$J$1000,J349,$FG$2:$FG$1000,"&lt;"&amp;FG349)+1&lt;=30,COUNTIFS($FD$2:$FD$1000,"Y",$J$2:$J$1000,"&gt;"&amp;J349)+COUNTIFS($FD$2:$FD$1000,"Y",$J$2:$J$1000,J349,$FG$2:$FG$1000,"&lt;"&amp;FG349)+1,""))</f>
        <v/>
      </c>
      <c r="FF349" s="0" t="str">
        <f aca="false">IF(AND(_xlfn.ISFORMULA(C349),_xlfn.ISFORMULA(J349)),"Y","N")</f>
        <v>Y</v>
      </c>
      <c r="FG349" s="0" t="n">
        <f aca="false">ROW()-1</f>
        <v>348</v>
      </c>
    </row>
    <row r="350" customFormat="false" ht="15" hidden="false" customHeight="false" outlineLevel="0" collapsed="false">
      <c r="C350" s="0" t="str">
        <f aca="false">IF($A350="","",IF(AT350="Y",BL350&amp;"",AY350&amp;""))</f>
        <v/>
      </c>
      <c r="D350" s="0" t="str">
        <f aca="false">IF($A350="","",IF(AT350="Y",BM350&amp;"",AZ350&amp;""))</f>
        <v/>
      </c>
      <c r="E350" s="0" t="str">
        <f aca="false">IF($A350="","",IF(AT350="Y",BN350&amp;"",BA350&amp;""))</f>
        <v/>
      </c>
      <c r="F350" s="0" t="str">
        <f aca="false">IF($A350="","",IF(AT350="Y",BO350&amp;"",BB350&amp;""))</f>
        <v/>
      </c>
      <c r="G350" s="0" t="str">
        <f aca="false">IF($A350="","",IF(AT350="Y",BP350&amp;"",BC350&amp;""))</f>
        <v/>
      </c>
      <c r="H350" s="0" t="str">
        <f aca="false">IF($A350="","",IF(AT350="Y",BQ350&amp;"",BD350&amp;""))</f>
        <v/>
      </c>
      <c r="I350" s="0" t="str">
        <f aca="false">IF($A350="","",IF(R350="Y","warm-intro",IF(H350="verified","email",IF(C350&lt;&gt;"","linkedin",CA350&amp;""))))</f>
        <v/>
      </c>
      <c r="J350" s="0" t="str">
        <f aca="false">IF($A350="","",IF(CK350="pass",ROUND(N(DO350)+N(DP350)+N(DQ350)+N(DR350)+N(DS350)+N(DT350)+N(DU350)+N(DV350),0),0))</f>
        <v/>
      </c>
      <c r="K350" s="0" t="str">
        <f aca="false">IF($A350="","",IF(CK350&lt;&gt;"pass",BY350&amp;"",BY350&amp;", "&amp;IF(AT350="Y",BX350&amp;"",BK350&amp;"")&amp;BZ350&amp;IF(R350="Y","; known to the founder (+10)","")&amp;"."))</f>
        <v/>
      </c>
      <c r="R350" s="5"/>
      <c r="T350" s="5"/>
      <c r="U350" s="5"/>
      <c r="Y350" s="0" t="str">
        <f aca="false">IF(FA350&lt;&gt;"Y","",COUNTIFS($FA$2:$FA$1000,"Y",$J$2:$J$1000,"&gt;"&amp;J350)+COUNTIFS($FA$2:$FA$1000,"Y",$J$2:$J$1000,J350,$FG$2:$FG$1000,"&lt;"&amp;FG350)+1)</f>
        <v/>
      </c>
      <c r="AB350" s="0" t="str">
        <f aca="false">IF($A350="","",IF(AT350="Y",BW350&amp;"",BJ350&amp;""))</f>
        <v/>
      </c>
      <c r="AC350" s="0" t="str">
        <f aca="false">IF($A350="","",IF(AT350="Y",BR350&amp;"",BE350&amp;""))</f>
        <v/>
      </c>
      <c r="AD350" s="0" t="str">
        <f aca="false">IF($A350="","",IF(AT350="Y",BS350&amp;"",BF350&amp;""))</f>
        <v/>
      </c>
      <c r="AE350" s="0" t="str">
        <f aca="false">IF($A350="","",IF(AT350="Y",BT350&amp;"",BG350&amp;""))</f>
        <v/>
      </c>
      <c r="AF350" s="0" t="str">
        <f aca="false">IF($A350="","",IF(AT350="Y",BU350&amp;"",BH350&amp;""))</f>
        <v/>
      </c>
      <c r="AG350" s="0" t="str">
        <f aca="false">IF($A350="","",IF(AT350="Y",BV350&amp;"",BI350&amp;""))</f>
        <v/>
      </c>
      <c r="AO350" s="5"/>
      <c r="AR350" s="0" t="str">
        <f aca="false">IF($A350="","",IF(AND(CK350="pass",AO350&lt;&gt;"Y",C350&lt;&gt;"",OR(AU350&lt;&gt;"Y",AV350="Y")),"Y","N"))</f>
        <v/>
      </c>
      <c r="AS350" s="0" t="str">
        <f aca="false">IF($A350="","",_xlfn.TEXTJOIN("; ",TRUE(),IF(CK350&lt;&gt;"pass","gated out",""),IF(AO350="Y","on hold: "&amp;AP350,""),IF(C350="","no contact named on an opened page",""),IF(AND(AU350="Y",AV350&lt;&gt;"Y"),"founder review pending (Founder review tab)","")))</f>
        <v/>
      </c>
      <c r="BC350" s="0" t="str">
        <f aca="false">IF($A350="","",IFERROR(INDEX(Enrichment!$A$2:$GZ$2000,MATCH($A350,INDEX(Enrichment!$A$2:$GZ$2000,0,MATCH("row_id",Enrichment!$A$1:$GZ$1,0)),0),MATCH("work_email",Enrichment!$A$1:$GZ$1,0))&amp;"",""))</f>
        <v/>
      </c>
      <c r="BD350" s="0" t="str">
        <f aca="false">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P350" s="0" t="str">
        <f aca="false">IF($A350="","",IFERROR(INDEX(Enrichment!$A$2:$GZ$2000,MATCH($A350,INDEX(Enrichment!$A$2:$GZ$2000,0,MATCH("row_id",Enrichment!$A$1:$GZ$1,0)),0),MATCH("backup_work_email",Enrichment!$A$1:$GZ$1,0))&amp;"",""))</f>
        <v/>
      </c>
      <c r="BQ350" s="0" t="str">
        <f aca="false">IF($A350="","",IF(BP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DU350" s="0" t="str">
        <f aca="false">IF($A350="","",IF(R350="Y",10,0))</f>
        <v/>
      </c>
      <c r="EV350" s="0" t="str">
        <f aca="false">IF($A350="","",IF(ISNUMBER(MATCH(U350,{"queued","contacted","replied","call_booked","call_done","yes_in_principle","materials_sent"},0)),"Y","N"))</f>
        <v/>
      </c>
      <c r="EW350" s="0" t="str">
        <f aca="false">IF($A350="","",IF(OR(T350="Y",U350="do_not_contact",AQ350&amp;""&lt;&gt;""),"Y","N"))</f>
        <v/>
      </c>
      <c r="EX350" s="0" t="str">
        <f aca="false">IF($A350="","",IF(AN350&amp;""&lt;&gt;"",AN350&amp;"",$A350))</f>
        <v/>
      </c>
      <c r="EY350" s="0" t="str">
        <f aca="false">IF($A350="","",IF(COUNTIFS($EX$2:$EX$1000,EX350,$EV$2:$EV$1000,"Y")+COUNTIFS($EX$2:$EX$1000,EX350,$EW$2:$EW$1000,"Y")&gt;0,"Y","N"))</f>
        <v/>
      </c>
      <c r="EZ350" s="0" t="str">
        <f aca="false">IF($A350="","",IF(AND(U350="new",T350="N",EW350="N",AR350="Y",EY350="N"),"Y","N"))</f>
        <v/>
      </c>
      <c r="FA350" s="0" t="str">
        <f aca="false">IF($A350="","",IF(EZ350&lt;&gt;"Y","N",IF(COUNTIFS($EX$2:$EX$1000,EX350,$EZ$2:$EZ$1000,"Y",$J$2:$J$1000,"&gt;"&amp;J350)+COUNTIFS($EX$2:$EX$1000,EX350,$EZ$2:$EZ$1000,"Y",$J$2:$J$1000,J350,$FG$2:$FG$1000,"&lt;"&amp;FG350)=0,"Y","N")))</f>
        <v/>
      </c>
      <c r="FB350" s="0" t="str">
        <f aca="false">IF($A350="","",IF(AND(EZ350="Y",FA350="Y",Y350&amp;""&lt;&gt;""),IF(Y350&lt;=10,"Y","N"),"N"))</f>
        <v/>
      </c>
      <c r="FC350" s="0" t="str">
        <f aca="false">IF(FB350="Y",Y350,"")</f>
        <v/>
      </c>
      <c r="FD350" s="0" t="str">
        <f aca="false">IF($A350="","",IF(AND(CK350="pass",AU350="Y",AV350&lt;&gt;"Y",U350="new",EW350="N"),"Y","N"))</f>
        <v/>
      </c>
      <c r="FE350" s="0" t="str">
        <f aca="false">IF(FD350&lt;&gt;"Y","",IF(COUNTIFS($FD$2:$FD$1000,"Y",$J$2:$J$1000,"&gt;"&amp;J350)+COUNTIFS($FD$2:$FD$1000,"Y",$J$2:$J$1000,J350,$FG$2:$FG$1000,"&lt;"&amp;FG350)+1&lt;=30,COUNTIFS($FD$2:$FD$1000,"Y",$J$2:$J$1000,"&gt;"&amp;J350)+COUNTIFS($FD$2:$FD$1000,"Y",$J$2:$J$1000,J350,$FG$2:$FG$1000,"&lt;"&amp;FG350)+1,""))</f>
        <v/>
      </c>
      <c r="FF350" s="0" t="str">
        <f aca="false">IF(AND(_xlfn.ISFORMULA(C350),_xlfn.ISFORMULA(J350)),"Y","N")</f>
        <v>Y</v>
      </c>
      <c r="FG350" s="0" t="n">
        <f aca="false">ROW()-1</f>
        <v>349</v>
      </c>
    </row>
    <row r="351" customFormat="false" ht="15" hidden="false" customHeight="false" outlineLevel="0" collapsed="false">
      <c r="C351" s="0" t="str">
        <f aca="false">IF($A351="","",IF(AT351="Y",BL351&amp;"",AY351&amp;""))</f>
        <v/>
      </c>
      <c r="D351" s="0" t="str">
        <f aca="false">IF($A351="","",IF(AT351="Y",BM351&amp;"",AZ351&amp;""))</f>
        <v/>
      </c>
      <c r="E351" s="0" t="str">
        <f aca="false">IF($A351="","",IF(AT351="Y",BN351&amp;"",BA351&amp;""))</f>
        <v/>
      </c>
      <c r="F351" s="0" t="str">
        <f aca="false">IF($A351="","",IF(AT351="Y",BO351&amp;"",BB351&amp;""))</f>
        <v/>
      </c>
      <c r="G351" s="0" t="str">
        <f aca="false">IF($A351="","",IF(AT351="Y",BP351&amp;"",BC351&amp;""))</f>
        <v/>
      </c>
      <c r="H351" s="0" t="str">
        <f aca="false">IF($A351="","",IF(AT351="Y",BQ351&amp;"",BD351&amp;""))</f>
        <v/>
      </c>
      <c r="I351" s="0" t="str">
        <f aca="false">IF($A351="","",IF(R351="Y","warm-intro",IF(H351="verified","email",IF(C351&lt;&gt;"","linkedin",CA351&amp;""))))</f>
        <v/>
      </c>
      <c r="J351" s="0" t="str">
        <f aca="false">IF($A351="","",IF(CK351="pass",ROUND(N(DO351)+N(DP351)+N(DQ351)+N(DR351)+N(DS351)+N(DT351)+N(DU351)+N(DV351),0),0))</f>
        <v/>
      </c>
      <c r="K351" s="0" t="str">
        <f aca="false">IF($A351="","",IF(CK351&lt;&gt;"pass",BY351&amp;"",BY351&amp;", "&amp;IF(AT351="Y",BX351&amp;"",BK351&amp;"")&amp;BZ351&amp;IF(R351="Y","; known to the founder (+10)","")&amp;"."))</f>
        <v/>
      </c>
      <c r="R351" s="5"/>
      <c r="T351" s="5"/>
      <c r="U351" s="5"/>
      <c r="Y351" s="0" t="str">
        <f aca="false">IF(FA351&lt;&gt;"Y","",COUNTIFS($FA$2:$FA$1000,"Y",$J$2:$J$1000,"&gt;"&amp;J351)+COUNTIFS($FA$2:$FA$1000,"Y",$J$2:$J$1000,J351,$FG$2:$FG$1000,"&lt;"&amp;FG351)+1)</f>
        <v/>
      </c>
      <c r="AB351" s="0" t="str">
        <f aca="false">IF($A351="","",IF(AT351="Y",BW351&amp;"",BJ351&amp;""))</f>
        <v/>
      </c>
      <c r="AC351" s="0" t="str">
        <f aca="false">IF($A351="","",IF(AT351="Y",BR351&amp;"",BE351&amp;""))</f>
        <v/>
      </c>
      <c r="AD351" s="0" t="str">
        <f aca="false">IF($A351="","",IF(AT351="Y",BS351&amp;"",BF351&amp;""))</f>
        <v/>
      </c>
      <c r="AE351" s="0" t="str">
        <f aca="false">IF($A351="","",IF(AT351="Y",BT351&amp;"",BG351&amp;""))</f>
        <v/>
      </c>
      <c r="AF351" s="0" t="str">
        <f aca="false">IF($A351="","",IF(AT351="Y",BU351&amp;"",BH351&amp;""))</f>
        <v/>
      </c>
      <c r="AG351" s="0" t="str">
        <f aca="false">IF($A351="","",IF(AT351="Y",BV351&amp;"",BI351&amp;""))</f>
        <v/>
      </c>
      <c r="AO351" s="5"/>
      <c r="AR351" s="0" t="str">
        <f aca="false">IF($A351="","",IF(AND(CK351="pass",AO351&lt;&gt;"Y",C351&lt;&gt;"",OR(AU351&lt;&gt;"Y",AV351="Y")),"Y","N"))</f>
        <v/>
      </c>
      <c r="AS351" s="0" t="str">
        <f aca="false">IF($A351="","",_xlfn.TEXTJOIN("; ",TRUE(),IF(CK351&lt;&gt;"pass","gated out",""),IF(AO351="Y","on hold: "&amp;AP351,""),IF(C351="","no contact named on an opened page",""),IF(AND(AU351="Y",AV351&lt;&gt;"Y"),"founder review pending (Founder review tab)","")))</f>
        <v/>
      </c>
      <c r="BC351" s="0" t="str">
        <f aca="false">IF($A351="","",IFERROR(INDEX(Enrichment!$A$2:$GZ$2000,MATCH($A351,INDEX(Enrichment!$A$2:$GZ$2000,0,MATCH("row_id",Enrichment!$A$1:$GZ$1,0)),0),MATCH("work_email",Enrichment!$A$1:$GZ$1,0))&amp;"",""))</f>
        <v/>
      </c>
      <c r="BD351" s="0" t="str">
        <f aca="false">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P351" s="0" t="str">
        <f aca="false">IF($A351="","",IFERROR(INDEX(Enrichment!$A$2:$GZ$2000,MATCH($A351,INDEX(Enrichment!$A$2:$GZ$2000,0,MATCH("row_id",Enrichment!$A$1:$GZ$1,0)),0),MATCH("backup_work_email",Enrichment!$A$1:$GZ$1,0))&amp;"",""))</f>
        <v/>
      </c>
      <c r="BQ351" s="0" t="str">
        <f aca="false">IF($A351="","",IF(BP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DU351" s="0" t="str">
        <f aca="false">IF($A351="","",IF(R351="Y",10,0))</f>
        <v/>
      </c>
      <c r="EV351" s="0" t="str">
        <f aca="false">IF($A351="","",IF(ISNUMBER(MATCH(U351,{"queued","contacted","replied","call_booked","call_done","yes_in_principle","materials_sent"},0)),"Y","N"))</f>
        <v/>
      </c>
      <c r="EW351" s="0" t="str">
        <f aca="false">IF($A351="","",IF(OR(T351="Y",U351="do_not_contact",AQ351&amp;""&lt;&gt;""),"Y","N"))</f>
        <v/>
      </c>
      <c r="EX351" s="0" t="str">
        <f aca="false">IF($A351="","",IF(AN351&amp;""&lt;&gt;"",AN351&amp;"",$A351))</f>
        <v/>
      </c>
      <c r="EY351" s="0" t="str">
        <f aca="false">IF($A351="","",IF(COUNTIFS($EX$2:$EX$1000,EX351,$EV$2:$EV$1000,"Y")+COUNTIFS($EX$2:$EX$1000,EX351,$EW$2:$EW$1000,"Y")&gt;0,"Y","N"))</f>
        <v/>
      </c>
      <c r="EZ351" s="0" t="str">
        <f aca="false">IF($A351="","",IF(AND(U351="new",T351="N",EW351="N",AR351="Y",EY351="N"),"Y","N"))</f>
        <v/>
      </c>
      <c r="FA351" s="0" t="str">
        <f aca="false">IF($A351="","",IF(EZ351&lt;&gt;"Y","N",IF(COUNTIFS($EX$2:$EX$1000,EX351,$EZ$2:$EZ$1000,"Y",$J$2:$J$1000,"&gt;"&amp;J351)+COUNTIFS($EX$2:$EX$1000,EX351,$EZ$2:$EZ$1000,"Y",$J$2:$J$1000,J351,$FG$2:$FG$1000,"&lt;"&amp;FG351)=0,"Y","N")))</f>
        <v/>
      </c>
      <c r="FB351" s="0" t="str">
        <f aca="false">IF($A351="","",IF(AND(EZ351="Y",FA351="Y",Y351&amp;""&lt;&gt;""),IF(Y351&lt;=10,"Y","N"),"N"))</f>
        <v/>
      </c>
      <c r="FC351" s="0" t="str">
        <f aca="false">IF(FB351="Y",Y351,"")</f>
        <v/>
      </c>
      <c r="FD351" s="0" t="str">
        <f aca="false">IF($A351="","",IF(AND(CK351="pass",AU351="Y",AV351&lt;&gt;"Y",U351="new",EW351="N"),"Y","N"))</f>
        <v/>
      </c>
      <c r="FE351" s="0" t="str">
        <f aca="false">IF(FD351&lt;&gt;"Y","",IF(COUNTIFS($FD$2:$FD$1000,"Y",$J$2:$J$1000,"&gt;"&amp;J351)+COUNTIFS($FD$2:$FD$1000,"Y",$J$2:$J$1000,J351,$FG$2:$FG$1000,"&lt;"&amp;FG351)+1&lt;=30,COUNTIFS($FD$2:$FD$1000,"Y",$J$2:$J$1000,"&gt;"&amp;J351)+COUNTIFS($FD$2:$FD$1000,"Y",$J$2:$J$1000,J351,$FG$2:$FG$1000,"&lt;"&amp;FG351)+1,""))</f>
        <v/>
      </c>
      <c r="FF351" s="0" t="str">
        <f aca="false">IF(AND(_xlfn.ISFORMULA(C351),_xlfn.ISFORMULA(J351)),"Y","N")</f>
        <v>Y</v>
      </c>
      <c r="FG351" s="0" t="n">
        <f aca="false">ROW()-1</f>
        <v>350</v>
      </c>
    </row>
    <row r="352" customFormat="false" ht="15" hidden="false" customHeight="false" outlineLevel="0" collapsed="false">
      <c r="C352" s="0" t="str">
        <f aca="false">IF($A352="","",IF(AT352="Y",BL352&amp;"",AY352&amp;""))</f>
        <v/>
      </c>
      <c r="D352" s="0" t="str">
        <f aca="false">IF($A352="","",IF(AT352="Y",BM352&amp;"",AZ352&amp;""))</f>
        <v/>
      </c>
      <c r="E352" s="0" t="str">
        <f aca="false">IF($A352="","",IF(AT352="Y",BN352&amp;"",BA352&amp;""))</f>
        <v/>
      </c>
      <c r="F352" s="0" t="str">
        <f aca="false">IF($A352="","",IF(AT352="Y",BO352&amp;"",BB352&amp;""))</f>
        <v/>
      </c>
      <c r="G352" s="0" t="str">
        <f aca="false">IF($A352="","",IF(AT352="Y",BP352&amp;"",BC352&amp;""))</f>
        <v/>
      </c>
      <c r="H352" s="0" t="str">
        <f aca="false">IF($A352="","",IF(AT352="Y",BQ352&amp;"",BD352&amp;""))</f>
        <v/>
      </c>
      <c r="I352" s="0" t="str">
        <f aca="false">IF($A352="","",IF(R352="Y","warm-intro",IF(H352="verified","email",IF(C352&lt;&gt;"","linkedin",CA352&amp;""))))</f>
        <v/>
      </c>
      <c r="J352" s="0" t="str">
        <f aca="false">IF($A352="","",IF(CK352="pass",ROUND(N(DO352)+N(DP352)+N(DQ352)+N(DR352)+N(DS352)+N(DT352)+N(DU352)+N(DV352),0),0))</f>
        <v/>
      </c>
      <c r="K352" s="0" t="str">
        <f aca="false">IF($A352="","",IF(CK352&lt;&gt;"pass",BY352&amp;"",BY352&amp;", "&amp;IF(AT352="Y",BX352&amp;"",BK352&amp;"")&amp;BZ352&amp;IF(R352="Y","; known to the founder (+10)","")&amp;"."))</f>
        <v/>
      </c>
      <c r="R352" s="5"/>
      <c r="T352" s="5"/>
      <c r="U352" s="5"/>
      <c r="Y352" s="0" t="str">
        <f aca="false">IF(FA352&lt;&gt;"Y","",COUNTIFS($FA$2:$FA$1000,"Y",$J$2:$J$1000,"&gt;"&amp;J352)+COUNTIFS($FA$2:$FA$1000,"Y",$J$2:$J$1000,J352,$FG$2:$FG$1000,"&lt;"&amp;FG352)+1)</f>
        <v/>
      </c>
      <c r="AB352" s="0" t="str">
        <f aca="false">IF($A352="","",IF(AT352="Y",BW352&amp;"",BJ352&amp;""))</f>
        <v/>
      </c>
      <c r="AC352" s="0" t="str">
        <f aca="false">IF($A352="","",IF(AT352="Y",BR352&amp;"",BE352&amp;""))</f>
        <v/>
      </c>
      <c r="AD352" s="0" t="str">
        <f aca="false">IF($A352="","",IF(AT352="Y",BS352&amp;"",BF352&amp;""))</f>
        <v/>
      </c>
      <c r="AE352" s="0" t="str">
        <f aca="false">IF($A352="","",IF(AT352="Y",BT352&amp;"",BG352&amp;""))</f>
        <v/>
      </c>
      <c r="AF352" s="0" t="str">
        <f aca="false">IF($A352="","",IF(AT352="Y",BU352&amp;"",BH352&amp;""))</f>
        <v/>
      </c>
      <c r="AG352" s="0" t="str">
        <f aca="false">IF($A352="","",IF(AT352="Y",BV352&amp;"",BI352&amp;""))</f>
        <v/>
      </c>
      <c r="AO352" s="5"/>
      <c r="AR352" s="0" t="str">
        <f aca="false">IF($A352="","",IF(AND(CK352="pass",AO352&lt;&gt;"Y",C352&lt;&gt;"",OR(AU352&lt;&gt;"Y",AV352="Y")),"Y","N"))</f>
        <v/>
      </c>
      <c r="AS352" s="0" t="str">
        <f aca="false">IF($A352="","",_xlfn.TEXTJOIN("; ",TRUE(),IF(CK352&lt;&gt;"pass","gated out",""),IF(AO352="Y","on hold: "&amp;AP352,""),IF(C352="","no contact named on an opened page",""),IF(AND(AU352="Y",AV352&lt;&gt;"Y"),"founder review pending (Founder review tab)","")))</f>
        <v/>
      </c>
      <c r="BC352" s="0" t="str">
        <f aca="false">IF($A352="","",IFERROR(INDEX(Enrichment!$A$2:$GZ$2000,MATCH($A352,INDEX(Enrichment!$A$2:$GZ$2000,0,MATCH("row_id",Enrichment!$A$1:$GZ$1,0)),0),MATCH("work_email",Enrichment!$A$1:$GZ$1,0))&amp;"",""))</f>
        <v/>
      </c>
      <c r="BD352" s="0" t="str">
        <f aca="false">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P352" s="0" t="str">
        <f aca="false">IF($A352="","",IFERROR(INDEX(Enrichment!$A$2:$GZ$2000,MATCH($A352,INDEX(Enrichment!$A$2:$GZ$2000,0,MATCH("row_id",Enrichment!$A$1:$GZ$1,0)),0),MATCH("backup_work_email",Enrichment!$A$1:$GZ$1,0))&amp;"",""))</f>
        <v/>
      </c>
      <c r="BQ352" s="0" t="str">
        <f aca="false">IF($A352="","",IF(BP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DU352" s="0" t="str">
        <f aca="false">IF($A352="","",IF(R352="Y",10,0))</f>
        <v/>
      </c>
      <c r="EV352" s="0" t="str">
        <f aca="false">IF($A352="","",IF(ISNUMBER(MATCH(U352,{"queued","contacted","replied","call_booked","call_done","yes_in_principle","materials_sent"},0)),"Y","N"))</f>
        <v/>
      </c>
      <c r="EW352" s="0" t="str">
        <f aca="false">IF($A352="","",IF(OR(T352="Y",U352="do_not_contact",AQ352&amp;""&lt;&gt;""),"Y","N"))</f>
        <v/>
      </c>
      <c r="EX352" s="0" t="str">
        <f aca="false">IF($A352="","",IF(AN352&amp;""&lt;&gt;"",AN352&amp;"",$A352))</f>
        <v/>
      </c>
      <c r="EY352" s="0" t="str">
        <f aca="false">IF($A352="","",IF(COUNTIFS($EX$2:$EX$1000,EX352,$EV$2:$EV$1000,"Y")+COUNTIFS($EX$2:$EX$1000,EX352,$EW$2:$EW$1000,"Y")&gt;0,"Y","N"))</f>
        <v/>
      </c>
      <c r="EZ352" s="0" t="str">
        <f aca="false">IF($A352="","",IF(AND(U352="new",T352="N",EW352="N",AR352="Y",EY352="N"),"Y","N"))</f>
        <v/>
      </c>
      <c r="FA352" s="0" t="str">
        <f aca="false">IF($A352="","",IF(EZ352&lt;&gt;"Y","N",IF(COUNTIFS($EX$2:$EX$1000,EX352,$EZ$2:$EZ$1000,"Y",$J$2:$J$1000,"&gt;"&amp;J352)+COUNTIFS($EX$2:$EX$1000,EX352,$EZ$2:$EZ$1000,"Y",$J$2:$J$1000,J352,$FG$2:$FG$1000,"&lt;"&amp;FG352)=0,"Y","N")))</f>
        <v/>
      </c>
      <c r="FB352" s="0" t="str">
        <f aca="false">IF($A352="","",IF(AND(EZ352="Y",FA352="Y",Y352&amp;""&lt;&gt;""),IF(Y352&lt;=10,"Y","N"),"N"))</f>
        <v/>
      </c>
      <c r="FC352" s="0" t="str">
        <f aca="false">IF(FB352="Y",Y352,"")</f>
        <v/>
      </c>
      <c r="FD352" s="0" t="str">
        <f aca="false">IF($A352="","",IF(AND(CK352="pass",AU352="Y",AV352&lt;&gt;"Y",U352="new",EW352="N"),"Y","N"))</f>
        <v/>
      </c>
      <c r="FE352" s="0" t="str">
        <f aca="false">IF(FD352&lt;&gt;"Y","",IF(COUNTIFS($FD$2:$FD$1000,"Y",$J$2:$J$1000,"&gt;"&amp;J352)+COUNTIFS($FD$2:$FD$1000,"Y",$J$2:$J$1000,J352,$FG$2:$FG$1000,"&lt;"&amp;FG352)+1&lt;=30,COUNTIFS($FD$2:$FD$1000,"Y",$J$2:$J$1000,"&gt;"&amp;J352)+COUNTIFS($FD$2:$FD$1000,"Y",$J$2:$J$1000,J352,$FG$2:$FG$1000,"&lt;"&amp;FG352)+1,""))</f>
        <v/>
      </c>
      <c r="FF352" s="0" t="str">
        <f aca="false">IF(AND(_xlfn.ISFORMULA(C352),_xlfn.ISFORMULA(J352)),"Y","N")</f>
        <v>Y</v>
      </c>
      <c r="FG352" s="0" t="n">
        <f aca="false">ROW()-1</f>
        <v>351</v>
      </c>
    </row>
    <row r="353" customFormat="false" ht="15" hidden="false" customHeight="false" outlineLevel="0" collapsed="false">
      <c r="C353" s="0" t="str">
        <f aca="false">IF($A353="","",IF(AT353="Y",BL353&amp;"",AY353&amp;""))</f>
        <v/>
      </c>
      <c r="D353" s="0" t="str">
        <f aca="false">IF($A353="","",IF(AT353="Y",BM353&amp;"",AZ353&amp;""))</f>
        <v/>
      </c>
      <c r="E353" s="0" t="str">
        <f aca="false">IF($A353="","",IF(AT353="Y",BN353&amp;"",BA353&amp;""))</f>
        <v/>
      </c>
      <c r="F353" s="0" t="str">
        <f aca="false">IF($A353="","",IF(AT353="Y",BO353&amp;"",BB353&amp;""))</f>
        <v/>
      </c>
      <c r="G353" s="0" t="str">
        <f aca="false">IF($A353="","",IF(AT353="Y",BP353&amp;"",BC353&amp;""))</f>
        <v/>
      </c>
      <c r="H353" s="0" t="str">
        <f aca="false">IF($A353="","",IF(AT353="Y",BQ353&amp;"",BD353&amp;""))</f>
        <v/>
      </c>
      <c r="I353" s="0" t="str">
        <f aca="false">IF($A353="","",IF(R353="Y","warm-intro",IF(H353="verified","email",IF(C353&lt;&gt;"","linkedin",CA353&amp;""))))</f>
        <v/>
      </c>
      <c r="J353" s="0" t="str">
        <f aca="false">IF($A353="","",IF(CK353="pass",ROUND(N(DO353)+N(DP353)+N(DQ353)+N(DR353)+N(DS353)+N(DT353)+N(DU353)+N(DV353),0),0))</f>
        <v/>
      </c>
      <c r="K353" s="0" t="str">
        <f aca="false">IF($A353="","",IF(CK353&lt;&gt;"pass",BY353&amp;"",BY353&amp;", "&amp;IF(AT353="Y",BX353&amp;"",BK353&amp;"")&amp;BZ353&amp;IF(R353="Y","; known to the founder (+10)","")&amp;"."))</f>
        <v/>
      </c>
      <c r="R353" s="5"/>
      <c r="T353" s="5"/>
      <c r="U353" s="5"/>
      <c r="Y353" s="0" t="str">
        <f aca="false">IF(FA353&lt;&gt;"Y","",COUNTIFS($FA$2:$FA$1000,"Y",$J$2:$J$1000,"&gt;"&amp;J353)+COUNTIFS($FA$2:$FA$1000,"Y",$J$2:$J$1000,J353,$FG$2:$FG$1000,"&lt;"&amp;FG353)+1)</f>
        <v/>
      </c>
      <c r="AB353" s="0" t="str">
        <f aca="false">IF($A353="","",IF(AT353="Y",BW353&amp;"",BJ353&amp;""))</f>
        <v/>
      </c>
      <c r="AC353" s="0" t="str">
        <f aca="false">IF($A353="","",IF(AT353="Y",BR353&amp;"",BE353&amp;""))</f>
        <v/>
      </c>
      <c r="AD353" s="0" t="str">
        <f aca="false">IF($A353="","",IF(AT353="Y",BS353&amp;"",BF353&amp;""))</f>
        <v/>
      </c>
      <c r="AE353" s="0" t="str">
        <f aca="false">IF($A353="","",IF(AT353="Y",BT353&amp;"",BG353&amp;""))</f>
        <v/>
      </c>
      <c r="AF353" s="0" t="str">
        <f aca="false">IF($A353="","",IF(AT353="Y",BU353&amp;"",BH353&amp;""))</f>
        <v/>
      </c>
      <c r="AG353" s="0" t="str">
        <f aca="false">IF($A353="","",IF(AT353="Y",BV353&amp;"",BI353&amp;""))</f>
        <v/>
      </c>
      <c r="AO353" s="5"/>
      <c r="AR353" s="0" t="str">
        <f aca="false">IF($A353="","",IF(AND(CK353="pass",AO353&lt;&gt;"Y",C353&lt;&gt;"",OR(AU353&lt;&gt;"Y",AV353="Y")),"Y","N"))</f>
        <v/>
      </c>
      <c r="AS353" s="0" t="str">
        <f aca="false">IF($A353="","",_xlfn.TEXTJOIN("; ",TRUE(),IF(CK353&lt;&gt;"pass","gated out",""),IF(AO353="Y","on hold: "&amp;AP353,""),IF(C353="","no contact named on an opened page",""),IF(AND(AU353="Y",AV353&lt;&gt;"Y"),"founder review pending (Founder review tab)","")))</f>
        <v/>
      </c>
      <c r="BC353" s="0" t="str">
        <f aca="false">IF($A353="","",IFERROR(INDEX(Enrichment!$A$2:$GZ$2000,MATCH($A353,INDEX(Enrichment!$A$2:$GZ$2000,0,MATCH("row_id",Enrichment!$A$1:$GZ$1,0)),0),MATCH("work_email",Enrichment!$A$1:$GZ$1,0))&amp;"",""))</f>
        <v/>
      </c>
      <c r="BD353" s="0" t="str">
        <f aca="false">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P353" s="0" t="str">
        <f aca="false">IF($A353="","",IFERROR(INDEX(Enrichment!$A$2:$GZ$2000,MATCH($A353,INDEX(Enrichment!$A$2:$GZ$2000,0,MATCH("row_id",Enrichment!$A$1:$GZ$1,0)),0),MATCH("backup_work_email",Enrichment!$A$1:$GZ$1,0))&amp;"",""))</f>
        <v/>
      </c>
      <c r="BQ353" s="0" t="str">
        <f aca="false">IF($A353="","",IF(BP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DU353" s="0" t="str">
        <f aca="false">IF($A353="","",IF(R353="Y",10,0))</f>
        <v/>
      </c>
      <c r="EV353" s="0" t="str">
        <f aca="false">IF($A353="","",IF(ISNUMBER(MATCH(U353,{"queued","contacted","replied","call_booked","call_done","yes_in_principle","materials_sent"},0)),"Y","N"))</f>
        <v/>
      </c>
      <c r="EW353" s="0" t="str">
        <f aca="false">IF($A353="","",IF(OR(T353="Y",U353="do_not_contact",AQ353&amp;""&lt;&gt;""),"Y","N"))</f>
        <v/>
      </c>
      <c r="EX353" s="0" t="str">
        <f aca="false">IF($A353="","",IF(AN353&amp;""&lt;&gt;"",AN353&amp;"",$A353))</f>
        <v/>
      </c>
      <c r="EY353" s="0" t="str">
        <f aca="false">IF($A353="","",IF(COUNTIFS($EX$2:$EX$1000,EX353,$EV$2:$EV$1000,"Y")+COUNTIFS($EX$2:$EX$1000,EX353,$EW$2:$EW$1000,"Y")&gt;0,"Y","N"))</f>
        <v/>
      </c>
      <c r="EZ353" s="0" t="str">
        <f aca="false">IF($A353="","",IF(AND(U353="new",T353="N",EW353="N",AR353="Y",EY353="N"),"Y","N"))</f>
        <v/>
      </c>
      <c r="FA353" s="0" t="str">
        <f aca="false">IF($A353="","",IF(EZ353&lt;&gt;"Y","N",IF(COUNTIFS($EX$2:$EX$1000,EX353,$EZ$2:$EZ$1000,"Y",$J$2:$J$1000,"&gt;"&amp;J353)+COUNTIFS($EX$2:$EX$1000,EX353,$EZ$2:$EZ$1000,"Y",$J$2:$J$1000,J353,$FG$2:$FG$1000,"&lt;"&amp;FG353)=0,"Y","N")))</f>
        <v/>
      </c>
      <c r="FB353" s="0" t="str">
        <f aca="false">IF($A353="","",IF(AND(EZ353="Y",FA353="Y",Y353&amp;""&lt;&gt;""),IF(Y353&lt;=10,"Y","N"),"N"))</f>
        <v/>
      </c>
      <c r="FC353" s="0" t="str">
        <f aca="false">IF(FB353="Y",Y353,"")</f>
        <v/>
      </c>
      <c r="FD353" s="0" t="str">
        <f aca="false">IF($A353="","",IF(AND(CK353="pass",AU353="Y",AV353&lt;&gt;"Y",U353="new",EW353="N"),"Y","N"))</f>
        <v/>
      </c>
      <c r="FE353" s="0" t="str">
        <f aca="false">IF(FD353&lt;&gt;"Y","",IF(COUNTIFS($FD$2:$FD$1000,"Y",$J$2:$J$1000,"&gt;"&amp;J353)+COUNTIFS($FD$2:$FD$1000,"Y",$J$2:$J$1000,J353,$FG$2:$FG$1000,"&lt;"&amp;FG353)+1&lt;=30,COUNTIFS($FD$2:$FD$1000,"Y",$J$2:$J$1000,"&gt;"&amp;J353)+COUNTIFS($FD$2:$FD$1000,"Y",$J$2:$J$1000,J353,$FG$2:$FG$1000,"&lt;"&amp;FG353)+1,""))</f>
        <v/>
      </c>
      <c r="FF353" s="0" t="str">
        <f aca="false">IF(AND(_xlfn.ISFORMULA(C353),_xlfn.ISFORMULA(J353)),"Y","N")</f>
        <v>Y</v>
      </c>
      <c r="FG353" s="0" t="n">
        <f aca="false">ROW()-1</f>
        <v>352</v>
      </c>
    </row>
    <row r="354" customFormat="false" ht="15" hidden="false" customHeight="false" outlineLevel="0" collapsed="false">
      <c r="C354" s="0" t="str">
        <f aca="false">IF($A354="","",IF(AT354="Y",BL354&amp;"",AY354&amp;""))</f>
        <v/>
      </c>
      <c r="D354" s="0" t="str">
        <f aca="false">IF($A354="","",IF(AT354="Y",BM354&amp;"",AZ354&amp;""))</f>
        <v/>
      </c>
      <c r="E354" s="0" t="str">
        <f aca="false">IF($A354="","",IF(AT354="Y",BN354&amp;"",BA354&amp;""))</f>
        <v/>
      </c>
      <c r="F354" s="0" t="str">
        <f aca="false">IF($A354="","",IF(AT354="Y",BO354&amp;"",BB354&amp;""))</f>
        <v/>
      </c>
      <c r="G354" s="0" t="str">
        <f aca="false">IF($A354="","",IF(AT354="Y",BP354&amp;"",BC354&amp;""))</f>
        <v/>
      </c>
      <c r="H354" s="0" t="str">
        <f aca="false">IF($A354="","",IF(AT354="Y",BQ354&amp;"",BD354&amp;""))</f>
        <v/>
      </c>
      <c r="I354" s="0" t="str">
        <f aca="false">IF($A354="","",IF(R354="Y","warm-intro",IF(H354="verified","email",IF(C354&lt;&gt;"","linkedin",CA354&amp;""))))</f>
        <v/>
      </c>
      <c r="J354" s="0" t="str">
        <f aca="false">IF($A354="","",IF(CK354="pass",ROUND(N(DO354)+N(DP354)+N(DQ354)+N(DR354)+N(DS354)+N(DT354)+N(DU354)+N(DV354),0),0))</f>
        <v/>
      </c>
      <c r="K354" s="0" t="str">
        <f aca="false">IF($A354="","",IF(CK354&lt;&gt;"pass",BY354&amp;"",BY354&amp;", "&amp;IF(AT354="Y",BX354&amp;"",BK354&amp;"")&amp;BZ354&amp;IF(R354="Y","; known to the founder (+10)","")&amp;"."))</f>
        <v/>
      </c>
      <c r="R354" s="5"/>
      <c r="T354" s="5"/>
      <c r="U354" s="5"/>
      <c r="Y354" s="0" t="str">
        <f aca="false">IF(FA354&lt;&gt;"Y","",COUNTIFS($FA$2:$FA$1000,"Y",$J$2:$J$1000,"&gt;"&amp;J354)+COUNTIFS($FA$2:$FA$1000,"Y",$J$2:$J$1000,J354,$FG$2:$FG$1000,"&lt;"&amp;FG354)+1)</f>
        <v/>
      </c>
      <c r="AB354" s="0" t="str">
        <f aca="false">IF($A354="","",IF(AT354="Y",BW354&amp;"",BJ354&amp;""))</f>
        <v/>
      </c>
      <c r="AC354" s="0" t="str">
        <f aca="false">IF($A354="","",IF(AT354="Y",BR354&amp;"",BE354&amp;""))</f>
        <v/>
      </c>
      <c r="AD354" s="0" t="str">
        <f aca="false">IF($A354="","",IF(AT354="Y",BS354&amp;"",BF354&amp;""))</f>
        <v/>
      </c>
      <c r="AE354" s="0" t="str">
        <f aca="false">IF($A354="","",IF(AT354="Y",BT354&amp;"",BG354&amp;""))</f>
        <v/>
      </c>
      <c r="AF354" s="0" t="str">
        <f aca="false">IF($A354="","",IF(AT354="Y",BU354&amp;"",BH354&amp;""))</f>
        <v/>
      </c>
      <c r="AG354" s="0" t="str">
        <f aca="false">IF($A354="","",IF(AT354="Y",BV354&amp;"",BI354&amp;""))</f>
        <v/>
      </c>
      <c r="AO354" s="5"/>
      <c r="AR354" s="0" t="str">
        <f aca="false">IF($A354="","",IF(AND(CK354="pass",AO354&lt;&gt;"Y",C354&lt;&gt;"",OR(AU354&lt;&gt;"Y",AV354="Y")),"Y","N"))</f>
        <v/>
      </c>
      <c r="AS354" s="0" t="str">
        <f aca="false">IF($A354="","",_xlfn.TEXTJOIN("; ",TRUE(),IF(CK354&lt;&gt;"pass","gated out",""),IF(AO354="Y","on hold: "&amp;AP354,""),IF(C354="","no contact named on an opened page",""),IF(AND(AU354="Y",AV354&lt;&gt;"Y"),"founder review pending (Founder review tab)","")))</f>
        <v/>
      </c>
      <c r="BC354" s="0" t="str">
        <f aca="false">IF($A354="","",IFERROR(INDEX(Enrichment!$A$2:$GZ$2000,MATCH($A354,INDEX(Enrichment!$A$2:$GZ$2000,0,MATCH("row_id",Enrichment!$A$1:$GZ$1,0)),0),MATCH("work_email",Enrichment!$A$1:$GZ$1,0))&amp;"",""))</f>
        <v/>
      </c>
      <c r="BD354" s="0" t="str">
        <f aca="false">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P354" s="0" t="str">
        <f aca="false">IF($A354="","",IFERROR(INDEX(Enrichment!$A$2:$GZ$2000,MATCH($A354,INDEX(Enrichment!$A$2:$GZ$2000,0,MATCH("row_id",Enrichment!$A$1:$GZ$1,0)),0),MATCH("backup_work_email",Enrichment!$A$1:$GZ$1,0))&amp;"",""))</f>
        <v/>
      </c>
      <c r="BQ354" s="0" t="str">
        <f aca="false">IF($A354="","",IF(BP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DU354" s="0" t="str">
        <f aca="false">IF($A354="","",IF(R354="Y",10,0))</f>
        <v/>
      </c>
      <c r="EV354" s="0" t="str">
        <f aca="false">IF($A354="","",IF(ISNUMBER(MATCH(U354,{"queued","contacted","replied","call_booked","call_done","yes_in_principle","materials_sent"},0)),"Y","N"))</f>
        <v/>
      </c>
      <c r="EW354" s="0" t="str">
        <f aca="false">IF($A354="","",IF(OR(T354="Y",U354="do_not_contact",AQ354&amp;""&lt;&gt;""),"Y","N"))</f>
        <v/>
      </c>
      <c r="EX354" s="0" t="str">
        <f aca="false">IF($A354="","",IF(AN354&amp;""&lt;&gt;"",AN354&amp;"",$A354))</f>
        <v/>
      </c>
      <c r="EY354" s="0" t="str">
        <f aca="false">IF($A354="","",IF(COUNTIFS($EX$2:$EX$1000,EX354,$EV$2:$EV$1000,"Y")+COUNTIFS($EX$2:$EX$1000,EX354,$EW$2:$EW$1000,"Y")&gt;0,"Y","N"))</f>
        <v/>
      </c>
      <c r="EZ354" s="0" t="str">
        <f aca="false">IF($A354="","",IF(AND(U354="new",T354="N",EW354="N",AR354="Y",EY354="N"),"Y","N"))</f>
        <v/>
      </c>
      <c r="FA354" s="0" t="str">
        <f aca="false">IF($A354="","",IF(EZ354&lt;&gt;"Y","N",IF(COUNTIFS($EX$2:$EX$1000,EX354,$EZ$2:$EZ$1000,"Y",$J$2:$J$1000,"&gt;"&amp;J354)+COUNTIFS($EX$2:$EX$1000,EX354,$EZ$2:$EZ$1000,"Y",$J$2:$J$1000,J354,$FG$2:$FG$1000,"&lt;"&amp;FG354)=0,"Y","N")))</f>
        <v/>
      </c>
      <c r="FB354" s="0" t="str">
        <f aca="false">IF($A354="","",IF(AND(EZ354="Y",FA354="Y",Y354&amp;""&lt;&gt;""),IF(Y354&lt;=10,"Y","N"),"N"))</f>
        <v/>
      </c>
      <c r="FC354" s="0" t="str">
        <f aca="false">IF(FB354="Y",Y354,"")</f>
        <v/>
      </c>
      <c r="FD354" s="0" t="str">
        <f aca="false">IF($A354="","",IF(AND(CK354="pass",AU354="Y",AV354&lt;&gt;"Y",U354="new",EW354="N"),"Y","N"))</f>
        <v/>
      </c>
      <c r="FE354" s="0" t="str">
        <f aca="false">IF(FD354&lt;&gt;"Y","",IF(COUNTIFS($FD$2:$FD$1000,"Y",$J$2:$J$1000,"&gt;"&amp;J354)+COUNTIFS($FD$2:$FD$1000,"Y",$J$2:$J$1000,J354,$FG$2:$FG$1000,"&lt;"&amp;FG354)+1&lt;=30,COUNTIFS($FD$2:$FD$1000,"Y",$J$2:$J$1000,"&gt;"&amp;J354)+COUNTIFS($FD$2:$FD$1000,"Y",$J$2:$J$1000,J354,$FG$2:$FG$1000,"&lt;"&amp;FG354)+1,""))</f>
        <v/>
      </c>
      <c r="FF354" s="0" t="str">
        <f aca="false">IF(AND(_xlfn.ISFORMULA(C354),_xlfn.ISFORMULA(J354)),"Y","N")</f>
        <v>Y</v>
      </c>
      <c r="FG354" s="0" t="n">
        <f aca="false">ROW()-1</f>
        <v>353</v>
      </c>
    </row>
    <row r="355" customFormat="false" ht="15" hidden="false" customHeight="false" outlineLevel="0" collapsed="false">
      <c r="C355" s="0" t="str">
        <f aca="false">IF($A355="","",IF(AT355="Y",BL355&amp;"",AY355&amp;""))</f>
        <v/>
      </c>
      <c r="D355" s="0" t="str">
        <f aca="false">IF($A355="","",IF(AT355="Y",BM355&amp;"",AZ355&amp;""))</f>
        <v/>
      </c>
      <c r="E355" s="0" t="str">
        <f aca="false">IF($A355="","",IF(AT355="Y",BN355&amp;"",BA355&amp;""))</f>
        <v/>
      </c>
      <c r="F355" s="0" t="str">
        <f aca="false">IF($A355="","",IF(AT355="Y",BO355&amp;"",BB355&amp;""))</f>
        <v/>
      </c>
      <c r="G355" s="0" t="str">
        <f aca="false">IF($A355="","",IF(AT355="Y",BP355&amp;"",BC355&amp;""))</f>
        <v/>
      </c>
      <c r="H355" s="0" t="str">
        <f aca="false">IF($A355="","",IF(AT355="Y",BQ355&amp;"",BD355&amp;""))</f>
        <v/>
      </c>
      <c r="I355" s="0" t="str">
        <f aca="false">IF($A355="","",IF(R355="Y","warm-intro",IF(H355="verified","email",IF(C355&lt;&gt;"","linkedin",CA355&amp;""))))</f>
        <v/>
      </c>
      <c r="J355" s="0" t="str">
        <f aca="false">IF($A355="","",IF(CK355="pass",ROUND(N(DO355)+N(DP355)+N(DQ355)+N(DR355)+N(DS355)+N(DT355)+N(DU355)+N(DV355),0),0))</f>
        <v/>
      </c>
      <c r="K355" s="0" t="str">
        <f aca="false">IF($A355="","",IF(CK355&lt;&gt;"pass",BY355&amp;"",BY355&amp;", "&amp;IF(AT355="Y",BX355&amp;"",BK355&amp;"")&amp;BZ355&amp;IF(R355="Y","; known to the founder (+10)","")&amp;"."))</f>
        <v/>
      </c>
      <c r="R355" s="5"/>
      <c r="T355" s="5"/>
      <c r="U355" s="5"/>
      <c r="Y355" s="0" t="str">
        <f aca="false">IF(FA355&lt;&gt;"Y","",COUNTIFS($FA$2:$FA$1000,"Y",$J$2:$J$1000,"&gt;"&amp;J355)+COUNTIFS($FA$2:$FA$1000,"Y",$J$2:$J$1000,J355,$FG$2:$FG$1000,"&lt;"&amp;FG355)+1)</f>
        <v/>
      </c>
      <c r="AB355" s="0" t="str">
        <f aca="false">IF($A355="","",IF(AT355="Y",BW355&amp;"",BJ355&amp;""))</f>
        <v/>
      </c>
      <c r="AC355" s="0" t="str">
        <f aca="false">IF($A355="","",IF(AT355="Y",BR355&amp;"",BE355&amp;""))</f>
        <v/>
      </c>
      <c r="AD355" s="0" t="str">
        <f aca="false">IF($A355="","",IF(AT355="Y",BS355&amp;"",BF355&amp;""))</f>
        <v/>
      </c>
      <c r="AE355" s="0" t="str">
        <f aca="false">IF($A355="","",IF(AT355="Y",BT355&amp;"",BG355&amp;""))</f>
        <v/>
      </c>
      <c r="AF355" s="0" t="str">
        <f aca="false">IF($A355="","",IF(AT355="Y",BU355&amp;"",BH355&amp;""))</f>
        <v/>
      </c>
      <c r="AG355" s="0" t="str">
        <f aca="false">IF($A355="","",IF(AT355="Y",BV355&amp;"",BI355&amp;""))</f>
        <v/>
      </c>
      <c r="AO355" s="5"/>
      <c r="AR355" s="0" t="str">
        <f aca="false">IF($A355="","",IF(AND(CK355="pass",AO355&lt;&gt;"Y",C355&lt;&gt;"",OR(AU355&lt;&gt;"Y",AV355="Y")),"Y","N"))</f>
        <v/>
      </c>
      <c r="AS355" s="0" t="str">
        <f aca="false">IF($A355="","",_xlfn.TEXTJOIN("; ",TRUE(),IF(CK355&lt;&gt;"pass","gated out",""),IF(AO355="Y","on hold: "&amp;AP355,""),IF(C355="","no contact named on an opened page",""),IF(AND(AU355="Y",AV355&lt;&gt;"Y"),"founder review pending (Founder review tab)","")))</f>
        <v/>
      </c>
      <c r="BC355" s="0" t="str">
        <f aca="false">IF($A355="","",IFERROR(INDEX(Enrichment!$A$2:$GZ$2000,MATCH($A355,INDEX(Enrichment!$A$2:$GZ$2000,0,MATCH("row_id",Enrichment!$A$1:$GZ$1,0)),0),MATCH("work_email",Enrichment!$A$1:$GZ$1,0))&amp;"",""))</f>
        <v/>
      </c>
      <c r="BD355" s="0" t="str">
        <f aca="false">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P355" s="0" t="str">
        <f aca="false">IF($A355="","",IFERROR(INDEX(Enrichment!$A$2:$GZ$2000,MATCH($A355,INDEX(Enrichment!$A$2:$GZ$2000,0,MATCH("row_id",Enrichment!$A$1:$GZ$1,0)),0),MATCH("backup_work_email",Enrichment!$A$1:$GZ$1,0))&amp;"",""))</f>
        <v/>
      </c>
      <c r="BQ355" s="0" t="str">
        <f aca="false">IF($A355="","",IF(BP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DU355" s="0" t="str">
        <f aca="false">IF($A355="","",IF(R355="Y",10,0))</f>
        <v/>
      </c>
      <c r="EV355" s="0" t="str">
        <f aca="false">IF($A355="","",IF(ISNUMBER(MATCH(U355,{"queued","contacted","replied","call_booked","call_done","yes_in_principle","materials_sent"},0)),"Y","N"))</f>
        <v/>
      </c>
      <c r="EW355" s="0" t="str">
        <f aca="false">IF($A355="","",IF(OR(T355="Y",U355="do_not_contact",AQ355&amp;""&lt;&gt;""),"Y","N"))</f>
        <v/>
      </c>
      <c r="EX355" s="0" t="str">
        <f aca="false">IF($A355="","",IF(AN355&amp;""&lt;&gt;"",AN355&amp;"",$A355))</f>
        <v/>
      </c>
      <c r="EY355" s="0" t="str">
        <f aca="false">IF($A355="","",IF(COUNTIFS($EX$2:$EX$1000,EX355,$EV$2:$EV$1000,"Y")+COUNTIFS($EX$2:$EX$1000,EX355,$EW$2:$EW$1000,"Y")&gt;0,"Y","N"))</f>
        <v/>
      </c>
      <c r="EZ355" s="0" t="str">
        <f aca="false">IF($A355="","",IF(AND(U355="new",T355="N",EW355="N",AR355="Y",EY355="N"),"Y","N"))</f>
        <v/>
      </c>
      <c r="FA355" s="0" t="str">
        <f aca="false">IF($A355="","",IF(EZ355&lt;&gt;"Y","N",IF(COUNTIFS($EX$2:$EX$1000,EX355,$EZ$2:$EZ$1000,"Y",$J$2:$J$1000,"&gt;"&amp;J355)+COUNTIFS($EX$2:$EX$1000,EX355,$EZ$2:$EZ$1000,"Y",$J$2:$J$1000,J355,$FG$2:$FG$1000,"&lt;"&amp;FG355)=0,"Y","N")))</f>
        <v/>
      </c>
      <c r="FB355" s="0" t="str">
        <f aca="false">IF($A355="","",IF(AND(EZ355="Y",FA355="Y",Y355&amp;""&lt;&gt;""),IF(Y355&lt;=10,"Y","N"),"N"))</f>
        <v/>
      </c>
      <c r="FC355" s="0" t="str">
        <f aca="false">IF(FB355="Y",Y355,"")</f>
        <v/>
      </c>
      <c r="FD355" s="0" t="str">
        <f aca="false">IF($A355="","",IF(AND(CK355="pass",AU355="Y",AV355&lt;&gt;"Y",U355="new",EW355="N"),"Y","N"))</f>
        <v/>
      </c>
      <c r="FE355" s="0" t="str">
        <f aca="false">IF(FD355&lt;&gt;"Y","",IF(COUNTIFS($FD$2:$FD$1000,"Y",$J$2:$J$1000,"&gt;"&amp;J355)+COUNTIFS($FD$2:$FD$1000,"Y",$J$2:$J$1000,J355,$FG$2:$FG$1000,"&lt;"&amp;FG355)+1&lt;=30,COUNTIFS($FD$2:$FD$1000,"Y",$J$2:$J$1000,"&gt;"&amp;J355)+COUNTIFS($FD$2:$FD$1000,"Y",$J$2:$J$1000,J355,$FG$2:$FG$1000,"&lt;"&amp;FG355)+1,""))</f>
        <v/>
      </c>
      <c r="FF355" s="0" t="str">
        <f aca="false">IF(AND(_xlfn.ISFORMULA(C355),_xlfn.ISFORMULA(J355)),"Y","N")</f>
        <v>Y</v>
      </c>
      <c r="FG355" s="0" t="n">
        <f aca="false">ROW()-1</f>
        <v>354</v>
      </c>
    </row>
    <row r="356" customFormat="false" ht="15" hidden="false" customHeight="false" outlineLevel="0" collapsed="false">
      <c r="C356" s="0" t="str">
        <f aca="false">IF($A356="","",IF(AT356="Y",BL356&amp;"",AY356&amp;""))</f>
        <v/>
      </c>
      <c r="D356" s="0" t="str">
        <f aca="false">IF($A356="","",IF(AT356="Y",BM356&amp;"",AZ356&amp;""))</f>
        <v/>
      </c>
      <c r="E356" s="0" t="str">
        <f aca="false">IF($A356="","",IF(AT356="Y",BN356&amp;"",BA356&amp;""))</f>
        <v/>
      </c>
      <c r="F356" s="0" t="str">
        <f aca="false">IF($A356="","",IF(AT356="Y",BO356&amp;"",BB356&amp;""))</f>
        <v/>
      </c>
      <c r="G356" s="0" t="str">
        <f aca="false">IF($A356="","",IF(AT356="Y",BP356&amp;"",BC356&amp;""))</f>
        <v/>
      </c>
      <c r="H356" s="0" t="str">
        <f aca="false">IF($A356="","",IF(AT356="Y",BQ356&amp;"",BD356&amp;""))</f>
        <v/>
      </c>
      <c r="I356" s="0" t="str">
        <f aca="false">IF($A356="","",IF(R356="Y","warm-intro",IF(H356="verified","email",IF(C356&lt;&gt;"","linkedin",CA356&amp;""))))</f>
        <v/>
      </c>
      <c r="J356" s="0" t="str">
        <f aca="false">IF($A356="","",IF(CK356="pass",ROUND(N(DO356)+N(DP356)+N(DQ356)+N(DR356)+N(DS356)+N(DT356)+N(DU356)+N(DV356),0),0))</f>
        <v/>
      </c>
      <c r="K356" s="0" t="str">
        <f aca="false">IF($A356="","",IF(CK356&lt;&gt;"pass",BY356&amp;"",BY356&amp;", "&amp;IF(AT356="Y",BX356&amp;"",BK356&amp;"")&amp;BZ356&amp;IF(R356="Y","; known to the founder (+10)","")&amp;"."))</f>
        <v/>
      </c>
      <c r="R356" s="5"/>
      <c r="T356" s="5"/>
      <c r="U356" s="5"/>
      <c r="Y356" s="0" t="str">
        <f aca="false">IF(FA356&lt;&gt;"Y","",COUNTIFS($FA$2:$FA$1000,"Y",$J$2:$J$1000,"&gt;"&amp;J356)+COUNTIFS($FA$2:$FA$1000,"Y",$J$2:$J$1000,J356,$FG$2:$FG$1000,"&lt;"&amp;FG356)+1)</f>
        <v/>
      </c>
      <c r="AB356" s="0" t="str">
        <f aca="false">IF($A356="","",IF(AT356="Y",BW356&amp;"",BJ356&amp;""))</f>
        <v/>
      </c>
      <c r="AC356" s="0" t="str">
        <f aca="false">IF($A356="","",IF(AT356="Y",BR356&amp;"",BE356&amp;""))</f>
        <v/>
      </c>
      <c r="AD356" s="0" t="str">
        <f aca="false">IF($A356="","",IF(AT356="Y",BS356&amp;"",BF356&amp;""))</f>
        <v/>
      </c>
      <c r="AE356" s="0" t="str">
        <f aca="false">IF($A356="","",IF(AT356="Y",BT356&amp;"",BG356&amp;""))</f>
        <v/>
      </c>
      <c r="AF356" s="0" t="str">
        <f aca="false">IF($A356="","",IF(AT356="Y",BU356&amp;"",BH356&amp;""))</f>
        <v/>
      </c>
      <c r="AG356" s="0" t="str">
        <f aca="false">IF($A356="","",IF(AT356="Y",BV356&amp;"",BI356&amp;""))</f>
        <v/>
      </c>
      <c r="AO356" s="5"/>
      <c r="AR356" s="0" t="str">
        <f aca="false">IF($A356="","",IF(AND(CK356="pass",AO356&lt;&gt;"Y",C356&lt;&gt;"",OR(AU356&lt;&gt;"Y",AV356="Y")),"Y","N"))</f>
        <v/>
      </c>
      <c r="AS356" s="0" t="str">
        <f aca="false">IF($A356="","",_xlfn.TEXTJOIN("; ",TRUE(),IF(CK356&lt;&gt;"pass","gated out",""),IF(AO356="Y","on hold: "&amp;AP356,""),IF(C356="","no contact named on an opened page",""),IF(AND(AU356="Y",AV356&lt;&gt;"Y"),"founder review pending (Founder review tab)","")))</f>
        <v/>
      </c>
      <c r="BC356" s="0" t="str">
        <f aca="false">IF($A356="","",IFERROR(INDEX(Enrichment!$A$2:$GZ$2000,MATCH($A356,INDEX(Enrichment!$A$2:$GZ$2000,0,MATCH("row_id",Enrichment!$A$1:$GZ$1,0)),0),MATCH("work_email",Enrichment!$A$1:$GZ$1,0))&amp;"",""))</f>
        <v/>
      </c>
      <c r="BD356" s="0" t="str">
        <f aca="false">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P356" s="0" t="str">
        <f aca="false">IF($A356="","",IFERROR(INDEX(Enrichment!$A$2:$GZ$2000,MATCH($A356,INDEX(Enrichment!$A$2:$GZ$2000,0,MATCH("row_id",Enrichment!$A$1:$GZ$1,0)),0),MATCH("backup_work_email",Enrichment!$A$1:$GZ$1,0))&amp;"",""))</f>
        <v/>
      </c>
      <c r="BQ356" s="0" t="str">
        <f aca="false">IF($A356="","",IF(BP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DU356" s="0" t="str">
        <f aca="false">IF($A356="","",IF(R356="Y",10,0))</f>
        <v/>
      </c>
      <c r="EV356" s="0" t="str">
        <f aca="false">IF($A356="","",IF(ISNUMBER(MATCH(U356,{"queued","contacted","replied","call_booked","call_done","yes_in_principle","materials_sent"},0)),"Y","N"))</f>
        <v/>
      </c>
      <c r="EW356" s="0" t="str">
        <f aca="false">IF($A356="","",IF(OR(T356="Y",U356="do_not_contact",AQ356&amp;""&lt;&gt;""),"Y","N"))</f>
        <v/>
      </c>
      <c r="EX356" s="0" t="str">
        <f aca="false">IF($A356="","",IF(AN356&amp;""&lt;&gt;"",AN356&amp;"",$A356))</f>
        <v/>
      </c>
      <c r="EY356" s="0" t="str">
        <f aca="false">IF($A356="","",IF(COUNTIFS($EX$2:$EX$1000,EX356,$EV$2:$EV$1000,"Y")+COUNTIFS($EX$2:$EX$1000,EX356,$EW$2:$EW$1000,"Y")&gt;0,"Y","N"))</f>
        <v/>
      </c>
      <c r="EZ356" s="0" t="str">
        <f aca="false">IF($A356="","",IF(AND(U356="new",T356="N",EW356="N",AR356="Y",EY356="N"),"Y","N"))</f>
        <v/>
      </c>
      <c r="FA356" s="0" t="str">
        <f aca="false">IF($A356="","",IF(EZ356&lt;&gt;"Y","N",IF(COUNTIFS($EX$2:$EX$1000,EX356,$EZ$2:$EZ$1000,"Y",$J$2:$J$1000,"&gt;"&amp;J356)+COUNTIFS($EX$2:$EX$1000,EX356,$EZ$2:$EZ$1000,"Y",$J$2:$J$1000,J356,$FG$2:$FG$1000,"&lt;"&amp;FG356)=0,"Y","N")))</f>
        <v/>
      </c>
      <c r="FB356" s="0" t="str">
        <f aca="false">IF($A356="","",IF(AND(EZ356="Y",FA356="Y",Y356&amp;""&lt;&gt;""),IF(Y356&lt;=10,"Y","N"),"N"))</f>
        <v/>
      </c>
      <c r="FC356" s="0" t="str">
        <f aca="false">IF(FB356="Y",Y356,"")</f>
        <v/>
      </c>
      <c r="FD356" s="0" t="str">
        <f aca="false">IF($A356="","",IF(AND(CK356="pass",AU356="Y",AV356&lt;&gt;"Y",U356="new",EW356="N"),"Y","N"))</f>
        <v/>
      </c>
      <c r="FE356" s="0" t="str">
        <f aca="false">IF(FD356&lt;&gt;"Y","",IF(COUNTIFS($FD$2:$FD$1000,"Y",$J$2:$J$1000,"&gt;"&amp;J356)+COUNTIFS($FD$2:$FD$1000,"Y",$J$2:$J$1000,J356,$FG$2:$FG$1000,"&lt;"&amp;FG356)+1&lt;=30,COUNTIFS($FD$2:$FD$1000,"Y",$J$2:$J$1000,"&gt;"&amp;J356)+COUNTIFS($FD$2:$FD$1000,"Y",$J$2:$J$1000,J356,$FG$2:$FG$1000,"&lt;"&amp;FG356)+1,""))</f>
        <v/>
      </c>
      <c r="FF356" s="0" t="str">
        <f aca="false">IF(AND(_xlfn.ISFORMULA(C356),_xlfn.ISFORMULA(J356)),"Y","N")</f>
        <v>Y</v>
      </c>
      <c r="FG356" s="0" t="n">
        <f aca="false">ROW()-1</f>
        <v>355</v>
      </c>
    </row>
    <row r="357" customFormat="false" ht="15" hidden="false" customHeight="false" outlineLevel="0" collapsed="false">
      <c r="C357" s="0" t="str">
        <f aca="false">IF($A357="","",IF(AT357="Y",BL357&amp;"",AY357&amp;""))</f>
        <v/>
      </c>
      <c r="D357" s="0" t="str">
        <f aca="false">IF($A357="","",IF(AT357="Y",BM357&amp;"",AZ357&amp;""))</f>
        <v/>
      </c>
      <c r="E357" s="0" t="str">
        <f aca="false">IF($A357="","",IF(AT357="Y",BN357&amp;"",BA357&amp;""))</f>
        <v/>
      </c>
      <c r="F357" s="0" t="str">
        <f aca="false">IF($A357="","",IF(AT357="Y",BO357&amp;"",BB357&amp;""))</f>
        <v/>
      </c>
      <c r="G357" s="0" t="str">
        <f aca="false">IF($A357="","",IF(AT357="Y",BP357&amp;"",BC357&amp;""))</f>
        <v/>
      </c>
      <c r="H357" s="0" t="str">
        <f aca="false">IF($A357="","",IF(AT357="Y",BQ357&amp;"",BD357&amp;""))</f>
        <v/>
      </c>
      <c r="I357" s="0" t="str">
        <f aca="false">IF($A357="","",IF(R357="Y","warm-intro",IF(H357="verified","email",IF(C357&lt;&gt;"","linkedin",CA357&amp;""))))</f>
        <v/>
      </c>
      <c r="J357" s="0" t="str">
        <f aca="false">IF($A357="","",IF(CK357="pass",ROUND(N(DO357)+N(DP357)+N(DQ357)+N(DR357)+N(DS357)+N(DT357)+N(DU357)+N(DV357),0),0))</f>
        <v/>
      </c>
      <c r="K357" s="0" t="str">
        <f aca="false">IF($A357="","",IF(CK357&lt;&gt;"pass",BY357&amp;"",BY357&amp;", "&amp;IF(AT357="Y",BX357&amp;"",BK357&amp;"")&amp;BZ357&amp;IF(R357="Y","; known to the founder (+10)","")&amp;"."))</f>
        <v/>
      </c>
      <c r="R357" s="5"/>
      <c r="T357" s="5"/>
      <c r="U357" s="5"/>
      <c r="Y357" s="0" t="str">
        <f aca="false">IF(FA357&lt;&gt;"Y","",COUNTIFS($FA$2:$FA$1000,"Y",$J$2:$J$1000,"&gt;"&amp;J357)+COUNTIFS($FA$2:$FA$1000,"Y",$J$2:$J$1000,J357,$FG$2:$FG$1000,"&lt;"&amp;FG357)+1)</f>
        <v/>
      </c>
      <c r="AB357" s="0" t="str">
        <f aca="false">IF($A357="","",IF(AT357="Y",BW357&amp;"",BJ357&amp;""))</f>
        <v/>
      </c>
      <c r="AC357" s="0" t="str">
        <f aca="false">IF($A357="","",IF(AT357="Y",BR357&amp;"",BE357&amp;""))</f>
        <v/>
      </c>
      <c r="AD357" s="0" t="str">
        <f aca="false">IF($A357="","",IF(AT357="Y",BS357&amp;"",BF357&amp;""))</f>
        <v/>
      </c>
      <c r="AE357" s="0" t="str">
        <f aca="false">IF($A357="","",IF(AT357="Y",BT357&amp;"",BG357&amp;""))</f>
        <v/>
      </c>
      <c r="AF357" s="0" t="str">
        <f aca="false">IF($A357="","",IF(AT357="Y",BU357&amp;"",BH357&amp;""))</f>
        <v/>
      </c>
      <c r="AG357" s="0" t="str">
        <f aca="false">IF($A357="","",IF(AT357="Y",BV357&amp;"",BI357&amp;""))</f>
        <v/>
      </c>
      <c r="AO357" s="5"/>
      <c r="AR357" s="0" t="str">
        <f aca="false">IF($A357="","",IF(AND(CK357="pass",AO357&lt;&gt;"Y",C357&lt;&gt;"",OR(AU357&lt;&gt;"Y",AV357="Y")),"Y","N"))</f>
        <v/>
      </c>
      <c r="AS357" s="0" t="str">
        <f aca="false">IF($A357="","",_xlfn.TEXTJOIN("; ",TRUE(),IF(CK357&lt;&gt;"pass","gated out",""),IF(AO357="Y","on hold: "&amp;AP357,""),IF(C357="","no contact named on an opened page",""),IF(AND(AU357="Y",AV357&lt;&gt;"Y"),"founder review pending (Founder review tab)","")))</f>
        <v/>
      </c>
      <c r="BC357" s="0" t="str">
        <f aca="false">IF($A357="","",IFERROR(INDEX(Enrichment!$A$2:$GZ$2000,MATCH($A357,INDEX(Enrichment!$A$2:$GZ$2000,0,MATCH("row_id",Enrichment!$A$1:$GZ$1,0)),0),MATCH("work_email",Enrichment!$A$1:$GZ$1,0))&amp;"",""))</f>
        <v/>
      </c>
      <c r="BD357" s="0" t="str">
        <f aca="false">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P357" s="0" t="str">
        <f aca="false">IF($A357="","",IFERROR(INDEX(Enrichment!$A$2:$GZ$2000,MATCH($A357,INDEX(Enrichment!$A$2:$GZ$2000,0,MATCH("row_id",Enrichment!$A$1:$GZ$1,0)),0),MATCH("backup_work_email",Enrichment!$A$1:$GZ$1,0))&amp;"",""))</f>
        <v/>
      </c>
      <c r="BQ357" s="0" t="str">
        <f aca="false">IF($A357="","",IF(BP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DU357" s="0" t="str">
        <f aca="false">IF($A357="","",IF(R357="Y",10,0))</f>
        <v/>
      </c>
      <c r="EV357" s="0" t="str">
        <f aca="false">IF($A357="","",IF(ISNUMBER(MATCH(U357,{"queued","contacted","replied","call_booked","call_done","yes_in_principle","materials_sent"},0)),"Y","N"))</f>
        <v/>
      </c>
      <c r="EW357" s="0" t="str">
        <f aca="false">IF($A357="","",IF(OR(T357="Y",U357="do_not_contact",AQ357&amp;""&lt;&gt;""),"Y","N"))</f>
        <v/>
      </c>
      <c r="EX357" s="0" t="str">
        <f aca="false">IF($A357="","",IF(AN357&amp;""&lt;&gt;"",AN357&amp;"",$A357))</f>
        <v/>
      </c>
      <c r="EY357" s="0" t="str">
        <f aca="false">IF($A357="","",IF(COUNTIFS($EX$2:$EX$1000,EX357,$EV$2:$EV$1000,"Y")+COUNTIFS($EX$2:$EX$1000,EX357,$EW$2:$EW$1000,"Y")&gt;0,"Y","N"))</f>
        <v/>
      </c>
      <c r="EZ357" s="0" t="str">
        <f aca="false">IF($A357="","",IF(AND(U357="new",T357="N",EW357="N",AR357="Y",EY357="N"),"Y","N"))</f>
        <v/>
      </c>
      <c r="FA357" s="0" t="str">
        <f aca="false">IF($A357="","",IF(EZ357&lt;&gt;"Y","N",IF(COUNTIFS($EX$2:$EX$1000,EX357,$EZ$2:$EZ$1000,"Y",$J$2:$J$1000,"&gt;"&amp;J357)+COUNTIFS($EX$2:$EX$1000,EX357,$EZ$2:$EZ$1000,"Y",$J$2:$J$1000,J357,$FG$2:$FG$1000,"&lt;"&amp;FG357)=0,"Y","N")))</f>
        <v/>
      </c>
      <c r="FB357" s="0" t="str">
        <f aca="false">IF($A357="","",IF(AND(EZ357="Y",FA357="Y",Y357&amp;""&lt;&gt;""),IF(Y357&lt;=10,"Y","N"),"N"))</f>
        <v/>
      </c>
      <c r="FC357" s="0" t="str">
        <f aca="false">IF(FB357="Y",Y357,"")</f>
        <v/>
      </c>
      <c r="FD357" s="0" t="str">
        <f aca="false">IF($A357="","",IF(AND(CK357="pass",AU357="Y",AV357&lt;&gt;"Y",U357="new",EW357="N"),"Y","N"))</f>
        <v/>
      </c>
      <c r="FE357" s="0" t="str">
        <f aca="false">IF(FD357&lt;&gt;"Y","",IF(COUNTIFS($FD$2:$FD$1000,"Y",$J$2:$J$1000,"&gt;"&amp;J357)+COUNTIFS($FD$2:$FD$1000,"Y",$J$2:$J$1000,J357,$FG$2:$FG$1000,"&lt;"&amp;FG357)+1&lt;=30,COUNTIFS($FD$2:$FD$1000,"Y",$J$2:$J$1000,"&gt;"&amp;J357)+COUNTIFS($FD$2:$FD$1000,"Y",$J$2:$J$1000,J357,$FG$2:$FG$1000,"&lt;"&amp;FG357)+1,""))</f>
        <v/>
      </c>
      <c r="FF357" s="0" t="str">
        <f aca="false">IF(AND(_xlfn.ISFORMULA(C357),_xlfn.ISFORMULA(J357)),"Y","N")</f>
        <v>Y</v>
      </c>
      <c r="FG357" s="0" t="n">
        <f aca="false">ROW()-1</f>
        <v>356</v>
      </c>
    </row>
    <row r="358" customFormat="false" ht="15" hidden="false" customHeight="false" outlineLevel="0" collapsed="false">
      <c r="C358" s="0" t="str">
        <f aca="false">IF($A358="","",IF(AT358="Y",BL358&amp;"",AY358&amp;""))</f>
        <v/>
      </c>
      <c r="D358" s="0" t="str">
        <f aca="false">IF($A358="","",IF(AT358="Y",BM358&amp;"",AZ358&amp;""))</f>
        <v/>
      </c>
      <c r="E358" s="0" t="str">
        <f aca="false">IF($A358="","",IF(AT358="Y",BN358&amp;"",BA358&amp;""))</f>
        <v/>
      </c>
      <c r="F358" s="0" t="str">
        <f aca="false">IF($A358="","",IF(AT358="Y",BO358&amp;"",BB358&amp;""))</f>
        <v/>
      </c>
      <c r="G358" s="0" t="str">
        <f aca="false">IF($A358="","",IF(AT358="Y",BP358&amp;"",BC358&amp;""))</f>
        <v/>
      </c>
      <c r="H358" s="0" t="str">
        <f aca="false">IF($A358="","",IF(AT358="Y",BQ358&amp;"",BD358&amp;""))</f>
        <v/>
      </c>
      <c r="I358" s="0" t="str">
        <f aca="false">IF($A358="","",IF(R358="Y","warm-intro",IF(H358="verified","email",IF(C358&lt;&gt;"","linkedin",CA358&amp;""))))</f>
        <v/>
      </c>
      <c r="J358" s="0" t="str">
        <f aca="false">IF($A358="","",IF(CK358="pass",ROUND(N(DO358)+N(DP358)+N(DQ358)+N(DR358)+N(DS358)+N(DT358)+N(DU358)+N(DV358),0),0))</f>
        <v/>
      </c>
      <c r="K358" s="0" t="str">
        <f aca="false">IF($A358="","",IF(CK358&lt;&gt;"pass",BY358&amp;"",BY358&amp;", "&amp;IF(AT358="Y",BX358&amp;"",BK358&amp;"")&amp;BZ358&amp;IF(R358="Y","; known to the founder (+10)","")&amp;"."))</f>
        <v/>
      </c>
      <c r="R358" s="5"/>
      <c r="T358" s="5"/>
      <c r="U358" s="5"/>
      <c r="Y358" s="0" t="str">
        <f aca="false">IF(FA358&lt;&gt;"Y","",COUNTIFS($FA$2:$FA$1000,"Y",$J$2:$J$1000,"&gt;"&amp;J358)+COUNTIFS($FA$2:$FA$1000,"Y",$J$2:$J$1000,J358,$FG$2:$FG$1000,"&lt;"&amp;FG358)+1)</f>
        <v/>
      </c>
      <c r="AB358" s="0" t="str">
        <f aca="false">IF($A358="","",IF(AT358="Y",BW358&amp;"",BJ358&amp;""))</f>
        <v/>
      </c>
      <c r="AC358" s="0" t="str">
        <f aca="false">IF($A358="","",IF(AT358="Y",BR358&amp;"",BE358&amp;""))</f>
        <v/>
      </c>
      <c r="AD358" s="0" t="str">
        <f aca="false">IF($A358="","",IF(AT358="Y",BS358&amp;"",BF358&amp;""))</f>
        <v/>
      </c>
      <c r="AE358" s="0" t="str">
        <f aca="false">IF($A358="","",IF(AT358="Y",BT358&amp;"",BG358&amp;""))</f>
        <v/>
      </c>
      <c r="AF358" s="0" t="str">
        <f aca="false">IF($A358="","",IF(AT358="Y",BU358&amp;"",BH358&amp;""))</f>
        <v/>
      </c>
      <c r="AG358" s="0" t="str">
        <f aca="false">IF($A358="","",IF(AT358="Y",BV358&amp;"",BI358&amp;""))</f>
        <v/>
      </c>
      <c r="AO358" s="5"/>
      <c r="AR358" s="0" t="str">
        <f aca="false">IF($A358="","",IF(AND(CK358="pass",AO358&lt;&gt;"Y",C358&lt;&gt;"",OR(AU358&lt;&gt;"Y",AV358="Y")),"Y","N"))</f>
        <v/>
      </c>
      <c r="AS358" s="0" t="str">
        <f aca="false">IF($A358="","",_xlfn.TEXTJOIN("; ",TRUE(),IF(CK358&lt;&gt;"pass","gated out",""),IF(AO358="Y","on hold: "&amp;AP358,""),IF(C358="","no contact named on an opened page",""),IF(AND(AU358="Y",AV358&lt;&gt;"Y"),"founder review pending (Founder review tab)","")))</f>
        <v/>
      </c>
      <c r="BC358" s="0" t="str">
        <f aca="false">IF($A358="","",IFERROR(INDEX(Enrichment!$A$2:$GZ$2000,MATCH($A358,INDEX(Enrichment!$A$2:$GZ$2000,0,MATCH("row_id",Enrichment!$A$1:$GZ$1,0)),0),MATCH("work_email",Enrichment!$A$1:$GZ$1,0))&amp;"",""))</f>
        <v/>
      </c>
      <c r="BD358" s="0" t="str">
        <f aca="false">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P358" s="0" t="str">
        <f aca="false">IF($A358="","",IFERROR(INDEX(Enrichment!$A$2:$GZ$2000,MATCH($A358,INDEX(Enrichment!$A$2:$GZ$2000,0,MATCH("row_id",Enrichment!$A$1:$GZ$1,0)),0),MATCH("backup_work_email",Enrichment!$A$1:$GZ$1,0))&amp;"",""))</f>
        <v/>
      </c>
      <c r="BQ358" s="0" t="str">
        <f aca="false">IF($A358="","",IF(BP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DU358" s="0" t="str">
        <f aca="false">IF($A358="","",IF(R358="Y",10,0))</f>
        <v/>
      </c>
      <c r="EV358" s="0" t="str">
        <f aca="false">IF($A358="","",IF(ISNUMBER(MATCH(U358,{"queued","contacted","replied","call_booked","call_done","yes_in_principle","materials_sent"},0)),"Y","N"))</f>
        <v/>
      </c>
      <c r="EW358" s="0" t="str">
        <f aca="false">IF($A358="","",IF(OR(T358="Y",U358="do_not_contact",AQ358&amp;""&lt;&gt;""),"Y","N"))</f>
        <v/>
      </c>
      <c r="EX358" s="0" t="str">
        <f aca="false">IF($A358="","",IF(AN358&amp;""&lt;&gt;"",AN358&amp;"",$A358))</f>
        <v/>
      </c>
      <c r="EY358" s="0" t="str">
        <f aca="false">IF($A358="","",IF(COUNTIFS($EX$2:$EX$1000,EX358,$EV$2:$EV$1000,"Y")+COUNTIFS($EX$2:$EX$1000,EX358,$EW$2:$EW$1000,"Y")&gt;0,"Y","N"))</f>
        <v/>
      </c>
      <c r="EZ358" s="0" t="str">
        <f aca="false">IF($A358="","",IF(AND(U358="new",T358="N",EW358="N",AR358="Y",EY358="N"),"Y","N"))</f>
        <v/>
      </c>
      <c r="FA358" s="0" t="str">
        <f aca="false">IF($A358="","",IF(EZ358&lt;&gt;"Y","N",IF(COUNTIFS($EX$2:$EX$1000,EX358,$EZ$2:$EZ$1000,"Y",$J$2:$J$1000,"&gt;"&amp;J358)+COUNTIFS($EX$2:$EX$1000,EX358,$EZ$2:$EZ$1000,"Y",$J$2:$J$1000,J358,$FG$2:$FG$1000,"&lt;"&amp;FG358)=0,"Y","N")))</f>
        <v/>
      </c>
      <c r="FB358" s="0" t="str">
        <f aca="false">IF($A358="","",IF(AND(EZ358="Y",FA358="Y",Y358&amp;""&lt;&gt;""),IF(Y358&lt;=10,"Y","N"),"N"))</f>
        <v/>
      </c>
      <c r="FC358" s="0" t="str">
        <f aca="false">IF(FB358="Y",Y358,"")</f>
        <v/>
      </c>
      <c r="FD358" s="0" t="str">
        <f aca="false">IF($A358="","",IF(AND(CK358="pass",AU358="Y",AV358&lt;&gt;"Y",U358="new",EW358="N"),"Y","N"))</f>
        <v/>
      </c>
      <c r="FE358" s="0" t="str">
        <f aca="false">IF(FD358&lt;&gt;"Y","",IF(COUNTIFS($FD$2:$FD$1000,"Y",$J$2:$J$1000,"&gt;"&amp;J358)+COUNTIFS($FD$2:$FD$1000,"Y",$J$2:$J$1000,J358,$FG$2:$FG$1000,"&lt;"&amp;FG358)+1&lt;=30,COUNTIFS($FD$2:$FD$1000,"Y",$J$2:$J$1000,"&gt;"&amp;J358)+COUNTIFS($FD$2:$FD$1000,"Y",$J$2:$J$1000,J358,$FG$2:$FG$1000,"&lt;"&amp;FG358)+1,""))</f>
        <v/>
      </c>
      <c r="FF358" s="0" t="str">
        <f aca="false">IF(AND(_xlfn.ISFORMULA(C358),_xlfn.ISFORMULA(J358)),"Y","N")</f>
        <v>Y</v>
      </c>
      <c r="FG358" s="0" t="n">
        <f aca="false">ROW()-1</f>
        <v>357</v>
      </c>
    </row>
    <row r="359" customFormat="false" ht="15" hidden="false" customHeight="false" outlineLevel="0" collapsed="false">
      <c r="C359" s="0" t="str">
        <f aca="false">IF($A359="","",IF(AT359="Y",BL359&amp;"",AY359&amp;""))</f>
        <v/>
      </c>
      <c r="D359" s="0" t="str">
        <f aca="false">IF($A359="","",IF(AT359="Y",BM359&amp;"",AZ359&amp;""))</f>
        <v/>
      </c>
      <c r="E359" s="0" t="str">
        <f aca="false">IF($A359="","",IF(AT359="Y",BN359&amp;"",BA359&amp;""))</f>
        <v/>
      </c>
      <c r="F359" s="0" t="str">
        <f aca="false">IF($A359="","",IF(AT359="Y",BO359&amp;"",BB359&amp;""))</f>
        <v/>
      </c>
      <c r="G359" s="0" t="str">
        <f aca="false">IF($A359="","",IF(AT359="Y",BP359&amp;"",BC359&amp;""))</f>
        <v/>
      </c>
      <c r="H359" s="0" t="str">
        <f aca="false">IF($A359="","",IF(AT359="Y",BQ359&amp;"",BD359&amp;""))</f>
        <v/>
      </c>
      <c r="I359" s="0" t="str">
        <f aca="false">IF($A359="","",IF(R359="Y","warm-intro",IF(H359="verified","email",IF(C359&lt;&gt;"","linkedin",CA359&amp;""))))</f>
        <v/>
      </c>
      <c r="J359" s="0" t="str">
        <f aca="false">IF($A359="","",IF(CK359="pass",ROUND(N(DO359)+N(DP359)+N(DQ359)+N(DR359)+N(DS359)+N(DT359)+N(DU359)+N(DV359),0),0))</f>
        <v/>
      </c>
      <c r="K359" s="0" t="str">
        <f aca="false">IF($A359="","",IF(CK359&lt;&gt;"pass",BY359&amp;"",BY359&amp;", "&amp;IF(AT359="Y",BX359&amp;"",BK359&amp;"")&amp;BZ359&amp;IF(R359="Y","; known to the founder (+10)","")&amp;"."))</f>
        <v/>
      </c>
      <c r="R359" s="5"/>
      <c r="T359" s="5"/>
      <c r="U359" s="5"/>
      <c r="Y359" s="0" t="str">
        <f aca="false">IF(FA359&lt;&gt;"Y","",COUNTIFS($FA$2:$FA$1000,"Y",$J$2:$J$1000,"&gt;"&amp;J359)+COUNTIFS($FA$2:$FA$1000,"Y",$J$2:$J$1000,J359,$FG$2:$FG$1000,"&lt;"&amp;FG359)+1)</f>
        <v/>
      </c>
      <c r="AB359" s="0" t="str">
        <f aca="false">IF($A359="","",IF(AT359="Y",BW359&amp;"",BJ359&amp;""))</f>
        <v/>
      </c>
      <c r="AC359" s="0" t="str">
        <f aca="false">IF($A359="","",IF(AT359="Y",BR359&amp;"",BE359&amp;""))</f>
        <v/>
      </c>
      <c r="AD359" s="0" t="str">
        <f aca="false">IF($A359="","",IF(AT359="Y",BS359&amp;"",BF359&amp;""))</f>
        <v/>
      </c>
      <c r="AE359" s="0" t="str">
        <f aca="false">IF($A359="","",IF(AT359="Y",BT359&amp;"",BG359&amp;""))</f>
        <v/>
      </c>
      <c r="AF359" s="0" t="str">
        <f aca="false">IF($A359="","",IF(AT359="Y",BU359&amp;"",BH359&amp;""))</f>
        <v/>
      </c>
      <c r="AG359" s="0" t="str">
        <f aca="false">IF($A359="","",IF(AT359="Y",BV359&amp;"",BI359&amp;""))</f>
        <v/>
      </c>
      <c r="AO359" s="5"/>
      <c r="AR359" s="0" t="str">
        <f aca="false">IF($A359="","",IF(AND(CK359="pass",AO359&lt;&gt;"Y",C359&lt;&gt;"",OR(AU359&lt;&gt;"Y",AV359="Y")),"Y","N"))</f>
        <v/>
      </c>
      <c r="AS359" s="0" t="str">
        <f aca="false">IF($A359="","",_xlfn.TEXTJOIN("; ",TRUE(),IF(CK359&lt;&gt;"pass","gated out",""),IF(AO359="Y","on hold: "&amp;AP359,""),IF(C359="","no contact named on an opened page",""),IF(AND(AU359="Y",AV359&lt;&gt;"Y"),"founder review pending (Founder review tab)","")))</f>
        <v/>
      </c>
      <c r="BC359" s="0" t="str">
        <f aca="false">IF($A359="","",IFERROR(INDEX(Enrichment!$A$2:$GZ$2000,MATCH($A359,INDEX(Enrichment!$A$2:$GZ$2000,0,MATCH("row_id",Enrichment!$A$1:$GZ$1,0)),0),MATCH("work_email",Enrichment!$A$1:$GZ$1,0))&amp;"",""))</f>
        <v/>
      </c>
      <c r="BD359" s="0" t="str">
        <f aca="false">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P359" s="0" t="str">
        <f aca="false">IF($A359="","",IFERROR(INDEX(Enrichment!$A$2:$GZ$2000,MATCH($A359,INDEX(Enrichment!$A$2:$GZ$2000,0,MATCH("row_id",Enrichment!$A$1:$GZ$1,0)),0),MATCH("backup_work_email",Enrichment!$A$1:$GZ$1,0))&amp;"",""))</f>
        <v/>
      </c>
      <c r="BQ359" s="0" t="str">
        <f aca="false">IF($A359="","",IF(BP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DU359" s="0" t="str">
        <f aca="false">IF($A359="","",IF(R359="Y",10,0))</f>
        <v/>
      </c>
      <c r="EV359" s="0" t="str">
        <f aca="false">IF($A359="","",IF(ISNUMBER(MATCH(U359,{"queued","contacted","replied","call_booked","call_done","yes_in_principle","materials_sent"},0)),"Y","N"))</f>
        <v/>
      </c>
      <c r="EW359" s="0" t="str">
        <f aca="false">IF($A359="","",IF(OR(T359="Y",U359="do_not_contact",AQ359&amp;""&lt;&gt;""),"Y","N"))</f>
        <v/>
      </c>
      <c r="EX359" s="0" t="str">
        <f aca="false">IF($A359="","",IF(AN359&amp;""&lt;&gt;"",AN359&amp;"",$A359))</f>
        <v/>
      </c>
      <c r="EY359" s="0" t="str">
        <f aca="false">IF($A359="","",IF(COUNTIFS($EX$2:$EX$1000,EX359,$EV$2:$EV$1000,"Y")+COUNTIFS($EX$2:$EX$1000,EX359,$EW$2:$EW$1000,"Y")&gt;0,"Y","N"))</f>
        <v/>
      </c>
      <c r="EZ359" s="0" t="str">
        <f aca="false">IF($A359="","",IF(AND(U359="new",T359="N",EW359="N",AR359="Y",EY359="N"),"Y","N"))</f>
        <v/>
      </c>
      <c r="FA359" s="0" t="str">
        <f aca="false">IF($A359="","",IF(EZ359&lt;&gt;"Y","N",IF(COUNTIFS($EX$2:$EX$1000,EX359,$EZ$2:$EZ$1000,"Y",$J$2:$J$1000,"&gt;"&amp;J359)+COUNTIFS($EX$2:$EX$1000,EX359,$EZ$2:$EZ$1000,"Y",$J$2:$J$1000,J359,$FG$2:$FG$1000,"&lt;"&amp;FG359)=0,"Y","N")))</f>
        <v/>
      </c>
      <c r="FB359" s="0" t="str">
        <f aca="false">IF($A359="","",IF(AND(EZ359="Y",FA359="Y",Y359&amp;""&lt;&gt;""),IF(Y359&lt;=10,"Y","N"),"N"))</f>
        <v/>
      </c>
      <c r="FC359" s="0" t="str">
        <f aca="false">IF(FB359="Y",Y359,"")</f>
        <v/>
      </c>
      <c r="FD359" s="0" t="str">
        <f aca="false">IF($A359="","",IF(AND(CK359="pass",AU359="Y",AV359&lt;&gt;"Y",U359="new",EW359="N"),"Y","N"))</f>
        <v/>
      </c>
      <c r="FE359" s="0" t="str">
        <f aca="false">IF(FD359&lt;&gt;"Y","",IF(COUNTIFS($FD$2:$FD$1000,"Y",$J$2:$J$1000,"&gt;"&amp;J359)+COUNTIFS($FD$2:$FD$1000,"Y",$J$2:$J$1000,J359,$FG$2:$FG$1000,"&lt;"&amp;FG359)+1&lt;=30,COUNTIFS($FD$2:$FD$1000,"Y",$J$2:$J$1000,"&gt;"&amp;J359)+COUNTIFS($FD$2:$FD$1000,"Y",$J$2:$J$1000,J359,$FG$2:$FG$1000,"&lt;"&amp;FG359)+1,""))</f>
        <v/>
      </c>
      <c r="FF359" s="0" t="str">
        <f aca="false">IF(AND(_xlfn.ISFORMULA(C359),_xlfn.ISFORMULA(J359)),"Y","N")</f>
        <v>Y</v>
      </c>
      <c r="FG359" s="0" t="n">
        <f aca="false">ROW()-1</f>
        <v>358</v>
      </c>
    </row>
    <row r="360" customFormat="false" ht="15" hidden="false" customHeight="false" outlineLevel="0" collapsed="false">
      <c r="C360" s="0" t="str">
        <f aca="false">IF($A360="","",IF(AT360="Y",BL360&amp;"",AY360&amp;""))</f>
        <v/>
      </c>
      <c r="D360" s="0" t="str">
        <f aca="false">IF($A360="","",IF(AT360="Y",BM360&amp;"",AZ360&amp;""))</f>
        <v/>
      </c>
      <c r="E360" s="0" t="str">
        <f aca="false">IF($A360="","",IF(AT360="Y",BN360&amp;"",BA360&amp;""))</f>
        <v/>
      </c>
      <c r="F360" s="0" t="str">
        <f aca="false">IF($A360="","",IF(AT360="Y",BO360&amp;"",BB360&amp;""))</f>
        <v/>
      </c>
      <c r="G360" s="0" t="str">
        <f aca="false">IF($A360="","",IF(AT360="Y",BP360&amp;"",BC360&amp;""))</f>
        <v/>
      </c>
      <c r="H360" s="0" t="str">
        <f aca="false">IF($A360="","",IF(AT360="Y",BQ360&amp;"",BD360&amp;""))</f>
        <v/>
      </c>
      <c r="I360" s="0" t="str">
        <f aca="false">IF($A360="","",IF(R360="Y","warm-intro",IF(H360="verified","email",IF(C360&lt;&gt;"","linkedin",CA360&amp;""))))</f>
        <v/>
      </c>
      <c r="J360" s="0" t="str">
        <f aca="false">IF($A360="","",IF(CK360="pass",ROUND(N(DO360)+N(DP360)+N(DQ360)+N(DR360)+N(DS360)+N(DT360)+N(DU360)+N(DV360),0),0))</f>
        <v/>
      </c>
      <c r="K360" s="0" t="str">
        <f aca="false">IF($A360="","",IF(CK360&lt;&gt;"pass",BY360&amp;"",BY360&amp;", "&amp;IF(AT360="Y",BX360&amp;"",BK360&amp;"")&amp;BZ360&amp;IF(R360="Y","; known to the founder (+10)","")&amp;"."))</f>
        <v/>
      </c>
      <c r="R360" s="5"/>
      <c r="T360" s="5"/>
      <c r="U360" s="5"/>
      <c r="Y360" s="0" t="str">
        <f aca="false">IF(FA360&lt;&gt;"Y","",COUNTIFS($FA$2:$FA$1000,"Y",$J$2:$J$1000,"&gt;"&amp;J360)+COUNTIFS($FA$2:$FA$1000,"Y",$J$2:$J$1000,J360,$FG$2:$FG$1000,"&lt;"&amp;FG360)+1)</f>
        <v/>
      </c>
      <c r="AB360" s="0" t="str">
        <f aca="false">IF($A360="","",IF(AT360="Y",BW360&amp;"",BJ360&amp;""))</f>
        <v/>
      </c>
      <c r="AC360" s="0" t="str">
        <f aca="false">IF($A360="","",IF(AT360="Y",BR360&amp;"",BE360&amp;""))</f>
        <v/>
      </c>
      <c r="AD360" s="0" t="str">
        <f aca="false">IF($A360="","",IF(AT360="Y",BS360&amp;"",BF360&amp;""))</f>
        <v/>
      </c>
      <c r="AE360" s="0" t="str">
        <f aca="false">IF($A360="","",IF(AT360="Y",BT360&amp;"",BG360&amp;""))</f>
        <v/>
      </c>
      <c r="AF360" s="0" t="str">
        <f aca="false">IF($A360="","",IF(AT360="Y",BU360&amp;"",BH360&amp;""))</f>
        <v/>
      </c>
      <c r="AG360" s="0" t="str">
        <f aca="false">IF($A360="","",IF(AT360="Y",BV360&amp;"",BI360&amp;""))</f>
        <v/>
      </c>
      <c r="AO360" s="5"/>
      <c r="AR360" s="0" t="str">
        <f aca="false">IF($A360="","",IF(AND(CK360="pass",AO360&lt;&gt;"Y",C360&lt;&gt;"",OR(AU360&lt;&gt;"Y",AV360="Y")),"Y","N"))</f>
        <v/>
      </c>
      <c r="AS360" s="0" t="str">
        <f aca="false">IF($A360="","",_xlfn.TEXTJOIN("; ",TRUE(),IF(CK360&lt;&gt;"pass","gated out",""),IF(AO360="Y","on hold: "&amp;AP360,""),IF(C360="","no contact named on an opened page",""),IF(AND(AU360="Y",AV360&lt;&gt;"Y"),"founder review pending (Founder review tab)","")))</f>
        <v/>
      </c>
      <c r="BC360" s="0" t="str">
        <f aca="false">IF($A360="","",IFERROR(INDEX(Enrichment!$A$2:$GZ$2000,MATCH($A360,INDEX(Enrichment!$A$2:$GZ$2000,0,MATCH("row_id",Enrichment!$A$1:$GZ$1,0)),0),MATCH("work_email",Enrichment!$A$1:$GZ$1,0))&amp;"",""))</f>
        <v/>
      </c>
      <c r="BD360" s="0" t="str">
        <f aca="false">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P360" s="0" t="str">
        <f aca="false">IF($A360="","",IFERROR(INDEX(Enrichment!$A$2:$GZ$2000,MATCH($A360,INDEX(Enrichment!$A$2:$GZ$2000,0,MATCH("row_id",Enrichment!$A$1:$GZ$1,0)),0),MATCH("backup_work_email",Enrichment!$A$1:$GZ$1,0))&amp;"",""))</f>
        <v/>
      </c>
      <c r="BQ360" s="0" t="str">
        <f aca="false">IF($A360="","",IF(BP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DU360" s="0" t="str">
        <f aca="false">IF($A360="","",IF(R360="Y",10,0))</f>
        <v/>
      </c>
      <c r="EV360" s="0" t="str">
        <f aca="false">IF($A360="","",IF(ISNUMBER(MATCH(U360,{"queued","contacted","replied","call_booked","call_done","yes_in_principle","materials_sent"},0)),"Y","N"))</f>
        <v/>
      </c>
      <c r="EW360" s="0" t="str">
        <f aca="false">IF($A360="","",IF(OR(T360="Y",U360="do_not_contact",AQ360&amp;""&lt;&gt;""),"Y","N"))</f>
        <v/>
      </c>
      <c r="EX360" s="0" t="str">
        <f aca="false">IF($A360="","",IF(AN360&amp;""&lt;&gt;"",AN360&amp;"",$A360))</f>
        <v/>
      </c>
      <c r="EY360" s="0" t="str">
        <f aca="false">IF($A360="","",IF(COUNTIFS($EX$2:$EX$1000,EX360,$EV$2:$EV$1000,"Y")+COUNTIFS($EX$2:$EX$1000,EX360,$EW$2:$EW$1000,"Y")&gt;0,"Y","N"))</f>
        <v/>
      </c>
      <c r="EZ360" s="0" t="str">
        <f aca="false">IF($A360="","",IF(AND(U360="new",T360="N",EW360="N",AR360="Y",EY360="N"),"Y","N"))</f>
        <v/>
      </c>
      <c r="FA360" s="0" t="str">
        <f aca="false">IF($A360="","",IF(EZ360&lt;&gt;"Y","N",IF(COUNTIFS($EX$2:$EX$1000,EX360,$EZ$2:$EZ$1000,"Y",$J$2:$J$1000,"&gt;"&amp;J360)+COUNTIFS($EX$2:$EX$1000,EX360,$EZ$2:$EZ$1000,"Y",$J$2:$J$1000,J360,$FG$2:$FG$1000,"&lt;"&amp;FG360)=0,"Y","N")))</f>
        <v/>
      </c>
      <c r="FB360" s="0" t="str">
        <f aca="false">IF($A360="","",IF(AND(EZ360="Y",FA360="Y",Y360&amp;""&lt;&gt;""),IF(Y360&lt;=10,"Y","N"),"N"))</f>
        <v/>
      </c>
      <c r="FC360" s="0" t="str">
        <f aca="false">IF(FB360="Y",Y360,"")</f>
        <v/>
      </c>
      <c r="FD360" s="0" t="str">
        <f aca="false">IF($A360="","",IF(AND(CK360="pass",AU360="Y",AV360&lt;&gt;"Y",U360="new",EW360="N"),"Y","N"))</f>
        <v/>
      </c>
      <c r="FE360" s="0" t="str">
        <f aca="false">IF(FD360&lt;&gt;"Y","",IF(COUNTIFS($FD$2:$FD$1000,"Y",$J$2:$J$1000,"&gt;"&amp;J360)+COUNTIFS($FD$2:$FD$1000,"Y",$J$2:$J$1000,J360,$FG$2:$FG$1000,"&lt;"&amp;FG360)+1&lt;=30,COUNTIFS($FD$2:$FD$1000,"Y",$J$2:$J$1000,"&gt;"&amp;J360)+COUNTIFS($FD$2:$FD$1000,"Y",$J$2:$J$1000,J360,$FG$2:$FG$1000,"&lt;"&amp;FG360)+1,""))</f>
        <v/>
      </c>
      <c r="FF360" s="0" t="str">
        <f aca="false">IF(AND(_xlfn.ISFORMULA(C360),_xlfn.ISFORMULA(J360)),"Y","N")</f>
        <v>Y</v>
      </c>
      <c r="FG360" s="0" t="n">
        <f aca="false">ROW()-1</f>
        <v>359</v>
      </c>
    </row>
    <row r="361" customFormat="false" ht="15" hidden="false" customHeight="false" outlineLevel="0" collapsed="false">
      <c r="C361" s="0" t="str">
        <f aca="false">IF($A361="","",IF(AT361="Y",BL361&amp;"",AY361&amp;""))</f>
        <v/>
      </c>
      <c r="D361" s="0" t="str">
        <f aca="false">IF($A361="","",IF(AT361="Y",BM361&amp;"",AZ361&amp;""))</f>
        <v/>
      </c>
      <c r="E361" s="0" t="str">
        <f aca="false">IF($A361="","",IF(AT361="Y",BN361&amp;"",BA361&amp;""))</f>
        <v/>
      </c>
      <c r="F361" s="0" t="str">
        <f aca="false">IF($A361="","",IF(AT361="Y",BO361&amp;"",BB361&amp;""))</f>
        <v/>
      </c>
      <c r="G361" s="0" t="str">
        <f aca="false">IF($A361="","",IF(AT361="Y",BP361&amp;"",BC361&amp;""))</f>
        <v/>
      </c>
      <c r="H361" s="0" t="str">
        <f aca="false">IF($A361="","",IF(AT361="Y",BQ361&amp;"",BD361&amp;""))</f>
        <v/>
      </c>
      <c r="I361" s="0" t="str">
        <f aca="false">IF($A361="","",IF(R361="Y","warm-intro",IF(H361="verified","email",IF(C361&lt;&gt;"","linkedin",CA361&amp;""))))</f>
        <v/>
      </c>
      <c r="J361" s="0" t="str">
        <f aca="false">IF($A361="","",IF(CK361="pass",ROUND(N(DO361)+N(DP361)+N(DQ361)+N(DR361)+N(DS361)+N(DT361)+N(DU361)+N(DV361),0),0))</f>
        <v/>
      </c>
      <c r="K361" s="0" t="str">
        <f aca="false">IF($A361="","",IF(CK361&lt;&gt;"pass",BY361&amp;"",BY361&amp;", "&amp;IF(AT361="Y",BX361&amp;"",BK361&amp;"")&amp;BZ361&amp;IF(R361="Y","; known to the founder (+10)","")&amp;"."))</f>
        <v/>
      </c>
      <c r="R361" s="5"/>
      <c r="T361" s="5"/>
      <c r="U361" s="5"/>
      <c r="Y361" s="0" t="str">
        <f aca="false">IF(FA361&lt;&gt;"Y","",COUNTIFS($FA$2:$FA$1000,"Y",$J$2:$J$1000,"&gt;"&amp;J361)+COUNTIFS($FA$2:$FA$1000,"Y",$J$2:$J$1000,J361,$FG$2:$FG$1000,"&lt;"&amp;FG361)+1)</f>
        <v/>
      </c>
      <c r="AB361" s="0" t="str">
        <f aca="false">IF($A361="","",IF(AT361="Y",BW361&amp;"",BJ361&amp;""))</f>
        <v/>
      </c>
      <c r="AC361" s="0" t="str">
        <f aca="false">IF($A361="","",IF(AT361="Y",BR361&amp;"",BE361&amp;""))</f>
        <v/>
      </c>
      <c r="AD361" s="0" t="str">
        <f aca="false">IF($A361="","",IF(AT361="Y",BS361&amp;"",BF361&amp;""))</f>
        <v/>
      </c>
      <c r="AE361" s="0" t="str">
        <f aca="false">IF($A361="","",IF(AT361="Y",BT361&amp;"",BG361&amp;""))</f>
        <v/>
      </c>
      <c r="AF361" s="0" t="str">
        <f aca="false">IF($A361="","",IF(AT361="Y",BU361&amp;"",BH361&amp;""))</f>
        <v/>
      </c>
      <c r="AG361" s="0" t="str">
        <f aca="false">IF($A361="","",IF(AT361="Y",BV361&amp;"",BI361&amp;""))</f>
        <v/>
      </c>
      <c r="AO361" s="5"/>
      <c r="AR361" s="0" t="str">
        <f aca="false">IF($A361="","",IF(AND(CK361="pass",AO361&lt;&gt;"Y",C361&lt;&gt;"",OR(AU361&lt;&gt;"Y",AV361="Y")),"Y","N"))</f>
        <v/>
      </c>
      <c r="AS361" s="0" t="str">
        <f aca="false">IF($A361="","",_xlfn.TEXTJOIN("; ",TRUE(),IF(CK361&lt;&gt;"pass","gated out",""),IF(AO361="Y","on hold: "&amp;AP361,""),IF(C361="","no contact named on an opened page",""),IF(AND(AU361="Y",AV361&lt;&gt;"Y"),"founder review pending (Founder review tab)","")))</f>
        <v/>
      </c>
      <c r="BC361" s="0" t="str">
        <f aca="false">IF($A361="","",IFERROR(INDEX(Enrichment!$A$2:$GZ$2000,MATCH($A361,INDEX(Enrichment!$A$2:$GZ$2000,0,MATCH("row_id",Enrichment!$A$1:$GZ$1,0)),0),MATCH("work_email",Enrichment!$A$1:$GZ$1,0))&amp;"",""))</f>
        <v/>
      </c>
      <c r="BD361" s="0" t="str">
        <f aca="false">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P361" s="0" t="str">
        <f aca="false">IF($A361="","",IFERROR(INDEX(Enrichment!$A$2:$GZ$2000,MATCH($A361,INDEX(Enrichment!$A$2:$GZ$2000,0,MATCH("row_id",Enrichment!$A$1:$GZ$1,0)),0),MATCH("backup_work_email",Enrichment!$A$1:$GZ$1,0))&amp;"",""))</f>
        <v/>
      </c>
      <c r="BQ361" s="0" t="str">
        <f aca="false">IF($A361="","",IF(BP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DU361" s="0" t="str">
        <f aca="false">IF($A361="","",IF(R361="Y",10,0))</f>
        <v/>
      </c>
      <c r="EV361" s="0" t="str">
        <f aca="false">IF($A361="","",IF(ISNUMBER(MATCH(U361,{"queued","contacted","replied","call_booked","call_done","yes_in_principle","materials_sent"},0)),"Y","N"))</f>
        <v/>
      </c>
      <c r="EW361" s="0" t="str">
        <f aca="false">IF($A361="","",IF(OR(T361="Y",U361="do_not_contact",AQ361&amp;""&lt;&gt;""),"Y","N"))</f>
        <v/>
      </c>
      <c r="EX361" s="0" t="str">
        <f aca="false">IF($A361="","",IF(AN361&amp;""&lt;&gt;"",AN361&amp;"",$A361))</f>
        <v/>
      </c>
      <c r="EY361" s="0" t="str">
        <f aca="false">IF($A361="","",IF(COUNTIFS($EX$2:$EX$1000,EX361,$EV$2:$EV$1000,"Y")+COUNTIFS($EX$2:$EX$1000,EX361,$EW$2:$EW$1000,"Y")&gt;0,"Y","N"))</f>
        <v/>
      </c>
      <c r="EZ361" s="0" t="str">
        <f aca="false">IF($A361="","",IF(AND(U361="new",T361="N",EW361="N",AR361="Y",EY361="N"),"Y","N"))</f>
        <v/>
      </c>
      <c r="FA361" s="0" t="str">
        <f aca="false">IF($A361="","",IF(EZ361&lt;&gt;"Y","N",IF(COUNTIFS($EX$2:$EX$1000,EX361,$EZ$2:$EZ$1000,"Y",$J$2:$J$1000,"&gt;"&amp;J361)+COUNTIFS($EX$2:$EX$1000,EX361,$EZ$2:$EZ$1000,"Y",$J$2:$J$1000,J361,$FG$2:$FG$1000,"&lt;"&amp;FG361)=0,"Y","N")))</f>
        <v/>
      </c>
      <c r="FB361" s="0" t="str">
        <f aca="false">IF($A361="","",IF(AND(EZ361="Y",FA361="Y",Y361&amp;""&lt;&gt;""),IF(Y361&lt;=10,"Y","N"),"N"))</f>
        <v/>
      </c>
      <c r="FC361" s="0" t="str">
        <f aca="false">IF(FB361="Y",Y361,"")</f>
        <v/>
      </c>
      <c r="FD361" s="0" t="str">
        <f aca="false">IF($A361="","",IF(AND(CK361="pass",AU361="Y",AV361&lt;&gt;"Y",U361="new",EW361="N"),"Y","N"))</f>
        <v/>
      </c>
      <c r="FE361" s="0" t="str">
        <f aca="false">IF(FD361&lt;&gt;"Y","",IF(COUNTIFS($FD$2:$FD$1000,"Y",$J$2:$J$1000,"&gt;"&amp;J361)+COUNTIFS($FD$2:$FD$1000,"Y",$J$2:$J$1000,J361,$FG$2:$FG$1000,"&lt;"&amp;FG361)+1&lt;=30,COUNTIFS($FD$2:$FD$1000,"Y",$J$2:$J$1000,"&gt;"&amp;J361)+COUNTIFS($FD$2:$FD$1000,"Y",$J$2:$J$1000,J361,$FG$2:$FG$1000,"&lt;"&amp;FG361)+1,""))</f>
        <v/>
      </c>
      <c r="FF361" s="0" t="str">
        <f aca="false">IF(AND(_xlfn.ISFORMULA(C361),_xlfn.ISFORMULA(J361)),"Y","N")</f>
        <v>Y</v>
      </c>
      <c r="FG361" s="0" t="n">
        <f aca="false">ROW()-1</f>
        <v>360</v>
      </c>
    </row>
    <row r="362" customFormat="false" ht="15" hidden="false" customHeight="false" outlineLevel="0" collapsed="false">
      <c r="C362" s="0" t="str">
        <f aca="false">IF($A362="","",IF(AT362="Y",BL362&amp;"",AY362&amp;""))</f>
        <v/>
      </c>
      <c r="D362" s="0" t="str">
        <f aca="false">IF($A362="","",IF(AT362="Y",BM362&amp;"",AZ362&amp;""))</f>
        <v/>
      </c>
      <c r="E362" s="0" t="str">
        <f aca="false">IF($A362="","",IF(AT362="Y",BN362&amp;"",BA362&amp;""))</f>
        <v/>
      </c>
      <c r="F362" s="0" t="str">
        <f aca="false">IF($A362="","",IF(AT362="Y",BO362&amp;"",BB362&amp;""))</f>
        <v/>
      </c>
      <c r="G362" s="0" t="str">
        <f aca="false">IF($A362="","",IF(AT362="Y",BP362&amp;"",BC362&amp;""))</f>
        <v/>
      </c>
      <c r="H362" s="0" t="str">
        <f aca="false">IF($A362="","",IF(AT362="Y",BQ362&amp;"",BD362&amp;""))</f>
        <v/>
      </c>
      <c r="I362" s="0" t="str">
        <f aca="false">IF($A362="","",IF(R362="Y","warm-intro",IF(H362="verified","email",IF(C362&lt;&gt;"","linkedin",CA362&amp;""))))</f>
        <v/>
      </c>
      <c r="J362" s="0" t="str">
        <f aca="false">IF($A362="","",IF(CK362="pass",ROUND(N(DO362)+N(DP362)+N(DQ362)+N(DR362)+N(DS362)+N(DT362)+N(DU362)+N(DV362),0),0))</f>
        <v/>
      </c>
      <c r="K362" s="0" t="str">
        <f aca="false">IF($A362="","",IF(CK362&lt;&gt;"pass",BY362&amp;"",BY362&amp;", "&amp;IF(AT362="Y",BX362&amp;"",BK362&amp;"")&amp;BZ362&amp;IF(R362="Y","; known to the founder (+10)","")&amp;"."))</f>
        <v/>
      </c>
      <c r="R362" s="5"/>
      <c r="T362" s="5"/>
      <c r="U362" s="5"/>
      <c r="Y362" s="0" t="str">
        <f aca="false">IF(FA362&lt;&gt;"Y","",COUNTIFS($FA$2:$FA$1000,"Y",$J$2:$J$1000,"&gt;"&amp;J362)+COUNTIFS($FA$2:$FA$1000,"Y",$J$2:$J$1000,J362,$FG$2:$FG$1000,"&lt;"&amp;FG362)+1)</f>
        <v/>
      </c>
      <c r="AB362" s="0" t="str">
        <f aca="false">IF($A362="","",IF(AT362="Y",BW362&amp;"",BJ362&amp;""))</f>
        <v/>
      </c>
      <c r="AC362" s="0" t="str">
        <f aca="false">IF($A362="","",IF(AT362="Y",BR362&amp;"",BE362&amp;""))</f>
        <v/>
      </c>
      <c r="AD362" s="0" t="str">
        <f aca="false">IF($A362="","",IF(AT362="Y",BS362&amp;"",BF362&amp;""))</f>
        <v/>
      </c>
      <c r="AE362" s="0" t="str">
        <f aca="false">IF($A362="","",IF(AT362="Y",BT362&amp;"",BG362&amp;""))</f>
        <v/>
      </c>
      <c r="AF362" s="0" t="str">
        <f aca="false">IF($A362="","",IF(AT362="Y",BU362&amp;"",BH362&amp;""))</f>
        <v/>
      </c>
      <c r="AG362" s="0" t="str">
        <f aca="false">IF($A362="","",IF(AT362="Y",BV362&amp;"",BI362&amp;""))</f>
        <v/>
      </c>
      <c r="AO362" s="5"/>
      <c r="AR362" s="0" t="str">
        <f aca="false">IF($A362="","",IF(AND(CK362="pass",AO362&lt;&gt;"Y",C362&lt;&gt;"",OR(AU362&lt;&gt;"Y",AV362="Y")),"Y","N"))</f>
        <v/>
      </c>
      <c r="AS362" s="0" t="str">
        <f aca="false">IF($A362="","",_xlfn.TEXTJOIN("; ",TRUE(),IF(CK362&lt;&gt;"pass","gated out",""),IF(AO362="Y","on hold: "&amp;AP362,""),IF(C362="","no contact named on an opened page",""),IF(AND(AU362="Y",AV362&lt;&gt;"Y"),"founder review pending (Founder review tab)","")))</f>
        <v/>
      </c>
      <c r="BC362" s="0" t="str">
        <f aca="false">IF($A362="","",IFERROR(INDEX(Enrichment!$A$2:$GZ$2000,MATCH($A362,INDEX(Enrichment!$A$2:$GZ$2000,0,MATCH("row_id",Enrichment!$A$1:$GZ$1,0)),0),MATCH("work_email",Enrichment!$A$1:$GZ$1,0))&amp;"",""))</f>
        <v/>
      </c>
      <c r="BD362" s="0" t="str">
        <f aca="false">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P362" s="0" t="str">
        <f aca="false">IF($A362="","",IFERROR(INDEX(Enrichment!$A$2:$GZ$2000,MATCH($A362,INDEX(Enrichment!$A$2:$GZ$2000,0,MATCH("row_id",Enrichment!$A$1:$GZ$1,0)),0),MATCH("backup_work_email",Enrichment!$A$1:$GZ$1,0))&amp;"",""))</f>
        <v/>
      </c>
      <c r="BQ362" s="0" t="str">
        <f aca="false">IF($A362="","",IF(BP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DU362" s="0" t="str">
        <f aca="false">IF($A362="","",IF(R362="Y",10,0))</f>
        <v/>
      </c>
      <c r="EV362" s="0" t="str">
        <f aca="false">IF($A362="","",IF(ISNUMBER(MATCH(U362,{"queued","contacted","replied","call_booked","call_done","yes_in_principle","materials_sent"},0)),"Y","N"))</f>
        <v/>
      </c>
      <c r="EW362" s="0" t="str">
        <f aca="false">IF($A362="","",IF(OR(T362="Y",U362="do_not_contact",AQ362&amp;""&lt;&gt;""),"Y","N"))</f>
        <v/>
      </c>
      <c r="EX362" s="0" t="str">
        <f aca="false">IF($A362="","",IF(AN362&amp;""&lt;&gt;"",AN362&amp;"",$A362))</f>
        <v/>
      </c>
      <c r="EY362" s="0" t="str">
        <f aca="false">IF($A362="","",IF(COUNTIFS($EX$2:$EX$1000,EX362,$EV$2:$EV$1000,"Y")+COUNTIFS($EX$2:$EX$1000,EX362,$EW$2:$EW$1000,"Y")&gt;0,"Y","N"))</f>
        <v/>
      </c>
      <c r="EZ362" s="0" t="str">
        <f aca="false">IF($A362="","",IF(AND(U362="new",T362="N",EW362="N",AR362="Y",EY362="N"),"Y","N"))</f>
        <v/>
      </c>
      <c r="FA362" s="0" t="str">
        <f aca="false">IF($A362="","",IF(EZ362&lt;&gt;"Y","N",IF(COUNTIFS($EX$2:$EX$1000,EX362,$EZ$2:$EZ$1000,"Y",$J$2:$J$1000,"&gt;"&amp;J362)+COUNTIFS($EX$2:$EX$1000,EX362,$EZ$2:$EZ$1000,"Y",$J$2:$J$1000,J362,$FG$2:$FG$1000,"&lt;"&amp;FG362)=0,"Y","N")))</f>
        <v/>
      </c>
      <c r="FB362" s="0" t="str">
        <f aca="false">IF($A362="","",IF(AND(EZ362="Y",FA362="Y",Y362&amp;""&lt;&gt;""),IF(Y362&lt;=10,"Y","N"),"N"))</f>
        <v/>
      </c>
      <c r="FC362" s="0" t="str">
        <f aca="false">IF(FB362="Y",Y362,"")</f>
        <v/>
      </c>
      <c r="FD362" s="0" t="str">
        <f aca="false">IF($A362="","",IF(AND(CK362="pass",AU362="Y",AV362&lt;&gt;"Y",U362="new",EW362="N"),"Y","N"))</f>
        <v/>
      </c>
      <c r="FE362" s="0" t="str">
        <f aca="false">IF(FD362&lt;&gt;"Y","",IF(COUNTIFS($FD$2:$FD$1000,"Y",$J$2:$J$1000,"&gt;"&amp;J362)+COUNTIFS($FD$2:$FD$1000,"Y",$J$2:$J$1000,J362,$FG$2:$FG$1000,"&lt;"&amp;FG362)+1&lt;=30,COUNTIFS($FD$2:$FD$1000,"Y",$J$2:$J$1000,"&gt;"&amp;J362)+COUNTIFS($FD$2:$FD$1000,"Y",$J$2:$J$1000,J362,$FG$2:$FG$1000,"&lt;"&amp;FG362)+1,""))</f>
        <v/>
      </c>
      <c r="FF362" s="0" t="str">
        <f aca="false">IF(AND(_xlfn.ISFORMULA(C362),_xlfn.ISFORMULA(J362)),"Y","N")</f>
        <v>Y</v>
      </c>
      <c r="FG362" s="0" t="n">
        <f aca="false">ROW()-1</f>
        <v>361</v>
      </c>
    </row>
    <row r="363" customFormat="false" ht="15" hidden="false" customHeight="false" outlineLevel="0" collapsed="false">
      <c r="C363" s="0" t="str">
        <f aca="false">IF($A363="","",IF(AT363="Y",BL363&amp;"",AY363&amp;""))</f>
        <v/>
      </c>
      <c r="D363" s="0" t="str">
        <f aca="false">IF($A363="","",IF(AT363="Y",BM363&amp;"",AZ363&amp;""))</f>
        <v/>
      </c>
      <c r="E363" s="0" t="str">
        <f aca="false">IF($A363="","",IF(AT363="Y",BN363&amp;"",BA363&amp;""))</f>
        <v/>
      </c>
      <c r="F363" s="0" t="str">
        <f aca="false">IF($A363="","",IF(AT363="Y",BO363&amp;"",BB363&amp;""))</f>
        <v/>
      </c>
      <c r="G363" s="0" t="str">
        <f aca="false">IF($A363="","",IF(AT363="Y",BP363&amp;"",BC363&amp;""))</f>
        <v/>
      </c>
      <c r="H363" s="0" t="str">
        <f aca="false">IF($A363="","",IF(AT363="Y",BQ363&amp;"",BD363&amp;""))</f>
        <v/>
      </c>
      <c r="I363" s="0" t="str">
        <f aca="false">IF($A363="","",IF(R363="Y","warm-intro",IF(H363="verified","email",IF(C363&lt;&gt;"","linkedin",CA363&amp;""))))</f>
        <v/>
      </c>
      <c r="J363" s="0" t="str">
        <f aca="false">IF($A363="","",IF(CK363="pass",ROUND(N(DO363)+N(DP363)+N(DQ363)+N(DR363)+N(DS363)+N(DT363)+N(DU363)+N(DV363),0),0))</f>
        <v/>
      </c>
      <c r="K363" s="0" t="str">
        <f aca="false">IF($A363="","",IF(CK363&lt;&gt;"pass",BY363&amp;"",BY363&amp;", "&amp;IF(AT363="Y",BX363&amp;"",BK363&amp;"")&amp;BZ363&amp;IF(R363="Y","; known to the founder (+10)","")&amp;"."))</f>
        <v/>
      </c>
      <c r="R363" s="5"/>
      <c r="T363" s="5"/>
      <c r="U363" s="5"/>
      <c r="Y363" s="0" t="str">
        <f aca="false">IF(FA363&lt;&gt;"Y","",COUNTIFS($FA$2:$FA$1000,"Y",$J$2:$J$1000,"&gt;"&amp;J363)+COUNTIFS($FA$2:$FA$1000,"Y",$J$2:$J$1000,J363,$FG$2:$FG$1000,"&lt;"&amp;FG363)+1)</f>
        <v/>
      </c>
      <c r="AB363" s="0" t="str">
        <f aca="false">IF($A363="","",IF(AT363="Y",BW363&amp;"",BJ363&amp;""))</f>
        <v/>
      </c>
      <c r="AC363" s="0" t="str">
        <f aca="false">IF($A363="","",IF(AT363="Y",BR363&amp;"",BE363&amp;""))</f>
        <v/>
      </c>
      <c r="AD363" s="0" t="str">
        <f aca="false">IF($A363="","",IF(AT363="Y",BS363&amp;"",BF363&amp;""))</f>
        <v/>
      </c>
      <c r="AE363" s="0" t="str">
        <f aca="false">IF($A363="","",IF(AT363="Y",BT363&amp;"",BG363&amp;""))</f>
        <v/>
      </c>
      <c r="AF363" s="0" t="str">
        <f aca="false">IF($A363="","",IF(AT363="Y",BU363&amp;"",BH363&amp;""))</f>
        <v/>
      </c>
      <c r="AG363" s="0" t="str">
        <f aca="false">IF($A363="","",IF(AT363="Y",BV363&amp;"",BI363&amp;""))</f>
        <v/>
      </c>
      <c r="AO363" s="5"/>
      <c r="AR363" s="0" t="str">
        <f aca="false">IF($A363="","",IF(AND(CK363="pass",AO363&lt;&gt;"Y",C363&lt;&gt;"",OR(AU363&lt;&gt;"Y",AV363="Y")),"Y","N"))</f>
        <v/>
      </c>
      <c r="AS363" s="0" t="str">
        <f aca="false">IF($A363="","",_xlfn.TEXTJOIN("; ",TRUE(),IF(CK363&lt;&gt;"pass","gated out",""),IF(AO363="Y","on hold: "&amp;AP363,""),IF(C363="","no contact named on an opened page",""),IF(AND(AU363="Y",AV363&lt;&gt;"Y"),"founder review pending (Founder review tab)","")))</f>
        <v/>
      </c>
      <c r="BC363" s="0" t="str">
        <f aca="false">IF($A363="","",IFERROR(INDEX(Enrichment!$A$2:$GZ$2000,MATCH($A363,INDEX(Enrichment!$A$2:$GZ$2000,0,MATCH("row_id",Enrichment!$A$1:$GZ$1,0)),0),MATCH("work_email",Enrichment!$A$1:$GZ$1,0))&amp;"",""))</f>
        <v/>
      </c>
      <c r="BD363" s="0" t="str">
        <f aca="false">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P363" s="0" t="str">
        <f aca="false">IF($A363="","",IFERROR(INDEX(Enrichment!$A$2:$GZ$2000,MATCH($A363,INDEX(Enrichment!$A$2:$GZ$2000,0,MATCH("row_id",Enrichment!$A$1:$GZ$1,0)),0),MATCH("backup_work_email",Enrichment!$A$1:$GZ$1,0))&amp;"",""))</f>
        <v/>
      </c>
      <c r="BQ363" s="0" t="str">
        <f aca="false">IF($A363="","",IF(BP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DU363" s="0" t="str">
        <f aca="false">IF($A363="","",IF(R363="Y",10,0))</f>
        <v/>
      </c>
      <c r="EV363" s="0" t="str">
        <f aca="false">IF($A363="","",IF(ISNUMBER(MATCH(U363,{"queued","contacted","replied","call_booked","call_done","yes_in_principle","materials_sent"},0)),"Y","N"))</f>
        <v/>
      </c>
      <c r="EW363" s="0" t="str">
        <f aca="false">IF($A363="","",IF(OR(T363="Y",U363="do_not_contact",AQ363&amp;""&lt;&gt;""),"Y","N"))</f>
        <v/>
      </c>
      <c r="EX363" s="0" t="str">
        <f aca="false">IF($A363="","",IF(AN363&amp;""&lt;&gt;"",AN363&amp;"",$A363))</f>
        <v/>
      </c>
      <c r="EY363" s="0" t="str">
        <f aca="false">IF($A363="","",IF(COUNTIFS($EX$2:$EX$1000,EX363,$EV$2:$EV$1000,"Y")+COUNTIFS($EX$2:$EX$1000,EX363,$EW$2:$EW$1000,"Y")&gt;0,"Y","N"))</f>
        <v/>
      </c>
      <c r="EZ363" s="0" t="str">
        <f aca="false">IF($A363="","",IF(AND(U363="new",T363="N",EW363="N",AR363="Y",EY363="N"),"Y","N"))</f>
        <v/>
      </c>
      <c r="FA363" s="0" t="str">
        <f aca="false">IF($A363="","",IF(EZ363&lt;&gt;"Y","N",IF(COUNTIFS($EX$2:$EX$1000,EX363,$EZ$2:$EZ$1000,"Y",$J$2:$J$1000,"&gt;"&amp;J363)+COUNTIFS($EX$2:$EX$1000,EX363,$EZ$2:$EZ$1000,"Y",$J$2:$J$1000,J363,$FG$2:$FG$1000,"&lt;"&amp;FG363)=0,"Y","N")))</f>
        <v/>
      </c>
      <c r="FB363" s="0" t="str">
        <f aca="false">IF($A363="","",IF(AND(EZ363="Y",FA363="Y",Y363&amp;""&lt;&gt;""),IF(Y363&lt;=10,"Y","N"),"N"))</f>
        <v/>
      </c>
      <c r="FC363" s="0" t="str">
        <f aca="false">IF(FB363="Y",Y363,"")</f>
        <v/>
      </c>
      <c r="FD363" s="0" t="str">
        <f aca="false">IF($A363="","",IF(AND(CK363="pass",AU363="Y",AV363&lt;&gt;"Y",U363="new",EW363="N"),"Y","N"))</f>
        <v/>
      </c>
      <c r="FE363" s="0" t="str">
        <f aca="false">IF(FD363&lt;&gt;"Y","",IF(COUNTIFS($FD$2:$FD$1000,"Y",$J$2:$J$1000,"&gt;"&amp;J363)+COUNTIFS($FD$2:$FD$1000,"Y",$J$2:$J$1000,J363,$FG$2:$FG$1000,"&lt;"&amp;FG363)+1&lt;=30,COUNTIFS($FD$2:$FD$1000,"Y",$J$2:$J$1000,"&gt;"&amp;J363)+COUNTIFS($FD$2:$FD$1000,"Y",$J$2:$J$1000,J363,$FG$2:$FG$1000,"&lt;"&amp;FG363)+1,""))</f>
        <v/>
      </c>
      <c r="FF363" s="0" t="str">
        <f aca="false">IF(AND(_xlfn.ISFORMULA(C363),_xlfn.ISFORMULA(J363)),"Y","N")</f>
        <v>Y</v>
      </c>
      <c r="FG363" s="0" t="n">
        <f aca="false">ROW()-1</f>
        <v>362</v>
      </c>
    </row>
    <row r="364" customFormat="false" ht="15" hidden="false" customHeight="false" outlineLevel="0" collapsed="false">
      <c r="C364" s="0" t="str">
        <f aca="false">IF($A364="","",IF(AT364="Y",BL364&amp;"",AY364&amp;""))</f>
        <v/>
      </c>
      <c r="D364" s="0" t="str">
        <f aca="false">IF($A364="","",IF(AT364="Y",BM364&amp;"",AZ364&amp;""))</f>
        <v/>
      </c>
      <c r="E364" s="0" t="str">
        <f aca="false">IF($A364="","",IF(AT364="Y",BN364&amp;"",BA364&amp;""))</f>
        <v/>
      </c>
      <c r="F364" s="0" t="str">
        <f aca="false">IF($A364="","",IF(AT364="Y",BO364&amp;"",BB364&amp;""))</f>
        <v/>
      </c>
      <c r="G364" s="0" t="str">
        <f aca="false">IF($A364="","",IF(AT364="Y",BP364&amp;"",BC364&amp;""))</f>
        <v/>
      </c>
      <c r="H364" s="0" t="str">
        <f aca="false">IF($A364="","",IF(AT364="Y",BQ364&amp;"",BD364&amp;""))</f>
        <v/>
      </c>
      <c r="I364" s="0" t="str">
        <f aca="false">IF($A364="","",IF(R364="Y","warm-intro",IF(H364="verified","email",IF(C364&lt;&gt;"","linkedin",CA364&amp;""))))</f>
        <v/>
      </c>
      <c r="J364" s="0" t="str">
        <f aca="false">IF($A364="","",IF(CK364="pass",ROUND(N(DO364)+N(DP364)+N(DQ364)+N(DR364)+N(DS364)+N(DT364)+N(DU364)+N(DV364),0),0))</f>
        <v/>
      </c>
      <c r="K364" s="0" t="str">
        <f aca="false">IF($A364="","",IF(CK364&lt;&gt;"pass",BY364&amp;"",BY364&amp;", "&amp;IF(AT364="Y",BX364&amp;"",BK364&amp;"")&amp;BZ364&amp;IF(R364="Y","; known to the founder (+10)","")&amp;"."))</f>
        <v/>
      </c>
      <c r="R364" s="5"/>
      <c r="T364" s="5"/>
      <c r="U364" s="5"/>
      <c r="Y364" s="0" t="str">
        <f aca="false">IF(FA364&lt;&gt;"Y","",COUNTIFS($FA$2:$FA$1000,"Y",$J$2:$J$1000,"&gt;"&amp;J364)+COUNTIFS($FA$2:$FA$1000,"Y",$J$2:$J$1000,J364,$FG$2:$FG$1000,"&lt;"&amp;FG364)+1)</f>
        <v/>
      </c>
      <c r="AB364" s="0" t="str">
        <f aca="false">IF($A364="","",IF(AT364="Y",BW364&amp;"",BJ364&amp;""))</f>
        <v/>
      </c>
      <c r="AC364" s="0" t="str">
        <f aca="false">IF($A364="","",IF(AT364="Y",BR364&amp;"",BE364&amp;""))</f>
        <v/>
      </c>
      <c r="AD364" s="0" t="str">
        <f aca="false">IF($A364="","",IF(AT364="Y",BS364&amp;"",BF364&amp;""))</f>
        <v/>
      </c>
      <c r="AE364" s="0" t="str">
        <f aca="false">IF($A364="","",IF(AT364="Y",BT364&amp;"",BG364&amp;""))</f>
        <v/>
      </c>
      <c r="AF364" s="0" t="str">
        <f aca="false">IF($A364="","",IF(AT364="Y",BU364&amp;"",BH364&amp;""))</f>
        <v/>
      </c>
      <c r="AG364" s="0" t="str">
        <f aca="false">IF($A364="","",IF(AT364="Y",BV364&amp;"",BI364&amp;""))</f>
        <v/>
      </c>
      <c r="AO364" s="5"/>
      <c r="AR364" s="0" t="str">
        <f aca="false">IF($A364="","",IF(AND(CK364="pass",AO364&lt;&gt;"Y",C364&lt;&gt;"",OR(AU364&lt;&gt;"Y",AV364="Y")),"Y","N"))</f>
        <v/>
      </c>
      <c r="AS364" s="0" t="str">
        <f aca="false">IF($A364="","",_xlfn.TEXTJOIN("; ",TRUE(),IF(CK364&lt;&gt;"pass","gated out",""),IF(AO364="Y","on hold: "&amp;AP364,""),IF(C364="","no contact named on an opened page",""),IF(AND(AU364="Y",AV364&lt;&gt;"Y"),"founder review pending (Founder review tab)","")))</f>
        <v/>
      </c>
      <c r="BC364" s="0" t="str">
        <f aca="false">IF($A364="","",IFERROR(INDEX(Enrichment!$A$2:$GZ$2000,MATCH($A364,INDEX(Enrichment!$A$2:$GZ$2000,0,MATCH("row_id",Enrichment!$A$1:$GZ$1,0)),0),MATCH("work_email",Enrichment!$A$1:$GZ$1,0))&amp;"",""))</f>
        <v/>
      </c>
      <c r="BD364" s="0" t="str">
        <f aca="false">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P364" s="0" t="str">
        <f aca="false">IF($A364="","",IFERROR(INDEX(Enrichment!$A$2:$GZ$2000,MATCH($A364,INDEX(Enrichment!$A$2:$GZ$2000,0,MATCH("row_id",Enrichment!$A$1:$GZ$1,0)),0),MATCH("backup_work_email",Enrichment!$A$1:$GZ$1,0))&amp;"",""))</f>
        <v/>
      </c>
      <c r="BQ364" s="0" t="str">
        <f aca="false">IF($A364="","",IF(BP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DU364" s="0" t="str">
        <f aca="false">IF($A364="","",IF(R364="Y",10,0))</f>
        <v/>
      </c>
      <c r="EV364" s="0" t="str">
        <f aca="false">IF($A364="","",IF(ISNUMBER(MATCH(U364,{"queued","contacted","replied","call_booked","call_done","yes_in_principle","materials_sent"},0)),"Y","N"))</f>
        <v/>
      </c>
      <c r="EW364" s="0" t="str">
        <f aca="false">IF($A364="","",IF(OR(T364="Y",U364="do_not_contact",AQ364&amp;""&lt;&gt;""),"Y","N"))</f>
        <v/>
      </c>
      <c r="EX364" s="0" t="str">
        <f aca="false">IF($A364="","",IF(AN364&amp;""&lt;&gt;"",AN364&amp;"",$A364))</f>
        <v/>
      </c>
      <c r="EY364" s="0" t="str">
        <f aca="false">IF($A364="","",IF(COUNTIFS($EX$2:$EX$1000,EX364,$EV$2:$EV$1000,"Y")+COUNTIFS($EX$2:$EX$1000,EX364,$EW$2:$EW$1000,"Y")&gt;0,"Y","N"))</f>
        <v/>
      </c>
      <c r="EZ364" s="0" t="str">
        <f aca="false">IF($A364="","",IF(AND(U364="new",T364="N",EW364="N",AR364="Y",EY364="N"),"Y","N"))</f>
        <v/>
      </c>
      <c r="FA364" s="0" t="str">
        <f aca="false">IF($A364="","",IF(EZ364&lt;&gt;"Y","N",IF(COUNTIFS($EX$2:$EX$1000,EX364,$EZ$2:$EZ$1000,"Y",$J$2:$J$1000,"&gt;"&amp;J364)+COUNTIFS($EX$2:$EX$1000,EX364,$EZ$2:$EZ$1000,"Y",$J$2:$J$1000,J364,$FG$2:$FG$1000,"&lt;"&amp;FG364)=0,"Y","N")))</f>
        <v/>
      </c>
      <c r="FB364" s="0" t="str">
        <f aca="false">IF($A364="","",IF(AND(EZ364="Y",FA364="Y",Y364&amp;""&lt;&gt;""),IF(Y364&lt;=10,"Y","N"),"N"))</f>
        <v/>
      </c>
      <c r="FC364" s="0" t="str">
        <f aca="false">IF(FB364="Y",Y364,"")</f>
        <v/>
      </c>
      <c r="FD364" s="0" t="str">
        <f aca="false">IF($A364="","",IF(AND(CK364="pass",AU364="Y",AV364&lt;&gt;"Y",U364="new",EW364="N"),"Y","N"))</f>
        <v/>
      </c>
      <c r="FE364" s="0" t="str">
        <f aca="false">IF(FD364&lt;&gt;"Y","",IF(COUNTIFS($FD$2:$FD$1000,"Y",$J$2:$J$1000,"&gt;"&amp;J364)+COUNTIFS($FD$2:$FD$1000,"Y",$J$2:$J$1000,J364,$FG$2:$FG$1000,"&lt;"&amp;FG364)+1&lt;=30,COUNTIFS($FD$2:$FD$1000,"Y",$J$2:$J$1000,"&gt;"&amp;J364)+COUNTIFS($FD$2:$FD$1000,"Y",$J$2:$J$1000,J364,$FG$2:$FG$1000,"&lt;"&amp;FG364)+1,""))</f>
        <v/>
      </c>
      <c r="FF364" s="0" t="str">
        <f aca="false">IF(AND(_xlfn.ISFORMULA(C364),_xlfn.ISFORMULA(J364)),"Y","N")</f>
        <v>Y</v>
      </c>
      <c r="FG364" s="0" t="n">
        <f aca="false">ROW()-1</f>
        <v>363</v>
      </c>
    </row>
    <row r="365" customFormat="false" ht="15" hidden="false" customHeight="false" outlineLevel="0" collapsed="false">
      <c r="C365" s="0" t="str">
        <f aca="false">IF($A365="","",IF(AT365="Y",BL365&amp;"",AY365&amp;""))</f>
        <v/>
      </c>
      <c r="D365" s="0" t="str">
        <f aca="false">IF($A365="","",IF(AT365="Y",BM365&amp;"",AZ365&amp;""))</f>
        <v/>
      </c>
      <c r="E365" s="0" t="str">
        <f aca="false">IF($A365="","",IF(AT365="Y",BN365&amp;"",BA365&amp;""))</f>
        <v/>
      </c>
      <c r="F365" s="0" t="str">
        <f aca="false">IF($A365="","",IF(AT365="Y",BO365&amp;"",BB365&amp;""))</f>
        <v/>
      </c>
      <c r="G365" s="0" t="str">
        <f aca="false">IF($A365="","",IF(AT365="Y",BP365&amp;"",BC365&amp;""))</f>
        <v/>
      </c>
      <c r="H365" s="0" t="str">
        <f aca="false">IF($A365="","",IF(AT365="Y",BQ365&amp;"",BD365&amp;""))</f>
        <v/>
      </c>
      <c r="I365" s="0" t="str">
        <f aca="false">IF($A365="","",IF(R365="Y","warm-intro",IF(H365="verified","email",IF(C365&lt;&gt;"","linkedin",CA365&amp;""))))</f>
        <v/>
      </c>
      <c r="J365" s="0" t="str">
        <f aca="false">IF($A365="","",IF(CK365="pass",ROUND(N(DO365)+N(DP365)+N(DQ365)+N(DR365)+N(DS365)+N(DT365)+N(DU365)+N(DV365),0),0))</f>
        <v/>
      </c>
      <c r="K365" s="0" t="str">
        <f aca="false">IF($A365="","",IF(CK365&lt;&gt;"pass",BY365&amp;"",BY365&amp;", "&amp;IF(AT365="Y",BX365&amp;"",BK365&amp;"")&amp;BZ365&amp;IF(R365="Y","; known to the founder (+10)","")&amp;"."))</f>
        <v/>
      </c>
      <c r="R365" s="5"/>
      <c r="T365" s="5"/>
      <c r="U365" s="5"/>
      <c r="Y365" s="0" t="str">
        <f aca="false">IF(FA365&lt;&gt;"Y","",COUNTIFS($FA$2:$FA$1000,"Y",$J$2:$J$1000,"&gt;"&amp;J365)+COUNTIFS($FA$2:$FA$1000,"Y",$J$2:$J$1000,J365,$FG$2:$FG$1000,"&lt;"&amp;FG365)+1)</f>
        <v/>
      </c>
      <c r="AB365" s="0" t="str">
        <f aca="false">IF($A365="","",IF(AT365="Y",BW365&amp;"",BJ365&amp;""))</f>
        <v/>
      </c>
      <c r="AC365" s="0" t="str">
        <f aca="false">IF($A365="","",IF(AT365="Y",BR365&amp;"",BE365&amp;""))</f>
        <v/>
      </c>
      <c r="AD365" s="0" t="str">
        <f aca="false">IF($A365="","",IF(AT365="Y",BS365&amp;"",BF365&amp;""))</f>
        <v/>
      </c>
      <c r="AE365" s="0" t="str">
        <f aca="false">IF($A365="","",IF(AT365="Y",BT365&amp;"",BG365&amp;""))</f>
        <v/>
      </c>
      <c r="AF365" s="0" t="str">
        <f aca="false">IF($A365="","",IF(AT365="Y",BU365&amp;"",BH365&amp;""))</f>
        <v/>
      </c>
      <c r="AG365" s="0" t="str">
        <f aca="false">IF($A365="","",IF(AT365="Y",BV365&amp;"",BI365&amp;""))</f>
        <v/>
      </c>
      <c r="AO365" s="5"/>
      <c r="AR365" s="0" t="str">
        <f aca="false">IF($A365="","",IF(AND(CK365="pass",AO365&lt;&gt;"Y",C365&lt;&gt;"",OR(AU365&lt;&gt;"Y",AV365="Y")),"Y","N"))</f>
        <v/>
      </c>
      <c r="AS365" s="0" t="str">
        <f aca="false">IF($A365="","",_xlfn.TEXTJOIN("; ",TRUE(),IF(CK365&lt;&gt;"pass","gated out",""),IF(AO365="Y","on hold: "&amp;AP365,""),IF(C365="","no contact named on an opened page",""),IF(AND(AU365="Y",AV365&lt;&gt;"Y"),"founder review pending (Founder review tab)","")))</f>
        <v/>
      </c>
      <c r="BC365" s="0" t="str">
        <f aca="false">IF($A365="","",IFERROR(INDEX(Enrichment!$A$2:$GZ$2000,MATCH($A365,INDEX(Enrichment!$A$2:$GZ$2000,0,MATCH("row_id",Enrichment!$A$1:$GZ$1,0)),0),MATCH("work_email",Enrichment!$A$1:$GZ$1,0))&amp;"",""))</f>
        <v/>
      </c>
      <c r="BD365" s="0" t="str">
        <f aca="false">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P365" s="0" t="str">
        <f aca="false">IF($A365="","",IFERROR(INDEX(Enrichment!$A$2:$GZ$2000,MATCH($A365,INDEX(Enrichment!$A$2:$GZ$2000,0,MATCH("row_id",Enrichment!$A$1:$GZ$1,0)),0),MATCH("backup_work_email",Enrichment!$A$1:$GZ$1,0))&amp;"",""))</f>
        <v/>
      </c>
      <c r="BQ365" s="0" t="str">
        <f aca="false">IF($A365="","",IF(BP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DU365" s="0" t="str">
        <f aca="false">IF($A365="","",IF(R365="Y",10,0))</f>
        <v/>
      </c>
      <c r="EV365" s="0" t="str">
        <f aca="false">IF($A365="","",IF(ISNUMBER(MATCH(U365,{"queued","contacted","replied","call_booked","call_done","yes_in_principle","materials_sent"},0)),"Y","N"))</f>
        <v/>
      </c>
      <c r="EW365" s="0" t="str">
        <f aca="false">IF($A365="","",IF(OR(T365="Y",U365="do_not_contact",AQ365&amp;""&lt;&gt;""),"Y","N"))</f>
        <v/>
      </c>
      <c r="EX365" s="0" t="str">
        <f aca="false">IF($A365="","",IF(AN365&amp;""&lt;&gt;"",AN365&amp;"",$A365))</f>
        <v/>
      </c>
      <c r="EY365" s="0" t="str">
        <f aca="false">IF($A365="","",IF(COUNTIFS($EX$2:$EX$1000,EX365,$EV$2:$EV$1000,"Y")+COUNTIFS($EX$2:$EX$1000,EX365,$EW$2:$EW$1000,"Y")&gt;0,"Y","N"))</f>
        <v/>
      </c>
      <c r="EZ365" s="0" t="str">
        <f aca="false">IF($A365="","",IF(AND(U365="new",T365="N",EW365="N",AR365="Y",EY365="N"),"Y","N"))</f>
        <v/>
      </c>
      <c r="FA365" s="0" t="str">
        <f aca="false">IF($A365="","",IF(EZ365&lt;&gt;"Y","N",IF(COUNTIFS($EX$2:$EX$1000,EX365,$EZ$2:$EZ$1000,"Y",$J$2:$J$1000,"&gt;"&amp;J365)+COUNTIFS($EX$2:$EX$1000,EX365,$EZ$2:$EZ$1000,"Y",$J$2:$J$1000,J365,$FG$2:$FG$1000,"&lt;"&amp;FG365)=0,"Y","N")))</f>
        <v/>
      </c>
      <c r="FB365" s="0" t="str">
        <f aca="false">IF($A365="","",IF(AND(EZ365="Y",FA365="Y",Y365&amp;""&lt;&gt;""),IF(Y365&lt;=10,"Y","N"),"N"))</f>
        <v/>
      </c>
      <c r="FC365" s="0" t="str">
        <f aca="false">IF(FB365="Y",Y365,"")</f>
        <v/>
      </c>
      <c r="FD365" s="0" t="str">
        <f aca="false">IF($A365="","",IF(AND(CK365="pass",AU365="Y",AV365&lt;&gt;"Y",U365="new",EW365="N"),"Y","N"))</f>
        <v/>
      </c>
      <c r="FE365" s="0" t="str">
        <f aca="false">IF(FD365&lt;&gt;"Y","",IF(COUNTIFS($FD$2:$FD$1000,"Y",$J$2:$J$1000,"&gt;"&amp;J365)+COUNTIFS($FD$2:$FD$1000,"Y",$J$2:$J$1000,J365,$FG$2:$FG$1000,"&lt;"&amp;FG365)+1&lt;=30,COUNTIFS($FD$2:$FD$1000,"Y",$J$2:$J$1000,"&gt;"&amp;J365)+COUNTIFS($FD$2:$FD$1000,"Y",$J$2:$J$1000,J365,$FG$2:$FG$1000,"&lt;"&amp;FG365)+1,""))</f>
        <v/>
      </c>
      <c r="FF365" s="0" t="str">
        <f aca="false">IF(AND(_xlfn.ISFORMULA(C365),_xlfn.ISFORMULA(J365)),"Y","N")</f>
        <v>Y</v>
      </c>
      <c r="FG365" s="0" t="n">
        <f aca="false">ROW()-1</f>
        <v>364</v>
      </c>
    </row>
    <row r="366" customFormat="false" ht="15" hidden="false" customHeight="false" outlineLevel="0" collapsed="false">
      <c r="C366" s="0" t="str">
        <f aca="false">IF($A366="","",IF(AT366="Y",BL366&amp;"",AY366&amp;""))</f>
        <v/>
      </c>
      <c r="D366" s="0" t="str">
        <f aca="false">IF($A366="","",IF(AT366="Y",BM366&amp;"",AZ366&amp;""))</f>
        <v/>
      </c>
      <c r="E366" s="0" t="str">
        <f aca="false">IF($A366="","",IF(AT366="Y",BN366&amp;"",BA366&amp;""))</f>
        <v/>
      </c>
      <c r="F366" s="0" t="str">
        <f aca="false">IF($A366="","",IF(AT366="Y",BO366&amp;"",BB366&amp;""))</f>
        <v/>
      </c>
      <c r="G366" s="0" t="str">
        <f aca="false">IF($A366="","",IF(AT366="Y",BP366&amp;"",BC366&amp;""))</f>
        <v/>
      </c>
      <c r="H366" s="0" t="str">
        <f aca="false">IF($A366="","",IF(AT366="Y",BQ366&amp;"",BD366&amp;""))</f>
        <v/>
      </c>
      <c r="I366" s="0" t="str">
        <f aca="false">IF($A366="","",IF(R366="Y","warm-intro",IF(H366="verified","email",IF(C366&lt;&gt;"","linkedin",CA366&amp;""))))</f>
        <v/>
      </c>
      <c r="J366" s="0" t="str">
        <f aca="false">IF($A366="","",IF(CK366="pass",ROUND(N(DO366)+N(DP366)+N(DQ366)+N(DR366)+N(DS366)+N(DT366)+N(DU366)+N(DV366),0),0))</f>
        <v/>
      </c>
      <c r="K366" s="0" t="str">
        <f aca="false">IF($A366="","",IF(CK366&lt;&gt;"pass",BY366&amp;"",BY366&amp;", "&amp;IF(AT366="Y",BX366&amp;"",BK366&amp;"")&amp;BZ366&amp;IF(R366="Y","; known to the founder (+10)","")&amp;"."))</f>
        <v/>
      </c>
      <c r="R366" s="5"/>
      <c r="T366" s="5"/>
      <c r="U366" s="5"/>
      <c r="Y366" s="0" t="str">
        <f aca="false">IF(FA366&lt;&gt;"Y","",COUNTIFS($FA$2:$FA$1000,"Y",$J$2:$J$1000,"&gt;"&amp;J366)+COUNTIFS($FA$2:$FA$1000,"Y",$J$2:$J$1000,J366,$FG$2:$FG$1000,"&lt;"&amp;FG366)+1)</f>
        <v/>
      </c>
      <c r="AB366" s="0" t="str">
        <f aca="false">IF($A366="","",IF(AT366="Y",BW366&amp;"",BJ366&amp;""))</f>
        <v/>
      </c>
      <c r="AC366" s="0" t="str">
        <f aca="false">IF($A366="","",IF(AT366="Y",BR366&amp;"",BE366&amp;""))</f>
        <v/>
      </c>
      <c r="AD366" s="0" t="str">
        <f aca="false">IF($A366="","",IF(AT366="Y",BS366&amp;"",BF366&amp;""))</f>
        <v/>
      </c>
      <c r="AE366" s="0" t="str">
        <f aca="false">IF($A366="","",IF(AT366="Y",BT366&amp;"",BG366&amp;""))</f>
        <v/>
      </c>
      <c r="AF366" s="0" t="str">
        <f aca="false">IF($A366="","",IF(AT366="Y",BU366&amp;"",BH366&amp;""))</f>
        <v/>
      </c>
      <c r="AG366" s="0" t="str">
        <f aca="false">IF($A366="","",IF(AT366="Y",BV366&amp;"",BI366&amp;""))</f>
        <v/>
      </c>
      <c r="AO366" s="5"/>
      <c r="AR366" s="0" t="str">
        <f aca="false">IF($A366="","",IF(AND(CK366="pass",AO366&lt;&gt;"Y",C366&lt;&gt;"",OR(AU366&lt;&gt;"Y",AV366="Y")),"Y","N"))</f>
        <v/>
      </c>
      <c r="AS366" s="0" t="str">
        <f aca="false">IF($A366="","",_xlfn.TEXTJOIN("; ",TRUE(),IF(CK366&lt;&gt;"pass","gated out",""),IF(AO366="Y","on hold: "&amp;AP366,""),IF(C366="","no contact named on an opened page",""),IF(AND(AU366="Y",AV366&lt;&gt;"Y"),"founder review pending (Founder review tab)","")))</f>
        <v/>
      </c>
      <c r="BC366" s="0" t="str">
        <f aca="false">IF($A366="","",IFERROR(INDEX(Enrichment!$A$2:$GZ$2000,MATCH($A366,INDEX(Enrichment!$A$2:$GZ$2000,0,MATCH("row_id",Enrichment!$A$1:$GZ$1,0)),0),MATCH("work_email",Enrichment!$A$1:$GZ$1,0))&amp;"",""))</f>
        <v/>
      </c>
      <c r="BD366" s="0" t="str">
        <f aca="false">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P366" s="0" t="str">
        <f aca="false">IF($A366="","",IFERROR(INDEX(Enrichment!$A$2:$GZ$2000,MATCH($A366,INDEX(Enrichment!$A$2:$GZ$2000,0,MATCH("row_id",Enrichment!$A$1:$GZ$1,0)),0),MATCH("backup_work_email",Enrichment!$A$1:$GZ$1,0))&amp;"",""))</f>
        <v/>
      </c>
      <c r="BQ366" s="0" t="str">
        <f aca="false">IF($A366="","",IF(BP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DU366" s="0" t="str">
        <f aca="false">IF($A366="","",IF(R366="Y",10,0))</f>
        <v/>
      </c>
      <c r="EV366" s="0" t="str">
        <f aca="false">IF($A366="","",IF(ISNUMBER(MATCH(U366,{"queued","contacted","replied","call_booked","call_done","yes_in_principle","materials_sent"},0)),"Y","N"))</f>
        <v/>
      </c>
      <c r="EW366" s="0" t="str">
        <f aca="false">IF($A366="","",IF(OR(T366="Y",U366="do_not_contact",AQ366&amp;""&lt;&gt;""),"Y","N"))</f>
        <v/>
      </c>
      <c r="EX366" s="0" t="str">
        <f aca="false">IF($A366="","",IF(AN366&amp;""&lt;&gt;"",AN366&amp;"",$A366))</f>
        <v/>
      </c>
      <c r="EY366" s="0" t="str">
        <f aca="false">IF($A366="","",IF(COUNTIFS($EX$2:$EX$1000,EX366,$EV$2:$EV$1000,"Y")+COUNTIFS($EX$2:$EX$1000,EX366,$EW$2:$EW$1000,"Y")&gt;0,"Y","N"))</f>
        <v/>
      </c>
      <c r="EZ366" s="0" t="str">
        <f aca="false">IF($A366="","",IF(AND(U366="new",T366="N",EW366="N",AR366="Y",EY366="N"),"Y","N"))</f>
        <v/>
      </c>
      <c r="FA366" s="0" t="str">
        <f aca="false">IF($A366="","",IF(EZ366&lt;&gt;"Y","N",IF(COUNTIFS($EX$2:$EX$1000,EX366,$EZ$2:$EZ$1000,"Y",$J$2:$J$1000,"&gt;"&amp;J366)+COUNTIFS($EX$2:$EX$1000,EX366,$EZ$2:$EZ$1000,"Y",$J$2:$J$1000,J366,$FG$2:$FG$1000,"&lt;"&amp;FG366)=0,"Y","N")))</f>
        <v/>
      </c>
      <c r="FB366" s="0" t="str">
        <f aca="false">IF($A366="","",IF(AND(EZ366="Y",FA366="Y",Y366&amp;""&lt;&gt;""),IF(Y366&lt;=10,"Y","N"),"N"))</f>
        <v/>
      </c>
      <c r="FC366" s="0" t="str">
        <f aca="false">IF(FB366="Y",Y366,"")</f>
        <v/>
      </c>
      <c r="FD366" s="0" t="str">
        <f aca="false">IF($A366="","",IF(AND(CK366="pass",AU366="Y",AV366&lt;&gt;"Y",U366="new",EW366="N"),"Y","N"))</f>
        <v/>
      </c>
      <c r="FE366" s="0" t="str">
        <f aca="false">IF(FD366&lt;&gt;"Y","",IF(COUNTIFS($FD$2:$FD$1000,"Y",$J$2:$J$1000,"&gt;"&amp;J366)+COUNTIFS($FD$2:$FD$1000,"Y",$J$2:$J$1000,J366,$FG$2:$FG$1000,"&lt;"&amp;FG366)+1&lt;=30,COUNTIFS($FD$2:$FD$1000,"Y",$J$2:$J$1000,"&gt;"&amp;J366)+COUNTIFS($FD$2:$FD$1000,"Y",$J$2:$J$1000,J366,$FG$2:$FG$1000,"&lt;"&amp;FG366)+1,""))</f>
        <v/>
      </c>
      <c r="FF366" s="0" t="str">
        <f aca="false">IF(AND(_xlfn.ISFORMULA(C366),_xlfn.ISFORMULA(J366)),"Y","N")</f>
        <v>Y</v>
      </c>
      <c r="FG366" s="0" t="n">
        <f aca="false">ROW()-1</f>
        <v>365</v>
      </c>
    </row>
    <row r="367" customFormat="false" ht="15" hidden="false" customHeight="false" outlineLevel="0" collapsed="false">
      <c r="C367" s="0" t="str">
        <f aca="false">IF($A367="","",IF(AT367="Y",BL367&amp;"",AY367&amp;""))</f>
        <v/>
      </c>
      <c r="D367" s="0" t="str">
        <f aca="false">IF($A367="","",IF(AT367="Y",BM367&amp;"",AZ367&amp;""))</f>
        <v/>
      </c>
      <c r="E367" s="0" t="str">
        <f aca="false">IF($A367="","",IF(AT367="Y",BN367&amp;"",BA367&amp;""))</f>
        <v/>
      </c>
      <c r="F367" s="0" t="str">
        <f aca="false">IF($A367="","",IF(AT367="Y",BO367&amp;"",BB367&amp;""))</f>
        <v/>
      </c>
      <c r="G367" s="0" t="str">
        <f aca="false">IF($A367="","",IF(AT367="Y",BP367&amp;"",BC367&amp;""))</f>
        <v/>
      </c>
      <c r="H367" s="0" t="str">
        <f aca="false">IF($A367="","",IF(AT367="Y",BQ367&amp;"",BD367&amp;""))</f>
        <v/>
      </c>
      <c r="I367" s="0" t="str">
        <f aca="false">IF($A367="","",IF(R367="Y","warm-intro",IF(H367="verified","email",IF(C367&lt;&gt;"","linkedin",CA367&amp;""))))</f>
        <v/>
      </c>
      <c r="J367" s="0" t="str">
        <f aca="false">IF($A367="","",IF(CK367="pass",ROUND(N(DO367)+N(DP367)+N(DQ367)+N(DR367)+N(DS367)+N(DT367)+N(DU367)+N(DV367),0),0))</f>
        <v/>
      </c>
      <c r="K367" s="0" t="str">
        <f aca="false">IF($A367="","",IF(CK367&lt;&gt;"pass",BY367&amp;"",BY367&amp;", "&amp;IF(AT367="Y",BX367&amp;"",BK367&amp;"")&amp;BZ367&amp;IF(R367="Y","; known to the founder (+10)","")&amp;"."))</f>
        <v/>
      </c>
      <c r="R367" s="5"/>
      <c r="T367" s="5"/>
      <c r="U367" s="5"/>
      <c r="Y367" s="0" t="str">
        <f aca="false">IF(FA367&lt;&gt;"Y","",COUNTIFS($FA$2:$FA$1000,"Y",$J$2:$J$1000,"&gt;"&amp;J367)+COUNTIFS($FA$2:$FA$1000,"Y",$J$2:$J$1000,J367,$FG$2:$FG$1000,"&lt;"&amp;FG367)+1)</f>
        <v/>
      </c>
      <c r="AB367" s="0" t="str">
        <f aca="false">IF($A367="","",IF(AT367="Y",BW367&amp;"",BJ367&amp;""))</f>
        <v/>
      </c>
      <c r="AC367" s="0" t="str">
        <f aca="false">IF($A367="","",IF(AT367="Y",BR367&amp;"",BE367&amp;""))</f>
        <v/>
      </c>
      <c r="AD367" s="0" t="str">
        <f aca="false">IF($A367="","",IF(AT367="Y",BS367&amp;"",BF367&amp;""))</f>
        <v/>
      </c>
      <c r="AE367" s="0" t="str">
        <f aca="false">IF($A367="","",IF(AT367="Y",BT367&amp;"",BG367&amp;""))</f>
        <v/>
      </c>
      <c r="AF367" s="0" t="str">
        <f aca="false">IF($A367="","",IF(AT367="Y",BU367&amp;"",BH367&amp;""))</f>
        <v/>
      </c>
      <c r="AG367" s="0" t="str">
        <f aca="false">IF($A367="","",IF(AT367="Y",BV367&amp;"",BI367&amp;""))</f>
        <v/>
      </c>
      <c r="AO367" s="5"/>
      <c r="AR367" s="0" t="str">
        <f aca="false">IF($A367="","",IF(AND(CK367="pass",AO367&lt;&gt;"Y",C367&lt;&gt;"",OR(AU367&lt;&gt;"Y",AV367="Y")),"Y","N"))</f>
        <v/>
      </c>
      <c r="AS367" s="0" t="str">
        <f aca="false">IF($A367="","",_xlfn.TEXTJOIN("; ",TRUE(),IF(CK367&lt;&gt;"pass","gated out",""),IF(AO367="Y","on hold: "&amp;AP367,""),IF(C367="","no contact named on an opened page",""),IF(AND(AU367="Y",AV367&lt;&gt;"Y"),"founder review pending (Founder review tab)","")))</f>
        <v/>
      </c>
      <c r="BC367" s="0" t="str">
        <f aca="false">IF($A367="","",IFERROR(INDEX(Enrichment!$A$2:$GZ$2000,MATCH($A367,INDEX(Enrichment!$A$2:$GZ$2000,0,MATCH("row_id",Enrichment!$A$1:$GZ$1,0)),0),MATCH("work_email",Enrichment!$A$1:$GZ$1,0))&amp;"",""))</f>
        <v/>
      </c>
      <c r="BD367" s="0" t="str">
        <f aca="false">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P367" s="0" t="str">
        <f aca="false">IF($A367="","",IFERROR(INDEX(Enrichment!$A$2:$GZ$2000,MATCH($A367,INDEX(Enrichment!$A$2:$GZ$2000,0,MATCH("row_id",Enrichment!$A$1:$GZ$1,0)),0),MATCH("backup_work_email",Enrichment!$A$1:$GZ$1,0))&amp;"",""))</f>
        <v/>
      </c>
      <c r="BQ367" s="0" t="str">
        <f aca="false">IF($A367="","",IF(BP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DU367" s="0" t="str">
        <f aca="false">IF($A367="","",IF(R367="Y",10,0))</f>
        <v/>
      </c>
      <c r="EV367" s="0" t="str">
        <f aca="false">IF($A367="","",IF(ISNUMBER(MATCH(U367,{"queued","contacted","replied","call_booked","call_done","yes_in_principle","materials_sent"},0)),"Y","N"))</f>
        <v/>
      </c>
      <c r="EW367" s="0" t="str">
        <f aca="false">IF($A367="","",IF(OR(T367="Y",U367="do_not_contact",AQ367&amp;""&lt;&gt;""),"Y","N"))</f>
        <v/>
      </c>
      <c r="EX367" s="0" t="str">
        <f aca="false">IF($A367="","",IF(AN367&amp;""&lt;&gt;"",AN367&amp;"",$A367))</f>
        <v/>
      </c>
      <c r="EY367" s="0" t="str">
        <f aca="false">IF($A367="","",IF(COUNTIFS($EX$2:$EX$1000,EX367,$EV$2:$EV$1000,"Y")+COUNTIFS($EX$2:$EX$1000,EX367,$EW$2:$EW$1000,"Y")&gt;0,"Y","N"))</f>
        <v/>
      </c>
      <c r="EZ367" s="0" t="str">
        <f aca="false">IF($A367="","",IF(AND(U367="new",T367="N",EW367="N",AR367="Y",EY367="N"),"Y","N"))</f>
        <v/>
      </c>
      <c r="FA367" s="0" t="str">
        <f aca="false">IF($A367="","",IF(EZ367&lt;&gt;"Y","N",IF(COUNTIFS($EX$2:$EX$1000,EX367,$EZ$2:$EZ$1000,"Y",$J$2:$J$1000,"&gt;"&amp;J367)+COUNTIFS($EX$2:$EX$1000,EX367,$EZ$2:$EZ$1000,"Y",$J$2:$J$1000,J367,$FG$2:$FG$1000,"&lt;"&amp;FG367)=0,"Y","N")))</f>
        <v/>
      </c>
      <c r="FB367" s="0" t="str">
        <f aca="false">IF($A367="","",IF(AND(EZ367="Y",FA367="Y",Y367&amp;""&lt;&gt;""),IF(Y367&lt;=10,"Y","N"),"N"))</f>
        <v/>
      </c>
      <c r="FC367" s="0" t="str">
        <f aca="false">IF(FB367="Y",Y367,"")</f>
        <v/>
      </c>
      <c r="FD367" s="0" t="str">
        <f aca="false">IF($A367="","",IF(AND(CK367="pass",AU367="Y",AV367&lt;&gt;"Y",U367="new",EW367="N"),"Y","N"))</f>
        <v/>
      </c>
      <c r="FE367" s="0" t="str">
        <f aca="false">IF(FD367&lt;&gt;"Y","",IF(COUNTIFS($FD$2:$FD$1000,"Y",$J$2:$J$1000,"&gt;"&amp;J367)+COUNTIFS($FD$2:$FD$1000,"Y",$J$2:$J$1000,J367,$FG$2:$FG$1000,"&lt;"&amp;FG367)+1&lt;=30,COUNTIFS($FD$2:$FD$1000,"Y",$J$2:$J$1000,"&gt;"&amp;J367)+COUNTIFS($FD$2:$FD$1000,"Y",$J$2:$J$1000,J367,$FG$2:$FG$1000,"&lt;"&amp;FG367)+1,""))</f>
        <v/>
      </c>
      <c r="FF367" s="0" t="str">
        <f aca="false">IF(AND(_xlfn.ISFORMULA(C367),_xlfn.ISFORMULA(J367)),"Y","N")</f>
        <v>Y</v>
      </c>
      <c r="FG367" s="0" t="n">
        <f aca="false">ROW()-1</f>
        <v>366</v>
      </c>
    </row>
    <row r="368" customFormat="false" ht="15" hidden="false" customHeight="false" outlineLevel="0" collapsed="false">
      <c r="C368" s="0" t="str">
        <f aca="false">IF($A368="","",IF(AT368="Y",BL368&amp;"",AY368&amp;""))</f>
        <v/>
      </c>
      <c r="D368" s="0" t="str">
        <f aca="false">IF($A368="","",IF(AT368="Y",BM368&amp;"",AZ368&amp;""))</f>
        <v/>
      </c>
      <c r="E368" s="0" t="str">
        <f aca="false">IF($A368="","",IF(AT368="Y",BN368&amp;"",BA368&amp;""))</f>
        <v/>
      </c>
      <c r="F368" s="0" t="str">
        <f aca="false">IF($A368="","",IF(AT368="Y",BO368&amp;"",BB368&amp;""))</f>
        <v/>
      </c>
      <c r="G368" s="0" t="str">
        <f aca="false">IF($A368="","",IF(AT368="Y",BP368&amp;"",BC368&amp;""))</f>
        <v/>
      </c>
      <c r="H368" s="0" t="str">
        <f aca="false">IF($A368="","",IF(AT368="Y",BQ368&amp;"",BD368&amp;""))</f>
        <v/>
      </c>
      <c r="I368" s="0" t="str">
        <f aca="false">IF($A368="","",IF(R368="Y","warm-intro",IF(H368="verified","email",IF(C368&lt;&gt;"","linkedin",CA368&amp;""))))</f>
        <v/>
      </c>
      <c r="J368" s="0" t="str">
        <f aca="false">IF($A368="","",IF(CK368="pass",ROUND(N(DO368)+N(DP368)+N(DQ368)+N(DR368)+N(DS368)+N(DT368)+N(DU368)+N(DV368),0),0))</f>
        <v/>
      </c>
      <c r="K368" s="0" t="str">
        <f aca="false">IF($A368="","",IF(CK368&lt;&gt;"pass",BY368&amp;"",BY368&amp;", "&amp;IF(AT368="Y",BX368&amp;"",BK368&amp;"")&amp;BZ368&amp;IF(R368="Y","; known to the founder (+10)","")&amp;"."))</f>
        <v/>
      </c>
      <c r="R368" s="5"/>
      <c r="T368" s="5"/>
      <c r="U368" s="5"/>
      <c r="Y368" s="0" t="str">
        <f aca="false">IF(FA368&lt;&gt;"Y","",COUNTIFS($FA$2:$FA$1000,"Y",$J$2:$J$1000,"&gt;"&amp;J368)+COUNTIFS($FA$2:$FA$1000,"Y",$J$2:$J$1000,J368,$FG$2:$FG$1000,"&lt;"&amp;FG368)+1)</f>
        <v/>
      </c>
      <c r="AB368" s="0" t="str">
        <f aca="false">IF($A368="","",IF(AT368="Y",BW368&amp;"",BJ368&amp;""))</f>
        <v/>
      </c>
      <c r="AC368" s="0" t="str">
        <f aca="false">IF($A368="","",IF(AT368="Y",BR368&amp;"",BE368&amp;""))</f>
        <v/>
      </c>
      <c r="AD368" s="0" t="str">
        <f aca="false">IF($A368="","",IF(AT368="Y",BS368&amp;"",BF368&amp;""))</f>
        <v/>
      </c>
      <c r="AE368" s="0" t="str">
        <f aca="false">IF($A368="","",IF(AT368="Y",BT368&amp;"",BG368&amp;""))</f>
        <v/>
      </c>
      <c r="AF368" s="0" t="str">
        <f aca="false">IF($A368="","",IF(AT368="Y",BU368&amp;"",BH368&amp;""))</f>
        <v/>
      </c>
      <c r="AG368" s="0" t="str">
        <f aca="false">IF($A368="","",IF(AT368="Y",BV368&amp;"",BI368&amp;""))</f>
        <v/>
      </c>
      <c r="AO368" s="5"/>
      <c r="AR368" s="0" t="str">
        <f aca="false">IF($A368="","",IF(AND(CK368="pass",AO368&lt;&gt;"Y",C368&lt;&gt;"",OR(AU368&lt;&gt;"Y",AV368="Y")),"Y","N"))</f>
        <v/>
      </c>
      <c r="AS368" s="0" t="str">
        <f aca="false">IF($A368="","",_xlfn.TEXTJOIN("; ",TRUE(),IF(CK368&lt;&gt;"pass","gated out",""),IF(AO368="Y","on hold: "&amp;AP368,""),IF(C368="","no contact named on an opened page",""),IF(AND(AU368="Y",AV368&lt;&gt;"Y"),"founder review pending (Founder review tab)","")))</f>
        <v/>
      </c>
      <c r="BC368" s="0" t="str">
        <f aca="false">IF($A368="","",IFERROR(INDEX(Enrichment!$A$2:$GZ$2000,MATCH($A368,INDEX(Enrichment!$A$2:$GZ$2000,0,MATCH("row_id",Enrichment!$A$1:$GZ$1,0)),0),MATCH("work_email",Enrichment!$A$1:$GZ$1,0))&amp;"",""))</f>
        <v/>
      </c>
      <c r="BD368" s="0" t="str">
        <f aca="false">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P368" s="0" t="str">
        <f aca="false">IF($A368="","",IFERROR(INDEX(Enrichment!$A$2:$GZ$2000,MATCH($A368,INDEX(Enrichment!$A$2:$GZ$2000,0,MATCH("row_id",Enrichment!$A$1:$GZ$1,0)),0),MATCH("backup_work_email",Enrichment!$A$1:$GZ$1,0))&amp;"",""))</f>
        <v/>
      </c>
      <c r="BQ368" s="0" t="str">
        <f aca="false">IF($A368="","",IF(BP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DU368" s="0" t="str">
        <f aca="false">IF($A368="","",IF(R368="Y",10,0))</f>
        <v/>
      </c>
      <c r="EV368" s="0" t="str">
        <f aca="false">IF($A368="","",IF(ISNUMBER(MATCH(U368,{"queued","contacted","replied","call_booked","call_done","yes_in_principle","materials_sent"},0)),"Y","N"))</f>
        <v/>
      </c>
      <c r="EW368" s="0" t="str">
        <f aca="false">IF($A368="","",IF(OR(T368="Y",U368="do_not_contact",AQ368&amp;""&lt;&gt;""),"Y","N"))</f>
        <v/>
      </c>
      <c r="EX368" s="0" t="str">
        <f aca="false">IF($A368="","",IF(AN368&amp;""&lt;&gt;"",AN368&amp;"",$A368))</f>
        <v/>
      </c>
      <c r="EY368" s="0" t="str">
        <f aca="false">IF($A368="","",IF(COUNTIFS($EX$2:$EX$1000,EX368,$EV$2:$EV$1000,"Y")+COUNTIFS($EX$2:$EX$1000,EX368,$EW$2:$EW$1000,"Y")&gt;0,"Y","N"))</f>
        <v/>
      </c>
      <c r="EZ368" s="0" t="str">
        <f aca="false">IF($A368="","",IF(AND(U368="new",T368="N",EW368="N",AR368="Y",EY368="N"),"Y","N"))</f>
        <v/>
      </c>
      <c r="FA368" s="0" t="str">
        <f aca="false">IF($A368="","",IF(EZ368&lt;&gt;"Y","N",IF(COUNTIFS($EX$2:$EX$1000,EX368,$EZ$2:$EZ$1000,"Y",$J$2:$J$1000,"&gt;"&amp;J368)+COUNTIFS($EX$2:$EX$1000,EX368,$EZ$2:$EZ$1000,"Y",$J$2:$J$1000,J368,$FG$2:$FG$1000,"&lt;"&amp;FG368)=0,"Y","N")))</f>
        <v/>
      </c>
      <c r="FB368" s="0" t="str">
        <f aca="false">IF($A368="","",IF(AND(EZ368="Y",FA368="Y",Y368&amp;""&lt;&gt;""),IF(Y368&lt;=10,"Y","N"),"N"))</f>
        <v/>
      </c>
      <c r="FC368" s="0" t="str">
        <f aca="false">IF(FB368="Y",Y368,"")</f>
        <v/>
      </c>
      <c r="FD368" s="0" t="str">
        <f aca="false">IF($A368="","",IF(AND(CK368="pass",AU368="Y",AV368&lt;&gt;"Y",U368="new",EW368="N"),"Y","N"))</f>
        <v/>
      </c>
      <c r="FE368" s="0" t="str">
        <f aca="false">IF(FD368&lt;&gt;"Y","",IF(COUNTIFS($FD$2:$FD$1000,"Y",$J$2:$J$1000,"&gt;"&amp;J368)+COUNTIFS($FD$2:$FD$1000,"Y",$J$2:$J$1000,J368,$FG$2:$FG$1000,"&lt;"&amp;FG368)+1&lt;=30,COUNTIFS($FD$2:$FD$1000,"Y",$J$2:$J$1000,"&gt;"&amp;J368)+COUNTIFS($FD$2:$FD$1000,"Y",$J$2:$J$1000,J368,$FG$2:$FG$1000,"&lt;"&amp;FG368)+1,""))</f>
        <v/>
      </c>
      <c r="FF368" s="0" t="str">
        <f aca="false">IF(AND(_xlfn.ISFORMULA(C368),_xlfn.ISFORMULA(J368)),"Y","N")</f>
        <v>Y</v>
      </c>
      <c r="FG368" s="0" t="n">
        <f aca="false">ROW()-1</f>
        <v>367</v>
      </c>
    </row>
    <row r="369" customFormat="false" ht="15" hidden="false" customHeight="false" outlineLevel="0" collapsed="false">
      <c r="C369" s="0" t="str">
        <f aca="false">IF($A369="","",IF(AT369="Y",BL369&amp;"",AY369&amp;""))</f>
        <v/>
      </c>
      <c r="D369" s="0" t="str">
        <f aca="false">IF($A369="","",IF(AT369="Y",BM369&amp;"",AZ369&amp;""))</f>
        <v/>
      </c>
      <c r="E369" s="0" t="str">
        <f aca="false">IF($A369="","",IF(AT369="Y",BN369&amp;"",BA369&amp;""))</f>
        <v/>
      </c>
      <c r="F369" s="0" t="str">
        <f aca="false">IF($A369="","",IF(AT369="Y",BO369&amp;"",BB369&amp;""))</f>
        <v/>
      </c>
      <c r="G369" s="0" t="str">
        <f aca="false">IF($A369="","",IF(AT369="Y",BP369&amp;"",BC369&amp;""))</f>
        <v/>
      </c>
      <c r="H369" s="0" t="str">
        <f aca="false">IF($A369="","",IF(AT369="Y",BQ369&amp;"",BD369&amp;""))</f>
        <v/>
      </c>
      <c r="I369" s="0" t="str">
        <f aca="false">IF($A369="","",IF(R369="Y","warm-intro",IF(H369="verified","email",IF(C369&lt;&gt;"","linkedin",CA369&amp;""))))</f>
        <v/>
      </c>
      <c r="J369" s="0" t="str">
        <f aca="false">IF($A369="","",IF(CK369="pass",ROUND(N(DO369)+N(DP369)+N(DQ369)+N(DR369)+N(DS369)+N(DT369)+N(DU369)+N(DV369),0),0))</f>
        <v/>
      </c>
      <c r="K369" s="0" t="str">
        <f aca="false">IF($A369="","",IF(CK369&lt;&gt;"pass",BY369&amp;"",BY369&amp;", "&amp;IF(AT369="Y",BX369&amp;"",BK369&amp;"")&amp;BZ369&amp;IF(R369="Y","; known to the founder (+10)","")&amp;"."))</f>
        <v/>
      </c>
      <c r="R369" s="5"/>
      <c r="T369" s="5"/>
      <c r="U369" s="5"/>
      <c r="Y369" s="0" t="str">
        <f aca="false">IF(FA369&lt;&gt;"Y","",COUNTIFS($FA$2:$FA$1000,"Y",$J$2:$J$1000,"&gt;"&amp;J369)+COUNTIFS($FA$2:$FA$1000,"Y",$J$2:$J$1000,J369,$FG$2:$FG$1000,"&lt;"&amp;FG369)+1)</f>
        <v/>
      </c>
      <c r="AB369" s="0" t="str">
        <f aca="false">IF($A369="","",IF(AT369="Y",BW369&amp;"",BJ369&amp;""))</f>
        <v/>
      </c>
      <c r="AC369" s="0" t="str">
        <f aca="false">IF($A369="","",IF(AT369="Y",BR369&amp;"",BE369&amp;""))</f>
        <v/>
      </c>
      <c r="AD369" s="0" t="str">
        <f aca="false">IF($A369="","",IF(AT369="Y",BS369&amp;"",BF369&amp;""))</f>
        <v/>
      </c>
      <c r="AE369" s="0" t="str">
        <f aca="false">IF($A369="","",IF(AT369="Y",BT369&amp;"",BG369&amp;""))</f>
        <v/>
      </c>
      <c r="AF369" s="0" t="str">
        <f aca="false">IF($A369="","",IF(AT369="Y",BU369&amp;"",BH369&amp;""))</f>
        <v/>
      </c>
      <c r="AG369" s="0" t="str">
        <f aca="false">IF($A369="","",IF(AT369="Y",BV369&amp;"",BI369&amp;""))</f>
        <v/>
      </c>
      <c r="AO369" s="5"/>
      <c r="AR369" s="0" t="str">
        <f aca="false">IF($A369="","",IF(AND(CK369="pass",AO369&lt;&gt;"Y",C369&lt;&gt;"",OR(AU369&lt;&gt;"Y",AV369="Y")),"Y","N"))</f>
        <v/>
      </c>
      <c r="AS369" s="0" t="str">
        <f aca="false">IF($A369="","",_xlfn.TEXTJOIN("; ",TRUE(),IF(CK369&lt;&gt;"pass","gated out",""),IF(AO369="Y","on hold: "&amp;AP369,""),IF(C369="","no contact named on an opened page",""),IF(AND(AU369="Y",AV369&lt;&gt;"Y"),"founder review pending (Founder review tab)","")))</f>
        <v/>
      </c>
      <c r="BC369" s="0" t="str">
        <f aca="false">IF($A369="","",IFERROR(INDEX(Enrichment!$A$2:$GZ$2000,MATCH($A369,INDEX(Enrichment!$A$2:$GZ$2000,0,MATCH("row_id",Enrichment!$A$1:$GZ$1,0)),0),MATCH("work_email",Enrichment!$A$1:$GZ$1,0))&amp;"",""))</f>
        <v/>
      </c>
      <c r="BD369" s="0" t="str">
        <f aca="false">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P369" s="0" t="str">
        <f aca="false">IF($A369="","",IFERROR(INDEX(Enrichment!$A$2:$GZ$2000,MATCH($A369,INDEX(Enrichment!$A$2:$GZ$2000,0,MATCH("row_id",Enrichment!$A$1:$GZ$1,0)),0),MATCH("backup_work_email",Enrichment!$A$1:$GZ$1,0))&amp;"",""))</f>
        <v/>
      </c>
      <c r="BQ369" s="0" t="str">
        <f aca="false">IF($A369="","",IF(BP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DU369" s="0" t="str">
        <f aca="false">IF($A369="","",IF(R369="Y",10,0))</f>
        <v/>
      </c>
      <c r="EV369" s="0" t="str">
        <f aca="false">IF($A369="","",IF(ISNUMBER(MATCH(U369,{"queued","contacted","replied","call_booked","call_done","yes_in_principle","materials_sent"},0)),"Y","N"))</f>
        <v/>
      </c>
      <c r="EW369" s="0" t="str">
        <f aca="false">IF($A369="","",IF(OR(T369="Y",U369="do_not_contact",AQ369&amp;""&lt;&gt;""),"Y","N"))</f>
        <v/>
      </c>
      <c r="EX369" s="0" t="str">
        <f aca="false">IF($A369="","",IF(AN369&amp;""&lt;&gt;"",AN369&amp;"",$A369))</f>
        <v/>
      </c>
      <c r="EY369" s="0" t="str">
        <f aca="false">IF($A369="","",IF(COUNTIFS($EX$2:$EX$1000,EX369,$EV$2:$EV$1000,"Y")+COUNTIFS($EX$2:$EX$1000,EX369,$EW$2:$EW$1000,"Y")&gt;0,"Y","N"))</f>
        <v/>
      </c>
      <c r="EZ369" s="0" t="str">
        <f aca="false">IF($A369="","",IF(AND(U369="new",T369="N",EW369="N",AR369="Y",EY369="N"),"Y","N"))</f>
        <v/>
      </c>
      <c r="FA369" s="0" t="str">
        <f aca="false">IF($A369="","",IF(EZ369&lt;&gt;"Y","N",IF(COUNTIFS($EX$2:$EX$1000,EX369,$EZ$2:$EZ$1000,"Y",$J$2:$J$1000,"&gt;"&amp;J369)+COUNTIFS($EX$2:$EX$1000,EX369,$EZ$2:$EZ$1000,"Y",$J$2:$J$1000,J369,$FG$2:$FG$1000,"&lt;"&amp;FG369)=0,"Y","N")))</f>
        <v/>
      </c>
      <c r="FB369" s="0" t="str">
        <f aca="false">IF($A369="","",IF(AND(EZ369="Y",FA369="Y",Y369&amp;""&lt;&gt;""),IF(Y369&lt;=10,"Y","N"),"N"))</f>
        <v/>
      </c>
      <c r="FC369" s="0" t="str">
        <f aca="false">IF(FB369="Y",Y369,"")</f>
        <v/>
      </c>
      <c r="FD369" s="0" t="str">
        <f aca="false">IF($A369="","",IF(AND(CK369="pass",AU369="Y",AV369&lt;&gt;"Y",U369="new",EW369="N"),"Y","N"))</f>
        <v/>
      </c>
      <c r="FE369" s="0" t="str">
        <f aca="false">IF(FD369&lt;&gt;"Y","",IF(COUNTIFS($FD$2:$FD$1000,"Y",$J$2:$J$1000,"&gt;"&amp;J369)+COUNTIFS($FD$2:$FD$1000,"Y",$J$2:$J$1000,J369,$FG$2:$FG$1000,"&lt;"&amp;FG369)+1&lt;=30,COUNTIFS($FD$2:$FD$1000,"Y",$J$2:$J$1000,"&gt;"&amp;J369)+COUNTIFS($FD$2:$FD$1000,"Y",$J$2:$J$1000,J369,$FG$2:$FG$1000,"&lt;"&amp;FG369)+1,""))</f>
        <v/>
      </c>
      <c r="FF369" s="0" t="str">
        <f aca="false">IF(AND(_xlfn.ISFORMULA(C369),_xlfn.ISFORMULA(J369)),"Y","N")</f>
        <v>Y</v>
      </c>
      <c r="FG369" s="0" t="n">
        <f aca="false">ROW()-1</f>
        <v>368</v>
      </c>
    </row>
    <row r="370" customFormat="false" ht="15" hidden="false" customHeight="false" outlineLevel="0" collapsed="false">
      <c r="C370" s="0" t="str">
        <f aca="false">IF($A370="","",IF(AT370="Y",BL370&amp;"",AY370&amp;""))</f>
        <v/>
      </c>
      <c r="D370" s="0" t="str">
        <f aca="false">IF($A370="","",IF(AT370="Y",BM370&amp;"",AZ370&amp;""))</f>
        <v/>
      </c>
      <c r="E370" s="0" t="str">
        <f aca="false">IF($A370="","",IF(AT370="Y",BN370&amp;"",BA370&amp;""))</f>
        <v/>
      </c>
      <c r="F370" s="0" t="str">
        <f aca="false">IF($A370="","",IF(AT370="Y",BO370&amp;"",BB370&amp;""))</f>
        <v/>
      </c>
      <c r="G370" s="0" t="str">
        <f aca="false">IF($A370="","",IF(AT370="Y",BP370&amp;"",BC370&amp;""))</f>
        <v/>
      </c>
      <c r="H370" s="0" t="str">
        <f aca="false">IF($A370="","",IF(AT370="Y",BQ370&amp;"",BD370&amp;""))</f>
        <v/>
      </c>
      <c r="I370" s="0" t="str">
        <f aca="false">IF($A370="","",IF(R370="Y","warm-intro",IF(H370="verified","email",IF(C370&lt;&gt;"","linkedin",CA370&amp;""))))</f>
        <v/>
      </c>
      <c r="J370" s="0" t="str">
        <f aca="false">IF($A370="","",IF(CK370="pass",ROUND(N(DO370)+N(DP370)+N(DQ370)+N(DR370)+N(DS370)+N(DT370)+N(DU370)+N(DV370),0),0))</f>
        <v/>
      </c>
      <c r="K370" s="0" t="str">
        <f aca="false">IF($A370="","",IF(CK370&lt;&gt;"pass",BY370&amp;"",BY370&amp;", "&amp;IF(AT370="Y",BX370&amp;"",BK370&amp;"")&amp;BZ370&amp;IF(R370="Y","; known to the founder (+10)","")&amp;"."))</f>
        <v/>
      </c>
      <c r="R370" s="5"/>
      <c r="T370" s="5"/>
      <c r="U370" s="5"/>
      <c r="Y370" s="0" t="str">
        <f aca="false">IF(FA370&lt;&gt;"Y","",COUNTIFS($FA$2:$FA$1000,"Y",$J$2:$J$1000,"&gt;"&amp;J370)+COUNTIFS($FA$2:$FA$1000,"Y",$J$2:$J$1000,J370,$FG$2:$FG$1000,"&lt;"&amp;FG370)+1)</f>
        <v/>
      </c>
      <c r="AB370" s="0" t="str">
        <f aca="false">IF($A370="","",IF(AT370="Y",BW370&amp;"",BJ370&amp;""))</f>
        <v/>
      </c>
      <c r="AC370" s="0" t="str">
        <f aca="false">IF($A370="","",IF(AT370="Y",BR370&amp;"",BE370&amp;""))</f>
        <v/>
      </c>
      <c r="AD370" s="0" t="str">
        <f aca="false">IF($A370="","",IF(AT370="Y",BS370&amp;"",BF370&amp;""))</f>
        <v/>
      </c>
      <c r="AE370" s="0" t="str">
        <f aca="false">IF($A370="","",IF(AT370="Y",BT370&amp;"",BG370&amp;""))</f>
        <v/>
      </c>
      <c r="AF370" s="0" t="str">
        <f aca="false">IF($A370="","",IF(AT370="Y",BU370&amp;"",BH370&amp;""))</f>
        <v/>
      </c>
      <c r="AG370" s="0" t="str">
        <f aca="false">IF($A370="","",IF(AT370="Y",BV370&amp;"",BI370&amp;""))</f>
        <v/>
      </c>
      <c r="AO370" s="5"/>
      <c r="AR370" s="0" t="str">
        <f aca="false">IF($A370="","",IF(AND(CK370="pass",AO370&lt;&gt;"Y",C370&lt;&gt;"",OR(AU370&lt;&gt;"Y",AV370="Y")),"Y","N"))</f>
        <v/>
      </c>
      <c r="AS370" s="0" t="str">
        <f aca="false">IF($A370="","",_xlfn.TEXTJOIN("; ",TRUE(),IF(CK370&lt;&gt;"pass","gated out",""),IF(AO370="Y","on hold: "&amp;AP370,""),IF(C370="","no contact named on an opened page",""),IF(AND(AU370="Y",AV370&lt;&gt;"Y"),"founder review pending (Founder review tab)","")))</f>
        <v/>
      </c>
      <c r="BC370" s="0" t="str">
        <f aca="false">IF($A370="","",IFERROR(INDEX(Enrichment!$A$2:$GZ$2000,MATCH($A370,INDEX(Enrichment!$A$2:$GZ$2000,0,MATCH("row_id",Enrichment!$A$1:$GZ$1,0)),0),MATCH("work_email",Enrichment!$A$1:$GZ$1,0))&amp;"",""))</f>
        <v/>
      </c>
      <c r="BD370" s="0" t="str">
        <f aca="false">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P370" s="0" t="str">
        <f aca="false">IF($A370="","",IFERROR(INDEX(Enrichment!$A$2:$GZ$2000,MATCH($A370,INDEX(Enrichment!$A$2:$GZ$2000,0,MATCH("row_id",Enrichment!$A$1:$GZ$1,0)),0),MATCH("backup_work_email",Enrichment!$A$1:$GZ$1,0))&amp;"",""))</f>
        <v/>
      </c>
      <c r="BQ370" s="0" t="str">
        <f aca="false">IF($A370="","",IF(BP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DU370" s="0" t="str">
        <f aca="false">IF($A370="","",IF(R370="Y",10,0))</f>
        <v/>
      </c>
      <c r="EV370" s="0" t="str">
        <f aca="false">IF($A370="","",IF(ISNUMBER(MATCH(U370,{"queued","contacted","replied","call_booked","call_done","yes_in_principle","materials_sent"},0)),"Y","N"))</f>
        <v/>
      </c>
      <c r="EW370" s="0" t="str">
        <f aca="false">IF($A370="","",IF(OR(T370="Y",U370="do_not_contact",AQ370&amp;""&lt;&gt;""),"Y","N"))</f>
        <v/>
      </c>
      <c r="EX370" s="0" t="str">
        <f aca="false">IF($A370="","",IF(AN370&amp;""&lt;&gt;"",AN370&amp;"",$A370))</f>
        <v/>
      </c>
      <c r="EY370" s="0" t="str">
        <f aca="false">IF($A370="","",IF(COUNTIFS($EX$2:$EX$1000,EX370,$EV$2:$EV$1000,"Y")+COUNTIFS($EX$2:$EX$1000,EX370,$EW$2:$EW$1000,"Y")&gt;0,"Y","N"))</f>
        <v/>
      </c>
      <c r="EZ370" s="0" t="str">
        <f aca="false">IF($A370="","",IF(AND(U370="new",T370="N",EW370="N",AR370="Y",EY370="N"),"Y","N"))</f>
        <v/>
      </c>
      <c r="FA370" s="0" t="str">
        <f aca="false">IF($A370="","",IF(EZ370&lt;&gt;"Y","N",IF(COUNTIFS($EX$2:$EX$1000,EX370,$EZ$2:$EZ$1000,"Y",$J$2:$J$1000,"&gt;"&amp;J370)+COUNTIFS($EX$2:$EX$1000,EX370,$EZ$2:$EZ$1000,"Y",$J$2:$J$1000,J370,$FG$2:$FG$1000,"&lt;"&amp;FG370)=0,"Y","N")))</f>
        <v/>
      </c>
      <c r="FB370" s="0" t="str">
        <f aca="false">IF($A370="","",IF(AND(EZ370="Y",FA370="Y",Y370&amp;""&lt;&gt;""),IF(Y370&lt;=10,"Y","N"),"N"))</f>
        <v/>
      </c>
      <c r="FC370" s="0" t="str">
        <f aca="false">IF(FB370="Y",Y370,"")</f>
        <v/>
      </c>
      <c r="FD370" s="0" t="str">
        <f aca="false">IF($A370="","",IF(AND(CK370="pass",AU370="Y",AV370&lt;&gt;"Y",U370="new",EW370="N"),"Y","N"))</f>
        <v/>
      </c>
      <c r="FE370" s="0" t="str">
        <f aca="false">IF(FD370&lt;&gt;"Y","",IF(COUNTIFS($FD$2:$FD$1000,"Y",$J$2:$J$1000,"&gt;"&amp;J370)+COUNTIFS($FD$2:$FD$1000,"Y",$J$2:$J$1000,J370,$FG$2:$FG$1000,"&lt;"&amp;FG370)+1&lt;=30,COUNTIFS($FD$2:$FD$1000,"Y",$J$2:$J$1000,"&gt;"&amp;J370)+COUNTIFS($FD$2:$FD$1000,"Y",$J$2:$J$1000,J370,$FG$2:$FG$1000,"&lt;"&amp;FG370)+1,""))</f>
        <v/>
      </c>
      <c r="FF370" s="0" t="str">
        <f aca="false">IF(AND(_xlfn.ISFORMULA(C370),_xlfn.ISFORMULA(J370)),"Y","N")</f>
        <v>Y</v>
      </c>
      <c r="FG370" s="0" t="n">
        <f aca="false">ROW()-1</f>
        <v>369</v>
      </c>
    </row>
    <row r="371" customFormat="false" ht="15" hidden="false" customHeight="false" outlineLevel="0" collapsed="false">
      <c r="C371" s="0" t="str">
        <f aca="false">IF($A371="","",IF(AT371="Y",BL371&amp;"",AY371&amp;""))</f>
        <v/>
      </c>
      <c r="D371" s="0" t="str">
        <f aca="false">IF($A371="","",IF(AT371="Y",BM371&amp;"",AZ371&amp;""))</f>
        <v/>
      </c>
      <c r="E371" s="0" t="str">
        <f aca="false">IF($A371="","",IF(AT371="Y",BN371&amp;"",BA371&amp;""))</f>
        <v/>
      </c>
      <c r="F371" s="0" t="str">
        <f aca="false">IF($A371="","",IF(AT371="Y",BO371&amp;"",BB371&amp;""))</f>
        <v/>
      </c>
      <c r="G371" s="0" t="str">
        <f aca="false">IF($A371="","",IF(AT371="Y",BP371&amp;"",BC371&amp;""))</f>
        <v/>
      </c>
      <c r="H371" s="0" t="str">
        <f aca="false">IF($A371="","",IF(AT371="Y",BQ371&amp;"",BD371&amp;""))</f>
        <v/>
      </c>
      <c r="I371" s="0" t="str">
        <f aca="false">IF($A371="","",IF(R371="Y","warm-intro",IF(H371="verified","email",IF(C371&lt;&gt;"","linkedin",CA371&amp;""))))</f>
        <v/>
      </c>
      <c r="J371" s="0" t="str">
        <f aca="false">IF($A371="","",IF(CK371="pass",ROUND(N(DO371)+N(DP371)+N(DQ371)+N(DR371)+N(DS371)+N(DT371)+N(DU371)+N(DV371),0),0))</f>
        <v/>
      </c>
      <c r="K371" s="0" t="str">
        <f aca="false">IF($A371="","",IF(CK371&lt;&gt;"pass",BY371&amp;"",BY371&amp;", "&amp;IF(AT371="Y",BX371&amp;"",BK371&amp;"")&amp;BZ371&amp;IF(R371="Y","; known to the founder (+10)","")&amp;"."))</f>
        <v/>
      </c>
      <c r="R371" s="5"/>
      <c r="T371" s="5"/>
      <c r="U371" s="5"/>
      <c r="Y371" s="0" t="str">
        <f aca="false">IF(FA371&lt;&gt;"Y","",COUNTIFS($FA$2:$FA$1000,"Y",$J$2:$J$1000,"&gt;"&amp;J371)+COUNTIFS($FA$2:$FA$1000,"Y",$J$2:$J$1000,J371,$FG$2:$FG$1000,"&lt;"&amp;FG371)+1)</f>
        <v/>
      </c>
      <c r="AB371" s="0" t="str">
        <f aca="false">IF($A371="","",IF(AT371="Y",BW371&amp;"",BJ371&amp;""))</f>
        <v/>
      </c>
      <c r="AC371" s="0" t="str">
        <f aca="false">IF($A371="","",IF(AT371="Y",BR371&amp;"",BE371&amp;""))</f>
        <v/>
      </c>
      <c r="AD371" s="0" t="str">
        <f aca="false">IF($A371="","",IF(AT371="Y",BS371&amp;"",BF371&amp;""))</f>
        <v/>
      </c>
      <c r="AE371" s="0" t="str">
        <f aca="false">IF($A371="","",IF(AT371="Y",BT371&amp;"",BG371&amp;""))</f>
        <v/>
      </c>
      <c r="AF371" s="0" t="str">
        <f aca="false">IF($A371="","",IF(AT371="Y",BU371&amp;"",BH371&amp;""))</f>
        <v/>
      </c>
      <c r="AG371" s="0" t="str">
        <f aca="false">IF($A371="","",IF(AT371="Y",BV371&amp;"",BI371&amp;""))</f>
        <v/>
      </c>
      <c r="AO371" s="5"/>
      <c r="AR371" s="0" t="str">
        <f aca="false">IF($A371="","",IF(AND(CK371="pass",AO371&lt;&gt;"Y",C371&lt;&gt;"",OR(AU371&lt;&gt;"Y",AV371="Y")),"Y","N"))</f>
        <v/>
      </c>
      <c r="AS371" s="0" t="str">
        <f aca="false">IF($A371="","",_xlfn.TEXTJOIN("; ",TRUE(),IF(CK371&lt;&gt;"pass","gated out",""),IF(AO371="Y","on hold: "&amp;AP371,""),IF(C371="","no contact named on an opened page",""),IF(AND(AU371="Y",AV371&lt;&gt;"Y"),"founder review pending (Founder review tab)","")))</f>
        <v/>
      </c>
      <c r="BC371" s="0" t="str">
        <f aca="false">IF($A371="","",IFERROR(INDEX(Enrichment!$A$2:$GZ$2000,MATCH($A371,INDEX(Enrichment!$A$2:$GZ$2000,0,MATCH("row_id",Enrichment!$A$1:$GZ$1,0)),0),MATCH("work_email",Enrichment!$A$1:$GZ$1,0))&amp;"",""))</f>
        <v/>
      </c>
      <c r="BD371" s="0" t="str">
        <f aca="false">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P371" s="0" t="str">
        <f aca="false">IF($A371="","",IFERROR(INDEX(Enrichment!$A$2:$GZ$2000,MATCH($A371,INDEX(Enrichment!$A$2:$GZ$2000,0,MATCH("row_id",Enrichment!$A$1:$GZ$1,0)),0),MATCH("backup_work_email",Enrichment!$A$1:$GZ$1,0))&amp;"",""))</f>
        <v/>
      </c>
      <c r="BQ371" s="0" t="str">
        <f aca="false">IF($A371="","",IF(BP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DU371" s="0" t="str">
        <f aca="false">IF($A371="","",IF(R371="Y",10,0))</f>
        <v/>
      </c>
      <c r="EV371" s="0" t="str">
        <f aca="false">IF($A371="","",IF(ISNUMBER(MATCH(U371,{"queued","contacted","replied","call_booked","call_done","yes_in_principle","materials_sent"},0)),"Y","N"))</f>
        <v/>
      </c>
      <c r="EW371" s="0" t="str">
        <f aca="false">IF($A371="","",IF(OR(T371="Y",U371="do_not_contact",AQ371&amp;""&lt;&gt;""),"Y","N"))</f>
        <v/>
      </c>
      <c r="EX371" s="0" t="str">
        <f aca="false">IF($A371="","",IF(AN371&amp;""&lt;&gt;"",AN371&amp;"",$A371))</f>
        <v/>
      </c>
      <c r="EY371" s="0" t="str">
        <f aca="false">IF($A371="","",IF(COUNTIFS($EX$2:$EX$1000,EX371,$EV$2:$EV$1000,"Y")+COUNTIFS($EX$2:$EX$1000,EX371,$EW$2:$EW$1000,"Y")&gt;0,"Y","N"))</f>
        <v/>
      </c>
      <c r="EZ371" s="0" t="str">
        <f aca="false">IF($A371="","",IF(AND(U371="new",T371="N",EW371="N",AR371="Y",EY371="N"),"Y","N"))</f>
        <v/>
      </c>
      <c r="FA371" s="0" t="str">
        <f aca="false">IF($A371="","",IF(EZ371&lt;&gt;"Y","N",IF(COUNTIFS($EX$2:$EX$1000,EX371,$EZ$2:$EZ$1000,"Y",$J$2:$J$1000,"&gt;"&amp;J371)+COUNTIFS($EX$2:$EX$1000,EX371,$EZ$2:$EZ$1000,"Y",$J$2:$J$1000,J371,$FG$2:$FG$1000,"&lt;"&amp;FG371)=0,"Y","N")))</f>
        <v/>
      </c>
      <c r="FB371" s="0" t="str">
        <f aca="false">IF($A371="","",IF(AND(EZ371="Y",FA371="Y",Y371&amp;""&lt;&gt;""),IF(Y371&lt;=10,"Y","N"),"N"))</f>
        <v/>
      </c>
      <c r="FC371" s="0" t="str">
        <f aca="false">IF(FB371="Y",Y371,"")</f>
        <v/>
      </c>
      <c r="FD371" s="0" t="str">
        <f aca="false">IF($A371="","",IF(AND(CK371="pass",AU371="Y",AV371&lt;&gt;"Y",U371="new",EW371="N"),"Y","N"))</f>
        <v/>
      </c>
      <c r="FE371" s="0" t="str">
        <f aca="false">IF(FD371&lt;&gt;"Y","",IF(COUNTIFS($FD$2:$FD$1000,"Y",$J$2:$J$1000,"&gt;"&amp;J371)+COUNTIFS($FD$2:$FD$1000,"Y",$J$2:$J$1000,J371,$FG$2:$FG$1000,"&lt;"&amp;FG371)+1&lt;=30,COUNTIFS($FD$2:$FD$1000,"Y",$J$2:$J$1000,"&gt;"&amp;J371)+COUNTIFS($FD$2:$FD$1000,"Y",$J$2:$J$1000,J371,$FG$2:$FG$1000,"&lt;"&amp;FG371)+1,""))</f>
        <v/>
      </c>
      <c r="FF371" s="0" t="str">
        <f aca="false">IF(AND(_xlfn.ISFORMULA(C371),_xlfn.ISFORMULA(J371)),"Y","N")</f>
        <v>Y</v>
      </c>
      <c r="FG371" s="0" t="n">
        <f aca="false">ROW()-1</f>
        <v>370</v>
      </c>
    </row>
    <row r="372" customFormat="false" ht="15" hidden="false" customHeight="false" outlineLevel="0" collapsed="false">
      <c r="C372" s="0" t="str">
        <f aca="false">IF($A372="","",IF(AT372="Y",BL372&amp;"",AY372&amp;""))</f>
        <v/>
      </c>
      <c r="D372" s="0" t="str">
        <f aca="false">IF($A372="","",IF(AT372="Y",BM372&amp;"",AZ372&amp;""))</f>
        <v/>
      </c>
      <c r="E372" s="0" t="str">
        <f aca="false">IF($A372="","",IF(AT372="Y",BN372&amp;"",BA372&amp;""))</f>
        <v/>
      </c>
      <c r="F372" s="0" t="str">
        <f aca="false">IF($A372="","",IF(AT372="Y",BO372&amp;"",BB372&amp;""))</f>
        <v/>
      </c>
      <c r="G372" s="0" t="str">
        <f aca="false">IF($A372="","",IF(AT372="Y",BP372&amp;"",BC372&amp;""))</f>
        <v/>
      </c>
      <c r="H372" s="0" t="str">
        <f aca="false">IF($A372="","",IF(AT372="Y",BQ372&amp;"",BD372&amp;""))</f>
        <v/>
      </c>
      <c r="I372" s="0" t="str">
        <f aca="false">IF($A372="","",IF(R372="Y","warm-intro",IF(H372="verified","email",IF(C372&lt;&gt;"","linkedin",CA372&amp;""))))</f>
        <v/>
      </c>
      <c r="J372" s="0" t="str">
        <f aca="false">IF($A372="","",IF(CK372="pass",ROUND(N(DO372)+N(DP372)+N(DQ372)+N(DR372)+N(DS372)+N(DT372)+N(DU372)+N(DV372),0),0))</f>
        <v/>
      </c>
      <c r="K372" s="0" t="str">
        <f aca="false">IF($A372="","",IF(CK372&lt;&gt;"pass",BY372&amp;"",BY372&amp;", "&amp;IF(AT372="Y",BX372&amp;"",BK372&amp;"")&amp;BZ372&amp;IF(R372="Y","; known to the founder (+10)","")&amp;"."))</f>
        <v/>
      </c>
      <c r="R372" s="5"/>
      <c r="T372" s="5"/>
      <c r="U372" s="5"/>
      <c r="Y372" s="0" t="str">
        <f aca="false">IF(FA372&lt;&gt;"Y","",COUNTIFS($FA$2:$FA$1000,"Y",$J$2:$J$1000,"&gt;"&amp;J372)+COUNTIFS($FA$2:$FA$1000,"Y",$J$2:$J$1000,J372,$FG$2:$FG$1000,"&lt;"&amp;FG372)+1)</f>
        <v/>
      </c>
      <c r="AB372" s="0" t="str">
        <f aca="false">IF($A372="","",IF(AT372="Y",BW372&amp;"",BJ372&amp;""))</f>
        <v/>
      </c>
      <c r="AC372" s="0" t="str">
        <f aca="false">IF($A372="","",IF(AT372="Y",BR372&amp;"",BE372&amp;""))</f>
        <v/>
      </c>
      <c r="AD372" s="0" t="str">
        <f aca="false">IF($A372="","",IF(AT372="Y",BS372&amp;"",BF372&amp;""))</f>
        <v/>
      </c>
      <c r="AE372" s="0" t="str">
        <f aca="false">IF($A372="","",IF(AT372="Y",BT372&amp;"",BG372&amp;""))</f>
        <v/>
      </c>
      <c r="AF372" s="0" t="str">
        <f aca="false">IF($A372="","",IF(AT372="Y",BU372&amp;"",BH372&amp;""))</f>
        <v/>
      </c>
      <c r="AG372" s="0" t="str">
        <f aca="false">IF($A372="","",IF(AT372="Y",BV372&amp;"",BI372&amp;""))</f>
        <v/>
      </c>
      <c r="AO372" s="5"/>
      <c r="AR372" s="0" t="str">
        <f aca="false">IF($A372="","",IF(AND(CK372="pass",AO372&lt;&gt;"Y",C372&lt;&gt;"",OR(AU372&lt;&gt;"Y",AV372="Y")),"Y","N"))</f>
        <v/>
      </c>
      <c r="AS372" s="0" t="str">
        <f aca="false">IF($A372="","",_xlfn.TEXTJOIN("; ",TRUE(),IF(CK372&lt;&gt;"pass","gated out",""),IF(AO372="Y","on hold: "&amp;AP372,""),IF(C372="","no contact named on an opened page",""),IF(AND(AU372="Y",AV372&lt;&gt;"Y"),"founder review pending (Founder review tab)","")))</f>
        <v/>
      </c>
      <c r="BC372" s="0" t="str">
        <f aca="false">IF($A372="","",IFERROR(INDEX(Enrichment!$A$2:$GZ$2000,MATCH($A372,INDEX(Enrichment!$A$2:$GZ$2000,0,MATCH("row_id",Enrichment!$A$1:$GZ$1,0)),0),MATCH("work_email",Enrichment!$A$1:$GZ$1,0))&amp;"",""))</f>
        <v/>
      </c>
      <c r="BD372" s="0" t="str">
        <f aca="false">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P372" s="0" t="str">
        <f aca="false">IF($A372="","",IFERROR(INDEX(Enrichment!$A$2:$GZ$2000,MATCH($A372,INDEX(Enrichment!$A$2:$GZ$2000,0,MATCH("row_id",Enrichment!$A$1:$GZ$1,0)),0),MATCH("backup_work_email",Enrichment!$A$1:$GZ$1,0))&amp;"",""))</f>
        <v/>
      </c>
      <c r="BQ372" s="0" t="str">
        <f aca="false">IF($A372="","",IF(BP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DU372" s="0" t="str">
        <f aca="false">IF($A372="","",IF(R372="Y",10,0))</f>
        <v/>
      </c>
      <c r="EV372" s="0" t="str">
        <f aca="false">IF($A372="","",IF(ISNUMBER(MATCH(U372,{"queued","contacted","replied","call_booked","call_done","yes_in_principle","materials_sent"},0)),"Y","N"))</f>
        <v/>
      </c>
      <c r="EW372" s="0" t="str">
        <f aca="false">IF($A372="","",IF(OR(T372="Y",U372="do_not_contact",AQ372&amp;""&lt;&gt;""),"Y","N"))</f>
        <v/>
      </c>
      <c r="EX372" s="0" t="str">
        <f aca="false">IF($A372="","",IF(AN372&amp;""&lt;&gt;"",AN372&amp;"",$A372))</f>
        <v/>
      </c>
      <c r="EY372" s="0" t="str">
        <f aca="false">IF($A372="","",IF(COUNTIFS($EX$2:$EX$1000,EX372,$EV$2:$EV$1000,"Y")+COUNTIFS($EX$2:$EX$1000,EX372,$EW$2:$EW$1000,"Y")&gt;0,"Y","N"))</f>
        <v/>
      </c>
      <c r="EZ372" s="0" t="str">
        <f aca="false">IF($A372="","",IF(AND(U372="new",T372="N",EW372="N",AR372="Y",EY372="N"),"Y","N"))</f>
        <v/>
      </c>
      <c r="FA372" s="0" t="str">
        <f aca="false">IF($A372="","",IF(EZ372&lt;&gt;"Y","N",IF(COUNTIFS($EX$2:$EX$1000,EX372,$EZ$2:$EZ$1000,"Y",$J$2:$J$1000,"&gt;"&amp;J372)+COUNTIFS($EX$2:$EX$1000,EX372,$EZ$2:$EZ$1000,"Y",$J$2:$J$1000,J372,$FG$2:$FG$1000,"&lt;"&amp;FG372)=0,"Y","N")))</f>
        <v/>
      </c>
      <c r="FB372" s="0" t="str">
        <f aca="false">IF($A372="","",IF(AND(EZ372="Y",FA372="Y",Y372&amp;""&lt;&gt;""),IF(Y372&lt;=10,"Y","N"),"N"))</f>
        <v/>
      </c>
      <c r="FC372" s="0" t="str">
        <f aca="false">IF(FB372="Y",Y372,"")</f>
        <v/>
      </c>
      <c r="FD372" s="0" t="str">
        <f aca="false">IF($A372="","",IF(AND(CK372="pass",AU372="Y",AV372&lt;&gt;"Y",U372="new",EW372="N"),"Y","N"))</f>
        <v/>
      </c>
      <c r="FE372" s="0" t="str">
        <f aca="false">IF(FD372&lt;&gt;"Y","",IF(COUNTIFS($FD$2:$FD$1000,"Y",$J$2:$J$1000,"&gt;"&amp;J372)+COUNTIFS($FD$2:$FD$1000,"Y",$J$2:$J$1000,J372,$FG$2:$FG$1000,"&lt;"&amp;FG372)+1&lt;=30,COUNTIFS($FD$2:$FD$1000,"Y",$J$2:$J$1000,"&gt;"&amp;J372)+COUNTIFS($FD$2:$FD$1000,"Y",$J$2:$J$1000,J372,$FG$2:$FG$1000,"&lt;"&amp;FG372)+1,""))</f>
        <v/>
      </c>
      <c r="FF372" s="0" t="str">
        <f aca="false">IF(AND(_xlfn.ISFORMULA(C372),_xlfn.ISFORMULA(J372)),"Y","N")</f>
        <v>Y</v>
      </c>
      <c r="FG372" s="0" t="n">
        <f aca="false">ROW()-1</f>
        <v>371</v>
      </c>
    </row>
    <row r="373" customFormat="false" ht="15" hidden="false" customHeight="false" outlineLevel="0" collapsed="false">
      <c r="C373" s="0" t="str">
        <f aca="false">IF($A373="","",IF(AT373="Y",BL373&amp;"",AY373&amp;""))</f>
        <v/>
      </c>
      <c r="D373" s="0" t="str">
        <f aca="false">IF($A373="","",IF(AT373="Y",BM373&amp;"",AZ373&amp;""))</f>
        <v/>
      </c>
      <c r="E373" s="0" t="str">
        <f aca="false">IF($A373="","",IF(AT373="Y",BN373&amp;"",BA373&amp;""))</f>
        <v/>
      </c>
      <c r="F373" s="0" t="str">
        <f aca="false">IF($A373="","",IF(AT373="Y",BO373&amp;"",BB373&amp;""))</f>
        <v/>
      </c>
      <c r="G373" s="0" t="str">
        <f aca="false">IF($A373="","",IF(AT373="Y",BP373&amp;"",BC373&amp;""))</f>
        <v/>
      </c>
      <c r="H373" s="0" t="str">
        <f aca="false">IF($A373="","",IF(AT373="Y",BQ373&amp;"",BD373&amp;""))</f>
        <v/>
      </c>
      <c r="I373" s="0" t="str">
        <f aca="false">IF($A373="","",IF(R373="Y","warm-intro",IF(H373="verified","email",IF(C373&lt;&gt;"","linkedin",CA373&amp;""))))</f>
        <v/>
      </c>
      <c r="J373" s="0" t="str">
        <f aca="false">IF($A373="","",IF(CK373="pass",ROUND(N(DO373)+N(DP373)+N(DQ373)+N(DR373)+N(DS373)+N(DT373)+N(DU373)+N(DV373),0),0))</f>
        <v/>
      </c>
      <c r="K373" s="0" t="str">
        <f aca="false">IF($A373="","",IF(CK373&lt;&gt;"pass",BY373&amp;"",BY373&amp;", "&amp;IF(AT373="Y",BX373&amp;"",BK373&amp;"")&amp;BZ373&amp;IF(R373="Y","; known to the founder (+10)","")&amp;"."))</f>
        <v/>
      </c>
      <c r="R373" s="5"/>
      <c r="T373" s="5"/>
      <c r="U373" s="5"/>
      <c r="Y373" s="0" t="str">
        <f aca="false">IF(FA373&lt;&gt;"Y","",COUNTIFS($FA$2:$FA$1000,"Y",$J$2:$J$1000,"&gt;"&amp;J373)+COUNTIFS($FA$2:$FA$1000,"Y",$J$2:$J$1000,J373,$FG$2:$FG$1000,"&lt;"&amp;FG373)+1)</f>
        <v/>
      </c>
      <c r="AB373" s="0" t="str">
        <f aca="false">IF($A373="","",IF(AT373="Y",BW373&amp;"",BJ373&amp;""))</f>
        <v/>
      </c>
      <c r="AC373" s="0" t="str">
        <f aca="false">IF($A373="","",IF(AT373="Y",BR373&amp;"",BE373&amp;""))</f>
        <v/>
      </c>
      <c r="AD373" s="0" t="str">
        <f aca="false">IF($A373="","",IF(AT373="Y",BS373&amp;"",BF373&amp;""))</f>
        <v/>
      </c>
      <c r="AE373" s="0" t="str">
        <f aca="false">IF($A373="","",IF(AT373="Y",BT373&amp;"",BG373&amp;""))</f>
        <v/>
      </c>
      <c r="AF373" s="0" t="str">
        <f aca="false">IF($A373="","",IF(AT373="Y",BU373&amp;"",BH373&amp;""))</f>
        <v/>
      </c>
      <c r="AG373" s="0" t="str">
        <f aca="false">IF($A373="","",IF(AT373="Y",BV373&amp;"",BI373&amp;""))</f>
        <v/>
      </c>
      <c r="AO373" s="5"/>
      <c r="AR373" s="0" t="str">
        <f aca="false">IF($A373="","",IF(AND(CK373="pass",AO373&lt;&gt;"Y",C373&lt;&gt;"",OR(AU373&lt;&gt;"Y",AV373="Y")),"Y","N"))</f>
        <v/>
      </c>
      <c r="AS373" s="0" t="str">
        <f aca="false">IF($A373="","",_xlfn.TEXTJOIN("; ",TRUE(),IF(CK373&lt;&gt;"pass","gated out",""),IF(AO373="Y","on hold: "&amp;AP373,""),IF(C373="","no contact named on an opened page",""),IF(AND(AU373="Y",AV373&lt;&gt;"Y"),"founder review pending (Founder review tab)","")))</f>
        <v/>
      </c>
      <c r="BC373" s="0" t="str">
        <f aca="false">IF($A373="","",IFERROR(INDEX(Enrichment!$A$2:$GZ$2000,MATCH($A373,INDEX(Enrichment!$A$2:$GZ$2000,0,MATCH("row_id",Enrichment!$A$1:$GZ$1,0)),0),MATCH("work_email",Enrichment!$A$1:$GZ$1,0))&amp;"",""))</f>
        <v/>
      </c>
      <c r="BD373" s="0" t="str">
        <f aca="false">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P373" s="0" t="str">
        <f aca="false">IF($A373="","",IFERROR(INDEX(Enrichment!$A$2:$GZ$2000,MATCH($A373,INDEX(Enrichment!$A$2:$GZ$2000,0,MATCH("row_id",Enrichment!$A$1:$GZ$1,0)),0),MATCH("backup_work_email",Enrichment!$A$1:$GZ$1,0))&amp;"",""))</f>
        <v/>
      </c>
      <c r="BQ373" s="0" t="str">
        <f aca="false">IF($A373="","",IF(BP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DU373" s="0" t="str">
        <f aca="false">IF($A373="","",IF(R373="Y",10,0))</f>
        <v/>
      </c>
      <c r="EV373" s="0" t="str">
        <f aca="false">IF($A373="","",IF(ISNUMBER(MATCH(U373,{"queued","contacted","replied","call_booked","call_done","yes_in_principle","materials_sent"},0)),"Y","N"))</f>
        <v/>
      </c>
      <c r="EW373" s="0" t="str">
        <f aca="false">IF($A373="","",IF(OR(T373="Y",U373="do_not_contact",AQ373&amp;""&lt;&gt;""),"Y","N"))</f>
        <v/>
      </c>
      <c r="EX373" s="0" t="str">
        <f aca="false">IF($A373="","",IF(AN373&amp;""&lt;&gt;"",AN373&amp;"",$A373))</f>
        <v/>
      </c>
      <c r="EY373" s="0" t="str">
        <f aca="false">IF($A373="","",IF(COUNTIFS($EX$2:$EX$1000,EX373,$EV$2:$EV$1000,"Y")+COUNTIFS($EX$2:$EX$1000,EX373,$EW$2:$EW$1000,"Y")&gt;0,"Y","N"))</f>
        <v/>
      </c>
      <c r="EZ373" s="0" t="str">
        <f aca="false">IF($A373="","",IF(AND(U373="new",T373="N",EW373="N",AR373="Y",EY373="N"),"Y","N"))</f>
        <v/>
      </c>
      <c r="FA373" s="0" t="str">
        <f aca="false">IF($A373="","",IF(EZ373&lt;&gt;"Y","N",IF(COUNTIFS($EX$2:$EX$1000,EX373,$EZ$2:$EZ$1000,"Y",$J$2:$J$1000,"&gt;"&amp;J373)+COUNTIFS($EX$2:$EX$1000,EX373,$EZ$2:$EZ$1000,"Y",$J$2:$J$1000,J373,$FG$2:$FG$1000,"&lt;"&amp;FG373)=0,"Y","N")))</f>
        <v/>
      </c>
      <c r="FB373" s="0" t="str">
        <f aca="false">IF($A373="","",IF(AND(EZ373="Y",FA373="Y",Y373&amp;""&lt;&gt;""),IF(Y373&lt;=10,"Y","N"),"N"))</f>
        <v/>
      </c>
      <c r="FC373" s="0" t="str">
        <f aca="false">IF(FB373="Y",Y373,"")</f>
        <v/>
      </c>
      <c r="FD373" s="0" t="str">
        <f aca="false">IF($A373="","",IF(AND(CK373="pass",AU373="Y",AV373&lt;&gt;"Y",U373="new",EW373="N"),"Y","N"))</f>
        <v/>
      </c>
      <c r="FE373" s="0" t="str">
        <f aca="false">IF(FD373&lt;&gt;"Y","",IF(COUNTIFS($FD$2:$FD$1000,"Y",$J$2:$J$1000,"&gt;"&amp;J373)+COUNTIFS($FD$2:$FD$1000,"Y",$J$2:$J$1000,J373,$FG$2:$FG$1000,"&lt;"&amp;FG373)+1&lt;=30,COUNTIFS($FD$2:$FD$1000,"Y",$J$2:$J$1000,"&gt;"&amp;J373)+COUNTIFS($FD$2:$FD$1000,"Y",$J$2:$J$1000,J373,$FG$2:$FG$1000,"&lt;"&amp;FG373)+1,""))</f>
        <v/>
      </c>
      <c r="FF373" s="0" t="str">
        <f aca="false">IF(AND(_xlfn.ISFORMULA(C373),_xlfn.ISFORMULA(J373)),"Y","N")</f>
        <v>Y</v>
      </c>
      <c r="FG373" s="0" t="n">
        <f aca="false">ROW()-1</f>
        <v>372</v>
      </c>
    </row>
    <row r="374" customFormat="false" ht="15" hidden="false" customHeight="false" outlineLevel="0" collapsed="false">
      <c r="C374" s="0" t="str">
        <f aca="false">IF($A374="","",IF(AT374="Y",BL374&amp;"",AY374&amp;""))</f>
        <v/>
      </c>
      <c r="D374" s="0" t="str">
        <f aca="false">IF($A374="","",IF(AT374="Y",BM374&amp;"",AZ374&amp;""))</f>
        <v/>
      </c>
      <c r="E374" s="0" t="str">
        <f aca="false">IF($A374="","",IF(AT374="Y",BN374&amp;"",BA374&amp;""))</f>
        <v/>
      </c>
      <c r="F374" s="0" t="str">
        <f aca="false">IF($A374="","",IF(AT374="Y",BO374&amp;"",BB374&amp;""))</f>
        <v/>
      </c>
      <c r="G374" s="0" t="str">
        <f aca="false">IF($A374="","",IF(AT374="Y",BP374&amp;"",BC374&amp;""))</f>
        <v/>
      </c>
      <c r="H374" s="0" t="str">
        <f aca="false">IF($A374="","",IF(AT374="Y",BQ374&amp;"",BD374&amp;""))</f>
        <v/>
      </c>
      <c r="I374" s="0" t="str">
        <f aca="false">IF($A374="","",IF(R374="Y","warm-intro",IF(H374="verified","email",IF(C374&lt;&gt;"","linkedin",CA374&amp;""))))</f>
        <v/>
      </c>
      <c r="J374" s="0" t="str">
        <f aca="false">IF($A374="","",IF(CK374="pass",ROUND(N(DO374)+N(DP374)+N(DQ374)+N(DR374)+N(DS374)+N(DT374)+N(DU374)+N(DV374),0),0))</f>
        <v/>
      </c>
      <c r="K374" s="0" t="str">
        <f aca="false">IF($A374="","",IF(CK374&lt;&gt;"pass",BY374&amp;"",BY374&amp;", "&amp;IF(AT374="Y",BX374&amp;"",BK374&amp;"")&amp;BZ374&amp;IF(R374="Y","; known to the founder (+10)","")&amp;"."))</f>
        <v/>
      </c>
      <c r="R374" s="5"/>
      <c r="T374" s="5"/>
      <c r="U374" s="5"/>
      <c r="Y374" s="0" t="str">
        <f aca="false">IF(FA374&lt;&gt;"Y","",COUNTIFS($FA$2:$FA$1000,"Y",$J$2:$J$1000,"&gt;"&amp;J374)+COUNTIFS($FA$2:$FA$1000,"Y",$J$2:$J$1000,J374,$FG$2:$FG$1000,"&lt;"&amp;FG374)+1)</f>
        <v/>
      </c>
      <c r="AB374" s="0" t="str">
        <f aca="false">IF($A374="","",IF(AT374="Y",BW374&amp;"",BJ374&amp;""))</f>
        <v/>
      </c>
      <c r="AC374" s="0" t="str">
        <f aca="false">IF($A374="","",IF(AT374="Y",BR374&amp;"",BE374&amp;""))</f>
        <v/>
      </c>
      <c r="AD374" s="0" t="str">
        <f aca="false">IF($A374="","",IF(AT374="Y",BS374&amp;"",BF374&amp;""))</f>
        <v/>
      </c>
      <c r="AE374" s="0" t="str">
        <f aca="false">IF($A374="","",IF(AT374="Y",BT374&amp;"",BG374&amp;""))</f>
        <v/>
      </c>
      <c r="AF374" s="0" t="str">
        <f aca="false">IF($A374="","",IF(AT374="Y",BU374&amp;"",BH374&amp;""))</f>
        <v/>
      </c>
      <c r="AG374" s="0" t="str">
        <f aca="false">IF($A374="","",IF(AT374="Y",BV374&amp;"",BI374&amp;""))</f>
        <v/>
      </c>
      <c r="AO374" s="5"/>
      <c r="AR374" s="0" t="str">
        <f aca="false">IF($A374="","",IF(AND(CK374="pass",AO374&lt;&gt;"Y",C374&lt;&gt;"",OR(AU374&lt;&gt;"Y",AV374="Y")),"Y","N"))</f>
        <v/>
      </c>
      <c r="AS374" s="0" t="str">
        <f aca="false">IF($A374="","",_xlfn.TEXTJOIN("; ",TRUE(),IF(CK374&lt;&gt;"pass","gated out",""),IF(AO374="Y","on hold: "&amp;AP374,""),IF(C374="","no contact named on an opened page",""),IF(AND(AU374="Y",AV374&lt;&gt;"Y"),"founder review pending (Founder review tab)","")))</f>
        <v/>
      </c>
      <c r="BC374" s="0" t="str">
        <f aca="false">IF($A374="","",IFERROR(INDEX(Enrichment!$A$2:$GZ$2000,MATCH($A374,INDEX(Enrichment!$A$2:$GZ$2000,0,MATCH("row_id",Enrichment!$A$1:$GZ$1,0)),0),MATCH("work_email",Enrichment!$A$1:$GZ$1,0))&amp;"",""))</f>
        <v/>
      </c>
      <c r="BD374" s="0" t="str">
        <f aca="false">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P374" s="0" t="str">
        <f aca="false">IF($A374="","",IFERROR(INDEX(Enrichment!$A$2:$GZ$2000,MATCH($A374,INDEX(Enrichment!$A$2:$GZ$2000,0,MATCH("row_id",Enrichment!$A$1:$GZ$1,0)),0),MATCH("backup_work_email",Enrichment!$A$1:$GZ$1,0))&amp;"",""))</f>
        <v/>
      </c>
      <c r="BQ374" s="0" t="str">
        <f aca="false">IF($A374="","",IF(BP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DU374" s="0" t="str">
        <f aca="false">IF($A374="","",IF(R374="Y",10,0))</f>
        <v/>
      </c>
      <c r="EV374" s="0" t="str">
        <f aca="false">IF($A374="","",IF(ISNUMBER(MATCH(U374,{"queued","contacted","replied","call_booked","call_done","yes_in_principle","materials_sent"},0)),"Y","N"))</f>
        <v/>
      </c>
      <c r="EW374" s="0" t="str">
        <f aca="false">IF($A374="","",IF(OR(T374="Y",U374="do_not_contact",AQ374&amp;""&lt;&gt;""),"Y","N"))</f>
        <v/>
      </c>
      <c r="EX374" s="0" t="str">
        <f aca="false">IF($A374="","",IF(AN374&amp;""&lt;&gt;"",AN374&amp;"",$A374))</f>
        <v/>
      </c>
      <c r="EY374" s="0" t="str">
        <f aca="false">IF($A374="","",IF(COUNTIFS($EX$2:$EX$1000,EX374,$EV$2:$EV$1000,"Y")+COUNTIFS($EX$2:$EX$1000,EX374,$EW$2:$EW$1000,"Y")&gt;0,"Y","N"))</f>
        <v/>
      </c>
      <c r="EZ374" s="0" t="str">
        <f aca="false">IF($A374="","",IF(AND(U374="new",T374="N",EW374="N",AR374="Y",EY374="N"),"Y","N"))</f>
        <v/>
      </c>
      <c r="FA374" s="0" t="str">
        <f aca="false">IF($A374="","",IF(EZ374&lt;&gt;"Y","N",IF(COUNTIFS($EX$2:$EX$1000,EX374,$EZ$2:$EZ$1000,"Y",$J$2:$J$1000,"&gt;"&amp;J374)+COUNTIFS($EX$2:$EX$1000,EX374,$EZ$2:$EZ$1000,"Y",$J$2:$J$1000,J374,$FG$2:$FG$1000,"&lt;"&amp;FG374)=0,"Y","N")))</f>
        <v/>
      </c>
      <c r="FB374" s="0" t="str">
        <f aca="false">IF($A374="","",IF(AND(EZ374="Y",FA374="Y",Y374&amp;""&lt;&gt;""),IF(Y374&lt;=10,"Y","N"),"N"))</f>
        <v/>
      </c>
      <c r="FC374" s="0" t="str">
        <f aca="false">IF(FB374="Y",Y374,"")</f>
        <v/>
      </c>
      <c r="FD374" s="0" t="str">
        <f aca="false">IF($A374="","",IF(AND(CK374="pass",AU374="Y",AV374&lt;&gt;"Y",U374="new",EW374="N"),"Y","N"))</f>
        <v/>
      </c>
      <c r="FE374" s="0" t="str">
        <f aca="false">IF(FD374&lt;&gt;"Y","",IF(COUNTIFS($FD$2:$FD$1000,"Y",$J$2:$J$1000,"&gt;"&amp;J374)+COUNTIFS($FD$2:$FD$1000,"Y",$J$2:$J$1000,J374,$FG$2:$FG$1000,"&lt;"&amp;FG374)+1&lt;=30,COUNTIFS($FD$2:$FD$1000,"Y",$J$2:$J$1000,"&gt;"&amp;J374)+COUNTIFS($FD$2:$FD$1000,"Y",$J$2:$J$1000,J374,$FG$2:$FG$1000,"&lt;"&amp;FG374)+1,""))</f>
        <v/>
      </c>
      <c r="FF374" s="0" t="str">
        <f aca="false">IF(AND(_xlfn.ISFORMULA(C374),_xlfn.ISFORMULA(J374)),"Y","N")</f>
        <v>Y</v>
      </c>
      <c r="FG374" s="0" t="n">
        <f aca="false">ROW()-1</f>
        <v>373</v>
      </c>
    </row>
    <row r="375" customFormat="false" ht="15" hidden="false" customHeight="false" outlineLevel="0" collapsed="false">
      <c r="C375" s="0" t="str">
        <f aca="false">IF($A375="","",IF(AT375="Y",BL375&amp;"",AY375&amp;""))</f>
        <v/>
      </c>
      <c r="D375" s="0" t="str">
        <f aca="false">IF($A375="","",IF(AT375="Y",BM375&amp;"",AZ375&amp;""))</f>
        <v/>
      </c>
      <c r="E375" s="0" t="str">
        <f aca="false">IF($A375="","",IF(AT375="Y",BN375&amp;"",BA375&amp;""))</f>
        <v/>
      </c>
      <c r="F375" s="0" t="str">
        <f aca="false">IF($A375="","",IF(AT375="Y",BO375&amp;"",BB375&amp;""))</f>
        <v/>
      </c>
      <c r="G375" s="0" t="str">
        <f aca="false">IF($A375="","",IF(AT375="Y",BP375&amp;"",BC375&amp;""))</f>
        <v/>
      </c>
      <c r="H375" s="0" t="str">
        <f aca="false">IF($A375="","",IF(AT375="Y",BQ375&amp;"",BD375&amp;""))</f>
        <v/>
      </c>
      <c r="I375" s="0" t="str">
        <f aca="false">IF($A375="","",IF(R375="Y","warm-intro",IF(H375="verified","email",IF(C375&lt;&gt;"","linkedin",CA375&amp;""))))</f>
        <v/>
      </c>
      <c r="J375" s="0" t="str">
        <f aca="false">IF($A375="","",IF(CK375="pass",ROUND(N(DO375)+N(DP375)+N(DQ375)+N(DR375)+N(DS375)+N(DT375)+N(DU375)+N(DV375),0),0))</f>
        <v/>
      </c>
      <c r="K375" s="0" t="str">
        <f aca="false">IF($A375="","",IF(CK375&lt;&gt;"pass",BY375&amp;"",BY375&amp;", "&amp;IF(AT375="Y",BX375&amp;"",BK375&amp;"")&amp;BZ375&amp;IF(R375="Y","; known to the founder (+10)","")&amp;"."))</f>
        <v/>
      </c>
      <c r="R375" s="5"/>
      <c r="T375" s="5"/>
      <c r="U375" s="5"/>
      <c r="Y375" s="0" t="str">
        <f aca="false">IF(FA375&lt;&gt;"Y","",COUNTIFS($FA$2:$FA$1000,"Y",$J$2:$J$1000,"&gt;"&amp;J375)+COUNTIFS($FA$2:$FA$1000,"Y",$J$2:$J$1000,J375,$FG$2:$FG$1000,"&lt;"&amp;FG375)+1)</f>
        <v/>
      </c>
      <c r="AB375" s="0" t="str">
        <f aca="false">IF($A375="","",IF(AT375="Y",BW375&amp;"",BJ375&amp;""))</f>
        <v/>
      </c>
      <c r="AC375" s="0" t="str">
        <f aca="false">IF($A375="","",IF(AT375="Y",BR375&amp;"",BE375&amp;""))</f>
        <v/>
      </c>
      <c r="AD375" s="0" t="str">
        <f aca="false">IF($A375="","",IF(AT375="Y",BS375&amp;"",BF375&amp;""))</f>
        <v/>
      </c>
      <c r="AE375" s="0" t="str">
        <f aca="false">IF($A375="","",IF(AT375="Y",BT375&amp;"",BG375&amp;""))</f>
        <v/>
      </c>
      <c r="AF375" s="0" t="str">
        <f aca="false">IF($A375="","",IF(AT375="Y",BU375&amp;"",BH375&amp;""))</f>
        <v/>
      </c>
      <c r="AG375" s="0" t="str">
        <f aca="false">IF($A375="","",IF(AT375="Y",BV375&amp;"",BI375&amp;""))</f>
        <v/>
      </c>
      <c r="AO375" s="5"/>
      <c r="AR375" s="0" t="str">
        <f aca="false">IF($A375="","",IF(AND(CK375="pass",AO375&lt;&gt;"Y",C375&lt;&gt;"",OR(AU375&lt;&gt;"Y",AV375="Y")),"Y","N"))</f>
        <v/>
      </c>
      <c r="AS375" s="0" t="str">
        <f aca="false">IF($A375="","",_xlfn.TEXTJOIN("; ",TRUE(),IF(CK375&lt;&gt;"pass","gated out",""),IF(AO375="Y","on hold: "&amp;AP375,""),IF(C375="","no contact named on an opened page",""),IF(AND(AU375="Y",AV375&lt;&gt;"Y"),"founder review pending (Founder review tab)","")))</f>
        <v/>
      </c>
      <c r="BC375" s="0" t="str">
        <f aca="false">IF($A375="","",IFERROR(INDEX(Enrichment!$A$2:$GZ$2000,MATCH($A375,INDEX(Enrichment!$A$2:$GZ$2000,0,MATCH("row_id",Enrichment!$A$1:$GZ$1,0)),0),MATCH("work_email",Enrichment!$A$1:$GZ$1,0))&amp;"",""))</f>
        <v/>
      </c>
      <c r="BD375" s="0" t="str">
        <f aca="false">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P375" s="0" t="str">
        <f aca="false">IF($A375="","",IFERROR(INDEX(Enrichment!$A$2:$GZ$2000,MATCH($A375,INDEX(Enrichment!$A$2:$GZ$2000,0,MATCH("row_id",Enrichment!$A$1:$GZ$1,0)),0),MATCH("backup_work_email",Enrichment!$A$1:$GZ$1,0))&amp;"",""))</f>
        <v/>
      </c>
      <c r="BQ375" s="0" t="str">
        <f aca="false">IF($A375="","",IF(BP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DU375" s="0" t="str">
        <f aca="false">IF($A375="","",IF(R375="Y",10,0))</f>
        <v/>
      </c>
      <c r="EV375" s="0" t="str">
        <f aca="false">IF($A375="","",IF(ISNUMBER(MATCH(U375,{"queued","contacted","replied","call_booked","call_done","yes_in_principle","materials_sent"},0)),"Y","N"))</f>
        <v/>
      </c>
      <c r="EW375" s="0" t="str">
        <f aca="false">IF($A375="","",IF(OR(T375="Y",U375="do_not_contact",AQ375&amp;""&lt;&gt;""),"Y","N"))</f>
        <v/>
      </c>
      <c r="EX375" s="0" t="str">
        <f aca="false">IF($A375="","",IF(AN375&amp;""&lt;&gt;"",AN375&amp;"",$A375))</f>
        <v/>
      </c>
      <c r="EY375" s="0" t="str">
        <f aca="false">IF($A375="","",IF(COUNTIFS($EX$2:$EX$1000,EX375,$EV$2:$EV$1000,"Y")+COUNTIFS($EX$2:$EX$1000,EX375,$EW$2:$EW$1000,"Y")&gt;0,"Y","N"))</f>
        <v/>
      </c>
      <c r="EZ375" s="0" t="str">
        <f aca="false">IF($A375="","",IF(AND(U375="new",T375="N",EW375="N",AR375="Y",EY375="N"),"Y","N"))</f>
        <v/>
      </c>
      <c r="FA375" s="0" t="str">
        <f aca="false">IF($A375="","",IF(EZ375&lt;&gt;"Y","N",IF(COUNTIFS($EX$2:$EX$1000,EX375,$EZ$2:$EZ$1000,"Y",$J$2:$J$1000,"&gt;"&amp;J375)+COUNTIFS($EX$2:$EX$1000,EX375,$EZ$2:$EZ$1000,"Y",$J$2:$J$1000,J375,$FG$2:$FG$1000,"&lt;"&amp;FG375)=0,"Y","N")))</f>
        <v/>
      </c>
      <c r="FB375" s="0" t="str">
        <f aca="false">IF($A375="","",IF(AND(EZ375="Y",FA375="Y",Y375&amp;""&lt;&gt;""),IF(Y375&lt;=10,"Y","N"),"N"))</f>
        <v/>
      </c>
      <c r="FC375" s="0" t="str">
        <f aca="false">IF(FB375="Y",Y375,"")</f>
        <v/>
      </c>
      <c r="FD375" s="0" t="str">
        <f aca="false">IF($A375="","",IF(AND(CK375="pass",AU375="Y",AV375&lt;&gt;"Y",U375="new",EW375="N"),"Y","N"))</f>
        <v/>
      </c>
      <c r="FE375" s="0" t="str">
        <f aca="false">IF(FD375&lt;&gt;"Y","",IF(COUNTIFS($FD$2:$FD$1000,"Y",$J$2:$J$1000,"&gt;"&amp;J375)+COUNTIFS($FD$2:$FD$1000,"Y",$J$2:$J$1000,J375,$FG$2:$FG$1000,"&lt;"&amp;FG375)+1&lt;=30,COUNTIFS($FD$2:$FD$1000,"Y",$J$2:$J$1000,"&gt;"&amp;J375)+COUNTIFS($FD$2:$FD$1000,"Y",$J$2:$J$1000,J375,$FG$2:$FG$1000,"&lt;"&amp;FG375)+1,""))</f>
        <v/>
      </c>
      <c r="FF375" s="0" t="str">
        <f aca="false">IF(AND(_xlfn.ISFORMULA(C375),_xlfn.ISFORMULA(J375)),"Y","N")</f>
        <v>Y</v>
      </c>
      <c r="FG375" s="0" t="n">
        <f aca="false">ROW()-1</f>
        <v>374</v>
      </c>
    </row>
    <row r="376" customFormat="false" ht="15" hidden="false" customHeight="false" outlineLevel="0" collapsed="false">
      <c r="C376" s="0" t="str">
        <f aca="false">IF($A376="","",IF(AT376="Y",BL376&amp;"",AY376&amp;""))</f>
        <v/>
      </c>
      <c r="D376" s="0" t="str">
        <f aca="false">IF($A376="","",IF(AT376="Y",BM376&amp;"",AZ376&amp;""))</f>
        <v/>
      </c>
      <c r="E376" s="0" t="str">
        <f aca="false">IF($A376="","",IF(AT376="Y",BN376&amp;"",BA376&amp;""))</f>
        <v/>
      </c>
      <c r="F376" s="0" t="str">
        <f aca="false">IF($A376="","",IF(AT376="Y",BO376&amp;"",BB376&amp;""))</f>
        <v/>
      </c>
      <c r="G376" s="0" t="str">
        <f aca="false">IF($A376="","",IF(AT376="Y",BP376&amp;"",BC376&amp;""))</f>
        <v/>
      </c>
      <c r="H376" s="0" t="str">
        <f aca="false">IF($A376="","",IF(AT376="Y",BQ376&amp;"",BD376&amp;""))</f>
        <v/>
      </c>
      <c r="I376" s="0" t="str">
        <f aca="false">IF($A376="","",IF(R376="Y","warm-intro",IF(H376="verified","email",IF(C376&lt;&gt;"","linkedin",CA376&amp;""))))</f>
        <v/>
      </c>
      <c r="J376" s="0" t="str">
        <f aca="false">IF($A376="","",IF(CK376="pass",ROUND(N(DO376)+N(DP376)+N(DQ376)+N(DR376)+N(DS376)+N(DT376)+N(DU376)+N(DV376),0),0))</f>
        <v/>
      </c>
      <c r="K376" s="0" t="str">
        <f aca="false">IF($A376="","",IF(CK376&lt;&gt;"pass",BY376&amp;"",BY376&amp;", "&amp;IF(AT376="Y",BX376&amp;"",BK376&amp;"")&amp;BZ376&amp;IF(R376="Y","; known to the founder (+10)","")&amp;"."))</f>
        <v/>
      </c>
      <c r="R376" s="5"/>
      <c r="T376" s="5"/>
      <c r="U376" s="5"/>
      <c r="Y376" s="0" t="str">
        <f aca="false">IF(FA376&lt;&gt;"Y","",COUNTIFS($FA$2:$FA$1000,"Y",$J$2:$J$1000,"&gt;"&amp;J376)+COUNTIFS($FA$2:$FA$1000,"Y",$J$2:$J$1000,J376,$FG$2:$FG$1000,"&lt;"&amp;FG376)+1)</f>
        <v/>
      </c>
      <c r="AB376" s="0" t="str">
        <f aca="false">IF($A376="","",IF(AT376="Y",BW376&amp;"",BJ376&amp;""))</f>
        <v/>
      </c>
      <c r="AC376" s="0" t="str">
        <f aca="false">IF($A376="","",IF(AT376="Y",BR376&amp;"",BE376&amp;""))</f>
        <v/>
      </c>
      <c r="AD376" s="0" t="str">
        <f aca="false">IF($A376="","",IF(AT376="Y",BS376&amp;"",BF376&amp;""))</f>
        <v/>
      </c>
      <c r="AE376" s="0" t="str">
        <f aca="false">IF($A376="","",IF(AT376="Y",BT376&amp;"",BG376&amp;""))</f>
        <v/>
      </c>
      <c r="AF376" s="0" t="str">
        <f aca="false">IF($A376="","",IF(AT376="Y",BU376&amp;"",BH376&amp;""))</f>
        <v/>
      </c>
      <c r="AG376" s="0" t="str">
        <f aca="false">IF($A376="","",IF(AT376="Y",BV376&amp;"",BI376&amp;""))</f>
        <v/>
      </c>
      <c r="AO376" s="5"/>
      <c r="AR376" s="0" t="str">
        <f aca="false">IF($A376="","",IF(AND(CK376="pass",AO376&lt;&gt;"Y",C376&lt;&gt;"",OR(AU376&lt;&gt;"Y",AV376="Y")),"Y","N"))</f>
        <v/>
      </c>
      <c r="AS376" s="0" t="str">
        <f aca="false">IF($A376="","",_xlfn.TEXTJOIN("; ",TRUE(),IF(CK376&lt;&gt;"pass","gated out",""),IF(AO376="Y","on hold: "&amp;AP376,""),IF(C376="","no contact named on an opened page",""),IF(AND(AU376="Y",AV376&lt;&gt;"Y"),"founder review pending (Founder review tab)","")))</f>
        <v/>
      </c>
      <c r="BC376" s="0" t="str">
        <f aca="false">IF($A376="","",IFERROR(INDEX(Enrichment!$A$2:$GZ$2000,MATCH($A376,INDEX(Enrichment!$A$2:$GZ$2000,0,MATCH("row_id",Enrichment!$A$1:$GZ$1,0)),0),MATCH("work_email",Enrichment!$A$1:$GZ$1,0))&amp;"",""))</f>
        <v/>
      </c>
      <c r="BD376" s="0" t="str">
        <f aca="false">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P376" s="0" t="str">
        <f aca="false">IF($A376="","",IFERROR(INDEX(Enrichment!$A$2:$GZ$2000,MATCH($A376,INDEX(Enrichment!$A$2:$GZ$2000,0,MATCH("row_id",Enrichment!$A$1:$GZ$1,0)),0),MATCH("backup_work_email",Enrichment!$A$1:$GZ$1,0))&amp;"",""))</f>
        <v/>
      </c>
      <c r="BQ376" s="0" t="str">
        <f aca="false">IF($A376="","",IF(BP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DU376" s="0" t="str">
        <f aca="false">IF($A376="","",IF(R376="Y",10,0))</f>
        <v/>
      </c>
      <c r="EV376" s="0" t="str">
        <f aca="false">IF($A376="","",IF(ISNUMBER(MATCH(U376,{"queued","contacted","replied","call_booked","call_done","yes_in_principle","materials_sent"},0)),"Y","N"))</f>
        <v/>
      </c>
      <c r="EW376" s="0" t="str">
        <f aca="false">IF($A376="","",IF(OR(T376="Y",U376="do_not_contact",AQ376&amp;""&lt;&gt;""),"Y","N"))</f>
        <v/>
      </c>
      <c r="EX376" s="0" t="str">
        <f aca="false">IF($A376="","",IF(AN376&amp;""&lt;&gt;"",AN376&amp;"",$A376))</f>
        <v/>
      </c>
      <c r="EY376" s="0" t="str">
        <f aca="false">IF($A376="","",IF(COUNTIFS($EX$2:$EX$1000,EX376,$EV$2:$EV$1000,"Y")+COUNTIFS($EX$2:$EX$1000,EX376,$EW$2:$EW$1000,"Y")&gt;0,"Y","N"))</f>
        <v/>
      </c>
      <c r="EZ376" s="0" t="str">
        <f aca="false">IF($A376="","",IF(AND(U376="new",T376="N",EW376="N",AR376="Y",EY376="N"),"Y","N"))</f>
        <v/>
      </c>
      <c r="FA376" s="0" t="str">
        <f aca="false">IF($A376="","",IF(EZ376&lt;&gt;"Y","N",IF(COUNTIFS($EX$2:$EX$1000,EX376,$EZ$2:$EZ$1000,"Y",$J$2:$J$1000,"&gt;"&amp;J376)+COUNTIFS($EX$2:$EX$1000,EX376,$EZ$2:$EZ$1000,"Y",$J$2:$J$1000,J376,$FG$2:$FG$1000,"&lt;"&amp;FG376)=0,"Y","N")))</f>
        <v/>
      </c>
      <c r="FB376" s="0" t="str">
        <f aca="false">IF($A376="","",IF(AND(EZ376="Y",FA376="Y",Y376&amp;""&lt;&gt;""),IF(Y376&lt;=10,"Y","N"),"N"))</f>
        <v/>
      </c>
      <c r="FC376" s="0" t="str">
        <f aca="false">IF(FB376="Y",Y376,"")</f>
        <v/>
      </c>
      <c r="FD376" s="0" t="str">
        <f aca="false">IF($A376="","",IF(AND(CK376="pass",AU376="Y",AV376&lt;&gt;"Y",U376="new",EW376="N"),"Y","N"))</f>
        <v/>
      </c>
      <c r="FE376" s="0" t="str">
        <f aca="false">IF(FD376&lt;&gt;"Y","",IF(COUNTIFS($FD$2:$FD$1000,"Y",$J$2:$J$1000,"&gt;"&amp;J376)+COUNTIFS($FD$2:$FD$1000,"Y",$J$2:$J$1000,J376,$FG$2:$FG$1000,"&lt;"&amp;FG376)+1&lt;=30,COUNTIFS($FD$2:$FD$1000,"Y",$J$2:$J$1000,"&gt;"&amp;J376)+COUNTIFS($FD$2:$FD$1000,"Y",$J$2:$J$1000,J376,$FG$2:$FG$1000,"&lt;"&amp;FG376)+1,""))</f>
        <v/>
      </c>
      <c r="FF376" s="0" t="str">
        <f aca="false">IF(AND(_xlfn.ISFORMULA(C376),_xlfn.ISFORMULA(J376)),"Y","N")</f>
        <v>Y</v>
      </c>
      <c r="FG376" s="0" t="n">
        <f aca="false">ROW()-1</f>
        <v>375</v>
      </c>
    </row>
    <row r="377" customFormat="false" ht="15" hidden="false" customHeight="false" outlineLevel="0" collapsed="false">
      <c r="C377" s="0" t="str">
        <f aca="false">IF($A377="","",IF(AT377="Y",BL377&amp;"",AY377&amp;""))</f>
        <v/>
      </c>
      <c r="D377" s="0" t="str">
        <f aca="false">IF($A377="","",IF(AT377="Y",BM377&amp;"",AZ377&amp;""))</f>
        <v/>
      </c>
      <c r="E377" s="0" t="str">
        <f aca="false">IF($A377="","",IF(AT377="Y",BN377&amp;"",BA377&amp;""))</f>
        <v/>
      </c>
      <c r="F377" s="0" t="str">
        <f aca="false">IF($A377="","",IF(AT377="Y",BO377&amp;"",BB377&amp;""))</f>
        <v/>
      </c>
      <c r="G377" s="0" t="str">
        <f aca="false">IF($A377="","",IF(AT377="Y",BP377&amp;"",BC377&amp;""))</f>
        <v/>
      </c>
      <c r="H377" s="0" t="str">
        <f aca="false">IF($A377="","",IF(AT377="Y",BQ377&amp;"",BD377&amp;""))</f>
        <v/>
      </c>
      <c r="I377" s="0" t="str">
        <f aca="false">IF($A377="","",IF(R377="Y","warm-intro",IF(H377="verified","email",IF(C377&lt;&gt;"","linkedin",CA377&amp;""))))</f>
        <v/>
      </c>
      <c r="J377" s="0" t="str">
        <f aca="false">IF($A377="","",IF(CK377="pass",ROUND(N(DO377)+N(DP377)+N(DQ377)+N(DR377)+N(DS377)+N(DT377)+N(DU377)+N(DV377),0),0))</f>
        <v/>
      </c>
      <c r="K377" s="0" t="str">
        <f aca="false">IF($A377="","",IF(CK377&lt;&gt;"pass",BY377&amp;"",BY377&amp;", "&amp;IF(AT377="Y",BX377&amp;"",BK377&amp;"")&amp;BZ377&amp;IF(R377="Y","; known to the founder (+10)","")&amp;"."))</f>
        <v/>
      </c>
      <c r="R377" s="5"/>
      <c r="T377" s="5"/>
      <c r="U377" s="5"/>
      <c r="Y377" s="0" t="str">
        <f aca="false">IF(FA377&lt;&gt;"Y","",COUNTIFS($FA$2:$FA$1000,"Y",$J$2:$J$1000,"&gt;"&amp;J377)+COUNTIFS($FA$2:$FA$1000,"Y",$J$2:$J$1000,J377,$FG$2:$FG$1000,"&lt;"&amp;FG377)+1)</f>
        <v/>
      </c>
      <c r="AB377" s="0" t="str">
        <f aca="false">IF($A377="","",IF(AT377="Y",BW377&amp;"",BJ377&amp;""))</f>
        <v/>
      </c>
      <c r="AC377" s="0" t="str">
        <f aca="false">IF($A377="","",IF(AT377="Y",BR377&amp;"",BE377&amp;""))</f>
        <v/>
      </c>
      <c r="AD377" s="0" t="str">
        <f aca="false">IF($A377="","",IF(AT377="Y",BS377&amp;"",BF377&amp;""))</f>
        <v/>
      </c>
      <c r="AE377" s="0" t="str">
        <f aca="false">IF($A377="","",IF(AT377="Y",BT377&amp;"",BG377&amp;""))</f>
        <v/>
      </c>
      <c r="AF377" s="0" t="str">
        <f aca="false">IF($A377="","",IF(AT377="Y",BU377&amp;"",BH377&amp;""))</f>
        <v/>
      </c>
      <c r="AG377" s="0" t="str">
        <f aca="false">IF($A377="","",IF(AT377="Y",BV377&amp;"",BI377&amp;""))</f>
        <v/>
      </c>
      <c r="AO377" s="5"/>
      <c r="AR377" s="0" t="str">
        <f aca="false">IF($A377="","",IF(AND(CK377="pass",AO377&lt;&gt;"Y",C377&lt;&gt;"",OR(AU377&lt;&gt;"Y",AV377="Y")),"Y","N"))</f>
        <v/>
      </c>
      <c r="AS377" s="0" t="str">
        <f aca="false">IF($A377="","",_xlfn.TEXTJOIN("; ",TRUE(),IF(CK377&lt;&gt;"pass","gated out",""),IF(AO377="Y","on hold: "&amp;AP377,""),IF(C377="","no contact named on an opened page",""),IF(AND(AU377="Y",AV377&lt;&gt;"Y"),"founder review pending (Founder review tab)","")))</f>
        <v/>
      </c>
      <c r="BC377" s="0" t="str">
        <f aca="false">IF($A377="","",IFERROR(INDEX(Enrichment!$A$2:$GZ$2000,MATCH($A377,INDEX(Enrichment!$A$2:$GZ$2000,0,MATCH("row_id",Enrichment!$A$1:$GZ$1,0)),0),MATCH("work_email",Enrichment!$A$1:$GZ$1,0))&amp;"",""))</f>
        <v/>
      </c>
      <c r="BD377" s="0" t="str">
        <f aca="false">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P377" s="0" t="str">
        <f aca="false">IF($A377="","",IFERROR(INDEX(Enrichment!$A$2:$GZ$2000,MATCH($A377,INDEX(Enrichment!$A$2:$GZ$2000,0,MATCH("row_id",Enrichment!$A$1:$GZ$1,0)),0),MATCH("backup_work_email",Enrichment!$A$1:$GZ$1,0))&amp;"",""))</f>
        <v/>
      </c>
      <c r="BQ377" s="0" t="str">
        <f aca="false">IF($A377="","",IF(BP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DU377" s="0" t="str">
        <f aca="false">IF($A377="","",IF(R377="Y",10,0))</f>
        <v/>
      </c>
      <c r="EV377" s="0" t="str">
        <f aca="false">IF($A377="","",IF(ISNUMBER(MATCH(U377,{"queued","contacted","replied","call_booked","call_done","yes_in_principle","materials_sent"},0)),"Y","N"))</f>
        <v/>
      </c>
      <c r="EW377" s="0" t="str">
        <f aca="false">IF($A377="","",IF(OR(T377="Y",U377="do_not_contact",AQ377&amp;""&lt;&gt;""),"Y","N"))</f>
        <v/>
      </c>
      <c r="EX377" s="0" t="str">
        <f aca="false">IF($A377="","",IF(AN377&amp;""&lt;&gt;"",AN377&amp;"",$A377))</f>
        <v/>
      </c>
      <c r="EY377" s="0" t="str">
        <f aca="false">IF($A377="","",IF(COUNTIFS($EX$2:$EX$1000,EX377,$EV$2:$EV$1000,"Y")+COUNTIFS($EX$2:$EX$1000,EX377,$EW$2:$EW$1000,"Y")&gt;0,"Y","N"))</f>
        <v/>
      </c>
      <c r="EZ377" s="0" t="str">
        <f aca="false">IF($A377="","",IF(AND(U377="new",T377="N",EW377="N",AR377="Y",EY377="N"),"Y","N"))</f>
        <v/>
      </c>
      <c r="FA377" s="0" t="str">
        <f aca="false">IF($A377="","",IF(EZ377&lt;&gt;"Y","N",IF(COUNTIFS($EX$2:$EX$1000,EX377,$EZ$2:$EZ$1000,"Y",$J$2:$J$1000,"&gt;"&amp;J377)+COUNTIFS($EX$2:$EX$1000,EX377,$EZ$2:$EZ$1000,"Y",$J$2:$J$1000,J377,$FG$2:$FG$1000,"&lt;"&amp;FG377)=0,"Y","N")))</f>
        <v/>
      </c>
      <c r="FB377" s="0" t="str">
        <f aca="false">IF($A377="","",IF(AND(EZ377="Y",FA377="Y",Y377&amp;""&lt;&gt;""),IF(Y377&lt;=10,"Y","N"),"N"))</f>
        <v/>
      </c>
      <c r="FC377" s="0" t="str">
        <f aca="false">IF(FB377="Y",Y377,"")</f>
        <v/>
      </c>
      <c r="FD377" s="0" t="str">
        <f aca="false">IF($A377="","",IF(AND(CK377="pass",AU377="Y",AV377&lt;&gt;"Y",U377="new",EW377="N"),"Y","N"))</f>
        <v/>
      </c>
      <c r="FE377" s="0" t="str">
        <f aca="false">IF(FD377&lt;&gt;"Y","",IF(COUNTIFS($FD$2:$FD$1000,"Y",$J$2:$J$1000,"&gt;"&amp;J377)+COUNTIFS($FD$2:$FD$1000,"Y",$J$2:$J$1000,J377,$FG$2:$FG$1000,"&lt;"&amp;FG377)+1&lt;=30,COUNTIFS($FD$2:$FD$1000,"Y",$J$2:$J$1000,"&gt;"&amp;J377)+COUNTIFS($FD$2:$FD$1000,"Y",$J$2:$J$1000,J377,$FG$2:$FG$1000,"&lt;"&amp;FG377)+1,""))</f>
        <v/>
      </c>
      <c r="FF377" s="0" t="str">
        <f aca="false">IF(AND(_xlfn.ISFORMULA(C377),_xlfn.ISFORMULA(J377)),"Y","N")</f>
        <v>Y</v>
      </c>
      <c r="FG377" s="0" t="n">
        <f aca="false">ROW()-1</f>
        <v>376</v>
      </c>
    </row>
    <row r="378" customFormat="false" ht="15" hidden="false" customHeight="false" outlineLevel="0" collapsed="false">
      <c r="C378" s="0" t="str">
        <f aca="false">IF($A378="","",IF(AT378="Y",BL378&amp;"",AY378&amp;""))</f>
        <v/>
      </c>
      <c r="D378" s="0" t="str">
        <f aca="false">IF($A378="","",IF(AT378="Y",BM378&amp;"",AZ378&amp;""))</f>
        <v/>
      </c>
      <c r="E378" s="0" t="str">
        <f aca="false">IF($A378="","",IF(AT378="Y",BN378&amp;"",BA378&amp;""))</f>
        <v/>
      </c>
      <c r="F378" s="0" t="str">
        <f aca="false">IF($A378="","",IF(AT378="Y",BO378&amp;"",BB378&amp;""))</f>
        <v/>
      </c>
      <c r="G378" s="0" t="str">
        <f aca="false">IF($A378="","",IF(AT378="Y",BP378&amp;"",BC378&amp;""))</f>
        <v/>
      </c>
      <c r="H378" s="0" t="str">
        <f aca="false">IF($A378="","",IF(AT378="Y",BQ378&amp;"",BD378&amp;""))</f>
        <v/>
      </c>
      <c r="I378" s="0" t="str">
        <f aca="false">IF($A378="","",IF(R378="Y","warm-intro",IF(H378="verified","email",IF(C378&lt;&gt;"","linkedin",CA378&amp;""))))</f>
        <v/>
      </c>
      <c r="J378" s="0" t="str">
        <f aca="false">IF($A378="","",IF(CK378="pass",ROUND(N(DO378)+N(DP378)+N(DQ378)+N(DR378)+N(DS378)+N(DT378)+N(DU378)+N(DV378),0),0))</f>
        <v/>
      </c>
      <c r="K378" s="0" t="str">
        <f aca="false">IF($A378="","",IF(CK378&lt;&gt;"pass",BY378&amp;"",BY378&amp;", "&amp;IF(AT378="Y",BX378&amp;"",BK378&amp;"")&amp;BZ378&amp;IF(R378="Y","; known to the founder (+10)","")&amp;"."))</f>
        <v/>
      </c>
      <c r="R378" s="5"/>
      <c r="T378" s="5"/>
      <c r="U378" s="5"/>
      <c r="Y378" s="0" t="str">
        <f aca="false">IF(FA378&lt;&gt;"Y","",COUNTIFS($FA$2:$FA$1000,"Y",$J$2:$J$1000,"&gt;"&amp;J378)+COUNTIFS($FA$2:$FA$1000,"Y",$J$2:$J$1000,J378,$FG$2:$FG$1000,"&lt;"&amp;FG378)+1)</f>
        <v/>
      </c>
      <c r="AB378" s="0" t="str">
        <f aca="false">IF($A378="","",IF(AT378="Y",BW378&amp;"",BJ378&amp;""))</f>
        <v/>
      </c>
      <c r="AC378" s="0" t="str">
        <f aca="false">IF($A378="","",IF(AT378="Y",BR378&amp;"",BE378&amp;""))</f>
        <v/>
      </c>
      <c r="AD378" s="0" t="str">
        <f aca="false">IF($A378="","",IF(AT378="Y",BS378&amp;"",BF378&amp;""))</f>
        <v/>
      </c>
      <c r="AE378" s="0" t="str">
        <f aca="false">IF($A378="","",IF(AT378="Y",BT378&amp;"",BG378&amp;""))</f>
        <v/>
      </c>
      <c r="AF378" s="0" t="str">
        <f aca="false">IF($A378="","",IF(AT378="Y",BU378&amp;"",BH378&amp;""))</f>
        <v/>
      </c>
      <c r="AG378" s="0" t="str">
        <f aca="false">IF($A378="","",IF(AT378="Y",BV378&amp;"",BI378&amp;""))</f>
        <v/>
      </c>
      <c r="AO378" s="5"/>
      <c r="AR378" s="0" t="str">
        <f aca="false">IF($A378="","",IF(AND(CK378="pass",AO378&lt;&gt;"Y",C378&lt;&gt;"",OR(AU378&lt;&gt;"Y",AV378="Y")),"Y","N"))</f>
        <v/>
      </c>
      <c r="AS378" s="0" t="str">
        <f aca="false">IF($A378="","",_xlfn.TEXTJOIN("; ",TRUE(),IF(CK378&lt;&gt;"pass","gated out",""),IF(AO378="Y","on hold: "&amp;AP378,""),IF(C378="","no contact named on an opened page",""),IF(AND(AU378="Y",AV378&lt;&gt;"Y"),"founder review pending (Founder review tab)","")))</f>
        <v/>
      </c>
      <c r="BC378" s="0" t="str">
        <f aca="false">IF($A378="","",IFERROR(INDEX(Enrichment!$A$2:$GZ$2000,MATCH($A378,INDEX(Enrichment!$A$2:$GZ$2000,0,MATCH("row_id",Enrichment!$A$1:$GZ$1,0)),0),MATCH("work_email",Enrichment!$A$1:$GZ$1,0))&amp;"",""))</f>
        <v/>
      </c>
      <c r="BD378" s="0" t="str">
        <f aca="false">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P378" s="0" t="str">
        <f aca="false">IF($A378="","",IFERROR(INDEX(Enrichment!$A$2:$GZ$2000,MATCH($A378,INDEX(Enrichment!$A$2:$GZ$2000,0,MATCH("row_id",Enrichment!$A$1:$GZ$1,0)),0),MATCH("backup_work_email",Enrichment!$A$1:$GZ$1,0))&amp;"",""))</f>
        <v/>
      </c>
      <c r="BQ378" s="0" t="str">
        <f aca="false">IF($A378="","",IF(BP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DU378" s="0" t="str">
        <f aca="false">IF($A378="","",IF(R378="Y",10,0))</f>
        <v/>
      </c>
      <c r="EV378" s="0" t="str">
        <f aca="false">IF($A378="","",IF(ISNUMBER(MATCH(U378,{"queued","contacted","replied","call_booked","call_done","yes_in_principle","materials_sent"},0)),"Y","N"))</f>
        <v/>
      </c>
      <c r="EW378" s="0" t="str">
        <f aca="false">IF($A378="","",IF(OR(T378="Y",U378="do_not_contact",AQ378&amp;""&lt;&gt;""),"Y","N"))</f>
        <v/>
      </c>
      <c r="EX378" s="0" t="str">
        <f aca="false">IF($A378="","",IF(AN378&amp;""&lt;&gt;"",AN378&amp;"",$A378))</f>
        <v/>
      </c>
      <c r="EY378" s="0" t="str">
        <f aca="false">IF($A378="","",IF(COUNTIFS($EX$2:$EX$1000,EX378,$EV$2:$EV$1000,"Y")+COUNTIFS($EX$2:$EX$1000,EX378,$EW$2:$EW$1000,"Y")&gt;0,"Y","N"))</f>
        <v/>
      </c>
      <c r="EZ378" s="0" t="str">
        <f aca="false">IF($A378="","",IF(AND(U378="new",T378="N",EW378="N",AR378="Y",EY378="N"),"Y","N"))</f>
        <v/>
      </c>
      <c r="FA378" s="0" t="str">
        <f aca="false">IF($A378="","",IF(EZ378&lt;&gt;"Y","N",IF(COUNTIFS($EX$2:$EX$1000,EX378,$EZ$2:$EZ$1000,"Y",$J$2:$J$1000,"&gt;"&amp;J378)+COUNTIFS($EX$2:$EX$1000,EX378,$EZ$2:$EZ$1000,"Y",$J$2:$J$1000,J378,$FG$2:$FG$1000,"&lt;"&amp;FG378)=0,"Y","N")))</f>
        <v/>
      </c>
      <c r="FB378" s="0" t="str">
        <f aca="false">IF($A378="","",IF(AND(EZ378="Y",FA378="Y",Y378&amp;""&lt;&gt;""),IF(Y378&lt;=10,"Y","N"),"N"))</f>
        <v/>
      </c>
      <c r="FC378" s="0" t="str">
        <f aca="false">IF(FB378="Y",Y378,"")</f>
        <v/>
      </c>
      <c r="FD378" s="0" t="str">
        <f aca="false">IF($A378="","",IF(AND(CK378="pass",AU378="Y",AV378&lt;&gt;"Y",U378="new",EW378="N"),"Y","N"))</f>
        <v/>
      </c>
      <c r="FE378" s="0" t="str">
        <f aca="false">IF(FD378&lt;&gt;"Y","",IF(COUNTIFS($FD$2:$FD$1000,"Y",$J$2:$J$1000,"&gt;"&amp;J378)+COUNTIFS($FD$2:$FD$1000,"Y",$J$2:$J$1000,J378,$FG$2:$FG$1000,"&lt;"&amp;FG378)+1&lt;=30,COUNTIFS($FD$2:$FD$1000,"Y",$J$2:$J$1000,"&gt;"&amp;J378)+COUNTIFS($FD$2:$FD$1000,"Y",$J$2:$J$1000,J378,$FG$2:$FG$1000,"&lt;"&amp;FG378)+1,""))</f>
        <v/>
      </c>
      <c r="FF378" s="0" t="str">
        <f aca="false">IF(AND(_xlfn.ISFORMULA(C378),_xlfn.ISFORMULA(J378)),"Y","N")</f>
        <v>Y</v>
      </c>
      <c r="FG378" s="0" t="n">
        <f aca="false">ROW()-1</f>
        <v>377</v>
      </c>
    </row>
    <row r="379" customFormat="false" ht="15" hidden="false" customHeight="false" outlineLevel="0" collapsed="false">
      <c r="C379" s="0" t="str">
        <f aca="false">IF($A379="","",IF(AT379="Y",BL379&amp;"",AY379&amp;""))</f>
        <v/>
      </c>
      <c r="D379" s="0" t="str">
        <f aca="false">IF($A379="","",IF(AT379="Y",BM379&amp;"",AZ379&amp;""))</f>
        <v/>
      </c>
      <c r="E379" s="0" t="str">
        <f aca="false">IF($A379="","",IF(AT379="Y",BN379&amp;"",BA379&amp;""))</f>
        <v/>
      </c>
      <c r="F379" s="0" t="str">
        <f aca="false">IF($A379="","",IF(AT379="Y",BO379&amp;"",BB379&amp;""))</f>
        <v/>
      </c>
      <c r="G379" s="0" t="str">
        <f aca="false">IF($A379="","",IF(AT379="Y",BP379&amp;"",BC379&amp;""))</f>
        <v/>
      </c>
      <c r="H379" s="0" t="str">
        <f aca="false">IF($A379="","",IF(AT379="Y",BQ379&amp;"",BD379&amp;""))</f>
        <v/>
      </c>
      <c r="I379" s="0" t="str">
        <f aca="false">IF($A379="","",IF(R379="Y","warm-intro",IF(H379="verified","email",IF(C379&lt;&gt;"","linkedin",CA379&amp;""))))</f>
        <v/>
      </c>
      <c r="J379" s="0" t="str">
        <f aca="false">IF($A379="","",IF(CK379="pass",ROUND(N(DO379)+N(DP379)+N(DQ379)+N(DR379)+N(DS379)+N(DT379)+N(DU379)+N(DV379),0),0))</f>
        <v/>
      </c>
      <c r="K379" s="0" t="str">
        <f aca="false">IF($A379="","",IF(CK379&lt;&gt;"pass",BY379&amp;"",BY379&amp;", "&amp;IF(AT379="Y",BX379&amp;"",BK379&amp;"")&amp;BZ379&amp;IF(R379="Y","; known to the founder (+10)","")&amp;"."))</f>
        <v/>
      </c>
      <c r="R379" s="5"/>
      <c r="T379" s="5"/>
      <c r="U379" s="5"/>
      <c r="Y379" s="0" t="str">
        <f aca="false">IF(FA379&lt;&gt;"Y","",COUNTIFS($FA$2:$FA$1000,"Y",$J$2:$J$1000,"&gt;"&amp;J379)+COUNTIFS($FA$2:$FA$1000,"Y",$J$2:$J$1000,J379,$FG$2:$FG$1000,"&lt;"&amp;FG379)+1)</f>
        <v/>
      </c>
      <c r="AB379" s="0" t="str">
        <f aca="false">IF($A379="","",IF(AT379="Y",BW379&amp;"",BJ379&amp;""))</f>
        <v/>
      </c>
      <c r="AC379" s="0" t="str">
        <f aca="false">IF($A379="","",IF(AT379="Y",BR379&amp;"",BE379&amp;""))</f>
        <v/>
      </c>
      <c r="AD379" s="0" t="str">
        <f aca="false">IF($A379="","",IF(AT379="Y",BS379&amp;"",BF379&amp;""))</f>
        <v/>
      </c>
      <c r="AE379" s="0" t="str">
        <f aca="false">IF($A379="","",IF(AT379="Y",BT379&amp;"",BG379&amp;""))</f>
        <v/>
      </c>
      <c r="AF379" s="0" t="str">
        <f aca="false">IF($A379="","",IF(AT379="Y",BU379&amp;"",BH379&amp;""))</f>
        <v/>
      </c>
      <c r="AG379" s="0" t="str">
        <f aca="false">IF($A379="","",IF(AT379="Y",BV379&amp;"",BI379&amp;""))</f>
        <v/>
      </c>
      <c r="AO379" s="5"/>
      <c r="AR379" s="0" t="str">
        <f aca="false">IF($A379="","",IF(AND(CK379="pass",AO379&lt;&gt;"Y",C379&lt;&gt;"",OR(AU379&lt;&gt;"Y",AV379="Y")),"Y","N"))</f>
        <v/>
      </c>
      <c r="AS379" s="0" t="str">
        <f aca="false">IF($A379="","",_xlfn.TEXTJOIN("; ",TRUE(),IF(CK379&lt;&gt;"pass","gated out",""),IF(AO379="Y","on hold: "&amp;AP379,""),IF(C379="","no contact named on an opened page",""),IF(AND(AU379="Y",AV379&lt;&gt;"Y"),"founder review pending (Founder review tab)","")))</f>
        <v/>
      </c>
      <c r="BC379" s="0" t="str">
        <f aca="false">IF($A379="","",IFERROR(INDEX(Enrichment!$A$2:$GZ$2000,MATCH($A379,INDEX(Enrichment!$A$2:$GZ$2000,0,MATCH("row_id",Enrichment!$A$1:$GZ$1,0)),0),MATCH("work_email",Enrichment!$A$1:$GZ$1,0))&amp;"",""))</f>
        <v/>
      </c>
      <c r="BD379" s="0" t="str">
        <f aca="false">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P379" s="0" t="str">
        <f aca="false">IF($A379="","",IFERROR(INDEX(Enrichment!$A$2:$GZ$2000,MATCH($A379,INDEX(Enrichment!$A$2:$GZ$2000,0,MATCH("row_id",Enrichment!$A$1:$GZ$1,0)),0),MATCH("backup_work_email",Enrichment!$A$1:$GZ$1,0))&amp;"",""))</f>
        <v/>
      </c>
      <c r="BQ379" s="0" t="str">
        <f aca="false">IF($A379="","",IF(BP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DU379" s="0" t="str">
        <f aca="false">IF($A379="","",IF(R379="Y",10,0))</f>
        <v/>
      </c>
      <c r="EV379" s="0" t="str">
        <f aca="false">IF($A379="","",IF(ISNUMBER(MATCH(U379,{"queued","contacted","replied","call_booked","call_done","yes_in_principle","materials_sent"},0)),"Y","N"))</f>
        <v/>
      </c>
      <c r="EW379" s="0" t="str">
        <f aca="false">IF($A379="","",IF(OR(T379="Y",U379="do_not_contact",AQ379&amp;""&lt;&gt;""),"Y","N"))</f>
        <v/>
      </c>
      <c r="EX379" s="0" t="str">
        <f aca="false">IF($A379="","",IF(AN379&amp;""&lt;&gt;"",AN379&amp;"",$A379))</f>
        <v/>
      </c>
      <c r="EY379" s="0" t="str">
        <f aca="false">IF($A379="","",IF(COUNTIFS($EX$2:$EX$1000,EX379,$EV$2:$EV$1000,"Y")+COUNTIFS($EX$2:$EX$1000,EX379,$EW$2:$EW$1000,"Y")&gt;0,"Y","N"))</f>
        <v/>
      </c>
      <c r="EZ379" s="0" t="str">
        <f aca="false">IF($A379="","",IF(AND(U379="new",T379="N",EW379="N",AR379="Y",EY379="N"),"Y","N"))</f>
        <v/>
      </c>
      <c r="FA379" s="0" t="str">
        <f aca="false">IF($A379="","",IF(EZ379&lt;&gt;"Y","N",IF(COUNTIFS($EX$2:$EX$1000,EX379,$EZ$2:$EZ$1000,"Y",$J$2:$J$1000,"&gt;"&amp;J379)+COUNTIFS($EX$2:$EX$1000,EX379,$EZ$2:$EZ$1000,"Y",$J$2:$J$1000,J379,$FG$2:$FG$1000,"&lt;"&amp;FG379)=0,"Y","N")))</f>
        <v/>
      </c>
      <c r="FB379" s="0" t="str">
        <f aca="false">IF($A379="","",IF(AND(EZ379="Y",FA379="Y",Y379&amp;""&lt;&gt;""),IF(Y379&lt;=10,"Y","N"),"N"))</f>
        <v/>
      </c>
      <c r="FC379" s="0" t="str">
        <f aca="false">IF(FB379="Y",Y379,"")</f>
        <v/>
      </c>
      <c r="FD379" s="0" t="str">
        <f aca="false">IF($A379="","",IF(AND(CK379="pass",AU379="Y",AV379&lt;&gt;"Y",U379="new",EW379="N"),"Y","N"))</f>
        <v/>
      </c>
      <c r="FE379" s="0" t="str">
        <f aca="false">IF(FD379&lt;&gt;"Y","",IF(COUNTIFS($FD$2:$FD$1000,"Y",$J$2:$J$1000,"&gt;"&amp;J379)+COUNTIFS($FD$2:$FD$1000,"Y",$J$2:$J$1000,J379,$FG$2:$FG$1000,"&lt;"&amp;FG379)+1&lt;=30,COUNTIFS($FD$2:$FD$1000,"Y",$J$2:$J$1000,"&gt;"&amp;J379)+COUNTIFS($FD$2:$FD$1000,"Y",$J$2:$J$1000,J379,$FG$2:$FG$1000,"&lt;"&amp;FG379)+1,""))</f>
        <v/>
      </c>
      <c r="FF379" s="0" t="str">
        <f aca="false">IF(AND(_xlfn.ISFORMULA(C379),_xlfn.ISFORMULA(J379)),"Y","N")</f>
        <v>Y</v>
      </c>
      <c r="FG379" s="0" t="n">
        <f aca="false">ROW()-1</f>
        <v>378</v>
      </c>
    </row>
    <row r="380" customFormat="false" ht="15" hidden="false" customHeight="false" outlineLevel="0" collapsed="false">
      <c r="C380" s="0" t="str">
        <f aca="false">IF($A380="","",IF(AT380="Y",BL380&amp;"",AY380&amp;""))</f>
        <v/>
      </c>
      <c r="D380" s="0" t="str">
        <f aca="false">IF($A380="","",IF(AT380="Y",BM380&amp;"",AZ380&amp;""))</f>
        <v/>
      </c>
      <c r="E380" s="0" t="str">
        <f aca="false">IF($A380="","",IF(AT380="Y",BN380&amp;"",BA380&amp;""))</f>
        <v/>
      </c>
      <c r="F380" s="0" t="str">
        <f aca="false">IF($A380="","",IF(AT380="Y",BO380&amp;"",BB380&amp;""))</f>
        <v/>
      </c>
      <c r="G380" s="0" t="str">
        <f aca="false">IF($A380="","",IF(AT380="Y",BP380&amp;"",BC380&amp;""))</f>
        <v/>
      </c>
      <c r="H380" s="0" t="str">
        <f aca="false">IF($A380="","",IF(AT380="Y",BQ380&amp;"",BD380&amp;""))</f>
        <v/>
      </c>
      <c r="I380" s="0" t="str">
        <f aca="false">IF($A380="","",IF(R380="Y","warm-intro",IF(H380="verified","email",IF(C380&lt;&gt;"","linkedin",CA380&amp;""))))</f>
        <v/>
      </c>
      <c r="J380" s="0" t="str">
        <f aca="false">IF($A380="","",IF(CK380="pass",ROUND(N(DO380)+N(DP380)+N(DQ380)+N(DR380)+N(DS380)+N(DT380)+N(DU380)+N(DV380),0),0))</f>
        <v/>
      </c>
      <c r="K380" s="0" t="str">
        <f aca="false">IF($A380="","",IF(CK380&lt;&gt;"pass",BY380&amp;"",BY380&amp;", "&amp;IF(AT380="Y",BX380&amp;"",BK380&amp;"")&amp;BZ380&amp;IF(R380="Y","; known to the founder (+10)","")&amp;"."))</f>
        <v/>
      </c>
      <c r="R380" s="5"/>
      <c r="T380" s="5"/>
      <c r="U380" s="5"/>
      <c r="Y380" s="0" t="str">
        <f aca="false">IF(FA380&lt;&gt;"Y","",COUNTIFS($FA$2:$FA$1000,"Y",$J$2:$J$1000,"&gt;"&amp;J380)+COUNTIFS($FA$2:$FA$1000,"Y",$J$2:$J$1000,J380,$FG$2:$FG$1000,"&lt;"&amp;FG380)+1)</f>
        <v/>
      </c>
      <c r="AB380" s="0" t="str">
        <f aca="false">IF($A380="","",IF(AT380="Y",BW380&amp;"",BJ380&amp;""))</f>
        <v/>
      </c>
      <c r="AC380" s="0" t="str">
        <f aca="false">IF($A380="","",IF(AT380="Y",BR380&amp;"",BE380&amp;""))</f>
        <v/>
      </c>
      <c r="AD380" s="0" t="str">
        <f aca="false">IF($A380="","",IF(AT380="Y",BS380&amp;"",BF380&amp;""))</f>
        <v/>
      </c>
      <c r="AE380" s="0" t="str">
        <f aca="false">IF($A380="","",IF(AT380="Y",BT380&amp;"",BG380&amp;""))</f>
        <v/>
      </c>
      <c r="AF380" s="0" t="str">
        <f aca="false">IF($A380="","",IF(AT380="Y",BU380&amp;"",BH380&amp;""))</f>
        <v/>
      </c>
      <c r="AG380" s="0" t="str">
        <f aca="false">IF($A380="","",IF(AT380="Y",BV380&amp;"",BI380&amp;""))</f>
        <v/>
      </c>
      <c r="AO380" s="5"/>
      <c r="AR380" s="0" t="str">
        <f aca="false">IF($A380="","",IF(AND(CK380="pass",AO380&lt;&gt;"Y",C380&lt;&gt;"",OR(AU380&lt;&gt;"Y",AV380="Y")),"Y","N"))</f>
        <v/>
      </c>
      <c r="AS380" s="0" t="str">
        <f aca="false">IF($A380="","",_xlfn.TEXTJOIN("; ",TRUE(),IF(CK380&lt;&gt;"pass","gated out",""),IF(AO380="Y","on hold: "&amp;AP380,""),IF(C380="","no contact named on an opened page",""),IF(AND(AU380="Y",AV380&lt;&gt;"Y"),"founder review pending (Founder review tab)","")))</f>
        <v/>
      </c>
      <c r="BC380" s="0" t="str">
        <f aca="false">IF($A380="","",IFERROR(INDEX(Enrichment!$A$2:$GZ$2000,MATCH($A380,INDEX(Enrichment!$A$2:$GZ$2000,0,MATCH("row_id",Enrichment!$A$1:$GZ$1,0)),0),MATCH("work_email",Enrichment!$A$1:$GZ$1,0))&amp;"",""))</f>
        <v/>
      </c>
      <c r="BD380" s="0" t="str">
        <f aca="false">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P380" s="0" t="str">
        <f aca="false">IF($A380="","",IFERROR(INDEX(Enrichment!$A$2:$GZ$2000,MATCH($A380,INDEX(Enrichment!$A$2:$GZ$2000,0,MATCH("row_id",Enrichment!$A$1:$GZ$1,0)),0),MATCH("backup_work_email",Enrichment!$A$1:$GZ$1,0))&amp;"",""))</f>
        <v/>
      </c>
      <c r="BQ380" s="0" t="str">
        <f aca="false">IF($A380="","",IF(BP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DU380" s="0" t="str">
        <f aca="false">IF($A380="","",IF(R380="Y",10,0))</f>
        <v/>
      </c>
      <c r="EV380" s="0" t="str">
        <f aca="false">IF($A380="","",IF(ISNUMBER(MATCH(U380,{"queued","contacted","replied","call_booked","call_done","yes_in_principle","materials_sent"},0)),"Y","N"))</f>
        <v/>
      </c>
      <c r="EW380" s="0" t="str">
        <f aca="false">IF($A380="","",IF(OR(T380="Y",U380="do_not_contact",AQ380&amp;""&lt;&gt;""),"Y","N"))</f>
        <v/>
      </c>
      <c r="EX380" s="0" t="str">
        <f aca="false">IF($A380="","",IF(AN380&amp;""&lt;&gt;"",AN380&amp;"",$A380))</f>
        <v/>
      </c>
      <c r="EY380" s="0" t="str">
        <f aca="false">IF($A380="","",IF(COUNTIFS($EX$2:$EX$1000,EX380,$EV$2:$EV$1000,"Y")+COUNTIFS($EX$2:$EX$1000,EX380,$EW$2:$EW$1000,"Y")&gt;0,"Y","N"))</f>
        <v/>
      </c>
      <c r="EZ380" s="0" t="str">
        <f aca="false">IF($A380="","",IF(AND(U380="new",T380="N",EW380="N",AR380="Y",EY380="N"),"Y","N"))</f>
        <v/>
      </c>
      <c r="FA380" s="0" t="str">
        <f aca="false">IF($A380="","",IF(EZ380&lt;&gt;"Y","N",IF(COUNTIFS($EX$2:$EX$1000,EX380,$EZ$2:$EZ$1000,"Y",$J$2:$J$1000,"&gt;"&amp;J380)+COUNTIFS($EX$2:$EX$1000,EX380,$EZ$2:$EZ$1000,"Y",$J$2:$J$1000,J380,$FG$2:$FG$1000,"&lt;"&amp;FG380)=0,"Y","N")))</f>
        <v/>
      </c>
      <c r="FB380" s="0" t="str">
        <f aca="false">IF($A380="","",IF(AND(EZ380="Y",FA380="Y",Y380&amp;""&lt;&gt;""),IF(Y380&lt;=10,"Y","N"),"N"))</f>
        <v/>
      </c>
      <c r="FC380" s="0" t="str">
        <f aca="false">IF(FB380="Y",Y380,"")</f>
        <v/>
      </c>
      <c r="FD380" s="0" t="str">
        <f aca="false">IF($A380="","",IF(AND(CK380="pass",AU380="Y",AV380&lt;&gt;"Y",U380="new",EW380="N"),"Y","N"))</f>
        <v/>
      </c>
      <c r="FE380" s="0" t="str">
        <f aca="false">IF(FD380&lt;&gt;"Y","",IF(COUNTIFS($FD$2:$FD$1000,"Y",$J$2:$J$1000,"&gt;"&amp;J380)+COUNTIFS($FD$2:$FD$1000,"Y",$J$2:$J$1000,J380,$FG$2:$FG$1000,"&lt;"&amp;FG380)+1&lt;=30,COUNTIFS($FD$2:$FD$1000,"Y",$J$2:$J$1000,"&gt;"&amp;J380)+COUNTIFS($FD$2:$FD$1000,"Y",$J$2:$J$1000,J380,$FG$2:$FG$1000,"&lt;"&amp;FG380)+1,""))</f>
        <v/>
      </c>
      <c r="FF380" s="0" t="str">
        <f aca="false">IF(AND(_xlfn.ISFORMULA(C380),_xlfn.ISFORMULA(J380)),"Y","N")</f>
        <v>Y</v>
      </c>
      <c r="FG380" s="0" t="n">
        <f aca="false">ROW()-1</f>
        <v>379</v>
      </c>
    </row>
    <row r="381" customFormat="false" ht="15" hidden="false" customHeight="false" outlineLevel="0" collapsed="false">
      <c r="C381" s="0" t="str">
        <f aca="false">IF($A381="","",IF(AT381="Y",BL381&amp;"",AY381&amp;""))</f>
        <v/>
      </c>
      <c r="D381" s="0" t="str">
        <f aca="false">IF($A381="","",IF(AT381="Y",BM381&amp;"",AZ381&amp;""))</f>
        <v/>
      </c>
      <c r="E381" s="0" t="str">
        <f aca="false">IF($A381="","",IF(AT381="Y",BN381&amp;"",BA381&amp;""))</f>
        <v/>
      </c>
      <c r="F381" s="0" t="str">
        <f aca="false">IF($A381="","",IF(AT381="Y",BO381&amp;"",BB381&amp;""))</f>
        <v/>
      </c>
      <c r="G381" s="0" t="str">
        <f aca="false">IF($A381="","",IF(AT381="Y",BP381&amp;"",BC381&amp;""))</f>
        <v/>
      </c>
      <c r="H381" s="0" t="str">
        <f aca="false">IF($A381="","",IF(AT381="Y",BQ381&amp;"",BD381&amp;""))</f>
        <v/>
      </c>
      <c r="I381" s="0" t="str">
        <f aca="false">IF($A381="","",IF(R381="Y","warm-intro",IF(H381="verified","email",IF(C381&lt;&gt;"","linkedin",CA381&amp;""))))</f>
        <v/>
      </c>
      <c r="J381" s="0" t="str">
        <f aca="false">IF($A381="","",IF(CK381="pass",ROUND(N(DO381)+N(DP381)+N(DQ381)+N(DR381)+N(DS381)+N(DT381)+N(DU381)+N(DV381),0),0))</f>
        <v/>
      </c>
      <c r="K381" s="0" t="str">
        <f aca="false">IF($A381="","",IF(CK381&lt;&gt;"pass",BY381&amp;"",BY381&amp;", "&amp;IF(AT381="Y",BX381&amp;"",BK381&amp;"")&amp;BZ381&amp;IF(R381="Y","; known to the founder (+10)","")&amp;"."))</f>
        <v/>
      </c>
      <c r="R381" s="5"/>
      <c r="T381" s="5"/>
      <c r="U381" s="5"/>
      <c r="Y381" s="0" t="str">
        <f aca="false">IF(FA381&lt;&gt;"Y","",COUNTIFS($FA$2:$FA$1000,"Y",$J$2:$J$1000,"&gt;"&amp;J381)+COUNTIFS($FA$2:$FA$1000,"Y",$J$2:$J$1000,J381,$FG$2:$FG$1000,"&lt;"&amp;FG381)+1)</f>
        <v/>
      </c>
      <c r="AB381" s="0" t="str">
        <f aca="false">IF($A381="","",IF(AT381="Y",BW381&amp;"",BJ381&amp;""))</f>
        <v/>
      </c>
      <c r="AC381" s="0" t="str">
        <f aca="false">IF($A381="","",IF(AT381="Y",BR381&amp;"",BE381&amp;""))</f>
        <v/>
      </c>
      <c r="AD381" s="0" t="str">
        <f aca="false">IF($A381="","",IF(AT381="Y",BS381&amp;"",BF381&amp;""))</f>
        <v/>
      </c>
      <c r="AE381" s="0" t="str">
        <f aca="false">IF($A381="","",IF(AT381="Y",BT381&amp;"",BG381&amp;""))</f>
        <v/>
      </c>
      <c r="AF381" s="0" t="str">
        <f aca="false">IF($A381="","",IF(AT381="Y",BU381&amp;"",BH381&amp;""))</f>
        <v/>
      </c>
      <c r="AG381" s="0" t="str">
        <f aca="false">IF($A381="","",IF(AT381="Y",BV381&amp;"",BI381&amp;""))</f>
        <v/>
      </c>
      <c r="AO381" s="5"/>
      <c r="AR381" s="0" t="str">
        <f aca="false">IF($A381="","",IF(AND(CK381="pass",AO381&lt;&gt;"Y",C381&lt;&gt;"",OR(AU381&lt;&gt;"Y",AV381="Y")),"Y","N"))</f>
        <v/>
      </c>
      <c r="AS381" s="0" t="str">
        <f aca="false">IF($A381="","",_xlfn.TEXTJOIN("; ",TRUE(),IF(CK381&lt;&gt;"pass","gated out",""),IF(AO381="Y","on hold: "&amp;AP381,""),IF(C381="","no contact named on an opened page",""),IF(AND(AU381="Y",AV381&lt;&gt;"Y"),"founder review pending (Founder review tab)","")))</f>
        <v/>
      </c>
      <c r="BC381" s="0" t="str">
        <f aca="false">IF($A381="","",IFERROR(INDEX(Enrichment!$A$2:$GZ$2000,MATCH($A381,INDEX(Enrichment!$A$2:$GZ$2000,0,MATCH("row_id",Enrichment!$A$1:$GZ$1,0)),0),MATCH("work_email",Enrichment!$A$1:$GZ$1,0))&amp;"",""))</f>
        <v/>
      </c>
      <c r="BD381" s="0" t="str">
        <f aca="false">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P381" s="0" t="str">
        <f aca="false">IF($A381="","",IFERROR(INDEX(Enrichment!$A$2:$GZ$2000,MATCH($A381,INDEX(Enrichment!$A$2:$GZ$2000,0,MATCH("row_id",Enrichment!$A$1:$GZ$1,0)),0),MATCH("backup_work_email",Enrichment!$A$1:$GZ$1,0))&amp;"",""))</f>
        <v/>
      </c>
      <c r="BQ381" s="0" t="str">
        <f aca="false">IF($A381="","",IF(BP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DU381" s="0" t="str">
        <f aca="false">IF($A381="","",IF(R381="Y",10,0))</f>
        <v/>
      </c>
      <c r="EV381" s="0" t="str">
        <f aca="false">IF($A381="","",IF(ISNUMBER(MATCH(U381,{"queued","contacted","replied","call_booked","call_done","yes_in_principle","materials_sent"},0)),"Y","N"))</f>
        <v/>
      </c>
      <c r="EW381" s="0" t="str">
        <f aca="false">IF($A381="","",IF(OR(T381="Y",U381="do_not_contact",AQ381&amp;""&lt;&gt;""),"Y","N"))</f>
        <v/>
      </c>
      <c r="EX381" s="0" t="str">
        <f aca="false">IF($A381="","",IF(AN381&amp;""&lt;&gt;"",AN381&amp;"",$A381))</f>
        <v/>
      </c>
      <c r="EY381" s="0" t="str">
        <f aca="false">IF($A381="","",IF(COUNTIFS($EX$2:$EX$1000,EX381,$EV$2:$EV$1000,"Y")+COUNTIFS($EX$2:$EX$1000,EX381,$EW$2:$EW$1000,"Y")&gt;0,"Y","N"))</f>
        <v/>
      </c>
      <c r="EZ381" s="0" t="str">
        <f aca="false">IF($A381="","",IF(AND(U381="new",T381="N",EW381="N",AR381="Y",EY381="N"),"Y","N"))</f>
        <v/>
      </c>
      <c r="FA381" s="0" t="str">
        <f aca="false">IF($A381="","",IF(EZ381&lt;&gt;"Y","N",IF(COUNTIFS($EX$2:$EX$1000,EX381,$EZ$2:$EZ$1000,"Y",$J$2:$J$1000,"&gt;"&amp;J381)+COUNTIFS($EX$2:$EX$1000,EX381,$EZ$2:$EZ$1000,"Y",$J$2:$J$1000,J381,$FG$2:$FG$1000,"&lt;"&amp;FG381)=0,"Y","N")))</f>
        <v/>
      </c>
      <c r="FB381" s="0" t="str">
        <f aca="false">IF($A381="","",IF(AND(EZ381="Y",FA381="Y",Y381&amp;""&lt;&gt;""),IF(Y381&lt;=10,"Y","N"),"N"))</f>
        <v/>
      </c>
      <c r="FC381" s="0" t="str">
        <f aca="false">IF(FB381="Y",Y381,"")</f>
        <v/>
      </c>
      <c r="FD381" s="0" t="str">
        <f aca="false">IF($A381="","",IF(AND(CK381="pass",AU381="Y",AV381&lt;&gt;"Y",U381="new",EW381="N"),"Y","N"))</f>
        <v/>
      </c>
      <c r="FE381" s="0" t="str">
        <f aca="false">IF(FD381&lt;&gt;"Y","",IF(COUNTIFS($FD$2:$FD$1000,"Y",$J$2:$J$1000,"&gt;"&amp;J381)+COUNTIFS($FD$2:$FD$1000,"Y",$J$2:$J$1000,J381,$FG$2:$FG$1000,"&lt;"&amp;FG381)+1&lt;=30,COUNTIFS($FD$2:$FD$1000,"Y",$J$2:$J$1000,"&gt;"&amp;J381)+COUNTIFS($FD$2:$FD$1000,"Y",$J$2:$J$1000,J381,$FG$2:$FG$1000,"&lt;"&amp;FG381)+1,""))</f>
        <v/>
      </c>
      <c r="FF381" s="0" t="str">
        <f aca="false">IF(AND(_xlfn.ISFORMULA(C381),_xlfn.ISFORMULA(J381)),"Y","N")</f>
        <v>Y</v>
      </c>
      <c r="FG381" s="0" t="n">
        <f aca="false">ROW()-1</f>
        <v>380</v>
      </c>
    </row>
    <row r="382" customFormat="false" ht="15" hidden="false" customHeight="false" outlineLevel="0" collapsed="false">
      <c r="C382" s="0" t="str">
        <f aca="false">IF($A382="","",IF(AT382="Y",BL382&amp;"",AY382&amp;""))</f>
        <v/>
      </c>
      <c r="D382" s="0" t="str">
        <f aca="false">IF($A382="","",IF(AT382="Y",BM382&amp;"",AZ382&amp;""))</f>
        <v/>
      </c>
      <c r="E382" s="0" t="str">
        <f aca="false">IF($A382="","",IF(AT382="Y",BN382&amp;"",BA382&amp;""))</f>
        <v/>
      </c>
      <c r="F382" s="0" t="str">
        <f aca="false">IF($A382="","",IF(AT382="Y",BO382&amp;"",BB382&amp;""))</f>
        <v/>
      </c>
      <c r="G382" s="0" t="str">
        <f aca="false">IF($A382="","",IF(AT382="Y",BP382&amp;"",BC382&amp;""))</f>
        <v/>
      </c>
      <c r="H382" s="0" t="str">
        <f aca="false">IF($A382="","",IF(AT382="Y",BQ382&amp;"",BD382&amp;""))</f>
        <v/>
      </c>
      <c r="I382" s="0" t="str">
        <f aca="false">IF($A382="","",IF(R382="Y","warm-intro",IF(H382="verified","email",IF(C382&lt;&gt;"","linkedin",CA382&amp;""))))</f>
        <v/>
      </c>
      <c r="J382" s="0" t="str">
        <f aca="false">IF($A382="","",IF(CK382="pass",ROUND(N(DO382)+N(DP382)+N(DQ382)+N(DR382)+N(DS382)+N(DT382)+N(DU382)+N(DV382),0),0))</f>
        <v/>
      </c>
      <c r="K382" s="0" t="str">
        <f aca="false">IF($A382="","",IF(CK382&lt;&gt;"pass",BY382&amp;"",BY382&amp;", "&amp;IF(AT382="Y",BX382&amp;"",BK382&amp;"")&amp;BZ382&amp;IF(R382="Y","; known to the founder (+10)","")&amp;"."))</f>
        <v/>
      </c>
      <c r="R382" s="5"/>
      <c r="T382" s="5"/>
      <c r="U382" s="5"/>
      <c r="Y382" s="0" t="str">
        <f aca="false">IF(FA382&lt;&gt;"Y","",COUNTIFS($FA$2:$FA$1000,"Y",$J$2:$J$1000,"&gt;"&amp;J382)+COUNTIFS($FA$2:$FA$1000,"Y",$J$2:$J$1000,J382,$FG$2:$FG$1000,"&lt;"&amp;FG382)+1)</f>
        <v/>
      </c>
      <c r="AB382" s="0" t="str">
        <f aca="false">IF($A382="","",IF(AT382="Y",BW382&amp;"",BJ382&amp;""))</f>
        <v/>
      </c>
      <c r="AC382" s="0" t="str">
        <f aca="false">IF($A382="","",IF(AT382="Y",BR382&amp;"",BE382&amp;""))</f>
        <v/>
      </c>
      <c r="AD382" s="0" t="str">
        <f aca="false">IF($A382="","",IF(AT382="Y",BS382&amp;"",BF382&amp;""))</f>
        <v/>
      </c>
      <c r="AE382" s="0" t="str">
        <f aca="false">IF($A382="","",IF(AT382="Y",BT382&amp;"",BG382&amp;""))</f>
        <v/>
      </c>
      <c r="AF382" s="0" t="str">
        <f aca="false">IF($A382="","",IF(AT382="Y",BU382&amp;"",BH382&amp;""))</f>
        <v/>
      </c>
      <c r="AG382" s="0" t="str">
        <f aca="false">IF($A382="","",IF(AT382="Y",BV382&amp;"",BI382&amp;""))</f>
        <v/>
      </c>
      <c r="AO382" s="5"/>
      <c r="AR382" s="0" t="str">
        <f aca="false">IF($A382="","",IF(AND(CK382="pass",AO382&lt;&gt;"Y",C382&lt;&gt;"",OR(AU382&lt;&gt;"Y",AV382="Y")),"Y","N"))</f>
        <v/>
      </c>
      <c r="AS382" s="0" t="str">
        <f aca="false">IF($A382="","",_xlfn.TEXTJOIN("; ",TRUE(),IF(CK382&lt;&gt;"pass","gated out",""),IF(AO382="Y","on hold: "&amp;AP382,""),IF(C382="","no contact named on an opened page",""),IF(AND(AU382="Y",AV382&lt;&gt;"Y"),"founder review pending (Founder review tab)","")))</f>
        <v/>
      </c>
      <c r="BC382" s="0" t="str">
        <f aca="false">IF($A382="","",IFERROR(INDEX(Enrichment!$A$2:$GZ$2000,MATCH($A382,INDEX(Enrichment!$A$2:$GZ$2000,0,MATCH("row_id",Enrichment!$A$1:$GZ$1,0)),0),MATCH("work_email",Enrichment!$A$1:$GZ$1,0))&amp;"",""))</f>
        <v/>
      </c>
      <c r="BD382" s="0" t="str">
        <f aca="false">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P382" s="0" t="str">
        <f aca="false">IF($A382="","",IFERROR(INDEX(Enrichment!$A$2:$GZ$2000,MATCH($A382,INDEX(Enrichment!$A$2:$GZ$2000,0,MATCH("row_id",Enrichment!$A$1:$GZ$1,0)),0),MATCH("backup_work_email",Enrichment!$A$1:$GZ$1,0))&amp;"",""))</f>
        <v/>
      </c>
      <c r="BQ382" s="0" t="str">
        <f aca="false">IF($A382="","",IF(BP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DU382" s="0" t="str">
        <f aca="false">IF($A382="","",IF(R382="Y",10,0))</f>
        <v/>
      </c>
      <c r="EV382" s="0" t="str">
        <f aca="false">IF($A382="","",IF(ISNUMBER(MATCH(U382,{"queued","contacted","replied","call_booked","call_done","yes_in_principle","materials_sent"},0)),"Y","N"))</f>
        <v/>
      </c>
      <c r="EW382" s="0" t="str">
        <f aca="false">IF($A382="","",IF(OR(T382="Y",U382="do_not_contact",AQ382&amp;""&lt;&gt;""),"Y","N"))</f>
        <v/>
      </c>
      <c r="EX382" s="0" t="str">
        <f aca="false">IF($A382="","",IF(AN382&amp;""&lt;&gt;"",AN382&amp;"",$A382))</f>
        <v/>
      </c>
      <c r="EY382" s="0" t="str">
        <f aca="false">IF($A382="","",IF(COUNTIFS($EX$2:$EX$1000,EX382,$EV$2:$EV$1000,"Y")+COUNTIFS($EX$2:$EX$1000,EX382,$EW$2:$EW$1000,"Y")&gt;0,"Y","N"))</f>
        <v/>
      </c>
      <c r="EZ382" s="0" t="str">
        <f aca="false">IF($A382="","",IF(AND(U382="new",T382="N",EW382="N",AR382="Y",EY382="N"),"Y","N"))</f>
        <v/>
      </c>
      <c r="FA382" s="0" t="str">
        <f aca="false">IF($A382="","",IF(EZ382&lt;&gt;"Y","N",IF(COUNTIFS($EX$2:$EX$1000,EX382,$EZ$2:$EZ$1000,"Y",$J$2:$J$1000,"&gt;"&amp;J382)+COUNTIFS($EX$2:$EX$1000,EX382,$EZ$2:$EZ$1000,"Y",$J$2:$J$1000,J382,$FG$2:$FG$1000,"&lt;"&amp;FG382)=0,"Y","N")))</f>
        <v/>
      </c>
      <c r="FB382" s="0" t="str">
        <f aca="false">IF($A382="","",IF(AND(EZ382="Y",FA382="Y",Y382&amp;""&lt;&gt;""),IF(Y382&lt;=10,"Y","N"),"N"))</f>
        <v/>
      </c>
      <c r="FC382" s="0" t="str">
        <f aca="false">IF(FB382="Y",Y382,"")</f>
        <v/>
      </c>
      <c r="FD382" s="0" t="str">
        <f aca="false">IF($A382="","",IF(AND(CK382="pass",AU382="Y",AV382&lt;&gt;"Y",U382="new",EW382="N"),"Y","N"))</f>
        <v/>
      </c>
      <c r="FE382" s="0" t="str">
        <f aca="false">IF(FD382&lt;&gt;"Y","",IF(COUNTIFS($FD$2:$FD$1000,"Y",$J$2:$J$1000,"&gt;"&amp;J382)+COUNTIFS($FD$2:$FD$1000,"Y",$J$2:$J$1000,J382,$FG$2:$FG$1000,"&lt;"&amp;FG382)+1&lt;=30,COUNTIFS($FD$2:$FD$1000,"Y",$J$2:$J$1000,"&gt;"&amp;J382)+COUNTIFS($FD$2:$FD$1000,"Y",$J$2:$J$1000,J382,$FG$2:$FG$1000,"&lt;"&amp;FG382)+1,""))</f>
        <v/>
      </c>
      <c r="FF382" s="0" t="str">
        <f aca="false">IF(AND(_xlfn.ISFORMULA(C382),_xlfn.ISFORMULA(J382)),"Y","N")</f>
        <v>Y</v>
      </c>
      <c r="FG382" s="0" t="n">
        <f aca="false">ROW()-1</f>
        <v>381</v>
      </c>
    </row>
    <row r="383" customFormat="false" ht="15" hidden="false" customHeight="false" outlineLevel="0" collapsed="false">
      <c r="C383" s="0" t="str">
        <f aca="false">IF($A383="","",IF(AT383="Y",BL383&amp;"",AY383&amp;""))</f>
        <v/>
      </c>
      <c r="D383" s="0" t="str">
        <f aca="false">IF($A383="","",IF(AT383="Y",BM383&amp;"",AZ383&amp;""))</f>
        <v/>
      </c>
      <c r="E383" s="0" t="str">
        <f aca="false">IF($A383="","",IF(AT383="Y",BN383&amp;"",BA383&amp;""))</f>
        <v/>
      </c>
      <c r="F383" s="0" t="str">
        <f aca="false">IF($A383="","",IF(AT383="Y",BO383&amp;"",BB383&amp;""))</f>
        <v/>
      </c>
      <c r="G383" s="0" t="str">
        <f aca="false">IF($A383="","",IF(AT383="Y",BP383&amp;"",BC383&amp;""))</f>
        <v/>
      </c>
      <c r="H383" s="0" t="str">
        <f aca="false">IF($A383="","",IF(AT383="Y",BQ383&amp;"",BD383&amp;""))</f>
        <v/>
      </c>
      <c r="I383" s="0" t="str">
        <f aca="false">IF($A383="","",IF(R383="Y","warm-intro",IF(H383="verified","email",IF(C383&lt;&gt;"","linkedin",CA383&amp;""))))</f>
        <v/>
      </c>
      <c r="J383" s="0" t="str">
        <f aca="false">IF($A383="","",IF(CK383="pass",ROUND(N(DO383)+N(DP383)+N(DQ383)+N(DR383)+N(DS383)+N(DT383)+N(DU383)+N(DV383),0),0))</f>
        <v/>
      </c>
      <c r="K383" s="0" t="str">
        <f aca="false">IF($A383="","",IF(CK383&lt;&gt;"pass",BY383&amp;"",BY383&amp;", "&amp;IF(AT383="Y",BX383&amp;"",BK383&amp;"")&amp;BZ383&amp;IF(R383="Y","; known to the founder (+10)","")&amp;"."))</f>
        <v/>
      </c>
      <c r="R383" s="5"/>
      <c r="T383" s="5"/>
      <c r="U383" s="5"/>
      <c r="Y383" s="0" t="str">
        <f aca="false">IF(FA383&lt;&gt;"Y","",COUNTIFS($FA$2:$FA$1000,"Y",$J$2:$J$1000,"&gt;"&amp;J383)+COUNTIFS($FA$2:$FA$1000,"Y",$J$2:$J$1000,J383,$FG$2:$FG$1000,"&lt;"&amp;FG383)+1)</f>
        <v/>
      </c>
      <c r="AB383" s="0" t="str">
        <f aca="false">IF($A383="","",IF(AT383="Y",BW383&amp;"",BJ383&amp;""))</f>
        <v/>
      </c>
      <c r="AC383" s="0" t="str">
        <f aca="false">IF($A383="","",IF(AT383="Y",BR383&amp;"",BE383&amp;""))</f>
        <v/>
      </c>
      <c r="AD383" s="0" t="str">
        <f aca="false">IF($A383="","",IF(AT383="Y",BS383&amp;"",BF383&amp;""))</f>
        <v/>
      </c>
      <c r="AE383" s="0" t="str">
        <f aca="false">IF($A383="","",IF(AT383="Y",BT383&amp;"",BG383&amp;""))</f>
        <v/>
      </c>
      <c r="AF383" s="0" t="str">
        <f aca="false">IF($A383="","",IF(AT383="Y",BU383&amp;"",BH383&amp;""))</f>
        <v/>
      </c>
      <c r="AG383" s="0" t="str">
        <f aca="false">IF($A383="","",IF(AT383="Y",BV383&amp;"",BI383&amp;""))</f>
        <v/>
      </c>
      <c r="AO383" s="5"/>
      <c r="AR383" s="0" t="str">
        <f aca="false">IF($A383="","",IF(AND(CK383="pass",AO383&lt;&gt;"Y",C383&lt;&gt;"",OR(AU383&lt;&gt;"Y",AV383="Y")),"Y","N"))</f>
        <v/>
      </c>
      <c r="AS383" s="0" t="str">
        <f aca="false">IF($A383="","",_xlfn.TEXTJOIN("; ",TRUE(),IF(CK383&lt;&gt;"pass","gated out",""),IF(AO383="Y","on hold: "&amp;AP383,""),IF(C383="","no contact named on an opened page",""),IF(AND(AU383="Y",AV383&lt;&gt;"Y"),"founder review pending (Founder review tab)","")))</f>
        <v/>
      </c>
      <c r="BC383" s="0" t="str">
        <f aca="false">IF($A383="","",IFERROR(INDEX(Enrichment!$A$2:$GZ$2000,MATCH($A383,INDEX(Enrichment!$A$2:$GZ$2000,0,MATCH("row_id",Enrichment!$A$1:$GZ$1,0)),0),MATCH("work_email",Enrichment!$A$1:$GZ$1,0))&amp;"",""))</f>
        <v/>
      </c>
      <c r="BD383" s="0" t="str">
        <f aca="false">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P383" s="0" t="str">
        <f aca="false">IF($A383="","",IFERROR(INDEX(Enrichment!$A$2:$GZ$2000,MATCH($A383,INDEX(Enrichment!$A$2:$GZ$2000,0,MATCH("row_id",Enrichment!$A$1:$GZ$1,0)),0),MATCH("backup_work_email",Enrichment!$A$1:$GZ$1,0))&amp;"",""))</f>
        <v/>
      </c>
      <c r="BQ383" s="0" t="str">
        <f aca="false">IF($A383="","",IF(BP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DU383" s="0" t="str">
        <f aca="false">IF($A383="","",IF(R383="Y",10,0))</f>
        <v/>
      </c>
      <c r="EV383" s="0" t="str">
        <f aca="false">IF($A383="","",IF(ISNUMBER(MATCH(U383,{"queued","contacted","replied","call_booked","call_done","yes_in_principle","materials_sent"},0)),"Y","N"))</f>
        <v/>
      </c>
      <c r="EW383" s="0" t="str">
        <f aca="false">IF($A383="","",IF(OR(T383="Y",U383="do_not_contact",AQ383&amp;""&lt;&gt;""),"Y","N"))</f>
        <v/>
      </c>
      <c r="EX383" s="0" t="str">
        <f aca="false">IF($A383="","",IF(AN383&amp;""&lt;&gt;"",AN383&amp;"",$A383))</f>
        <v/>
      </c>
      <c r="EY383" s="0" t="str">
        <f aca="false">IF($A383="","",IF(COUNTIFS($EX$2:$EX$1000,EX383,$EV$2:$EV$1000,"Y")+COUNTIFS($EX$2:$EX$1000,EX383,$EW$2:$EW$1000,"Y")&gt;0,"Y","N"))</f>
        <v/>
      </c>
      <c r="EZ383" s="0" t="str">
        <f aca="false">IF($A383="","",IF(AND(U383="new",T383="N",EW383="N",AR383="Y",EY383="N"),"Y","N"))</f>
        <v/>
      </c>
      <c r="FA383" s="0" t="str">
        <f aca="false">IF($A383="","",IF(EZ383&lt;&gt;"Y","N",IF(COUNTIFS($EX$2:$EX$1000,EX383,$EZ$2:$EZ$1000,"Y",$J$2:$J$1000,"&gt;"&amp;J383)+COUNTIFS($EX$2:$EX$1000,EX383,$EZ$2:$EZ$1000,"Y",$J$2:$J$1000,J383,$FG$2:$FG$1000,"&lt;"&amp;FG383)=0,"Y","N")))</f>
        <v/>
      </c>
      <c r="FB383" s="0" t="str">
        <f aca="false">IF($A383="","",IF(AND(EZ383="Y",FA383="Y",Y383&amp;""&lt;&gt;""),IF(Y383&lt;=10,"Y","N"),"N"))</f>
        <v/>
      </c>
      <c r="FC383" s="0" t="str">
        <f aca="false">IF(FB383="Y",Y383,"")</f>
        <v/>
      </c>
      <c r="FD383" s="0" t="str">
        <f aca="false">IF($A383="","",IF(AND(CK383="pass",AU383="Y",AV383&lt;&gt;"Y",U383="new",EW383="N"),"Y","N"))</f>
        <v/>
      </c>
      <c r="FE383" s="0" t="str">
        <f aca="false">IF(FD383&lt;&gt;"Y","",IF(COUNTIFS($FD$2:$FD$1000,"Y",$J$2:$J$1000,"&gt;"&amp;J383)+COUNTIFS($FD$2:$FD$1000,"Y",$J$2:$J$1000,J383,$FG$2:$FG$1000,"&lt;"&amp;FG383)+1&lt;=30,COUNTIFS($FD$2:$FD$1000,"Y",$J$2:$J$1000,"&gt;"&amp;J383)+COUNTIFS($FD$2:$FD$1000,"Y",$J$2:$J$1000,J383,$FG$2:$FG$1000,"&lt;"&amp;FG383)+1,""))</f>
        <v/>
      </c>
      <c r="FF383" s="0" t="str">
        <f aca="false">IF(AND(_xlfn.ISFORMULA(C383),_xlfn.ISFORMULA(J383)),"Y","N")</f>
        <v>Y</v>
      </c>
      <c r="FG383" s="0" t="n">
        <f aca="false">ROW()-1</f>
        <v>382</v>
      </c>
    </row>
    <row r="384" customFormat="false" ht="15" hidden="false" customHeight="false" outlineLevel="0" collapsed="false">
      <c r="C384" s="0" t="str">
        <f aca="false">IF($A384="","",IF(AT384="Y",BL384&amp;"",AY384&amp;""))</f>
        <v/>
      </c>
      <c r="D384" s="0" t="str">
        <f aca="false">IF($A384="","",IF(AT384="Y",BM384&amp;"",AZ384&amp;""))</f>
        <v/>
      </c>
      <c r="E384" s="0" t="str">
        <f aca="false">IF($A384="","",IF(AT384="Y",BN384&amp;"",BA384&amp;""))</f>
        <v/>
      </c>
      <c r="F384" s="0" t="str">
        <f aca="false">IF($A384="","",IF(AT384="Y",BO384&amp;"",BB384&amp;""))</f>
        <v/>
      </c>
      <c r="G384" s="0" t="str">
        <f aca="false">IF($A384="","",IF(AT384="Y",BP384&amp;"",BC384&amp;""))</f>
        <v/>
      </c>
      <c r="H384" s="0" t="str">
        <f aca="false">IF($A384="","",IF(AT384="Y",BQ384&amp;"",BD384&amp;""))</f>
        <v/>
      </c>
      <c r="I384" s="0" t="str">
        <f aca="false">IF($A384="","",IF(R384="Y","warm-intro",IF(H384="verified","email",IF(C384&lt;&gt;"","linkedin",CA384&amp;""))))</f>
        <v/>
      </c>
      <c r="J384" s="0" t="str">
        <f aca="false">IF($A384="","",IF(CK384="pass",ROUND(N(DO384)+N(DP384)+N(DQ384)+N(DR384)+N(DS384)+N(DT384)+N(DU384)+N(DV384),0),0))</f>
        <v/>
      </c>
      <c r="K384" s="0" t="str">
        <f aca="false">IF($A384="","",IF(CK384&lt;&gt;"pass",BY384&amp;"",BY384&amp;", "&amp;IF(AT384="Y",BX384&amp;"",BK384&amp;"")&amp;BZ384&amp;IF(R384="Y","; known to the founder (+10)","")&amp;"."))</f>
        <v/>
      </c>
      <c r="R384" s="5"/>
      <c r="T384" s="5"/>
      <c r="U384" s="5"/>
      <c r="Y384" s="0" t="str">
        <f aca="false">IF(FA384&lt;&gt;"Y","",COUNTIFS($FA$2:$FA$1000,"Y",$J$2:$J$1000,"&gt;"&amp;J384)+COUNTIFS($FA$2:$FA$1000,"Y",$J$2:$J$1000,J384,$FG$2:$FG$1000,"&lt;"&amp;FG384)+1)</f>
        <v/>
      </c>
      <c r="AB384" s="0" t="str">
        <f aca="false">IF($A384="","",IF(AT384="Y",BW384&amp;"",BJ384&amp;""))</f>
        <v/>
      </c>
      <c r="AC384" s="0" t="str">
        <f aca="false">IF($A384="","",IF(AT384="Y",BR384&amp;"",BE384&amp;""))</f>
        <v/>
      </c>
      <c r="AD384" s="0" t="str">
        <f aca="false">IF($A384="","",IF(AT384="Y",BS384&amp;"",BF384&amp;""))</f>
        <v/>
      </c>
      <c r="AE384" s="0" t="str">
        <f aca="false">IF($A384="","",IF(AT384="Y",BT384&amp;"",BG384&amp;""))</f>
        <v/>
      </c>
      <c r="AF384" s="0" t="str">
        <f aca="false">IF($A384="","",IF(AT384="Y",BU384&amp;"",BH384&amp;""))</f>
        <v/>
      </c>
      <c r="AG384" s="0" t="str">
        <f aca="false">IF($A384="","",IF(AT384="Y",BV384&amp;"",BI384&amp;""))</f>
        <v/>
      </c>
      <c r="AO384" s="5"/>
      <c r="AR384" s="0" t="str">
        <f aca="false">IF($A384="","",IF(AND(CK384="pass",AO384&lt;&gt;"Y",C384&lt;&gt;"",OR(AU384&lt;&gt;"Y",AV384="Y")),"Y","N"))</f>
        <v/>
      </c>
      <c r="AS384" s="0" t="str">
        <f aca="false">IF($A384="","",_xlfn.TEXTJOIN("; ",TRUE(),IF(CK384&lt;&gt;"pass","gated out",""),IF(AO384="Y","on hold: "&amp;AP384,""),IF(C384="","no contact named on an opened page",""),IF(AND(AU384="Y",AV384&lt;&gt;"Y"),"founder review pending (Founder review tab)","")))</f>
        <v/>
      </c>
      <c r="BC384" s="0" t="str">
        <f aca="false">IF($A384="","",IFERROR(INDEX(Enrichment!$A$2:$GZ$2000,MATCH($A384,INDEX(Enrichment!$A$2:$GZ$2000,0,MATCH("row_id",Enrichment!$A$1:$GZ$1,0)),0),MATCH("work_email",Enrichment!$A$1:$GZ$1,0))&amp;"",""))</f>
        <v/>
      </c>
      <c r="BD384" s="0" t="str">
        <f aca="false">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P384" s="0" t="str">
        <f aca="false">IF($A384="","",IFERROR(INDEX(Enrichment!$A$2:$GZ$2000,MATCH($A384,INDEX(Enrichment!$A$2:$GZ$2000,0,MATCH("row_id",Enrichment!$A$1:$GZ$1,0)),0),MATCH("backup_work_email",Enrichment!$A$1:$GZ$1,0))&amp;"",""))</f>
        <v/>
      </c>
      <c r="BQ384" s="0" t="str">
        <f aca="false">IF($A384="","",IF(BP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DU384" s="0" t="str">
        <f aca="false">IF($A384="","",IF(R384="Y",10,0))</f>
        <v/>
      </c>
      <c r="EV384" s="0" t="str">
        <f aca="false">IF($A384="","",IF(ISNUMBER(MATCH(U384,{"queued","contacted","replied","call_booked","call_done","yes_in_principle","materials_sent"},0)),"Y","N"))</f>
        <v/>
      </c>
      <c r="EW384" s="0" t="str">
        <f aca="false">IF($A384="","",IF(OR(T384="Y",U384="do_not_contact",AQ384&amp;""&lt;&gt;""),"Y","N"))</f>
        <v/>
      </c>
      <c r="EX384" s="0" t="str">
        <f aca="false">IF($A384="","",IF(AN384&amp;""&lt;&gt;"",AN384&amp;"",$A384))</f>
        <v/>
      </c>
      <c r="EY384" s="0" t="str">
        <f aca="false">IF($A384="","",IF(COUNTIFS($EX$2:$EX$1000,EX384,$EV$2:$EV$1000,"Y")+COUNTIFS($EX$2:$EX$1000,EX384,$EW$2:$EW$1000,"Y")&gt;0,"Y","N"))</f>
        <v/>
      </c>
      <c r="EZ384" s="0" t="str">
        <f aca="false">IF($A384="","",IF(AND(U384="new",T384="N",EW384="N",AR384="Y",EY384="N"),"Y","N"))</f>
        <v/>
      </c>
      <c r="FA384" s="0" t="str">
        <f aca="false">IF($A384="","",IF(EZ384&lt;&gt;"Y","N",IF(COUNTIFS($EX$2:$EX$1000,EX384,$EZ$2:$EZ$1000,"Y",$J$2:$J$1000,"&gt;"&amp;J384)+COUNTIFS($EX$2:$EX$1000,EX384,$EZ$2:$EZ$1000,"Y",$J$2:$J$1000,J384,$FG$2:$FG$1000,"&lt;"&amp;FG384)=0,"Y","N")))</f>
        <v/>
      </c>
      <c r="FB384" s="0" t="str">
        <f aca="false">IF($A384="","",IF(AND(EZ384="Y",FA384="Y",Y384&amp;""&lt;&gt;""),IF(Y384&lt;=10,"Y","N"),"N"))</f>
        <v/>
      </c>
      <c r="FC384" s="0" t="str">
        <f aca="false">IF(FB384="Y",Y384,"")</f>
        <v/>
      </c>
      <c r="FD384" s="0" t="str">
        <f aca="false">IF($A384="","",IF(AND(CK384="pass",AU384="Y",AV384&lt;&gt;"Y",U384="new",EW384="N"),"Y","N"))</f>
        <v/>
      </c>
      <c r="FE384" s="0" t="str">
        <f aca="false">IF(FD384&lt;&gt;"Y","",IF(COUNTIFS($FD$2:$FD$1000,"Y",$J$2:$J$1000,"&gt;"&amp;J384)+COUNTIFS($FD$2:$FD$1000,"Y",$J$2:$J$1000,J384,$FG$2:$FG$1000,"&lt;"&amp;FG384)+1&lt;=30,COUNTIFS($FD$2:$FD$1000,"Y",$J$2:$J$1000,"&gt;"&amp;J384)+COUNTIFS($FD$2:$FD$1000,"Y",$J$2:$J$1000,J384,$FG$2:$FG$1000,"&lt;"&amp;FG384)+1,""))</f>
        <v/>
      </c>
      <c r="FF384" s="0" t="str">
        <f aca="false">IF(AND(_xlfn.ISFORMULA(C384),_xlfn.ISFORMULA(J384)),"Y","N")</f>
        <v>Y</v>
      </c>
      <c r="FG384" s="0" t="n">
        <f aca="false">ROW()-1</f>
        <v>383</v>
      </c>
    </row>
    <row r="385" customFormat="false" ht="15" hidden="false" customHeight="false" outlineLevel="0" collapsed="false">
      <c r="C385" s="0" t="str">
        <f aca="false">IF($A385="","",IF(AT385="Y",BL385&amp;"",AY385&amp;""))</f>
        <v/>
      </c>
      <c r="D385" s="0" t="str">
        <f aca="false">IF($A385="","",IF(AT385="Y",BM385&amp;"",AZ385&amp;""))</f>
        <v/>
      </c>
      <c r="E385" s="0" t="str">
        <f aca="false">IF($A385="","",IF(AT385="Y",BN385&amp;"",BA385&amp;""))</f>
        <v/>
      </c>
      <c r="F385" s="0" t="str">
        <f aca="false">IF($A385="","",IF(AT385="Y",BO385&amp;"",BB385&amp;""))</f>
        <v/>
      </c>
      <c r="G385" s="0" t="str">
        <f aca="false">IF($A385="","",IF(AT385="Y",BP385&amp;"",BC385&amp;""))</f>
        <v/>
      </c>
      <c r="H385" s="0" t="str">
        <f aca="false">IF($A385="","",IF(AT385="Y",BQ385&amp;"",BD385&amp;""))</f>
        <v/>
      </c>
      <c r="I385" s="0" t="str">
        <f aca="false">IF($A385="","",IF(R385="Y","warm-intro",IF(H385="verified","email",IF(C385&lt;&gt;"","linkedin",CA385&amp;""))))</f>
        <v/>
      </c>
      <c r="J385" s="0" t="str">
        <f aca="false">IF($A385="","",IF(CK385="pass",ROUND(N(DO385)+N(DP385)+N(DQ385)+N(DR385)+N(DS385)+N(DT385)+N(DU385)+N(DV385),0),0))</f>
        <v/>
      </c>
      <c r="K385" s="0" t="str">
        <f aca="false">IF($A385="","",IF(CK385&lt;&gt;"pass",BY385&amp;"",BY385&amp;", "&amp;IF(AT385="Y",BX385&amp;"",BK385&amp;"")&amp;BZ385&amp;IF(R385="Y","; known to the founder (+10)","")&amp;"."))</f>
        <v/>
      </c>
      <c r="R385" s="5"/>
      <c r="T385" s="5"/>
      <c r="U385" s="5"/>
      <c r="Y385" s="0" t="str">
        <f aca="false">IF(FA385&lt;&gt;"Y","",COUNTIFS($FA$2:$FA$1000,"Y",$J$2:$J$1000,"&gt;"&amp;J385)+COUNTIFS($FA$2:$FA$1000,"Y",$J$2:$J$1000,J385,$FG$2:$FG$1000,"&lt;"&amp;FG385)+1)</f>
        <v/>
      </c>
      <c r="AB385" s="0" t="str">
        <f aca="false">IF($A385="","",IF(AT385="Y",BW385&amp;"",BJ385&amp;""))</f>
        <v/>
      </c>
      <c r="AC385" s="0" t="str">
        <f aca="false">IF($A385="","",IF(AT385="Y",BR385&amp;"",BE385&amp;""))</f>
        <v/>
      </c>
      <c r="AD385" s="0" t="str">
        <f aca="false">IF($A385="","",IF(AT385="Y",BS385&amp;"",BF385&amp;""))</f>
        <v/>
      </c>
      <c r="AE385" s="0" t="str">
        <f aca="false">IF($A385="","",IF(AT385="Y",BT385&amp;"",BG385&amp;""))</f>
        <v/>
      </c>
      <c r="AF385" s="0" t="str">
        <f aca="false">IF($A385="","",IF(AT385="Y",BU385&amp;"",BH385&amp;""))</f>
        <v/>
      </c>
      <c r="AG385" s="0" t="str">
        <f aca="false">IF($A385="","",IF(AT385="Y",BV385&amp;"",BI385&amp;""))</f>
        <v/>
      </c>
      <c r="AO385" s="5"/>
      <c r="AR385" s="0" t="str">
        <f aca="false">IF($A385="","",IF(AND(CK385="pass",AO385&lt;&gt;"Y",C385&lt;&gt;"",OR(AU385&lt;&gt;"Y",AV385="Y")),"Y","N"))</f>
        <v/>
      </c>
      <c r="AS385" s="0" t="str">
        <f aca="false">IF($A385="","",_xlfn.TEXTJOIN("; ",TRUE(),IF(CK385&lt;&gt;"pass","gated out",""),IF(AO385="Y","on hold: "&amp;AP385,""),IF(C385="","no contact named on an opened page",""),IF(AND(AU385="Y",AV385&lt;&gt;"Y"),"founder review pending (Founder review tab)","")))</f>
        <v/>
      </c>
      <c r="BC385" s="0" t="str">
        <f aca="false">IF($A385="","",IFERROR(INDEX(Enrichment!$A$2:$GZ$2000,MATCH($A385,INDEX(Enrichment!$A$2:$GZ$2000,0,MATCH("row_id",Enrichment!$A$1:$GZ$1,0)),0),MATCH("work_email",Enrichment!$A$1:$GZ$1,0))&amp;"",""))</f>
        <v/>
      </c>
      <c r="BD385" s="0" t="str">
        <f aca="false">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P385" s="0" t="str">
        <f aca="false">IF($A385="","",IFERROR(INDEX(Enrichment!$A$2:$GZ$2000,MATCH($A385,INDEX(Enrichment!$A$2:$GZ$2000,0,MATCH("row_id",Enrichment!$A$1:$GZ$1,0)),0),MATCH("backup_work_email",Enrichment!$A$1:$GZ$1,0))&amp;"",""))</f>
        <v/>
      </c>
      <c r="BQ385" s="0" t="str">
        <f aca="false">IF($A385="","",IF(BP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DU385" s="0" t="str">
        <f aca="false">IF($A385="","",IF(R385="Y",10,0))</f>
        <v/>
      </c>
      <c r="EV385" s="0" t="str">
        <f aca="false">IF($A385="","",IF(ISNUMBER(MATCH(U385,{"queued","contacted","replied","call_booked","call_done","yes_in_principle","materials_sent"},0)),"Y","N"))</f>
        <v/>
      </c>
      <c r="EW385" s="0" t="str">
        <f aca="false">IF($A385="","",IF(OR(T385="Y",U385="do_not_contact",AQ385&amp;""&lt;&gt;""),"Y","N"))</f>
        <v/>
      </c>
      <c r="EX385" s="0" t="str">
        <f aca="false">IF($A385="","",IF(AN385&amp;""&lt;&gt;"",AN385&amp;"",$A385))</f>
        <v/>
      </c>
      <c r="EY385" s="0" t="str">
        <f aca="false">IF($A385="","",IF(COUNTIFS($EX$2:$EX$1000,EX385,$EV$2:$EV$1000,"Y")+COUNTIFS($EX$2:$EX$1000,EX385,$EW$2:$EW$1000,"Y")&gt;0,"Y","N"))</f>
        <v/>
      </c>
      <c r="EZ385" s="0" t="str">
        <f aca="false">IF($A385="","",IF(AND(U385="new",T385="N",EW385="N",AR385="Y",EY385="N"),"Y","N"))</f>
        <v/>
      </c>
      <c r="FA385" s="0" t="str">
        <f aca="false">IF($A385="","",IF(EZ385&lt;&gt;"Y","N",IF(COUNTIFS($EX$2:$EX$1000,EX385,$EZ$2:$EZ$1000,"Y",$J$2:$J$1000,"&gt;"&amp;J385)+COUNTIFS($EX$2:$EX$1000,EX385,$EZ$2:$EZ$1000,"Y",$J$2:$J$1000,J385,$FG$2:$FG$1000,"&lt;"&amp;FG385)=0,"Y","N")))</f>
        <v/>
      </c>
      <c r="FB385" s="0" t="str">
        <f aca="false">IF($A385="","",IF(AND(EZ385="Y",FA385="Y",Y385&amp;""&lt;&gt;""),IF(Y385&lt;=10,"Y","N"),"N"))</f>
        <v/>
      </c>
      <c r="FC385" s="0" t="str">
        <f aca="false">IF(FB385="Y",Y385,"")</f>
        <v/>
      </c>
      <c r="FD385" s="0" t="str">
        <f aca="false">IF($A385="","",IF(AND(CK385="pass",AU385="Y",AV385&lt;&gt;"Y",U385="new",EW385="N"),"Y","N"))</f>
        <v/>
      </c>
      <c r="FE385" s="0" t="str">
        <f aca="false">IF(FD385&lt;&gt;"Y","",IF(COUNTIFS($FD$2:$FD$1000,"Y",$J$2:$J$1000,"&gt;"&amp;J385)+COUNTIFS($FD$2:$FD$1000,"Y",$J$2:$J$1000,J385,$FG$2:$FG$1000,"&lt;"&amp;FG385)+1&lt;=30,COUNTIFS($FD$2:$FD$1000,"Y",$J$2:$J$1000,"&gt;"&amp;J385)+COUNTIFS($FD$2:$FD$1000,"Y",$J$2:$J$1000,J385,$FG$2:$FG$1000,"&lt;"&amp;FG385)+1,""))</f>
        <v/>
      </c>
      <c r="FF385" s="0" t="str">
        <f aca="false">IF(AND(_xlfn.ISFORMULA(C385),_xlfn.ISFORMULA(J385)),"Y","N")</f>
        <v>Y</v>
      </c>
      <c r="FG385" s="0" t="n">
        <f aca="false">ROW()-1</f>
        <v>384</v>
      </c>
    </row>
    <row r="386" customFormat="false" ht="15" hidden="false" customHeight="false" outlineLevel="0" collapsed="false">
      <c r="C386" s="0" t="str">
        <f aca="false">IF($A386="","",IF(AT386="Y",BL386&amp;"",AY386&amp;""))</f>
        <v/>
      </c>
      <c r="D386" s="0" t="str">
        <f aca="false">IF($A386="","",IF(AT386="Y",BM386&amp;"",AZ386&amp;""))</f>
        <v/>
      </c>
      <c r="E386" s="0" t="str">
        <f aca="false">IF($A386="","",IF(AT386="Y",BN386&amp;"",BA386&amp;""))</f>
        <v/>
      </c>
      <c r="F386" s="0" t="str">
        <f aca="false">IF($A386="","",IF(AT386="Y",BO386&amp;"",BB386&amp;""))</f>
        <v/>
      </c>
      <c r="G386" s="0" t="str">
        <f aca="false">IF($A386="","",IF(AT386="Y",BP386&amp;"",BC386&amp;""))</f>
        <v/>
      </c>
      <c r="H386" s="0" t="str">
        <f aca="false">IF($A386="","",IF(AT386="Y",BQ386&amp;"",BD386&amp;""))</f>
        <v/>
      </c>
      <c r="I386" s="0" t="str">
        <f aca="false">IF($A386="","",IF(R386="Y","warm-intro",IF(H386="verified","email",IF(C386&lt;&gt;"","linkedin",CA386&amp;""))))</f>
        <v/>
      </c>
      <c r="J386" s="0" t="str">
        <f aca="false">IF($A386="","",IF(CK386="pass",ROUND(N(DO386)+N(DP386)+N(DQ386)+N(DR386)+N(DS386)+N(DT386)+N(DU386)+N(DV386),0),0))</f>
        <v/>
      </c>
      <c r="K386" s="0" t="str">
        <f aca="false">IF($A386="","",IF(CK386&lt;&gt;"pass",BY386&amp;"",BY386&amp;", "&amp;IF(AT386="Y",BX386&amp;"",BK386&amp;"")&amp;BZ386&amp;IF(R386="Y","; known to the founder (+10)","")&amp;"."))</f>
        <v/>
      </c>
      <c r="R386" s="5"/>
      <c r="T386" s="5"/>
      <c r="U386" s="5"/>
      <c r="Y386" s="0" t="str">
        <f aca="false">IF(FA386&lt;&gt;"Y","",COUNTIFS($FA$2:$FA$1000,"Y",$J$2:$J$1000,"&gt;"&amp;J386)+COUNTIFS($FA$2:$FA$1000,"Y",$J$2:$J$1000,J386,$FG$2:$FG$1000,"&lt;"&amp;FG386)+1)</f>
        <v/>
      </c>
      <c r="AB386" s="0" t="str">
        <f aca="false">IF($A386="","",IF(AT386="Y",BW386&amp;"",BJ386&amp;""))</f>
        <v/>
      </c>
      <c r="AC386" s="0" t="str">
        <f aca="false">IF($A386="","",IF(AT386="Y",BR386&amp;"",BE386&amp;""))</f>
        <v/>
      </c>
      <c r="AD386" s="0" t="str">
        <f aca="false">IF($A386="","",IF(AT386="Y",BS386&amp;"",BF386&amp;""))</f>
        <v/>
      </c>
      <c r="AE386" s="0" t="str">
        <f aca="false">IF($A386="","",IF(AT386="Y",BT386&amp;"",BG386&amp;""))</f>
        <v/>
      </c>
      <c r="AF386" s="0" t="str">
        <f aca="false">IF($A386="","",IF(AT386="Y",BU386&amp;"",BH386&amp;""))</f>
        <v/>
      </c>
      <c r="AG386" s="0" t="str">
        <f aca="false">IF($A386="","",IF(AT386="Y",BV386&amp;"",BI386&amp;""))</f>
        <v/>
      </c>
      <c r="AO386" s="5"/>
      <c r="AR386" s="0" t="str">
        <f aca="false">IF($A386="","",IF(AND(CK386="pass",AO386&lt;&gt;"Y",C386&lt;&gt;"",OR(AU386&lt;&gt;"Y",AV386="Y")),"Y","N"))</f>
        <v/>
      </c>
      <c r="AS386" s="0" t="str">
        <f aca="false">IF($A386="","",_xlfn.TEXTJOIN("; ",TRUE(),IF(CK386&lt;&gt;"pass","gated out",""),IF(AO386="Y","on hold: "&amp;AP386,""),IF(C386="","no contact named on an opened page",""),IF(AND(AU386="Y",AV386&lt;&gt;"Y"),"founder review pending (Founder review tab)","")))</f>
        <v/>
      </c>
      <c r="BC386" s="0" t="str">
        <f aca="false">IF($A386="","",IFERROR(INDEX(Enrichment!$A$2:$GZ$2000,MATCH($A386,INDEX(Enrichment!$A$2:$GZ$2000,0,MATCH("row_id",Enrichment!$A$1:$GZ$1,0)),0),MATCH("work_email",Enrichment!$A$1:$GZ$1,0))&amp;"",""))</f>
        <v/>
      </c>
      <c r="BD386" s="0" t="str">
        <f aca="false">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P386" s="0" t="str">
        <f aca="false">IF($A386="","",IFERROR(INDEX(Enrichment!$A$2:$GZ$2000,MATCH($A386,INDEX(Enrichment!$A$2:$GZ$2000,0,MATCH("row_id",Enrichment!$A$1:$GZ$1,0)),0),MATCH("backup_work_email",Enrichment!$A$1:$GZ$1,0))&amp;"",""))</f>
        <v/>
      </c>
      <c r="BQ386" s="0" t="str">
        <f aca="false">IF($A386="","",IF(BP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DU386" s="0" t="str">
        <f aca="false">IF($A386="","",IF(R386="Y",10,0))</f>
        <v/>
      </c>
      <c r="EV386" s="0" t="str">
        <f aca="false">IF($A386="","",IF(ISNUMBER(MATCH(U386,{"queued","contacted","replied","call_booked","call_done","yes_in_principle","materials_sent"},0)),"Y","N"))</f>
        <v/>
      </c>
      <c r="EW386" s="0" t="str">
        <f aca="false">IF($A386="","",IF(OR(T386="Y",U386="do_not_contact",AQ386&amp;""&lt;&gt;""),"Y","N"))</f>
        <v/>
      </c>
      <c r="EX386" s="0" t="str">
        <f aca="false">IF($A386="","",IF(AN386&amp;""&lt;&gt;"",AN386&amp;"",$A386))</f>
        <v/>
      </c>
      <c r="EY386" s="0" t="str">
        <f aca="false">IF($A386="","",IF(COUNTIFS($EX$2:$EX$1000,EX386,$EV$2:$EV$1000,"Y")+COUNTIFS($EX$2:$EX$1000,EX386,$EW$2:$EW$1000,"Y")&gt;0,"Y","N"))</f>
        <v/>
      </c>
      <c r="EZ386" s="0" t="str">
        <f aca="false">IF($A386="","",IF(AND(U386="new",T386="N",EW386="N",AR386="Y",EY386="N"),"Y","N"))</f>
        <v/>
      </c>
      <c r="FA386" s="0" t="str">
        <f aca="false">IF($A386="","",IF(EZ386&lt;&gt;"Y","N",IF(COUNTIFS($EX$2:$EX$1000,EX386,$EZ$2:$EZ$1000,"Y",$J$2:$J$1000,"&gt;"&amp;J386)+COUNTIFS($EX$2:$EX$1000,EX386,$EZ$2:$EZ$1000,"Y",$J$2:$J$1000,J386,$FG$2:$FG$1000,"&lt;"&amp;FG386)=0,"Y","N")))</f>
        <v/>
      </c>
      <c r="FB386" s="0" t="str">
        <f aca="false">IF($A386="","",IF(AND(EZ386="Y",FA386="Y",Y386&amp;""&lt;&gt;""),IF(Y386&lt;=10,"Y","N"),"N"))</f>
        <v/>
      </c>
      <c r="FC386" s="0" t="str">
        <f aca="false">IF(FB386="Y",Y386,"")</f>
        <v/>
      </c>
      <c r="FD386" s="0" t="str">
        <f aca="false">IF($A386="","",IF(AND(CK386="pass",AU386="Y",AV386&lt;&gt;"Y",U386="new",EW386="N"),"Y","N"))</f>
        <v/>
      </c>
      <c r="FE386" s="0" t="str">
        <f aca="false">IF(FD386&lt;&gt;"Y","",IF(COUNTIFS($FD$2:$FD$1000,"Y",$J$2:$J$1000,"&gt;"&amp;J386)+COUNTIFS($FD$2:$FD$1000,"Y",$J$2:$J$1000,J386,$FG$2:$FG$1000,"&lt;"&amp;FG386)+1&lt;=30,COUNTIFS($FD$2:$FD$1000,"Y",$J$2:$J$1000,"&gt;"&amp;J386)+COUNTIFS($FD$2:$FD$1000,"Y",$J$2:$J$1000,J386,$FG$2:$FG$1000,"&lt;"&amp;FG386)+1,""))</f>
        <v/>
      </c>
      <c r="FF386" s="0" t="str">
        <f aca="false">IF(AND(_xlfn.ISFORMULA(C386),_xlfn.ISFORMULA(J386)),"Y","N")</f>
        <v>Y</v>
      </c>
      <c r="FG386" s="0" t="n">
        <f aca="false">ROW()-1</f>
        <v>385</v>
      </c>
    </row>
    <row r="387" customFormat="false" ht="15" hidden="false" customHeight="false" outlineLevel="0" collapsed="false">
      <c r="C387" s="0" t="str">
        <f aca="false">IF($A387="","",IF(AT387="Y",BL387&amp;"",AY387&amp;""))</f>
        <v/>
      </c>
      <c r="D387" s="0" t="str">
        <f aca="false">IF($A387="","",IF(AT387="Y",BM387&amp;"",AZ387&amp;""))</f>
        <v/>
      </c>
      <c r="E387" s="0" t="str">
        <f aca="false">IF($A387="","",IF(AT387="Y",BN387&amp;"",BA387&amp;""))</f>
        <v/>
      </c>
      <c r="F387" s="0" t="str">
        <f aca="false">IF($A387="","",IF(AT387="Y",BO387&amp;"",BB387&amp;""))</f>
        <v/>
      </c>
      <c r="G387" s="0" t="str">
        <f aca="false">IF($A387="","",IF(AT387="Y",BP387&amp;"",BC387&amp;""))</f>
        <v/>
      </c>
      <c r="H387" s="0" t="str">
        <f aca="false">IF($A387="","",IF(AT387="Y",BQ387&amp;"",BD387&amp;""))</f>
        <v/>
      </c>
      <c r="I387" s="0" t="str">
        <f aca="false">IF($A387="","",IF(R387="Y","warm-intro",IF(H387="verified","email",IF(C387&lt;&gt;"","linkedin",CA387&amp;""))))</f>
        <v/>
      </c>
      <c r="J387" s="0" t="str">
        <f aca="false">IF($A387="","",IF(CK387="pass",ROUND(N(DO387)+N(DP387)+N(DQ387)+N(DR387)+N(DS387)+N(DT387)+N(DU387)+N(DV387),0),0))</f>
        <v/>
      </c>
      <c r="K387" s="0" t="str">
        <f aca="false">IF($A387="","",IF(CK387&lt;&gt;"pass",BY387&amp;"",BY387&amp;", "&amp;IF(AT387="Y",BX387&amp;"",BK387&amp;"")&amp;BZ387&amp;IF(R387="Y","; known to the founder (+10)","")&amp;"."))</f>
        <v/>
      </c>
      <c r="R387" s="5"/>
      <c r="T387" s="5"/>
      <c r="U387" s="5"/>
      <c r="Y387" s="0" t="str">
        <f aca="false">IF(FA387&lt;&gt;"Y","",COUNTIFS($FA$2:$FA$1000,"Y",$J$2:$J$1000,"&gt;"&amp;J387)+COUNTIFS($FA$2:$FA$1000,"Y",$J$2:$J$1000,J387,$FG$2:$FG$1000,"&lt;"&amp;FG387)+1)</f>
        <v/>
      </c>
      <c r="AB387" s="0" t="str">
        <f aca="false">IF($A387="","",IF(AT387="Y",BW387&amp;"",BJ387&amp;""))</f>
        <v/>
      </c>
      <c r="AC387" s="0" t="str">
        <f aca="false">IF($A387="","",IF(AT387="Y",BR387&amp;"",BE387&amp;""))</f>
        <v/>
      </c>
      <c r="AD387" s="0" t="str">
        <f aca="false">IF($A387="","",IF(AT387="Y",BS387&amp;"",BF387&amp;""))</f>
        <v/>
      </c>
      <c r="AE387" s="0" t="str">
        <f aca="false">IF($A387="","",IF(AT387="Y",BT387&amp;"",BG387&amp;""))</f>
        <v/>
      </c>
      <c r="AF387" s="0" t="str">
        <f aca="false">IF($A387="","",IF(AT387="Y",BU387&amp;"",BH387&amp;""))</f>
        <v/>
      </c>
      <c r="AG387" s="0" t="str">
        <f aca="false">IF($A387="","",IF(AT387="Y",BV387&amp;"",BI387&amp;""))</f>
        <v/>
      </c>
      <c r="AO387" s="5"/>
      <c r="AR387" s="0" t="str">
        <f aca="false">IF($A387="","",IF(AND(CK387="pass",AO387&lt;&gt;"Y",C387&lt;&gt;"",OR(AU387&lt;&gt;"Y",AV387="Y")),"Y","N"))</f>
        <v/>
      </c>
      <c r="AS387" s="0" t="str">
        <f aca="false">IF($A387="","",_xlfn.TEXTJOIN("; ",TRUE(),IF(CK387&lt;&gt;"pass","gated out",""),IF(AO387="Y","on hold: "&amp;AP387,""),IF(C387="","no contact named on an opened page",""),IF(AND(AU387="Y",AV387&lt;&gt;"Y"),"founder review pending (Founder review tab)","")))</f>
        <v/>
      </c>
      <c r="BC387" s="0" t="str">
        <f aca="false">IF($A387="","",IFERROR(INDEX(Enrichment!$A$2:$GZ$2000,MATCH($A387,INDEX(Enrichment!$A$2:$GZ$2000,0,MATCH("row_id",Enrichment!$A$1:$GZ$1,0)),0),MATCH("work_email",Enrichment!$A$1:$GZ$1,0))&amp;"",""))</f>
        <v/>
      </c>
      <c r="BD387" s="0" t="str">
        <f aca="false">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P387" s="0" t="str">
        <f aca="false">IF($A387="","",IFERROR(INDEX(Enrichment!$A$2:$GZ$2000,MATCH($A387,INDEX(Enrichment!$A$2:$GZ$2000,0,MATCH("row_id",Enrichment!$A$1:$GZ$1,0)),0),MATCH("backup_work_email",Enrichment!$A$1:$GZ$1,0))&amp;"",""))</f>
        <v/>
      </c>
      <c r="BQ387" s="0" t="str">
        <f aca="false">IF($A387="","",IF(BP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DU387" s="0" t="str">
        <f aca="false">IF($A387="","",IF(R387="Y",10,0))</f>
        <v/>
      </c>
      <c r="EV387" s="0" t="str">
        <f aca="false">IF($A387="","",IF(ISNUMBER(MATCH(U387,{"queued","contacted","replied","call_booked","call_done","yes_in_principle","materials_sent"},0)),"Y","N"))</f>
        <v/>
      </c>
      <c r="EW387" s="0" t="str">
        <f aca="false">IF($A387="","",IF(OR(T387="Y",U387="do_not_contact",AQ387&amp;""&lt;&gt;""),"Y","N"))</f>
        <v/>
      </c>
      <c r="EX387" s="0" t="str">
        <f aca="false">IF($A387="","",IF(AN387&amp;""&lt;&gt;"",AN387&amp;"",$A387))</f>
        <v/>
      </c>
      <c r="EY387" s="0" t="str">
        <f aca="false">IF($A387="","",IF(COUNTIFS($EX$2:$EX$1000,EX387,$EV$2:$EV$1000,"Y")+COUNTIFS($EX$2:$EX$1000,EX387,$EW$2:$EW$1000,"Y")&gt;0,"Y","N"))</f>
        <v/>
      </c>
      <c r="EZ387" s="0" t="str">
        <f aca="false">IF($A387="","",IF(AND(U387="new",T387="N",EW387="N",AR387="Y",EY387="N"),"Y","N"))</f>
        <v/>
      </c>
      <c r="FA387" s="0" t="str">
        <f aca="false">IF($A387="","",IF(EZ387&lt;&gt;"Y","N",IF(COUNTIFS($EX$2:$EX$1000,EX387,$EZ$2:$EZ$1000,"Y",$J$2:$J$1000,"&gt;"&amp;J387)+COUNTIFS($EX$2:$EX$1000,EX387,$EZ$2:$EZ$1000,"Y",$J$2:$J$1000,J387,$FG$2:$FG$1000,"&lt;"&amp;FG387)=0,"Y","N")))</f>
        <v/>
      </c>
      <c r="FB387" s="0" t="str">
        <f aca="false">IF($A387="","",IF(AND(EZ387="Y",FA387="Y",Y387&amp;""&lt;&gt;""),IF(Y387&lt;=10,"Y","N"),"N"))</f>
        <v/>
      </c>
      <c r="FC387" s="0" t="str">
        <f aca="false">IF(FB387="Y",Y387,"")</f>
        <v/>
      </c>
      <c r="FD387" s="0" t="str">
        <f aca="false">IF($A387="","",IF(AND(CK387="pass",AU387="Y",AV387&lt;&gt;"Y",U387="new",EW387="N"),"Y","N"))</f>
        <v/>
      </c>
      <c r="FE387" s="0" t="str">
        <f aca="false">IF(FD387&lt;&gt;"Y","",IF(COUNTIFS($FD$2:$FD$1000,"Y",$J$2:$J$1000,"&gt;"&amp;J387)+COUNTIFS($FD$2:$FD$1000,"Y",$J$2:$J$1000,J387,$FG$2:$FG$1000,"&lt;"&amp;FG387)+1&lt;=30,COUNTIFS($FD$2:$FD$1000,"Y",$J$2:$J$1000,"&gt;"&amp;J387)+COUNTIFS($FD$2:$FD$1000,"Y",$J$2:$J$1000,J387,$FG$2:$FG$1000,"&lt;"&amp;FG387)+1,""))</f>
        <v/>
      </c>
      <c r="FF387" s="0" t="str">
        <f aca="false">IF(AND(_xlfn.ISFORMULA(C387),_xlfn.ISFORMULA(J387)),"Y","N")</f>
        <v>Y</v>
      </c>
      <c r="FG387" s="0" t="n">
        <f aca="false">ROW()-1</f>
        <v>386</v>
      </c>
    </row>
    <row r="388" customFormat="false" ht="15" hidden="false" customHeight="false" outlineLevel="0" collapsed="false">
      <c r="C388" s="0" t="str">
        <f aca="false">IF($A388="","",IF(AT388="Y",BL388&amp;"",AY388&amp;""))</f>
        <v/>
      </c>
      <c r="D388" s="0" t="str">
        <f aca="false">IF($A388="","",IF(AT388="Y",BM388&amp;"",AZ388&amp;""))</f>
        <v/>
      </c>
      <c r="E388" s="0" t="str">
        <f aca="false">IF($A388="","",IF(AT388="Y",BN388&amp;"",BA388&amp;""))</f>
        <v/>
      </c>
      <c r="F388" s="0" t="str">
        <f aca="false">IF($A388="","",IF(AT388="Y",BO388&amp;"",BB388&amp;""))</f>
        <v/>
      </c>
      <c r="G388" s="0" t="str">
        <f aca="false">IF($A388="","",IF(AT388="Y",BP388&amp;"",BC388&amp;""))</f>
        <v/>
      </c>
      <c r="H388" s="0" t="str">
        <f aca="false">IF($A388="","",IF(AT388="Y",BQ388&amp;"",BD388&amp;""))</f>
        <v/>
      </c>
      <c r="I388" s="0" t="str">
        <f aca="false">IF($A388="","",IF(R388="Y","warm-intro",IF(H388="verified","email",IF(C388&lt;&gt;"","linkedin",CA388&amp;""))))</f>
        <v/>
      </c>
      <c r="J388" s="0" t="str">
        <f aca="false">IF($A388="","",IF(CK388="pass",ROUND(N(DO388)+N(DP388)+N(DQ388)+N(DR388)+N(DS388)+N(DT388)+N(DU388)+N(DV388),0),0))</f>
        <v/>
      </c>
      <c r="K388" s="0" t="str">
        <f aca="false">IF($A388="","",IF(CK388&lt;&gt;"pass",BY388&amp;"",BY388&amp;", "&amp;IF(AT388="Y",BX388&amp;"",BK388&amp;"")&amp;BZ388&amp;IF(R388="Y","; known to the founder (+10)","")&amp;"."))</f>
        <v/>
      </c>
      <c r="R388" s="5"/>
      <c r="T388" s="5"/>
      <c r="U388" s="5"/>
      <c r="Y388" s="0" t="str">
        <f aca="false">IF(FA388&lt;&gt;"Y","",COUNTIFS($FA$2:$FA$1000,"Y",$J$2:$J$1000,"&gt;"&amp;J388)+COUNTIFS($FA$2:$FA$1000,"Y",$J$2:$J$1000,J388,$FG$2:$FG$1000,"&lt;"&amp;FG388)+1)</f>
        <v/>
      </c>
      <c r="AB388" s="0" t="str">
        <f aca="false">IF($A388="","",IF(AT388="Y",BW388&amp;"",BJ388&amp;""))</f>
        <v/>
      </c>
      <c r="AC388" s="0" t="str">
        <f aca="false">IF($A388="","",IF(AT388="Y",BR388&amp;"",BE388&amp;""))</f>
        <v/>
      </c>
      <c r="AD388" s="0" t="str">
        <f aca="false">IF($A388="","",IF(AT388="Y",BS388&amp;"",BF388&amp;""))</f>
        <v/>
      </c>
      <c r="AE388" s="0" t="str">
        <f aca="false">IF($A388="","",IF(AT388="Y",BT388&amp;"",BG388&amp;""))</f>
        <v/>
      </c>
      <c r="AF388" s="0" t="str">
        <f aca="false">IF($A388="","",IF(AT388="Y",BU388&amp;"",BH388&amp;""))</f>
        <v/>
      </c>
      <c r="AG388" s="0" t="str">
        <f aca="false">IF($A388="","",IF(AT388="Y",BV388&amp;"",BI388&amp;""))</f>
        <v/>
      </c>
      <c r="AO388" s="5"/>
      <c r="AR388" s="0" t="str">
        <f aca="false">IF($A388="","",IF(AND(CK388="pass",AO388&lt;&gt;"Y",C388&lt;&gt;"",OR(AU388&lt;&gt;"Y",AV388="Y")),"Y","N"))</f>
        <v/>
      </c>
      <c r="AS388" s="0" t="str">
        <f aca="false">IF($A388="","",_xlfn.TEXTJOIN("; ",TRUE(),IF(CK388&lt;&gt;"pass","gated out",""),IF(AO388="Y","on hold: "&amp;AP388,""),IF(C388="","no contact named on an opened page",""),IF(AND(AU388="Y",AV388&lt;&gt;"Y"),"founder review pending (Founder review tab)","")))</f>
        <v/>
      </c>
      <c r="BC388" s="0" t="str">
        <f aca="false">IF($A388="","",IFERROR(INDEX(Enrichment!$A$2:$GZ$2000,MATCH($A388,INDEX(Enrichment!$A$2:$GZ$2000,0,MATCH("row_id",Enrichment!$A$1:$GZ$1,0)),0),MATCH("work_email",Enrichment!$A$1:$GZ$1,0))&amp;"",""))</f>
        <v/>
      </c>
      <c r="BD388" s="0" t="str">
        <f aca="false">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P388" s="0" t="str">
        <f aca="false">IF($A388="","",IFERROR(INDEX(Enrichment!$A$2:$GZ$2000,MATCH($A388,INDEX(Enrichment!$A$2:$GZ$2000,0,MATCH("row_id",Enrichment!$A$1:$GZ$1,0)),0),MATCH("backup_work_email",Enrichment!$A$1:$GZ$1,0))&amp;"",""))</f>
        <v/>
      </c>
      <c r="BQ388" s="0" t="str">
        <f aca="false">IF($A388="","",IF(BP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DU388" s="0" t="str">
        <f aca="false">IF($A388="","",IF(R388="Y",10,0))</f>
        <v/>
      </c>
      <c r="EV388" s="0" t="str">
        <f aca="false">IF($A388="","",IF(ISNUMBER(MATCH(U388,{"queued","contacted","replied","call_booked","call_done","yes_in_principle","materials_sent"},0)),"Y","N"))</f>
        <v/>
      </c>
      <c r="EW388" s="0" t="str">
        <f aca="false">IF($A388="","",IF(OR(T388="Y",U388="do_not_contact",AQ388&amp;""&lt;&gt;""),"Y","N"))</f>
        <v/>
      </c>
      <c r="EX388" s="0" t="str">
        <f aca="false">IF($A388="","",IF(AN388&amp;""&lt;&gt;"",AN388&amp;"",$A388))</f>
        <v/>
      </c>
      <c r="EY388" s="0" t="str">
        <f aca="false">IF($A388="","",IF(COUNTIFS($EX$2:$EX$1000,EX388,$EV$2:$EV$1000,"Y")+COUNTIFS($EX$2:$EX$1000,EX388,$EW$2:$EW$1000,"Y")&gt;0,"Y","N"))</f>
        <v/>
      </c>
      <c r="EZ388" s="0" t="str">
        <f aca="false">IF($A388="","",IF(AND(U388="new",T388="N",EW388="N",AR388="Y",EY388="N"),"Y","N"))</f>
        <v/>
      </c>
      <c r="FA388" s="0" t="str">
        <f aca="false">IF($A388="","",IF(EZ388&lt;&gt;"Y","N",IF(COUNTIFS($EX$2:$EX$1000,EX388,$EZ$2:$EZ$1000,"Y",$J$2:$J$1000,"&gt;"&amp;J388)+COUNTIFS($EX$2:$EX$1000,EX388,$EZ$2:$EZ$1000,"Y",$J$2:$J$1000,J388,$FG$2:$FG$1000,"&lt;"&amp;FG388)=0,"Y","N")))</f>
        <v/>
      </c>
      <c r="FB388" s="0" t="str">
        <f aca="false">IF($A388="","",IF(AND(EZ388="Y",FA388="Y",Y388&amp;""&lt;&gt;""),IF(Y388&lt;=10,"Y","N"),"N"))</f>
        <v/>
      </c>
      <c r="FC388" s="0" t="str">
        <f aca="false">IF(FB388="Y",Y388,"")</f>
        <v/>
      </c>
      <c r="FD388" s="0" t="str">
        <f aca="false">IF($A388="","",IF(AND(CK388="pass",AU388="Y",AV388&lt;&gt;"Y",U388="new",EW388="N"),"Y","N"))</f>
        <v/>
      </c>
      <c r="FE388" s="0" t="str">
        <f aca="false">IF(FD388&lt;&gt;"Y","",IF(COUNTIFS($FD$2:$FD$1000,"Y",$J$2:$J$1000,"&gt;"&amp;J388)+COUNTIFS($FD$2:$FD$1000,"Y",$J$2:$J$1000,J388,$FG$2:$FG$1000,"&lt;"&amp;FG388)+1&lt;=30,COUNTIFS($FD$2:$FD$1000,"Y",$J$2:$J$1000,"&gt;"&amp;J388)+COUNTIFS($FD$2:$FD$1000,"Y",$J$2:$J$1000,J388,$FG$2:$FG$1000,"&lt;"&amp;FG388)+1,""))</f>
        <v/>
      </c>
      <c r="FF388" s="0" t="str">
        <f aca="false">IF(AND(_xlfn.ISFORMULA(C388),_xlfn.ISFORMULA(J388)),"Y","N")</f>
        <v>Y</v>
      </c>
      <c r="FG388" s="0" t="n">
        <f aca="false">ROW()-1</f>
        <v>387</v>
      </c>
    </row>
    <row r="389" customFormat="false" ht="15" hidden="false" customHeight="false" outlineLevel="0" collapsed="false">
      <c r="C389" s="0" t="str">
        <f aca="false">IF($A389="","",IF(AT389="Y",BL389&amp;"",AY389&amp;""))</f>
        <v/>
      </c>
      <c r="D389" s="0" t="str">
        <f aca="false">IF($A389="","",IF(AT389="Y",BM389&amp;"",AZ389&amp;""))</f>
        <v/>
      </c>
      <c r="E389" s="0" t="str">
        <f aca="false">IF($A389="","",IF(AT389="Y",BN389&amp;"",BA389&amp;""))</f>
        <v/>
      </c>
      <c r="F389" s="0" t="str">
        <f aca="false">IF($A389="","",IF(AT389="Y",BO389&amp;"",BB389&amp;""))</f>
        <v/>
      </c>
      <c r="G389" s="0" t="str">
        <f aca="false">IF($A389="","",IF(AT389="Y",BP389&amp;"",BC389&amp;""))</f>
        <v/>
      </c>
      <c r="H389" s="0" t="str">
        <f aca="false">IF($A389="","",IF(AT389="Y",BQ389&amp;"",BD389&amp;""))</f>
        <v/>
      </c>
      <c r="I389" s="0" t="str">
        <f aca="false">IF($A389="","",IF(R389="Y","warm-intro",IF(H389="verified","email",IF(C389&lt;&gt;"","linkedin",CA389&amp;""))))</f>
        <v/>
      </c>
      <c r="J389" s="0" t="str">
        <f aca="false">IF($A389="","",IF(CK389="pass",ROUND(N(DO389)+N(DP389)+N(DQ389)+N(DR389)+N(DS389)+N(DT389)+N(DU389)+N(DV389),0),0))</f>
        <v/>
      </c>
      <c r="K389" s="0" t="str">
        <f aca="false">IF($A389="","",IF(CK389&lt;&gt;"pass",BY389&amp;"",BY389&amp;", "&amp;IF(AT389="Y",BX389&amp;"",BK389&amp;"")&amp;BZ389&amp;IF(R389="Y","; known to the founder (+10)","")&amp;"."))</f>
        <v/>
      </c>
      <c r="R389" s="5"/>
      <c r="T389" s="5"/>
      <c r="U389" s="5"/>
      <c r="Y389" s="0" t="str">
        <f aca="false">IF(FA389&lt;&gt;"Y","",COUNTIFS($FA$2:$FA$1000,"Y",$J$2:$J$1000,"&gt;"&amp;J389)+COUNTIFS($FA$2:$FA$1000,"Y",$J$2:$J$1000,J389,$FG$2:$FG$1000,"&lt;"&amp;FG389)+1)</f>
        <v/>
      </c>
      <c r="AB389" s="0" t="str">
        <f aca="false">IF($A389="","",IF(AT389="Y",BW389&amp;"",BJ389&amp;""))</f>
        <v/>
      </c>
      <c r="AC389" s="0" t="str">
        <f aca="false">IF($A389="","",IF(AT389="Y",BR389&amp;"",BE389&amp;""))</f>
        <v/>
      </c>
      <c r="AD389" s="0" t="str">
        <f aca="false">IF($A389="","",IF(AT389="Y",BS389&amp;"",BF389&amp;""))</f>
        <v/>
      </c>
      <c r="AE389" s="0" t="str">
        <f aca="false">IF($A389="","",IF(AT389="Y",BT389&amp;"",BG389&amp;""))</f>
        <v/>
      </c>
      <c r="AF389" s="0" t="str">
        <f aca="false">IF($A389="","",IF(AT389="Y",BU389&amp;"",BH389&amp;""))</f>
        <v/>
      </c>
      <c r="AG389" s="0" t="str">
        <f aca="false">IF($A389="","",IF(AT389="Y",BV389&amp;"",BI389&amp;""))</f>
        <v/>
      </c>
      <c r="AO389" s="5"/>
      <c r="AR389" s="0" t="str">
        <f aca="false">IF($A389="","",IF(AND(CK389="pass",AO389&lt;&gt;"Y",C389&lt;&gt;"",OR(AU389&lt;&gt;"Y",AV389="Y")),"Y","N"))</f>
        <v/>
      </c>
      <c r="AS389" s="0" t="str">
        <f aca="false">IF($A389="","",_xlfn.TEXTJOIN("; ",TRUE(),IF(CK389&lt;&gt;"pass","gated out",""),IF(AO389="Y","on hold: "&amp;AP389,""),IF(C389="","no contact named on an opened page",""),IF(AND(AU389="Y",AV389&lt;&gt;"Y"),"founder review pending (Founder review tab)","")))</f>
        <v/>
      </c>
      <c r="BC389" s="0" t="str">
        <f aca="false">IF($A389="","",IFERROR(INDEX(Enrichment!$A$2:$GZ$2000,MATCH($A389,INDEX(Enrichment!$A$2:$GZ$2000,0,MATCH("row_id",Enrichment!$A$1:$GZ$1,0)),0),MATCH("work_email",Enrichment!$A$1:$GZ$1,0))&amp;"",""))</f>
        <v/>
      </c>
      <c r="BD389" s="0" t="str">
        <f aca="false">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P389" s="0" t="str">
        <f aca="false">IF($A389="","",IFERROR(INDEX(Enrichment!$A$2:$GZ$2000,MATCH($A389,INDEX(Enrichment!$A$2:$GZ$2000,0,MATCH("row_id",Enrichment!$A$1:$GZ$1,0)),0),MATCH("backup_work_email",Enrichment!$A$1:$GZ$1,0))&amp;"",""))</f>
        <v/>
      </c>
      <c r="BQ389" s="0" t="str">
        <f aca="false">IF($A389="","",IF(BP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DU389" s="0" t="str">
        <f aca="false">IF($A389="","",IF(R389="Y",10,0))</f>
        <v/>
      </c>
      <c r="EV389" s="0" t="str">
        <f aca="false">IF($A389="","",IF(ISNUMBER(MATCH(U389,{"queued","contacted","replied","call_booked","call_done","yes_in_principle","materials_sent"},0)),"Y","N"))</f>
        <v/>
      </c>
      <c r="EW389" s="0" t="str">
        <f aca="false">IF($A389="","",IF(OR(T389="Y",U389="do_not_contact",AQ389&amp;""&lt;&gt;""),"Y","N"))</f>
        <v/>
      </c>
      <c r="EX389" s="0" t="str">
        <f aca="false">IF($A389="","",IF(AN389&amp;""&lt;&gt;"",AN389&amp;"",$A389))</f>
        <v/>
      </c>
      <c r="EY389" s="0" t="str">
        <f aca="false">IF($A389="","",IF(COUNTIFS($EX$2:$EX$1000,EX389,$EV$2:$EV$1000,"Y")+COUNTIFS($EX$2:$EX$1000,EX389,$EW$2:$EW$1000,"Y")&gt;0,"Y","N"))</f>
        <v/>
      </c>
      <c r="EZ389" s="0" t="str">
        <f aca="false">IF($A389="","",IF(AND(U389="new",T389="N",EW389="N",AR389="Y",EY389="N"),"Y","N"))</f>
        <v/>
      </c>
      <c r="FA389" s="0" t="str">
        <f aca="false">IF($A389="","",IF(EZ389&lt;&gt;"Y","N",IF(COUNTIFS($EX$2:$EX$1000,EX389,$EZ$2:$EZ$1000,"Y",$J$2:$J$1000,"&gt;"&amp;J389)+COUNTIFS($EX$2:$EX$1000,EX389,$EZ$2:$EZ$1000,"Y",$J$2:$J$1000,J389,$FG$2:$FG$1000,"&lt;"&amp;FG389)=0,"Y","N")))</f>
        <v/>
      </c>
      <c r="FB389" s="0" t="str">
        <f aca="false">IF($A389="","",IF(AND(EZ389="Y",FA389="Y",Y389&amp;""&lt;&gt;""),IF(Y389&lt;=10,"Y","N"),"N"))</f>
        <v/>
      </c>
      <c r="FC389" s="0" t="str">
        <f aca="false">IF(FB389="Y",Y389,"")</f>
        <v/>
      </c>
      <c r="FD389" s="0" t="str">
        <f aca="false">IF($A389="","",IF(AND(CK389="pass",AU389="Y",AV389&lt;&gt;"Y",U389="new",EW389="N"),"Y","N"))</f>
        <v/>
      </c>
      <c r="FE389" s="0" t="str">
        <f aca="false">IF(FD389&lt;&gt;"Y","",IF(COUNTIFS($FD$2:$FD$1000,"Y",$J$2:$J$1000,"&gt;"&amp;J389)+COUNTIFS($FD$2:$FD$1000,"Y",$J$2:$J$1000,J389,$FG$2:$FG$1000,"&lt;"&amp;FG389)+1&lt;=30,COUNTIFS($FD$2:$FD$1000,"Y",$J$2:$J$1000,"&gt;"&amp;J389)+COUNTIFS($FD$2:$FD$1000,"Y",$J$2:$J$1000,J389,$FG$2:$FG$1000,"&lt;"&amp;FG389)+1,""))</f>
        <v/>
      </c>
      <c r="FF389" s="0" t="str">
        <f aca="false">IF(AND(_xlfn.ISFORMULA(C389),_xlfn.ISFORMULA(J389)),"Y","N")</f>
        <v>Y</v>
      </c>
      <c r="FG389" s="0" t="n">
        <f aca="false">ROW()-1</f>
        <v>388</v>
      </c>
    </row>
    <row r="390" customFormat="false" ht="15" hidden="false" customHeight="false" outlineLevel="0" collapsed="false">
      <c r="C390" s="0" t="str">
        <f aca="false">IF($A390="","",IF(AT390="Y",BL390&amp;"",AY390&amp;""))</f>
        <v/>
      </c>
      <c r="D390" s="0" t="str">
        <f aca="false">IF($A390="","",IF(AT390="Y",BM390&amp;"",AZ390&amp;""))</f>
        <v/>
      </c>
      <c r="E390" s="0" t="str">
        <f aca="false">IF($A390="","",IF(AT390="Y",BN390&amp;"",BA390&amp;""))</f>
        <v/>
      </c>
      <c r="F390" s="0" t="str">
        <f aca="false">IF($A390="","",IF(AT390="Y",BO390&amp;"",BB390&amp;""))</f>
        <v/>
      </c>
      <c r="G390" s="0" t="str">
        <f aca="false">IF($A390="","",IF(AT390="Y",BP390&amp;"",BC390&amp;""))</f>
        <v/>
      </c>
      <c r="H390" s="0" t="str">
        <f aca="false">IF($A390="","",IF(AT390="Y",BQ390&amp;"",BD390&amp;""))</f>
        <v/>
      </c>
      <c r="I390" s="0" t="str">
        <f aca="false">IF($A390="","",IF(R390="Y","warm-intro",IF(H390="verified","email",IF(C390&lt;&gt;"","linkedin",CA390&amp;""))))</f>
        <v/>
      </c>
      <c r="J390" s="0" t="str">
        <f aca="false">IF($A390="","",IF(CK390="pass",ROUND(N(DO390)+N(DP390)+N(DQ390)+N(DR390)+N(DS390)+N(DT390)+N(DU390)+N(DV390),0),0))</f>
        <v/>
      </c>
      <c r="K390" s="0" t="str">
        <f aca="false">IF($A390="","",IF(CK390&lt;&gt;"pass",BY390&amp;"",BY390&amp;", "&amp;IF(AT390="Y",BX390&amp;"",BK390&amp;"")&amp;BZ390&amp;IF(R390="Y","; known to the founder (+10)","")&amp;"."))</f>
        <v/>
      </c>
      <c r="R390" s="5"/>
      <c r="T390" s="5"/>
      <c r="U390" s="5"/>
      <c r="Y390" s="0" t="str">
        <f aca="false">IF(FA390&lt;&gt;"Y","",COUNTIFS($FA$2:$FA$1000,"Y",$J$2:$J$1000,"&gt;"&amp;J390)+COUNTIFS($FA$2:$FA$1000,"Y",$J$2:$J$1000,J390,$FG$2:$FG$1000,"&lt;"&amp;FG390)+1)</f>
        <v/>
      </c>
      <c r="AB390" s="0" t="str">
        <f aca="false">IF($A390="","",IF(AT390="Y",BW390&amp;"",BJ390&amp;""))</f>
        <v/>
      </c>
      <c r="AC390" s="0" t="str">
        <f aca="false">IF($A390="","",IF(AT390="Y",BR390&amp;"",BE390&amp;""))</f>
        <v/>
      </c>
      <c r="AD390" s="0" t="str">
        <f aca="false">IF($A390="","",IF(AT390="Y",BS390&amp;"",BF390&amp;""))</f>
        <v/>
      </c>
      <c r="AE390" s="0" t="str">
        <f aca="false">IF($A390="","",IF(AT390="Y",BT390&amp;"",BG390&amp;""))</f>
        <v/>
      </c>
      <c r="AF390" s="0" t="str">
        <f aca="false">IF($A390="","",IF(AT390="Y",BU390&amp;"",BH390&amp;""))</f>
        <v/>
      </c>
      <c r="AG390" s="0" t="str">
        <f aca="false">IF($A390="","",IF(AT390="Y",BV390&amp;"",BI390&amp;""))</f>
        <v/>
      </c>
      <c r="AO390" s="5"/>
      <c r="AR390" s="0" t="str">
        <f aca="false">IF($A390="","",IF(AND(CK390="pass",AO390&lt;&gt;"Y",C390&lt;&gt;"",OR(AU390&lt;&gt;"Y",AV390="Y")),"Y","N"))</f>
        <v/>
      </c>
      <c r="AS390" s="0" t="str">
        <f aca="false">IF($A390="","",_xlfn.TEXTJOIN("; ",TRUE(),IF(CK390&lt;&gt;"pass","gated out",""),IF(AO390="Y","on hold: "&amp;AP390,""),IF(C390="","no contact named on an opened page",""),IF(AND(AU390="Y",AV390&lt;&gt;"Y"),"founder review pending (Founder review tab)","")))</f>
        <v/>
      </c>
      <c r="BC390" s="0" t="str">
        <f aca="false">IF($A390="","",IFERROR(INDEX(Enrichment!$A$2:$GZ$2000,MATCH($A390,INDEX(Enrichment!$A$2:$GZ$2000,0,MATCH("row_id",Enrichment!$A$1:$GZ$1,0)),0),MATCH("work_email",Enrichment!$A$1:$GZ$1,0))&amp;"",""))</f>
        <v/>
      </c>
      <c r="BD390" s="0" t="str">
        <f aca="false">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P390" s="0" t="str">
        <f aca="false">IF($A390="","",IFERROR(INDEX(Enrichment!$A$2:$GZ$2000,MATCH($A390,INDEX(Enrichment!$A$2:$GZ$2000,0,MATCH("row_id",Enrichment!$A$1:$GZ$1,0)),0),MATCH("backup_work_email",Enrichment!$A$1:$GZ$1,0))&amp;"",""))</f>
        <v/>
      </c>
      <c r="BQ390" s="0" t="str">
        <f aca="false">IF($A390="","",IF(BP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DU390" s="0" t="str">
        <f aca="false">IF($A390="","",IF(R390="Y",10,0))</f>
        <v/>
      </c>
      <c r="EV390" s="0" t="str">
        <f aca="false">IF($A390="","",IF(ISNUMBER(MATCH(U390,{"queued","contacted","replied","call_booked","call_done","yes_in_principle","materials_sent"},0)),"Y","N"))</f>
        <v/>
      </c>
      <c r="EW390" s="0" t="str">
        <f aca="false">IF($A390="","",IF(OR(T390="Y",U390="do_not_contact",AQ390&amp;""&lt;&gt;""),"Y","N"))</f>
        <v/>
      </c>
      <c r="EX390" s="0" t="str">
        <f aca="false">IF($A390="","",IF(AN390&amp;""&lt;&gt;"",AN390&amp;"",$A390))</f>
        <v/>
      </c>
      <c r="EY390" s="0" t="str">
        <f aca="false">IF($A390="","",IF(COUNTIFS($EX$2:$EX$1000,EX390,$EV$2:$EV$1000,"Y")+COUNTIFS($EX$2:$EX$1000,EX390,$EW$2:$EW$1000,"Y")&gt;0,"Y","N"))</f>
        <v/>
      </c>
      <c r="EZ390" s="0" t="str">
        <f aca="false">IF($A390="","",IF(AND(U390="new",T390="N",EW390="N",AR390="Y",EY390="N"),"Y","N"))</f>
        <v/>
      </c>
      <c r="FA390" s="0" t="str">
        <f aca="false">IF($A390="","",IF(EZ390&lt;&gt;"Y","N",IF(COUNTIFS($EX$2:$EX$1000,EX390,$EZ$2:$EZ$1000,"Y",$J$2:$J$1000,"&gt;"&amp;J390)+COUNTIFS($EX$2:$EX$1000,EX390,$EZ$2:$EZ$1000,"Y",$J$2:$J$1000,J390,$FG$2:$FG$1000,"&lt;"&amp;FG390)=0,"Y","N")))</f>
        <v/>
      </c>
      <c r="FB390" s="0" t="str">
        <f aca="false">IF($A390="","",IF(AND(EZ390="Y",FA390="Y",Y390&amp;""&lt;&gt;""),IF(Y390&lt;=10,"Y","N"),"N"))</f>
        <v/>
      </c>
      <c r="FC390" s="0" t="str">
        <f aca="false">IF(FB390="Y",Y390,"")</f>
        <v/>
      </c>
      <c r="FD390" s="0" t="str">
        <f aca="false">IF($A390="","",IF(AND(CK390="pass",AU390="Y",AV390&lt;&gt;"Y",U390="new",EW390="N"),"Y","N"))</f>
        <v/>
      </c>
      <c r="FE390" s="0" t="str">
        <f aca="false">IF(FD390&lt;&gt;"Y","",IF(COUNTIFS($FD$2:$FD$1000,"Y",$J$2:$J$1000,"&gt;"&amp;J390)+COUNTIFS($FD$2:$FD$1000,"Y",$J$2:$J$1000,J390,$FG$2:$FG$1000,"&lt;"&amp;FG390)+1&lt;=30,COUNTIFS($FD$2:$FD$1000,"Y",$J$2:$J$1000,"&gt;"&amp;J390)+COUNTIFS($FD$2:$FD$1000,"Y",$J$2:$J$1000,J390,$FG$2:$FG$1000,"&lt;"&amp;FG390)+1,""))</f>
        <v/>
      </c>
      <c r="FF390" s="0" t="str">
        <f aca="false">IF(AND(_xlfn.ISFORMULA(C390),_xlfn.ISFORMULA(J390)),"Y","N")</f>
        <v>Y</v>
      </c>
      <c r="FG390" s="0" t="n">
        <f aca="false">ROW()-1</f>
        <v>389</v>
      </c>
    </row>
    <row r="391" customFormat="false" ht="15" hidden="false" customHeight="false" outlineLevel="0" collapsed="false">
      <c r="C391" s="0" t="str">
        <f aca="false">IF($A391="","",IF(AT391="Y",BL391&amp;"",AY391&amp;""))</f>
        <v/>
      </c>
      <c r="D391" s="0" t="str">
        <f aca="false">IF($A391="","",IF(AT391="Y",BM391&amp;"",AZ391&amp;""))</f>
        <v/>
      </c>
      <c r="E391" s="0" t="str">
        <f aca="false">IF($A391="","",IF(AT391="Y",BN391&amp;"",BA391&amp;""))</f>
        <v/>
      </c>
      <c r="F391" s="0" t="str">
        <f aca="false">IF($A391="","",IF(AT391="Y",BO391&amp;"",BB391&amp;""))</f>
        <v/>
      </c>
      <c r="G391" s="0" t="str">
        <f aca="false">IF($A391="","",IF(AT391="Y",BP391&amp;"",BC391&amp;""))</f>
        <v/>
      </c>
      <c r="H391" s="0" t="str">
        <f aca="false">IF($A391="","",IF(AT391="Y",BQ391&amp;"",BD391&amp;""))</f>
        <v/>
      </c>
      <c r="I391" s="0" t="str">
        <f aca="false">IF($A391="","",IF(R391="Y","warm-intro",IF(H391="verified","email",IF(C391&lt;&gt;"","linkedin",CA391&amp;""))))</f>
        <v/>
      </c>
      <c r="J391" s="0" t="str">
        <f aca="false">IF($A391="","",IF(CK391="pass",ROUND(N(DO391)+N(DP391)+N(DQ391)+N(DR391)+N(DS391)+N(DT391)+N(DU391)+N(DV391),0),0))</f>
        <v/>
      </c>
      <c r="K391" s="0" t="str">
        <f aca="false">IF($A391="","",IF(CK391&lt;&gt;"pass",BY391&amp;"",BY391&amp;", "&amp;IF(AT391="Y",BX391&amp;"",BK391&amp;"")&amp;BZ391&amp;IF(R391="Y","; known to the founder (+10)","")&amp;"."))</f>
        <v/>
      </c>
      <c r="R391" s="5"/>
      <c r="T391" s="5"/>
      <c r="U391" s="5"/>
      <c r="Y391" s="0" t="str">
        <f aca="false">IF(FA391&lt;&gt;"Y","",COUNTIFS($FA$2:$FA$1000,"Y",$J$2:$J$1000,"&gt;"&amp;J391)+COUNTIFS($FA$2:$FA$1000,"Y",$J$2:$J$1000,J391,$FG$2:$FG$1000,"&lt;"&amp;FG391)+1)</f>
        <v/>
      </c>
      <c r="AB391" s="0" t="str">
        <f aca="false">IF($A391="","",IF(AT391="Y",BW391&amp;"",BJ391&amp;""))</f>
        <v/>
      </c>
      <c r="AC391" s="0" t="str">
        <f aca="false">IF($A391="","",IF(AT391="Y",BR391&amp;"",BE391&amp;""))</f>
        <v/>
      </c>
      <c r="AD391" s="0" t="str">
        <f aca="false">IF($A391="","",IF(AT391="Y",BS391&amp;"",BF391&amp;""))</f>
        <v/>
      </c>
      <c r="AE391" s="0" t="str">
        <f aca="false">IF($A391="","",IF(AT391="Y",BT391&amp;"",BG391&amp;""))</f>
        <v/>
      </c>
      <c r="AF391" s="0" t="str">
        <f aca="false">IF($A391="","",IF(AT391="Y",BU391&amp;"",BH391&amp;""))</f>
        <v/>
      </c>
      <c r="AG391" s="0" t="str">
        <f aca="false">IF($A391="","",IF(AT391="Y",BV391&amp;"",BI391&amp;""))</f>
        <v/>
      </c>
      <c r="AO391" s="5"/>
      <c r="AR391" s="0" t="str">
        <f aca="false">IF($A391="","",IF(AND(CK391="pass",AO391&lt;&gt;"Y",C391&lt;&gt;"",OR(AU391&lt;&gt;"Y",AV391="Y")),"Y","N"))</f>
        <v/>
      </c>
      <c r="AS391" s="0" t="str">
        <f aca="false">IF($A391="","",_xlfn.TEXTJOIN("; ",TRUE(),IF(CK391&lt;&gt;"pass","gated out",""),IF(AO391="Y","on hold: "&amp;AP391,""),IF(C391="","no contact named on an opened page",""),IF(AND(AU391="Y",AV391&lt;&gt;"Y"),"founder review pending (Founder review tab)","")))</f>
        <v/>
      </c>
      <c r="BC391" s="0" t="str">
        <f aca="false">IF($A391="","",IFERROR(INDEX(Enrichment!$A$2:$GZ$2000,MATCH($A391,INDEX(Enrichment!$A$2:$GZ$2000,0,MATCH("row_id",Enrichment!$A$1:$GZ$1,0)),0),MATCH("work_email",Enrichment!$A$1:$GZ$1,0))&amp;"",""))</f>
        <v/>
      </c>
      <c r="BD391" s="0" t="str">
        <f aca="false">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P391" s="0" t="str">
        <f aca="false">IF($A391="","",IFERROR(INDEX(Enrichment!$A$2:$GZ$2000,MATCH($A391,INDEX(Enrichment!$A$2:$GZ$2000,0,MATCH("row_id",Enrichment!$A$1:$GZ$1,0)),0),MATCH("backup_work_email",Enrichment!$A$1:$GZ$1,0))&amp;"",""))</f>
        <v/>
      </c>
      <c r="BQ391" s="0" t="str">
        <f aca="false">IF($A391="","",IF(BP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DU391" s="0" t="str">
        <f aca="false">IF($A391="","",IF(R391="Y",10,0))</f>
        <v/>
      </c>
      <c r="EV391" s="0" t="str">
        <f aca="false">IF($A391="","",IF(ISNUMBER(MATCH(U391,{"queued","contacted","replied","call_booked","call_done","yes_in_principle","materials_sent"},0)),"Y","N"))</f>
        <v/>
      </c>
      <c r="EW391" s="0" t="str">
        <f aca="false">IF($A391="","",IF(OR(T391="Y",U391="do_not_contact",AQ391&amp;""&lt;&gt;""),"Y","N"))</f>
        <v/>
      </c>
      <c r="EX391" s="0" t="str">
        <f aca="false">IF($A391="","",IF(AN391&amp;""&lt;&gt;"",AN391&amp;"",$A391))</f>
        <v/>
      </c>
      <c r="EY391" s="0" t="str">
        <f aca="false">IF($A391="","",IF(COUNTIFS($EX$2:$EX$1000,EX391,$EV$2:$EV$1000,"Y")+COUNTIFS($EX$2:$EX$1000,EX391,$EW$2:$EW$1000,"Y")&gt;0,"Y","N"))</f>
        <v/>
      </c>
      <c r="EZ391" s="0" t="str">
        <f aca="false">IF($A391="","",IF(AND(U391="new",T391="N",EW391="N",AR391="Y",EY391="N"),"Y","N"))</f>
        <v/>
      </c>
      <c r="FA391" s="0" t="str">
        <f aca="false">IF($A391="","",IF(EZ391&lt;&gt;"Y","N",IF(COUNTIFS($EX$2:$EX$1000,EX391,$EZ$2:$EZ$1000,"Y",$J$2:$J$1000,"&gt;"&amp;J391)+COUNTIFS($EX$2:$EX$1000,EX391,$EZ$2:$EZ$1000,"Y",$J$2:$J$1000,J391,$FG$2:$FG$1000,"&lt;"&amp;FG391)=0,"Y","N")))</f>
        <v/>
      </c>
      <c r="FB391" s="0" t="str">
        <f aca="false">IF($A391="","",IF(AND(EZ391="Y",FA391="Y",Y391&amp;""&lt;&gt;""),IF(Y391&lt;=10,"Y","N"),"N"))</f>
        <v/>
      </c>
      <c r="FC391" s="0" t="str">
        <f aca="false">IF(FB391="Y",Y391,"")</f>
        <v/>
      </c>
      <c r="FD391" s="0" t="str">
        <f aca="false">IF($A391="","",IF(AND(CK391="pass",AU391="Y",AV391&lt;&gt;"Y",U391="new",EW391="N"),"Y","N"))</f>
        <v/>
      </c>
      <c r="FE391" s="0" t="str">
        <f aca="false">IF(FD391&lt;&gt;"Y","",IF(COUNTIFS($FD$2:$FD$1000,"Y",$J$2:$J$1000,"&gt;"&amp;J391)+COUNTIFS($FD$2:$FD$1000,"Y",$J$2:$J$1000,J391,$FG$2:$FG$1000,"&lt;"&amp;FG391)+1&lt;=30,COUNTIFS($FD$2:$FD$1000,"Y",$J$2:$J$1000,"&gt;"&amp;J391)+COUNTIFS($FD$2:$FD$1000,"Y",$J$2:$J$1000,J391,$FG$2:$FG$1000,"&lt;"&amp;FG391)+1,""))</f>
        <v/>
      </c>
      <c r="FF391" s="0" t="str">
        <f aca="false">IF(AND(_xlfn.ISFORMULA(C391),_xlfn.ISFORMULA(J391)),"Y","N")</f>
        <v>Y</v>
      </c>
      <c r="FG391" s="0" t="n">
        <f aca="false">ROW()-1</f>
        <v>390</v>
      </c>
    </row>
    <row r="392" customFormat="false" ht="15" hidden="false" customHeight="false" outlineLevel="0" collapsed="false">
      <c r="C392" s="0" t="str">
        <f aca="false">IF($A392="","",IF(AT392="Y",BL392&amp;"",AY392&amp;""))</f>
        <v/>
      </c>
      <c r="D392" s="0" t="str">
        <f aca="false">IF($A392="","",IF(AT392="Y",BM392&amp;"",AZ392&amp;""))</f>
        <v/>
      </c>
      <c r="E392" s="0" t="str">
        <f aca="false">IF($A392="","",IF(AT392="Y",BN392&amp;"",BA392&amp;""))</f>
        <v/>
      </c>
      <c r="F392" s="0" t="str">
        <f aca="false">IF($A392="","",IF(AT392="Y",BO392&amp;"",BB392&amp;""))</f>
        <v/>
      </c>
      <c r="G392" s="0" t="str">
        <f aca="false">IF($A392="","",IF(AT392="Y",BP392&amp;"",BC392&amp;""))</f>
        <v/>
      </c>
      <c r="H392" s="0" t="str">
        <f aca="false">IF($A392="","",IF(AT392="Y",BQ392&amp;"",BD392&amp;""))</f>
        <v/>
      </c>
      <c r="I392" s="0" t="str">
        <f aca="false">IF($A392="","",IF(R392="Y","warm-intro",IF(H392="verified","email",IF(C392&lt;&gt;"","linkedin",CA392&amp;""))))</f>
        <v/>
      </c>
      <c r="J392" s="0" t="str">
        <f aca="false">IF($A392="","",IF(CK392="pass",ROUND(N(DO392)+N(DP392)+N(DQ392)+N(DR392)+N(DS392)+N(DT392)+N(DU392)+N(DV392),0),0))</f>
        <v/>
      </c>
      <c r="K392" s="0" t="str">
        <f aca="false">IF($A392="","",IF(CK392&lt;&gt;"pass",BY392&amp;"",BY392&amp;", "&amp;IF(AT392="Y",BX392&amp;"",BK392&amp;"")&amp;BZ392&amp;IF(R392="Y","; known to the founder (+10)","")&amp;"."))</f>
        <v/>
      </c>
      <c r="R392" s="5"/>
      <c r="T392" s="5"/>
      <c r="U392" s="5"/>
      <c r="Y392" s="0" t="str">
        <f aca="false">IF(FA392&lt;&gt;"Y","",COUNTIFS($FA$2:$FA$1000,"Y",$J$2:$J$1000,"&gt;"&amp;J392)+COUNTIFS($FA$2:$FA$1000,"Y",$J$2:$J$1000,J392,$FG$2:$FG$1000,"&lt;"&amp;FG392)+1)</f>
        <v/>
      </c>
      <c r="AB392" s="0" t="str">
        <f aca="false">IF($A392="","",IF(AT392="Y",BW392&amp;"",BJ392&amp;""))</f>
        <v/>
      </c>
      <c r="AC392" s="0" t="str">
        <f aca="false">IF($A392="","",IF(AT392="Y",BR392&amp;"",BE392&amp;""))</f>
        <v/>
      </c>
      <c r="AD392" s="0" t="str">
        <f aca="false">IF($A392="","",IF(AT392="Y",BS392&amp;"",BF392&amp;""))</f>
        <v/>
      </c>
      <c r="AE392" s="0" t="str">
        <f aca="false">IF($A392="","",IF(AT392="Y",BT392&amp;"",BG392&amp;""))</f>
        <v/>
      </c>
      <c r="AF392" s="0" t="str">
        <f aca="false">IF($A392="","",IF(AT392="Y",BU392&amp;"",BH392&amp;""))</f>
        <v/>
      </c>
      <c r="AG392" s="0" t="str">
        <f aca="false">IF($A392="","",IF(AT392="Y",BV392&amp;"",BI392&amp;""))</f>
        <v/>
      </c>
      <c r="AO392" s="5"/>
      <c r="AR392" s="0" t="str">
        <f aca="false">IF($A392="","",IF(AND(CK392="pass",AO392&lt;&gt;"Y",C392&lt;&gt;"",OR(AU392&lt;&gt;"Y",AV392="Y")),"Y","N"))</f>
        <v/>
      </c>
      <c r="AS392" s="0" t="str">
        <f aca="false">IF($A392="","",_xlfn.TEXTJOIN("; ",TRUE(),IF(CK392&lt;&gt;"pass","gated out",""),IF(AO392="Y","on hold: "&amp;AP392,""),IF(C392="","no contact named on an opened page",""),IF(AND(AU392="Y",AV392&lt;&gt;"Y"),"founder review pending (Founder review tab)","")))</f>
        <v/>
      </c>
      <c r="BC392" s="0" t="str">
        <f aca="false">IF($A392="","",IFERROR(INDEX(Enrichment!$A$2:$GZ$2000,MATCH($A392,INDEX(Enrichment!$A$2:$GZ$2000,0,MATCH("row_id",Enrichment!$A$1:$GZ$1,0)),0),MATCH("work_email",Enrichment!$A$1:$GZ$1,0))&amp;"",""))</f>
        <v/>
      </c>
      <c r="BD392" s="0" t="str">
        <f aca="false">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P392" s="0" t="str">
        <f aca="false">IF($A392="","",IFERROR(INDEX(Enrichment!$A$2:$GZ$2000,MATCH($A392,INDEX(Enrichment!$A$2:$GZ$2000,0,MATCH("row_id",Enrichment!$A$1:$GZ$1,0)),0),MATCH("backup_work_email",Enrichment!$A$1:$GZ$1,0))&amp;"",""))</f>
        <v/>
      </c>
      <c r="BQ392" s="0" t="str">
        <f aca="false">IF($A392="","",IF(BP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DU392" s="0" t="str">
        <f aca="false">IF($A392="","",IF(R392="Y",10,0))</f>
        <v/>
      </c>
      <c r="EV392" s="0" t="str">
        <f aca="false">IF($A392="","",IF(ISNUMBER(MATCH(U392,{"queued","contacted","replied","call_booked","call_done","yes_in_principle","materials_sent"},0)),"Y","N"))</f>
        <v/>
      </c>
      <c r="EW392" s="0" t="str">
        <f aca="false">IF($A392="","",IF(OR(T392="Y",U392="do_not_contact",AQ392&amp;""&lt;&gt;""),"Y","N"))</f>
        <v/>
      </c>
      <c r="EX392" s="0" t="str">
        <f aca="false">IF($A392="","",IF(AN392&amp;""&lt;&gt;"",AN392&amp;"",$A392))</f>
        <v/>
      </c>
      <c r="EY392" s="0" t="str">
        <f aca="false">IF($A392="","",IF(COUNTIFS($EX$2:$EX$1000,EX392,$EV$2:$EV$1000,"Y")+COUNTIFS($EX$2:$EX$1000,EX392,$EW$2:$EW$1000,"Y")&gt;0,"Y","N"))</f>
        <v/>
      </c>
      <c r="EZ392" s="0" t="str">
        <f aca="false">IF($A392="","",IF(AND(U392="new",T392="N",EW392="N",AR392="Y",EY392="N"),"Y","N"))</f>
        <v/>
      </c>
      <c r="FA392" s="0" t="str">
        <f aca="false">IF($A392="","",IF(EZ392&lt;&gt;"Y","N",IF(COUNTIFS($EX$2:$EX$1000,EX392,$EZ$2:$EZ$1000,"Y",$J$2:$J$1000,"&gt;"&amp;J392)+COUNTIFS($EX$2:$EX$1000,EX392,$EZ$2:$EZ$1000,"Y",$J$2:$J$1000,J392,$FG$2:$FG$1000,"&lt;"&amp;FG392)=0,"Y","N")))</f>
        <v/>
      </c>
      <c r="FB392" s="0" t="str">
        <f aca="false">IF($A392="","",IF(AND(EZ392="Y",FA392="Y",Y392&amp;""&lt;&gt;""),IF(Y392&lt;=10,"Y","N"),"N"))</f>
        <v/>
      </c>
      <c r="FC392" s="0" t="str">
        <f aca="false">IF(FB392="Y",Y392,"")</f>
        <v/>
      </c>
      <c r="FD392" s="0" t="str">
        <f aca="false">IF($A392="","",IF(AND(CK392="pass",AU392="Y",AV392&lt;&gt;"Y",U392="new",EW392="N"),"Y","N"))</f>
        <v/>
      </c>
      <c r="FE392" s="0" t="str">
        <f aca="false">IF(FD392&lt;&gt;"Y","",IF(COUNTIFS($FD$2:$FD$1000,"Y",$J$2:$J$1000,"&gt;"&amp;J392)+COUNTIFS($FD$2:$FD$1000,"Y",$J$2:$J$1000,J392,$FG$2:$FG$1000,"&lt;"&amp;FG392)+1&lt;=30,COUNTIFS($FD$2:$FD$1000,"Y",$J$2:$J$1000,"&gt;"&amp;J392)+COUNTIFS($FD$2:$FD$1000,"Y",$J$2:$J$1000,J392,$FG$2:$FG$1000,"&lt;"&amp;FG392)+1,""))</f>
        <v/>
      </c>
      <c r="FF392" s="0" t="str">
        <f aca="false">IF(AND(_xlfn.ISFORMULA(C392),_xlfn.ISFORMULA(J392)),"Y","N")</f>
        <v>Y</v>
      </c>
      <c r="FG392" s="0" t="n">
        <f aca="false">ROW()-1</f>
        <v>391</v>
      </c>
    </row>
    <row r="393" customFormat="false" ht="15" hidden="false" customHeight="false" outlineLevel="0" collapsed="false">
      <c r="C393" s="0" t="str">
        <f aca="false">IF($A393="","",IF(AT393="Y",BL393&amp;"",AY393&amp;""))</f>
        <v/>
      </c>
      <c r="D393" s="0" t="str">
        <f aca="false">IF($A393="","",IF(AT393="Y",BM393&amp;"",AZ393&amp;""))</f>
        <v/>
      </c>
      <c r="E393" s="0" t="str">
        <f aca="false">IF($A393="","",IF(AT393="Y",BN393&amp;"",BA393&amp;""))</f>
        <v/>
      </c>
      <c r="F393" s="0" t="str">
        <f aca="false">IF($A393="","",IF(AT393="Y",BO393&amp;"",BB393&amp;""))</f>
        <v/>
      </c>
      <c r="G393" s="0" t="str">
        <f aca="false">IF($A393="","",IF(AT393="Y",BP393&amp;"",BC393&amp;""))</f>
        <v/>
      </c>
      <c r="H393" s="0" t="str">
        <f aca="false">IF($A393="","",IF(AT393="Y",BQ393&amp;"",BD393&amp;""))</f>
        <v/>
      </c>
      <c r="I393" s="0" t="str">
        <f aca="false">IF($A393="","",IF(R393="Y","warm-intro",IF(H393="verified","email",IF(C393&lt;&gt;"","linkedin",CA393&amp;""))))</f>
        <v/>
      </c>
      <c r="J393" s="0" t="str">
        <f aca="false">IF($A393="","",IF(CK393="pass",ROUND(N(DO393)+N(DP393)+N(DQ393)+N(DR393)+N(DS393)+N(DT393)+N(DU393)+N(DV393),0),0))</f>
        <v/>
      </c>
      <c r="K393" s="0" t="str">
        <f aca="false">IF($A393="","",IF(CK393&lt;&gt;"pass",BY393&amp;"",BY393&amp;", "&amp;IF(AT393="Y",BX393&amp;"",BK393&amp;"")&amp;BZ393&amp;IF(R393="Y","; known to the founder (+10)","")&amp;"."))</f>
        <v/>
      </c>
      <c r="R393" s="5"/>
      <c r="T393" s="5"/>
      <c r="U393" s="5"/>
      <c r="Y393" s="0" t="str">
        <f aca="false">IF(FA393&lt;&gt;"Y","",COUNTIFS($FA$2:$FA$1000,"Y",$J$2:$J$1000,"&gt;"&amp;J393)+COUNTIFS($FA$2:$FA$1000,"Y",$J$2:$J$1000,J393,$FG$2:$FG$1000,"&lt;"&amp;FG393)+1)</f>
        <v/>
      </c>
      <c r="AB393" s="0" t="str">
        <f aca="false">IF($A393="","",IF(AT393="Y",BW393&amp;"",BJ393&amp;""))</f>
        <v/>
      </c>
      <c r="AC393" s="0" t="str">
        <f aca="false">IF($A393="","",IF(AT393="Y",BR393&amp;"",BE393&amp;""))</f>
        <v/>
      </c>
      <c r="AD393" s="0" t="str">
        <f aca="false">IF($A393="","",IF(AT393="Y",BS393&amp;"",BF393&amp;""))</f>
        <v/>
      </c>
      <c r="AE393" s="0" t="str">
        <f aca="false">IF($A393="","",IF(AT393="Y",BT393&amp;"",BG393&amp;""))</f>
        <v/>
      </c>
      <c r="AF393" s="0" t="str">
        <f aca="false">IF($A393="","",IF(AT393="Y",BU393&amp;"",BH393&amp;""))</f>
        <v/>
      </c>
      <c r="AG393" s="0" t="str">
        <f aca="false">IF($A393="","",IF(AT393="Y",BV393&amp;"",BI393&amp;""))</f>
        <v/>
      </c>
      <c r="AO393" s="5"/>
      <c r="AR393" s="0" t="str">
        <f aca="false">IF($A393="","",IF(AND(CK393="pass",AO393&lt;&gt;"Y",C393&lt;&gt;"",OR(AU393&lt;&gt;"Y",AV393="Y")),"Y","N"))</f>
        <v/>
      </c>
      <c r="AS393" s="0" t="str">
        <f aca="false">IF($A393="","",_xlfn.TEXTJOIN("; ",TRUE(),IF(CK393&lt;&gt;"pass","gated out",""),IF(AO393="Y","on hold: "&amp;AP393,""),IF(C393="","no contact named on an opened page",""),IF(AND(AU393="Y",AV393&lt;&gt;"Y"),"founder review pending (Founder review tab)","")))</f>
        <v/>
      </c>
      <c r="BC393" s="0" t="str">
        <f aca="false">IF($A393="","",IFERROR(INDEX(Enrichment!$A$2:$GZ$2000,MATCH($A393,INDEX(Enrichment!$A$2:$GZ$2000,0,MATCH("row_id",Enrichment!$A$1:$GZ$1,0)),0),MATCH("work_email",Enrichment!$A$1:$GZ$1,0))&amp;"",""))</f>
        <v/>
      </c>
      <c r="BD393" s="0" t="str">
        <f aca="false">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P393" s="0" t="str">
        <f aca="false">IF($A393="","",IFERROR(INDEX(Enrichment!$A$2:$GZ$2000,MATCH($A393,INDEX(Enrichment!$A$2:$GZ$2000,0,MATCH("row_id",Enrichment!$A$1:$GZ$1,0)),0),MATCH("backup_work_email",Enrichment!$A$1:$GZ$1,0))&amp;"",""))</f>
        <v/>
      </c>
      <c r="BQ393" s="0" t="str">
        <f aca="false">IF($A393="","",IF(BP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DU393" s="0" t="str">
        <f aca="false">IF($A393="","",IF(R393="Y",10,0))</f>
        <v/>
      </c>
      <c r="EV393" s="0" t="str">
        <f aca="false">IF($A393="","",IF(ISNUMBER(MATCH(U393,{"queued","contacted","replied","call_booked","call_done","yes_in_principle","materials_sent"},0)),"Y","N"))</f>
        <v/>
      </c>
      <c r="EW393" s="0" t="str">
        <f aca="false">IF($A393="","",IF(OR(T393="Y",U393="do_not_contact",AQ393&amp;""&lt;&gt;""),"Y","N"))</f>
        <v/>
      </c>
      <c r="EX393" s="0" t="str">
        <f aca="false">IF($A393="","",IF(AN393&amp;""&lt;&gt;"",AN393&amp;"",$A393))</f>
        <v/>
      </c>
      <c r="EY393" s="0" t="str">
        <f aca="false">IF($A393="","",IF(COUNTIFS($EX$2:$EX$1000,EX393,$EV$2:$EV$1000,"Y")+COUNTIFS($EX$2:$EX$1000,EX393,$EW$2:$EW$1000,"Y")&gt;0,"Y","N"))</f>
        <v/>
      </c>
      <c r="EZ393" s="0" t="str">
        <f aca="false">IF($A393="","",IF(AND(U393="new",T393="N",EW393="N",AR393="Y",EY393="N"),"Y","N"))</f>
        <v/>
      </c>
      <c r="FA393" s="0" t="str">
        <f aca="false">IF($A393="","",IF(EZ393&lt;&gt;"Y","N",IF(COUNTIFS($EX$2:$EX$1000,EX393,$EZ$2:$EZ$1000,"Y",$J$2:$J$1000,"&gt;"&amp;J393)+COUNTIFS($EX$2:$EX$1000,EX393,$EZ$2:$EZ$1000,"Y",$J$2:$J$1000,J393,$FG$2:$FG$1000,"&lt;"&amp;FG393)=0,"Y","N")))</f>
        <v/>
      </c>
      <c r="FB393" s="0" t="str">
        <f aca="false">IF($A393="","",IF(AND(EZ393="Y",FA393="Y",Y393&amp;""&lt;&gt;""),IF(Y393&lt;=10,"Y","N"),"N"))</f>
        <v/>
      </c>
      <c r="FC393" s="0" t="str">
        <f aca="false">IF(FB393="Y",Y393,"")</f>
        <v/>
      </c>
      <c r="FD393" s="0" t="str">
        <f aca="false">IF($A393="","",IF(AND(CK393="pass",AU393="Y",AV393&lt;&gt;"Y",U393="new",EW393="N"),"Y","N"))</f>
        <v/>
      </c>
      <c r="FE393" s="0" t="str">
        <f aca="false">IF(FD393&lt;&gt;"Y","",IF(COUNTIFS($FD$2:$FD$1000,"Y",$J$2:$J$1000,"&gt;"&amp;J393)+COUNTIFS($FD$2:$FD$1000,"Y",$J$2:$J$1000,J393,$FG$2:$FG$1000,"&lt;"&amp;FG393)+1&lt;=30,COUNTIFS($FD$2:$FD$1000,"Y",$J$2:$J$1000,"&gt;"&amp;J393)+COUNTIFS($FD$2:$FD$1000,"Y",$J$2:$J$1000,J393,$FG$2:$FG$1000,"&lt;"&amp;FG393)+1,""))</f>
        <v/>
      </c>
      <c r="FF393" s="0" t="str">
        <f aca="false">IF(AND(_xlfn.ISFORMULA(C393),_xlfn.ISFORMULA(J393)),"Y","N")</f>
        <v>Y</v>
      </c>
      <c r="FG393" s="0" t="n">
        <f aca="false">ROW()-1</f>
        <v>392</v>
      </c>
    </row>
    <row r="394" customFormat="false" ht="15" hidden="false" customHeight="false" outlineLevel="0" collapsed="false">
      <c r="C394" s="0" t="str">
        <f aca="false">IF($A394="","",IF(AT394="Y",BL394&amp;"",AY394&amp;""))</f>
        <v/>
      </c>
      <c r="D394" s="0" t="str">
        <f aca="false">IF($A394="","",IF(AT394="Y",BM394&amp;"",AZ394&amp;""))</f>
        <v/>
      </c>
      <c r="E394" s="0" t="str">
        <f aca="false">IF($A394="","",IF(AT394="Y",BN394&amp;"",BA394&amp;""))</f>
        <v/>
      </c>
      <c r="F394" s="0" t="str">
        <f aca="false">IF($A394="","",IF(AT394="Y",BO394&amp;"",BB394&amp;""))</f>
        <v/>
      </c>
      <c r="G394" s="0" t="str">
        <f aca="false">IF($A394="","",IF(AT394="Y",BP394&amp;"",BC394&amp;""))</f>
        <v/>
      </c>
      <c r="H394" s="0" t="str">
        <f aca="false">IF($A394="","",IF(AT394="Y",BQ394&amp;"",BD394&amp;""))</f>
        <v/>
      </c>
      <c r="I394" s="0" t="str">
        <f aca="false">IF($A394="","",IF(R394="Y","warm-intro",IF(H394="verified","email",IF(C394&lt;&gt;"","linkedin",CA394&amp;""))))</f>
        <v/>
      </c>
      <c r="J394" s="0" t="str">
        <f aca="false">IF($A394="","",IF(CK394="pass",ROUND(N(DO394)+N(DP394)+N(DQ394)+N(DR394)+N(DS394)+N(DT394)+N(DU394)+N(DV394),0),0))</f>
        <v/>
      </c>
      <c r="K394" s="0" t="str">
        <f aca="false">IF($A394="","",IF(CK394&lt;&gt;"pass",BY394&amp;"",BY394&amp;", "&amp;IF(AT394="Y",BX394&amp;"",BK394&amp;"")&amp;BZ394&amp;IF(R394="Y","; known to the founder (+10)","")&amp;"."))</f>
        <v/>
      </c>
      <c r="R394" s="5"/>
      <c r="T394" s="5"/>
      <c r="U394" s="5"/>
      <c r="Y394" s="0" t="str">
        <f aca="false">IF(FA394&lt;&gt;"Y","",COUNTIFS($FA$2:$FA$1000,"Y",$J$2:$J$1000,"&gt;"&amp;J394)+COUNTIFS($FA$2:$FA$1000,"Y",$J$2:$J$1000,J394,$FG$2:$FG$1000,"&lt;"&amp;FG394)+1)</f>
        <v/>
      </c>
      <c r="AB394" s="0" t="str">
        <f aca="false">IF($A394="","",IF(AT394="Y",BW394&amp;"",BJ394&amp;""))</f>
        <v/>
      </c>
      <c r="AC394" s="0" t="str">
        <f aca="false">IF($A394="","",IF(AT394="Y",BR394&amp;"",BE394&amp;""))</f>
        <v/>
      </c>
      <c r="AD394" s="0" t="str">
        <f aca="false">IF($A394="","",IF(AT394="Y",BS394&amp;"",BF394&amp;""))</f>
        <v/>
      </c>
      <c r="AE394" s="0" t="str">
        <f aca="false">IF($A394="","",IF(AT394="Y",BT394&amp;"",BG394&amp;""))</f>
        <v/>
      </c>
      <c r="AF394" s="0" t="str">
        <f aca="false">IF($A394="","",IF(AT394="Y",BU394&amp;"",BH394&amp;""))</f>
        <v/>
      </c>
      <c r="AG394" s="0" t="str">
        <f aca="false">IF($A394="","",IF(AT394="Y",BV394&amp;"",BI394&amp;""))</f>
        <v/>
      </c>
      <c r="AO394" s="5"/>
      <c r="AR394" s="0" t="str">
        <f aca="false">IF($A394="","",IF(AND(CK394="pass",AO394&lt;&gt;"Y",C394&lt;&gt;"",OR(AU394&lt;&gt;"Y",AV394="Y")),"Y","N"))</f>
        <v/>
      </c>
      <c r="AS394" s="0" t="str">
        <f aca="false">IF($A394="","",_xlfn.TEXTJOIN("; ",TRUE(),IF(CK394&lt;&gt;"pass","gated out",""),IF(AO394="Y","on hold: "&amp;AP394,""),IF(C394="","no contact named on an opened page",""),IF(AND(AU394="Y",AV394&lt;&gt;"Y"),"founder review pending (Founder review tab)","")))</f>
        <v/>
      </c>
      <c r="BC394" s="0" t="str">
        <f aca="false">IF($A394="","",IFERROR(INDEX(Enrichment!$A$2:$GZ$2000,MATCH($A394,INDEX(Enrichment!$A$2:$GZ$2000,0,MATCH("row_id",Enrichment!$A$1:$GZ$1,0)),0),MATCH("work_email",Enrichment!$A$1:$GZ$1,0))&amp;"",""))</f>
        <v/>
      </c>
      <c r="BD394" s="0" t="str">
        <f aca="false">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P394" s="0" t="str">
        <f aca="false">IF($A394="","",IFERROR(INDEX(Enrichment!$A$2:$GZ$2000,MATCH($A394,INDEX(Enrichment!$A$2:$GZ$2000,0,MATCH("row_id",Enrichment!$A$1:$GZ$1,0)),0),MATCH("backup_work_email",Enrichment!$A$1:$GZ$1,0))&amp;"",""))</f>
        <v/>
      </c>
      <c r="BQ394" s="0" t="str">
        <f aca="false">IF($A394="","",IF(BP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DU394" s="0" t="str">
        <f aca="false">IF($A394="","",IF(R394="Y",10,0))</f>
        <v/>
      </c>
      <c r="EV394" s="0" t="str">
        <f aca="false">IF($A394="","",IF(ISNUMBER(MATCH(U394,{"queued","contacted","replied","call_booked","call_done","yes_in_principle","materials_sent"},0)),"Y","N"))</f>
        <v/>
      </c>
      <c r="EW394" s="0" t="str">
        <f aca="false">IF($A394="","",IF(OR(T394="Y",U394="do_not_contact",AQ394&amp;""&lt;&gt;""),"Y","N"))</f>
        <v/>
      </c>
      <c r="EX394" s="0" t="str">
        <f aca="false">IF($A394="","",IF(AN394&amp;""&lt;&gt;"",AN394&amp;"",$A394))</f>
        <v/>
      </c>
      <c r="EY394" s="0" t="str">
        <f aca="false">IF($A394="","",IF(COUNTIFS($EX$2:$EX$1000,EX394,$EV$2:$EV$1000,"Y")+COUNTIFS($EX$2:$EX$1000,EX394,$EW$2:$EW$1000,"Y")&gt;0,"Y","N"))</f>
        <v/>
      </c>
      <c r="EZ394" s="0" t="str">
        <f aca="false">IF($A394="","",IF(AND(U394="new",T394="N",EW394="N",AR394="Y",EY394="N"),"Y","N"))</f>
        <v/>
      </c>
      <c r="FA394" s="0" t="str">
        <f aca="false">IF($A394="","",IF(EZ394&lt;&gt;"Y","N",IF(COUNTIFS($EX$2:$EX$1000,EX394,$EZ$2:$EZ$1000,"Y",$J$2:$J$1000,"&gt;"&amp;J394)+COUNTIFS($EX$2:$EX$1000,EX394,$EZ$2:$EZ$1000,"Y",$J$2:$J$1000,J394,$FG$2:$FG$1000,"&lt;"&amp;FG394)=0,"Y","N")))</f>
        <v/>
      </c>
      <c r="FB394" s="0" t="str">
        <f aca="false">IF($A394="","",IF(AND(EZ394="Y",FA394="Y",Y394&amp;""&lt;&gt;""),IF(Y394&lt;=10,"Y","N"),"N"))</f>
        <v/>
      </c>
      <c r="FC394" s="0" t="str">
        <f aca="false">IF(FB394="Y",Y394,"")</f>
        <v/>
      </c>
      <c r="FD394" s="0" t="str">
        <f aca="false">IF($A394="","",IF(AND(CK394="pass",AU394="Y",AV394&lt;&gt;"Y",U394="new",EW394="N"),"Y","N"))</f>
        <v/>
      </c>
      <c r="FE394" s="0" t="str">
        <f aca="false">IF(FD394&lt;&gt;"Y","",IF(COUNTIFS($FD$2:$FD$1000,"Y",$J$2:$J$1000,"&gt;"&amp;J394)+COUNTIFS($FD$2:$FD$1000,"Y",$J$2:$J$1000,J394,$FG$2:$FG$1000,"&lt;"&amp;FG394)+1&lt;=30,COUNTIFS($FD$2:$FD$1000,"Y",$J$2:$J$1000,"&gt;"&amp;J394)+COUNTIFS($FD$2:$FD$1000,"Y",$J$2:$J$1000,J394,$FG$2:$FG$1000,"&lt;"&amp;FG394)+1,""))</f>
        <v/>
      </c>
      <c r="FF394" s="0" t="str">
        <f aca="false">IF(AND(_xlfn.ISFORMULA(C394),_xlfn.ISFORMULA(J394)),"Y","N")</f>
        <v>Y</v>
      </c>
      <c r="FG394" s="0" t="n">
        <f aca="false">ROW()-1</f>
        <v>393</v>
      </c>
    </row>
    <row r="395" customFormat="false" ht="15" hidden="false" customHeight="false" outlineLevel="0" collapsed="false">
      <c r="C395" s="0" t="str">
        <f aca="false">IF($A395="","",IF(AT395="Y",BL395&amp;"",AY395&amp;""))</f>
        <v/>
      </c>
      <c r="D395" s="0" t="str">
        <f aca="false">IF($A395="","",IF(AT395="Y",BM395&amp;"",AZ395&amp;""))</f>
        <v/>
      </c>
      <c r="E395" s="0" t="str">
        <f aca="false">IF($A395="","",IF(AT395="Y",BN395&amp;"",BA395&amp;""))</f>
        <v/>
      </c>
      <c r="F395" s="0" t="str">
        <f aca="false">IF($A395="","",IF(AT395="Y",BO395&amp;"",BB395&amp;""))</f>
        <v/>
      </c>
      <c r="G395" s="0" t="str">
        <f aca="false">IF($A395="","",IF(AT395="Y",BP395&amp;"",BC395&amp;""))</f>
        <v/>
      </c>
      <c r="H395" s="0" t="str">
        <f aca="false">IF($A395="","",IF(AT395="Y",BQ395&amp;"",BD395&amp;""))</f>
        <v/>
      </c>
      <c r="I395" s="0" t="str">
        <f aca="false">IF($A395="","",IF(R395="Y","warm-intro",IF(H395="verified","email",IF(C395&lt;&gt;"","linkedin",CA395&amp;""))))</f>
        <v/>
      </c>
      <c r="J395" s="0" t="str">
        <f aca="false">IF($A395="","",IF(CK395="pass",ROUND(N(DO395)+N(DP395)+N(DQ395)+N(DR395)+N(DS395)+N(DT395)+N(DU395)+N(DV395),0),0))</f>
        <v/>
      </c>
      <c r="K395" s="0" t="str">
        <f aca="false">IF($A395="","",IF(CK395&lt;&gt;"pass",BY395&amp;"",BY395&amp;", "&amp;IF(AT395="Y",BX395&amp;"",BK395&amp;"")&amp;BZ395&amp;IF(R395="Y","; known to the founder (+10)","")&amp;"."))</f>
        <v/>
      </c>
      <c r="R395" s="5"/>
      <c r="T395" s="5"/>
      <c r="U395" s="5"/>
      <c r="Y395" s="0" t="str">
        <f aca="false">IF(FA395&lt;&gt;"Y","",COUNTIFS($FA$2:$FA$1000,"Y",$J$2:$J$1000,"&gt;"&amp;J395)+COUNTIFS($FA$2:$FA$1000,"Y",$J$2:$J$1000,J395,$FG$2:$FG$1000,"&lt;"&amp;FG395)+1)</f>
        <v/>
      </c>
      <c r="AB395" s="0" t="str">
        <f aca="false">IF($A395="","",IF(AT395="Y",BW395&amp;"",BJ395&amp;""))</f>
        <v/>
      </c>
      <c r="AC395" s="0" t="str">
        <f aca="false">IF($A395="","",IF(AT395="Y",BR395&amp;"",BE395&amp;""))</f>
        <v/>
      </c>
      <c r="AD395" s="0" t="str">
        <f aca="false">IF($A395="","",IF(AT395="Y",BS395&amp;"",BF395&amp;""))</f>
        <v/>
      </c>
      <c r="AE395" s="0" t="str">
        <f aca="false">IF($A395="","",IF(AT395="Y",BT395&amp;"",BG395&amp;""))</f>
        <v/>
      </c>
      <c r="AF395" s="0" t="str">
        <f aca="false">IF($A395="","",IF(AT395="Y",BU395&amp;"",BH395&amp;""))</f>
        <v/>
      </c>
      <c r="AG395" s="0" t="str">
        <f aca="false">IF($A395="","",IF(AT395="Y",BV395&amp;"",BI395&amp;""))</f>
        <v/>
      </c>
      <c r="AO395" s="5"/>
      <c r="AR395" s="0" t="str">
        <f aca="false">IF($A395="","",IF(AND(CK395="pass",AO395&lt;&gt;"Y",C395&lt;&gt;"",OR(AU395&lt;&gt;"Y",AV395="Y")),"Y","N"))</f>
        <v/>
      </c>
      <c r="AS395" s="0" t="str">
        <f aca="false">IF($A395="","",_xlfn.TEXTJOIN("; ",TRUE(),IF(CK395&lt;&gt;"pass","gated out",""),IF(AO395="Y","on hold: "&amp;AP395,""),IF(C395="","no contact named on an opened page",""),IF(AND(AU395="Y",AV395&lt;&gt;"Y"),"founder review pending (Founder review tab)","")))</f>
        <v/>
      </c>
      <c r="BC395" s="0" t="str">
        <f aca="false">IF($A395="","",IFERROR(INDEX(Enrichment!$A$2:$GZ$2000,MATCH($A395,INDEX(Enrichment!$A$2:$GZ$2000,0,MATCH("row_id",Enrichment!$A$1:$GZ$1,0)),0),MATCH("work_email",Enrichment!$A$1:$GZ$1,0))&amp;"",""))</f>
        <v/>
      </c>
      <c r="BD395" s="0" t="str">
        <f aca="false">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P395" s="0" t="str">
        <f aca="false">IF($A395="","",IFERROR(INDEX(Enrichment!$A$2:$GZ$2000,MATCH($A395,INDEX(Enrichment!$A$2:$GZ$2000,0,MATCH("row_id",Enrichment!$A$1:$GZ$1,0)),0),MATCH("backup_work_email",Enrichment!$A$1:$GZ$1,0))&amp;"",""))</f>
        <v/>
      </c>
      <c r="BQ395" s="0" t="str">
        <f aca="false">IF($A395="","",IF(BP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DU395" s="0" t="str">
        <f aca="false">IF($A395="","",IF(R395="Y",10,0))</f>
        <v/>
      </c>
      <c r="EV395" s="0" t="str">
        <f aca="false">IF($A395="","",IF(ISNUMBER(MATCH(U395,{"queued","contacted","replied","call_booked","call_done","yes_in_principle","materials_sent"},0)),"Y","N"))</f>
        <v/>
      </c>
      <c r="EW395" s="0" t="str">
        <f aca="false">IF($A395="","",IF(OR(T395="Y",U395="do_not_contact",AQ395&amp;""&lt;&gt;""),"Y","N"))</f>
        <v/>
      </c>
      <c r="EX395" s="0" t="str">
        <f aca="false">IF($A395="","",IF(AN395&amp;""&lt;&gt;"",AN395&amp;"",$A395))</f>
        <v/>
      </c>
      <c r="EY395" s="0" t="str">
        <f aca="false">IF($A395="","",IF(COUNTIFS($EX$2:$EX$1000,EX395,$EV$2:$EV$1000,"Y")+COUNTIFS($EX$2:$EX$1000,EX395,$EW$2:$EW$1000,"Y")&gt;0,"Y","N"))</f>
        <v/>
      </c>
      <c r="EZ395" s="0" t="str">
        <f aca="false">IF($A395="","",IF(AND(U395="new",T395="N",EW395="N",AR395="Y",EY395="N"),"Y","N"))</f>
        <v/>
      </c>
      <c r="FA395" s="0" t="str">
        <f aca="false">IF($A395="","",IF(EZ395&lt;&gt;"Y","N",IF(COUNTIFS($EX$2:$EX$1000,EX395,$EZ$2:$EZ$1000,"Y",$J$2:$J$1000,"&gt;"&amp;J395)+COUNTIFS($EX$2:$EX$1000,EX395,$EZ$2:$EZ$1000,"Y",$J$2:$J$1000,J395,$FG$2:$FG$1000,"&lt;"&amp;FG395)=0,"Y","N")))</f>
        <v/>
      </c>
      <c r="FB395" s="0" t="str">
        <f aca="false">IF($A395="","",IF(AND(EZ395="Y",FA395="Y",Y395&amp;""&lt;&gt;""),IF(Y395&lt;=10,"Y","N"),"N"))</f>
        <v/>
      </c>
      <c r="FC395" s="0" t="str">
        <f aca="false">IF(FB395="Y",Y395,"")</f>
        <v/>
      </c>
      <c r="FD395" s="0" t="str">
        <f aca="false">IF($A395="","",IF(AND(CK395="pass",AU395="Y",AV395&lt;&gt;"Y",U395="new",EW395="N"),"Y","N"))</f>
        <v/>
      </c>
      <c r="FE395" s="0" t="str">
        <f aca="false">IF(FD395&lt;&gt;"Y","",IF(COUNTIFS($FD$2:$FD$1000,"Y",$J$2:$J$1000,"&gt;"&amp;J395)+COUNTIFS($FD$2:$FD$1000,"Y",$J$2:$J$1000,J395,$FG$2:$FG$1000,"&lt;"&amp;FG395)+1&lt;=30,COUNTIFS($FD$2:$FD$1000,"Y",$J$2:$J$1000,"&gt;"&amp;J395)+COUNTIFS($FD$2:$FD$1000,"Y",$J$2:$J$1000,J395,$FG$2:$FG$1000,"&lt;"&amp;FG395)+1,""))</f>
        <v/>
      </c>
      <c r="FF395" s="0" t="str">
        <f aca="false">IF(AND(_xlfn.ISFORMULA(C395),_xlfn.ISFORMULA(J395)),"Y","N")</f>
        <v>Y</v>
      </c>
      <c r="FG395" s="0" t="n">
        <f aca="false">ROW()-1</f>
        <v>394</v>
      </c>
    </row>
    <row r="396" customFormat="false" ht="15" hidden="false" customHeight="false" outlineLevel="0" collapsed="false">
      <c r="C396" s="0" t="str">
        <f aca="false">IF($A396="","",IF(AT396="Y",BL396&amp;"",AY396&amp;""))</f>
        <v/>
      </c>
      <c r="D396" s="0" t="str">
        <f aca="false">IF($A396="","",IF(AT396="Y",BM396&amp;"",AZ396&amp;""))</f>
        <v/>
      </c>
      <c r="E396" s="0" t="str">
        <f aca="false">IF($A396="","",IF(AT396="Y",BN396&amp;"",BA396&amp;""))</f>
        <v/>
      </c>
      <c r="F396" s="0" t="str">
        <f aca="false">IF($A396="","",IF(AT396="Y",BO396&amp;"",BB396&amp;""))</f>
        <v/>
      </c>
      <c r="G396" s="0" t="str">
        <f aca="false">IF($A396="","",IF(AT396="Y",BP396&amp;"",BC396&amp;""))</f>
        <v/>
      </c>
      <c r="H396" s="0" t="str">
        <f aca="false">IF($A396="","",IF(AT396="Y",BQ396&amp;"",BD396&amp;""))</f>
        <v/>
      </c>
      <c r="I396" s="0" t="str">
        <f aca="false">IF($A396="","",IF(R396="Y","warm-intro",IF(H396="verified","email",IF(C396&lt;&gt;"","linkedin",CA396&amp;""))))</f>
        <v/>
      </c>
      <c r="J396" s="0" t="str">
        <f aca="false">IF($A396="","",IF(CK396="pass",ROUND(N(DO396)+N(DP396)+N(DQ396)+N(DR396)+N(DS396)+N(DT396)+N(DU396)+N(DV396),0),0))</f>
        <v/>
      </c>
      <c r="K396" s="0" t="str">
        <f aca="false">IF($A396="","",IF(CK396&lt;&gt;"pass",BY396&amp;"",BY396&amp;", "&amp;IF(AT396="Y",BX396&amp;"",BK396&amp;"")&amp;BZ396&amp;IF(R396="Y","; known to the founder (+10)","")&amp;"."))</f>
        <v/>
      </c>
      <c r="R396" s="5"/>
      <c r="T396" s="5"/>
      <c r="U396" s="5"/>
      <c r="Y396" s="0" t="str">
        <f aca="false">IF(FA396&lt;&gt;"Y","",COUNTIFS($FA$2:$FA$1000,"Y",$J$2:$J$1000,"&gt;"&amp;J396)+COUNTIFS($FA$2:$FA$1000,"Y",$J$2:$J$1000,J396,$FG$2:$FG$1000,"&lt;"&amp;FG396)+1)</f>
        <v/>
      </c>
      <c r="AB396" s="0" t="str">
        <f aca="false">IF($A396="","",IF(AT396="Y",BW396&amp;"",BJ396&amp;""))</f>
        <v/>
      </c>
      <c r="AC396" s="0" t="str">
        <f aca="false">IF($A396="","",IF(AT396="Y",BR396&amp;"",BE396&amp;""))</f>
        <v/>
      </c>
      <c r="AD396" s="0" t="str">
        <f aca="false">IF($A396="","",IF(AT396="Y",BS396&amp;"",BF396&amp;""))</f>
        <v/>
      </c>
      <c r="AE396" s="0" t="str">
        <f aca="false">IF($A396="","",IF(AT396="Y",BT396&amp;"",BG396&amp;""))</f>
        <v/>
      </c>
      <c r="AF396" s="0" t="str">
        <f aca="false">IF($A396="","",IF(AT396="Y",BU396&amp;"",BH396&amp;""))</f>
        <v/>
      </c>
      <c r="AG396" s="0" t="str">
        <f aca="false">IF($A396="","",IF(AT396="Y",BV396&amp;"",BI396&amp;""))</f>
        <v/>
      </c>
      <c r="AO396" s="5"/>
      <c r="AR396" s="0" t="str">
        <f aca="false">IF($A396="","",IF(AND(CK396="pass",AO396&lt;&gt;"Y",C396&lt;&gt;"",OR(AU396&lt;&gt;"Y",AV396="Y")),"Y","N"))</f>
        <v/>
      </c>
      <c r="AS396" s="0" t="str">
        <f aca="false">IF($A396="","",_xlfn.TEXTJOIN("; ",TRUE(),IF(CK396&lt;&gt;"pass","gated out",""),IF(AO396="Y","on hold: "&amp;AP396,""),IF(C396="","no contact named on an opened page",""),IF(AND(AU396="Y",AV396&lt;&gt;"Y"),"founder review pending (Founder review tab)","")))</f>
        <v/>
      </c>
      <c r="BC396" s="0" t="str">
        <f aca="false">IF($A396="","",IFERROR(INDEX(Enrichment!$A$2:$GZ$2000,MATCH($A396,INDEX(Enrichment!$A$2:$GZ$2000,0,MATCH("row_id",Enrichment!$A$1:$GZ$1,0)),0),MATCH("work_email",Enrichment!$A$1:$GZ$1,0))&amp;"",""))</f>
        <v/>
      </c>
      <c r="BD396" s="0" t="str">
        <f aca="false">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P396" s="0" t="str">
        <f aca="false">IF($A396="","",IFERROR(INDEX(Enrichment!$A$2:$GZ$2000,MATCH($A396,INDEX(Enrichment!$A$2:$GZ$2000,0,MATCH("row_id",Enrichment!$A$1:$GZ$1,0)),0),MATCH("backup_work_email",Enrichment!$A$1:$GZ$1,0))&amp;"",""))</f>
        <v/>
      </c>
      <c r="BQ396" s="0" t="str">
        <f aca="false">IF($A396="","",IF(BP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DU396" s="0" t="str">
        <f aca="false">IF($A396="","",IF(R396="Y",10,0))</f>
        <v/>
      </c>
      <c r="EV396" s="0" t="str">
        <f aca="false">IF($A396="","",IF(ISNUMBER(MATCH(U396,{"queued","contacted","replied","call_booked","call_done","yes_in_principle","materials_sent"},0)),"Y","N"))</f>
        <v/>
      </c>
      <c r="EW396" s="0" t="str">
        <f aca="false">IF($A396="","",IF(OR(T396="Y",U396="do_not_contact",AQ396&amp;""&lt;&gt;""),"Y","N"))</f>
        <v/>
      </c>
      <c r="EX396" s="0" t="str">
        <f aca="false">IF($A396="","",IF(AN396&amp;""&lt;&gt;"",AN396&amp;"",$A396))</f>
        <v/>
      </c>
      <c r="EY396" s="0" t="str">
        <f aca="false">IF($A396="","",IF(COUNTIFS($EX$2:$EX$1000,EX396,$EV$2:$EV$1000,"Y")+COUNTIFS($EX$2:$EX$1000,EX396,$EW$2:$EW$1000,"Y")&gt;0,"Y","N"))</f>
        <v/>
      </c>
      <c r="EZ396" s="0" t="str">
        <f aca="false">IF($A396="","",IF(AND(U396="new",T396="N",EW396="N",AR396="Y",EY396="N"),"Y","N"))</f>
        <v/>
      </c>
      <c r="FA396" s="0" t="str">
        <f aca="false">IF($A396="","",IF(EZ396&lt;&gt;"Y","N",IF(COUNTIFS($EX$2:$EX$1000,EX396,$EZ$2:$EZ$1000,"Y",$J$2:$J$1000,"&gt;"&amp;J396)+COUNTIFS($EX$2:$EX$1000,EX396,$EZ$2:$EZ$1000,"Y",$J$2:$J$1000,J396,$FG$2:$FG$1000,"&lt;"&amp;FG396)=0,"Y","N")))</f>
        <v/>
      </c>
      <c r="FB396" s="0" t="str">
        <f aca="false">IF($A396="","",IF(AND(EZ396="Y",FA396="Y",Y396&amp;""&lt;&gt;""),IF(Y396&lt;=10,"Y","N"),"N"))</f>
        <v/>
      </c>
      <c r="FC396" s="0" t="str">
        <f aca="false">IF(FB396="Y",Y396,"")</f>
        <v/>
      </c>
      <c r="FD396" s="0" t="str">
        <f aca="false">IF($A396="","",IF(AND(CK396="pass",AU396="Y",AV396&lt;&gt;"Y",U396="new",EW396="N"),"Y","N"))</f>
        <v/>
      </c>
      <c r="FE396" s="0" t="str">
        <f aca="false">IF(FD396&lt;&gt;"Y","",IF(COUNTIFS($FD$2:$FD$1000,"Y",$J$2:$J$1000,"&gt;"&amp;J396)+COUNTIFS($FD$2:$FD$1000,"Y",$J$2:$J$1000,J396,$FG$2:$FG$1000,"&lt;"&amp;FG396)+1&lt;=30,COUNTIFS($FD$2:$FD$1000,"Y",$J$2:$J$1000,"&gt;"&amp;J396)+COUNTIFS($FD$2:$FD$1000,"Y",$J$2:$J$1000,J396,$FG$2:$FG$1000,"&lt;"&amp;FG396)+1,""))</f>
        <v/>
      </c>
      <c r="FF396" s="0" t="str">
        <f aca="false">IF(AND(_xlfn.ISFORMULA(C396),_xlfn.ISFORMULA(J396)),"Y","N")</f>
        <v>Y</v>
      </c>
      <c r="FG396" s="0" t="n">
        <f aca="false">ROW()-1</f>
        <v>395</v>
      </c>
    </row>
    <row r="397" customFormat="false" ht="15" hidden="false" customHeight="false" outlineLevel="0" collapsed="false">
      <c r="C397" s="0" t="str">
        <f aca="false">IF($A397="","",IF(AT397="Y",BL397&amp;"",AY397&amp;""))</f>
        <v/>
      </c>
      <c r="D397" s="0" t="str">
        <f aca="false">IF($A397="","",IF(AT397="Y",BM397&amp;"",AZ397&amp;""))</f>
        <v/>
      </c>
      <c r="E397" s="0" t="str">
        <f aca="false">IF($A397="","",IF(AT397="Y",BN397&amp;"",BA397&amp;""))</f>
        <v/>
      </c>
      <c r="F397" s="0" t="str">
        <f aca="false">IF($A397="","",IF(AT397="Y",BO397&amp;"",BB397&amp;""))</f>
        <v/>
      </c>
      <c r="G397" s="0" t="str">
        <f aca="false">IF($A397="","",IF(AT397="Y",BP397&amp;"",BC397&amp;""))</f>
        <v/>
      </c>
      <c r="H397" s="0" t="str">
        <f aca="false">IF($A397="","",IF(AT397="Y",BQ397&amp;"",BD397&amp;""))</f>
        <v/>
      </c>
      <c r="I397" s="0" t="str">
        <f aca="false">IF($A397="","",IF(R397="Y","warm-intro",IF(H397="verified","email",IF(C397&lt;&gt;"","linkedin",CA397&amp;""))))</f>
        <v/>
      </c>
      <c r="J397" s="0" t="str">
        <f aca="false">IF($A397="","",IF(CK397="pass",ROUND(N(DO397)+N(DP397)+N(DQ397)+N(DR397)+N(DS397)+N(DT397)+N(DU397)+N(DV397),0),0))</f>
        <v/>
      </c>
      <c r="K397" s="0" t="str">
        <f aca="false">IF($A397="","",IF(CK397&lt;&gt;"pass",BY397&amp;"",BY397&amp;", "&amp;IF(AT397="Y",BX397&amp;"",BK397&amp;"")&amp;BZ397&amp;IF(R397="Y","; known to the founder (+10)","")&amp;"."))</f>
        <v/>
      </c>
      <c r="R397" s="5"/>
      <c r="T397" s="5"/>
      <c r="U397" s="5"/>
      <c r="Y397" s="0" t="str">
        <f aca="false">IF(FA397&lt;&gt;"Y","",COUNTIFS($FA$2:$FA$1000,"Y",$J$2:$J$1000,"&gt;"&amp;J397)+COUNTIFS($FA$2:$FA$1000,"Y",$J$2:$J$1000,J397,$FG$2:$FG$1000,"&lt;"&amp;FG397)+1)</f>
        <v/>
      </c>
      <c r="AB397" s="0" t="str">
        <f aca="false">IF($A397="","",IF(AT397="Y",BW397&amp;"",BJ397&amp;""))</f>
        <v/>
      </c>
      <c r="AC397" s="0" t="str">
        <f aca="false">IF($A397="","",IF(AT397="Y",BR397&amp;"",BE397&amp;""))</f>
        <v/>
      </c>
      <c r="AD397" s="0" t="str">
        <f aca="false">IF($A397="","",IF(AT397="Y",BS397&amp;"",BF397&amp;""))</f>
        <v/>
      </c>
      <c r="AE397" s="0" t="str">
        <f aca="false">IF($A397="","",IF(AT397="Y",BT397&amp;"",BG397&amp;""))</f>
        <v/>
      </c>
      <c r="AF397" s="0" t="str">
        <f aca="false">IF($A397="","",IF(AT397="Y",BU397&amp;"",BH397&amp;""))</f>
        <v/>
      </c>
      <c r="AG397" s="0" t="str">
        <f aca="false">IF($A397="","",IF(AT397="Y",BV397&amp;"",BI397&amp;""))</f>
        <v/>
      </c>
      <c r="AO397" s="5"/>
      <c r="AR397" s="0" t="str">
        <f aca="false">IF($A397="","",IF(AND(CK397="pass",AO397&lt;&gt;"Y",C397&lt;&gt;"",OR(AU397&lt;&gt;"Y",AV397="Y")),"Y","N"))</f>
        <v/>
      </c>
      <c r="AS397" s="0" t="str">
        <f aca="false">IF($A397="","",_xlfn.TEXTJOIN("; ",TRUE(),IF(CK397&lt;&gt;"pass","gated out",""),IF(AO397="Y","on hold: "&amp;AP397,""),IF(C397="","no contact named on an opened page",""),IF(AND(AU397="Y",AV397&lt;&gt;"Y"),"founder review pending (Founder review tab)","")))</f>
        <v/>
      </c>
      <c r="BC397" s="0" t="str">
        <f aca="false">IF($A397="","",IFERROR(INDEX(Enrichment!$A$2:$GZ$2000,MATCH($A397,INDEX(Enrichment!$A$2:$GZ$2000,0,MATCH("row_id",Enrichment!$A$1:$GZ$1,0)),0),MATCH("work_email",Enrichment!$A$1:$GZ$1,0))&amp;"",""))</f>
        <v/>
      </c>
      <c r="BD397" s="0" t="str">
        <f aca="false">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P397" s="0" t="str">
        <f aca="false">IF($A397="","",IFERROR(INDEX(Enrichment!$A$2:$GZ$2000,MATCH($A397,INDEX(Enrichment!$A$2:$GZ$2000,0,MATCH("row_id",Enrichment!$A$1:$GZ$1,0)),0),MATCH("backup_work_email",Enrichment!$A$1:$GZ$1,0))&amp;"",""))</f>
        <v/>
      </c>
      <c r="BQ397" s="0" t="str">
        <f aca="false">IF($A397="","",IF(BP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DU397" s="0" t="str">
        <f aca="false">IF($A397="","",IF(R397="Y",10,0))</f>
        <v/>
      </c>
      <c r="EV397" s="0" t="str">
        <f aca="false">IF($A397="","",IF(ISNUMBER(MATCH(U397,{"queued","contacted","replied","call_booked","call_done","yes_in_principle","materials_sent"},0)),"Y","N"))</f>
        <v/>
      </c>
      <c r="EW397" s="0" t="str">
        <f aca="false">IF($A397="","",IF(OR(T397="Y",U397="do_not_contact",AQ397&amp;""&lt;&gt;""),"Y","N"))</f>
        <v/>
      </c>
      <c r="EX397" s="0" t="str">
        <f aca="false">IF($A397="","",IF(AN397&amp;""&lt;&gt;"",AN397&amp;"",$A397))</f>
        <v/>
      </c>
      <c r="EY397" s="0" t="str">
        <f aca="false">IF($A397="","",IF(COUNTIFS($EX$2:$EX$1000,EX397,$EV$2:$EV$1000,"Y")+COUNTIFS($EX$2:$EX$1000,EX397,$EW$2:$EW$1000,"Y")&gt;0,"Y","N"))</f>
        <v/>
      </c>
      <c r="EZ397" s="0" t="str">
        <f aca="false">IF($A397="","",IF(AND(U397="new",T397="N",EW397="N",AR397="Y",EY397="N"),"Y","N"))</f>
        <v/>
      </c>
      <c r="FA397" s="0" t="str">
        <f aca="false">IF($A397="","",IF(EZ397&lt;&gt;"Y","N",IF(COUNTIFS($EX$2:$EX$1000,EX397,$EZ$2:$EZ$1000,"Y",$J$2:$J$1000,"&gt;"&amp;J397)+COUNTIFS($EX$2:$EX$1000,EX397,$EZ$2:$EZ$1000,"Y",$J$2:$J$1000,J397,$FG$2:$FG$1000,"&lt;"&amp;FG397)=0,"Y","N")))</f>
        <v/>
      </c>
      <c r="FB397" s="0" t="str">
        <f aca="false">IF($A397="","",IF(AND(EZ397="Y",FA397="Y",Y397&amp;""&lt;&gt;""),IF(Y397&lt;=10,"Y","N"),"N"))</f>
        <v/>
      </c>
      <c r="FC397" s="0" t="str">
        <f aca="false">IF(FB397="Y",Y397,"")</f>
        <v/>
      </c>
      <c r="FD397" s="0" t="str">
        <f aca="false">IF($A397="","",IF(AND(CK397="pass",AU397="Y",AV397&lt;&gt;"Y",U397="new",EW397="N"),"Y","N"))</f>
        <v/>
      </c>
      <c r="FE397" s="0" t="str">
        <f aca="false">IF(FD397&lt;&gt;"Y","",IF(COUNTIFS($FD$2:$FD$1000,"Y",$J$2:$J$1000,"&gt;"&amp;J397)+COUNTIFS($FD$2:$FD$1000,"Y",$J$2:$J$1000,J397,$FG$2:$FG$1000,"&lt;"&amp;FG397)+1&lt;=30,COUNTIFS($FD$2:$FD$1000,"Y",$J$2:$J$1000,"&gt;"&amp;J397)+COUNTIFS($FD$2:$FD$1000,"Y",$J$2:$J$1000,J397,$FG$2:$FG$1000,"&lt;"&amp;FG397)+1,""))</f>
        <v/>
      </c>
      <c r="FF397" s="0" t="str">
        <f aca="false">IF(AND(_xlfn.ISFORMULA(C397),_xlfn.ISFORMULA(J397)),"Y","N")</f>
        <v>Y</v>
      </c>
      <c r="FG397" s="0" t="n">
        <f aca="false">ROW()-1</f>
        <v>396</v>
      </c>
    </row>
    <row r="398" customFormat="false" ht="15" hidden="false" customHeight="false" outlineLevel="0" collapsed="false">
      <c r="C398" s="0" t="str">
        <f aca="false">IF($A398="","",IF(AT398="Y",BL398&amp;"",AY398&amp;""))</f>
        <v/>
      </c>
      <c r="D398" s="0" t="str">
        <f aca="false">IF($A398="","",IF(AT398="Y",BM398&amp;"",AZ398&amp;""))</f>
        <v/>
      </c>
      <c r="E398" s="0" t="str">
        <f aca="false">IF($A398="","",IF(AT398="Y",BN398&amp;"",BA398&amp;""))</f>
        <v/>
      </c>
      <c r="F398" s="0" t="str">
        <f aca="false">IF($A398="","",IF(AT398="Y",BO398&amp;"",BB398&amp;""))</f>
        <v/>
      </c>
      <c r="G398" s="0" t="str">
        <f aca="false">IF($A398="","",IF(AT398="Y",BP398&amp;"",BC398&amp;""))</f>
        <v/>
      </c>
      <c r="H398" s="0" t="str">
        <f aca="false">IF($A398="","",IF(AT398="Y",BQ398&amp;"",BD398&amp;""))</f>
        <v/>
      </c>
      <c r="I398" s="0" t="str">
        <f aca="false">IF($A398="","",IF(R398="Y","warm-intro",IF(H398="verified","email",IF(C398&lt;&gt;"","linkedin",CA398&amp;""))))</f>
        <v/>
      </c>
      <c r="J398" s="0" t="str">
        <f aca="false">IF($A398="","",IF(CK398="pass",ROUND(N(DO398)+N(DP398)+N(DQ398)+N(DR398)+N(DS398)+N(DT398)+N(DU398)+N(DV398),0),0))</f>
        <v/>
      </c>
      <c r="K398" s="0" t="str">
        <f aca="false">IF($A398="","",IF(CK398&lt;&gt;"pass",BY398&amp;"",BY398&amp;", "&amp;IF(AT398="Y",BX398&amp;"",BK398&amp;"")&amp;BZ398&amp;IF(R398="Y","; known to the founder (+10)","")&amp;"."))</f>
        <v/>
      </c>
      <c r="R398" s="5"/>
      <c r="T398" s="5"/>
      <c r="U398" s="5"/>
      <c r="Y398" s="0" t="str">
        <f aca="false">IF(FA398&lt;&gt;"Y","",COUNTIFS($FA$2:$FA$1000,"Y",$J$2:$J$1000,"&gt;"&amp;J398)+COUNTIFS($FA$2:$FA$1000,"Y",$J$2:$J$1000,J398,$FG$2:$FG$1000,"&lt;"&amp;FG398)+1)</f>
        <v/>
      </c>
      <c r="AB398" s="0" t="str">
        <f aca="false">IF($A398="","",IF(AT398="Y",BW398&amp;"",BJ398&amp;""))</f>
        <v/>
      </c>
      <c r="AC398" s="0" t="str">
        <f aca="false">IF($A398="","",IF(AT398="Y",BR398&amp;"",BE398&amp;""))</f>
        <v/>
      </c>
      <c r="AD398" s="0" t="str">
        <f aca="false">IF($A398="","",IF(AT398="Y",BS398&amp;"",BF398&amp;""))</f>
        <v/>
      </c>
      <c r="AE398" s="0" t="str">
        <f aca="false">IF($A398="","",IF(AT398="Y",BT398&amp;"",BG398&amp;""))</f>
        <v/>
      </c>
      <c r="AF398" s="0" t="str">
        <f aca="false">IF($A398="","",IF(AT398="Y",BU398&amp;"",BH398&amp;""))</f>
        <v/>
      </c>
      <c r="AG398" s="0" t="str">
        <f aca="false">IF($A398="","",IF(AT398="Y",BV398&amp;"",BI398&amp;""))</f>
        <v/>
      </c>
      <c r="AO398" s="5"/>
      <c r="AR398" s="0" t="str">
        <f aca="false">IF($A398="","",IF(AND(CK398="pass",AO398&lt;&gt;"Y",C398&lt;&gt;"",OR(AU398&lt;&gt;"Y",AV398="Y")),"Y","N"))</f>
        <v/>
      </c>
      <c r="AS398" s="0" t="str">
        <f aca="false">IF($A398="","",_xlfn.TEXTJOIN("; ",TRUE(),IF(CK398&lt;&gt;"pass","gated out",""),IF(AO398="Y","on hold: "&amp;AP398,""),IF(C398="","no contact named on an opened page",""),IF(AND(AU398="Y",AV398&lt;&gt;"Y"),"founder review pending (Founder review tab)","")))</f>
        <v/>
      </c>
      <c r="BC398" s="0" t="str">
        <f aca="false">IF($A398="","",IFERROR(INDEX(Enrichment!$A$2:$GZ$2000,MATCH($A398,INDEX(Enrichment!$A$2:$GZ$2000,0,MATCH("row_id",Enrichment!$A$1:$GZ$1,0)),0),MATCH("work_email",Enrichment!$A$1:$GZ$1,0))&amp;"",""))</f>
        <v/>
      </c>
      <c r="BD398" s="0" t="str">
        <f aca="false">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P398" s="0" t="str">
        <f aca="false">IF($A398="","",IFERROR(INDEX(Enrichment!$A$2:$GZ$2000,MATCH($A398,INDEX(Enrichment!$A$2:$GZ$2000,0,MATCH("row_id",Enrichment!$A$1:$GZ$1,0)),0),MATCH("backup_work_email",Enrichment!$A$1:$GZ$1,0))&amp;"",""))</f>
        <v/>
      </c>
      <c r="BQ398" s="0" t="str">
        <f aca="false">IF($A398="","",IF(BP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DU398" s="0" t="str">
        <f aca="false">IF($A398="","",IF(R398="Y",10,0))</f>
        <v/>
      </c>
      <c r="EV398" s="0" t="str">
        <f aca="false">IF($A398="","",IF(ISNUMBER(MATCH(U398,{"queued","contacted","replied","call_booked","call_done","yes_in_principle","materials_sent"},0)),"Y","N"))</f>
        <v/>
      </c>
      <c r="EW398" s="0" t="str">
        <f aca="false">IF($A398="","",IF(OR(T398="Y",U398="do_not_contact",AQ398&amp;""&lt;&gt;""),"Y","N"))</f>
        <v/>
      </c>
      <c r="EX398" s="0" t="str">
        <f aca="false">IF($A398="","",IF(AN398&amp;""&lt;&gt;"",AN398&amp;"",$A398))</f>
        <v/>
      </c>
      <c r="EY398" s="0" t="str">
        <f aca="false">IF($A398="","",IF(COUNTIFS($EX$2:$EX$1000,EX398,$EV$2:$EV$1000,"Y")+COUNTIFS($EX$2:$EX$1000,EX398,$EW$2:$EW$1000,"Y")&gt;0,"Y","N"))</f>
        <v/>
      </c>
      <c r="EZ398" s="0" t="str">
        <f aca="false">IF($A398="","",IF(AND(U398="new",T398="N",EW398="N",AR398="Y",EY398="N"),"Y","N"))</f>
        <v/>
      </c>
      <c r="FA398" s="0" t="str">
        <f aca="false">IF($A398="","",IF(EZ398&lt;&gt;"Y","N",IF(COUNTIFS($EX$2:$EX$1000,EX398,$EZ$2:$EZ$1000,"Y",$J$2:$J$1000,"&gt;"&amp;J398)+COUNTIFS($EX$2:$EX$1000,EX398,$EZ$2:$EZ$1000,"Y",$J$2:$J$1000,J398,$FG$2:$FG$1000,"&lt;"&amp;FG398)=0,"Y","N")))</f>
        <v/>
      </c>
      <c r="FB398" s="0" t="str">
        <f aca="false">IF($A398="","",IF(AND(EZ398="Y",FA398="Y",Y398&amp;""&lt;&gt;""),IF(Y398&lt;=10,"Y","N"),"N"))</f>
        <v/>
      </c>
      <c r="FC398" s="0" t="str">
        <f aca="false">IF(FB398="Y",Y398,"")</f>
        <v/>
      </c>
      <c r="FD398" s="0" t="str">
        <f aca="false">IF($A398="","",IF(AND(CK398="pass",AU398="Y",AV398&lt;&gt;"Y",U398="new",EW398="N"),"Y","N"))</f>
        <v/>
      </c>
      <c r="FE398" s="0" t="str">
        <f aca="false">IF(FD398&lt;&gt;"Y","",IF(COUNTIFS($FD$2:$FD$1000,"Y",$J$2:$J$1000,"&gt;"&amp;J398)+COUNTIFS($FD$2:$FD$1000,"Y",$J$2:$J$1000,J398,$FG$2:$FG$1000,"&lt;"&amp;FG398)+1&lt;=30,COUNTIFS($FD$2:$FD$1000,"Y",$J$2:$J$1000,"&gt;"&amp;J398)+COUNTIFS($FD$2:$FD$1000,"Y",$J$2:$J$1000,J398,$FG$2:$FG$1000,"&lt;"&amp;FG398)+1,""))</f>
        <v/>
      </c>
      <c r="FF398" s="0" t="str">
        <f aca="false">IF(AND(_xlfn.ISFORMULA(C398),_xlfn.ISFORMULA(J398)),"Y","N")</f>
        <v>Y</v>
      </c>
      <c r="FG398" s="0" t="n">
        <f aca="false">ROW()-1</f>
        <v>397</v>
      </c>
    </row>
    <row r="399" customFormat="false" ht="15" hidden="false" customHeight="false" outlineLevel="0" collapsed="false">
      <c r="C399" s="0" t="str">
        <f aca="false">IF($A399="","",IF(AT399="Y",BL399&amp;"",AY399&amp;""))</f>
        <v/>
      </c>
      <c r="D399" s="0" t="str">
        <f aca="false">IF($A399="","",IF(AT399="Y",BM399&amp;"",AZ399&amp;""))</f>
        <v/>
      </c>
      <c r="E399" s="0" t="str">
        <f aca="false">IF($A399="","",IF(AT399="Y",BN399&amp;"",BA399&amp;""))</f>
        <v/>
      </c>
      <c r="F399" s="0" t="str">
        <f aca="false">IF($A399="","",IF(AT399="Y",BO399&amp;"",BB399&amp;""))</f>
        <v/>
      </c>
      <c r="G399" s="0" t="str">
        <f aca="false">IF($A399="","",IF(AT399="Y",BP399&amp;"",BC399&amp;""))</f>
        <v/>
      </c>
      <c r="H399" s="0" t="str">
        <f aca="false">IF($A399="","",IF(AT399="Y",BQ399&amp;"",BD399&amp;""))</f>
        <v/>
      </c>
      <c r="I399" s="0" t="str">
        <f aca="false">IF($A399="","",IF(R399="Y","warm-intro",IF(H399="verified","email",IF(C399&lt;&gt;"","linkedin",CA399&amp;""))))</f>
        <v/>
      </c>
      <c r="J399" s="0" t="str">
        <f aca="false">IF($A399="","",IF(CK399="pass",ROUND(N(DO399)+N(DP399)+N(DQ399)+N(DR399)+N(DS399)+N(DT399)+N(DU399)+N(DV399),0),0))</f>
        <v/>
      </c>
      <c r="K399" s="0" t="str">
        <f aca="false">IF($A399="","",IF(CK399&lt;&gt;"pass",BY399&amp;"",BY399&amp;", "&amp;IF(AT399="Y",BX399&amp;"",BK399&amp;"")&amp;BZ399&amp;IF(R399="Y","; known to the founder (+10)","")&amp;"."))</f>
        <v/>
      </c>
      <c r="R399" s="5"/>
      <c r="T399" s="5"/>
      <c r="U399" s="5"/>
      <c r="Y399" s="0" t="str">
        <f aca="false">IF(FA399&lt;&gt;"Y","",COUNTIFS($FA$2:$FA$1000,"Y",$J$2:$J$1000,"&gt;"&amp;J399)+COUNTIFS($FA$2:$FA$1000,"Y",$J$2:$J$1000,J399,$FG$2:$FG$1000,"&lt;"&amp;FG399)+1)</f>
        <v/>
      </c>
      <c r="AB399" s="0" t="str">
        <f aca="false">IF($A399="","",IF(AT399="Y",BW399&amp;"",BJ399&amp;""))</f>
        <v/>
      </c>
      <c r="AC399" s="0" t="str">
        <f aca="false">IF($A399="","",IF(AT399="Y",BR399&amp;"",BE399&amp;""))</f>
        <v/>
      </c>
      <c r="AD399" s="0" t="str">
        <f aca="false">IF($A399="","",IF(AT399="Y",BS399&amp;"",BF399&amp;""))</f>
        <v/>
      </c>
      <c r="AE399" s="0" t="str">
        <f aca="false">IF($A399="","",IF(AT399="Y",BT399&amp;"",BG399&amp;""))</f>
        <v/>
      </c>
      <c r="AF399" s="0" t="str">
        <f aca="false">IF($A399="","",IF(AT399="Y",BU399&amp;"",BH399&amp;""))</f>
        <v/>
      </c>
      <c r="AG399" s="0" t="str">
        <f aca="false">IF($A399="","",IF(AT399="Y",BV399&amp;"",BI399&amp;""))</f>
        <v/>
      </c>
      <c r="AO399" s="5"/>
      <c r="AR399" s="0" t="str">
        <f aca="false">IF($A399="","",IF(AND(CK399="pass",AO399&lt;&gt;"Y",C399&lt;&gt;"",OR(AU399&lt;&gt;"Y",AV399="Y")),"Y","N"))</f>
        <v/>
      </c>
      <c r="AS399" s="0" t="str">
        <f aca="false">IF($A399="","",_xlfn.TEXTJOIN("; ",TRUE(),IF(CK399&lt;&gt;"pass","gated out",""),IF(AO399="Y","on hold: "&amp;AP399,""),IF(C399="","no contact named on an opened page",""),IF(AND(AU399="Y",AV399&lt;&gt;"Y"),"founder review pending (Founder review tab)","")))</f>
        <v/>
      </c>
      <c r="BC399" s="0" t="str">
        <f aca="false">IF($A399="","",IFERROR(INDEX(Enrichment!$A$2:$GZ$2000,MATCH($A399,INDEX(Enrichment!$A$2:$GZ$2000,0,MATCH("row_id",Enrichment!$A$1:$GZ$1,0)),0),MATCH("work_email",Enrichment!$A$1:$GZ$1,0))&amp;"",""))</f>
        <v/>
      </c>
      <c r="BD399" s="0" t="str">
        <f aca="false">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P399" s="0" t="str">
        <f aca="false">IF($A399="","",IFERROR(INDEX(Enrichment!$A$2:$GZ$2000,MATCH($A399,INDEX(Enrichment!$A$2:$GZ$2000,0,MATCH("row_id",Enrichment!$A$1:$GZ$1,0)),0),MATCH("backup_work_email",Enrichment!$A$1:$GZ$1,0))&amp;"",""))</f>
        <v/>
      </c>
      <c r="BQ399" s="0" t="str">
        <f aca="false">IF($A399="","",IF(BP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DU399" s="0" t="str">
        <f aca="false">IF($A399="","",IF(R399="Y",10,0))</f>
        <v/>
      </c>
      <c r="EV399" s="0" t="str">
        <f aca="false">IF($A399="","",IF(ISNUMBER(MATCH(U399,{"queued","contacted","replied","call_booked","call_done","yes_in_principle","materials_sent"},0)),"Y","N"))</f>
        <v/>
      </c>
      <c r="EW399" s="0" t="str">
        <f aca="false">IF($A399="","",IF(OR(T399="Y",U399="do_not_contact",AQ399&amp;""&lt;&gt;""),"Y","N"))</f>
        <v/>
      </c>
      <c r="EX399" s="0" t="str">
        <f aca="false">IF($A399="","",IF(AN399&amp;""&lt;&gt;"",AN399&amp;"",$A399))</f>
        <v/>
      </c>
      <c r="EY399" s="0" t="str">
        <f aca="false">IF($A399="","",IF(COUNTIFS($EX$2:$EX$1000,EX399,$EV$2:$EV$1000,"Y")+COUNTIFS($EX$2:$EX$1000,EX399,$EW$2:$EW$1000,"Y")&gt;0,"Y","N"))</f>
        <v/>
      </c>
      <c r="EZ399" s="0" t="str">
        <f aca="false">IF($A399="","",IF(AND(U399="new",T399="N",EW399="N",AR399="Y",EY399="N"),"Y","N"))</f>
        <v/>
      </c>
      <c r="FA399" s="0" t="str">
        <f aca="false">IF($A399="","",IF(EZ399&lt;&gt;"Y","N",IF(COUNTIFS($EX$2:$EX$1000,EX399,$EZ$2:$EZ$1000,"Y",$J$2:$J$1000,"&gt;"&amp;J399)+COUNTIFS($EX$2:$EX$1000,EX399,$EZ$2:$EZ$1000,"Y",$J$2:$J$1000,J399,$FG$2:$FG$1000,"&lt;"&amp;FG399)=0,"Y","N")))</f>
        <v/>
      </c>
      <c r="FB399" s="0" t="str">
        <f aca="false">IF($A399="","",IF(AND(EZ399="Y",FA399="Y",Y399&amp;""&lt;&gt;""),IF(Y399&lt;=10,"Y","N"),"N"))</f>
        <v/>
      </c>
      <c r="FC399" s="0" t="str">
        <f aca="false">IF(FB399="Y",Y399,"")</f>
        <v/>
      </c>
      <c r="FD399" s="0" t="str">
        <f aca="false">IF($A399="","",IF(AND(CK399="pass",AU399="Y",AV399&lt;&gt;"Y",U399="new",EW399="N"),"Y","N"))</f>
        <v/>
      </c>
      <c r="FE399" s="0" t="str">
        <f aca="false">IF(FD399&lt;&gt;"Y","",IF(COUNTIFS($FD$2:$FD$1000,"Y",$J$2:$J$1000,"&gt;"&amp;J399)+COUNTIFS($FD$2:$FD$1000,"Y",$J$2:$J$1000,J399,$FG$2:$FG$1000,"&lt;"&amp;FG399)+1&lt;=30,COUNTIFS($FD$2:$FD$1000,"Y",$J$2:$J$1000,"&gt;"&amp;J399)+COUNTIFS($FD$2:$FD$1000,"Y",$J$2:$J$1000,J399,$FG$2:$FG$1000,"&lt;"&amp;FG399)+1,""))</f>
        <v/>
      </c>
      <c r="FF399" s="0" t="str">
        <f aca="false">IF(AND(_xlfn.ISFORMULA(C399),_xlfn.ISFORMULA(J399)),"Y","N")</f>
        <v>Y</v>
      </c>
      <c r="FG399" s="0" t="n">
        <f aca="false">ROW()-1</f>
        <v>398</v>
      </c>
    </row>
    <row r="400" customFormat="false" ht="15" hidden="false" customHeight="false" outlineLevel="0" collapsed="false">
      <c r="C400" s="0" t="str">
        <f aca="false">IF($A400="","",IF(AT400="Y",BL400&amp;"",AY400&amp;""))</f>
        <v/>
      </c>
      <c r="D400" s="0" t="str">
        <f aca="false">IF($A400="","",IF(AT400="Y",BM400&amp;"",AZ400&amp;""))</f>
        <v/>
      </c>
      <c r="E400" s="0" t="str">
        <f aca="false">IF($A400="","",IF(AT400="Y",BN400&amp;"",BA400&amp;""))</f>
        <v/>
      </c>
      <c r="F400" s="0" t="str">
        <f aca="false">IF($A400="","",IF(AT400="Y",BO400&amp;"",BB400&amp;""))</f>
        <v/>
      </c>
      <c r="G400" s="0" t="str">
        <f aca="false">IF($A400="","",IF(AT400="Y",BP400&amp;"",BC400&amp;""))</f>
        <v/>
      </c>
      <c r="H400" s="0" t="str">
        <f aca="false">IF($A400="","",IF(AT400="Y",BQ400&amp;"",BD400&amp;""))</f>
        <v/>
      </c>
      <c r="I400" s="0" t="str">
        <f aca="false">IF($A400="","",IF(R400="Y","warm-intro",IF(H400="verified","email",IF(C400&lt;&gt;"","linkedin",CA400&amp;""))))</f>
        <v/>
      </c>
      <c r="J400" s="0" t="str">
        <f aca="false">IF($A400="","",IF(CK400="pass",ROUND(N(DO400)+N(DP400)+N(DQ400)+N(DR400)+N(DS400)+N(DT400)+N(DU400)+N(DV400),0),0))</f>
        <v/>
      </c>
      <c r="K400" s="0" t="str">
        <f aca="false">IF($A400="","",IF(CK400&lt;&gt;"pass",BY400&amp;"",BY400&amp;", "&amp;IF(AT400="Y",BX400&amp;"",BK400&amp;"")&amp;BZ400&amp;IF(R400="Y","; known to the founder (+10)","")&amp;"."))</f>
        <v/>
      </c>
      <c r="R400" s="5"/>
      <c r="T400" s="5"/>
      <c r="U400" s="5"/>
      <c r="Y400" s="0" t="str">
        <f aca="false">IF(FA400&lt;&gt;"Y","",COUNTIFS($FA$2:$FA$1000,"Y",$J$2:$J$1000,"&gt;"&amp;J400)+COUNTIFS($FA$2:$FA$1000,"Y",$J$2:$J$1000,J400,$FG$2:$FG$1000,"&lt;"&amp;FG400)+1)</f>
        <v/>
      </c>
      <c r="AB400" s="0" t="str">
        <f aca="false">IF($A400="","",IF(AT400="Y",BW400&amp;"",BJ400&amp;""))</f>
        <v/>
      </c>
      <c r="AC400" s="0" t="str">
        <f aca="false">IF($A400="","",IF(AT400="Y",BR400&amp;"",BE400&amp;""))</f>
        <v/>
      </c>
      <c r="AD400" s="0" t="str">
        <f aca="false">IF($A400="","",IF(AT400="Y",BS400&amp;"",BF400&amp;""))</f>
        <v/>
      </c>
      <c r="AE400" s="0" t="str">
        <f aca="false">IF($A400="","",IF(AT400="Y",BT400&amp;"",BG400&amp;""))</f>
        <v/>
      </c>
      <c r="AF400" s="0" t="str">
        <f aca="false">IF($A400="","",IF(AT400="Y",BU400&amp;"",BH400&amp;""))</f>
        <v/>
      </c>
      <c r="AG400" s="0" t="str">
        <f aca="false">IF($A400="","",IF(AT400="Y",BV400&amp;"",BI400&amp;""))</f>
        <v/>
      </c>
      <c r="AO400" s="5"/>
      <c r="AR400" s="0" t="str">
        <f aca="false">IF($A400="","",IF(AND(CK400="pass",AO400&lt;&gt;"Y",C400&lt;&gt;"",OR(AU400&lt;&gt;"Y",AV400="Y")),"Y","N"))</f>
        <v/>
      </c>
      <c r="AS400" s="0" t="str">
        <f aca="false">IF($A400="","",_xlfn.TEXTJOIN("; ",TRUE(),IF(CK400&lt;&gt;"pass","gated out",""),IF(AO400="Y","on hold: "&amp;AP400,""),IF(C400="","no contact named on an opened page",""),IF(AND(AU400="Y",AV400&lt;&gt;"Y"),"founder review pending (Founder review tab)","")))</f>
        <v/>
      </c>
      <c r="BC400" s="0" t="str">
        <f aca="false">IF($A400="","",IFERROR(INDEX(Enrichment!$A$2:$GZ$2000,MATCH($A400,INDEX(Enrichment!$A$2:$GZ$2000,0,MATCH("row_id",Enrichment!$A$1:$GZ$1,0)),0),MATCH("work_email",Enrichment!$A$1:$GZ$1,0))&amp;"",""))</f>
        <v/>
      </c>
      <c r="BD400" s="0" t="str">
        <f aca="false">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P400" s="0" t="str">
        <f aca="false">IF($A400="","",IFERROR(INDEX(Enrichment!$A$2:$GZ$2000,MATCH($A400,INDEX(Enrichment!$A$2:$GZ$2000,0,MATCH("row_id",Enrichment!$A$1:$GZ$1,0)),0),MATCH("backup_work_email",Enrichment!$A$1:$GZ$1,0))&amp;"",""))</f>
        <v/>
      </c>
      <c r="BQ400" s="0" t="str">
        <f aca="false">IF($A400="","",IF(BP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DU400" s="0" t="str">
        <f aca="false">IF($A400="","",IF(R400="Y",10,0))</f>
        <v/>
      </c>
      <c r="EV400" s="0" t="str">
        <f aca="false">IF($A400="","",IF(ISNUMBER(MATCH(U400,{"queued","contacted","replied","call_booked","call_done","yes_in_principle","materials_sent"},0)),"Y","N"))</f>
        <v/>
      </c>
      <c r="EW400" s="0" t="str">
        <f aca="false">IF($A400="","",IF(OR(T400="Y",U400="do_not_contact",AQ400&amp;""&lt;&gt;""),"Y","N"))</f>
        <v/>
      </c>
      <c r="EX400" s="0" t="str">
        <f aca="false">IF($A400="","",IF(AN400&amp;""&lt;&gt;"",AN400&amp;"",$A400))</f>
        <v/>
      </c>
      <c r="EY400" s="0" t="str">
        <f aca="false">IF($A400="","",IF(COUNTIFS($EX$2:$EX$1000,EX400,$EV$2:$EV$1000,"Y")+COUNTIFS($EX$2:$EX$1000,EX400,$EW$2:$EW$1000,"Y")&gt;0,"Y","N"))</f>
        <v/>
      </c>
      <c r="EZ400" s="0" t="str">
        <f aca="false">IF($A400="","",IF(AND(U400="new",T400="N",EW400="N",AR400="Y",EY400="N"),"Y","N"))</f>
        <v/>
      </c>
      <c r="FA400" s="0" t="str">
        <f aca="false">IF($A400="","",IF(EZ400&lt;&gt;"Y","N",IF(COUNTIFS($EX$2:$EX$1000,EX400,$EZ$2:$EZ$1000,"Y",$J$2:$J$1000,"&gt;"&amp;J400)+COUNTIFS($EX$2:$EX$1000,EX400,$EZ$2:$EZ$1000,"Y",$J$2:$J$1000,J400,$FG$2:$FG$1000,"&lt;"&amp;FG400)=0,"Y","N")))</f>
        <v/>
      </c>
      <c r="FB400" s="0" t="str">
        <f aca="false">IF($A400="","",IF(AND(EZ400="Y",FA400="Y",Y400&amp;""&lt;&gt;""),IF(Y400&lt;=10,"Y","N"),"N"))</f>
        <v/>
      </c>
      <c r="FC400" s="0" t="str">
        <f aca="false">IF(FB400="Y",Y400,"")</f>
        <v/>
      </c>
      <c r="FD400" s="0" t="str">
        <f aca="false">IF($A400="","",IF(AND(CK400="pass",AU400="Y",AV400&lt;&gt;"Y",U400="new",EW400="N"),"Y","N"))</f>
        <v/>
      </c>
      <c r="FE400" s="0" t="str">
        <f aca="false">IF(FD400&lt;&gt;"Y","",IF(COUNTIFS($FD$2:$FD$1000,"Y",$J$2:$J$1000,"&gt;"&amp;J400)+COUNTIFS($FD$2:$FD$1000,"Y",$J$2:$J$1000,J400,$FG$2:$FG$1000,"&lt;"&amp;FG400)+1&lt;=30,COUNTIFS($FD$2:$FD$1000,"Y",$J$2:$J$1000,"&gt;"&amp;J400)+COUNTIFS($FD$2:$FD$1000,"Y",$J$2:$J$1000,J400,$FG$2:$FG$1000,"&lt;"&amp;FG400)+1,""))</f>
        <v/>
      </c>
      <c r="FF400" s="0" t="str">
        <f aca="false">IF(AND(_xlfn.ISFORMULA(C400),_xlfn.ISFORMULA(J400)),"Y","N")</f>
        <v>Y</v>
      </c>
      <c r="FG400" s="0" t="n">
        <f aca="false">ROW()-1</f>
        <v>399</v>
      </c>
    </row>
    <row r="401" customFormat="false" ht="15" hidden="false" customHeight="false" outlineLevel="0" collapsed="false">
      <c r="C401" s="0" t="str">
        <f aca="false">IF($A401="","",IF(AT401="Y",BL401&amp;"",AY401&amp;""))</f>
        <v/>
      </c>
      <c r="D401" s="0" t="str">
        <f aca="false">IF($A401="","",IF(AT401="Y",BM401&amp;"",AZ401&amp;""))</f>
        <v/>
      </c>
      <c r="E401" s="0" t="str">
        <f aca="false">IF($A401="","",IF(AT401="Y",BN401&amp;"",BA401&amp;""))</f>
        <v/>
      </c>
      <c r="F401" s="0" t="str">
        <f aca="false">IF($A401="","",IF(AT401="Y",BO401&amp;"",BB401&amp;""))</f>
        <v/>
      </c>
      <c r="G401" s="0" t="str">
        <f aca="false">IF($A401="","",IF(AT401="Y",BP401&amp;"",BC401&amp;""))</f>
        <v/>
      </c>
      <c r="H401" s="0" t="str">
        <f aca="false">IF($A401="","",IF(AT401="Y",BQ401&amp;"",BD401&amp;""))</f>
        <v/>
      </c>
      <c r="I401" s="0" t="str">
        <f aca="false">IF($A401="","",IF(R401="Y","warm-intro",IF(H401="verified","email",IF(C401&lt;&gt;"","linkedin",CA401&amp;""))))</f>
        <v/>
      </c>
      <c r="J401" s="0" t="str">
        <f aca="false">IF($A401="","",IF(CK401="pass",ROUND(N(DO401)+N(DP401)+N(DQ401)+N(DR401)+N(DS401)+N(DT401)+N(DU401)+N(DV401),0),0))</f>
        <v/>
      </c>
      <c r="K401" s="0" t="str">
        <f aca="false">IF($A401="","",IF(CK401&lt;&gt;"pass",BY401&amp;"",BY401&amp;", "&amp;IF(AT401="Y",BX401&amp;"",BK401&amp;"")&amp;BZ401&amp;IF(R401="Y","; known to the founder (+10)","")&amp;"."))</f>
        <v/>
      </c>
      <c r="R401" s="5"/>
      <c r="T401" s="5"/>
      <c r="U401" s="5"/>
      <c r="Y401" s="0" t="str">
        <f aca="false">IF(FA401&lt;&gt;"Y","",COUNTIFS($FA$2:$FA$1000,"Y",$J$2:$J$1000,"&gt;"&amp;J401)+COUNTIFS($FA$2:$FA$1000,"Y",$J$2:$J$1000,J401,$FG$2:$FG$1000,"&lt;"&amp;FG401)+1)</f>
        <v/>
      </c>
      <c r="AB401" s="0" t="str">
        <f aca="false">IF($A401="","",IF(AT401="Y",BW401&amp;"",BJ401&amp;""))</f>
        <v/>
      </c>
      <c r="AC401" s="0" t="str">
        <f aca="false">IF($A401="","",IF(AT401="Y",BR401&amp;"",BE401&amp;""))</f>
        <v/>
      </c>
      <c r="AD401" s="0" t="str">
        <f aca="false">IF($A401="","",IF(AT401="Y",BS401&amp;"",BF401&amp;""))</f>
        <v/>
      </c>
      <c r="AE401" s="0" t="str">
        <f aca="false">IF($A401="","",IF(AT401="Y",BT401&amp;"",BG401&amp;""))</f>
        <v/>
      </c>
      <c r="AF401" s="0" t="str">
        <f aca="false">IF($A401="","",IF(AT401="Y",BU401&amp;"",BH401&amp;""))</f>
        <v/>
      </c>
      <c r="AG401" s="0" t="str">
        <f aca="false">IF($A401="","",IF(AT401="Y",BV401&amp;"",BI401&amp;""))</f>
        <v/>
      </c>
      <c r="AO401" s="5"/>
      <c r="AR401" s="0" t="str">
        <f aca="false">IF($A401="","",IF(AND(CK401="pass",AO401&lt;&gt;"Y",C401&lt;&gt;"",OR(AU401&lt;&gt;"Y",AV401="Y")),"Y","N"))</f>
        <v/>
      </c>
      <c r="AS401" s="0" t="str">
        <f aca="false">IF($A401="","",_xlfn.TEXTJOIN("; ",TRUE(),IF(CK401&lt;&gt;"pass","gated out",""),IF(AO401="Y","on hold: "&amp;AP401,""),IF(C401="","no contact named on an opened page",""),IF(AND(AU401="Y",AV401&lt;&gt;"Y"),"founder review pending (Founder review tab)","")))</f>
        <v/>
      </c>
      <c r="BC401" s="0" t="str">
        <f aca="false">IF($A401="","",IFERROR(INDEX(Enrichment!$A$2:$GZ$2000,MATCH($A401,INDEX(Enrichment!$A$2:$GZ$2000,0,MATCH("row_id",Enrichment!$A$1:$GZ$1,0)),0),MATCH("work_email",Enrichment!$A$1:$GZ$1,0))&amp;"",""))</f>
        <v/>
      </c>
      <c r="BD401" s="0" t="str">
        <f aca="false">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P401" s="0" t="str">
        <f aca="false">IF($A401="","",IFERROR(INDEX(Enrichment!$A$2:$GZ$2000,MATCH($A401,INDEX(Enrichment!$A$2:$GZ$2000,0,MATCH("row_id",Enrichment!$A$1:$GZ$1,0)),0),MATCH("backup_work_email",Enrichment!$A$1:$GZ$1,0))&amp;"",""))</f>
        <v/>
      </c>
      <c r="BQ401" s="0" t="str">
        <f aca="false">IF($A401="","",IF(BP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DU401" s="0" t="str">
        <f aca="false">IF($A401="","",IF(R401="Y",10,0))</f>
        <v/>
      </c>
      <c r="EV401" s="0" t="str">
        <f aca="false">IF($A401="","",IF(ISNUMBER(MATCH(U401,{"queued","contacted","replied","call_booked","call_done","yes_in_principle","materials_sent"},0)),"Y","N"))</f>
        <v/>
      </c>
      <c r="EW401" s="0" t="str">
        <f aca="false">IF($A401="","",IF(OR(T401="Y",U401="do_not_contact",AQ401&amp;""&lt;&gt;""),"Y","N"))</f>
        <v/>
      </c>
      <c r="EX401" s="0" t="str">
        <f aca="false">IF($A401="","",IF(AN401&amp;""&lt;&gt;"",AN401&amp;"",$A401))</f>
        <v/>
      </c>
      <c r="EY401" s="0" t="str">
        <f aca="false">IF($A401="","",IF(COUNTIFS($EX$2:$EX$1000,EX401,$EV$2:$EV$1000,"Y")+COUNTIFS($EX$2:$EX$1000,EX401,$EW$2:$EW$1000,"Y")&gt;0,"Y","N"))</f>
        <v/>
      </c>
      <c r="EZ401" s="0" t="str">
        <f aca="false">IF($A401="","",IF(AND(U401="new",T401="N",EW401="N",AR401="Y",EY401="N"),"Y","N"))</f>
        <v/>
      </c>
      <c r="FA401" s="0" t="str">
        <f aca="false">IF($A401="","",IF(EZ401&lt;&gt;"Y","N",IF(COUNTIFS($EX$2:$EX$1000,EX401,$EZ$2:$EZ$1000,"Y",$J$2:$J$1000,"&gt;"&amp;J401)+COUNTIFS($EX$2:$EX$1000,EX401,$EZ$2:$EZ$1000,"Y",$J$2:$J$1000,J401,$FG$2:$FG$1000,"&lt;"&amp;FG401)=0,"Y","N")))</f>
        <v/>
      </c>
      <c r="FB401" s="0" t="str">
        <f aca="false">IF($A401="","",IF(AND(EZ401="Y",FA401="Y",Y401&amp;""&lt;&gt;""),IF(Y401&lt;=10,"Y","N"),"N"))</f>
        <v/>
      </c>
      <c r="FC401" s="0" t="str">
        <f aca="false">IF(FB401="Y",Y401,"")</f>
        <v/>
      </c>
      <c r="FD401" s="0" t="str">
        <f aca="false">IF($A401="","",IF(AND(CK401="pass",AU401="Y",AV401&lt;&gt;"Y",U401="new",EW401="N"),"Y","N"))</f>
        <v/>
      </c>
      <c r="FE401" s="0" t="str">
        <f aca="false">IF(FD401&lt;&gt;"Y","",IF(COUNTIFS($FD$2:$FD$1000,"Y",$J$2:$J$1000,"&gt;"&amp;J401)+COUNTIFS($FD$2:$FD$1000,"Y",$J$2:$J$1000,J401,$FG$2:$FG$1000,"&lt;"&amp;FG401)+1&lt;=30,COUNTIFS($FD$2:$FD$1000,"Y",$J$2:$J$1000,"&gt;"&amp;J401)+COUNTIFS($FD$2:$FD$1000,"Y",$J$2:$J$1000,J401,$FG$2:$FG$1000,"&lt;"&amp;FG401)+1,""))</f>
        <v/>
      </c>
      <c r="FF401" s="0" t="str">
        <f aca="false">IF(AND(_xlfn.ISFORMULA(C401),_xlfn.ISFORMULA(J401)),"Y","N")</f>
        <v>Y</v>
      </c>
      <c r="FG401" s="0" t="n">
        <f aca="false">ROW()-1</f>
        <v>400</v>
      </c>
    </row>
    <row r="402" customFormat="false" ht="15" hidden="false" customHeight="false" outlineLevel="0" collapsed="false">
      <c r="C402" s="0" t="str">
        <f aca="false">IF($A402="","",IF(AT402="Y",BL402&amp;"",AY402&amp;""))</f>
        <v/>
      </c>
      <c r="D402" s="0" t="str">
        <f aca="false">IF($A402="","",IF(AT402="Y",BM402&amp;"",AZ402&amp;""))</f>
        <v/>
      </c>
      <c r="E402" s="0" t="str">
        <f aca="false">IF($A402="","",IF(AT402="Y",BN402&amp;"",BA402&amp;""))</f>
        <v/>
      </c>
      <c r="F402" s="0" t="str">
        <f aca="false">IF($A402="","",IF(AT402="Y",BO402&amp;"",BB402&amp;""))</f>
        <v/>
      </c>
      <c r="G402" s="0" t="str">
        <f aca="false">IF($A402="","",IF(AT402="Y",BP402&amp;"",BC402&amp;""))</f>
        <v/>
      </c>
      <c r="H402" s="0" t="str">
        <f aca="false">IF($A402="","",IF(AT402="Y",BQ402&amp;"",BD402&amp;""))</f>
        <v/>
      </c>
      <c r="I402" s="0" t="str">
        <f aca="false">IF($A402="","",IF(R402="Y","warm-intro",IF(H402="verified","email",IF(C402&lt;&gt;"","linkedin",CA402&amp;""))))</f>
        <v/>
      </c>
      <c r="J402" s="0" t="str">
        <f aca="false">IF($A402="","",IF(CK402="pass",ROUND(N(DO402)+N(DP402)+N(DQ402)+N(DR402)+N(DS402)+N(DT402)+N(DU402)+N(DV402),0),0))</f>
        <v/>
      </c>
      <c r="K402" s="0" t="str">
        <f aca="false">IF($A402="","",IF(CK402&lt;&gt;"pass",BY402&amp;"",BY402&amp;", "&amp;IF(AT402="Y",BX402&amp;"",BK402&amp;"")&amp;BZ402&amp;IF(R402="Y","; known to the founder (+10)","")&amp;"."))</f>
        <v/>
      </c>
      <c r="R402" s="5"/>
      <c r="T402" s="5"/>
      <c r="U402" s="5"/>
      <c r="Y402" s="0" t="str">
        <f aca="false">IF(FA402&lt;&gt;"Y","",COUNTIFS($FA$2:$FA$1000,"Y",$J$2:$J$1000,"&gt;"&amp;J402)+COUNTIFS($FA$2:$FA$1000,"Y",$J$2:$J$1000,J402,$FG$2:$FG$1000,"&lt;"&amp;FG402)+1)</f>
        <v/>
      </c>
      <c r="AB402" s="0" t="str">
        <f aca="false">IF($A402="","",IF(AT402="Y",BW402&amp;"",BJ402&amp;""))</f>
        <v/>
      </c>
      <c r="AC402" s="0" t="str">
        <f aca="false">IF($A402="","",IF(AT402="Y",BR402&amp;"",BE402&amp;""))</f>
        <v/>
      </c>
      <c r="AD402" s="0" t="str">
        <f aca="false">IF($A402="","",IF(AT402="Y",BS402&amp;"",BF402&amp;""))</f>
        <v/>
      </c>
      <c r="AE402" s="0" t="str">
        <f aca="false">IF($A402="","",IF(AT402="Y",BT402&amp;"",BG402&amp;""))</f>
        <v/>
      </c>
      <c r="AF402" s="0" t="str">
        <f aca="false">IF($A402="","",IF(AT402="Y",BU402&amp;"",BH402&amp;""))</f>
        <v/>
      </c>
      <c r="AG402" s="0" t="str">
        <f aca="false">IF($A402="","",IF(AT402="Y",BV402&amp;"",BI402&amp;""))</f>
        <v/>
      </c>
      <c r="AO402" s="5"/>
      <c r="AR402" s="0" t="str">
        <f aca="false">IF($A402="","",IF(AND(CK402="pass",AO402&lt;&gt;"Y",C402&lt;&gt;"",OR(AU402&lt;&gt;"Y",AV402="Y")),"Y","N"))</f>
        <v/>
      </c>
      <c r="AS402" s="0" t="str">
        <f aca="false">IF($A402="","",_xlfn.TEXTJOIN("; ",TRUE(),IF(CK402&lt;&gt;"pass","gated out",""),IF(AO402="Y","on hold: "&amp;AP402,""),IF(C402="","no contact named on an opened page",""),IF(AND(AU402="Y",AV402&lt;&gt;"Y"),"founder review pending (Founder review tab)","")))</f>
        <v/>
      </c>
      <c r="BC402" s="0" t="str">
        <f aca="false">IF($A402="","",IFERROR(INDEX(Enrichment!$A$2:$GZ$2000,MATCH($A402,INDEX(Enrichment!$A$2:$GZ$2000,0,MATCH("row_id",Enrichment!$A$1:$GZ$1,0)),0),MATCH("work_email",Enrichment!$A$1:$GZ$1,0))&amp;"",""))</f>
        <v/>
      </c>
      <c r="BD402" s="0" t="str">
        <f aca="false">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P402" s="0" t="str">
        <f aca="false">IF($A402="","",IFERROR(INDEX(Enrichment!$A$2:$GZ$2000,MATCH($A402,INDEX(Enrichment!$A$2:$GZ$2000,0,MATCH("row_id",Enrichment!$A$1:$GZ$1,0)),0),MATCH("backup_work_email",Enrichment!$A$1:$GZ$1,0))&amp;"",""))</f>
        <v/>
      </c>
      <c r="BQ402" s="0" t="str">
        <f aca="false">IF($A402="","",IF(BP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DU402" s="0" t="str">
        <f aca="false">IF($A402="","",IF(R402="Y",10,0))</f>
        <v/>
      </c>
      <c r="EV402" s="0" t="str">
        <f aca="false">IF($A402="","",IF(ISNUMBER(MATCH(U402,{"queued","contacted","replied","call_booked","call_done","yes_in_principle","materials_sent"},0)),"Y","N"))</f>
        <v/>
      </c>
      <c r="EW402" s="0" t="str">
        <f aca="false">IF($A402="","",IF(OR(T402="Y",U402="do_not_contact",AQ402&amp;""&lt;&gt;""),"Y","N"))</f>
        <v/>
      </c>
      <c r="EX402" s="0" t="str">
        <f aca="false">IF($A402="","",IF(AN402&amp;""&lt;&gt;"",AN402&amp;"",$A402))</f>
        <v/>
      </c>
      <c r="EY402" s="0" t="str">
        <f aca="false">IF($A402="","",IF(COUNTIFS($EX$2:$EX$1000,EX402,$EV$2:$EV$1000,"Y")+COUNTIFS($EX$2:$EX$1000,EX402,$EW$2:$EW$1000,"Y")&gt;0,"Y","N"))</f>
        <v/>
      </c>
      <c r="EZ402" s="0" t="str">
        <f aca="false">IF($A402="","",IF(AND(U402="new",T402="N",EW402="N",AR402="Y",EY402="N"),"Y","N"))</f>
        <v/>
      </c>
      <c r="FA402" s="0" t="str">
        <f aca="false">IF($A402="","",IF(EZ402&lt;&gt;"Y","N",IF(COUNTIFS($EX$2:$EX$1000,EX402,$EZ$2:$EZ$1000,"Y",$J$2:$J$1000,"&gt;"&amp;J402)+COUNTIFS($EX$2:$EX$1000,EX402,$EZ$2:$EZ$1000,"Y",$J$2:$J$1000,J402,$FG$2:$FG$1000,"&lt;"&amp;FG402)=0,"Y","N")))</f>
        <v/>
      </c>
      <c r="FB402" s="0" t="str">
        <f aca="false">IF($A402="","",IF(AND(EZ402="Y",FA402="Y",Y402&amp;""&lt;&gt;""),IF(Y402&lt;=10,"Y","N"),"N"))</f>
        <v/>
      </c>
      <c r="FC402" s="0" t="str">
        <f aca="false">IF(FB402="Y",Y402,"")</f>
        <v/>
      </c>
      <c r="FD402" s="0" t="str">
        <f aca="false">IF($A402="","",IF(AND(CK402="pass",AU402="Y",AV402&lt;&gt;"Y",U402="new",EW402="N"),"Y","N"))</f>
        <v/>
      </c>
      <c r="FE402" s="0" t="str">
        <f aca="false">IF(FD402&lt;&gt;"Y","",IF(COUNTIFS($FD$2:$FD$1000,"Y",$J$2:$J$1000,"&gt;"&amp;J402)+COUNTIFS($FD$2:$FD$1000,"Y",$J$2:$J$1000,J402,$FG$2:$FG$1000,"&lt;"&amp;FG402)+1&lt;=30,COUNTIFS($FD$2:$FD$1000,"Y",$J$2:$J$1000,"&gt;"&amp;J402)+COUNTIFS($FD$2:$FD$1000,"Y",$J$2:$J$1000,J402,$FG$2:$FG$1000,"&lt;"&amp;FG402)+1,""))</f>
        <v/>
      </c>
      <c r="FF402" s="0" t="str">
        <f aca="false">IF(AND(_xlfn.ISFORMULA(C402),_xlfn.ISFORMULA(J402)),"Y","N")</f>
        <v>Y</v>
      </c>
      <c r="FG402" s="0" t="n">
        <f aca="false">ROW()-1</f>
        <v>401</v>
      </c>
    </row>
    <row r="403" customFormat="false" ht="15" hidden="false" customHeight="false" outlineLevel="0" collapsed="false">
      <c r="C403" s="0" t="str">
        <f aca="false">IF($A403="","",IF(AT403="Y",BL403&amp;"",AY403&amp;""))</f>
        <v/>
      </c>
      <c r="D403" s="0" t="str">
        <f aca="false">IF($A403="","",IF(AT403="Y",BM403&amp;"",AZ403&amp;""))</f>
        <v/>
      </c>
      <c r="E403" s="0" t="str">
        <f aca="false">IF($A403="","",IF(AT403="Y",BN403&amp;"",BA403&amp;""))</f>
        <v/>
      </c>
      <c r="F403" s="0" t="str">
        <f aca="false">IF($A403="","",IF(AT403="Y",BO403&amp;"",BB403&amp;""))</f>
        <v/>
      </c>
      <c r="G403" s="0" t="str">
        <f aca="false">IF($A403="","",IF(AT403="Y",BP403&amp;"",BC403&amp;""))</f>
        <v/>
      </c>
      <c r="H403" s="0" t="str">
        <f aca="false">IF($A403="","",IF(AT403="Y",BQ403&amp;"",BD403&amp;""))</f>
        <v/>
      </c>
      <c r="I403" s="0" t="str">
        <f aca="false">IF($A403="","",IF(R403="Y","warm-intro",IF(H403="verified","email",IF(C403&lt;&gt;"","linkedin",CA403&amp;""))))</f>
        <v/>
      </c>
      <c r="J403" s="0" t="str">
        <f aca="false">IF($A403="","",IF(CK403="pass",ROUND(N(DO403)+N(DP403)+N(DQ403)+N(DR403)+N(DS403)+N(DT403)+N(DU403)+N(DV403),0),0))</f>
        <v/>
      </c>
      <c r="K403" s="0" t="str">
        <f aca="false">IF($A403="","",IF(CK403&lt;&gt;"pass",BY403&amp;"",BY403&amp;", "&amp;IF(AT403="Y",BX403&amp;"",BK403&amp;"")&amp;BZ403&amp;IF(R403="Y","; known to the founder (+10)","")&amp;"."))</f>
        <v/>
      </c>
      <c r="R403" s="5"/>
      <c r="T403" s="5"/>
      <c r="U403" s="5"/>
      <c r="Y403" s="0" t="str">
        <f aca="false">IF(FA403&lt;&gt;"Y","",COUNTIFS($FA$2:$FA$1000,"Y",$J$2:$J$1000,"&gt;"&amp;J403)+COUNTIFS($FA$2:$FA$1000,"Y",$J$2:$J$1000,J403,$FG$2:$FG$1000,"&lt;"&amp;FG403)+1)</f>
        <v/>
      </c>
      <c r="AB403" s="0" t="str">
        <f aca="false">IF($A403="","",IF(AT403="Y",BW403&amp;"",BJ403&amp;""))</f>
        <v/>
      </c>
      <c r="AC403" s="0" t="str">
        <f aca="false">IF($A403="","",IF(AT403="Y",BR403&amp;"",BE403&amp;""))</f>
        <v/>
      </c>
      <c r="AD403" s="0" t="str">
        <f aca="false">IF($A403="","",IF(AT403="Y",BS403&amp;"",BF403&amp;""))</f>
        <v/>
      </c>
      <c r="AE403" s="0" t="str">
        <f aca="false">IF($A403="","",IF(AT403="Y",BT403&amp;"",BG403&amp;""))</f>
        <v/>
      </c>
      <c r="AF403" s="0" t="str">
        <f aca="false">IF($A403="","",IF(AT403="Y",BU403&amp;"",BH403&amp;""))</f>
        <v/>
      </c>
      <c r="AG403" s="0" t="str">
        <f aca="false">IF($A403="","",IF(AT403="Y",BV403&amp;"",BI403&amp;""))</f>
        <v/>
      </c>
      <c r="AO403" s="5"/>
      <c r="AR403" s="0" t="str">
        <f aca="false">IF($A403="","",IF(AND(CK403="pass",AO403&lt;&gt;"Y",C403&lt;&gt;"",OR(AU403&lt;&gt;"Y",AV403="Y")),"Y","N"))</f>
        <v/>
      </c>
      <c r="AS403" s="0" t="str">
        <f aca="false">IF($A403="","",_xlfn.TEXTJOIN("; ",TRUE(),IF(CK403&lt;&gt;"pass","gated out",""),IF(AO403="Y","on hold: "&amp;AP403,""),IF(C403="","no contact named on an opened page",""),IF(AND(AU403="Y",AV403&lt;&gt;"Y"),"founder review pending (Founder review tab)","")))</f>
        <v/>
      </c>
      <c r="BC403" s="0" t="str">
        <f aca="false">IF($A403="","",IFERROR(INDEX(Enrichment!$A$2:$GZ$2000,MATCH($A403,INDEX(Enrichment!$A$2:$GZ$2000,0,MATCH("row_id",Enrichment!$A$1:$GZ$1,0)),0),MATCH("work_email",Enrichment!$A$1:$GZ$1,0))&amp;"",""))</f>
        <v/>
      </c>
      <c r="BD403" s="0" t="str">
        <f aca="false">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P403" s="0" t="str">
        <f aca="false">IF($A403="","",IFERROR(INDEX(Enrichment!$A$2:$GZ$2000,MATCH($A403,INDEX(Enrichment!$A$2:$GZ$2000,0,MATCH("row_id",Enrichment!$A$1:$GZ$1,0)),0),MATCH("backup_work_email",Enrichment!$A$1:$GZ$1,0))&amp;"",""))</f>
        <v/>
      </c>
      <c r="BQ403" s="0" t="str">
        <f aca="false">IF($A403="","",IF(BP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DU403" s="0" t="str">
        <f aca="false">IF($A403="","",IF(R403="Y",10,0))</f>
        <v/>
      </c>
      <c r="EV403" s="0" t="str">
        <f aca="false">IF($A403="","",IF(ISNUMBER(MATCH(U403,{"queued","contacted","replied","call_booked","call_done","yes_in_principle","materials_sent"},0)),"Y","N"))</f>
        <v/>
      </c>
      <c r="EW403" s="0" t="str">
        <f aca="false">IF($A403="","",IF(OR(T403="Y",U403="do_not_contact",AQ403&amp;""&lt;&gt;""),"Y","N"))</f>
        <v/>
      </c>
      <c r="EX403" s="0" t="str">
        <f aca="false">IF($A403="","",IF(AN403&amp;""&lt;&gt;"",AN403&amp;"",$A403))</f>
        <v/>
      </c>
      <c r="EY403" s="0" t="str">
        <f aca="false">IF($A403="","",IF(COUNTIFS($EX$2:$EX$1000,EX403,$EV$2:$EV$1000,"Y")+COUNTIFS($EX$2:$EX$1000,EX403,$EW$2:$EW$1000,"Y")&gt;0,"Y","N"))</f>
        <v/>
      </c>
      <c r="EZ403" s="0" t="str">
        <f aca="false">IF($A403="","",IF(AND(U403="new",T403="N",EW403="N",AR403="Y",EY403="N"),"Y","N"))</f>
        <v/>
      </c>
      <c r="FA403" s="0" t="str">
        <f aca="false">IF($A403="","",IF(EZ403&lt;&gt;"Y","N",IF(COUNTIFS($EX$2:$EX$1000,EX403,$EZ$2:$EZ$1000,"Y",$J$2:$J$1000,"&gt;"&amp;J403)+COUNTIFS($EX$2:$EX$1000,EX403,$EZ$2:$EZ$1000,"Y",$J$2:$J$1000,J403,$FG$2:$FG$1000,"&lt;"&amp;FG403)=0,"Y","N")))</f>
        <v/>
      </c>
      <c r="FB403" s="0" t="str">
        <f aca="false">IF($A403="","",IF(AND(EZ403="Y",FA403="Y",Y403&amp;""&lt;&gt;""),IF(Y403&lt;=10,"Y","N"),"N"))</f>
        <v/>
      </c>
      <c r="FC403" s="0" t="str">
        <f aca="false">IF(FB403="Y",Y403,"")</f>
        <v/>
      </c>
      <c r="FD403" s="0" t="str">
        <f aca="false">IF($A403="","",IF(AND(CK403="pass",AU403="Y",AV403&lt;&gt;"Y",U403="new",EW403="N"),"Y","N"))</f>
        <v/>
      </c>
      <c r="FE403" s="0" t="str">
        <f aca="false">IF(FD403&lt;&gt;"Y","",IF(COUNTIFS($FD$2:$FD$1000,"Y",$J$2:$J$1000,"&gt;"&amp;J403)+COUNTIFS($FD$2:$FD$1000,"Y",$J$2:$J$1000,J403,$FG$2:$FG$1000,"&lt;"&amp;FG403)+1&lt;=30,COUNTIFS($FD$2:$FD$1000,"Y",$J$2:$J$1000,"&gt;"&amp;J403)+COUNTIFS($FD$2:$FD$1000,"Y",$J$2:$J$1000,J403,$FG$2:$FG$1000,"&lt;"&amp;FG403)+1,""))</f>
        <v/>
      </c>
      <c r="FF403" s="0" t="str">
        <f aca="false">IF(AND(_xlfn.ISFORMULA(C403),_xlfn.ISFORMULA(J403)),"Y","N")</f>
        <v>Y</v>
      </c>
      <c r="FG403" s="0" t="n">
        <f aca="false">ROW()-1</f>
        <v>402</v>
      </c>
    </row>
    <row r="404" customFormat="false" ht="15" hidden="false" customHeight="false" outlineLevel="0" collapsed="false">
      <c r="C404" s="0" t="str">
        <f aca="false">IF($A404="","",IF(AT404="Y",BL404&amp;"",AY404&amp;""))</f>
        <v/>
      </c>
      <c r="D404" s="0" t="str">
        <f aca="false">IF($A404="","",IF(AT404="Y",BM404&amp;"",AZ404&amp;""))</f>
        <v/>
      </c>
      <c r="E404" s="0" t="str">
        <f aca="false">IF($A404="","",IF(AT404="Y",BN404&amp;"",BA404&amp;""))</f>
        <v/>
      </c>
      <c r="F404" s="0" t="str">
        <f aca="false">IF($A404="","",IF(AT404="Y",BO404&amp;"",BB404&amp;""))</f>
        <v/>
      </c>
      <c r="G404" s="0" t="str">
        <f aca="false">IF($A404="","",IF(AT404="Y",BP404&amp;"",BC404&amp;""))</f>
        <v/>
      </c>
      <c r="H404" s="0" t="str">
        <f aca="false">IF($A404="","",IF(AT404="Y",BQ404&amp;"",BD404&amp;""))</f>
        <v/>
      </c>
      <c r="I404" s="0" t="str">
        <f aca="false">IF($A404="","",IF(R404="Y","warm-intro",IF(H404="verified","email",IF(C404&lt;&gt;"","linkedin",CA404&amp;""))))</f>
        <v/>
      </c>
      <c r="J404" s="0" t="str">
        <f aca="false">IF($A404="","",IF(CK404="pass",ROUND(N(DO404)+N(DP404)+N(DQ404)+N(DR404)+N(DS404)+N(DT404)+N(DU404)+N(DV404),0),0))</f>
        <v/>
      </c>
      <c r="K404" s="0" t="str">
        <f aca="false">IF($A404="","",IF(CK404&lt;&gt;"pass",BY404&amp;"",BY404&amp;", "&amp;IF(AT404="Y",BX404&amp;"",BK404&amp;"")&amp;BZ404&amp;IF(R404="Y","; known to the founder (+10)","")&amp;"."))</f>
        <v/>
      </c>
      <c r="R404" s="5"/>
      <c r="T404" s="5"/>
      <c r="U404" s="5"/>
      <c r="Y404" s="0" t="str">
        <f aca="false">IF(FA404&lt;&gt;"Y","",COUNTIFS($FA$2:$FA$1000,"Y",$J$2:$J$1000,"&gt;"&amp;J404)+COUNTIFS($FA$2:$FA$1000,"Y",$J$2:$J$1000,J404,$FG$2:$FG$1000,"&lt;"&amp;FG404)+1)</f>
        <v/>
      </c>
      <c r="AB404" s="0" t="str">
        <f aca="false">IF($A404="","",IF(AT404="Y",BW404&amp;"",BJ404&amp;""))</f>
        <v/>
      </c>
      <c r="AC404" s="0" t="str">
        <f aca="false">IF($A404="","",IF(AT404="Y",BR404&amp;"",BE404&amp;""))</f>
        <v/>
      </c>
      <c r="AD404" s="0" t="str">
        <f aca="false">IF($A404="","",IF(AT404="Y",BS404&amp;"",BF404&amp;""))</f>
        <v/>
      </c>
      <c r="AE404" s="0" t="str">
        <f aca="false">IF($A404="","",IF(AT404="Y",BT404&amp;"",BG404&amp;""))</f>
        <v/>
      </c>
      <c r="AF404" s="0" t="str">
        <f aca="false">IF($A404="","",IF(AT404="Y",BU404&amp;"",BH404&amp;""))</f>
        <v/>
      </c>
      <c r="AG404" s="0" t="str">
        <f aca="false">IF($A404="","",IF(AT404="Y",BV404&amp;"",BI404&amp;""))</f>
        <v/>
      </c>
      <c r="AO404" s="5"/>
      <c r="AR404" s="0" t="str">
        <f aca="false">IF($A404="","",IF(AND(CK404="pass",AO404&lt;&gt;"Y",C404&lt;&gt;"",OR(AU404&lt;&gt;"Y",AV404="Y")),"Y","N"))</f>
        <v/>
      </c>
      <c r="AS404" s="0" t="str">
        <f aca="false">IF($A404="","",_xlfn.TEXTJOIN("; ",TRUE(),IF(CK404&lt;&gt;"pass","gated out",""),IF(AO404="Y","on hold: "&amp;AP404,""),IF(C404="","no contact named on an opened page",""),IF(AND(AU404="Y",AV404&lt;&gt;"Y"),"founder review pending (Founder review tab)","")))</f>
        <v/>
      </c>
      <c r="BC404" s="0" t="str">
        <f aca="false">IF($A404="","",IFERROR(INDEX(Enrichment!$A$2:$GZ$2000,MATCH($A404,INDEX(Enrichment!$A$2:$GZ$2000,0,MATCH("row_id",Enrichment!$A$1:$GZ$1,0)),0),MATCH("work_email",Enrichment!$A$1:$GZ$1,0))&amp;"",""))</f>
        <v/>
      </c>
      <c r="BD404" s="0" t="str">
        <f aca="false">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P404" s="0" t="str">
        <f aca="false">IF($A404="","",IFERROR(INDEX(Enrichment!$A$2:$GZ$2000,MATCH($A404,INDEX(Enrichment!$A$2:$GZ$2000,0,MATCH("row_id",Enrichment!$A$1:$GZ$1,0)),0),MATCH("backup_work_email",Enrichment!$A$1:$GZ$1,0))&amp;"",""))</f>
        <v/>
      </c>
      <c r="BQ404" s="0" t="str">
        <f aca="false">IF($A404="","",IF(BP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DU404" s="0" t="str">
        <f aca="false">IF($A404="","",IF(R404="Y",10,0))</f>
        <v/>
      </c>
      <c r="EV404" s="0" t="str">
        <f aca="false">IF($A404="","",IF(ISNUMBER(MATCH(U404,{"queued","contacted","replied","call_booked","call_done","yes_in_principle","materials_sent"},0)),"Y","N"))</f>
        <v/>
      </c>
      <c r="EW404" s="0" t="str">
        <f aca="false">IF($A404="","",IF(OR(T404="Y",U404="do_not_contact",AQ404&amp;""&lt;&gt;""),"Y","N"))</f>
        <v/>
      </c>
      <c r="EX404" s="0" t="str">
        <f aca="false">IF($A404="","",IF(AN404&amp;""&lt;&gt;"",AN404&amp;"",$A404))</f>
        <v/>
      </c>
      <c r="EY404" s="0" t="str">
        <f aca="false">IF($A404="","",IF(COUNTIFS($EX$2:$EX$1000,EX404,$EV$2:$EV$1000,"Y")+COUNTIFS($EX$2:$EX$1000,EX404,$EW$2:$EW$1000,"Y")&gt;0,"Y","N"))</f>
        <v/>
      </c>
      <c r="EZ404" s="0" t="str">
        <f aca="false">IF($A404="","",IF(AND(U404="new",T404="N",EW404="N",AR404="Y",EY404="N"),"Y","N"))</f>
        <v/>
      </c>
      <c r="FA404" s="0" t="str">
        <f aca="false">IF($A404="","",IF(EZ404&lt;&gt;"Y","N",IF(COUNTIFS($EX$2:$EX$1000,EX404,$EZ$2:$EZ$1000,"Y",$J$2:$J$1000,"&gt;"&amp;J404)+COUNTIFS($EX$2:$EX$1000,EX404,$EZ$2:$EZ$1000,"Y",$J$2:$J$1000,J404,$FG$2:$FG$1000,"&lt;"&amp;FG404)=0,"Y","N")))</f>
        <v/>
      </c>
      <c r="FB404" s="0" t="str">
        <f aca="false">IF($A404="","",IF(AND(EZ404="Y",FA404="Y",Y404&amp;""&lt;&gt;""),IF(Y404&lt;=10,"Y","N"),"N"))</f>
        <v/>
      </c>
      <c r="FC404" s="0" t="str">
        <f aca="false">IF(FB404="Y",Y404,"")</f>
        <v/>
      </c>
      <c r="FD404" s="0" t="str">
        <f aca="false">IF($A404="","",IF(AND(CK404="pass",AU404="Y",AV404&lt;&gt;"Y",U404="new",EW404="N"),"Y","N"))</f>
        <v/>
      </c>
      <c r="FE404" s="0" t="str">
        <f aca="false">IF(FD404&lt;&gt;"Y","",IF(COUNTIFS($FD$2:$FD$1000,"Y",$J$2:$J$1000,"&gt;"&amp;J404)+COUNTIFS($FD$2:$FD$1000,"Y",$J$2:$J$1000,J404,$FG$2:$FG$1000,"&lt;"&amp;FG404)+1&lt;=30,COUNTIFS($FD$2:$FD$1000,"Y",$J$2:$J$1000,"&gt;"&amp;J404)+COUNTIFS($FD$2:$FD$1000,"Y",$J$2:$J$1000,J404,$FG$2:$FG$1000,"&lt;"&amp;FG404)+1,""))</f>
        <v/>
      </c>
      <c r="FF404" s="0" t="str">
        <f aca="false">IF(AND(_xlfn.ISFORMULA(C404),_xlfn.ISFORMULA(J404)),"Y","N")</f>
        <v>Y</v>
      </c>
      <c r="FG404" s="0" t="n">
        <f aca="false">ROW()-1</f>
        <v>403</v>
      </c>
    </row>
    <row r="405" customFormat="false" ht="15" hidden="false" customHeight="false" outlineLevel="0" collapsed="false">
      <c r="C405" s="0" t="str">
        <f aca="false">IF($A405="","",IF(AT405="Y",BL405&amp;"",AY405&amp;""))</f>
        <v/>
      </c>
      <c r="D405" s="0" t="str">
        <f aca="false">IF($A405="","",IF(AT405="Y",BM405&amp;"",AZ405&amp;""))</f>
        <v/>
      </c>
      <c r="E405" s="0" t="str">
        <f aca="false">IF($A405="","",IF(AT405="Y",BN405&amp;"",BA405&amp;""))</f>
        <v/>
      </c>
      <c r="F405" s="0" t="str">
        <f aca="false">IF($A405="","",IF(AT405="Y",BO405&amp;"",BB405&amp;""))</f>
        <v/>
      </c>
      <c r="G405" s="0" t="str">
        <f aca="false">IF($A405="","",IF(AT405="Y",BP405&amp;"",BC405&amp;""))</f>
        <v/>
      </c>
      <c r="H405" s="0" t="str">
        <f aca="false">IF($A405="","",IF(AT405="Y",BQ405&amp;"",BD405&amp;""))</f>
        <v/>
      </c>
      <c r="I405" s="0" t="str">
        <f aca="false">IF($A405="","",IF(R405="Y","warm-intro",IF(H405="verified","email",IF(C405&lt;&gt;"","linkedin",CA405&amp;""))))</f>
        <v/>
      </c>
      <c r="J405" s="0" t="str">
        <f aca="false">IF($A405="","",IF(CK405="pass",ROUND(N(DO405)+N(DP405)+N(DQ405)+N(DR405)+N(DS405)+N(DT405)+N(DU405)+N(DV405),0),0))</f>
        <v/>
      </c>
      <c r="K405" s="0" t="str">
        <f aca="false">IF($A405="","",IF(CK405&lt;&gt;"pass",BY405&amp;"",BY405&amp;", "&amp;IF(AT405="Y",BX405&amp;"",BK405&amp;"")&amp;BZ405&amp;IF(R405="Y","; known to the founder (+10)","")&amp;"."))</f>
        <v/>
      </c>
      <c r="R405" s="5"/>
      <c r="T405" s="5"/>
      <c r="U405" s="5"/>
      <c r="Y405" s="0" t="str">
        <f aca="false">IF(FA405&lt;&gt;"Y","",COUNTIFS($FA$2:$FA$1000,"Y",$J$2:$J$1000,"&gt;"&amp;J405)+COUNTIFS($FA$2:$FA$1000,"Y",$J$2:$J$1000,J405,$FG$2:$FG$1000,"&lt;"&amp;FG405)+1)</f>
        <v/>
      </c>
      <c r="AB405" s="0" t="str">
        <f aca="false">IF($A405="","",IF(AT405="Y",BW405&amp;"",BJ405&amp;""))</f>
        <v/>
      </c>
      <c r="AC405" s="0" t="str">
        <f aca="false">IF($A405="","",IF(AT405="Y",BR405&amp;"",BE405&amp;""))</f>
        <v/>
      </c>
      <c r="AD405" s="0" t="str">
        <f aca="false">IF($A405="","",IF(AT405="Y",BS405&amp;"",BF405&amp;""))</f>
        <v/>
      </c>
      <c r="AE405" s="0" t="str">
        <f aca="false">IF($A405="","",IF(AT405="Y",BT405&amp;"",BG405&amp;""))</f>
        <v/>
      </c>
      <c r="AF405" s="0" t="str">
        <f aca="false">IF($A405="","",IF(AT405="Y",BU405&amp;"",BH405&amp;""))</f>
        <v/>
      </c>
      <c r="AG405" s="0" t="str">
        <f aca="false">IF($A405="","",IF(AT405="Y",BV405&amp;"",BI405&amp;""))</f>
        <v/>
      </c>
      <c r="AO405" s="5"/>
      <c r="AR405" s="0" t="str">
        <f aca="false">IF($A405="","",IF(AND(CK405="pass",AO405&lt;&gt;"Y",C405&lt;&gt;"",OR(AU405&lt;&gt;"Y",AV405="Y")),"Y","N"))</f>
        <v/>
      </c>
      <c r="AS405" s="0" t="str">
        <f aca="false">IF($A405="","",_xlfn.TEXTJOIN("; ",TRUE(),IF(CK405&lt;&gt;"pass","gated out",""),IF(AO405="Y","on hold: "&amp;AP405,""),IF(C405="","no contact named on an opened page",""),IF(AND(AU405="Y",AV405&lt;&gt;"Y"),"founder review pending (Founder review tab)","")))</f>
        <v/>
      </c>
      <c r="BC405" s="0" t="str">
        <f aca="false">IF($A405="","",IFERROR(INDEX(Enrichment!$A$2:$GZ$2000,MATCH($A405,INDEX(Enrichment!$A$2:$GZ$2000,0,MATCH("row_id",Enrichment!$A$1:$GZ$1,0)),0),MATCH("work_email",Enrichment!$A$1:$GZ$1,0))&amp;"",""))</f>
        <v/>
      </c>
      <c r="BD405" s="0" t="str">
        <f aca="false">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P405" s="0" t="str">
        <f aca="false">IF($A405="","",IFERROR(INDEX(Enrichment!$A$2:$GZ$2000,MATCH($A405,INDEX(Enrichment!$A$2:$GZ$2000,0,MATCH("row_id",Enrichment!$A$1:$GZ$1,0)),0),MATCH("backup_work_email",Enrichment!$A$1:$GZ$1,0))&amp;"",""))</f>
        <v/>
      </c>
      <c r="BQ405" s="0" t="str">
        <f aca="false">IF($A405="","",IF(BP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DU405" s="0" t="str">
        <f aca="false">IF($A405="","",IF(R405="Y",10,0))</f>
        <v/>
      </c>
      <c r="EV405" s="0" t="str">
        <f aca="false">IF($A405="","",IF(ISNUMBER(MATCH(U405,{"queued","contacted","replied","call_booked","call_done","yes_in_principle","materials_sent"},0)),"Y","N"))</f>
        <v/>
      </c>
      <c r="EW405" s="0" t="str">
        <f aca="false">IF($A405="","",IF(OR(T405="Y",U405="do_not_contact",AQ405&amp;""&lt;&gt;""),"Y","N"))</f>
        <v/>
      </c>
      <c r="EX405" s="0" t="str">
        <f aca="false">IF($A405="","",IF(AN405&amp;""&lt;&gt;"",AN405&amp;"",$A405))</f>
        <v/>
      </c>
      <c r="EY405" s="0" t="str">
        <f aca="false">IF($A405="","",IF(COUNTIFS($EX$2:$EX$1000,EX405,$EV$2:$EV$1000,"Y")+COUNTIFS($EX$2:$EX$1000,EX405,$EW$2:$EW$1000,"Y")&gt;0,"Y","N"))</f>
        <v/>
      </c>
      <c r="EZ405" s="0" t="str">
        <f aca="false">IF($A405="","",IF(AND(U405="new",T405="N",EW405="N",AR405="Y",EY405="N"),"Y","N"))</f>
        <v/>
      </c>
      <c r="FA405" s="0" t="str">
        <f aca="false">IF($A405="","",IF(EZ405&lt;&gt;"Y","N",IF(COUNTIFS($EX$2:$EX$1000,EX405,$EZ$2:$EZ$1000,"Y",$J$2:$J$1000,"&gt;"&amp;J405)+COUNTIFS($EX$2:$EX$1000,EX405,$EZ$2:$EZ$1000,"Y",$J$2:$J$1000,J405,$FG$2:$FG$1000,"&lt;"&amp;FG405)=0,"Y","N")))</f>
        <v/>
      </c>
      <c r="FB405" s="0" t="str">
        <f aca="false">IF($A405="","",IF(AND(EZ405="Y",FA405="Y",Y405&amp;""&lt;&gt;""),IF(Y405&lt;=10,"Y","N"),"N"))</f>
        <v/>
      </c>
      <c r="FC405" s="0" t="str">
        <f aca="false">IF(FB405="Y",Y405,"")</f>
        <v/>
      </c>
      <c r="FD405" s="0" t="str">
        <f aca="false">IF($A405="","",IF(AND(CK405="pass",AU405="Y",AV405&lt;&gt;"Y",U405="new",EW405="N"),"Y","N"))</f>
        <v/>
      </c>
      <c r="FE405" s="0" t="str">
        <f aca="false">IF(FD405&lt;&gt;"Y","",IF(COUNTIFS($FD$2:$FD$1000,"Y",$J$2:$J$1000,"&gt;"&amp;J405)+COUNTIFS($FD$2:$FD$1000,"Y",$J$2:$J$1000,J405,$FG$2:$FG$1000,"&lt;"&amp;FG405)+1&lt;=30,COUNTIFS($FD$2:$FD$1000,"Y",$J$2:$J$1000,"&gt;"&amp;J405)+COUNTIFS($FD$2:$FD$1000,"Y",$J$2:$J$1000,J405,$FG$2:$FG$1000,"&lt;"&amp;FG405)+1,""))</f>
        <v/>
      </c>
      <c r="FF405" s="0" t="str">
        <f aca="false">IF(AND(_xlfn.ISFORMULA(C405),_xlfn.ISFORMULA(J405)),"Y","N")</f>
        <v>Y</v>
      </c>
      <c r="FG405" s="0" t="n">
        <f aca="false">ROW()-1</f>
        <v>404</v>
      </c>
    </row>
    <row r="406" customFormat="false" ht="15" hidden="false" customHeight="false" outlineLevel="0" collapsed="false">
      <c r="C406" s="0" t="str">
        <f aca="false">IF($A406="","",IF(AT406="Y",BL406&amp;"",AY406&amp;""))</f>
        <v/>
      </c>
      <c r="D406" s="0" t="str">
        <f aca="false">IF($A406="","",IF(AT406="Y",BM406&amp;"",AZ406&amp;""))</f>
        <v/>
      </c>
      <c r="E406" s="0" t="str">
        <f aca="false">IF($A406="","",IF(AT406="Y",BN406&amp;"",BA406&amp;""))</f>
        <v/>
      </c>
      <c r="F406" s="0" t="str">
        <f aca="false">IF($A406="","",IF(AT406="Y",BO406&amp;"",BB406&amp;""))</f>
        <v/>
      </c>
      <c r="G406" s="0" t="str">
        <f aca="false">IF($A406="","",IF(AT406="Y",BP406&amp;"",BC406&amp;""))</f>
        <v/>
      </c>
      <c r="H406" s="0" t="str">
        <f aca="false">IF($A406="","",IF(AT406="Y",BQ406&amp;"",BD406&amp;""))</f>
        <v/>
      </c>
      <c r="I406" s="0" t="str">
        <f aca="false">IF($A406="","",IF(R406="Y","warm-intro",IF(H406="verified","email",IF(C406&lt;&gt;"","linkedin",CA406&amp;""))))</f>
        <v/>
      </c>
      <c r="J406" s="0" t="str">
        <f aca="false">IF($A406="","",IF(CK406="pass",ROUND(N(DO406)+N(DP406)+N(DQ406)+N(DR406)+N(DS406)+N(DT406)+N(DU406)+N(DV406),0),0))</f>
        <v/>
      </c>
      <c r="K406" s="0" t="str">
        <f aca="false">IF($A406="","",IF(CK406&lt;&gt;"pass",BY406&amp;"",BY406&amp;", "&amp;IF(AT406="Y",BX406&amp;"",BK406&amp;"")&amp;BZ406&amp;IF(R406="Y","; known to the founder (+10)","")&amp;"."))</f>
        <v/>
      </c>
      <c r="R406" s="5"/>
      <c r="T406" s="5"/>
      <c r="U406" s="5"/>
      <c r="Y406" s="0" t="str">
        <f aca="false">IF(FA406&lt;&gt;"Y","",COUNTIFS($FA$2:$FA$1000,"Y",$J$2:$J$1000,"&gt;"&amp;J406)+COUNTIFS($FA$2:$FA$1000,"Y",$J$2:$J$1000,J406,$FG$2:$FG$1000,"&lt;"&amp;FG406)+1)</f>
        <v/>
      </c>
      <c r="AB406" s="0" t="str">
        <f aca="false">IF($A406="","",IF(AT406="Y",BW406&amp;"",BJ406&amp;""))</f>
        <v/>
      </c>
      <c r="AC406" s="0" t="str">
        <f aca="false">IF($A406="","",IF(AT406="Y",BR406&amp;"",BE406&amp;""))</f>
        <v/>
      </c>
      <c r="AD406" s="0" t="str">
        <f aca="false">IF($A406="","",IF(AT406="Y",BS406&amp;"",BF406&amp;""))</f>
        <v/>
      </c>
      <c r="AE406" s="0" t="str">
        <f aca="false">IF($A406="","",IF(AT406="Y",BT406&amp;"",BG406&amp;""))</f>
        <v/>
      </c>
      <c r="AF406" s="0" t="str">
        <f aca="false">IF($A406="","",IF(AT406="Y",BU406&amp;"",BH406&amp;""))</f>
        <v/>
      </c>
      <c r="AG406" s="0" t="str">
        <f aca="false">IF($A406="","",IF(AT406="Y",BV406&amp;"",BI406&amp;""))</f>
        <v/>
      </c>
      <c r="AO406" s="5"/>
      <c r="AR406" s="0" t="str">
        <f aca="false">IF($A406="","",IF(AND(CK406="pass",AO406&lt;&gt;"Y",C406&lt;&gt;"",OR(AU406&lt;&gt;"Y",AV406="Y")),"Y","N"))</f>
        <v/>
      </c>
      <c r="AS406" s="0" t="str">
        <f aca="false">IF($A406="","",_xlfn.TEXTJOIN("; ",TRUE(),IF(CK406&lt;&gt;"pass","gated out",""),IF(AO406="Y","on hold: "&amp;AP406,""),IF(C406="","no contact named on an opened page",""),IF(AND(AU406="Y",AV406&lt;&gt;"Y"),"founder review pending (Founder review tab)","")))</f>
        <v/>
      </c>
      <c r="BC406" s="0" t="str">
        <f aca="false">IF($A406="","",IFERROR(INDEX(Enrichment!$A$2:$GZ$2000,MATCH($A406,INDEX(Enrichment!$A$2:$GZ$2000,0,MATCH("row_id",Enrichment!$A$1:$GZ$1,0)),0),MATCH("work_email",Enrichment!$A$1:$GZ$1,0))&amp;"",""))</f>
        <v/>
      </c>
      <c r="BD406" s="0" t="str">
        <f aca="false">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P406" s="0" t="str">
        <f aca="false">IF($A406="","",IFERROR(INDEX(Enrichment!$A$2:$GZ$2000,MATCH($A406,INDEX(Enrichment!$A$2:$GZ$2000,0,MATCH("row_id",Enrichment!$A$1:$GZ$1,0)),0),MATCH("backup_work_email",Enrichment!$A$1:$GZ$1,0))&amp;"",""))</f>
        <v/>
      </c>
      <c r="BQ406" s="0" t="str">
        <f aca="false">IF($A406="","",IF(BP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DU406" s="0" t="str">
        <f aca="false">IF($A406="","",IF(R406="Y",10,0))</f>
        <v/>
      </c>
      <c r="EV406" s="0" t="str">
        <f aca="false">IF($A406="","",IF(ISNUMBER(MATCH(U406,{"queued","contacted","replied","call_booked","call_done","yes_in_principle","materials_sent"},0)),"Y","N"))</f>
        <v/>
      </c>
      <c r="EW406" s="0" t="str">
        <f aca="false">IF($A406="","",IF(OR(T406="Y",U406="do_not_contact",AQ406&amp;""&lt;&gt;""),"Y","N"))</f>
        <v/>
      </c>
      <c r="EX406" s="0" t="str">
        <f aca="false">IF($A406="","",IF(AN406&amp;""&lt;&gt;"",AN406&amp;"",$A406))</f>
        <v/>
      </c>
      <c r="EY406" s="0" t="str">
        <f aca="false">IF($A406="","",IF(COUNTIFS($EX$2:$EX$1000,EX406,$EV$2:$EV$1000,"Y")+COUNTIFS($EX$2:$EX$1000,EX406,$EW$2:$EW$1000,"Y")&gt;0,"Y","N"))</f>
        <v/>
      </c>
      <c r="EZ406" s="0" t="str">
        <f aca="false">IF($A406="","",IF(AND(U406="new",T406="N",EW406="N",AR406="Y",EY406="N"),"Y","N"))</f>
        <v/>
      </c>
      <c r="FA406" s="0" t="str">
        <f aca="false">IF($A406="","",IF(EZ406&lt;&gt;"Y","N",IF(COUNTIFS($EX$2:$EX$1000,EX406,$EZ$2:$EZ$1000,"Y",$J$2:$J$1000,"&gt;"&amp;J406)+COUNTIFS($EX$2:$EX$1000,EX406,$EZ$2:$EZ$1000,"Y",$J$2:$J$1000,J406,$FG$2:$FG$1000,"&lt;"&amp;FG406)=0,"Y","N")))</f>
        <v/>
      </c>
      <c r="FB406" s="0" t="str">
        <f aca="false">IF($A406="","",IF(AND(EZ406="Y",FA406="Y",Y406&amp;""&lt;&gt;""),IF(Y406&lt;=10,"Y","N"),"N"))</f>
        <v/>
      </c>
      <c r="FC406" s="0" t="str">
        <f aca="false">IF(FB406="Y",Y406,"")</f>
        <v/>
      </c>
      <c r="FD406" s="0" t="str">
        <f aca="false">IF($A406="","",IF(AND(CK406="pass",AU406="Y",AV406&lt;&gt;"Y",U406="new",EW406="N"),"Y","N"))</f>
        <v/>
      </c>
      <c r="FE406" s="0" t="str">
        <f aca="false">IF(FD406&lt;&gt;"Y","",IF(COUNTIFS($FD$2:$FD$1000,"Y",$J$2:$J$1000,"&gt;"&amp;J406)+COUNTIFS($FD$2:$FD$1000,"Y",$J$2:$J$1000,J406,$FG$2:$FG$1000,"&lt;"&amp;FG406)+1&lt;=30,COUNTIFS($FD$2:$FD$1000,"Y",$J$2:$J$1000,"&gt;"&amp;J406)+COUNTIFS($FD$2:$FD$1000,"Y",$J$2:$J$1000,J406,$FG$2:$FG$1000,"&lt;"&amp;FG406)+1,""))</f>
        <v/>
      </c>
      <c r="FF406" s="0" t="str">
        <f aca="false">IF(AND(_xlfn.ISFORMULA(C406),_xlfn.ISFORMULA(J406)),"Y","N")</f>
        <v>Y</v>
      </c>
      <c r="FG406" s="0" t="n">
        <f aca="false">ROW()-1</f>
        <v>405</v>
      </c>
    </row>
    <row r="407" customFormat="false" ht="15" hidden="false" customHeight="false" outlineLevel="0" collapsed="false">
      <c r="C407" s="0" t="str">
        <f aca="false">IF($A407="","",IF(AT407="Y",BL407&amp;"",AY407&amp;""))</f>
        <v/>
      </c>
      <c r="D407" s="0" t="str">
        <f aca="false">IF($A407="","",IF(AT407="Y",BM407&amp;"",AZ407&amp;""))</f>
        <v/>
      </c>
      <c r="E407" s="0" t="str">
        <f aca="false">IF($A407="","",IF(AT407="Y",BN407&amp;"",BA407&amp;""))</f>
        <v/>
      </c>
      <c r="F407" s="0" t="str">
        <f aca="false">IF($A407="","",IF(AT407="Y",BO407&amp;"",BB407&amp;""))</f>
        <v/>
      </c>
      <c r="G407" s="0" t="str">
        <f aca="false">IF($A407="","",IF(AT407="Y",BP407&amp;"",BC407&amp;""))</f>
        <v/>
      </c>
      <c r="H407" s="0" t="str">
        <f aca="false">IF($A407="","",IF(AT407="Y",BQ407&amp;"",BD407&amp;""))</f>
        <v/>
      </c>
      <c r="I407" s="0" t="str">
        <f aca="false">IF($A407="","",IF(R407="Y","warm-intro",IF(H407="verified","email",IF(C407&lt;&gt;"","linkedin",CA407&amp;""))))</f>
        <v/>
      </c>
      <c r="J407" s="0" t="str">
        <f aca="false">IF($A407="","",IF(CK407="pass",ROUND(N(DO407)+N(DP407)+N(DQ407)+N(DR407)+N(DS407)+N(DT407)+N(DU407)+N(DV407),0),0))</f>
        <v/>
      </c>
      <c r="K407" s="0" t="str">
        <f aca="false">IF($A407="","",IF(CK407&lt;&gt;"pass",BY407&amp;"",BY407&amp;", "&amp;IF(AT407="Y",BX407&amp;"",BK407&amp;"")&amp;BZ407&amp;IF(R407="Y","; known to the founder (+10)","")&amp;"."))</f>
        <v/>
      </c>
      <c r="R407" s="5"/>
      <c r="T407" s="5"/>
      <c r="U407" s="5"/>
      <c r="Y407" s="0" t="str">
        <f aca="false">IF(FA407&lt;&gt;"Y","",COUNTIFS($FA$2:$FA$1000,"Y",$J$2:$J$1000,"&gt;"&amp;J407)+COUNTIFS($FA$2:$FA$1000,"Y",$J$2:$J$1000,J407,$FG$2:$FG$1000,"&lt;"&amp;FG407)+1)</f>
        <v/>
      </c>
      <c r="AB407" s="0" t="str">
        <f aca="false">IF($A407="","",IF(AT407="Y",BW407&amp;"",BJ407&amp;""))</f>
        <v/>
      </c>
      <c r="AC407" s="0" t="str">
        <f aca="false">IF($A407="","",IF(AT407="Y",BR407&amp;"",BE407&amp;""))</f>
        <v/>
      </c>
      <c r="AD407" s="0" t="str">
        <f aca="false">IF($A407="","",IF(AT407="Y",BS407&amp;"",BF407&amp;""))</f>
        <v/>
      </c>
      <c r="AE407" s="0" t="str">
        <f aca="false">IF($A407="","",IF(AT407="Y",BT407&amp;"",BG407&amp;""))</f>
        <v/>
      </c>
      <c r="AF407" s="0" t="str">
        <f aca="false">IF($A407="","",IF(AT407="Y",BU407&amp;"",BH407&amp;""))</f>
        <v/>
      </c>
      <c r="AG407" s="0" t="str">
        <f aca="false">IF($A407="","",IF(AT407="Y",BV407&amp;"",BI407&amp;""))</f>
        <v/>
      </c>
      <c r="AO407" s="5"/>
      <c r="AR407" s="0" t="str">
        <f aca="false">IF($A407="","",IF(AND(CK407="pass",AO407&lt;&gt;"Y",C407&lt;&gt;"",OR(AU407&lt;&gt;"Y",AV407="Y")),"Y","N"))</f>
        <v/>
      </c>
      <c r="AS407" s="0" t="str">
        <f aca="false">IF($A407="","",_xlfn.TEXTJOIN("; ",TRUE(),IF(CK407&lt;&gt;"pass","gated out",""),IF(AO407="Y","on hold: "&amp;AP407,""),IF(C407="","no contact named on an opened page",""),IF(AND(AU407="Y",AV407&lt;&gt;"Y"),"founder review pending (Founder review tab)","")))</f>
        <v/>
      </c>
      <c r="BC407" s="0" t="str">
        <f aca="false">IF($A407="","",IFERROR(INDEX(Enrichment!$A$2:$GZ$2000,MATCH($A407,INDEX(Enrichment!$A$2:$GZ$2000,0,MATCH("row_id",Enrichment!$A$1:$GZ$1,0)),0),MATCH("work_email",Enrichment!$A$1:$GZ$1,0))&amp;"",""))</f>
        <v/>
      </c>
      <c r="BD407" s="0" t="str">
        <f aca="false">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P407" s="0" t="str">
        <f aca="false">IF($A407="","",IFERROR(INDEX(Enrichment!$A$2:$GZ$2000,MATCH($A407,INDEX(Enrichment!$A$2:$GZ$2000,0,MATCH("row_id",Enrichment!$A$1:$GZ$1,0)),0),MATCH("backup_work_email",Enrichment!$A$1:$GZ$1,0))&amp;"",""))</f>
        <v/>
      </c>
      <c r="BQ407" s="0" t="str">
        <f aca="false">IF($A407="","",IF(BP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DU407" s="0" t="str">
        <f aca="false">IF($A407="","",IF(R407="Y",10,0))</f>
        <v/>
      </c>
      <c r="EV407" s="0" t="str">
        <f aca="false">IF($A407="","",IF(ISNUMBER(MATCH(U407,{"queued","contacted","replied","call_booked","call_done","yes_in_principle","materials_sent"},0)),"Y","N"))</f>
        <v/>
      </c>
      <c r="EW407" s="0" t="str">
        <f aca="false">IF($A407="","",IF(OR(T407="Y",U407="do_not_contact",AQ407&amp;""&lt;&gt;""),"Y","N"))</f>
        <v/>
      </c>
      <c r="EX407" s="0" t="str">
        <f aca="false">IF($A407="","",IF(AN407&amp;""&lt;&gt;"",AN407&amp;"",$A407))</f>
        <v/>
      </c>
      <c r="EY407" s="0" t="str">
        <f aca="false">IF($A407="","",IF(COUNTIFS($EX$2:$EX$1000,EX407,$EV$2:$EV$1000,"Y")+COUNTIFS($EX$2:$EX$1000,EX407,$EW$2:$EW$1000,"Y")&gt;0,"Y","N"))</f>
        <v/>
      </c>
      <c r="EZ407" s="0" t="str">
        <f aca="false">IF($A407="","",IF(AND(U407="new",T407="N",EW407="N",AR407="Y",EY407="N"),"Y","N"))</f>
        <v/>
      </c>
      <c r="FA407" s="0" t="str">
        <f aca="false">IF($A407="","",IF(EZ407&lt;&gt;"Y","N",IF(COUNTIFS($EX$2:$EX$1000,EX407,$EZ$2:$EZ$1000,"Y",$J$2:$J$1000,"&gt;"&amp;J407)+COUNTIFS($EX$2:$EX$1000,EX407,$EZ$2:$EZ$1000,"Y",$J$2:$J$1000,J407,$FG$2:$FG$1000,"&lt;"&amp;FG407)=0,"Y","N")))</f>
        <v/>
      </c>
      <c r="FB407" s="0" t="str">
        <f aca="false">IF($A407="","",IF(AND(EZ407="Y",FA407="Y",Y407&amp;""&lt;&gt;""),IF(Y407&lt;=10,"Y","N"),"N"))</f>
        <v/>
      </c>
      <c r="FC407" s="0" t="str">
        <f aca="false">IF(FB407="Y",Y407,"")</f>
        <v/>
      </c>
      <c r="FD407" s="0" t="str">
        <f aca="false">IF($A407="","",IF(AND(CK407="pass",AU407="Y",AV407&lt;&gt;"Y",U407="new",EW407="N"),"Y","N"))</f>
        <v/>
      </c>
      <c r="FE407" s="0" t="str">
        <f aca="false">IF(FD407&lt;&gt;"Y","",IF(COUNTIFS($FD$2:$FD$1000,"Y",$J$2:$J$1000,"&gt;"&amp;J407)+COUNTIFS($FD$2:$FD$1000,"Y",$J$2:$J$1000,J407,$FG$2:$FG$1000,"&lt;"&amp;FG407)+1&lt;=30,COUNTIFS($FD$2:$FD$1000,"Y",$J$2:$J$1000,"&gt;"&amp;J407)+COUNTIFS($FD$2:$FD$1000,"Y",$J$2:$J$1000,J407,$FG$2:$FG$1000,"&lt;"&amp;FG407)+1,""))</f>
        <v/>
      </c>
      <c r="FF407" s="0" t="str">
        <f aca="false">IF(AND(_xlfn.ISFORMULA(C407),_xlfn.ISFORMULA(J407)),"Y","N")</f>
        <v>Y</v>
      </c>
      <c r="FG407" s="0" t="n">
        <f aca="false">ROW()-1</f>
        <v>406</v>
      </c>
    </row>
    <row r="408" customFormat="false" ht="15" hidden="false" customHeight="false" outlineLevel="0" collapsed="false">
      <c r="C408" s="0" t="str">
        <f aca="false">IF($A408="","",IF(AT408="Y",BL408&amp;"",AY408&amp;""))</f>
        <v/>
      </c>
      <c r="D408" s="0" t="str">
        <f aca="false">IF($A408="","",IF(AT408="Y",BM408&amp;"",AZ408&amp;""))</f>
        <v/>
      </c>
      <c r="E408" s="0" t="str">
        <f aca="false">IF($A408="","",IF(AT408="Y",BN408&amp;"",BA408&amp;""))</f>
        <v/>
      </c>
      <c r="F408" s="0" t="str">
        <f aca="false">IF($A408="","",IF(AT408="Y",BO408&amp;"",BB408&amp;""))</f>
        <v/>
      </c>
      <c r="G408" s="0" t="str">
        <f aca="false">IF($A408="","",IF(AT408="Y",BP408&amp;"",BC408&amp;""))</f>
        <v/>
      </c>
      <c r="H408" s="0" t="str">
        <f aca="false">IF($A408="","",IF(AT408="Y",BQ408&amp;"",BD408&amp;""))</f>
        <v/>
      </c>
      <c r="I408" s="0" t="str">
        <f aca="false">IF($A408="","",IF(R408="Y","warm-intro",IF(H408="verified","email",IF(C408&lt;&gt;"","linkedin",CA408&amp;""))))</f>
        <v/>
      </c>
      <c r="J408" s="0" t="str">
        <f aca="false">IF($A408="","",IF(CK408="pass",ROUND(N(DO408)+N(DP408)+N(DQ408)+N(DR408)+N(DS408)+N(DT408)+N(DU408)+N(DV408),0),0))</f>
        <v/>
      </c>
      <c r="K408" s="0" t="str">
        <f aca="false">IF($A408="","",IF(CK408&lt;&gt;"pass",BY408&amp;"",BY408&amp;", "&amp;IF(AT408="Y",BX408&amp;"",BK408&amp;"")&amp;BZ408&amp;IF(R408="Y","; known to the founder (+10)","")&amp;"."))</f>
        <v/>
      </c>
      <c r="R408" s="5"/>
      <c r="T408" s="5"/>
      <c r="U408" s="5"/>
      <c r="Y408" s="0" t="str">
        <f aca="false">IF(FA408&lt;&gt;"Y","",COUNTIFS($FA$2:$FA$1000,"Y",$J$2:$J$1000,"&gt;"&amp;J408)+COUNTIFS($FA$2:$FA$1000,"Y",$J$2:$J$1000,J408,$FG$2:$FG$1000,"&lt;"&amp;FG408)+1)</f>
        <v/>
      </c>
      <c r="AB408" s="0" t="str">
        <f aca="false">IF($A408="","",IF(AT408="Y",BW408&amp;"",BJ408&amp;""))</f>
        <v/>
      </c>
      <c r="AC408" s="0" t="str">
        <f aca="false">IF($A408="","",IF(AT408="Y",BR408&amp;"",BE408&amp;""))</f>
        <v/>
      </c>
      <c r="AD408" s="0" t="str">
        <f aca="false">IF($A408="","",IF(AT408="Y",BS408&amp;"",BF408&amp;""))</f>
        <v/>
      </c>
      <c r="AE408" s="0" t="str">
        <f aca="false">IF($A408="","",IF(AT408="Y",BT408&amp;"",BG408&amp;""))</f>
        <v/>
      </c>
      <c r="AF408" s="0" t="str">
        <f aca="false">IF($A408="","",IF(AT408="Y",BU408&amp;"",BH408&amp;""))</f>
        <v/>
      </c>
      <c r="AG408" s="0" t="str">
        <f aca="false">IF($A408="","",IF(AT408="Y",BV408&amp;"",BI408&amp;""))</f>
        <v/>
      </c>
      <c r="AO408" s="5"/>
      <c r="AR408" s="0" t="str">
        <f aca="false">IF($A408="","",IF(AND(CK408="pass",AO408&lt;&gt;"Y",C408&lt;&gt;"",OR(AU408&lt;&gt;"Y",AV408="Y")),"Y","N"))</f>
        <v/>
      </c>
      <c r="AS408" s="0" t="str">
        <f aca="false">IF($A408="","",_xlfn.TEXTJOIN("; ",TRUE(),IF(CK408&lt;&gt;"pass","gated out",""),IF(AO408="Y","on hold: "&amp;AP408,""),IF(C408="","no contact named on an opened page",""),IF(AND(AU408="Y",AV408&lt;&gt;"Y"),"founder review pending (Founder review tab)","")))</f>
        <v/>
      </c>
      <c r="BC408" s="0" t="str">
        <f aca="false">IF($A408="","",IFERROR(INDEX(Enrichment!$A$2:$GZ$2000,MATCH($A408,INDEX(Enrichment!$A$2:$GZ$2000,0,MATCH("row_id",Enrichment!$A$1:$GZ$1,0)),0),MATCH("work_email",Enrichment!$A$1:$GZ$1,0))&amp;"",""))</f>
        <v/>
      </c>
      <c r="BD408" s="0" t="str">
        <f aca="false">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P408" s="0" t="str">
        <f aca="false">IF($A408="","",IFERROR(INDEX(Enrichment!$A$2:$GZ$2000,MATCH($A408,INDEX(Enrichment!$A$2:$GZ$2000,0,MATCH("row_id",Enrichment!$A$1:$GZ$1,0)),0),MATCH("backup_work_email",Enrichment!$A$1:$GZ$1,0))&amp;"",""))</f>
        <v/>
      </c>
      <c r="BQ408" s="0" t="str">
        <f aca="false">IF($A408="","",IF(BP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DU408" s="0" t="str">
        <f aca="false">IF($A408="","",IF(R408="Y",10,0))</f>
        <v/>
      </c>
      <c r="EV408" s="0" t="str">
        <f aca="false">IF($A408="","",IF(ISNUMBER(MATCH(U408,{"queued","contacted","replied","call_booked","call_done","yes_in_principle","materials_sent"},0)),"Y","N"))</f>
        <v/>
      </c>
      <c r="EW408" s="0" t="str">
        <f aca="false">IF($A408="","",IF(OR(T408="Y",U408="do_not_contact",AQ408&amp;""&lt;&gt;""),"Y","N"))</f>
        <v/>
      </c>
      <c r="EX408" s="0" t="str">
        <f aca="false">IF($A408="","",IF(AN408&amp;""&lt;&gt;"",AN408&amp;"",$A408))</f>
        <v/>
      </c>
      <c r="EY408" s="0" t="str">
        <f aca="false">IF($A408="","",IF(COUNTIFS($EX$2:$EX$1000,EX408,$EV$2:$EV$1000,"Y")+COUNTIFS($EX$2:$EX$1000,EX408,$EW$2:$EW$1000,"Y")&gt;0,"Y","N"))</f>
        <v/>
      </c>
      <c r="EZ408" s="0" t="str">
        <f aca="false">IF($A408="","",IF(AND(U408="new",T408="N",EW408="N",AR408="Y",EY408="N"),"Y","N"))</f>
        <v/>
      </c>
      <c r="FA408" s="0" t="str">
        <f aca="false">IF($A408="","",IF(EZ408&lt;&gt;"Y","N",IF(COUNTIFS($EX$2:$EX$1000,EX408,$EZ$2:$EZ$1000,"Y",$J$2:$J$1000,"&gt;"&amp;J408)+COUNTIFS($EX$2:$EX$1000,EX408,$EZ$2:$EZ$1000,"Y",$J$2:$J$1000,J408,$FG$2:$FG$1000,"&lt;"&amp;FG408)=0,"Y","N")))</f>
        <v/>
      </c>
      <c r="FB408" s="0" t="str">
        <f aca="false">IF($A408="","",IF(AND(EZ408="Y",FA408="Y",Y408&amp;""&lt;&gt;""),IF(Y408&lt;=10,"Y","N"),"N"))</f>
        <v/>
      </c>
      <c r="FC408" s="0" t="str">
        <f aca="false">IF(FB408="Y",Y408,"")</f>
        <v/>
      </c>
      <c r="FD408" s="0" t="str">
        <f aca="false">IF($A408="","",IF(AND(CK408="pass",AU408="Y",AV408&lt;&gt;"Y",U408="new",EW408="N"),"Y","N"))</f>
        <v/>
      </c>
      <c r="FE408" s="0" t="str">
        <f aca="false">IF(FD408&lt;&gt;"Y","",IF(COUNTIFS($FD$2:$FD$1000,"Y",$J$2:$J$1000,"&gt;"&amp;J408)+COUNTIFS($FD$2:$FD$1000,"Y",$J$2:$J$1000,J408,$FG$2:$FG$1000,"&lt;"&amp;FG408)+1&lt;=30,COUNTIFS($FD$2:$FD$1000,"Y",$J$2:$J$1000,"&gt;"&amp;J408)+COUNTIFS($FD$2:$FD$1000,"Y",$J$2:$J$1000,J408,$FG$2:$FG$1000,"&lt;"&amp;FG408)+1,""))</f>
        <v/>
      </c>
      <c r="FF408" s="0" t="str">
        <f aca="false">IF(AND(_xlfn.ISFORMULA(C408),_xlfn.ISFORMULA(J408)),"Y","N")</f>
        <v>Y</v>
      </c>
      <c r="FG408" s="0" t="n">
        <f aca="false">ROW()-1</f>
        <v>407</v>
      </c>
    </row>
    <row r="409" customFormat="false" ht="15" hidden="false" customHeight="false" outlineLevel="0" collapsed="false">
      <c r="C409" s="0" t="str">
        <f aca="false">IF($A409="","",IF(AT409="Y",BL409&amp;"",AY409&amp;""))</f>
        <v/>
      </c>
      <c r="D409" s="0" t="str">
        <f aca="false">IF($A409="","",IF(AT409="Y",BM409&amp;"",AZ409&amp;""))</f>
        <v/>
      </c>
      <c r="E409" s="0" t="str">
        <f aca="false">IF($A409="","",IF(AT409="Y",BN409&amp;"",BA409&amp;""))</f>
        <v/>
      </c>
      <c r="F409" s="0" t="str">
        <f aca="false">IF($A409="","",IF(AT409="Y",BO409&amp;"",BB409&amp;""))</f>
        <v/>
      </c>
      <c r="G409" s="0" t="str">
        <f aca="false">IF($A409="","",IF(AT409="Y",BP409&amp;"",BC409&amp;""))</f>
        <v/>
      </c>
      <c r="H409" s="0" t="str">
        <f aca="false">IF($A409="","",IF(AT409="Y",BQ409&amp;"",BD409&amp;""))</f>
        <v/>
      </c>
      <c r="I409" s="0" t="str">
        <f aca="false">IF($A409="","",IF(R409="Y","warm-intro",IF(H409="verified","email",IF(C409&lt;&gt;"","linkedin",CA409&amp;""))))</f>
        <v/>
      </c>
      <c r="J409" s="0" t="str">
        <f aca="false">IF($A409="","",IF(CK409="pass",ROUND(N(DO409)+N(DP409)+N(DQ409)+N(DR409)+N(DS409)+N(DT409)+N(DU409)+N(DV409),0),0))</f>
        <v/>
      </c>
      <c r="K409" s="0" t="str">
        <f aca="false">IF($A409="","",IF(CK409&lt;&gt;"pass",BY409&amp;"",BY409&amp;", "&amp;IF(AT409="Y",BX409&amp;"",BK409&amp;"")&amp;BZ409&amp;IF(R409="Y","; known to the founder (+10)","")&amp;"."))</f>
        <v/>
      </c>
      <c r="R409" s="5"/>
      <c r="T409" s="5"/>
      <c r="U409" s="5"/>
      <c r="Y409" s="0" t="str">
        <f aca="false">IF(FA409&lt;&gt;"Y","",COUNTIFS($FA$2:$FA$1000,"Y",$J$2:$J$1000,"&gt;"&amp;J409)+COUNTIFS($FA$2:$FA$1000,"Y",$J$2:$J$1000,J409,$FG$2:$FG$1000,"&lt;"&amp;FG409)+1)</f>
        <v/>
      </c>
      <c r="AB409" s="0" t="str">
        <f aca="false">IF($A409="","",IF(AT409="Y",BW409&amp;"",BJ409&amp;""))</f>
        <v/>
      </c>
      <c r="AC409" s="0" t="str">
        <f aca="false">IF($A409="","",IF(AT409="Y",BR409&amp;"",BE409&amp;""))</f>
        <v/>
      </c>
      <c r="AD409" s="0" t="str">
        <f aca="false">IF($A409="","",IF(AT409="Y",BS409&amp;"",BF409&amp;""))</f>
        <v/>
      </c>
      <c r="AE409" s="0" t="str">
        <f aca="false">IF($A409="","",IF(AT409="Y",BT409&amp;"",BG409&amp;""))</f>
        <v/>
      </c>
      <c r="AF409" s="0" t="str">
        <f aca="false">IF($A409="","",IF(AT409="Y",BU409&amp;"",BH409&amp;""))</f>
        <v/>
      </c>
      <c r="AG409" s="0" t="str">
        <f aca="false">IF($A409="","",IF(AT409="Y",BV409&amp;"",BI409&amp;""))</f>
        <v/>
      </c>
      <c r="AO409" s="5"/>
      <c r="AR409" s="0" t="str">
        <f aca="false">IF($A409="","",IF(AND(CK409="pass",AO409&lt;&gt;"Y",C409&lt;&gt;"",OR(AU409&lt;&gt;"Y",AV409="Y")),"Y","N"))</f>
        <v/>
      </c>
      <c r="AS409" s="0" t="str">
        <f aca="false">IF($A409="","",_xlfn.TEXTJOIN("; ",TRUE(),IF(CK409&lt;&gt;"pass","gated out",""),IF(AO409="Y","on hold: "&amp;AP409,""),IF(C409="","no contact named on an opened page",""),IF(AND(AU409="Y",AV409&lt;&gt;"Y"),"founder review pending (Founder review tab)","")))</f>
        <v/>
      </c>
      <c r="BC409" s="0" t="str">
        <f aca="false">IF($A409="","",IFERROR(INDEX(Enrichment!$A$2:$GZ$2000,MATCH($A409,INDEX(Enrichment!$A$2:$GZ$2000,0,MATCH("row_id",Enrichment!$A$1:$GZ$1,0)),0),MATCH("work_email",Enrichment!$A$1:$GZ$1,0))&amp;"",""))</f>
        <v/>
      </c>
      <c r="BD409" s="0" t="str">
        <f aca="false">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P409" s="0" t="str">
        <f aca="false">IF($A409="","",IFERROR(INDEX(Enrichment!$A$2:$GZ$2000,MATCH($A409,INDEX(Enrichment!$A$2:$GZ$2000,0,MATCH("row_id",Enrichment!$A$1:$GZ$1,0)),0),MATCH("backup_work_email",Enrichment!$A$1:$GZ$1,0))&amp;"",""))</f>
        <v/>
      </c>
      <c r="BQ409" s="0" t="str">
        <f aca="false">IF($A409="","",IF(BP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DU409" s="0" t="str">
        <f aca="false">IF($A409="","",IF(R409="Y",10,0))</f>
        <v/>
      </c>
      <c r="EV409" s="0" t="str">
        <f aca="false">IF($A409="","",IF(ISNUMBER(MATCH(U409,{"queued","contacted","replied","call_booked","call_done","yes_in_principle","materials_sent"},0)),"Y","N"))</f>
        <v/>
      </c>
      <c r="EW409" s="0" t="str">
        <f aca="false">IF($A409="","",IF(OR(T409="Y",U409="do_not_contact",AQ409&amp;""&lt;&gt;""),"Y","N"))</f>
        <v/>
      </c>
      <c r="EX409" s="0" t="str">
        <f aca="false">IF($A409="","",IF(AN409&amp;""&lt;&gt;"",AN409&amp;"",$A409))</f>
        <v/>
      </c>
      <c r="EY409" s="0" t="str">
        <f aca="false">IF($A409="","",IF(COUNTIFS($EX$2:$EX$1000,EX409,$EV$2:$EV$1000,"Y")+COUNTIFS($EX$2:$EX$1000,EX409,$EW$2:$EW$1000,"Y")&gt;0,"Y","N"))</f>
        <v/>
      </c>
      <c r="EZ409" s="0" t="str">
        <f aca="false">IF($A409="","",IF(AND(U409="new",T409="N",EW409="N",AR409="Y",EY409="N"),"Y","N"))</f>
        <v/>
      </c>
      <c r="FA409" s="0" t="str">
        <f aca="false">IF($A409="","",IF(EZ409&lt;&gt;"Y","N",IF(COUNTIFS($EX$2:$EX$1000,EX409,$EZ$2:$EZ$1000,"Y",$J$2:$J$1000,"&gt;"&amp;J409)+COUNTIFS($EX$2:$EX$1000,EX409,$EZ$2:$EZ$1000,"Y",$J$2:$J$1000,J409,$FG$2:$FG$1000,"&lt;"&amp;FG409)=0,"Y","N")))</f>
        <v/>
      </c>
      <c r="FB409" s="0" t="str">
        <f aca="false">IF($A409="","",IF(AND(EZ409="Y",FA409="Y",Y409&amp;""&lt;&gt;""),IF(Y409&lt;=10,"Y","N"),"N"))</f>
        <v/>
      </c>
      <c r="FC409" s="0" t="str">
        <f aca="false">IF(FB409="Y",Y409,"")</f>
        <v/>
      </c>
      <c r="FD409" s="0" t="str">
        <f aca="false">IF($A409="","",IF(AND(CK409="pass",AU409="Y",AV409&lt;&gt;"Y",U409="new",EW409="N"),"Y","N"))</f>
        <v/>
      </c>
      <c r="FE409" s="0" t="str">
        <f aca="false">IF(FD409&lt;&gt;"Y","",IF(COUNTIFS($FD$2:$FD$1000,"Y",$J$2:$J$1000,"&gt;"&amp;J409)+COUNTIFS($FD$2:$FD$1000,"Y",$J$2:$J$1000,J409,$FG$2:$FG$1000,"&lt;"&amp;FG409)+1&lt;=30,COUNTIFS($FD$2:$FD$1000,"Y",$J$2:$J$1000,"&gt;"&amp;J409)+COUNTIFS($FD$2:$FD$1000,"Y",$J$2:$J$1000,J409,$FG$2:$FG$1000,"&lt;"&amp;FG409)+1,""))</f>
        <v/>
      </c>
      <c r="FF409" s="0" t="str">
        <f aca="false">IF(AND(_xlfn.ISFORMULA(C409),_xlfn.ISFORMULA(J409)),"Y","N")</f>
        <v>Y</v>
      </c>
      <c r="FG409" s="0" t="n">
        <f aca="false">ROW()-1</f>
        <v>408</v>
      </c>
    </row>
    <row r="410" customFormat="false" ht="15" hidden="false" customHeight="false" outlineLevel="0" collapsed="false">
      <c r="C410" s="0" t="str">
        <f aca="false">IF($A410="","",IF(AT410="Y",BL410&amp;"",AY410&amp;""))</f>
        <v/>
      </c>
      <c r="D410" s="0" t="str">
        <f aca="false">IF($A410="","",IF(AT410="Y",BM410&amp;"",AZ410&amp;""))</f>
        <v/>
      </c>
      <c r="E410" s="0" t="str">
        <f aca="false">IF($A410="","",IF(AT410="Y",BN410&amp;"",BA410&amp;""))</f>
        <v/>
      </c>
      <c r="F410" s="0" t="str">
        <f aca="false">IF($A410="","",IF(AT410="Y",BO410&amp;"",BB410&amp;""))</f>
        <v/>
      </c>
      <c r="G410" s="0" t="str">
        <f aca="false">IF($A410="","",IF(AT410="Y",BP410&amp;"",BC410&amp;""))</f>
        <v/>
      </c>
      <c r="H410" s="0" t="str">
        <f aca="false">IF($A410="","",IF(AT410="Y",BQ410&amp;"",BD410&amp;""))</f>
        <v/>
      </c>
      <c r="I410" s="0" t="str">
        <f aca="false">IF($A410="","",IF(R410="Y","warm-intro",IF(H410="verified","email",IF(C410&lt;&gt;"","linkedin",CA410&amp;""))))</f>
        <v/>
      </c>
      <c r="J410" s="0" t="str">
        <f aca="false">IF($A410="","",IF(CK410="pass",ROUND(N(DO410)+N(DP410)+N(DQ410)+N(DR410)+N(DS410)+N(DT410)+N(DU410)+N(DV410),0),0))</f>
        <v/>
      </c>
      <c r="K410" s="0" t="str">
        <f aca="false">IF($A410="","",IF(CK410&lt;&gt;"pass",BY410&amp;"",BY410&amp;", "&amp;IF(AT410="Y",BX410&amp;"",BK410&amp;"")&amp;BZ410&amp;IF(R410="Y","; known to the founder (+10)","")&amp;"."))</f>
        <v/>
      </c>
      <c r="R410" s="5"/>
      <c r="T410" s="5"/>
      <c r="U410" s="5"/>
      <c r="Y410" s="0" t="str">
        <f aca="false">IF(FA410&lt;&gt;"Y","",COUNTIFS($FA$2:$FA$1000,"Y",$J$2:$J$1000,"&gt;"&amp;J410)+COUNTIFS($FA$2:$FA$1000,"Y",$J$2:$J$1000,J410,$FG$2:$FG$1000,"&lt;"&amp;FG410)+1)</f>
        <v/>
      </c>
      <c r="AB410" s="0" t="str">
        <f aca="false">IF($A410="","",IF(AT410="Y",BW410&amp;"",BJ410&amp;""))</f>
        <v/>
      </c>
      <c r="AC410" s="0" t="str">
        <f aca="false">IF($A410="","",IF(AT410="Y",BR410&amp;"",BE410&amp;""))</f>
        <v/>
      </c>
      <c r="AD410" s="0" t="str">
        <f aca="false">IF($A410="","",IF(AT410="Y",BS410&amp;"",BF410&amp;""))</f>
        <v/>
      </c>
      <c r="AE410" s="0" t="str">
        <f aca="false">IF($A410="","",IF(AT410="Y",BT410&amp;"",BG410&amp;""))</f>
        <v/>
      </c>
      <c r="AF410" s="0" t="str">
        <f aca="false">IF($A410="","",IF(AT410="Y",BU410&amp;"",BH410&amp;""))</f>
        <v/>
      </c>
      <c r="AG410" s="0" t="str">
        <f aca="false">IF($A410="","",IF(AT410="Y",BV410&amp;"",BI410&amp;""))</f>
        <v/>
      </c>
      <c r="AO410" s="5"/>
      <c r="AR410" s="0" t="str">
        <f aca="false">IF($A410="","",IF(AND(CK410="pass",AO410&lt;&gt;"Y",C410&lt;&gt;"",OR(AU410&lt;&gt;"Y",AV410="Y")),"Y","N"))</f>
        <v/>
      </c>
      <c r="AS410" s="0" t="str">
        <f aca="false">IF($A410="","",_xlfn.TEXTJOIN("; ",TRUE(),IF(CK410&lt;&gt;"pass","gated out",""),IF(AO410="Y","on hold: "&amp;AP410,""),IF(C410="","no contact named on an opened page",""),IF(AND(AU410="Y",AV410&lt;&gt;"Y"),"founder review pending (Founder review tab)","")))</f>
        <v/>
      </c>
      <c r="BC410" s="0" t="str">
        <f aca="false">IF($A410="","",IFERROR(INDEX(Enrichment!$A$2:$GZ$2000,MATCH($A410,INDEX(Enrichment!$A$2:$GZ$2000,0,MATCH("row_id",Enrichment!$A$1:$GZ$1,0)),0),MATCH("work_email",Enrichment!$A$1:$GZ$1,0))&amp;"",""))</f>
        <v/>
      </c>
      <c r="BD410" s="0" t="str">
        <f aca="false">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P410" s="0" t="str">
        <f aca="false">IF($A410="","",IFERROR(INDEX(Enrichment!$A$2:$GZ$2000,MATCH($A410,INDEX(Enrichment!$A$2:$GZ$2000,0,MATCH("row_id",Enrichment!$A$1:$GZ$1,0)),0),MATCH("backup_work_email",Enrichment!$A$1:$GZ$1,0))&amp;"",""))</f>
        <v/>
      </c>
      <c r="BQ410" s="0" t="str">
        <f aca="false">IF($A410="","",IF(BP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DU410" s="0" t="str">
        <f aca="false">IF($A410="","",IF(R410="Y",10,0))</f>
        <v/>
      </c>
      <c r="EV410" s="0" t="str">
        <f aca="false">IF($A410="","",IF(ISNUMBER(MATCH(U410,{"queued","contacted","replied","call_booked","call_done","yes_in_principle","materials_sent"},0)),"Y","N"))</f>
        <v/>
      </c>
      <c r="EW410" s="0" t="str">
        <f aca="false">IF($A410="","",IF(OR(T410="Y",U410="do_not_contact",AQ410&amp;""&lt;&gt;""),"Y","N"))</f>
        <v/>
      </c>
      <c r="EX410" s="0" t="str">
        <f aca="false">IF($A410="","",IF(AN410&amp;""&lt;&gt;"",AN410&amp;"",$A410))</f>
        <v/>
      </c>
      <c r="EY410" s="0" t="str">
        <f aca="false">IF($A410="","",IF(COUNTIFS($EX$2:$EX$1000,EX410,$EV$2:$EV$1000,"Y")+COUNTIFS($EX$2:$EX$1000,EX410,$EW$2:$EW$1000,"Y")&gt;0,"Y","N"))</f>
        <v/>
      </c>
      <c r="EZ410" s="0" t="str">
        <f aca="false">IF($A410="","",IF(AND(U410="new",T410="N",EW410="N",AR410="Y",EY410="N"),"Y","N"))</f>
        <v/>
      </c>
      <c r="FA410" s="0" t="str">
        <f aca="false">IF($A410="","",IF(EZ410&lt;&gt;"Y","N",IF(COUNTIFS($EX$2:$EX$1000,EX410,$EZ$2:$EZ$1000,"Y",$J$2:$J$1000,"&gt;"&amp;J410)+COUNTIFS($EX$2:$EX$1000,EX410,$EZ$2:$EZ$1000,"Y",$J$2:$J$1000,J410,$FG$2:$FG$1000,"&lt;"&amp;FG410)=0,"Y","N")))</f>
        <v/>
      </c>
      <c r="FB410" s="0" t="str">
        <f aca="false">IF($A410="","",IF(AND(EZ410="Y",FA410="Y",Y410&amp;""&lt;&gt;""),IF(Y410&lt;=10,"Y","N"),"N"))</f>
        <v/>
      </c>
      <c r="FC410" s="0" t="str">
        <f aca="false">IF(FB410="Y",Y410,"")</f>
        <v/>
      </c>
      <c r="FD410" s="0" t="str">
        <f aca="false">IF($A410="","",IF(AND(CK410="pass",AU410="Y",AV410&lt;&gt;"Y",U410="new",EW410="N"),"Y","N"))</f>
        <v/>
      </c>
      <c r="FE410" s="0" t="str">
        <f aca="false">IF(FD410&lt;&gt;"Y","",IF(COUNTIFS($FD$2:$FD$1000,"Y",$J$2:$J$1000,"&gt;"&amp;J410)+COUNTIFS($FD$2:$FD$1000,"Y",$J$2:$J$1000,J410,$FG$2:$FG$1000,"&lt;"&amp;FG410)+1&lt;=30,COUNTIFS($FD$2:$FD$1000,"Y",$J$2:$J$1000,"&gt;"&amp;J410)+COUNTIFS($FD$2:$FD$1000,"Y",$J$2:$J$1000,J410,$FG$2:$FG$1000,"&lt;"&amp;FG410)+1,""))</f>
        <v/>
      </c>
      <c r="FF410" s="0" t="str">
        <f aca="false">IF(AND(_xlfn.ISFORMULA(C410),_xlfn.ISFORMULA(J410)),"Y","N")</f>
        <v>Y</v>
      </c>
      <c r="FG410" s="0" t="n">
        <f aca="false">ROW()-1</f>
        <v>409</v>
      </c>
    </row>
    <row r="411" customFormat="false" ht="15" hidden="false" customHeight="false" outlineLevel="0" collapsed="false">
      <c r="C411" s="0" t="str">
        <f aca="false">IF($A411="","",IF(AT411="Y",BL411&amp;"",AY411&amp;""))</f>
        <v/>
      </c>
      <c r="D411" s="0" t="str">
        <f aca="false">IF($A411="","",IF(AT411="Y",BM411&amp;"",AZ411&amp;""))</f>
        <v/>
      </c>
      <c r="E411" s="0" t="str">
        <f aca="false">IF($A411="","",IF(AT411="Y",BN411&amp;"",BA411&amp;""))</f>
        <v/>
      </c>
      <c r="F411" s="0" t="str">
        <f aca="false">IF($A411="","",IF(AT411="Y",BO411&amp;"",BB411&amp;""))</f>
        <v/>
      </c>
      <c r="G411" s="0" t="str">
        <f aca="false">IF($A411="","",IF(AT411="Y",BP411&amp;"",BC411&amp;""))</f>
        <v/>
      </c>
      <c r="H411" s="0" t="str">
        <f aca="false">IF($A411="","",IF(AT411="Y",BQ411&amp;"",BD411&amp;""))</f>
        <v/>
      </c>
      <c r="I411" s="0" t="str">
        <f aca="false">IF($A411="","",IF(R411="Y","warm-intro",IF(H411="verified","email",IF(C411&lt;&gt;"","linkedin",CA411&amp;""))))</f>
        <v/>
      </c>
      <c r="J411" s="0" t="str">
        <f aca="false">IF($A411="","",IF(CK411="pass",ROUND(N(DO411)+N(DP411)+N(DQ411)+N(DR411)+N(DS411)+N(DT411)+N(DU411)+N(DV411),0),0))</f>
        <v/>
      </c>
      <c r="K411" s="0" t="str">
        <f aca="false">IF($A411="","",IF(CK411&lt;&gt;"pass",BY411&amp;"",BY411&amp;", "&amp;IF(AT411="Y",BX411&amp;"",BK411&amp;"")&amp;BZ411&amp;IF(R411="Y","; known to the founder (+10)","")&amp;"."))</f>
        <v/>
      </c>
      <c r="R411" s="5"/>
      <c r="T411" s="5"/>
      <c r="U411" s="5"/>
      <c r="Y411" s="0" t="str">
        <f aca="false">IF(FA411&lt;&gt;"Y","",COUNTIFS($FA$2:$FA$1000,"Y",$J$2:$J$1000,"&gt;"&amp;J411)+COUNTIFS($FA$2:$FA$1000,"Y",$J$2:$J$1000,J411,$FG$2:$FG$1000,"&lt;"&amp;FG411)+1)</f>
        <v/>
      </c>
      <c r="AB411" s="0" t="str">
        <f aca="false">IF($A411="","",IF(AT411="Y",BW411&amp;"",BJ411&amp;""))</f>
        <v/>
      </c>
      <c r="AC411" s="0" t="str">
        <f aca="false">IF($A411="","",IF(AT411="Y",BR411&amp;"",BE411&amp;""))</f>
        <v/>
      </c>
      <c r="AD411" s="0" t="str">
        <f aca="false">IF($A411="","",IF(AT411="Y",BS411&amp;"",BF411&amp;""))</f>
        <v/>
      </c>
      <c r="AE411" s="0" t="str">
        <f aca="false">IF($A411="","",IF(AT411="Y",BT411&amp;"",BG411&amp;""))</f>
        <v/>
      </c>
      <c r="AF411" s="0" t="str">
        <f aca="false">IF($A411="","",IF(AT411="Y",BU411&amp;"",BH411&amp;""))</f>
        <v/>
      </c>
      <c r="AG411" s="0" t="str">
        <f aca="false">IF($A411="","",IF(AT411="Y",BV411&amp;"",BI411&amp;""))</f>
        <v/>
      </c>
      <c r="AO411" s="5"/>
      <c r="AR411" s="0" t="str">
        <f aca="false">IF($A411="","",IF(AND(CK411="pass",AO411&lt;&gt;"Y",C411&lt;&gt;"",OR(AU411&lt;&gt;"Y",AV411="Y")),"Y","N"))</f>
        <v/>
      </c>
      <c r="AS411" s="0" t="str">
        <f aca="false">IF($A411="","",_xlfn.TEXTJOIN("; ",TRUE(),IF(CK411&lt;&gt;"pass","gated out",""),IF(AO411="Y","on hold: "&amp;AP411,""),IF(C411="","no contact named on an opened page",""),IF(AND(AU411="Y",AV411&lt;&gt;"Y"),"founder review pending (Founder review tab)","")))</f>
        <v/>
      </c>
      <c r="BC411" s="0" t="str">
        <f aca="false">IF($A411="","",IFERROR(INDEX(Enrichment!$A$2:$GZ$2000,MATCH($A411,INDEX(Enrichment!$A$2:$GZ$2000,0,MATCH("row_id",Enrichment!$A$1:$GZ$1,0)),0),MATCH("work_email",Enrichment!$A$1:$GZ$1,0))&amp;"",""))</f>
        <v/>
      </c>
      <c r="BD411" s="0" t="str">
        <f aca="false">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P411" s="0" t="str">
        <f aca="false">IF($A411="","",IFERROR(INDEX(Enrichment!$A$2:$GZ$2000,MATCH($A411,INDEX(Enrichment!$A$2:$GZ$2000,0,MATCH("row_id",Enrichment!$A$1:$GZ$1,0)),0),MATCH("backup_work_email",Enrichment!$A$1:$GZ$1,0))&amp;"",""))</f>
        <v/>
      </c>
      <c r="BQ411" s="0" t="str">
        <f aca="false">IF($A411="","",IF(BP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DU411" s="0" t="str">
        <f aca="false">IF($A411="","",IF(R411="Y",10,0))</f>
        <v/>
      </c>
      <c r="EV411" s="0" t="str">
        <f aca="false">IF($A411="","",IF(ISNUMBER(MATCH(U411,{"queued","contacted","replied","call_booked","call_done","yes_in_principle","materials_sent"},0)),"Y","N"))</f>
        <v/>
      </c>
      <c r="EW411" s="0" t="str">
        <f aca="false">IF($A411="","",IF(OR(T411="Y",U411="do_not_contact",AQ411&amp;""&lt;&gt;""),"Y","N"))</f>
        <v/>
      </c>
      <c r="EX411" s="0" t="str">
        <f aca="false">IF($A411="","",IF(AN411&amp;""&lt;&gt;"",AN411&amp;"",$A411))</f>
        <v/>
      </c>
      <c r="EY411" s="0" t="str">
        <f aca="false">IF($A411="","",IF(COUNTIFS($EX$2:$EX$1000,EX411,$EV$2:$EV$1000,"Y")+COUNTIFS($EX$2:$EX$1000,EX411,$EW$2:$EW$1000,"Y")&gt;0,"Y","N"))</f>
        <v/>
      </c>
      <c r="EZ411" s="0" t="str">
        <f aca="false">IF($A411="","",IF(AND(U411="new",T411="N",EW411="N",AR411="Y",EY411="N"),"Y","N"))</f>
        <v/>
      </c>
      <c r="FA411" s="0" t="str">
        <f aca="false">IF($A411="","",IF(EZ411&lt;&gt;"Y","N",IF(COUNTIFS($EX$2:$EX$1000,EX411,$EZ$2:$EZ$1000,"Y",$J$2:$J$1000,"&gt;"&amp;J411)+COUNTIFS($EX$2:$EX$1000,EX411,$EZ$2:$EZ$1000,"Y",$J$2:$J$1000,J411,$FG$2:$FG$1000,"&lt;"&amp;FG411)=0,"Y","N")))</f>
        <v/>
      </c>
      <c r="FB411" s="0" t="str">
        <f aca="false">IF($A411="","",IF(AND(EZ411="Y",FA411="Y",Y411&amp;""&lt;&gt;""),IF(Y411&lt;=10,"Y","N"),"N"))</f>
        <v/>
      </c>
      <c r="FC411" s="0" t="str">
        <f aca="false">IF(FB411="Y",Y411,"")</f>
        <v/>
      </c>
      <c r="FD411" s="0" t="str">
        <f aca="false">IF($A411="","",IF(AND(CK411="pass",AU411="Y",AV411&lt;&gt;"Y",U411="new",EW411="N"),"Y","N"))</f>
        <v/>
      </c>
      <c r="FE411" s="0" t="str">
        <f aca="false">IF(FD411&lt;&gt;"Y","",IF(COUNTIFS($FD$2:$FD$1000,"Y",$J$2:$J$1000,"&gt;"&amp;J411)+COUNTIFS($FD$2:$FD$1000,"Y",$J$2:$J$1000,J411,$FG$2:$FG$1000,"&lt;"&amp;FG411)+1&lt;=30,COUNTIFS($FD$2:$FD$1000,"Y",$J$2:$J$1000,"&gt;"&amp;J411)+COUNTIFS($FD$2:$FD$1000,"Y",$J$2:$J$1000,J411,$FG$2:$FG$1000,"&lt;"&amp;FG411)+1,""))</f>
        <v/>
      </c>
      <c r="FF411" s="0" t="str">
        <f aca="false">IF(AND(_xlfn.ISFORMULA(C411),_xlfn.ISFORMULA(J411)),"Y","N")</f>
        <v>Y</v>
      </c>
      <c r="FG411" s="0" t="n">
        <f aca="false">ROW()-1</f>
        <v>410</v>
      </c>
    </row>
    <row r="412" customFormat="false" ht="15" hidden="false" customHeight="false" outlineLevel="0" collapsed="false">
      <c r="C412" s="0" t="str">
        <f aca="false">IF($A412="","",IF(AT412="Y",BL412&amp;"",AY412&amp;""))</f>
        <v/>
      </c>
      <c r="D412" s="0" t="str">
        <f aca="false">IF($A412="","",IF(AT412="Y",BM412&amp;"",AZ412&amp;""))</f>
        <v/>
      </c>
      <c r="E412" s="0" t="str">
        <f aca="false">IF($A412="","",IF(AT412="Y",BN412&amp;"",BA412&amp;""))</f>
        <v/>
      </c>
      <c r="F412" s="0" t="str">
        <f aca="false">IF($A412="","",IF(AT412="Y",BO412&amp;"",BB412&amp;""))</f>
        <v/>
      </c>
      <c r="G412" s="0" t="str">
        <f aca="false">IF($A412="","",IF(AT412="Y",BP412&amp;"",BC412&amp;""))</f>
        <v/>
      </c>
      <c r="H412" s="0" t="str">
        <f aca="false">IF($A412="","",IF(AT412="Y",BQ412&amp;"",BD412&amp;""))</f>
        <v/>
      </c>
      <c r="I412" s="0" t="str">
        <f aca="false">IF($A412="","",IF(R412="Y","warm-intro",IF(H412="verified","email",IF(C412&lt;&gt;"","linkedin",CA412&amp;""))))</f>
        <v/>
      </c>
      <c r="J412" s="0" t="str">
        <f aca="false">IF($A412="","",IF(CK412="pass",ROUND(N(DO412)+N(DP412)+N(DQ412)+N(DR412)+N(DS412)+N(DT412)+N(DU412)+N(DV412),0),0))</f>
        <v/>
      </c>
      <c r="K412" s="0" t="str">
        <f aca="false">IF($A412="","",IF(CK412&lt;&gt;"pass",BY412&amp;"",BY412&amp;", "&amp;IF(AT412="Y",BX412&amp;"",BK412&amp;"")&amp;BZ412&amp;IF(R412="Y","; known to the founder (+10)","")&amp;"."))</f>
        <v/>
      </c>
      <c r="R412" s="5"/>
      <c r="T412" s="5"/>
      <c r="U412" s="5"/>
      <c r="Y412" s="0" t="str">
        <f aca="false">IF(FA412&lt;&gt;"Y","",COUNTIFS($FA$2:$FA$1000,"Y",$J$2:$J$1000,"&gt;"&amp;J412)+COUNTIFS($FA$2:$FA$1000,"Y",$J$2:$J$1000,J412,$FG$2:$FG$1000,"&lt;"&amp;FG412)+1)</f>
        <v/>
      </c>
      <c r="AB412" s="0" t="str">
        <f aca="false">IF($A412="","",IF(AT412="Y",BW412&amp;"",BJ412&amp;""))</f>
        <v/>
      </c>
      <c r="AC412" s="0" t="str">
        <f aca="false">IF($A412="","",IF(AT412="Y",BR412&amp;"",BE412&amp;""))</f>
        <v/>
      </c>
      <c r="AD412" s="0" t="str">
        <f aca="false">IF($A412="","",IF(AT412="Y",BS412&amp;"",BF412&amp;""))</f>
        <v/>
      </c>
      <c r="AE412" s="0" t="str">
        <f aca="false">IF($A412="","",IF(AT412="Y",BT412&amp;"",BG412&amp;""))</f>
        <v/>
      </c>
      <c r="AF412" s="0" t="str">
        <f aca="false">IF($A412="","",IF(AT412="Y",BU412&amp;"",BH412&amp;""))</f>
        <v/>
      </c>
      <c r="AG412" s="0" t="str">
        <f aca="false">IF($A412="","",IF(AT412="Y",BV412&amp;"",BI412&amp;""))</f>
        <v/>
      </c>
      <c r="AO412" s="5"/>
      <c r="AR412" s="0" t="str">
        <f aca="false">IF($A412="","",IF(AND(CK412="pass",AO412&lt;&gt;"Y",C412&lt;&gt;"",OR(AU412&lt;&gt;"Y",AV412="Y")),"Y","N"))</f>
        <v/>
      </c>
      <c r="AS412" s="0" t="str">
        <f aca="false">IF($A412="","",_xlfn.TEXTJOIN("; ",TRUE(),IF(CK412&lt;&gt;"pass","gated out",""),IF(AO412="Y","on hold: "&amp;AP412,""),IF(C412="","no contact named on an opened page",""),IF(AND(AU412="Y",AV412&lt;&gt;"Y"),"founder review pending (Founder review tab)","")))</f>
        <v/>
      </c>
      <c r="BC412" s="0" t="str">
        <f aca="false">IF($A412="","",IFERROR(INDEX(Enrichment!$A$2:$GZ$2000,MATCH($A412,INDEX(Enrichment!$A$2:$GZ$2000,0,MATCH("row_id",Enrichment!$A$1:$GZ$1,0)),0),MATCH("work_email",Enrichment!$A$1:$GZ$1,0))&amp;"",""))</f>
        <v/>
      </c>
      <c r="BD412" s="0" t="str">
        <f aca="false">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P412" s="0" t="str">
        <f aca="false">IF($A412="","",IFERROR(INDEX(Enrichment!$A$2:$GZ$2000,MATCH($A412,INDEX(Enrichment!$A$2:$GZ$2000,0,MATCH("row_id",Enrichment!$A$1:$GZ$1,0)),0),MATCH("backup_work_email",Enrichment!$A$1:$GZ$1,0))&amp;"",""))</f>
        <v/>
      </c>
      <c r="BQ412" s="0" t="str">
        <f aca="false">IF($A412="","",IF(BP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DU412" s="0" t="str">
        <f aca="false">IF($A412="","",IF(R412="Y",10,0))</f>
        <v/>
      </c>
      <c r="EV412" s="0" t="str">
        <f aca="false">IF($A412="","",IF(ISNUMBER(MATCH(U412,{"queued","contacted","replied","call_booked","call_done","yes_in_principle","materials_sent"},0)),"Y","N"))</f>
        <v/>
      </c>
      <c r="EW412" s="0" t="str">
        <f aca="false">IF($A412="","",IF(OR(T412="Y",U412="do_not_contact",AQ412&amp;""&lt;&gt;""),"Y","N"))</f>
        <v/>
      </c>
      <c r="EX412" s="0" t="str">
        <f aca="false">IF($A412="","",IF(AN412&amp;""&lt;&gt;"",AN412&amp;"",$A412))</f>
        <v/>
      </c>
      <c r="EY412" s="0" t="str">
        <f aca="false">IF($A412="","",IF(COUNTIFS($EX$2:$EX$1000,EX412,$EV$2:$EV$1000,"Y")+COUNTIFS($EX$2:$EX$1000,EX412,$EW$2:$EW$1000,"Y")&gt;0,"Y","N"))</f>
        <v/>
      </c>
      <c r="EZ412" s="0" t="str">
        <f aca="false">IF($A412="","",IF(AND(U412="new",T412="N",EW412="N",AR412="Y",EY412="N"),"Y","N"))</f>
        <v/>
      </c>
      <c r="FA412" s="0" t="str">
        <f aca="false">IF($A412="","",IF(EZ412&lt;&gt;"Y","N",IF(COUNTIFS($EX$2:$EX$1000,EX412,$EZ$2:$EZ$1000,"Y",$J$2:$J$1000,"&gt;"&amp;J412)+COUNTIFS($EX$2:$EX$1000,EX412,$EZ$2:$EZ$1000,"Y",$J$2:$J$1000,J412,$FG$2:$FG$1000,"&lt;"&amp;FG412)=0,"Y","N")))</f>
        <v/>
      </c>
      <c r="FB412" s="0" t="str">
        <f aca="false">IF($A412="","",IF(AND(EZ412="Y",FA412="Y",Y412&amp;""&lt;&gt;""),IF(Y412&lt;=10,"Y","N"),"N"))</f>
        <v/>
      </c>
      <c r="FC412" s="0" t="str">
        <f aca="false">IF(FB412="Y",Y412,"")</f>
        <v/>
      </c>
      <c r="FD412" s="0" t="str">
        <f aca="false">IF($A412="","",IF(AND(CK412="pass",AU412="Y",AV412&lt;&gt;"Y",U412="new",EW412="N"),"Y","N"))</f>
        <v/>
      </c>
      <c r="FE412" s="0" t="str">
        <f aca="false">IF(FD412&lt;&gt;"Y","",IF(COUNTIFS($FD$2:$FD$1000,"Y",$J$2:$J$1000,"&gt;"&amp;J412)+COUNTIFS($FD$2:$FD$1000,"Y",$J$2:$J$1000,J412,$FG$2:$FG$1000,"&lt;"&amp;FG412)+1&lt;=30,COUNTIFS($FD$2:$FD$1000,"Y",$J$2:$J$1000,"&gt;"&amp;J412)+COUNTIFS($FD$2:$FD$1000,"Y",$J$2:$J$1000,J412,$FG$2:$FG$1000,"&lt;"&amp;FG412)+1,""))</f>
        <v/>
      </c>
      <c r="FF412" s="0" t="str">
        <f aca="false">IF(AND(_xlfn.ISFORMULA(C412),_xlfn.ISFORMULA(J412)),"Y","N")</f>
        <v>Y</v>
      </c>
      <c r="FG412" s="0" t="n">
        <f aca="false">ROW()-1</f>
        <v>411</v>
      </c>
    </row>
    <row r="413" customFormat="false" ht="15" hidden="false" customHeight="false" outlineLevel="0" collapsed="false">
      <c r="C413" s="0" t="str">
        <f aca="false">IF($A413="","",IF(AT413="Y",BL413&amp;"",AY413&amp;""))</f>
        <v/>
      </c>
      <c r="D413" s="0" t="str">
        <f aca="false">IF($A413="","",IF(AT413="Y",BM413&amp;"",AZ413&amp;""))</f>
        <v/>
      </c>
      <c r="E413" s="0" t="str">
        <f aca="false">IF($A413="","",IF(AT413="Y",BN413&amp;"",BA413&amp;""))</f>
        <v/>
      </c>
      <c r="F413" s="0" t="str">
        <f aca="false">IF($A413="","",IF(AT413="Y",BO413&amp;"",BB413&amp;""))</f>
        <v/>
      </c>
      <c r="G413" s="0" t="str">
        <f aca="false">IF($A413="","",IF(AT413="Y",BP413&amp;"",BC413&amp;""))</f>
        <v/>
      </c>
      <c r="H413" s="0" t="str">
        <f aca="false">IF($A413="","",IF(AT413="Y",BQ413&amp;"",BD413&amp;""))</f>
        <v/>
      </c>
      <c r="I413" s="0" t="str">
        <f aca="false">IF($A413="","",IF(R413="Y","warm-intro",IF(H413="verified","email",IF(C413&lt;&gt;"","linkedin",CA413&amp;""))))</f>
        <v/>
      </c>
      <c r="J413" s="0" t="str">
        <f aca="false">IF($A413="","",IF(CK413="pass",ROUND(N(DO413)+N(DP413)+N(DQ413)+N(DR413)+N(DS413)+N(DT413)+N(DU413)+N(DV413),0),0))</f>
        <v/>
      </c>
      <c r="K413" s="0" t="str">
        <f aca="false">IF($A413="","",IF(CK413&lt;&gt;"pass",BY413&amp;"",BY413&amp;", "&amp;IF(AT413="Y",BX413&amp;"",BK413&amp;"")&amp;BZ413&amp;IF(R413="Y","; known to the founder (+10)","")&amp;"."))</f>
        <v/>
      </c>
      <c r="R413" s="5"/>
      <c r="T413" s="5"/>
      <c r="U413" s="5"/>
      <c r="Y413" s="0" t="str">
        <f aca="false">IF(FA413&lt;&gt;"Y","",COUNTIFS($FA$2:$FA$1000,"Y",$J$2:$J$1000,"&gt;"&amp;J413)+COUNTIFS($FA$2:$FA$1000,"Y",$J$2:$J$1000,J413,$FG$2:$FG$1000,"&lt;"&amp;FG413)+1)</f>
        <v/>
      </c>
      <c r="AB413" s="0" t="str">
        <f aca="false">IF($A413="","",IF(AT413="Y",BW413&amp;"",BJ413&amp;""))</f>
        <v/>
      </c>
      <c r="AC413" s="0" t="str">
        <f aca="false">IF($A413="","",IF(AT413="Y",BR413&amp;"",BE413&amp;""))</f>
        <v/>
      </c>
      <c r="AD413" s="0" t="str">
        <f aca="false">IF($A413="","",IF(AT413="Y",BS413&amp;"",BF413&amp;""))</f>
        <v/>
      </c>
      <c r="AE413" s="0" t="str">
        <f aca="false">IF($A413="","",IF(AT413="Y",BT413&amp;"",BG413&amp;""))</f>
        <v/>
      </c>
      <c r="AF413" s="0" t="str">
        <f aca="false">IF($A413="","",IF(AT413="Y",BU413&amp;"",BH413&amp;""))</f>
        <v/>
      </c>
      <c r="AG413" s="0" t="str">
        <f aca="false">IF($A413="","",IF(AT413="Y",BV413&amp;"",BI413&amp;""))</f>
        <v/>
      </c>
      <c r="AO413" s="5"/>
      <c r="AR413" s="0" t="str">
        <f aca="false">IF($A413="","",IF(AND(CK413="pass",AO413&lt;&gt;"Y",C413&lt;&gt;"",OR(AU413&lt;&gt;"Y",AV413="Y")),"Y","N"))</f>
        <v/>
      </c>
      <c r="AS413" s="0" t="str">
        <f aca="false">IF($A413="","",_xlfn.TEXTJOIN("; ",TRUE(),IF(CK413&lt;&gt;"pass","gated out",""),IF(AO413="Y","on hold: "&amp;AP413,""),IF(C413="","no contact named on an opened page",""),IF(AND(AU413="Y",AV413&lt;&gt;"Y"),"founder review pending (Founder review tab)","")))</f>
        <v/>
      </c>
      <c r="BC413" s="0" t="str">
        <f aca="false">IF($A413="","",IFERROR(INDEX(Enrichment!$A$2:$GZ$2000,MATCH($A413,INDEX(Enrichment!$A$2:$GZ$2000,0,MATCH("row_id",Enrichment!$A$1:$GZ$1,0)),0),MATCH("work_email",Enrichment!$A$1:$GZ$1,0))&amp;"",""))</f>
        <v/>
      </c>
      <c r="BD413" s="0" t="str">
        <f aca="false">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P413" s="0" t="str">
        <f aca="false">IF($A413="","",IFERROR(INDEX(Enrichment!$A$2:$GZ$2000,MATCH($A413,INDEX(Enrichment!$A$2:$GZ$2000,0,MATCH("row_id",Enrichment!$A$1:$GZ$1,0)),0),MATCH("backup_work_email",Enrichment!$A$1:$GZ$1,0))&amp;"",""))</f>
        <v/>
      </c>
      <c r="BQ413" s="0" t="str">
        <f aca="false">IF($A413="","",IF(BP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DU413" s="0" t="str">
        <f aca="false">IF($A413="","",IF(R413="Y",10,0))</f>
        <v/>
      </c>
      <c r="EV413" s="0" t="str">
        <f aca="false">IF($A413="","",IF(ISNUMBER(MATCH(U413,{"queued","contacted","replied","call_booked","call_done","yes_in_principle","materials_sent"},0)),"Y","N"))</f>
        <v/>
      </c>
      <c r="EW413" s="0" t="str">
        <f aca="false">IF($A413="","",IF(OR(T413="Y",U413="do_not_contact",AQ413&amp;""&lt;&gt;""),"Y","N"))</f>
        <v/>
      </c>
      <c r="EX413" s="0" t="str">
        <f aca="false">IF($A413="","",IF(AN413&amp;""&lt;&gt;"",AN413&amp;"",$A413))</f>
        <v/>
      </c>
      <c r="EY413" s="0" t="str">
        <f aca="false">IF($A413="","",IF(COUNTIFS($EX$2:$EX$1000,EX413,$EV$2:$EV$1000,"Y")+COUNTIFS($EX$2:$EX$1000,EX413,$EW$2:$EW$1000,"Y")&gt;0,"Y","N"))</f>
        <v/>
      </c>
      <c r="EZ413" s="0" t="str">
        <f aca="false">IF($A413="","",IF(AND(U413="new",T413="N",EW413="N",AR413="Y",EY413="N"),"Y","N"))</f>
        <v/>
      </c>
      <c r="FA413" s="0" t="str">
        <f aca="false">IF($A413="","",IF(EZ413&lt;&gt;"Y","N",IF(COUNTIFS($EX$2:$EX$1000,EX413,$EZ$2:$EZ$1000,"Y",$J$2:$J$1000,"&gt;"&amp;J413)+COUNTIFS($EX$2:$EX$1000,EX413,$EZ$2:$EZ$1000,"Y",$J$2:$J$1000,J413,$FG$2:$FG$1000,"&lt;"&amp;FG413)=0,"Y","N")))</f>
        <v/>
      </c>
      <c r="FB413" s="0" t="str">
        <f aca="false">IF($A413="","",IF(AND(EZ413="Y",FA413="Y",Y413&amp;""&lt;&gt;""),IF(Y413&lt;=10,"Y","N"),"N"))</f>
        <v/>
      </c>
      <c r="FC413" s="0" t="str">
        <f aca="false">IF(FB413="Y",Y413,"")</f>
        <v/>
      </c>
      <c r="FD413" s="0" t="str">
        <f aca="false">IF($A413="","",IF(AND(CK413="pass",AU413="Y",AV413&lt;&gt;"Y",U413="new",EW413="N"),"Y","N"))</f>
        <v/>
      </c>
      <c r="FE413" s="0" t="str">
        <f aca="false">IF(FD413&lt;&gt;"Y","",IF(COUNTIFS($FD$2:$FD$1000,"Y",$J$2:$J$1000,"&gt;"&amp;J413)+COUNTIFS($FD$2:$FD$1000,"Y",$J$2:$J$1000,J413,$FG$2:$FG$1000,"&lt;"&amp;FG413)+1&lt;=30,COUNTIFS($FD$2:$FD$1000,"Y",$J$2:$J$1000,"&gt;"&amp;J413)+COUNTIFS($FD$2:$FD$1000,"Y",$J$2:$J$1000,J413,$FG$2:$FG$1000,"&lt;"&amp;FG413)+1,""))</f>
        <v/>
      </c>
      <c r="FF413" s="0" t="str">
        <f aca="false">IF(AND(_xlfn.ISFORMULA(C413),_xlfn.ISFORMULA(J413)),"Y","N")</f>
        <v>Y</v>
      </c>
      <c r="FG413" s="0" t="n">
        <f aca="false">ROW()-1</f>
        <v>412</v>
      </c>
    </row>
    <row r="414" customFormat="false" ht="15" hidden="false" customHeight="false" outlineLevel="0" collapsed="false">
      <c r="C414" s="0" t="str">
        <f aca="false">IF($A414="","",IF(AT414="Y",BL414&amp;"",AY414&amp;""))</f>
        <v/>
      </c>
      <c r="D414" s="0" t="str">
        <f aca="false">IF($A414="","",IF(AT414="Y",BM414&amp;"",AZ414&amp;""))</f>
        <v/>
      </c>
      <c r="E414" s="0" t="str">
        <f aca="false">IF($A414="","",IF(AT414="Y",BN414&amp;"",BA414&amp;""))</f>
        <v/>
      </c>
      <c r="F414" s="0" t="str">
        <f aca="false">IF($A414="","",IF(AT414="Y",BO414&amp;"",BB414&amp;""))</f>
        <v/>
      </c>
      <c r="G414" s="0" t="str">
        <f aca="false">IF($A414="","",IF(AT414="Y",BP414&amp;"",BC414&amp;""))</f>
        <v/>
      </c>
      <c r="H414" s="0" t="str">
        <f aca="false">IF($A414="","",IF(AT414="Y",BQ414&amp;"",BD414&amp;""))</f>
        <v/>
      </c>
      <c r="I414" s="0" t="str">
        <f aca="false">IF($A414="","",IF(R414="Y","warm-intro",IF(H414="verified","email",IF(C414&lt;&gt;"","linkedin",CA414&amp;""))))</f>
        <v/>
      </c>
      <c r="J414" s="0" t="str">
        <f aca="false">IF($A414="","",IF(CK414="pass",ROUND(N(DO414)+N(DP414)+N(DQ414)+N(DR414)+N(DS414)+N(DT414)+N(DU414)+N(DV414),0),0))</f>
        <v/>
      </c>
      <c r="K414" s="0" t="str">
        <f aca="false">IF($A414="","",IF(CK414&lt;&gt;"pass",BY414&amp;"",BY414&amp;", "&amp;IF(AT414="Y",BX414&amp;"",BK414&amp;"")&amp;BZ414&amp;IF(R414="Y","; known to the founder (+10)","")&amp;"."))</f>
        <v/>
      </c>
      <c r="R414" s="5"/>
      <c r="T414" s="5"/>
      <c r="U414" s="5"/>
      <c r="Y414" s="0" t="str">
        <f aca="false">IF(FA414&lt;&gt;"Y","",COUNTIFS($FA$2:$FA$1000,"Y",$J$2:$J$1000,"&gt;"&amp;J414)+COUNTIFS($FA$2:$FA$1000,"Y",$J$2:$J$1000,J414,$FG$2:$FG$1000,"&lt;"&amp;FG414)+1)</f>
        <v/>
      </c>
      <c r="AB414" s="0" t="str">
        <f aca="false">IF($A414="","",IF(AT414="Y",BW414&amp;"",BJ414&amp;""))</f>
        <v/>
      </c>
      <c r="AC414" s="0" t="str">
        <f aca="false">IF($A414="","",IF(AT414="Y",BR414&amp;"",BE414&amp;""))</f>
        <v/>
      </c>
      <c r="AD414" s="0" t="str">
        <f aca="false">IF($A414="","",IF(AT414="Y",BS414&amp;"",BF414&amp;""))</f>
        <v/>
      </c>
      <c r="AE414" s="0" t="str">
        <f aca="false">IF($A414="","",IF(AT414="Y",BT414&amp;"",BG414&amp;""))</f>
        <v/>
      </c>
      <c r="AF414" s="0" t="str">
        <f aca="false">IF($A414="","",IF(AT414="Y",BU414&amp;"",BH414&amp;""))</f>
        <v/>
      </c>
      <c r="AG414" s="0" t="str">
        <f aca="false">IF($A414="","",IF(AT414="Y",BV414&amp;"",BI414&amp;""))</f>
        <v/>
      </c>
      <c r="AO414" s="5"/>
      <c r="AR414" s="0" t="str">
        <f aca="false">IF($A414="","",IF(AND(CK414="pass",AO414&lt;&gt;"Y",C414&lt;&gt;"",OR(AU414&lt;&gt;"Y",AV414="Y")),"Y","N"))</f>
        <v/>
      </c>
      <c r="AS414" s="0" t="str">
        <f aca="false">IF($A414="","",_xlfn.TEXTJOIN("; ",TRUE(),IF(CK414&lt;&gt;"pass","gated out",""),IF(AO414="Y","on hold: "&amp;AP414,""),IF(C414="","no contact named on an opened page",""),IF(AND(AU414="Y",AV414&lt;&gt;"Y"),"founder review pending (Founder review tab)","")))</f>
        <v/>
      </c>
      <c r="BC414" s="0" t="str">
        <f aca="false">IF($A414="","",IFERROR(INDEX(Enrichment!$A$2:$GZ$2000,MATCH($A414,INDEX(Enrichment!$A$2:$GZ$2000,0,MATCH("row_id",Enrichment!$A$1:$GZ$1,0)),0),MATCH("work_email",Enrichment!$A$1:$GZ$1,0))&amp;"",""))</f>
        <v/>
      </c>
      <c r="BD414" s="0" t="str">
        <f aca="false">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P414" s="0" t="str">
        <f aca="false">IF($A414="","",IFERROR(INDEX(Enrichment!$A$2:$GZ$2000,MATCH($A414,INDEX(Enrichment!$A$2:$GZ$2000,0,MATCH("row_id",Enrichment!$A$1:$GZ$1,0)),0),MATCH("backup_work_email",Enrichment!$A$1:$GZ$1,0))&amp;"",""))</f>
        <v/>
      </c>
      <c r="BQ414" s="0" t="str">
        <f aca="false">IF($A414="","",IF(BP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DU414" s="0" t="str">
        <f aca="false">IF($A414="","",IF(R414="Y",10,0))</f>
        <v/>
      </c>
      <c r="EV414" s="0" t="str">
        <f aca="false">IF($A414="","",IF(ISNUMBER(MATCH(U414,{"queued","contacted","replied","call_booked","call_done","yes_in_principle","materials_sent"},0)),"Y","N"))</f>
        <v/>
      </c>
      <c r="EW414" s="0" t="str">
        <f aca="false">IF($A414="","",IF(OR(T414="Y",U414="do_not_contact",AQ414&amp;""&lt;&gt;""),"Y","N"))</f>
        <v/>
      </c>
      <c r="EX414" s="0" t="str">
        <f aca="false">IF($A414="","",IF(AN414&amp;""&lt;&gt;"",AN414&amp;"",$A414))</f>
        <v/>
      </c>
      <c r="EY414" s="0" t="str">
        <f aca="false">IF($A414="","",IF(COUNTIFS($EX$2:$EX$1000,EX414,$EV$2:$EV$1000,"Y")+COUNTIFS($EX$2:$EX$1000,EX414,$EW$2:$EW$1000,"Y")&gt;0,"Y","N"))</f>
        <v/>
      </c>
      <c r="EZ414" s="0" t="str">
        <f aca="false">IF($A414="","",IF(AND(U414="new",T414="N",EW414="N",AR414="Y",EY414="N"),"Y","N"))</f>
        <v/>
      </c>
      <c r="FA414" s="0" t="str">
        <f aca="false">IF($A414="","",IF(EZ414&lt;&gt;"Y","N",IF(COUNTIFS($EX$2:$EX$1000,EX414,$EZ$2:$EZ$1000,"Y",$J$2:$J$1000,"&gt;"&amp;J414)+COUNTIFS($EX$2:$EX$1000,EX414,$EZ$2:$EZ$1000,"Y",$J$2:$J$1000,J414,$FG$2:$FG$1000,"&lt;"&amp;FG414)=0,"Y","N")))</f>
        <v/>
      </c>
      <c r="FB414" s="0" t="str">
        <f aca="false">IF($A414="","",IF(AND(EZ414="Y",FA414="Y",Y414&amp;""&lt;&gt;""),IF(Y414&lt;=10,"Y","N"),"N"))</f>
        <v/>
      </c>
      <c r="FC414" s="0" t="str">
        <f aca="false">IF(FB414="Y",Y414,"")</f>
        <v/>
      </c>
      <c r="FD414" s="0" t="str">
        <f aca="false">IF($A414="","",IF(AND(CK414="pass",AU414="Y",AV414&lt;&gt;"Y",U414="new",EW414="N"),"Y","N"))</f>
        <v/>
      </c>
      <c r="FE414" s="0" t="str">
        <f aca="false">IF(FD414&lt;&gt;"Y","",IF(COUNTIFS($FD$2:$FD$1000,"Y",$J$2:$J$1000,"&gt;"&amp;J414)+COUNTIFS($FD$2:$FD$1000,"Y",$J$2:$J$1000,J414,$FG$2:$FG$1000,"&lt;"&amp;FG414)+1&lt;=30,COUNTIFS($FD$2:$FD$1000,"Y",$J$2:$J$1000,"&gt;"&amp;J414)+COUNTIFS($FD$2:$FD$1000,"Y",$J$2:$J$1000,J414,$FG$2:$FG$1000,"&lt;"&amp;FG414)+1,""))</f>
        <v/>
      </c>
      <c r="FF414" s="0" t="str">
        <f aca="false">IF(AND(_xlfn.ISFORMULA(C414),_xlfn.ISFORMULA(J414)),"Y","N")</f>
        <v>Y</v>
      </c>
      <c r="FG414" s="0" t="n">
        <f aca="false">ROW()-1</f>
        <v>413</v>
      </c>
    </row>
    <row r="415" customFormat="false" ht="15" hidden="false" customHeight="false" outlineLevel="0" collapsed="false">
      <c r="C415" s="0" t="str">
        <f aca="false">IF($A415="","",IF(AT415="Y",BL415&amp;"",AY415&amp;""))</f>
        <v/>
      </c>
      <c r="D415" s="0" t="str">
        <f aca="false">IF($A415="","",IF(AT415="Y",BM415&amp;"",AZ415&amp;""))</f>
        <v/>
      </c>
      <c r="E415" s="0" t="str">
        <f aca="false">IF($A415="","",IF(AT415="Y",BN415&amp;"",BA415&amp;""))</f>
        <v/>
      </c>
      <c r="F415" s="0" t="str">
        <f aca="false">IF($A415="","",IF(AT415="Y",BO415&amp;"",BB415&amp;""))</f>
        <v/>
      </c>
      <c r="G415" s="0" t="str">
        <f aca="false">IF($A415="","",IF(AT415="Y",BP415&amp;"",BC415&amp;""))</f>
        <v/>
      </c>
      <c r="H415" s="0" t="str">
        <f aca="false">IF($A415="","",IF(AT415="Y",BQ415&amp;"",BD415&amp;""))</f>
        <v/>
      </c>
      <c r="I415" s="0" t="str">
        <f aca="false">IF($A415="","",IF(R415="Y","warm-intro",IF(H415="verified","email",IF(C415&lt;&gt;"","linkedin",CA415&amp;""))))</f>
        <v/>
      </c>
      <c r="J415" s="0" t="str">
        <f aca="false">IF($A415="","",IF(CK415="pass",ROUND(N(DO415)+N(DP415)+N(DQ415)+N(DR415)+N(DS415)+N(DT415)+N(DU415)+N(DV415),0),0))</f>
        <v/>
      </c>
      <c r="K415" s="0" t="str">
        <f aca="false">IF($A415="","",IF(CK415&lt;&gt;"pass",BY415&amp;"",BY415&amp;", "&amp;IF(AT415="Y",BX415&amp;"",BK415&amp;"")&amp;BZ415&amp;IF(R415="Y","; known to the founder (+10)","")&amp;"."))</f>
        <v/>
      </c>
      <c r="R415" s="5"/>
      <c r="T415" s="5"/>
      <c r="U415" s="5"/>
      <c r="Y415" s="0" t="str">
        <f aca="false">IF(FA415&lt;&gt;"Y","",COUNTIFS($FA$2:$FA$1000,"Y",$J$2:$J$1000,"&gt;"&amp;J415)+COUNTIFS($FA$2:$FA$1000,"Y",$J$2:$J$1000,J415,$FG$2:$FG$1000,"&lt;"&amp;FG415)+1)</f>
        <v/>
      </c>
      <c r="AB415" s="0" t="str">
        <f aca="false">IF($A415="","",IF(AT415="Y",BW415&amp;"",BJ415&amp;""))</f>
        <v/>
      </c>
      <c r="AC415" s="0" t="str">
        <f aca="false">IF($A415="","",IF(AT415="Y",BR415&amp;"",BE415&amp;""))</f>
        <v/>
      </c>
      <c r="AD415" s="0" t="str">
        <f aca="false">IF($A415="","",IF(AT415="Y",BS415&amp;"",BF415&amp;""))</f>
        <v/>
      </c>
      <c r="AE415" s="0" t="str">
        <f aca="false">IF($A415="","",IF(AT415="Y",BT415&amp;"",BG415&amp;""))</f>
        <v/>
      </c>
      <c r="AF415" s="0" t="str">
        <f aca="false">IF($A415="","",IF(AT415="Y",BU415&amp;"",BH415&amp;""))</f>
        <v/>
      </c>
      <c r="AG415" s="0" t="str">
        <f aca="false">IF($A415="","",IF(AT415="Y",BV415&amp;"",BI415&amp;""))</f>
        <v/>
      </c>
      <c r="AO415" s="5"/>
      <c r="AR415" s="0" t="str">
        <f aca="false">IF($A415="","",IF(AND(CK415="pass",AO415&lt;&gt;"Y",C415&lt;&gt;"",OR(AU415&lt;&gt;"Y",AV415="Y")),"Y","N"))</f>
        <v/>
      </c>
      <c r="AS415" s="0" t="str">
        <f aca="false">IF($A415="","",_xlfn.TEXTJOIN("; ",TRUE(),IF(CK415&lt;&gt;"pass","gated out",""),IF(AO415="Y","on hold: "&amp;AP415,""),IF(C415="","no contact named on an opened page",""),IF(AND(AU415="Y",AV415&lt;&gt;"Y"),"founder review pending (Founder review tab)","")))</f>
        <v/>
      </c>
      <c r="BC415" s="0" t="str">
        <f aca="false">IF($A415="","",IFERROR(INDEX(Enrichment!$A$2:$GZ$2000,MATCH($A415,INDEX(Enrichment!$A$2:$GZ$2000,0,MATCH("row_id",Enrichment!$A$1:$GZ$1,0)),0),MATCH("work_email",Enrichment!$A$1:$GZ$1,0))&amp;"",""))</f>
        <v/>
      </c>
      <c r="BD415" s="0" t="str">
        <f aca="false">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P415" s="0" t="str">
        <f aca="false">IF($A415="","",IFERROR(INDEX(Enrichment!$A$2:$GZ$2000,MATCH($A415,INDEX(Enrichment!$A$2:$GZ$2000,0,MATCH("row_id",Enrichment!$A$1:$GZ$1,0)),0),MATCH("backup_work_email",Enrichment!$A$1:$GZ$1,0))&amp;"",""))</f>
        <v/>
      </c>
      <c r="BQ415" s="0" t="str">
        <f aca="false">IF($A415="","",IF(BP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DU415" s="0" t="str">
        <f aca="false">IF($A415="","",IF(R415="Y",10,0))</f>
        <v/>
      </c>
      <c r="EV415" s="0" t="str">
        <f aca="false">IF($A415="","",IF(ISNUMBER(MATCH(U415,{"queued","contacted","replied","call_booked","call_done","yes_in_principle","materials_sent"},0)),"Y","N"))</f>
        <v/>
      </c>
      <c r="EW415" s="0" t="str">
        <f aca="false">IF($A415="","",IF(OR(T415="Y",U415="do_not_contact",AQ415&amp;""&lt;&gt;""),"Y","N"))</f>
        <v/>
      </c>
      <c r="EX415" s="0" t="str">
        <f aca="false">IF($A415="","",IF(AN415&amp;""&lt;&gt;"",AN415&amp;"",$A415))</f>
        <v/>
      </c>
      <c r="EY415" s="0" t="str">
        <f aca="false">IF($A415="","",IF(COUNTIFS($EX$2:$EX$1000,EX415,$EV$2:$EV$1000,"Y")+COUNTIFS($EX$2:$EX$1000,EX415,$EW$2:$EW$1000,"Y")&gt;0,"Y","N"))</f>
        <v/>
      </c>
      <c r="EZ415" s="0" t="str">
        <f aca="false">IF($A415="","",IF(AND(U415="new",T415="N",EW415="N",AR415="Y",EY415="N"),"Y","N"))</f>
        <v/>
      </c>
      <c r="FA415" s="0" t="str">
        <f aca="false">IF($A415="","",IF(EZ415&lt;&gt;"Y","N",IF(COUNTIFS($EX$2:$EX$1000,EX415,$EZ$2:$EZ$1000,"Y",$J$2:$J$1000,"&gt;"&amp;J415)+COUNTIFS($EX$2:$EX$1000,EX415,$EZ$2:$EZ$1000,"Y",$J$2:$J$1000,J415,$FG$2:$FG$1000,"&lt;"&amp;FG415)=0,"Y","N")))</f>
        <v/>
      </c>
      <c r="FB415" s="0" t="str">
        <f aca="false">IF($A415="","",IF(AND(EZ415="Y",FA415="Y",Y415&amp;""&lt;&gt;""),IF(Y415&lt;=10,"Y","N"),"N"))</f>
        <v/>
      </c>
      <c r="FC415" s="0" t="str">
        <f aca="false">IF(FB415="Y",Y415,"")</f>
        <v/>
      </c>
      <c r="FD415" s="0" t="str">
        <f aca="false">IF($A415="","",IF(AND(CK415="pass",AU415="Y",AV415&lt;&gt;"Y",U415="new",EW415="N"),"Y","N"))</f>
        <v/>
      </c>
      <c r="FE415" s="0" t="str">
        <f aca="false">IF(FD415&lt;&gt;"Y","",IF(COUNTIFS($FD$2:$FD$1000,"Y",$J$2:$J$1000,"&gt;"&amp;J415)+COUNTIFS($FD$2:$FD$1000,"Y",$J$2:$J$1000,J415,$FG$2:$FG$1000,"&lt;"&amp;FG415)+1&lt;=30,COUNTIFS($FD$2:$FD$1000,"Y",$J$2:$J$1000,"&gt;"&amp;J415)+COUNTIFS($FD$2:$FD$1000,"Y",$J$2:$J$1000,J415,$FG$2:$FG$1000,"&lt;"&amp;FG415)+1,""))</f>
        <v/>
      </c>
      <c r="FF415" s="0" t="str">
        <f aca="false">IF(AND(_xlfn.ISFORMULA(C415),_xlfn.ISFORMULA(J415)),"Y","N")</f>
        <v>Y</v>
      </c>
      <c r="FG415" s="0" t="n">
        <f aca="false">ROW()-1</f>
        <v>414</v>
      </c>
    </row>
    <row r="416" customFormat="false" ht="15" hidden="false" customHeight="false" outlineLevel="0" collapsed="false">
      <c r="C416" s="0" t="str">
        <f aca="false">IF($A416="","",IF(AT416="Y",BL416&amp;"",AY416&amp;""))</f>
        <v/>
      </c>
      <c r="D416" s="0" t="str">
        <f aca="false">IF($A416="","",IF(AT416="Y",BM416&amp;"",AZ416&amp;""))</f>
        <v/>
      </c>
      <c r="E416" s="0" t="str">
        <f aca="false">IF($A416="","",IF(AT416="Y",BN416&amp;"",BA416&amp;""))</f>
        <v/>
      </c>
      <c r="F416" s="0" t="str">
        <f aca="false">IF($A416="","",IF(AT416="Y",BO416&amp;"",BB416&amp;""))</f>
        <v/>
      </c>
      <c r="G416" s="0" t="str">
        <f aca="false">IF($A416="","",IF(AT416="Y",BP416&amp;"",BC416&amp;""))</f>
        <v/>
      </c>
      <c r="H416" s="0" t="str">
        <f aca="false">IF($A416="","",IF(AT416="Y",BQ416&amp;"",BD416&amp;""))</f>
        <v/>
      </c>
      <c r="I416" s="0" t="str">
        <f aca="false">IF($A416="","",IF(R416="Y","warm-intro",IF(H416="verified","email",IF(C416&lt;&gt;"","linkedin",CA416&amp;""))))</f>
        <v/>
      </c>
      <c r="J416" s="0" t="str">
        <f aca="false">IF($A416="","",IF(CK416="pass",ROUND(N(DO416)+N(DP416)+N(DQ416)+N(DR416)+N(DS416)+N(DT416)+N(DU416)+N(DV416),0),0))</f>
        <v/>
      </c>
      <c r="K416" s="0" t="str">
        <f aca="false">IF($A416="","",IF(CK416&lt;&gt;"pass",BY416&amp;"",BY416&amp;", "&amp;IF(AT416="Y",BX416&amp;"",BK416&amp;"")&amp;BZ416&amp;IF(R416="Y","; known to the founder (+10)","")&amp;"."))</f>
        <v/>
      </c>
      <c r="R416" s="5"/>
      <c r="T416" s="5"/>
      <c r="U416" s="5"/>
      <c r="Y416" s="0" t="str">
        <f aca="false">IF(FA416&lt;&gt;"Y","",COUNTIFS($FA$2:$FA$1000,"Y",$J$2:$J$1000,"&gt;"&amp;J416)+COUNTIFS($FA$2:$FA$1000,"Y",$J$2:$J$1000,J416,$FG$2:$FG$1000,"&lt;"&amp;FG416)+1)</f>
        <v/>
      </c>
      <c r="AB416" s="0" t="str">
        <f aca="false">IF($A416="","",IF(AT416="Y",BW416&amp;"",BJ416&amp;""))</f>
        <v/>
      </c>
      <c r="AC416" s="0" t="str">
        <f aca="false">IF($A416="","",IF(AT416="Y",BR416&amp;"",BE416&amp;""))</f>
        <v/>
      </c>
      <c r="AD416" s="0" t="str">
        <f aca="false">IF($A416="","",IF(AT416="Y",BS416&amp;"",BF416&amp;""))</f>
        <v/>
      </c>
      <c r="AE416" s="0" t="str">
        <f aca="false">IF($A416="","",IF(AT416="Y",BT416&amp;"",BG416&amp;""))</f>
        <v/>
      </c>
      <c r="AF416" s="0" t="str">
        <f aca="false">IF($A416="","",IF(AT416="Y",BU416&amp;"",BH416&amp;""))</f>
        <v/>
      </c>
      <c r="AG416" s="0" t="str">
        <f aca="false">IF($A416="","",IF(AT416="Y",BV416&amp;"",BI416&amp;""))</f>
        <v/>
      </c>
      <c r="AO416" s="5"/>
      <c r="AR416" s="0" t="str">
        <f aca="false">IF($A416="","",IF(AND(CK416="pass",AO416&lt;&gt;"Y",C416&lt;&gt;"",OR(AU416&lt;&gt;"Y",AV416="Y")),"Y","N"))</f>
        <v/>
      </c>
      <c r="AS416" s="0" t="str">
        <f aca="false">IF($A416="","",_xlfn.TEXTJOIN("; ",TRUE(),IF(CK416&lt;&gt;"pass","gated out",""),IF(AO416="Y","on hold: "&amp;AP416,""),IF(C416="","no contact named on an opened page",""),IF(AND(AU416="Y",AV416&lt;&gt;"Y"),"founder review pending (Founder review tab)","")))</f>
        <v/>
      </c>
      <c r="BC416" s="0" t="str">
        <f aca="false">IF($A416="","",IFERROR(INDEX(Enrichment!$A$2:$GZ$2000,MATCH($A416,INDEX(Enrichment!$A$2:$GZ$2000,0,MATCH("row_id",Enrichment!$A$1:$GZ$1,0)),0),MATCH("work_email",Enrichment!$A$1:$GZ$1,0))&amp;"",""))</f>
        <v/>
      </c>
      <c r="BD416" s="0" t="str">
        <f aca="false">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P416" s="0" t="str">
        <f aca="false">IF($A416="","",IFERROR(INDEX(Enrichment!$A$2:$GZ$2000,MATCH($A416,INDEX(Enrichment!$A$2:$GZ$2000,0,MATCH("row_id",Enrichment!$A$1:$GZ$1,0)),0),MATCH("backup_work_email",Enrichment!$A$1:$GZ$1,0))&amp;"",""))</f>
        <v/>
      </c>
      <c r="BQ416" s="0" t="str">
        <f aca="false">IF($A416="","",IF(BP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DU416" s="0" t="str">
        <f aca="false">IF($A416="","",IF(R416="Y",10,0))</f>
        <v/>
      </c>
      <c r="EV416" s="0" t="str">
        <f aca="false">IF($A416="","",IF(ISNUMBER(MATCH(U416,{"queued","contacted","replied","call_booked","call_done","yes_in_principle","materials_sent"},0)),"Y","N"))</f>
        <v/>
      </c>
      <c r="EW416" s="0" t="str">
        <f aca="false">IF($A416="","",IF(OR(T416="Y",U416="do_not_contact",AQ416&amp;""&lt;&gt;""),"Y","N"))</f>
        <v/>
      </c>
      <c r="EX416" s="0" t="str">
        <f aca="false">IF($A416="","",IF(AN416&amp;""&lt;&gt;"",AN416&amp;"",$A416))</f>
        <v/>
      </c>
      <c r="EY416" s="0" t="str">
        <f aca="false">IF($A416="","",IF(COUNTIFS($EX$2:$EX$1000,EX416,$EV$2:$EV$1000,"Y")+COUNTIFS($EX$2:$EX$1000,EX416,$EW$2:$EW$1000,"Y")&gt;0,"Y","N"))</f>
        <v/>
      </c>
      <c r="EZ416" s="0" t="str">
        <f aca="false">IF($A416="","",IF(AND(U416="new",T416="N",EW416="N",AR416="Y",EY416="N"),"Y","N"))</f>
        <v/>
      </c>
      <c r="FA416" s="0" t="str">
        <f aca="false">IF($A416="","",IF(EZ416&lt;&gt;"Y","N",IF(COUNTIFS($EX$2:$EX$1000,EX416,$EZ$2:$EZ$1000,"Y",$J$2:$J$1000,"&gt;"&amp;J416)+COUNTIFS($EX$2:$EX$1000,EX416,$EZ$2:$EZ$1000,"Y",$J$2:$J$1000,J416,$FG$2:$FG$1000,"&lt;"&amp;FG416)=0,"Y","N")))</f>
        <v/>
      </c>
      <c r="FB416" s="0" t="str">
        <f aca="false">IF($A416="","",IF(AND(EZ416="Y",FA416="Y",Y416&amp;""&lt;&gt;""),IF(Y416&lt;=10,"Y","N"),"N"))</f>
        <v/>
      </c>
      <c r="FC416" s="0" t="str">
        <f aca="false">IF(FB416="Y",Y416,"")</f>
        <v/>
      </c>
      <c r="FD416" s="0" t="str">
        <f aca="false">IF($A416="","",IF(AND(CK416="pass",AU416="Y",AV416&lt;&gt;"Y",U416="new",EW416="N"),"Y","N"))</f>
        <v/>
      </c>
      <c r="FE416" s="0" t="str">
        <f aca="false">IF(FD416&lt;&gt;"Y","",IF(COUNTIFS($FD$2:$FD$1000,"Y",$J$2:$J$1000,"&gt;"&amp;J416)+COUNTIFS($FD$2:$FD$1000,"Y",$J$2:$J$1000,J416,$FG$2:$FG$1000,"&lt;"&amp;FG416)+1&lt;=30,COUNTIFS($FD$2:$FD$1000,"Y",$J$2:$J$1000,"&gt;"&amp;J416)+COUNTIFS($FD$2:$FD$1000,"Y",$J$2:$J$1000,J416,$FG$2:$FG$1000,"&lt;"&amp;FG416)+1,""))</f>
        <v/>
      </c>
      <c r="FF416" s="0" t="str">
        <f aca="false">IF(AND(_xlfn.ISFORMULA(C416),_xlfn.ISFORMULA(J416)),"Y","N")</f>
        <v>Y</v>
      </c>
      <c r="FG416" s="0" t="n">
        <f aca="false">ROW()-1</f>
        <v>415</v>
      </c>
    </row>
    <row r="417" customFormat="false" ht="15" hidden="false" customHeight="false" outlineLevel="0" collapsed="false">
      <c r="C417" s="0" t="str">
        <f aca="false">IF($A417="","",IF(AT417="Y",BL417&amp;"",AY417&amp;""))</f>
        <v/>
      </c>
      <c r="D417" s="0" t="str">
        <f aca="false">IF($A417="","",IF(AT417="Y",BM417&amp;"",AZ417&amp;""))</f>
        <v/>
      </c>
      <c r="E417" s="0" t="str">
        <f aca="false">IF($A417="","",IF(AT417="Y",BN417&amp;"",BA417&amp;""))</f>
        <v/>
      </c>
      <c r="F417" s="0" t="str">
        <f aca="false">IF($A417="","",IF(AT417="Y",BO417&amp;"",BB417&amp;""))</f>
        <v/>
      </c>
      <c r="G417" s="0" t="str">
        <f aca="false">IF($A417="","",IF(AT417="Y",BP417&amp;"",BC417&amp;""))</f>
        <v/>
      </c>
      <c r="H417" s="0" t="str">
        <f aca="false">IF($A417="","",IF(AT417="Y",BQ417&amp;"",BD417&amp;""))</f>
        <v/>
      </c>
      <c r="I417" s="0" t="str">
        <f aca="false">IF($A417="","",IF(R417="Y","warm-intro",IF(H417="verified","email",IF(C417&lt;&gt;"","linkedin",CA417&amp;""))))</f>
        <v/>
      </c>
      <c r="J417" s="0" t="str">
        <f aca="false">IF($A417="","",IF(CK417="pass",ROUND(N(DO417)+N(DP417)+N(DQ417)+N(DR417)+N(DS417)+N(DT417)+N(DU417)+N(DV417),0),0))</f>
        <v/>
      </c>
      <c r="K417" s="0" t="str">
        <f aca="false">IF($A417="","",IF(CK417&lt;&gt;"pass",BY417&amp;"",BY417&amp;", "&amp;IF(AT417="Y",BX417&amp;"",BK417&amp;"")&amp;BZ417&amp;IF(R417="Y","; known to the founder (+10)","")&amp;"."))</f>
        <v/>
      </c>
      <c r="R417" s="5"/>
      <c r="T417" s="5"/>
      <c r="U417" s="5"/>
      <c r="Y417" s="0" t="str">
        <f aca="false">IF(FA417&lt;&gt;"Y","",COUNTIFS($FA$2:$FA$1000,"Y",$J$2:$J$1000,"&gt;"&amp;J417)+COUNTIFS($FA$2:$FA$1000,"Y",$J$2:$J$1000,J417,$FG$2:$FG$1000,"&lt;"&amp;FG417)+1)</f>
        <v/>
      </c>
      <c r="AB417" s="0" t="str">
        <f aca="false">IF($A417="","",IF(AT417="Y",BW417&amp;"",BJ417&amp;""))</f>
        <v/>
      </c>
      <c r="AC417" s="0" t="str">
        <f aca="false">IF($A417="","",IF(AT417="Y",BR417&amp;"",BE417&amp;""))</f>
        <v/>
      </c>
      <c r="AD417" s="0" t="str">
        <f aca="false">IF($A417="","",IF(AT417="Y",BS417&amp;"",BF417&amp;""))</f>
        <v/>
      </c>
      <c r="AE417" s="0" t="str">
        <f aca="false">IF($A417="","",IF(AT417="Y",BT417&amp;"",BG417&amp;""))</f>
        <v/>
      </c>
      <c r="AF417" s="0" t="str">
        <f aca="false">IF($A417="","",IF(AT417="Y",BU417&amp;"",BH417&amp;""))</f>
        <v/>
      </c>
      <c r="AG417" s="0" t="str">
        <f aca="false">IF($A417="","",IF(AT417="Y",BV417&amp;"",BI417&amp;""))</f>
        <v/>
      </c>
      <c r="AO417" s="5"/>
      <c r="AR417" s="0" t="str">
        <f aca="false">IF($A417="","",IF(AND(CK417="pass",AO417&lt;&gt;"Y",C417&lt;&gt;"",OR(AU417&lt;&gt;"Y",AV417="Y")),"Y","N"))</f>
        <v/>
      </c>
      <c r="AS417" s="0" t="str">
        <f aca="false">IF($A417="","",_xlfn.TEXTJOIN("; ",TRUE(),IF(CK417&lt;&gt;"pass","gated out",""),IF(AO417="Y","on hold: "&amp;AP417,""),IF(C417="","no contact named on an opened page",""),IF(AND(AU417="Y",AV417&lt;&gt;"Y"),"founder review pending (Founder review tab)","")))</f>
        <v/>
      </c>
      <c r="BC417" s="0" t="str">
        <f aca="false">IF($A417="","",IFERROR(INDEX(Enrichment!$A$2:$GZ$2000,MATCH($A417,INDEX(Enrichment!$A$2:$GZ$2000,0,MATCH("row_id",Enrichment!$A$1:$GZ$1,0)),0),MATCH("work_email",Enrichment!$A$1:$GZ$1,0))&amp;"",""))</f>
        <v/>
      </c>
      <c r="BD417" s="0" t="str">
        <f aca="false">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P417" s="0" t="str">
        <f aca="false">IF($A417="","",IFERROR(INDEX(Enrichment!$A$2:$GZ$2000,MATCH($A417,INDEX(Enrichment!$A$2:$GZ$2000,0,MATCH("row_id",Enrichment!$A$1:$GZ$1,0)),0),MATCH("backup_work_email",Enrichment!$A$1:$GZ$1,0))&amp;"",""))</f>
        <v/>
      </c>
      <c r="BQ417" s="0" t="str">
        <f aca="false">IF($A417="","",IF(BP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DU417" s="0" t="str">
        <f aca="false">IF($A417="","",IF(R417="Y",10,0))</f>
        <v/>
      </c>
      <c r="EV417" s="0" t="str">
        <f aca="false">IF($A417="","",IF(ISNUMBER(MATCH(U417,{"queued","contacted","replied","call_booked","call_done","yes_in_principle","materials_sent"},0)),"Y","N"))</f>
        <v/>
      </c>
      <c r="EW417" s="0" t="str">
        <f aca="false">IF($A417="","",IF(OR(T417="Y",U417="do_not_contact",AQ417&amp;""&lt;&gt;""),"Y","N"))</f>
        <v/>
      </c>
      <c r="EX417" s="0" t="str">
        <f aca="false">IF($A417="","",IF(AN417&amp;""&lt;&gt;"",AN417&amp;"",$A417))</f>
        <v/>
      </c>
      <c r="EY417" s="0" t="str">
        <f aca="false">IF($A417="","",IF(COUNTIFS($EX$2:$EX$1000,EX417,$EV$2:$EV$1000,"Y")+COUNTIFS($EX$2:$EX$1000,EX417,$EW$2:$EW$1000,"Y")&gt;0,"Y","N"))</f>
        <v/>
      </c>
      <c r="EZ417" s="0" t="str">
        <f aca="false">IF($A417="","",IF(AND(U417="new",T417="N",EW417="N",AR417="Y",EY417="N"),"Y","N"))</f>
        <v/>
      </c>
      <c r="FA417" s="0" t="str">
        <f aca="false">IF($A417="","",IF(EZ417&lt;&gt;"Y","N",IF(COUNTIFS($EX$2:$EX$1000,EX417,$EZ$2:$EZ$1000,"Y",$J$2:$J$1000,"&gt;"&amp;J417)+COUNTIFS($EX$2:$EX$1000,EX417,$EZ$2:$EZ$1000,"Y",$J$2:$J$1000,J417,$FG$2:$FG$1000,"&lt;"&amp;FG417)=0,"Y","N")))</f>
        <v/>
      </c>
      <c r="FB417" s="0" t="str">
        <f aca="false">IF($A417="","",IF(AND(EZ417="Y",FA417="Y",Y417&amp;""&lt;&gt;""),IF(Y417&lt;=10,"Y","N"),"N"))</f>
        <v/>
      </c>
      <c r="FC417" s="0" t="str">
        <f aca="false">IF(FB417="Y",Y417,"")</f>
        <v/>
      </c>
      <c r="FD417" s="0" t="str">
        <f aca="false">IF($A417="","",IF(AND(CK417="pass",AU417="Y",AV417&lt;&gt;"Y",U417="new",EW417="N"),"Y","N"))</f>
        <v/>
      </c>
      <c r="FE417" s="0" t="str">
        <f aca="false">IF(FD417&lt;&gt;"Y","",IF(COUNTIFS($FD$2:$FD$1000,"Y",$J$2:$J$1000,"&gt;"&amp;J417)+COUNTIFS($FD$2:$FD$1000,"Y",$J$2:$J$1000,J417,$FG$2:$FG$1000,"&lt;"&amp;FG417)+1&lt;=30,COUNTIFS($FD$2:$FD$1000,"Y",$J$2:$J$1000,"&gt;"&amp;J417)+COUNTIFS($FD$2:$FD$1000,"Y",$J$2:$J$1000,J417,$FG$2:$FG$1000,"&lt;"&amp;FG417)+1,""))</f>
        <v/>
      </c>
      <c r="FF417" s="0" t="str">
        <f aca="false">IF(AND(_xlfn.ISFORMULA(C417),_xlfn.ISFORMULA(J417)),"Y","N")</f>
        <v>Y</v>
      </c>
      <c r="FG417" s="0" t="n">
        <f aca="false">ROW()-1</f>
        <v>416</v>
      </c>
    </row>
    <row r="418" customFormat="false" ht="15" hidden="false" customHeight="false" outlineLevel="0" collapsed="false">
      <c r="C418" s="0" t="str">
        <f aca="false">IF($A418="","",IF(AT418="Y",BL418&amp;"",AY418&amp;""))</f>
        <v/>
      </c>
      <c r="D418" s="0" t="str">
        <f aca="false">IF($A418="","",IF(AT418="Y",BM418&amp;"",AZ418&amp;""))</f>
        <v/>
      </c>
      <c r="E418" s="0" t="str">
        <f aca="false">IF($A418="","",IF(AT418="Y",BN418&amp;"",BA418&amp;""))</f>
        <v/>
      </c>
      <c r="F418" s="0" t="str">
        <f aca="false">IF($A418="","",IF(AT418="Y",BO418&amp;"",BB418&amp;""))</f>
        <v/>
      </c>
      <c r="G418" s="0" t="str">
        <f aca="false">IF($A418="","",IF(AT418="Y",BP418&amp;"",BC418&amp;""))</f>
        <v/>
      </c>
      <c r="H418" s="0" t="str">
        <f aca="false">IF($A418="","",IF(AT418="Y",BQ418&amp;"",BD418&amp;""))</f>
        <v/>
      </c>
      <c r="I418" s="0" t="str">
        <f aca="false">IF($A418="","",IF(R418="Y","warm-intro",IF(H418="verified","email",IF(C418&lt;&gt;"","linkedin",CA418&amp;""))))</f>
        <v/>
      </c>
      <c r="J418" s="0" t="str">
        <f aca="false">IF($A418="","",IF(CK418="pass",ROUND(N(DO418)+N(DP418)+N(DQ418)+N(DR418)+N(DS418)+N(DT418)+N(DU418)+N(DV418),0),0))</f>
        <v/>
      </c>
      <c r="K418" s="0" t="str">
        <f aca="false">IF($A418="","",IF(CK418&lt;&gt;"pass",BY418&amp;"",BY418&amp;", "&amp;IF(AT418="Y",BX418&amp;"",BK418&amp;"")&amp;BZ418&amp;IF(R418="Y","; known to the founder (+10)","")&amp;"."))</f>
        <v/>
      </c>
      <c r="R418" s="5"/>
      <c r="T418" s="5"/>
      <c r="U418" s="5"/>
      <c r="Y418" s="0" t="str">
        <f aca="false">IF(FA418&lt;&gt;"Y","",COUNTIFS($FA$2:$FA$1000,"Y",$J$2:$J$1000,"&gt;"&amp;J418)+COUNTIFS($FA$2:$FA$1000,"Y",$J$2:$J$1000,J418,$FG$2:$FG$1000,"&lt;"&amp;FG418)+1)</f>
        <v/>
      </c>
      <c r="AB418" s="0" t="str">
        <f aca="false">IF($A418="","",IF(AT418="Y",BW418&amp;"",BJ418&amp;""))</f>
        <v/>
      </c>
      <c r="AC418" s="0" t="str">
        <f aca="false">IF($A418="","",IF(AT418="Y",BR418&amp;"",BE418&amp;""))</f>
        <v/>
      </c>
      <c r="AD418" s="0" t="str">
        <f aca="false">IF($A418="","",IF(AT418="Y",BS418&amp;"",BF418&amp;""))</f>
        <v/>
      </c>
      <c r="AE418" s="0" t="str">
        <f aca="false">IF($A418="","",IF(AT418="Y",BT418&amp;"",BG418&amp;""))</f>
        <v/>
      </c>
      <c r="AF418" s="0" t="str">
        <f aca="false">IF($A418="","",IF(AT418="Y",BU418&amp;"",BH418&amp;""))</f>
        <v/>
      </c>
      <c r="AG418" s="0" t="str">
        <f aca="false">IF($A418="","",IF(AT418="Y",BV418&amp;"",BI418&amp;""))</f>
        <v/>
      </c>
      <c r="AO418" s="5"/>
      <c r="AR418" s="0" t="str">
        <f aca="false">IF($A418="","",IF(AND(CK418="pass",AO418&lt;&gt;"Y",C418&lt;&gt;"",OR(AU418&lt;&gt;"Y",AV418="Y")),"Y","N"))</f>
        <v/>
      </c>
      <c r="AS418" s="0" t="str">
        <f aca="false">IF($A418="","",_xlfn.TEXTJOIN("; ",TRUE(),IF(CK418&lt;&gt;"pass","gated out",""),IF(AO418="Y","on hold: "&amp;AP418,""),IF(C418="","no contact named on an opened page",""),IF(AND(AU418="Y",AV418&lt;&gt;"Y"),"founder review pending (Founder review tab)","")))</f>
        <v/>
      </c>
      <c r="BC418" s="0" t="str">
        <f aca="false">IF($A418="","",IFERROR(INDEX(Enrichment!$A$2:$GZ$2000,MATCH($A418,INDEX(Enrichment!$A$2:$GZ$2000,0,MATCH("row_id",Enrichment!$A$1:$GZ$1,0)),0),MATCH("work_email",Enrichment!$A$1:$GZ$1,0))&amp;"",""))</f>
        <v/>
      </c>
      <c r="BD418" s="0" t="str">
        <f aca="false">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P418" s="0" t="str">
        <f aca="false">IF($A418="","",IFERROR(INDEX(Enrichment!$A$2:$GZ$2000,MATCH($A418,INDEX(Enrichment!$A$2:$GZ$2000,0,MATCH("row_id",Enrichment!$A$1:$GZ$1,0)),0),MATCH("backup_work_email",Enrichment!$A$1:$GZ$1,0))&amp;"",""))</f>
        <v/>
      </c>
      <c r="BQ418" s="0" t="str">
        <f aca="false">IF($A418="","",IF(BP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DU418" s="0" t="str">
        <f aca="false">IF($A418="","",IF(R418="Y",10,0))</f>
        <v/>
      </c>
      <c r="EV418" s="0" t="str">
        <f aca="false">IF($A418="","",IF(ISNUMBER(MATCH(U418,{"queued","contacted","replied","call_booked","call_done","yes_in_principle","materials_sent"},0)),"Y","N"))</f>
        <v/>
      </c>
      <c r="EW418" s="0" t="str">
        <f aca="false">IF($A418="","",IF(OR(T418="Y",U418="do_not_contact",AQ418&amp;""&lt;&gt;""),"Y","N"))</f>
        <v/>
      </c>
      <c r="EX418" s="0" t="str">
        <f aca="false">IF($A418="","",IF(AN418&amp;""&lt;&gt;"",AN418&amp;"",$A418))</f>
        <v/>
      </c>
      <c r="EY418" s="0" t="str">
        <f aca="false">IF($A418="","",IF(COUNTIFS($EX$2:$EX$1000,EX418,$EV$2:$EV$1000,"Y")+COUNTIFS($EX$2:$EX$1000,EX418,$EW$2:$EW$1000,"Y")&gt;0,"Y","N"))</f>
        <v/>
      </c>
      <c r="EZ418" s="0" t="str">
        <f aca="false">IF($A418="","",IF(AND(U418="new",T418="N",EW418="N",AR418="Y",EY418="N"),"Y","N"))</f>
        <v/>
      </c>
      <c r="FA418" s="0" t="str">
        <f aca="false">IF($A418="","",IF(EZ418&lt;&gt;"Y","N",IF(COUNTIFS($EX$2:$EX$1000,EX418,$EZ$2:$EZ$1000,"Y",$J$2:$J$1000,"&gt;"&amp;J418)+COUNTIFS($EX$2:$EX$1000,EX418,$EZ$2:$EZ$1000,"Y",$J$2:$J$1000,J418,$FG$2:$FG$1000,"&lt;"&amp;FG418)=0,"Y","N")))</f>
        <v/>
      </c>
      <c r="FB418" s="0" t="str">
        <f aca="false">IF($A418="","",IF(AND(EZ418="Y",FA418="Y",Y418&amp;""&lt;&gt;""),IF(Y418&lt;=10,"Y","N"),"N"))</f>
        <v/>
      </c>
      <c r="FC418" s="0" t="str">
        <f aca="false">IF(FB418="Y",Y418,"")</f>
        <v/>
      </c>
      <c r="FD418" s="0" t="str">
        <f aca="false">IF($A418="","",IF(AND(CK418="pass",AU418="Y",AV418&lt;&gt;"Y",U418="new",EW418="N"),"Y","N"))</f>
        <v/>
      </c>
      <c r="FE418" s="0" t="str">
        <f aca="false">IF(FD418&lt;&gt;"Y","",IF(COUNTIFS($FD$2:$FD$1000,"Y",$J$2:$J$1000,"&gt;"&amp;J418)+COUNTIFS($FD$2:$FD$1000,"Y",$J$2:$J$1000,J418,$FG$2:$FG$1000,"&lt;"&amp;FG418)+1&lt;=30,COUNTIFS($FD$2:$FD$1000,"Y",$J$2:$J$1000,"&gt;"&amp;J418)+COUNTIFS($FD$2:$FD$1000,"Y",$J$2:$J$1000,J418,$FG$2:$FG$1000,"&lt;"&amp;FG418)+1,""))</f>
        <v/>
      </c>
      <c r="FF418" s="0" t="str">
        <f aca="false">IF(AND(_xlfn.ISFORMULA(C418),_xlfn.ISFORMULA(J418)),"Y","N")</f>
        <v>Y</v>
      </c>
      <c r="FG418" s="0" t="n">
        <f aca="false">ROW()-1</f>
        <v>417</v>
      </c>
    </row>
    <row r="419" customFormat="false" ht="15" hidden="false" customHeight="false" outlineLevel="0" collapsed="false">
      <c r="C419" s="0" t="str">
        <f aca="false">IF($A419="","",IF(AT419="Y",BL419&amp;"",AY419&amp;""))</f>
        <v/>
      </c>
      <c r="D419" s="0" t="str">
        <f aca="false">IF($A419="","",IF(AT419="Y",BM419&amp;"",AZ419&amp;""))</f>
        <v/>
      </c>
      <c r="E419" s="0" t="str">
        <f aca="false">IF($A419="","",IF(AT419="Y",BN419&amp;"",BA419&amp;""))</f>
        <v/>
      </c>
      <c r="F419" s="0" t="str">
        <f aca="false">IF($A419="","",IF(AT419="Y",BO419&amp;"",BB419&amp;""))</f>
        <v/>
      </c>
      <c r="G419" s="0" t="str">
        <f aca="false">IF($A419="","",IF(AT419="Y",BP419&amp;"",BC419&amp;""))</f>
        <v/>
      </c>
      <c r="H419" s="0" t="str">
        <f aca="false">IF($A419="","",IF(AT419="Y",BQ419&amp;"",BD419&amp;""))</f>
        <v/>
      </c>
      <c r="I419" s="0" t="str">
        <f aca="false">IF($A419="","",IF(R419="Y","warm-intro",IF(H419="verified","email",IF(C419&lt;&gt;"","linkedin",CA419&amp;""))))</f>
        <v/>
      </c>
      <c r="J419" s="0" t="str">
        <f aca="false">IF($A419="","",IF(CK419="pass",ROUND(N(DO419)+N(DP419)+N(DQ419)+N(DR419)+N(DS419)+N(DT419)+N(DU419)+N(DV419),0),0))</f>
        <v/>
      </c>
      <c r="K419" s="0" t="str">
        <f aca="false">IF($A419="","",IF(CK419&lt;&gt;"pass",BY419&amp;"",BY419&amp;", "&amp;IF(AT419="Y",BX419&amp;"",BK419&amp;"")&amp;BZ419&amp;IF(R419="Y","; known to the founder (+10)","")&amp;"."))</f>
        <v/>
      </c>
      <c r="R419" s="5"/>
      <c r="T419" s="5"/>
      <c r="U419" s="5"/>
      <c r="Y419" s="0" t="str">
        <f aca="false">IF(FA419&lt;&gt;"Y","",COUNTIFS($FA$2:$FA$1000,"Y",$J$2:$J$1000,"&gt;"&amp;J419)+COUNTIFS($FA$2:$FA$1000,"Y",$J$2:$J$1000,J419,$FG$2:$FG$1000,"&lt;"&amp;FG419)+1)</f>
        <v/>
      </c>
      <c r="AB419" s="0" t="str">
        <f aca="false">IF($A419="","",IF(AT419="Y",BW419&amp;"",BJ419&amp;""))</f>
        <v/>
      </c>
      <c r="AC419" s="0" t="str">
        <f aca="false">IF($A419="","",IF(AT419="Y",BR419&amp;"",BE419&amp;""))</f>
        <v/>
      </c>
      <c r="AD419" s="0" t="str">
        <f aca="false">IF($A419="","",IF(AT419="Y",BS419&amp;"",BF419&amp;""))</f>
        <v/>
      </c>
      <c r="AE419" s="0" t="str">
        <f aca="false">IF($A419="","",IF(AT419="Y",BT419&amp;"",BG419&amp;""))</f>
        <v/>
      </c>
      <c r="AF419" s="0" t="str">
        <f aca="false">IF($A419="","",IF(AT419="Y",BU419&amp;"",BH419&amp;""))</f>
        <v/>
      </c>
      <c r="AG419" s="0" t="str">
        <f aca="false">IF($A419="","",IF(AT419="Y",BV419&amp;"",BI419&amp;""))</f>
        <v/>
      </c>
      <c r="AO419" s="5"/>
      <c r="AR419" s="0" t="str">
        <f aca="false">IF($A419="","",IF(AND(CK419="pass",AO419&lt;&gt;"Y",C419&lt;&gt;"",OR(AU419&lt;&gt;"Y",AV419="Y")),"Y","N"))</f>
        <v/>
      </c>
      <c r="AS419" s="0" t="str">
        <f aca="false">IF($A419="","",_xlfn.TEXTJOIN("; ",TRUE(),IF(CK419&lt;&gt;"pass","gated out",""),IF(AO419="Y","on hold: "&amp;AP419,""),IF(C419="","no contact named on an opened page",""),IF(AND(AU419="Y",AV419&lt;&gt;"Y"),"founder review pending (Founder review tab)","")))</f>
        <v/>
      </c>
      <c r="BC419" s="0" t="str">
        <f aca="false">IF($A419="","",IFERROR(INDEX(Enrichment!$A$2:$GZ$2000,MATCH($A419,INDEX(Enrichment!$A$2:$GZ$2000,0,MATCH("row_id",Enrichment!$A$1:$GZ$1,0)),0),MATCH("work_email",Enrichment!$A$1:$GZ$1,0))&amp;"",""))</f>
        <v/>
      </c>
      <c r="BD419" s="0" t="str">
        <f aca="false">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P419" s="0" t="str">
        <f aca="false">IF($A419="","",IFERROR(INDEX(Enrichment!$A$2:$GZ$2000,MATCH($A419,INDEX(Enrichment!$A$2:$GZ$2000,0,MATCH("row_id",Enrichment!$A$1:$GZ$1,0)),0),MATCH("backup_work_email",Enrichment!$A$1:$GZ$1,0))&amp;"",""))</f>
        <v/>
      </c>
      <c r="BQ419" s="0" t="str">
        <f aca="false">IF($A419="","",IF(BP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DU419" s="0" t="str">
        <f aca="false">IF($A419="","",IF(R419="Y",10,0))</f>
        <v/>
      </c>
      <c r="EV419" s="0" t="str">
        <f aca="false">IF($A419="","",IF(ISNUMBER(MATCH(U419,{"queued","contacted","replied","call_booked","call_done","yes_in_principle","materials_sent"},0)),"Y","N"))</f>
        <v/>
      </c>
      <c r="EW419" s="0" t="str">
        <f aca="false">IF($A419="","",IF(OR(T419="Y",U419="do_not_contact",AQ419&amp;""&lt;&gt;""),"Y","N"))</f>
        <v/>
      </c>
      <c r="EX419" s="0" t="str">
        <f aca="false">IF($A419="","",IF(AN419&amp;""&lt;&gt;"",AN419&amp;"",$A419))</f>
        <v/>
      </c>
      <c r="EY419" s="0" t="str">
        <f aca="false">IF($A419="","",IF(COUNTIFS($EX$2:$EX$1000,EX419,$EV$2:$EV$1000,"Y")+COUNTIFS($EX$2:$EX$1000,EX419,$EW$2:$EW$1000,"Y")&gt;0,"Y","N"))</f>
        <v/>
      </c>
      <c r="EZ419" s="0" t="str">
        <f aca="false">IF($A419="","",IF(AND(U419="new",T419="N",EW419="N",AR419="Y",EY419="N"),"Y","N"))</f>
        <v/>
      </c>
      <c r="FA419" s="0" t="str">
        <f aca="false">IF($A419="","",IF(EZ419&lt;&gt;"Y","N",IF(COUNTIFS($EX$2:$EX$1000,EX419,$EZ$2:$EZ$1000,"Y",$J$2:$J$1000,"&gt;"&amp;J419)+COUNTIFS($EX$2:$EX$1000,EX419,$EZ$2:$EZ$1000,"Y",$J$2:$J$1000,J419,$FG$2:$FG$1000,"&lt;"&amp;FG419)=0,"Y","N")))</f>
        <v/>
      </c>
      <c r="FB419" s="0" t="str">
        <f aca="false">IF($A419="","",IF(AND(EZ419="Y",FA419="Y",Y419&amp;""&lt;&gt;""),IF(Y419&lt;=10,"Y","N"),"N"))</f>
        <v/>
      </c>
      <c r="FC419" s="0" t="str">
        <f aca="false">IF(FB419="Y",Y419,"")</f>
        <v/>
      </c>
      <c r="FD419" s="0" t="str">
        <f aca="false">IF($A419="","",IF(AND(CK419="pass",AU419="Y",AV419&lt;&gt;"Y",U419="new",EW419="N"),"Y","N"))</f>
        <v/>
      </c>
      <c r="FE419" s="0" t="str">
        <f aca="false">IF(FD419&lt;&gt;"Y","",IF(COUNTIFS($FD$2:$FD$1000,"Y",$J$2:$J$1000,"&gt;"&amp;J419)+COUNTIFS($FD$2:$FD$1000,"Y",$J$2:$J$1000,J419,$FG$2:$FG$1000,"&lt;"&amp;FG419)+1&lt;=30,COUNTIFS($FD$2:$FD$1000,"Y",$J$2:$J$1000,"&gt;"&amp;J419)+COUNTIFS($FD$2:$FD$1000,"Y",$J$2:$J$1000,J419,$FG$2:$FG$1000,"&lt;"&amp;FG419)+1,""))</f>
        <v/>
      </c>
      <c r="FF419" s="0" t="str">
        <f aca="false">IF(AND(_xlfn.ISFORMULA(C419),_xlfn.ISFORMULA(J419)),"Y","N")</f>
        <v>Y</v>
      </c>
      <c r="FG419" s="0" t="n">
        <f aca="false">ROW()-1</f>
        <v>418</v>
      </c>
    </row>
    <row r="420" customFormat="false" ht="15" hidden="false" customHeight="false" outlineLevel="0" collapsed="false">
      <c r="C420" s="0" t="str">
        <f aca="false">IF($A420="","",IF(AT420="Y",BL420&amp;"",AY420&amp;""))</f>
        <v/>
      </c>
      <c r="D420" s="0" t="str">
        <f aca="false">IF($A420="","",IF(AT420="Y",BM420&amp;"",AZ420&amp;""))</f>
        <v/>
      </c>
      <c r="E420" s="0" t="str">
        <f aca="false">IF($A420="","",IF(AT420="Y",BN420&amp;"",BA420&amp;""))</f>
        <v/>
      </c>
      <c r="F420" s="0" t="str">
        <f aca="false">IF($A420="","",IF(AT420="Y",BO420&amp;"",BB420&amp;""))</f>
        <v/>
      </c>
      <c r="G420" s="0" t="str">
        <f aca="false">IF($A420="","",IF(AT420="Y",BP420&amp;"",BC420&amp;""))</f>
        <v/>
      </c>
      <c r="H420" s="0" t="str">
        <f aca="false">IF($A420="","",IF(AT420="Y",BQ420&amp;"",BD420&amp;""))</f>
        <v/>
      </c>
      <c r="I420" s="0" t="str">
        <f aca="false">IF($A420="","",IF(R420="Y","warm-intro",IF(H420="verified","email",IF(C420&lt;&gt;"","linkedin",CA420&amp;""))))</f>
        <v/>
      </c>
      <c r="J420" s="0" t="str">
        <f aca="false">IF($A420="","",IF(CK420="pass",ROUND(N(DO420)+N(DP420)+N(DQ420)+N(DR420)+N(DS420)+N(DT420)+N(DU420)+N(DV420),0),0))</f>
        <v/>
      </c>
      <c r="K420" s="0" t="str">
        <f aca="false">IF($A420="","",IF(CK420&lt;&gt;"pass",BY420&amp;"",BY420&amp;", "&amp;IF(AT420="Y",BX420&amp;"",BK420&amp;"")&amp;BZ420&amp;IF(R420="Y","; known to the founder (+10)","")&amp;"."))</f>
        <v/>
      </c>
      <c r="R420" s="5"/>
      <c r="T420" s="5"/>
      <c r="U420" s="5"/>
      <c r="Y420" s="0" t="str">
        <f aca="false">IF(FA420&lt;&gt;"Y","",COUNTIFS($FA$2:$FA$1000,"Y",$J$2:$J$1000,"&gt;"&amp;J420)+COUNTIFS($FA$2:$FA$1000,"Y",$J$2:$J$1000,J420,$FG$2:$FG$1000,"&lt;"&amp;FG420)+1)</f>
        <v/>
      </c>
      <c r="AB420" s="0" t="str">
        <f aca="false">IF($A420="","",IF(AT420="Y",BW420&amp;"",BJ420&amp;""))</f>
        <v/>
      </c>
      <c r="AC420" s="0" t="str">
        <f aca="false">IF($A420="","",IF(AT420="Y",BR420&amp;"",BE420&amp;""))</f>
        <v/>
      </c>
      <c r="AD420" s="0" t="str">
        <f aca="false">IF($A420="","",IF(AT420="Y",BS420&amp;"",BF420&amp;""))</f>
        <v/>
      </c>
      <c r="AE420" s="0" t="str">
        <f aca="false">IF($A420="","",IF(AT420="Y",BT420&amp;"",BG420&amp;""))</f>
        <v/>
      </c>
      <c r="AF420" s="0" t="str">
        <f aca="false">IF($A420="","",IF(AT420="Y",BU420&amp;"",BH420&amp;""))</f>
        <v/>
      </c>
      <c r="AG420" s="0" t="str">
        <f aca="false">IF($A420="","",IF(AT420="Y",BV420&amp;"",BI420&amp;""))</f>
        <v/>
      </c>
      <c r="AO420" s="5"/>
      <c r="AR420" s="0" t="str">
        <f aca="false">IF($A420="","",IF(AND(CK420="pass",AO420&lt;&gt;"Y",C420&lt;&gt;"",OR(AU420&lt;&gt;"Y",AV420="Y")),"Y","N"))</f>
        <v/>
      </c>
      <c r="AS420" s="0" t="str">
        <f aca="false">IF($A420="","",_xlfn.TEXTJOIN("; ",TRUE(),IF(CK420&lt;&gt;"pass","gated out",""),IF(AO420="Y","on hold: "&amp;AP420,""),IF(C420="","no contact named on an opened page",""),IF(AND(AU420="Y",AV420&lt;&gt;"Y"),"founder review pending (Founder review tab)","")))</f>
        <v/>
      </c>
      <c r="BC420" s="0" t="str">
        <f aca="false">IF($A420="","",IFERROR(INDEX(Enrichment!$A$2:$GZ$2000,MATCH($A420,INDEX(Enrichment!$A$2:$GZ$2000,0,MATCH("row_id",Enrichment!$A$1:$GZ$1,0)),0),MATCH("work_email",Enrichment!$A$1:$GZ$1,0))&amp;"",""))</f>
        <v/>
      </c>
      <c r="BD420" s="0" t="str">
        <f aca="false">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P420" s="0" t="str">
        <f aca="false">IF($A420="","",IFERROR(INDEX(Enrichment!$A$2:$GZ$2000,MATCH($A420,INDEX(Enrichment!$A$2:$GZ$2000,0,MATCH("row_id",Enrichment!$A$1:$GZ$1,0)),0),MATCH("backup_work_email",Enrichment!$A$1:$GZ$1,0))&amp;"",""))</f>
        <v/>
      </c>
      <c r="BQ420" s="0" t="str">
        <f aca="false">IF($A420="","",IF(BP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DU420" s="0" t="str">
        <f aca="false">IF($A420="","",IF(R420="Y",10,0))</f>
        <v/>
      </c>
      <c r="EV420" s="0" t="str">
        <f aca="false">IF($A420="","",IF(ISNUMBER(MATCH(U420,{"queued","contacted","replied","call_booked","call_done","yes_in_principle","materials_sent"},0)),"Y","N"))</f>
        <v/>
      </c>
      <c r="EW420" s="0" t="str">
        <f aca="false">IF($A420="","",IF(OR(T420="Y",U420="do_not_contact",AQ420&amp;""&lt;&gt;""),"Y","N"))</f>
        <v/>
      </c>
      <c r="EX420" s="0" t="str">
        <f aca="false">IF($A420="","",IF(AN420&amp;""&lt;&gt;"",AN420&amp;"",$A420))</f>
        <v/>
      </c>
      <c r="EY420" s="0" t="str">
        <f aca="false">IF($A420="","",IF(COUNTIFS($EX$2:$EX$1000,EX420,$EV$2:$EV$1000,"Y")+COUNTIFS($EX$2:$EX$1000,EX420,$EW$2:$EW$1000,"Y")&gt;0,"Y","N"))</f>
        <v/>
      </c>
      <c r="EZ420" s="0" t="str">
        <f aca="false">IF($A420="","",IF(AND(U420="new",T420="N",EW420="N",AR420="Y",EY420="N"),"Y","N"))</f>
        <v/>
      </c>
      <c r="FA420" s="0" t="str">
        <f aca="false">IF($A420="","",IF(EZ420&lt;&gt;"Y","N",IF(COUNTIFS($EX$2:$EX$1000,EX420,$EZ$2:$EZ$1000,"Y",$J$2:$J$1000,"&gt;"&amp;J420)+COUNTIFS($EX$2:$EX$1000,EX420,$EZ$2:$EZ$1000,"Y",$J$2:$J$1000,J420,$FG$2:$FG$1000,"&lt;"&amp;FG420)=0,"Y","N")))</f>
        <v/>
      </c>
      <c r="FB420" s="0" t="str">
        <f aca="false">IF($A420="","",IF(AND(EZ420="Y",FA420="Y",Y420&amp;""&lt;&gt;""),IF(Y420&lt;=10,"Y","N"),"N"))</f>
        <v/>
      </c>
      <c r="FC420" s="0" t="str">
        <f aca="false">IF(FB420="Y",Y420,"")</f>
        <v/>
      </c>
      <c r="FD420" s="0" t="str">
        <f aca="false">IF($A420="","",IF(AND(CK420="pass",AU420="Y",AV420&lt;&gt;"Y",U420="new",EW420="N"),"Y","N"))</f>
        <v/>
      </c>
      <c r="FE420" s="0" t="str">
        <f aca="false">IF(FD420&lt;&gt;"Y","",IF(COUNTIFS($FD$2:$FD$1000,"Y",$J$2:$J$1000,"&gt;"&amp;J420)+COUNTIFS($FD$2:$FD$1000,"Y",$J$2:$J$1000,J420,$FG$2:$FG$1000,"&lt;"&amp;FG420)+1&lt;=30,COUNTIFS($FD$2:$FD$1000,"Y",$J$2:$J$1000,"&gt;"&amp;J420)+COUNTIFS($FD$2:$FD$1000,"Y",$J$2:$J$1000,J420,$FG$2:$FG$1000,"&lt;"&amp;FG420)+1,""))</f>
        <v/>
      </c>
      <c r="FF420" s="0" t="str">
        <f aca="false">IF(AND(_xlfn.ISFORMULA(C420),_xlfn.ISFORMULA(J420)),"Y","N")</f>
        <v>Y</v>
      </c>
      <c r="FG420" s="0" t="n">
        <f aca="false">ROW()-1</f>
        <v>419</v>
      </c>
    </row>
    <row r="421" customFormat="false" ht="15" hidden="false" customHeight="false" outlineLevel="0" collapsed="false">
      <c r="C421" s="0" t="str">
        <f aca="false">IF($A421="","",IF(AT421="Y",BL421&amp;"",AY421&amp;""))</f>
        <v/>
      </c>
      <c r="D421" s="0" t="str">
        <f aca="false">IF($A421="","",IF(AT421="Y",BM421&amp;"",AZ421&amp;""))</f>
        <v/>
      </c>
      <c r="E421" s="0" t="str">
        <f aca="false">IF($A421="","",IF(AT421="Y",BN421&amp;"",BA421&amp;""))</f>
        <v/>
      </c>
      <c r="F421" s="0" t="str">
        <f aca="false">IF($A421="","",IF(AT421="Y",BO421&amp;"",BB421&amp;""))</f>
        <v/>
      </c>
      <c r="G421" s="0" t="str">
        <f aca="false">IF($A421="","",IF(AT421="Y",BP421&amp;"",BC421&amp;""))</f>
        <v/>
      </c>
      <c r="H421" s="0" t="str">
        <f aca="false">IF($A421="","",IF(AT421="Y",BQ421&amp;"",BD421&amp;""))</f>
        <v/>
      </c>
      <c r="I421" s="0" t="str">
        <f aca="false">IF($A421="","",IF(R421="Y","warm-intro",IF(H421="verified","email",IF(C421&lt;&gt;"","linkedin",CA421&amp;""))))</f>
        <v/>
      </c>
      <c r="J421" s="0" t="str">
        <f aca="false">IF($A421="","",IF(CK421="pass",ROUND(N(DO421)+N(DP421)+N(DQ421)+N(DR421)+N(DS421)+N(DT421)+N(DU421)+N(DV421),0),0))</f>
        <v/>
      </c>
      <c r="K421" s="0" t="str">
        <f aca="false">IF($A421="","",IF(CK421&lt;&gt;"pass",BY421&amp;"",BY421&amp;", "&amp;IF(AT421="Y",BX421&amp;"",BK421&amp;"")&amp;BZ421&amp;IF(R421="Y","; known to the founder (+10)","")&amp;"."))</f>
        <v/>
      </c>
      <c r="R421" s="5"/>
      <c r="T421" s="5"/>
      <c r="U421" s="5"/>
      <c r="Y421" s="0" t="str">
        <f aca="false">IF(FA421&lt;&gt;"Y","",COUNTIFS($FA$2:$FA$1000,"Y",$J$2:$J$1000,"&gt;"&amp;J421)+COUNTIFS($FA$2:$FA$1000,"Y",$J$2:$J$1000,J421,$FG$2:$FG$1000,"&lt;"&amp;FG421)+1)</f>
        <v/>
      </c>
      <c r="AB421" s="0" t="str">
        <f aca="false">IF($A421="","",IF(AT421="Y",BW421&amp;"",BJ421&amp;""))</f>
        <v/>
      </c>
      <c r="AC421" s="0" t="str">
        <f aca="false">IF($A421="","",IF(AT421="Y",BR421&amp;"",BE421&amp;""))</f>
        <v/>
      </c>
      <c r="AD421" s="0" t="str">
        <f aca="false">IF($A421="","",IF(AT421="Y",BS421&amp;"",BF421&amp;""))</f>
        <v/>
      </c>
      <c r="AE421" s="0" t="str">
        <f aca="false">IF($A421="","",IF(AT421="Y",BT421&amp;"",BG421&amp;""))</f>
        <v/>
      </c>
      <c r="AF421" s="0" t="str">
        <f aca="false">IF($A421="","",IF(AT421="Y",BU421&amp;"",BH421&amp;""))</f>
        <v/>
      </c>
      <c r="AG421" s="0" t="str">
        <f aca="false">IF($A421="","",IF(AT421="Y",BV421&amp;"",BI421&amp;""))</f>
        <v/>
      </c>
      <c r="AO421" s="5"/>
      <c r="AR421" s="0" t="str">
        <f aca="false">IF($A421="","",IF(AND(CK421="pass",AO421&lt;&gt;"Y",C421&lt;&gt;"",OR(AU421&lt;&gt;"Y",AV421="Y")),"Y","N"))</f>
        <v/>
      </c>
      <c r="AS421" s="0" t="str">
        <f aca="false">IF($A421="","",_xlfn.TEXTJOIN("; ",TRUE(),IF(CK421&lt;&gt;"pass","gated out",""),IF(AO421="Y","on hold: "&amp;AP421,""),IF(C421="","no contact named on an opened page",""),IF(AND(AU421="Y",AV421&lt;&gt;"Y"),"founder review pending (Founder review tab)","")))</f>
        <v/>
      </c>
      <c r="BC421" s="0" t="str">
        <f aca="false">IF($A421="","",IFERROR(INDEX(Enrichment!$A$2:$GZ$2000,MATCH($A421,INDEX(Enrichment!$A$2:$GZ$2000,0,MATCH("row_id",Enrichment!$A$1:$GZ$1,0)),0),MATCH("work_email",Enrichment!$A$1:$GZ$1,0))&amp;"",""))</f>
        <v/>
      </c>
      <c r="BD421" s="0" t="str">
        <f aca="false">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P421" s="0" t="str">
        <f aca="false">IF($A421="","",IFERROR(INDEX(Enrichment!$A$2:$GZ$2000,MATCH($A421,INDEX(Enrichment!$A$2:$GZ$2000,0,MATCH("row_id",Enrichment!$A$1:$GZ$1,0)),0),MATCH("backup_work_email",Enrichment!$A$1:$GZ$1,0))&amp;"",""))</f>
        <v/>
      </c>
      <c r="BQ421" s="0" t="str">
        <f aca="false">IF($A421="","",IF(BP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DU421" s="0" t="str">
        <f aca="false">IF($A421="","",IF(R421="Y",10,0))</f>
        <v/>
      </c>
      <c r="EV421" s="0" t="str">
        <f aca="false">IF($A421="","",IF(ISNUMBER(MATCH(U421,{"queued","contacted","replied","call_booked","call_done","yes_in_principle","materials_sent"},0)),"Y","N"))</f>
        <v/>
      </c>
      <c r="EW421" s="0" t="str">
        <f aca="false">IF($A421="","",IF(OR(T421="Y",U421="do_not_contact",AQ421&amp;""&lt;&gt;""),"Y","N"))</f>
        <v/>
      </c>
      <c r="EX421" s="0" t="str">
        <f aca="false">IF($A421="","",IF(AN421&amp;""&lt;&gt;"",AN421&amp;"",$A421))</f>
        <v/>
      </c>
      <c r="EY421" s="0" t="str">
        <f aca="false">IF($A421="","",IF(COUNTIFS($EX$2:$EX$1000,EX421,$EV$2:$EV$1000,"Y")+COUNTIFS($EX$2:$EX$1000,EX421,$EW$2:$EW$1000,"Y")&gt;0,"Y","N"))</f>
        <v/>
      </c>
      <c r="EZ421" s="0" t="str">
        <f aca="false">IF($A421="","",IF(AND(U421="new",T421="N",EW421="N",AR421="Y",EY421="N"),"Y","N"))</f>
        <v/>
      </c>
      <c r="FA421" s="0" t="str">
        <f aca="false">IF($A421="","",IF(EZ421&lt;&gt;"Y","N",IF(COUNTIFS($EX$2:$EX$1000,EX421,$EZ$2:$EZ$1000,"Y",$J$2:$J$1000,"&gt;"&amp;J421)+COUNTIFS($EX$2:$EX$1000,EX421,$EZ$2:$EZ$1000,"Y",$J$2:$J$1000,J421,$FG$2:$FG$1000,"&lt;"&amp;FG421)=0,"Y","N")))</f>
        <v/>
      </c>
      <c r="FB421" s="0" t="str">
        <f aca="false">IF($A421="","",IF(AND(EZ421="Y",FA421="Y",Y421&amp;""&lt;&gt;""),IF(Y421&lt;=10,"Y","N"),"N"))</f>
        <v/>
      </c>
      <c r="FC421" s="0" t="str">
        <f aca="false">IF(FB421="Y",Y421,"")</f>
        <v/>
      </c>
      <c r="FD421" s="0" t="str">
        <f aca="false">IF($A421="","",IF(AND(CK421="pass",AU421="Y",AV421&lt;&gt;"Y",U421="new",EW421="N"),"Y","N"))</f>
        <v/>
      </c>
      <c r="FE421" s="0" t="str">
        <f aca="false">IF(FD421&lt;&gt;"Y","",IF(COUNTIFS($FD$2:$FD$1000,"Y",$J$2:$J$1000,"&gt;"&amp;J421)+COUNTIFS($FD$2:$FD$1000,"Y",$J$2:$J$1000,J421,$FG$2:$FG$1000,"&lt;"&amp;FG421)+1&lt;=30,COUNTIFS($FD$2:$FD$1000,"Y",$J$2:$J$1000,"&gt;"&amp;J421)+COUNTIFS($FD$2:$FD$1000,"Y",$J$2:$J$1000,J421,$FG$2:$FG$1000,"&lt;"&amp;FG421)+1,""))</f>
        <v/>
      </c>
      <c r="FF421" s="0" t="str">
        <f aca="false">IF(AND(_xlfn.ISFORMULA(C421),_xlfn.ISFORMULA(J421)),"Y","N")</f>
        <v>Y</v>
      </c>
      <c r="FG421" s="0" t="n">
        <f aca="false">ROW()-1</f>
        <v>420</v>
      </c>
    </row>
    <row r="422" customFormat="false" ht="15" hidden="false" customHeight="false" outlineLevel="0" collapsed="false">
      <c r="C422" s="0" t="str">
        <f aca="false">IF($A422="","",IF(AT422="Y",BL422&amp;"",AY422&amp;""))</f>
        <v/>
      </c>
      <c r="D422" s="0" t="str">
        <f aca="false">IF($A422="","",IF(AT422="Y",BM422&amp;"",AZ422&amp;""))</f>
        <v/>
      </c>
      <c r="E422" s="0" t="str">
        <f aca="false">IF($A422="","",IF(AT422="Y",BN422&amp;"",BA422&amp;""))</f>
        <v/>
      </c>
      <c r="F422" s="0" t="str">
        <f aca="false">IF($A422="","",IF(AT422="Y",BO422&amp;"",BB422&amp;""))</f>
        <v/>
      </c>
      <c r="G422" s="0" t="str">
        <f aca="false">IF($A422="","",IF(AT422="Y",BP422&amp;"",BC422&amp;""))</f>
        <v/>
      </c>
      <c r="H422" s="0" t="str">
        <f aca="false">IF($A422="","",IF(AT422="Y",BQ422&amp;"",BD422&amp;""))</f>
        <v/>
      </c>
      <c r="I422" s="0" t="str">
        <f aca="false">IF($A422="","",IF(R422="Y","warm-intro",IF(H422="verified","email",IF(C422&lt;&gt;"","linkedin",CA422&amp;""))))</f>
        <v/>
      </c>
      <c r="J422" s="0" t="str">
        <f aca="false">IF($A422="","",IF(CK422="pass",ROUND(N(DO422)+N(DP422)+N(DQ422)+N(DR422)+N(DS422)+N(DT422)+N(DU422)+N(DV422),0),0))</f>
        <v/>
      </c>
      <c r="K422" s="0" t="str">
        <f aca="false">IF($A422="","",IF(CK422&lt;&gt;"pass",BY422&amp;"",BY422&amp;", "&amp;IF(AT422="Y",BX422&amp;"",BK422&amp;"")&amp;BZ422&amp;IF(R422="Y","; known to the founder (+10)","")&amp;"."))</f>
        <v/>
      </c>
      <c r="R422" s="5"/>
      <c r="T422" s="5"/>
      <c r="U422" s="5"/>
      <c r="Y422" s="0" t="str">
        <f aca="false">IF(FA422&lt;&gt;"Y","",COUNTIFS($FA$2:$FA$1000,"Y",$J$2:$J$1000,"&gt;"&amp;J422)+COUNTIFS($FA$2:$FA$1000,"Y",$J$2:$J$1000,J422,$FG$2:$FG$1000,"&lt;"&amp;FG422)+1)</f>
        <v/>
      </c>
      <c r="AB422" s="0" t="str">
        <f aca="false">IF($A422="","",IF(AT422="Y",BW422&amp;"",BJ422&amp;""))</f>
        <v/>
      </c>
      <c r="AC422" s="0" t="str">
        <f aca="false">IF($A422="","",IF(AT422="Y",BR422&amp;"",BE422&amp;""))</f>
        <v/>
      </c>
      <c r="AD422" s="0" t="str">
        <f aca="false">IF($A422="","",IF(AT422="Y",BS422&amp;"",BF422&amp;""))</f>
        <v/>
      </c>
      <c r="AE422" s="0" t="str">
        <f aca="false">IF($A422="","",IF(AT422="Y",BT422&amp;"",BG422&amp;""))</f>
        <v/>
      </c>
      <c r="AF422" s="0" t="str">
        <f aca="false">IF($A422="","",IF(AT422="Y",BU422&amp;"",BH422&amp;""))</f>
        <v/>
      </c>
      <c r="AG422" s="0" t="str">
        <f aca="false">IF($A422="","",IF(AT422="Y",BV422&amp;"",BI422&amp;""))</f>
        <v/>
      </c>
      <c r="AO422" s="5"/>
      <c r="AR422" s="0" t="str">
        <f aca="false">IF($A422="","",IF(AND(CK422="pass",AO422&lt;&gt;"Y",C422&lt;&gt;"",OR(AU422&lt;&gt;"Y",AV422="Y")),"Y","N"))</f>
        <v/>
      </c>
      <c r="AS422" s="0" t="str">
        <f aca="false">IF($A422="","",_xlfn.TEXTJOIN("; ",TRUE(),IF(CK422&lt;&gt;"pass","gated out",""),IF(AO422="Y","on hold: "&amp;AP422,""),IF(C422="","no contact named on an opened page",""),IF(AND(AU422="Y",AV422&lt;&gt;"Y"),"founder review pending (Founder review tab)","")))</f>
        <v/>
      </c>
      <c r="BC422" s="0" t="str">
        <f aca="false">IF($A422="","",IFERROR(INDEX(Enrichment!$A$2:$GZ$2000,MATCH($A422,INDEX(Enrichment!$A$2:$GZ$2000,0,MATCH("row_id",Enrichment!$A$1:$GZ$1,0)),0),MATCH("work_email",Enrichment!$A$1:$GZ$1,0))&amp;"",""))</f>
        <v/>
      </c>
      <c r="BD422" s="0" t="str">
        <f aca="false">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P422" s="0" t="str">
        <f aca="false">IF($A422="","",IFERROR(INDEX(Enrichment!$A$2:$GZ$2000,MATCH($A422,INDEX(Enrichment!$A$2:$GZ$2000,0,MATCH("row_id",Enrichment!$A$1:$GZ$1,0)),0),MATCH("backup_work_email",Enrichment!$A$1:$GZ$1,0))&amp;"",""))</f>
        <v/>
      </c>
      <c r="BQ422" s="0" t="str">
        <f aca="false">IF($A422="","",IF(BP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DU422" s="0" t="str">
        <f aca="false">IF($A422="","",IF(R422="Y",10,0))</f>
        <v/>
      </c>
      <c r="EV422" s="0" t="str">
        <f aca="false">IF($A422="","",IF(ISNUMBER(MATCH(U422,{"queued","contacted","replied","call_booked","call_done","yes_in_principle","materials_sent"},0)),"Y","N"))</f>
        <v/>
      </c>
      <c r="EW422" s="0" t="str">
        <f aca="false">IF($A422="","",IF(OR(T422="Y",U422="do_not_contact",AQ422&amp;""&lt;&gt;""),"Y","N"))</f>
        <v/>
      </c>
      <c r="EX422" s="0" t="str">
        <f aca="false">IF($A422="","",IF(AN422&amp;""&lt;&gt;"",AN422&amp;"",$A422))</f>
        <v/>
      </c>
      <c r="EY422" s="0" t="str">
        <f aca="false">IF($A422="","",IF(COUNTIFS($EX$2:$EX$1000,EX422,$EV$2:$EV$1000,"Y")+COUNTIFS($EX$2:$EX$1000,EX422,$EW$2:$EW$1000,"Y")&gt;0,"Y","N"))</f>
        <v/>
      </c>
      <c r="EZ422" s="0" t="str">
        <f aca="false">IF($A422="","",IF(AND(U422="new",T422="N",EW422="N",AR422="Y",EY422="N"),"Y","N"))</f>
        <v/>
      </c>
      <c r="FA422" s="0" t="str">
        <f aca="false">IF($A422="","",IF(EZ422&lt;&gt;"Y","N",IF(COUNTIFS($EX$2:$EX$1000,EX422,$EZ$2:$EZ$1000,"Y",$J$2:$J$1000,"&gt;"&amp;J422)+COUNTIFS($EX$2:$EX$1000,EX422,$EZ$2:$EZ$1000,"Y",$J$2:$J$1000,J422,$FG$2:$FG$1000,"&lt;"&amp;FG422)=0,"Y","N")))</f>
        <v/>
      </c>
      <c r="FB422" s="0" t="str">
        <f aca="false">IF($A422="","",IF(AND(EZ422="Y",FA422="Y",Y422&amp;""&lt;&gt;""),IF(Y422&lt;=10,"Y","N"),"N"))</f>
        <v/>
      </c>
      <c r="FC422" s="0" t="str">
        <f aca="false">IF(FB422="Y",Y422,"")</f>
        <v/>
      </c>
      <c r="FD422" s="0" t="str">
        <f aca="false">IF($A422="","",IF(AND(CK422="pass",AU422="Y",AV422&lt;&gt;"Y",U422="new",EW422="N"),"Y","N"))</f>
        <v/>
      </c>
      <c r="FE422" s="0" t="str">
        <f aca="false">IF(FD422&lt;&gt;"Y","",IF(COUNTIFS($FD$2:$FD$1000,"Y",$J$2:$J$1000,"&gt;"&amp;J422)+COUNTIFS($FD$2:$FD$1000,"Y",$J$2:$J$1000,J422,$FG$2:$FG$1000,"&lt;"&amp;FG422)+1&lt;=30,COUNTIFS($FD$2:$FD$1000,"Y",$J$2:$J$1000,"&gt;"&amp;J422)+COUNTIFS($FD$2:$FD$1000,"Y",$J$2:$J$1000,J422,$FG$2:$FG$1000,"&lt;"&amp;FG422)+1,""))</f>
        <v/>
      </c>
      <c r="FF422" s="0" t="str">
        <f aca="false">IF(AND(_xlfn.ISFORMULA(C422),_xlfn.ISFORMULA(J422)),"Y","N")</f>
        <v>Y</v>
      </c>
      <c r="FG422" s="0" t="n">
        <f aca="false">ROW()-1</f>
        <v>421</v>
      </c>
    </row>
    <row r="423" customFormat="false" ht="15" hidden="false" customHeight="false" outlineLevel="0" collapsed="false">
      <c r="C423" s="0" t="str">
        <f aca="false">IF($A423="","",IF(AT423="Y",BL423&amp;"",AY423&amp;""))</f>
        <v/>
      </c>
      <c r="D423" s="0" t="str">
        <f aca="false">IF($A423="","",IF(AT423="Y",BM423&amp;"",AZ423&amp;""))</f>
        <v/>
      </c>
      <c r="E423" s="0" t="str">
        <f aca="false">IF($A423="","",IF(AT423="Y",BN423&amp;"",BA423&amp;""))</f>
        <v/>
      </c>
      <c r="F423" s="0" t="str">
        <f aca="false">IF($A423="","",IF(AT423="Y",BO423&amp;"",BB423&amp;""))</f>
        <v/>
      </c>
      <c r="G423" s="0" t="str">
        <f aca="false">IF($A423="","",IF(AT423="Y",BP423&amp;"",BC423&amp;""))</f>
        <v/>
      </c>
      <c r="H423" s="0" t="str">
        <f aca="false">IF($A423="","",IF(AT423="Y",BQ423&amp;"",BD423&amp;""))</f>
        <v/>
      </c>
      <c r="I423" s="0" t="str">
        <f aca="false">IF($A423="","",IF(R423="Y","warm-intro",IF(H423="verified","email",IF(C423&lt;&gt;"","linkedin",CA423&amp;""))))</f>
        <v/>
      </c>
      <c r="J423" s="0" t="str">
        <f aca="false">IF($A423="","",IF(CK423="pass",ROUND(N(DO423)+N(DP423)+N(DQ423)+N(DR423)+N(DS423)+N(DT423)+N(DU423)+N(DV423),0),0))</f>
        <v/>
      </c>
      <c r="K423" s="0" t="str">
        <f aca="false">IF($A423="","",IF(CK423&lt;&gt;"pass",BY423&amp;"",BY423&amp;", "&amp;IF(AT423="Y",BX423&amp;"",BK423&amp;"")&amp;BZ423&amp;IF(R423="Y","; known to the founder (+10)","")&amp;"."))</f>
        <v/>
      </c>
      <c r="R423" s="5"/>
      <c r="T423" s="5"/>
      <c r="U423" s="5"/>
      <c r="Y423" s="0" t="str">
        <f aca="false">IF(FA423&lt;&gt;"Y","",COUNTIFS($FA$2:$FA$1000,"Y",$J$2:$J$1000,"&gt;"&amp;J423)+COUNTIFS($FA$2:$FA$1000,"Y",$J$2:$J$1000,J423,$FG$2:$FG$1000,"&lt;"&amp;FG423)+1)</f>
        <v/>
      </c>
      <c r="AB423" s="0" t="str">
        <f aca="false">IF($A423="","",IF(AT423="Y",BW423&amp;"",BJ423&amp;""))</f>
        <v/>
      </c>
      <c r="AC423" s="0" t="str">
        <f aca="false">IF($A423="","",IF(AT423="Y",BR423&amp;"",BE423&amp;""))</f>
        <v/>
      </c>
      <c r="AD423" s="0" t="str">
        <f aca="false">IF($A423="","",IF(AT423="Y",BS423&amp;"",BF423&amp;""))</f>
        <v/>
      </c>
      <c r="AE423" s="0" t="str">
        <f aca="false">IF($A423="","",IF(AT423="Y",BT423&amp;"",BG423&amp;""))</f>
        <v/>
      </c>
      <c r="AF423" s="0" t="str">
        <f aca="false">IF($A423="","",IF(AT423="Y",BU423&amp;"",BH423&amp;""))</f>
        <v/>
      </c>
      <c r="AG423" s="0" t="str">
        <f aca="false">IF($A423="","",IF(AT423="Y",BV423&amp;"",BI423&amp;""))</f>
        <v/>
      </c>
      <c r="AO423" s="5"/>
      <c r="AR423" s="0" t="str">
        <f aca="false">IF($A423="","",IF(AND(CK423="pass",AO423&lt;&gt;"Y",C423&lt;&gt;"",OR(AU423&lt;&gt;"Y",AV423="Y")),"Y","N"))</f>
        <v/>
      </c>
      <c r="AS423" s="0" t="str">
        <f aca="false">IF($A423="","",_xlfn.TEXTJOIN("; ",TRUE(),IF(CK423&lt;&gt;"pass","gated out",""),IF(AO423="Y","on hold: "&amp;AP423,""),IF(C423="","no contact named on an opened page",""),IF(AND(AU423="Y",AV423&lt;&gt;"Y"),"founder review pending (Founder review tab)","")))</f>
        <v/>
      </c>
      <c r="BC423" s="0" t="str">
        <f aca="false">IF($A423="","",IFERROR(INDEX(Enrichment!$A$2:$GZ$2000,MATCH($A423,INDEX(Enrichment!$A$2:$GZ$2000,0,MATCH("row_id",Enrichment!$A$1:$GZ$1,0)),0),MATCH("work_email",Enrichment!$A$1:$GZ$1,0))&amp;"",""))</f>
        <v/>
      </c>
      <c r="BD423" s="0" t="str">
        <f aca="false">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P423" s="0" t="str">
        <f aca="false">IF($A423="","",IFERROR(INDEX(Enrichment!$A$2:$GZ$2000,MATCH($A423,INDEX(Enrichment!$A$2:$GZ$2000,0,MATCH("row_id",Enrichment!$A$1:$GZ$1,0)),0),MATCH("backup_work_email",Enrichment!$A$1:$GZ$1,0))&amp;"",""))</f>
        <v/>
      </c>
      <c r="BQ423" s="0" t="str">
        <f aca="false">IF($A423="","",IF(BP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DU423" s="0" t="str">
        <f aca="false">IF($A423="","",IF(R423="Y",10,0))</f>
        <v/>
      </c>
      <c r="EV423" s="0" t="str">
        <f aca="false">IF($A423="","",IF(ISNUMBER(MATCH(U423,{"queued","contacted","replied","call_booked","call_done","yes_in_principle","materials_sent"},0)),"Y","N"))</f>
        <v/>
      </c>
      <c r="EW423" s="0" t="str">
        <f aca="false">IF($A423="","",IF(OR(T423="Y",U423="do_not_contact",AQ423&amp;""&lt;&gt;""),"Y","N"))</f>
        <v/>
      </c>
      <c r="EX423" s="0" t="str">
        <f aca="false">IF($A423="","",IF(AN423&amp;""&lt;&gt;"",AN423&amp;"",$A423))</f>
        <v/>
      </c>
      <c r="EY423" s="0" t="str">
        <f aca="false">IF($A423="","",IF(COUNTIFS($EX$2:$EX$1000,EX423,$EV$2:$EV$1000,"Y")+COUNTIFS($EX$2:$EX$1000,EX423,$EW$2:$EW$1000,"Y")&gt;0,"Y","N"))</f>
        <v/>
      </c>
      <c r="EZ423" s="0" t="str">
        <f aca="false">IF($A423="","",IF(AND(U423="new",T423="N",EW423="N",AR423="Y",EY423="N"),"Y","N"))</f>
        <v/>
      </c>
      <c r="FA423" s="0" t="str">
        <f aca="false">IF($A423="","",IF(EZ423&lt;&gt;"Y","N",IF(COUNTIFS($EX$2:$EX$1000,EX423,$EZ$2:$EZ$1000,"Y",$J$2:$J$1000,"&gt;"&amp;J423)+COUNTIFS($EX$2:$EX$1000,EX423,$EZ$2:$EZ$1000,"Y",$J$2:$J$1000,J423,$FG$2:$FG$1000,"&lt;"&amp;FG423)=0,"Y","N")))</f>
        <v/>
      </c>
      <c r="FB423" s="0" t="str">
        <f aca="false">IF($A423="","",IF(AND(EZ423="Y",FA423="Y",Y423&amp;""&lt;&gt;""),IF(Y423&lt;=10,"Y","N"),"N"))</f>
        <v/>
      </c>
      <c r="FC423" s="0" t="str">
        <f aca="false">IF(FB423="Y",Y423,"")</f>
        <v/>
      </c>
      <c r="FD423" s="0" t="str">
        <f aca="false">IF($A423="","",IF(AND(CK423="pass",AU423="Y",AV423&lt;&gt;"Y",U423="new",EW423="N"),"Y","N"))</f>
        <v/>
      </c>
      <c r="FE423" s="0" t="str">
        <f aca="false">IF(FD423&lt;&gt;"Y","",IF(COUNTIFS($FD$2:$FD$1000,"Y",$J$2:$J$1000,"&gt;"&amp;J423)+COUNTIFS($FD$2:$FD$1000,"Y",$J$2:$J$1000,J423,$FG$2:$FG$1000,"&lt;"&amp;FG423)+1&lt;=30,COUNTIFS($FD$2:$FD$1000,"Y",$J$2:$J$1000,"&gt;"&amp;J423)+COUNTIFS($FD$2:$FD$1000,"Y",$J$2:$J$1000,J423,$FG$2:$FG$1000,"&lt;"&amp;FG423)+1,""))</f>
        <v/>
      </c>
      <c r="FF423" s="0" t="str">
        <f aca="false">IF(AND(_xlfn.ISFORMULA(C423),_xlfn.ISFORMULA(J423)),"Y","N")</f>
        <v>Y</v>
      </c>
      <c r="FG423" s="0" t="n">
        <f aca="false">ROW()-1</f>
        <v>422</v>
      </c>
    </row>
    <row r="424" customFormat="false" ht="15" hidden="false" customHeight="false" outlineLevel="0" collapsed="false">
      <c r="C424" s="0" t="str">
        <f aca="false">IF($A424="","",IF(AT424="Y",BL424&amp;"",AY424&amp;""))</f>
        <v/>
      </c>
      <c r="D424" s="0" t="str">
        <f aca="false">IF($A424="","",IF(AT424="Y",BM424&amp;"",AZ424&amp;""))</f>
        <v/>
      </c>
      <c r="E424" s="0" t="str">
        <f aca="false">IF($A424="","",IF(AT424="Y",BN424&amp;"",BA424&amp;""))</f>
        <v/>
      </c>
      <c r="F424" s="0" t="str">
        <f aca="false">IF($A424="","",IF(AT424="Y",BO424&amp;"",BB424&amp;""))</f>
        <v/>
      </c>
      <c r="G424" s="0" t="str">
        <f aca="false">IF($A424="","",IF(AT424="Y",BP424&amp;"",BC424&amp;""))</f>
        <v/>
      </c>
      <c r="H424" s="0" t="str">
        <f aca="false">IF($A424="","",IF(AT424="Y",BQ424&amp;"",BD424&amp;""))</f>
        <v/>
      </c>
      <c r="I424" s="0" t="str">
        <f aca="false">IF($A424="","",IF(R424="Y","warm-intro",IF(H424="verified","email",IF(C424&lt;&gt;"","linkedin",CA424&amp;""))))</f>
        <v/>
      </c>
      <c r="J424" s="0" t="str">
        <f aca="false">IF($A424="","",IF(CK424="pass",ROUND(N(DO424)+N(DP424)+N(DQ424)+N(DR424)+N(DS424)+N(DT424)+N(DU424)+N(DV424),0),0))</f>
        <v/>
      </c>
      <c r="K424" s="0" t="str">
        <f aca="false">IF($A424="","",IF(CK424&lt;&gt;"pass",BY424&amp;"",BY424&amp;", "&amp;IF(AT424="Y",BX424&amp;"",BK424&amp;"")&amp;BZ424&amp;IF(R424="Y","; known to the founder (+10)","")&amp;"."))</f>
        <v/>
      </c>
      <c r="R424" s="5"/>
      <c r="T424" s="5"/>
      <c r="U424" s="5"/>
      <c r="Y424" s="0" t="str">
        <f aca="false">IF(FA424&lt;&gt;"Y","",COUNTIFS($FA$2:$FA$1000,"Y",$J$2:$J$1000,"&gt;"&amp;J424)+COUNTIFS($FA$2:$FA$1000,"Y",$J$2:$J$1000,J424,$FG$2:$FG$1000,"&lt;"&amp;FG424)+1)</f>
        <v/>
      </c>
      <c r="AB424" s="0" t="str">
        <f aca="false">IF($A424="","",IF(AT424="Y",BW424&amp;"",BJ424&amp;""))</f>
        <v/>
      </c>
      <c r="AC424" s="0" t="str">
        <f aca="false">IF($A424="","",IF(AT424="Y",BR424&amp;"",BE424&amp;""))</f>
        <v/>
      </c>
      <c r="AD424" s="0" t="str">
        <f aca="false">IF($A424="","",IF(AT424="Y",BS424&amp;"",BF424&amp;""))</f>
        <v/>
      </c>
      <c r="AE424" s="0" t="str">
        <f aca="false">IF($A424="","",IF(AT424="Y",BT424&amp;"",BG424&amp;""))</f>
        <v/>
      </c>
      <c r="AF424" s="0" t="str">
        <f aca="false">IF($A424="","",IF(AT424="Y",BU424&amp;"",BH424&amp;""))</f>
        <v/>
      </c>
      <c r="AG424" s="0" t="str">
        <f aca="false">IF($A424="","",IF(AT424="Y",BV424&amp;"",BI424&amp;""))</f>
        <v/>
      </c>
      <c r="AO424" s="5"/>
      <c r="AR424" s="0" t="str">
        <f aca="false">IF($A424="","",IF(AND(CK424="pass",AO424&lt;&gt;"Y",C424&lt;&gt;"",OR(AU424&lt;&gt;"Y",AV424="Y")),"Y","N"))</f>
        <v/>
      </c>
      <c r="AS424" s="0" t="str">
        <f aca="false">IF($A424="","",_xlfn.TEXTJOIN("; ",TRUE(),IF(CK424&lt;&gt;"pass","gated out",""),IF(AO424="Y","on hold: "&amp;AP424,""),IF(C424="","no contact named on an opened page",""),IF(AND(AU424="Y",AV424&lt;&gt;"Y"),"founder review pending (Founder review tab)","")))</f>
        <v/>
      </c>
      <c r="BC424" s="0" t="str">
        <f aca="false">IF($A424="","",IFERROR(INDEX(Enrichment!$A$2:$GZ$2000,MATCH($A424,INDEX(Enrichment!$A$2:$GZ$2000,0,MATCH("row_id",Enrichment!$A$1:$GZ$1,0)),0),MATCH("work_email",Enrichment!$A$1:$GZ$1,0))&amp;"",""))</f>
        <v/>
      </c>
      <c r="BD424" s="0" t="str">
        <f aca="false">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P424" s="0" t="str">
        <f aca="false">IF($A424="","",IFERROR(INDEX(Enrichment!$A$2:$GZ$2000,MATCH($A424,INDEX(Enrichment!$A$2:$GZ$2000,0,MATCH("row_id",Enrichment!$A$1:$GZ$1,0)),0),MATCH("backup_work_email",Enrichment!$A$1:$GZ$1,0))&amp;"",""))</f>
        <v/>
      </c>
      <c r="BQ424" s="0" t="str">
        <f aca="false">IF($A424="","",IF(BP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DU424" s="0" t="str">
        <f aca="false">IF($A424="","",IF(R424="Y",10,0))</f>
        <v/>
      </c>
      <c r="EV424" s="0" t="str">
        <f aca="false">IF($A424="","",IF(ISNUMBER(MATCH(U424,{"queued","contacted","replied","call_booked","call_done","yes_in_principle","materials_sent"},0)),"Y","N"))</f>
        <v/>
      </c>
      <c r="EW424" s="0" t="str">
        <f aca="false">IF($A424="","",IF(OR(T424="Y",U424="do_not_contact",AQ424&amp;""&lt;&gt;""),"Y","N"))</f>
        <v/>
      </c>
      <c r="EX424" s="0" t="str">
        <f aca="false">IF($A424="","",IF(AN424&amp;""&lt;&gt;"",AN424&amp;"",$A424))</f>
        <v/>
      </c>
      <c r="EY424" s="0" t="str">
        <f aca="false">IF($A424="","",IF(COUNTIFS($EX$2:$EX$1000,EX424,$EV$2:$EV$1000,"Y")+COUNTIFS($EX$2:$EX$1000,EX424,$EW$2:$EW$1000,"Y")&gt;0,"Y","N"))</f>
        <v/>
      </c>
      <c r="EZ424" s="0" t="str">
        <f aca="false">IF($A424="","",IF(AND(U424="new",T424="N",EW424="N",AR424="Y",EY424="N"),"Y","N"))</f>
        <v/>
      </c>
      <c r="FA424" s="0" t="str">
        <f aca="false">IF($A424="","",IF(EZ424&lt;&gt;"Y","N",IF(COUNTIFS($EX$2:$EX$1000,EX424,$EZ$2:$EZ$1000,"Y",$J$2:$J$1000,"&gt;"&amp;J424)+COUNTIFS($EX$2:$EX$1000,EX424,$EZ$2:$EZ$1000,"Y",$J$2:$J$1000,J424,$FG$2:$FG$1000,"&lt;"&amp;FG424)=0,"Y","N")))</f>
        <v/>
      </c>
      <c r="FB424" s="0" t="str">
        <f aca="false">IF($A424="","",IF(AND(EZ424="Y",FA424="Y",Y424&amp;""&lt;&gt;""),IF(Y424&lt;=10,"Y","N"),"N"))</f>
        <v/>
      </c>
      <c r="FC424" s="0" t="str">
        <f aca="false">IF(FB424="Y",Y424,"")</f>
        <v/>
      </c>
      <c r="FD424" s="0" t="str">
        <f aca="false">IF($A424="","",IF(AND(CK424="pass",AU424="Y",AV424&lt;&gt;"Y",U424="new",EW424="N"),"Y","N"))</f>
        <v/>
      </c>
      <c r="FE424" s="0" t="str">
        <f aca="false">IF(FD424&lt;&gt;"Y","",IF(COUNTIFS($FD$2:$FD$1000,"Y",$J$2:$J$1000,"&gt;"&amp;J424)+COUNTIFS($FD$2:$FD$1000,"Y",$J$2:$J$1000,J424,$FG$2:$FG$1000,"&lt;"&amp;FG424)+1&lt;=30,COUNTIFS($FD$2:$FD$1000,"Y",$J$2:$J$1000,"&gt;"&amp;J424)+COUNTIFS($FD$2:$FD$1000,"Y",$J$2:$J$1000,J424,$FG$2:$FG$1000,"&lt;"&amp;FG424)+1,""))</f>
        <v/>
      </c>
      <c r="FF424" s="0" t="str">
        <f aca="false">IF(AND(_xlfn.ISFORMULA(C424),_xlfn.ISFORMULA(J424)),"Y","N")</f>
        <v>Y</v>
      </c>
      <c r="FG424" s="0" t="n">
        <f aca="false">ROW()-1</f>
        <v>423</v>
      </c>
    </row>
    <row r="425" customFormat="false" ht="15" hidden="false" customHeight="false" outlineLevel="0" collapsed="false">
      <c r="C425" s="0" t="str">
        <f aca="false">IF($A425="","",IF(AT425="Y",BL425&amp;"",AY425&amp;""))</f>
        <v/>
      </c>
      <c r="D425" s="0" t="str">
        <f aca="false">IF($A425="","",IF(AT425="Y",BM425&amp;"",AZ425&amp;""))</f>
        <v/>
      </c>
      <c r="E425" s="0" t="str">
        <f aca="false">IF($A425="","",IF(AT425="Y",BN425&amp;"",BA425&amp;""))</f>
        <v/>
      </c>
      <c r="F425" s="0" t="str">
        <f aca="false">IF($A425="","",IF(AT425="Y",BO425&amp;"",BB425&amp;""))</f>
        <v/>
      </c>
      <c r="G425" s="0" t="str">
        <f aca="false">IF($A425="","",IF(AT425="Y",BP425&amp;"",BC425&amp;""))</f>
        <v/>
      </c>
      <c r="H425" s="0" t="str">
        <f aca="false">IF($A425="","",IF(AT425="Y",BQ425&amp;"",BD425&amp;""))</f>
        <v/>
      </c>
      <c r="I425" s="0" t="str">
        <f aca="false">IF($A425="","",IF(R425="Y","warm-intro",IF(H425="verified","email",IF(C425&lt;&gt;"","linkedin",CA425&amp;""))))</f>
        <v/>
      </c>
      <c r="J425" s="0" t="str">
        <f aca="false">IF($A425="","",IF(CK425="pass",ROUND(N(DO425)+N(DP425)+N(DQ425)+N(DR425)+N(DS425)+N(DT425)+N(DU425)+N(DV425),0),0))</f>
        <v/>
      </c>
      <c r="K425" s="0" t="str">
        <f aca="false">IF($A425="","",IF(CK425&lt;&gt;"pass",BY425&amp;"",BY425&amp;", "&amp;IF(AT425="Y",BX425&amp;"",BK425&amp;"")&amp;BZ425&amp;IF(R425="Y","; known to the founder (+10)","")&amp;"."))</f>
        <v/>
      </c>
      <c r="R425" s="5"/>
      <c r="T425" s="5"/>
      <c r="U425" s="5"/>
      <c r="Y425" s="0" t="str">
        <f aca="false">IF(FA425&lt;&gt;"Y","",COUNTIFS($FA$2:$FA$1000,"Y",$J$2:$J$1000,"&gt;"&amp;J425)+COUNTIFS($FA$2:$FA$1000,"Y",$J$2:$J$1000,J425,$FG$2:$FG$1000,"&lt;"&amp;FG425)+1)</f>
        <v/>
      </c>
      <c r="AB425" s="0" t="str">
        <f aca="false">IF($A425="","",IF(AT425="Y",BW425&amp;"",BJ425&amp;""))</f>
        <v/>
      </c>
      <c r="AC425" s="0" t="str">
        <f aca="false">IF($A425="","",IF(AT425="Y",BR425&amp;"",BE425&amp;""))</f>
        <v/>
      </c>
      <c r="AD425" s="0" t="str">
        <f aca="false">IF($A425="","",IF(AT425="Y",BS425&amp;"",BF425&amp;""))</f>
        <v/>
      </c>
      <c r="AE425" s="0" t="str">
        <f aca="false">IF($A425="","",IF(AT425="Y",BT425&amp;"",BG425&amp;""))</f>
        <v/>
      </c>
      <c r="AF425" s="0" t="str">
        <f aca="false">IF($A425="","",IF(AT425="Y",BU425&amp;"",BH425&amp;""))</f>
        <v/>
      </c>
      <c r="AG425" s="0" t="str">
        <f aca="false">IF($A425="","",IF(AT425="Y",BV425&amp;"",BI425&amp;""))</f>
        <v/>
      </c>
      <c r="AO425" s="5"/>
      <c r="AR425" s="0" t="str">
        <f aca="false">IF($A425="","",IF(AND(CK425="pass",AO425&lt;&gt;"Y",C425&lt;&gt;"",OR(AU425&lt;&gt;"Y",AV425="Y")),"Y","N"))</f>
        <v/>
      </c>
      <c r="AS425" s="0" t="str">
        <f aca="false">IF($A425="","",_xlfn.TEXTJOIN("; ",TRUE(),IF(CK425&lt;&gt;"pass","gated out",""),IF(AO425="Y","on hold: "&amp;AP425,""),IF(C425="","no contact named on an opened page",""),IF(AND(AU425="Y",AV425&lt;&gt;"Y"),"founder review pending (Founder review tab)","")))</f>
        <v/>
      </c>
      <c r="BC425" s="0" t="str">
        <f aca="false">IF($A425="","",IFERROR(INDEX(Enrichment!$A$2:$GZ$2000,MATCH($A425,INDEX(Enrichment!$A$2:$GZ$2000,0,MATCH("row_id",Enrichment!$A$1:$GZ$1,0)),0),MATCH("work_email",Enrichment!$A$1:$GZ$1,0))&amp;"",""))</f>
        <v/>
      </c>
      <c r="BD425" s="0" t="str">
        <f aca="false">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P425" s="0" t="str">
        <f aca="false">IF($A425="","",IFERROR(INDEX(Enrichment!$A$2:$GZ$2000,MATCH($A425,INDEX(Enrichment!$A$2:$GZ$2000,0,MATCH("row_id",Enrichment!$A$1:$GZ$1,0)),0),MATCH("backup_work_email",Enrichment!$A$1:$GZ$1,0))&amp;"",""))</f>
        <v/>
      </c>
      <c r="BQ425" s="0" t="str">
        <f aca="false">IF($A425="","",IF(BP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DU425" s="0" t="str">
        <f aca="false">IF($A425="","",IF(R425="Y",10,0))</f>
        <v/>
      </c>
      <c r="EV425" s="0" t="str">
        <f aca="false">IF($A425="","",IF(ISNUMBER(MATCH(U425,{"queued","contacted","replied","call_booked","call_done","yes_in_principle","materials_sent"},0)),"Y","N"))</f>
        <v/>
      </c>
      <c r="EW425" s="0" t="str">
        <f aca="false">IF($A425="","",IF(OR(T425="Y",U425="do_not_contact",AQ425&amp;""&lt;&gt;""),"Y","N"))</f>
        <v/>
      </c>
      <c r="EX425" s="0" t="str">
        <f aca="false">IF($A425="","",IF(AN425&amp;""&lt;&gt;"",AN425&amp;"",$A425))</f>
        <v/>
      </c>
      <c r="EY425" s="0" t="str">
        <f aca="false">IF($A425="","",IF(COUNTIFS($EX$2:$EX$1000,EX425,$EV$2:$EV$1000,"Y")+COUNTIFS($EX$2:$EX$1000,EX425,$EW$2:$EW$1000,"Y")&gt;0,"Y","N"))</f>
        <v/>
      </c>
      <c r="EZ425" s="0" t="str">
        <f aca="false">IF($A425="","",IF(AND(U425="new",T425="N",EW425="N",AR425="Y",EY425="N"),"Y","N"))</f>
        <v/>
      </c>
      <c r="FA425" s="0" t="str">
        <f aca="false">IF($A425="","",IF(EZ425&lt;&gt;"Y","N",IF(COUNTIFS($EX$2:$EX$1000,EX425,$EZ$2:$EZ$1000,"Y",$J$2:$J$1000,"&gt;"&amp;J425)+COUNTIFS($EX$2:$EX$1000,EX425,$EZ$2:$EZ$1000,"Y",$J$2:$J$1000,J425,$FG$2:$FG$1000,"&lt;"&amp;FG425)=0,"Y","N")))</f>
        <v/>
      </c>
      <c r="FB425" s="0" t="str">
        <f aca="false">IF($A425="","",IF(AND(EZ425="Y",FA425="Y",Y425&amp;""&lt;&gt;""),IF(Y425&lt;=10,"Y","N"),"N"))</f>
        <v/>
      </c>
      <c r="FC425" s="0" t="str">
        <f aca="false">IF(FB425="Y",Y425,"")</f>
        <v/>
      </c>
      <c r="FD425" s="0" t="str">
        <f aca="false">IF($A425="","",IF(AND(CK425="pass",AU425="Y",AV425&lt;&gt;"Y",U425="new",EW425="N"),"Y","N"))</f>
        <v/>
      </c>
      <c r="FE425" s="0" t="str">
        <f aca="false">IF(FD425&lt;&gt;"Y","",IF(COUNTIFS($FD$2:$FD$1000,"Y",$J$2:$J$1000,"&gt;"&amp;J425)+COUNTIFS($FD$2:$FD$1000,"Y",$J$2:$J$1000,J425,$FG$2:$FG$1000,"&lt;"&amp;FG425)+1&lt;=30,COUNTIFS($FD$2:$FD$1000,"Y",$J$2:$J$1000,"&gt;"&amp;J425)+COUNTIFS($FD$2:$FD$1000,"Y",$J$2:$J$1000,J425,$FG$2:$FG$1000,"&lt;"&amp;FG425)+1,""))</f>
        <v/>
      </c>
      <c r="FF425" s="0" t="str">
        <f aca="false">IF(AND(_xlfn.ISFORMULA(C425),_xlfn.ISFORMULA(J425)),"Y","N")</f>
        <v>Y</v>
      </c>
      <c r="FG425" s="0" t="n">
        <f aca="false">ROW()-1</f>
        <v>424</v>
      </c>
    </row>
    <row r="426" customFormat="false" ht="15" hidden="false" customHeight="false" outlineLevel="0" collapsed="false">
      <c r="C426" s="0" t="str">
        <f aca="false">IF($A426="","",IF(AT426="Y",BL426&amp;"",AY426&amp;""))</f>
        <v/>
      </c>
      <c r="D426" s="0" t="str">
        <f aca="false">IF($A426="","",IF(AT426="Y",BM426&amp;"",AZ426&amp;""))</f>
        <v/>
      </c>
      <c r="E426" s="0" t="str">
        <f aca="false">IF($A426="","",IF(AT426="Y",BN426&amp;"",BA426&amp;""))</f>
        <v/>
      </c>
      <c r="F426" s="0" t="str">
        <f aca="false">IF($A426="","",IF(AT426="Y",BO426&amp;"",BB426&amp;""))</f>
        <v/>
      </c>
      <c r="G426" s="0" t="str">
        <f aca="false">IF($A426="","",IF(AT426="Y",BP426&amp;"",BC426&amp;""))</f>
        <v/>
      </c>
      <c r="H426" s="0" t="str">
        <f aca="false">IF($A426="","",IF(AT426="Y",BQ426&amp;"",BD426&amp;""))</f>
        <v/>
      </c>
      <c r="I426" s="0" t="str">
        <f aca="false">IF($A426="","",IF(R426="Y","warm-intro",IF(H426="verified","email",IF(C426&lt;&gt;"","linkedin",CA426&amp;""))))</f>
        <v/>
      </c>
      <c r="J426" s="0" t="str">
        <f aca="false">IF($A426="","",IF(CK426="pass",ROUND(N(DO426)+N(DP426)+N(DQ426)+N(DR426)+N(DS426)+N(DT426)+N(DU426)+N(DV426),0),0))</f>
        <v/>
      </c>
      <c r="K426" s="0" t="str">
        <f aca="false">IF($A426="","",IF(CK426&lt;&gt;"pass",BY426&amp;"",BY426&amp;", "&amp;IF(AT426="Y",BX426&amp;"",BK426&amp;"")&amp;BZ426&amp;IF(R426="Y","; known to the founder (+10)","")&amp;"."))</f>
        <v/>
      </c>
      <c r="R426" s="5"/>
      <c r="T426" s="5"/>
      <c r="U426" s="5"/>
      <c r="Y426" s="0" t="str">
        <f aca="false">IF(FA426&lt;&gt;"Y","",COUNTIFS($FA$2:$FA$1000,"Y",$J$2:$J$1000,"&gt;"&amp;J426)+COUNTIFS($FA$2:$FA$1000,"Y",$J$2:$J$1000,J426,$FG$2:$FG$1000,"&lt;"&amp;FG426)+1)</f>
        <v/>
      </c>
      <c r="AB426" s="0" t="str">
        <f aca="false">IF($A426="","",IF(AT426="Y",BW426&amp;"",BJ426&amp;""))</f>
        <v/>
      </c>
      <c r="AC426" s="0" t="str">
        <f aca="false">IF($A426="","",IF(AT426="Y",BR426&amp;"",BE426&amp;""))</f>
        <v/>
      </c>
      <c r="AD426" s="0" t="str">
        <f aca="false">IF($A426="","",IF(AT426="Y",BS426&amp;"",BF426&amp;""))</f>
        <v/>
      </c>
      <c r="AE426" s="0" t="str">
        <f aca="false">IF($A426="","",IF(AT426="Y",BT426&amp;"",BG426&amp;""))</f>
        <v/>
      </c>
      <c r="AF426" s="0" t="str">
        <f aca="false">IF($A426="","",IF(AT426="Y",BU426&amp;"",BH426&amp;""))</f>
        <v/>
      </c>
      <c r="AG426" s="0" t="str">
        <f aca="false">IF($A426="","",IF(AT426="Y",BV426&amp;"",BI426&amp;""))</f>
        <v/>
      </c>
      <c r="AO426" s="5"/>
      <c r="AR426" s="0" t="str">
        <f aca="false">IF($A426="","",IF(AND(CK426="pass",AO426&lt;&gt;"Y",C426&lt;&gt;"",OR(AU426&lt;&gt;"Y",AV426="Y")),"Y","N"))</f>
        <v/>
      </c>
      <c r="AS426" s="0" t="str">
        <f aca="false">IF($A426="","",_xlfn.TEXTJOIN("; ",TRUE(),IF(CK426&lt;&gt;"pass","gated out",""),IF(AO426="Y","on hold: "&amp;AP426,""),IF(C426="","no contact named on an opened page",""),IF(AND(AU426="Y",AV426&lt;&gt;"Y"),"founder review pending (Founder review tab)","")))</f>
        <v/>
      </c>
      <c r="BC426" s="0" t="str">
        <f aca="false">IF($A426="","",IFERROR(INDEX(Enrichment!$A$2:$GZ$2000,MATCH($A426,INDEX(Enrichment!$A$2:$GZ$2000,0,MATCH("row_id",Enrichment!$A$1:$GZ$1,0)),0),MATCH("work_email",Enrichment!$A$1:$GZ$1,0))&amp;"",""))</f>
        <v/>
      </c>
      <c r="BD426" s="0" t="str">
        <f aca="false">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P426" s="0" t="str">
        <f aca="false">IF($A426="","",IFERROR(INDEX(Enrichment!$A$2:$GZ$2000,MATCH($A426,INDEX(Enrichment!$A$2:$GZ$2000,0,MATCH("row_id",Enrichment!$A$1:$GZ$1,0)),0),MATCH("backup_work_email",Enrichment!$A$1:$GZ$1,0))&amp;"",""))</f>
        <v/>
      </c>
      <c r="BQ426" s="0" t="str">
        <f aca="false">IF($A426="","",IF(BP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DU426" s="0" t="str">
        <f aca="false">IF($A426="","",IF(R426="Y",10,0))</f>
        <v/>
      </c>
      <c r="EV426" s="0" t="str">
        <f aca="false">IF($A426="","",IF(ISNUMBER(MATCH(U426,{"queued","contacted","replied","call_booked","call_done","yes_in_principle","materials_sent"},0)),"Y","N"))</f>
        <v/>
      </c>
      <c r="EW426" s="0" t="str">
        <f aca="false">IF($A426="","",IF(OR(T426="Y",U426="do_not_contact",AQ426&amp;""&lt;&gt;""),"Y","N"))</f>
        <v/>
      </c>
      <c r="EX426" s="0" t="str">
        <f aca="false">IF($A426="","",IF(AN426&amp;""&lt;&gt;"",AN426&amp;"",$A426))</f>
        <v/>
      </c>
      <c r="EY426" s="0" t="str">
        <f aca="false">IF($A426="","",IF(COUNTIFS($EX$2:$EX$1000,EX426,$EV$2:$EV$1000,"Y")+COUNTIFS($EX$2:$EX$1000,EX426,$EW$2:$EW$1000,"Y")&gt;0,"Y","N"))</f>
        <v/>
      </c>
      <c r="EZ426" s="0" t="str">
        <f aca="false">IF($A426="","",IF(AND(U426="new",T426="N",EW426="N",AR426="Y",EY426="N"),"Y","N"))</f>
        <v/>
      </c>
      <c r="FA426" s="0" t="str">
        <f aca="false">IF($A426="","",IF(EZ426&lt;&gt;"Y","N",IF(COUNTIFS($EX$2:$EX$1000,EX426,$EZ$2:$EZ$1000,"Y",$J$2:$J$1000,"&gt;"&amp;J426)+COUNTIFS($EX$2:$EX$1000,EX426,$EZ$2:$EZ$1000,"Y",$J$2:$J$1000,J426,$FG$2:$FG$1000,"&lt;"&amp;FG426)=0,"Y","N")))</f>
        <v/>
      </c>
      <c r="FB426" s="0" t="str">
        <f aca="false">IF($A426="","",IF(AND(EZ426="Y",FA426="Y",Y426&amp;""&lt;&gt;""),IF(Y426&lt;=10,"Y","N"),"N"))</f>
        <v/>
      </c>
      <c r="FC426" s="0" t="str">
        <f aca="false">IF(FB426="Y",Y426,"")</f>
        <v/>
      </c>
      <c r="FD426" s="0" t="str">
        <f aca="false">IF($A426="","",IF(AND(CK426="pass",AU426="Y",AV426&lt;&gt;"Y",U426="new",EW426="N"),"Y","N"))</f>
        <v/>
      </c>
      <c r="FE426" s="0" t="str">
        <f aca="false">IF(FD426&lt;&gt;"Y","",IF(COUNTIFS($FD$2:$FD$1000,"Y",$J$2:$J$1000,"&gt;"&amp;J426)+COUNTIFS($FD$2:$FD$1000,"Y",$J$2:$J$1000,J426,$FG$2:$FG$1000,"&lt;"&amp;FG426)+1&lt;=30,COUNTIFS($FD$2:$FD$1000,"Y",$J$2:$J$1000,"&gt;"&amp;J426)+COUNTIFS($FD$2:$FD$1000,"Y",$J$2:$J$1000,J426,$FG$2:$FG$1000,"&lt;"&amp;FG426)+1,""))</f>
        <v/>
      </c>
      <c r="FF426" s="0" t="str">
        <f aca="false">IF(AND(_xlfn.ISFORMULA(C426),_xlfn.ISFORMULA(J426)),"Y","N")</f>
        <v>Y</v>
      </c>
      <c r="FG426" s="0" t="n">
        <f aca="false">ROW()-1</f>
        <v>425</v>
      </c>
    </row>
    <row r="427" customFormat="false" ht="15" hidden="false" customHeight="false" outlineLevel="0" collapsed="false">
      <c r="C427" s="0" t="str">
        <f aca="false">IF($A427="","",IF(AT427="Y",BL427&amp;"",AY427&amp;""))</f>
        <v/>
      </c>
      <c r="D427" s="0" t="str">
        <f aca="false">IF($A427="","",IF(AT427="Y",BM427&amp;"",AZ427&amp;""))</f>
        <v/>
      </c>
      <c r="E427" s="0" t="str">
        <f aca="false">IF($A427="","",IF(AT427="Y",BN427&amp;"",BA427&amp;""))</f>
        <v/>
      </c>
      <c r="F427" s="0" t="str">
        <f aca="false">IF($A427="","",IF(AT427="Y",BO427&amp;"",BB427&amp;""))</f>
        <v/>
      </c>
      <c r="G427" s="0" t="str">
        <f aca="false">IF($A427="","",IF(AT427="Y",BP427&amp;"",BC427&amp;""))</f>
        <v/>
      </c>
      <c r="H427" s="0" t="str">
        <f aca="false">IF($A427="","",IF(AT427="Y",BQ427&amp;"",BD427&amp;""))</f>
        <v/>
      </c>
      <c r="I427" s="0" t="str">
        <f aca="false">IF($A427="","",IF(R427="Y","warm-intro",IF(H427="verified","email",IF(C427&lt;&gt;"","linkedin",CA427&amp;""))))</f>
        <v/>
      </c>
      <c r="J427" s="0" t="str">
        <f aca="false">IF($A427="","",IF(CK427="pass",ROUND(N(DO427)+N(DP427)+N(DQ427)+N(DR427)+N(DS427)+N(DT427)+N(DU427)+N(DV427),0),0))</f>
        <v/>
      </c>
      <c r="K427" s="0" t="str">
        <f aca="false">IF($A427="","",IF(CK427&lt;&gt;"pass",BY427&amp;"",BY427&amp;", "&amp;IF(AT427="Y",BX427&amp;"",BK427&amp;"")&amp;BZ427&amp;IF(R427="Y","; known to the founder (+10)","")&amp;"."))</f>
        <v/>
      </c>
      <c r="R427" s="5"/>
      <c r="T427" s="5"/>
      <c r="U427" s="5"/>
      <c r="Y427" s="0" t="str">
        <f aca="false">IF(FA427&lt;&gt;"Y","",COUNTIFS($FA$2:$FA$1000,"Y",$J$2:$J$1000,"&gt;"&amp;J427)+COUNTIFS($FA$2:$FA$1000,"Y",$J$2:$J$1000,J427,$FG$2:$FG$1000,"&lt;"&amp;FG427)+1)</f>
        <v/>
      </c>
      <c r="AB427" s="0" t="str">
        <f aca="false">IF($A427="","",IF(AT427="Y",BW427&amp;"",BJ427&amp;""))</f>
        <v/>
      </c>
      <c r="AC427" s="0" t="str">
        <f aca="false">IF($A427="","",IF(AT427="Y",BR427&amp;"",BE427&amp;""))</f>
        <v/>
      </c>
      <c r="AD427" s="0" t="str">
        <f aca="false">IF($A427="","",IF(AT427="Y",BS427&amp;"",BF427&amp;""))</f>
        <v/>
      </c>
      <c r="AE427" s="0" t="str">
        <f aca="false">IF($A427="","",IF(AT427="Y",BT427&amp;"",BG427&amp;""))</f>
        <v/>
      </c>
      <c r="AF427" s="0" t="str">
        <f aca="false">IF($A427="","",IF(AT427="Y",BU427&amp;"",BH427&amp;""))</f>
        <v/>
      </c>
      <c r="AG427" s="0" t="str">
        <f aca="false">IF($A427="","",IF(AT427="Y",BV427&amp;"",BI427&amp;""))</f>
        <v/>
      </c>
      <c r="AO427" s="5"/>
      <c r="AR427" s="0" t="str">
        <f aca="false">IF($A427="","",IF(AND(CK427="pass",AO427&lt;&gt;"Y",C427&lt;&gt;"",OR(AU427&lt;&gt;"Y",AV427="Y")),"Y","N"))</f>
        <v/>
      </c>
      <c r="AS427" s="0" t="str">
        <f aca="false">IF($A427="","",_xlfn.TEXTJOIN("; ",TRUE(),IF(CK427&lt;&gt;"pass","gated out",""),IF(AO427="Y","on hold: "&amp;AP427,""),IF(C427="","no contact named on an opened page",""),IF(AND(AU427="Y",AV427&lt;&gt;"Y"),"founder review pending (Founder review tab)","")))</f>
        <v/>
      </c>
      <c r="BC427" s="0" t="str">
        <f aca="false">IF($A427="","",IFERROR(INDEX(Enrichment!$A$2:$GZ$2000,MATCH($A427,INDEX(Enrichment!$A$2:$GZ$2000,0,MATCH("row_id",Enrichment!$A$1:$GZ$1,0)),0),MATCH("work_email",Enrichment!$A$1:$GZ$1,0))&amp;"",""))</f>
        <v/>
      </c>
      <c r="BD427" s="0" t="str">
        <f aca="false">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P427" s="0" t="str">
        <f aca="false">IF($A427="","",IFERROR(INDEX(Enrichment!$A$2:$GZ$2000,MATCH($A427,INDEX(Enrichment!$A$2:$GZ$2000,0,MATCH("row_id",Enrichment!$A$1:$GZ$1,0)),0),MATCH("backup_work_email",Enrichment!$A$1:$GZ$1,0))&amp;"",""))</f>
        <v/>
      </c>
      <c r="BQ427" s="0" t="str">
        <f aca="false">IF($A427="","",IF(BP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DU427" s="0" t="str">
        <f aca="false">IF($A427="","",IF(R427="Y",10,0))</f>
        <v/>
      </c>
      <c r="EV427" s="0" t="str">
        <f aca="false">IF($A427="","",IF(ISNUMBER(MATCH(U427,{"queued","contacted","replied","call_booked","call_done","yes_in_principle","materials_sent"},0)),"Y","N"))</f>
        <v/>
      </c>
      <c r="EW427" s="0" t="str">
        <f aca="false">IF($A427="","",IF(OR(T427="Y",U427="do_not_contact",AQ427&amp;""&lt;&gt;""),"Y","N"))</f>
        <v/>
      </c>
      <c r="EX427" s="0" t="str">
        <f aca="false">IF($A427="","",IF(AN427&amp;""&lt;&gt;"",AN427&amp;"",$A427))</f>
        <v/>
      </c>
      <c r="EY427" s="0" t="str">
        <f aca="false">IF($A427="","",IF(COUNTIFS($EX$2:$EX$1000,EX427,$EV$2:$EV$1000,"Y")+COUNTIFS($EX$2:$EX$1000,EX427,$EW$2:$EW$1000,"Y")&gt;0,"Y","N"))</f>
        <v/>
      </c>
      <c r="EZ427" s="0" t="str">
        <f aca="false">IF($A427="","",IF(AND(U427="new",T427="N",EW427="N",AR427="Y",EY427="N"),"Y","N"))</f>
        <v/>
      </c>
      <c r="FA427" s="0" t="str">
        <f aca="false">IF($A427="","",IF(EZ427&lt;&gt;"Y","N",IF(COUNTIFS($EX$2:$EX$1000,EX427,$EZ$2:$EZ$1000,"Y",$J$2:$J$1000,"&gt;"&amp;J427)+COUNTIFS($EX$2:$EX$1000,EX427,$EZ$2:$EZ$1000,"Y",$J$2:$J$1000,J427,$FG$2:$FG$1000,"&lt;"&amp;FG427)=0,"Y","N")))</f>
        <v/>
      </c>
      <c r="FB427" s="0" t="str">
        <f aca="false">IF($A427="","",IF(AND(EZ427="Y",FA427="Y",Y427&amp;""&lt;&gt;""),IF(Y427&lt;=10,"Y","N"),"N"))</f>
        <v/>
      </c>
      <c r="FC427" s="0" t="str">
        <f aca="false">IF(FB427="Y",Y427,"")</f>
        <v/>
      </c>
      <c r="FD427" s="0" t="str">
        <f aca="false">IF($A427="","",IF(AND(CK427="pass",AU427="Y",AV427&lt;&gt;"Y",U427="new",EW427="N"),"Y","N"))</f>
        <v/>
      </c>
      <c r="FE427" s="0" t="str">
        <f aca="false">IF(FD427&lt;&gt;"Y","",IF(COUNTIFS($FD$2:$FD$1000,"Y",$J$2:$J$1000,"&gt;"&amp;J427)+COUNTIFS($FD$2:$FD$1000,"Y",$J$2:$J$1000,J427,$FG$2:$FG$1000,"&lt;"&amp;FG427)+1&lt;=30,COUNTIFS($FD$2:$FD$1000,"Y",$J$2:$J$1000,"&gt;"&amp;J427)+COUNTIFS($FD$2:$FD$1000,"Y",$J$2:$J$1000,J427,$FG$2:$FG$1000,"&lt;"&amp;FG427)+1,""))</f>
        <v/>
      </c>
      <c r="FF427" s="0" t="str">
        <f aca="false">IF(AND(_xlfn.ISFORMULA(C427),_xlfn.ISFORMULA(J427)),"Y","N")</f>
        <v>Y</v>
      </c>
      <c r="FG427" s="0" t="n">
        <f aca="false">ROW()-1</f>
        <v>426</v>
      </c>
    </row>
    <row r="428" customFormat="false" ht="15" hidden="false" customHeight="false" outlineLevel="0" collapsed="false">
      <c r="C428" s="0" t="str">
        <f aca="false">IF($A428="","",IF(AT428="Y",BL428&amp;"",AY428&amp;""))</f>
        <v/>
      </c>
      <c r="D428" s="0" t="str">
        <f aca="false">IF($A428="","",IF(AT428="Y",BM428&amp;"",AZ428&amp;""))</f>
        <v/>
      </c>
      <c r="E428" s="0" t="str">
        <f aca="false">IF($A428="","",IF(AT428="Y",BN428&amp;"",BA428&amp;""))</f>
        <v/>
      </c>
      <c r="F428" s="0" t="str">
        <f aca="false">IF($A428="","",IF(AT428="Y",BO428&amp;"",BB428&amp;""))</f>
        <v/>
      </c>
      <c r="G428" s="0" t="str">
        <f aca="false">IF($A428="","",IF(AT428="Y",BP428&amp;"",BC428&amp;""))</f>
        <v/>
      </c>
      <c r="H428" s="0" t="str">
        <f aca="false">IF($A428="","",IF(AT428="Y",BQ428&amp;"",BD428&amp;""))</f>
        <v/>
      </c>
      <c r="I428" s="0" t="str">
        <f aca="false">IF($A428="","",IF(R428="Y","warm-intro",IF(H428="verified","email",IF(C428&lt;&gt;"","linkedin",CA428&amp;""))))</f>
        <v/>
      </c>
      <c r="J428" s="0" t="str">
        <f aca="false">IF($A428="","",IF(CK428="pass",ROUND(N(DO428)+N(DP428)+N(DQ428)+N(DR428)+N(DS428)+N(DT428)+N(DU428)+N(DV428),0),0))</f>
        <v/>
      </c>
      <c r="K428" s="0" t="str">
        <f aca="false">IF($A428="","",IF(CK428&lt;&gt;"pass",BY428&amp;"",BY428&amp;", "&amp;IF(AT428="Y",BX428&amp;"",BK428&amp;"")&amp;BZ428&amp;IF(R428="Y","; known to the founder (+10)","")&amp;"."))</f>
        <v/>
      </c>
      <c r="R428" s="5"/>
      <c r="T428" s="5"/>
      <c r="U428" s="5"/>
      <c r="Y428" s="0" t="str">
        <f aca="false">IF(FA428&lt;&gt;"Y","",COUNTIFS($FA$2:$FA$1000,"Y",$J$2:$J$1000,"&gt;"&amp;J428)+COUNTIFS($FA$2:$FA$1000,"Y",$J$2:$J$1000,J428,$FG$2:$FG$1000,"&lt;"&amp;FG428)+1)</f>
        <v/>
      </c>
      <c r="AB428" s="0" t="str">
        <f aca="false">IF($A428="","",IF(AT428="Y",BW428&amp;"",BJ428&amp;""))</f>
        <v/>
      </c>
      <c r="AC428" s="0" t="str">
        <f aca="false">IF($A428="","",IF(AT428="Y",BR428&amp;"",BE428&amp;""))</f>
        <v/>
      </c>
      <c r="AD428" s="0" t="str">
        <f aca="false">IF($A428="","",IF(AT428="Y",BS428&amp;"",BF428&amp;""))</f>
        <v/>
      </c>
      <c r="AE428" s="0" t="str">
        <f aca="false">IF($A428="","",IF(AT428="Y",BT428&amp;"",BG428&amp;""))</f>
        <v/>
      </c>
      <c r="AF428" s="0" t="str">
        <f aca="false">IF($A428="","",IF(AT428="Y",BU428&amp;"",BH428&amp;""))</f>
        <v/>
      </c>
      <c r="AG428" s="0" t="str">
        <f aca="false">IF($A428="","",IF(AT428="Y",BV428&amp;"",BI428&amp;""))</f>
        <v/>
      </c>
      <c r="AO428" s="5"/>
      <c r="AR428" s="0" t="str">
        <f aca="false">IF($A428="","",IF(AND(CK428="pass",AO428&lt;&gt;"Y",C428&lt;&gt;"",OR(AU428&lt;&gt;"Y",AV428="Y")),"Y","N"))</f>
        <v/>
      </c>
      <c r="AS428" s="0" t="str">
        <f aca="false">IF($A428="","",_xlfn.TEXTJOIN("; ",TRUE(),IF(CK428&lt;&gt;"pass","gated out",""),IF(AO428="Y","on hold: "&amp;AP428,""),IF(C428="","no contact named on an opened page",""),IF(AND(AU428="Y",AV428&lt;&gt;"Y"),"founder review pending (Founder review tab)","")))</f>
        <v/>
      </c>
      <c r="BC428" s="0" t="str">
        <f aca="false">IF($A428="","",IFERROR(INDEX(Enrichment!$A$2:$GZ$2000,MATCH($A428,INDEX(Enrichment!$A$2:$GZ$2000,0,MATCH("row_id",Enrichment!$A$1:$GZ$1,0)),0),MATCH("work_email",Enrichment!$A$1:$GZ$1,0))&amp;"",""))</f>
        <v/>
      </c>
      <c r="BD428" s="0" t="str">
        <f aca="false">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P428" s="0" t="str">
        <f aca="false">IF($A428="","",IFERROR(INDEX(Enrichment!$A$2:$GZ$2000,MATCH($A428,INDEX(Enrichment!$A$2:$GZ$2000,0,MATCH("row_id",Enrichment!$A$1:$GZ$1,0)),0),MATCH("backup_work_email",Enrichment!$A$1:$GZ$1,0))&amp;"",""))</f>
        <v/>
      </c>
      <c r="BQ428" s="0" t="str">
        <f aca="false">IF($A428="","",IF(BP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DU428" s="0" t="str">
        <f aca="false">IF($A428="","",IF(R428="Y",10,0))</f>
        <v/>
      </c>
      <c r="EV428" s="0" t="str">
        <f aca="false">IF($A428="","",IF(ISNUMBER(MATCH(U428,{"queued","contacted","replied","call_booked","call_done","yes_in_principle","materials_sent"},0)),"Y","N"))</f>
        <v/>
      </c>
      <c r="EW428" s="0" t="str">
        <f aca="false">IF($A428="","",IF(OR(T428="Y",U428="do_not_contact",AQ428&amp;""&lt;&gt;""),"Y","N"))</f>
        <v/>
      </c>
      <c r="EX428" s="0" t="str">
        <f aca="false">IF($A428="","",IF(AN428&amp;""&lt;&gt;"",AN428&amp;"",$A428))</f>
        <v/>
      </c>
      <c r="EY428" s="0" t="str">
        <f aca="false">IF($A428="","",IF(COUNTIFS($EX$2:$EX$1000,EX428,$EV$2:$EV$1000,"Y")+COUNTIFS($EX$2:$EX$1000,EX428,$EW$2:$EW$1000,"Y")&gt;0,"Y","N"))</f>
        <v/>
      </c>
      <c r="EZ428" s="0" t="str">
        <f aca="false">IF($A428="","",IF(AND(U428="new",T428="N",EW428="N",AR428="Y",EY428="N"),"Y","N"))</f>
        <v/>
      </c>
      <c r="FA428" s="0" t="str">
        <f aca="false">IF($A428="","",IF(EZ428&lt;&gt;"Y","N",IF(COUNTIFS($EX$2:$EX$1000,EX428,$EZ$2:$EZ$1000,"Y",$J$2:$J$1000,"&gt;"&amp;J428)+COUNTIFS($EX$2:$EX$1000,EX428,$EZ$2:$EZ$1000,"Y",$J$2:$J$1000,J428,$FG$2:$FG$1000,"&lt;"&amp;FG428)=0,"Y","N")))</f>
        <v/>
      </c>
      <c r="FB428" s="0" t="str">
        <f aca="false">IF($A428="","",IF(AND(EZ428="Y",FA428="Y",Y428&amp;""&lt;&gt;""),IF(Y428&lt;=10,"Y","N"),"N"))</f>
        <v/>
      </c>
      <c r="FC428" s="0" t="str">
        <f aca="false">IF(FB428="Y",Y428,"")</f>
        <v/>
      </c>
      <c r="FD428" s="0" t="str">
        <f aca="false">IF($A428="","",IF(AND(CK428="pass",AU428="Y",AV428&lt;&gt;"Y",U428="new",EW428="N"),"Y","N"))</f>
        <v/>
      </c>
      <c r="FE428" s="0" t="str">
        <f aca="false">IF(FD428&lt;&gt;"Y","",IF(COUNTIFS($FD$2:$FD$1000,"Y",$J$2:$J$1000,"&gt;"&amp;J428)+COUNTIFS($FD$2:$FD$1000,"Y",$J$2:$J$1000,J428,$FG$2:$FG$1000,"&lt;"&amp;FG428)+1&lt;=30,COUNTIFS($FD$2:$FD$1000,"Y",$J$2:$J$1000,"&gt;"&amp;J428)+COUNTIFS($FD$2:$FD$1000,"Y",$J$2:$J$1000,J428,$FG$2:$FG$1000,"&lt;"&amp;FG428)+1,""))</f>
        <v/>
      </c>
      <c r="FF428" s="0" t="str">
        <f aca="false">IF(AND(_xlfn.ISFORMULA(C428),_xlfn.ISFORMULA(J428)),"Y","N")</f>
        <v>Y</v>
      </c>
      <c r="FG428" s="0" t="n">
        <f aca="false">ROW()-1</f>
        <v>427</v>
      </c>
    </row>
    <row r="429" customFormat="false" ht="15" hidden="false" customHeight="false" outlineLevel="0" collapsed="false">
      <c r="C429" s="0" t="str">
        <f aca="false">IF($A429="","",IF(AT429="Y",BL429&amp;"",AY429&amp;""))</f>
        <v/>
      </c>
      <c r="D429" s="0" t="str">
        <f aca="false">IF($A429="","",IF(AT429="Y",BM429&amp;"",AZ429&amp;""))</f>
        <v/>
      </c>
      <c r="E429" s="0" t="str">
        <f aca="false">IF($A429="","",IF(AT429="Y",BN429&amp;"",BA429&amp;""))</f>
        <v/>
      </c>
      <c r="F429" s="0" t="str">
        <f aca="false">IF($A429="","",IF(AT429="Y",BO429&amp;"",BB429&amp;""))</f>
        <v/>
      </c>
      <c r="G429" s="0" t="str">
        <f aca="false">IF($A429="","",IF(AT429="Y",BP429&amp;"",BC429&amp;""))</f>
        <v/>
      </c>
      <c r="H429" s="0" t="str">
        <f aca="false">IF($A429="","",IF(AT429="Y",BQ429&amp;"",BD429&amp;""))</f>
        <v/>
      </c>
      <c r="I429" s="0" t="str">
        <f aca="false">IF($A429="","",IF(R429="Y","warm-intro",IF(H429="verified","email",IF(C429&lt;&gt;"","linkedin",CA429&amp;""))))</f>
        <v/>
      </c>
      <c r="J429" s="0" t="str">
        <f aca="false">IF($A429="","",IF(CK429="pass",ROUND(N(DO429)+N(DP429)+N(DQ429)+N(DR429)+N(DS429)+N(DT429)+N(DU429)+N(DV429),0),0))</f>
        <v/>
      </c>
      <c r="K429" s="0" t="str">
        <f aca="false">IF($A429="","",IF(CK429&lt;&gt;"pass",BY429&amp;"",BY429&amp;", "&amp;IF(AT429="Y",BX429&amp;"",BK429&amp;"")&amp;BZ429&amp;IF(R429="Y","; known to the founder (+10)","")&amp;"."))</f>
        <v/>
      </c>
      <c r="R429" s="5"/>
      <c r="T429" s="5"/>
      <c r="U429" s="5"/>
      <c r="Y429" s="0" t="str">
        <f aca="false">IF(FA429&lt;&gt;"Y","",COUNTIFS($FA$2:$FA$1000,"Y",$J$2:$J$1000,"&gt;"&amp;J429)+COUNTIFS($FA$2:$FA$1000,"Y",$J$2:$J$1000,J429,$FG$2:$FG$1000,"&lt;"&amp;FG429)+1)</f>
        <v/>
      </c>
      <c r="AB429" s="0" t="str">
        <f aca="false">IF($A429="","",IF(AT429="Y",BW429&amp;"",BJ429&amp;""))</f>
        <v/>
      </c>
      <c r="AC429" s="0" t="str">
        <f aca="false">IF($A429="","",IF(AT429="Y",BR429&amp;"",BE429&amp;""))</f>
        <v/>
      </c>
      <c r="AD429" s="0" t="str">
        <f aca="false">IF($A429="","",IF(AT429="Y",BS429&amp;"",BF429&amp;""))</f>
        <v/>
      </c>
      <c r="AE429" s="0" t="str">
        <f aca="false">IF($A429="","",IF(AT429="Y",BT429&amp;"",BG429&amp;""))</f>
        <v/>
      </c>
      <c r="AF429" s="0" t="str">
        <f aca="false">IF($A429="","",IF(AT429="Y",BU429&amp;"",BH429&amp;""))</f>
        <v/>
      </c>
      <c r="AG429" s="0" t="str">
        <f aca="false">IF($A429="","",IF(AT429="Y",BV429&amp;"",BI429&amp;""))</f>
        <v/>
      </c>
      <c r="AO429" s="5"/>
      <c r="AR429" s="0" t="str">
        <f aca="false">IF($A429="","",IF(AND(CK429="pass",AO429&lt;&gt;"Y",C429&lt;&gt;"",OR(AU429&lt;&gt;"Y",AV429="Y")),"Y","N"))</f>
        <v/>
      </c>
      <c r="AS429" s="0" t="str">
        <f aca="false">IF($A429="","",_xlfn.TEXTJOIN("; ",TRUE(),IF(CK429&lt;&gt;"pass","gated out",""),IF(AO429="Y","on hold: "&amp;AP429,""),IF(C429="","no contact named on an opened page",""),IF(AND(AU429="Y",AV429&lt;&gt;"Y"),"founder review pending (Founder review tab)","")))</f>
        <v/>
      </c>
      <c r="BC429" s="0" t="str">
        <f aca="false">IF($A429="","",IFERROR(INDEX(Enrichment!$A$2:$GZ$2000,MATCH($A429,INDEX(Enrichment!$A$2:$GZ$2000,0,MATCH("row_id",Enrichment!$A$1:$GZ$1,0)),0),MATCH("work_email",Enrichment!$A$1:$GZ$1,0))&amp;"",""))</f>
        <v/>
      </c>
      <c r="BD429" s="0" t="str">
        <f aca="false">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P429" s="0" t="str">
        <f aca="false">IF($A429="","",IFERROR(INDEX(Enrichment!$A$2:$GZ$2000,MATCH($A429,INDEX(Enrichment!$A$2:$GZ$2000,0,MATCH("row_id",Enrichment!$A$1:$GZ$1,0)),0),MATCH("backup_work_email",Enrichment!$A$1:$GZ$1,0))&amp;"",""))</f>
        <v/>
      </c>
      <c r="BQ429" s="0" t="str">
        <f aca="false">IF($A429="","",IF(BP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DU429" s="0" t="str">
        <f aca="false">IF($A429="","",IF(R429="Y",10,0))</f>
        <v/>
      </c>
      <c r="EV429" s="0" t="str">
        <f aca="false">IF($A429="","",IF(ISNUMBER(MATCH(U429,{"queued","contacted","replied","call_booked","call_done","yes_in_principle","materials_sent"},0)),"Y","N"))</f>
        <v/>
      </c>
      <c r="EW429" s="0" t="str">
        <f aca="false">IF($A429="","",IF(OR(T429="Y",U429="do_not_contact",AQ429&amp;""&lt;&gt;""),"Y","N"))</f>
        <v/>
      </c>
      <c r="EX429" s="0" t="str">
        <f aca="false">IF($A429="","",IF(AN429&amp;""&lt;&gt;"",AN429&amp;"",$A429))</f>
        <v/>
      </c>
      <c r="EY429" s="0" t="str">
        <f aca="false">IF($A429="","",IF(COUNTIFS($EX$2:$EX$1000,EX429,$EV$2:$EV$1000,"Y")+COUNTIFS($EX$2:$EX$1000,EX429,$EW$2:$EW$1000,"Y")&gt;0,"Y","N"))</f>
        <v/>
      </c>
      <c r="EZ429" s="0" t="str">
        <f aca="false">IF($A429="","",IF(AND(U429="new",T429="N",EW429="N",AR429="Y",EY429="N"),"Y","N"))</f>
        <v/>
      </c>
      <c r="FA429" s="0" t="str">
        <f aca="false">IF($A429="","",IF(EZ429&lt;&gt;"Y","N",IF(COUNTIFS($EX$2:$EX$1000,EX429,$EZ$2:$EZ$1000,"Y",$J$2:$J$1000,"&gt;"&amp;J429)+COUNTIFS($EX$2:$EX$1000,EX429,$EZ$2:$EZ$1000,"Y",$J$2:$J$1000,J429,$FG$2:$FG$1000,"&lt;"&amp;FG429)=0,"Y","N")))</f>
        <v/>
      </c>
      <c r="FB429" s="0" t="str">
        <f aca="false">IF($A429="","",IF(AND(EZ429="Y",FA429="Y",Y429&amp;""&lt;&gt;""),IF(Y429&lt;=10,"Y","N"),"N"))</f>
        <v/>
      </c>
      <c r="FC429" s="0" t="str">
        <f aca="false">IF(FB429="Y",Y429,"")</f>
        <v/>
      </c>
      <c r="FD429" s="0" t="str">
        <f aca="false">IF($A429="","",IF(AND(CK429="pass",AU429="Y",AV429&lt;&gt;"Y",U429="new",EW429="N"),"Y","N"))</f>
        <v/>
      </c>
      <c r="FE429" s="0" t="str">
        <f aca="false">IF(FD429&lt;&gt;"Y","",IF(COUNTIFS($FD$2:$FD$1000,"Y",$J$2:$J$1000,"&gt;"&amp;J429)+COUNTIFS($FD$2:$FD$1000,"Y",$J$2:$J$1000,J429,$FG$2:$FG$1000,"&lt;"&amp;FG429)+1&lt;=30,COUNTIFS($FD$2:$FD$1000,"Y",$J$2:$J$1000,"&gt;"&amp;J429)+COUNTIFS($FD$2:$FD$1000,"Y",$J$2:$J$1000,J429,$FG$2:$FG$1000,"&lt;"&amp;FG429)+1,""))</f>
        <v/>
      </c>
      <c r="FF429" s="0" t="str">
        <f aca="false">IF(AND(_xlfn.ISFORMULA(C429),_xlfn.ISFORMULA(J429)),"Y","N")</f>
        <v>Y</v>
      </c>
      <c r="FG429" s="0" t="n">
        <f aca="false">ROW()-1</f>
        <v>428</v>
      </c>
    </row>
    <row r="430" customFormat="false" ht="15" hidden="false" customHeight="false" outlineLevel="0" collapsed="false">
      <c r="C430" s="0" t="str">
        <f aca="false">IF($A430="","",IF(AT430="Y",BL430&amp;"",AY430&amp;""))</f>
        <v/>
      </c>
      <c r="D430" s="0" t="str">
        <f aca="false">IF($A430="","",IF(AT430="Y",BM430&amp;"",AZ430&amp;""))</f>
        <v/>
      </c>
      <c r="E430" s="0" t="str">
        <f aca="false">IF($A430="","",IF(AT430="Y",BN430&amp;"",BA430&amp;""))</f>
        <v/>
      </c>
      <c r="F430" s="0" t="str">
        <f aca="false">IF($A430="","",IF(AT430="Y",BO430&amp;"",BB430&amp;""))</f>
        <v/>
      </c>
      <c r="G430" s="0" t="str">
        <f aca="false">IF($A430="","",IF(AT430="Y",BP430&amp;"",BC430&amp;""))</f>
        <v/>
      </c>
      <c r="H430" s="0" t="str">
        <f aca="false">IF($A430="","",IF(AT430="Y",BQ430&amp;"",BD430&amp;""))</f>
        <v/>
      </c>
      <c r="I430" s="0" t="str">
        <f aca="false">IF($A430="","",IF(R430="Y","warm-intro",IF(H430="verified","email",IF(C430&lt;&gt;"","linkedin",CA430&amp;""))))</f>
        <v/>
      </c>
      <c r="J430" s="0" t="str">
        <f aca="false">IF($A430="","",IF(CK430="pass",ROUND(N(DO430)+N(DP430)+N(DQ430)+N(DR430)+N(DS430)+N(DT430)+N(DU430)+N(DV430),0),0))</f>
        <v/>
      </c>
      <c r="K430" s="0" t="str">
        <f aca="false">IF($A430="","",IF(CK430&lt;&gt;"pass",BY430&amp;"",BY430&amp;", "&amp;IF(AT430="Y",BX430&amp;"",BK430&amp;"")&amp;BZ430&amp;IF(R430="Y","; known to the founder (+10)","")&amp;"."))</f>
        <v/>
      </c>
      <c r="R430" s="5"/>
      <c r="T430" s="5"/>
      <c r="U430" s="5"/>
      <c r="Y430" s="0" t="str">
        <f aca="false">IF(FA430&lt;&gt;"Y","",COUNTIFS($FA$2:$FA$1000,"Y",$J$2:$J$1000,"&gt;"&amp;J430)+COUNTIFS($FA$2:$FA$1000,"Y",$J$2:$J$1000,J430,$FG$2:$FG$1000,"&lt;"&amp;FG430)+1)</f>
        <v/>
      </c>
      <c r="AB430" s="0" t="str">
        <f aca="false">IF($A430="","",IF(AT430="Y",BW430&amp;"",BJ430&amp;""))</f>
        <v/>
      </c>
      <c r="AC430" s="0" t="str">
        <f aca="false">IF($A430="","",IF(AT430="Y",BR430&amp;"",BE430&amp;""))</f>
        <v/>
      </c>
      <c r="AD430" s="0" t="str">
        <f aca="false">IF($A430="","",IF(AT430="Y",BS430&amp;"",BF430&amp;""))</f>
        <v/>
      </c>
      <c r="AE430" s="0" t="str">
        <f aca="false">IF($A430="","",IF(AT430="Y",BT430&amp;"",BG430&amp;""))</f>
        <v/>
      </c>
      <c r="AF430" s="0" t="str">
        <f aca="false">IF($A430="","",IF(AT430="Y",BU430&amp;"",BH430&amp;""))</f>
        <v/>
      </c>
      <c r="AG430" s="0" t="str">
        <f aca="false">IF($A430="","",IF(AT430="Y",BV430&amp;"",BI430&amp;""))</f>
        <v/>
      </c>
      <c r="AO430" s="5"/>
      <c r="AR430" s="0" t="str">
        <f aca="false">IF($A430="","",IF(AND(CK430="pass",AO430&lt;&gt;"Y",C430&lt;&gt;"",OR(AU430&lt;&gt;"Y",AV430="Y")),"Y","N"))</f>
        <v/>
      </c>
      <c r="AS430" s="0" t="str">
        <f aca="false">IF($A430="","",_xlfn.TEXTJOIN("; ",TRUE(),IF(CK430&lt;&gt;"pass","gated out",""),IF(AO430="Y","on hold: "&amp;AP430,""),IF(C430="","no contact named on an opened page",""),IF(AND(AU430="Y",AV430&lt;&gt;"Y"),"founder review pending (Founder review tab)","")))</f>
        <v/>
      </c>
      <c r="BC430" s="0" t="str">
        <f aca="false">IF($A430="","",IFERROR(INDEX(Enrichment!$A$2:$GZ$2000,MATCH($A430,INDEX(Enrichment!$A$2:$GZ$2000,0,MATCH("row_id",Enrichment!$A$1:$GZ$1,0)),0),MATCH("work_email",Enrichment!$A$1:$GZ$1,0))&amp;"",""))</f>
        <v/>
      </c>
      <c r="BD430" s="0" t="str">
        <f aca="false">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P430" s="0" t="str">
        <f aca="false">IF($A430="","",IFERROR(INDEX(Enrichment!$A$2:$GZ$2000,MATCH($A430,INDEX(Enrichment!$A$2:$GZ$2000,0,MATCH("row_id",Enrichment!$A$1:$GZ$1,0)),0),MATCH("backup_work_email",Enrichment!$A$1:$GZ$1,0))&amp;"",""))</f>
        <v/>
      </c>
      <c r="BQ430" s="0" t="str">
        <f aca="false">IF($A430="","",IF(BP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DU430" s="0" t="str">
        <f aca="false">IF($A430="","",IF(R430="Y",10,0))</f>
        <v/>
      </c>
      <c r="EV430" s="0" t="str">
        <f aca="false">IF($A430="","",IF(ISNUMBER(MATCH(U430,{"queued","contacted","replied","call_booked","call_done","yes_in_principle","materials_sent"},0)),"Y","N"))</f>
        <v/>
      </c>
      <c r="EW430" s="0" t="str">
        <f aca="false">IF($A430="","",IF(OR(T430="Y",U430="do_not_contact",AQ430&amp;""&lt;&gt;""),"Y","N"))</f>
        <v/>
      </c>
      <c r="EX430" s="0" t="str">
        <f aca="false">IF($A430="","",IF(AN430&amp;""&lt;&gt;"",AN430&amp;"",$A430))</f>
        <v/>
      </c>
      <c r="EY430" s="0" t="str">
        <f aca="false">IF($A430="","",IF(COUNTIFS($EX$2:$EX$1000,EX430,$EV$2:$EV$1000,"Y")+COUNTIFS($EX$2:$EX$1000,EX430,$EW$2:$EW$1000,"Y")&gt;0,"Y","N"))</f>
        <v/>
      </c>
      <c r="EZ430" s="0" t="str">
        <f aca="false">IF($A430="","",IF(AND(U430="new",T430="N",EW430="N",AR430="Y",EY430="N"),"Y","N"))</f>
        <v/>
      </c>
      <c r="FA430" s="0" t="str">
        <f aca="false">IF($A430="","",IF(EZ430&lt;&gt;"Y","N",IF(COUNTIFS($EX$2:$EX$1000,EX430,$EZ$2:$EZ$1000,"Y",$J$2:$J$1000,"&gt;"&amp;J430)+COUNTIFS($EX$2:$EX$1000,EX430,$EZ$2:$EZ$1000,"Y",$J$2:$J$1000,J430,$FG$2:$FG$1000,"&lt;"&amp;FG430)=0,"Y","N")))</f>
        <v/>
      </c>
      <c r="FB430" s="0" t="str">
        <f aca="false">IF($A430="","",IF(AND(EZ430="Y",FA430="Y",Y430&amp;""&lt;&gt;""),IF(Y430&lt;=10,"Y","N"),"N"))</f>
        <v/>
      </c>
      <c r="FC430" s="0" t="str">
        <f aca="false">IF(FB430="Y",Y430,"")</f>
        <v/>
      </c>
      <c r="FD430" s="0" t="str">
        <f aca="false">IF($A430="","",IF(AND(CK430="pass",AU430="Y",AV430&lt;&gt;"Y",U430="new",EW430="N"),"Y","N"))</f>
        <v/>
      </c>
      <c r="FE430" s="0" t="str">
        <f aca="false">IF(FD430&lt;&gt;"Y","",IF(COUNTIFS($FD$2:$FD$1000,"Y",$J$2:$J$1000,"&gt;"&amp;J430)+COUNTIFS($FD$2:$FD$1000,"Y",$J$2:$J$1000,J430,$FG$2:$FG$1000,"&lt;"&amp;FG430)+1&lt;=30,COUNTIFS($FD$2:$FD$1000,"Y",$J$2:$J$1000,"&gt;"&amp;J430)+COUNTIFS($FD$2:$FD$1000,"Y",$J$2:$J$1000,J430,$FG$2:$FG$1000,"&lt;"&amp;FG430)+1,""))</f>
        <v/>
      </c>
      <c r="FF430" s="0" t="str">
        <f aca="false">IF(AND(_xlfn.ISFORMULA(C430),_xlfn.ISFORMULA(J430)),"Y","N")</f>
        <v>Y</v>
      </c>
      <c r="FG430" s="0" t="n">
        <f aca="false">ROW()-1</f>
        <v>429</v>
      </c>
    </row>
    <row r="431" customFormat="false" ht="15" hidden="false" customHeight="false" outlineLevel="0" collapsed="false">
      <c r="C431" s="0" t="str">
        <f aca="false">IF($A431="","",IF(AT431="Y",BL431&amp;"",AY431&amp;""))</f>
        <v/>
      </c>
      <c r="D431" s="0" t="str">
        <f aca="false">IF($A431="","",IF(AT431="Y",BM431&amp;"",AZ431&amp;""))</f>
        <v/>
      </c>
      <c r="E431" s="0" t="str">
        <f aca="false">IF($A431="","",IF(AT431="Y",BN431&amp;"",BA431&amp;""))</f>
        <v/>
      </c>
      <c r="F431" s="0" t="str">
        <f aca="false">IF($A431="","",IF(AT431="Y",BO431&amp;"",BB431&amp;""))</f>
        <v/>
      </c>
      <c r="G431" s="0" t="str">
        <f aca="false">IF($A431="","",IF(AT431="Y",BP431&amp;"",BC431&amp;""))</f>
        <v/>
      </c>
      <c r="H431" s="0" t="str">
        <f aca="false">IF($A431="","",IF(AT431="Y",BQ431&amp;"",BD431&amp;""))</f>
        <v/>
      </c>
      <c r="I431" s="0" t="str">
        <f aca="false">IF($A431="","",IF(R431="Y","warm-intro",IF(H431="verified","email",IF(C431&lt;&gt;"","linkedin",CA431&amp;""))))</f>
        <v/>
      </c>
      <c r="J431" s="0" t="str">
        <f aca="false">IF($A431="","",IF(CK431="pass",ROUND(N(DO431)+N(DP431)+N(DQ431)+N(DR431)+N(DS431)+N(DT431)+N(DU431)+N(DV431),0),0))</f>
        <v/>
      </c>
      <c r="K431" s="0" t="str">
        <f aca="false">IF($A431="","",IF(CK431&lt;&gt;"pass",BY431&amp;"",BY431&amp;", "&amp;IF(AT431="Y",BX431&amp;"",BK431&amp;"")&amp;BZ431&amp;IF(R431="Y","; known to the founder (+10)","")&amp;"."))</f>
        <v/>
      </c>
      <c r="R431" s="5"/>
      <c r="T431" s="5"/>
      <c r="U431" s="5"/>
      <c r="Y431" s="0" t="str">
        <f aca="false">IF(FA431&lt;&gt;"Y","",COUNTIFS($FA$2:$FA$1000,"Y",$J$2:$J$1000,"&gt;"&amp;J431)+COUNTIFS($FA$2:$FA$1000,"Y",$J$2:$J$1000,J431,$FG$2:$FG$1000,"&lt;"&amp;FG431)+1)</f>
        <v/>
      </c>
      <c r="AB431" s="0" t="str">
        <f aca="false">IF($A431="","",IF(AT431="Y",BW431&amp;"",BJ431&amp;""))</f>
        <v/>
      </c>
      <c r="AC431" s="0" t="str">
        <f aca="false">IF($A431="","",IF(AT431="Y",BR431&amp;"",BE431&amp;""))</f>
        <v/>
      </c>
      <c r="AD431" s="0" t="str">
        <f aca="false">IF($A431="","",IF(AT431="Y",BS431&amp;"",BF431&amp;""))</f>
        <v/>
      </c>
      <c r="AE431" s="0" t="str">
        <f aca="false">IF($A431="","",IF(AT431="Y",BT431&amp;"",BG431&amp;""))</f>
        <v/>
      </c>
      <c r="AF431" s="0" t="str">
        <f aca="false">IF($A431="","",IF(AT431="Y",BU431&amp;"",BH431&amp;""))</f>
        <v/>
      </c>
      <c r="AG431" s="0" t="str">
        <f aca="false">IF($A431="","",IF(AT431="Y",BV431&amp;"",BI431&amp;""))</f>
        <v/>
      </c>
      <c r="AO431" s="5"/>
      <c r="AR431" s="0" t="str">
        <f aca="false">IF($A431="","",IF(AND(CK431="pass",AO431&lt;&gt;"Y",C431&lt;&gt;"",OR(AU431&lt;&gt;"Y",AV431="Y")),"Y","N"))</f>
        <v/>
      </c>
      <c r="AS431" s="0" t="str">
        <f aca="false">IF($A431="","",_xlfn.TEXTJOIN("; ",TRUE(),IF(CK431&lt;&gt;"pass","gated out",""),IF(AO431="Y","on hold: "&amp;AP431,""),IF(C431="","no contact named on an opened page",""),IF(AND(AU431="Y",AV431&lt;&gt;"Y"),"founder review pending (Founder review tab)","")))</f>
        <v/>
      </c>
      <c r="BC431" s="0" t="str">
        <f aca="false">IF($A431="","",IFERROR(INDEX(Enrichment!$A$2:$GZ$2000,MATCH($A431,INDEX(Enrichment!$A$2:$GZ$2000,0,MATCH("row_id",Enrichment!$A$1:$GZ$1,0)),0),MATCH("work_email",Enrichment!$A$1:$GZ$1,0))&amp;"",""))</f>
        <v/>
      </c>
      <c r="BD431" s="0" t="str">
        <f aca="false">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P431" s="0" t="str">
        <f aca="false">IF($A431="","",IFERROR(INDEX(Enrichment!$A$2:$GZ$2000,MATCH($A431,INDEX(Enrichment!$A$2:$GZ$2000,0,MATCH("row_id",Enrichment!$A$1:$GZ$1,0)),0),MATCH("backup_work_email",Enrichment!$A$1:$GZ$1,0))&amp;"",""))</f>
        <v/>
      </c>
      <c r="BQ431" s="0" t="str">
        <f aca="false">IF($A431="","",IF(BP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DU431" s="0" t="str">
        <f aca="false">IF($A431="","",IF(R431="Y",10,0))</f>
        <v/>
      </c>
      <c r="EV431" s="0" t="str">
        <f aca="false">IF($A431="","",IF(ISNUMBER(MATCH(U431,{"queued","contacted","replied","call_booked","call_done","yes_in_principle","materials_sent"},0)),"Y","N"))</f>
        <v/>
      </c>
      <c r="EW431" s="0" t="str">
        <f aca="false">IF($A431="","",IF(OR(T431="Y",U431="do_not_contact",AQ431&amp;""&lt;&gt;""),"Y","N"))</f>
        <v/>
      </c>
      <c r="EX431" s="0" t="str">
        <f aca="false">IF($A431="","",IF(AN431&amp;""&lt;&gt;"",AN431&amp;"",$A431))</f>
        <v/>
      </c>
      <c r="EY431" s="0" t="str">
        <f aca="false">IF($A431="","",IF(COUNTIFS($EX$2:$EX$1000,EX431,$EV$2:$EV$1000,"Y")+COUNTIFS($EX$2:$EX$1000,EX431,$EW$2:$EW$1000,"Y")&gt;0,"Y","N"))</f>
        <v/>
      </c>
      <c r="EZ431" s="0" t="str">
        <f aca="false">IF($A431="","",IF(AND(U431="new",T431="N",EW431="N",AR431="Y",EY431="N"),"Y","N"))</f>
        <v/>
      </c>
      <c r="FA431" s="0" t="str">
        <f aca="false">IF($A431="","",IF(EZ431&lt;&gt;"Y","N",IF(COUNTIFS($EX$2:$EX$1000,EX431,$EZ$2:$EZ$1000,"Y",$J$2:$J$1000,"&gt;"&amp;J431)+COUNTIFS($EX$2:$EX$1000,EX431,$EZ$2:$EZ$1000,"Y",$J$2:$J$1000,J431,$FG$2:$FG$1000,"&lt;"&amp;FG431)=0,"Y","N")))</f>
        <v/>
      </c>
      <c r="FB431" s="0" t="str">
        <f aca="false">IF($A431="","",IF(AND(EZ431="Y",FA431="Y",Y431&amp;""&lt;&gt;""),IF(Y431&lt;=10,"Y","N"),"N"))</f>
        <v/>
      </c>
      <c r="FC431" s="0" t="str">
        <f aca="false">IF(FB431="Y",Y431,"")</f>
        <v/>
      </c>
      <c r="FD431" s="0" t="str">
        <f aca="false">IF($A431="","",IF(AND(CK431="pass",AU431="Y",AV431&lt;&gt;"Y",U431="new",EW431="N"),"Y","N"))</f>
        <v/>
      </c>
      <c r="FE431" s="0" t="str">
        <f aca="false">IF(FD431&lt;&gt;"Y","",IF(COUNTIFS($FD$2:$FD$1000,"Y",$J$2:$J$1000,"&gt;"&amp;J431)+COUNTIFS($FD$2:$FD$1000,"Y",$J$2:$J$1000,J431,$FG$2:$FG$1000,"&lt;"&amp;FG431)+1&lt;=30,COUNTIFS($FD$2:$FD$1000,"Y",$J$2:$J$1000,"&gt;"&amp;J431)+COUNTIFS($FD$2:$FD$1000,"Y",$J$2:$J$1000,J431,$FG$2:$FG$1000,"&lt;"&amp;FG431)+1,""))</f>
        <v/>
      </c>
      <c r="FF431" s="0" t="str">
        <f aca="false">IF(AND(_xlfn.ISFORMULA(C431),_xlfn.ISFORMULA(J431)),"Y","N")</f>
        <v>Y</v>
      </c>
      <c r="FG431" s="0" t="n">
        <f aca="false">ROW()-1</f>
        <v>430</v>
      </c>
    </row>
    <row r="432" customFormat="false" ht="15" hidden="false" customHeight="false" outlineLevel="0" collapsed="false">
      <c r="C432" s="0" t="str">
        <f aca="false">IF($A432="","",IF(AT432="Y",BL432&amp;"",AY432&amp;""))</f>
        <v/>
      </c>
      <c r="D432" s="0" t="str">
        <f aca="false">IF($A432="","",IF(AT432="Y",BM432&amp;"",AZ432&amp;""))</f>
        <v/>
      </c>
      <c r="E432" s="0" t="str">
        <f aca="false">IF($A432="","",IF(AT432="Y",BN432&amp;"",BA432&amp;""))</f>
        <v/>
      </c>
      <c r="F432" s="0" t="str">
        <f aca="false">IF($A432="","",IF(AT432="Y",BO432&amp;"",BB432&amp;""))</f>
        <v/>
      </c>
      <c r="G432" s="0" t="str">
        <f aca="false">IF($A432="","",IF(AT432="Y",BP432&amp;"",BC432&amp;""))</f>
        <v/>
      </c>
      <c r="H432" s="0" t="str">
        <f aca="false">IF($A432="","",IF(AT432="Y",BQ432&amp;"",BD432&amp;""))</f>
        <v/>
      </c>
      <c r="I432" s="0" t="str">
        <f aca="false">IF($A432="","",IF(R432="Y","warm-intro",IF(H432="verified","email",IF(C432&lt;&gt;"","linkedin",CA432&amp;""))))</f>
        <v/>
      </c>
      <c r="J432" s="0" t="str">
        <f aca="false">IF($A432="","",IF(CK432="pass",ROUND(N(DO432)+N(DP432)+N(DQ432)+N(DR432)+N(DS432)+N(DT432)+N(DU432)+N(DV432),0),0))</f>
        <v/>
      </c>
      <c r="K432" s="0" t="str">
        <f aca="false">IF($A432="","",IF(CK432&lt;&gt;"pass",BY432&amp;"",BY432&amp;", "&amp;IF(AT432="Y",BX432&amp;"",BK432&amp;"")&amp;BZ432&amp;IF(R432="Y","; known to the founder (+10)","")&amp;"."))</f>
        <v/>
      </c>
      <c r="R432" s="5"/>
      <c r="T432" s="5"/>
      <c r="U432" s="5"/>
      <c r="Y432" s="0" t="str">
        <f aca="false">IF(FA432&lt;&gt;"Y","",COUNTIFS($FA$2:$FA$1000,"Y",$J$2:$J$1000,"&gt;"&amp;J432)+COUNTIFS($FA$2:$FA$1000,"Y",$J$2:$J$1000,J432,$FG$2:$FG$1000,"&lt;"&amp;FG432)+1)</f>
        <v/>
      </c>
      <c r="AB432" s="0" t="str">
        <f aca="false">IF($A432="","",IF(AT432="Y",BW432&amp;"",BJ432&amp;""))</f>
        <v/>
      </c>
      <c r="AC432" s="0" t="str">
        <f aca="false">IF($A432="","",IF(AT432="Y",BR432&amp;"",BE432&amp;""))</f>
        <v/>
      </c>
      <c r="AD432" s="0" t="str">
        <f aca="false">IF($A432="","",IF(AT432="Y",BS432&amp;"",BF432&amp;""))</f>
        <v/>
      </c>
      <c r="AE432" s="0" t="str">
        <f aca="false">IF($A432="","",IF(AT432="Y",BT432&amp;"",BG432&amp;""))</f>
        <v/>
      </c>
      <c r="AF432" s="0" t="str">
        <f aca="false">IF($A432="","",IF(AT432="Y",BU432&amp;"",BH432&amp;""))</f>
        <v/>
      </c>
      <c r="AG432" s="0" t="str">
        <f aca="false">IF($A432="","",IF(AT432="Y",BV432&amp;"",BI432&amp;""))</f>
        <v/>
      </c>
      <c r="AO432" s="5"/>
      <c r="AR432" s="0" t="str">
        <f aca="false">IF($A432="","",IF(AND(CK432="pass",AO432&lt;&gt;"Y",C432&lt;&gt;"",OR(AU432&lt;&gt;"Y",AV432="Y")),"Y","N"))</f>
        <v/>
      </c>
      <c r="AS432" s="0" t="str">
        <f aca="false">IF($A432="","",_xlfn.TEXTJOIN("; ",TRUE(),IF(CK432&lt;&gt;"pass","gated out",""),IF(AO432="Y","on hold: "&amp;AP432,""),IF(C432="","no contact named on an opened page",""),IF(AND(AU432="Y",AV432&lt;&gt;"Y"),"founder review pending (Founder review tab)","")))</f>
        <v/>
      </c>
      <c r="BC432" s="0" t="str">
        <f aca="false">IF($A432="","",IFERROR(INDEX(Enrichment!$A$2:$GZ$2000,MATCH($A432,INDEX(Enrichment!$A$2:$GZ$2000,0,MATCH("row_id",Enrichment!$A$1:$GZ$1,0)),0),MATCH("work_email",Enrichment!$A$1:$GZ$1,0))&amp;"",""))</f>
        <v/>
      </c>
      <c r="BD432" s="0" t="str">
        <f aca="false">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P432" s="0" t="str">
        <f aca="false">IF($A432="","",IFERROR(INDEX(Enrichment!$A$2:$GZ$2000,MATCH($A432,INDEX(Enrichment!$A$2:$GZ$2000,0,MATCH("row_id",Enrichment!$A$1:$GZ$1,0)),0),MATCH("backup_work_email",Enrichment!$A$1:$GZ$1,0))&amp;"",""))</f>
        <v/>
      </c>
      <c r="BQ432" s="0" t="str">
        <f aca="false">IF($A432="","",IF(BP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DU432" s="0" t="str">
        <f aca="false">IF($A432="","",IF(R432="Y",10,0))</f>
        <v/>
      </c>
      <c r="EV432" s="0" t="str">
        <f aca="false">IF($A432="","",IF(ISNUMBER(MATCH(U432,{"queued","contacted","replied","call_booked","call_done","yes_in_principle","materials_sent"},0)),"Y","N"))</f>
        <v/>
      </c>
      <c r="EW432" s="0" t="str">
        <f aca="false">IF($A432="","",IF(OR(T432="Y",U432="do_not_contact",AQ432&amp;""&lt;&gt;""),"Y","N"))</f>
        <v/>
      </c>
      <c r="EX432" s="0" t="str">
        <f aca="false">IF($A432="","",IF(AN432&amp;""&lt;&gt;"",AN432&amp;"",$A432))</f>
        <v/>
      </c>
      <c r="EY432" s="0" t="str">
        <f aca="false">IF($A432="","",IF(COUNTIFS($EX$2:$EX$1000,EX432,$EV$2:$EV$1000,"Y")+COUNTIFS($EX$2:$EX$1000,EX432,$EW$2:$EW$1000,"Y")&gt;0,"Y","N"))</f>
        <v/>
      </c>
      <c r="EZ432" s="0" t="str">
        <f aca="false">IF($A432="","",IF(AND(U432="new",T432="N",EW432="N",AR432="Y",EY432="N"),"Y","N"))</f>
        <v/>
      </c>
      <c r="FA432" s="0" t="str">
        <f aca="false">IF($A432="","",IF(EZ432&lt;&gt;"Y","N",IF(COUNTIFS($EX$2:$EX$1000,EX432,$EZ$2:$EZ$1000,"Y",$J$2:$J$1000,"&gt;"&amp;J432)+COUNTIFS($EX$2:$EX$1000,EX432,$EZ$2:$EZ$1000,"Y",$J$2:$J$1000,J432,$FG$2:$FG$1000,"&lt;"&amp;FG432)=0,"Y","N")))</f>
        <v/>
      </c>
      <c r="FB432" s="0" t="str">
        <f aca="false">IF($A432="","",IF(AND(EZ432="Y",FA432="Y",Y432&amp;""&lt;&gt;""),IF(Y432&lt;=10,"Y","N"),"N"))</f>
        <v/>
      </c>
      <c r="FC432" s="0" t="str">
        <f aca="false">IF(FB432="Y",Y432,"")</f>
        <v/>
      </c>
      <c r="FD432" s="0" t="str">
        <f aca="false">IF($A432="","",IF(AND(CK432="pass",AU432="Y",AV432&lt;&gt;"Y",U432="new",EW432="N"),"Y","N"))</f>
        <v/>
      </c>
      <c r="FE432" s="0" t="str">
        <f aca="false">IF(FD432&lt;&gt;"Y","",IF(COUNTIFS($FD$2:$FD$1000,"Y",$J$2:$J$1000,"&gt;"&amp;J432)+COUNTIFS($FD$2:$FD$1000,"Y",$J$2:$J$1000,J432,$FG$2:$FG$1000,"&lt;"&amp;FG432)+1&lt;=30,COUNTIFS($FD$2:$FD$1000,"Y",$J$2:$J$1000,"&gt;"&amp;J432)+COUNTIFS($FD$2:$FD$1000,"Y",$J$2:$J$1000,J432,$FG$2:$FG$1000,"&lt;"&amp;FG432)+1,""))</f>
        <v/>
      </c>
      <c r="FF432" s="0" t="str">
        <f aca="false">IF(AND(_xlfn.ISFORMULA(C432),_xlfn.ISFORMULA(J432)),"Y","N")</f>
        <v>Y</v>
      </c>
      <c r="FG432" s="0" t="n">
        <f aca="false">ROW()-1</f>
        <v>431</v>
      </c>
    </row>
    <row r="433" customFormat="false" ht="15" hidden="false" customHeight="false" outlineLevel="0" collapsed="false">
      <c r="C433" s="0" t="str">
        <f aca="false">IF($A433="","",IF(AT433="Y",BL433&amp;"",AY433&amp;""))</f>
        <v/>
      </c>
      <c r="D433" s="0" t="str">
        <f aca="false">IF($A433="","",IF(AT433="Y",BM433&amp;"",AZ433&amp;""))</f>
        <v/>
      </c>
      <c r="E433" s="0" t="str">
        <f aca="false">IF($A433="","",IF(AT433="Y",BN433&amp;"",BA433&amp;""))</f>
        <v/>
      </c>
      <c r="F433" s="0" t="str">
        <f aca="false">IF($A433="","",IF(AT433="Y",BO433&amp;"",BB433&amp;""))</f>
        <v/>
      </c>
      <c r="G433" s="0" t="str">
        <f aca="false">IF($A433="","",IF(AT433="Y",BP433&amp;"",BC433&amp;""))</f>
        <v/>
      </c>
      <c r="H433" s="0" t="str">
        <f aca="false">IF($A433="","",IF(AT433="Y",BQ433&amp;"",BD433&amp;""))</f>
        <v/>
      </c>
      <c r="I433" s="0" t="str">
        <f aca="false">IF($A433="","",IF(R433="Y","warm-intro",IF(H433="verified","email",IF(C433&lt;&gt;"","linkedin",CA433&amp;""))))</f>
        <v/>
      </c>
      <c r="J433" s="0" t="str">
        <f aca="false">IF($A433="","",IF(CK433="pass",ROUND(N(DO433)+N(DP433)+N(DQ433)+N(DR433)+N(DS433)+N(DT433)+N(DU433)+N(DV433),0),0))</f>
        <v/>
      </c>
      <c r="K433" s="0" t="str">
        <f aca="false">IF($A433="","",IF(CK433&lt;&gt;"pass",BY433&amp;"",BY433&amp;", "&amp;IF(AT433="Y",BX433&amp;"",BK433&amp;"")&amp;BZ433&amp;IF(R433="Y","; known to the founder (+10)","")&amp;"."))</f>
        <v/>
      </c>
      <c r="R433" s="5"/>
      <c r="T433" s="5"/>
      <c r="U433" s="5"/>
      <c r="Y433" s="0" t="str">
        <f aca="false">IF(FA433&lt;&gt;"Y","",COUNTIFS($FA$2:$FA$1000,"Y",$J$2:$J$1000,"&gt;"&amp;J433)+COUNTIFS($FA$2:$FA$1000,"Y",$J$2:$J$1000,J433,$FG$2:$FG$1000,"&lt;"&amp;FG433)+1)</f>
        <v/>
      </c>
      <c r="AB433" s="0" t="str">
        <f aca="false">IF($A433="","",IF(AT433="Y",BW433&amp;"",BJ433&amp;""))</f>
        <v/>
      </c>
      <c r="AC433" s="0" t="str">
        <f aca="false">IF($A433="","",IF(AT433="Y",BR433&amp;"",BE433&amp;""))</f>
        <v/>
      </c>
      <c r="AD433" s="0" t="str">
        <f aca="false">IF($A433="","",IF(AT433="Y",BS433&amp;"",BF433&amp;""))</f>
        <v/>
      </c>
      <c r="AE433" s="0" t="str">
        <f aca="false">IF($A433="","",IF(AT433="Y",BT433&amp;"",BG433&amp;""))</f>
        <v/>
      </c>
      <c r="AF433" s="0" t="str">
        <f aca="false">IF($A433="","",IF(AT433="Y",BU433&amp;"",BH433&amp;""))</f>
        <v/>
      </c>
      <c r="AG433" s="0" t="str">
        <f aca="false">IF($A433="","",IF(AT433="Y",BV433&amp;"",BI433&amp;""))</f>
        <v/>
      </c>
      <c r="AO433" s="5"/>
      <c r="AR433" s="0" t="str">
        <f aca="false">IF($A433="","",IF(AND(CK433="pass",AO433&lt;&gt;"Y",C433&lt;&gt;"",OR(AU433&lt;&gt;"Y",AV433="Y")),"Y","N"))</f>
        <v/>
      </c>
      <c r="AS433" s="0" t="str">
        <f aca="false">IF($A433="","",_xlfn.TEXTJOIN("; ",TRUE(),IF(CK433&lt;&gt;"pass","gated out",""),IF(AO433="Y","on hold: "&amp;AP433,""),IF(C433="","no contact named on an opened page",""),IF(AND(AU433="Y",AV433&lt;&gt;"Y"),"founder review pending (Founder review tab)","")))</f>
        <v/>
      </c>
      <c r="BC433" s="0" t="str">
        <f aca="false">IF($A433="","",IFERROR(INDEX(Enrichment!$A$2:$GZ$2000,MATCH($A433,INDEX(Enrichment!$A$2:$GZ$2000,0,MATCH("row_id",Enrichment!$A$1:$GZ$1,0)),0),MATCH("work_email",Enrichment!$A$1:$GZ$1,0))&amp;"",""))</f>
        <v/>
      </c>
      <c r="BD433" s="0" t="str">
        <f aca="false">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P433" s="0" t="str">
        <f aca="false">IF($A433="","",IFERROR(INDEX(Enrichment!$A$2:$GZ$2000,MATCH($A433,INDEX(Enrichment!$A$2:$GZ$2000,0,MATCH("row_id",Enrichment!$A$1:$GZ$1,0)),0),MATCH("backup_work_email",Enrichment!$A$1:$GZ$1,0))&amp;"",""))</f>
        <v/>
      </c>
      <c r="BQ433" s="0" t="str">
        <f aca="false">IF($A433="","",IF(BP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DU433" s="0" t="str">
        <f aca="false">IF($A433="","",IF(R433="Y",10,0))</f>
        <v/>
      </c>
      <c r="EV433" s="0" t="str">
        <f aca="false">IF($A433="","",IF(ISNUMBER(MATCH(U433,{"queued","contacted","replied","call_booked","call_done","yes_in_principle","materials_sent"},0)),"Y","N"))</f>
        <v/>
      </c>
      <c r="EW433" s="0" t="str">
        <f aca="false">IF($A433="","",IF(OR(T433="Y",U433="do_not_contact",AQ433&amp;""&lt;&gt;""),"Y","N"))</f>
        <v/>
      </c>
      <c r="EX433" s="0" t="str">
        <f aca="false">IF($A433="","",IF(AN433&amp;""&lt;&gt;"",AN433&amp;"",$A433))</f>
        <v/>
      </c>
      <c r="EY433" s="0" t="str">
        <f aca="false">IF($A433="","",IF(COUNTIFS($EX$2:$EX$1000,EX433,$EV$2:$EV$1000,"Y")+COUNTIFS($EX$2:$EX$1000,EX433,$EW$2:$EW$1000,"Y")&gt;0,"Y","N"))</f>
        <v/>
      </c>
      <c r="EZ433" s="0" t="str">
        <f aca="false">IF($A433="","",IF(AND(U433="new",T433="N",EW433="N",AR433="Y",EY433="N"),"Y","N"))</f>
        <v/>
      </c>
      <c r="FA433" s="0" t="str">
        <f aca="false">IF($A433="","",IF(EZ433&lt;&gt;"Y","N",IF(COUNTIFS($EX$2:$EX$1000,EX433,$EZ$2:$EZ$1000,"Y",$J$2:$J$1000,"&gt;"&amp;J433)+COUNTIFS($EX$2:$EX$1000,EX433,$EZ$2:$EZ$1000,"Y",$J$2:$J$1000,J433,$FG$2:$FG$1000,"&lt;"&amp;FG433)=0,"Y","N")))</f>
        <v/>
      </c>
      <c r="FB433" s="0" t="str">
        <f aca="false">IF($A433="","",IF(AND(EZ433="Y",FA433="Y",Y433&amp;""&lt;&gt;""),IF(Y433&lt;=10,"Y","N"),"N"))</f>
        <v/>
      </c>
      <c r="FC433" s="0" t="str">
        <f aca="false">IF(FB433="Y",Y433,"")</f>
        <v/>
      </c>
      <c r="FD433" s="0" t="str">
        <f aca="false">IF($A433="","",IF(AND(CK433="pass",AU433="Y",AV433&lt;&gt;"Y",U433="new",EW433="N"),"Y","N"))</f>
        <v/>
      </c>
      <c r="FE433" s="0" t="str">
        <f aca="false">IF(FD433&lt;&gt;"Y","",IF(COUNTIFS($FD$2:$FD$1000,"Y",$J$2:$J$1000,"&gt;"&amp;J433)+COUNTIFS($FD$2:$FD$1000,"Y",$J$2:$J$1000,J433,$FG$2:$FG$1000,"&lt;"&amp;FG433)+1&lt;=30,COUNTIFS($FD$2:$FD$1000,"Y",$J$2:$J$1000,"&gt;"&amp;J433)+COUNTIFS($FD$2:$FD$1000,"Y",$J$2:$J$1000,J433,$FG$2:$FG$1000,"&lt;"&amp;FG433)+1,""))</f>
        <v/>
      </c>
      <c r="FF433" s="0" t="str">
        <f aca="false">IF(AND(_xlfn.ISFORMULA(C433),_xlfn.ISFORMULA(J433)),"Y","N")</f>
        <v>Y</v>
      </c>
      <c r="FG433" s="0" t="n">
        <f aca="false">ROW()-1</f>
        <v>432</v>
      </c>
    </row>
    <row r="434" customFormat="false" ht="15" hidden="false" customHeight="false" outlineLevel="0" collapsed="false">
      <c r="C434" s="0" t="str">
        <f aca="false">IF($A434="","",IF(AT434="Y",BL434&amp;"",AY434&amp;""))</f>
        <v/>
      </c>
      <c r="D434" s="0" t="str">
        <f aca="false">IF($A434="","",IF(AT434="Y",BM434&amp;"",AZ434&amp;""))</f>
        <v/>
      </c>
      <c r="E434" s="0" t="str">
        <f aca="false">IF($A434="","",IF(AT434="Y",BN434&amp;"",BA434&amp;""))</f>
        <v/>
      </c>
      <c r="F434" s="0" t="str">
        <f aca="false">IF($A434="","",IF(AT434="Y",BO434&amp;"",BB434&amp;""))</f>
        <v/>
      </c>
      <c r="G434" s="0" t="str">
        <f aca="false">IF($A434="","",IF(AT434="Y",BP434&amp;"",BC434&amp;""))</f>
        <v/>
      </c>
      <c r="H434" s="0" t="str">
        <f aca="false">IF($A434="","",IF(AT434="Y",BQ434&amp;"",BD434&amp;""))</f>
        <v/>
      </c>
      <c r="I434" s="0" t="str">
        <f aca="false">IF($A434="","",IF(R434="Y","warm-intro",IF(H434="verified","email",IF(C434&lt;&gt;"","linkedin",CA434&amp;""))))</f>
        <v/>
      </c>
      <c r="J434" s="0" t="str">
        <f aca="false">IF($A434="","",IF(CK434="pass",ROUND(N(DO434)+N(DP434)+N(DQ434)+N(DR434)+N(DS434)+N(DT434)+N(DU434)+N(DV434),0),0))</f>
        <v/>
      </c>
      <c r="K434" s="0" t="str">
        <f aca="false">IF($A434="","",IF(CK434&lt;&gt;"pass",BY434&amp;"",BY434&amp;", "&amp;IF(AT434="Y",BX434&amp;"",BK434&amp;"")&amp;BZ434&amp;IF(R434="Y","; known to the founder (+10)","")&amp;"."))</f>
        <v/>
      </c>
      <c r="R434" s="5"/>
      <c r="T434" s="5"/>
      <c r="U434" s="5"/>
      <c r="Y434" s="0" t="str">
        <f aca="false">IF(FA434&lt;&gt;"Y","",COUNTIFS($FA$2:$FA$1000,"Y",$J$2:$J$1000,"&gt;"&amp;J434)+COUNTIFS($FA$2:$FA$1000,"Y",$J$2:$J$1000,J434,$FG$2:$FG$1000,"&lt;"&amp;FG434)+1)</f>
        <v/>
      </c>
      <c r="AB434" s="0" t="str">
        <f aca="false">IF($A434="","",IF(AT434="Y",BW434&amp;"",BJ434&amp;""))</f>
        <v/>
      </c>
      <c r="AC434" s="0" t="str">
        <f aca="false">IF($A434="","",IF(AT434="Y",BR434&amp;"",BE434&amp;""))</f>
        <v/>
      </c>
      <c r="AD434" s="0" t="str">
        <f aca="false">IF($A434="","",IF(AT434="Y",BS434&amp;"",BF434&amp;""))</f>
        <v/>
      </c>
      <c r="AE434" s="0" t="str">
        <f aca="false">IF($A434="","",IF(AT434="Y",BT434&amp;"",BG434&amp;""))</f>
        <v/>
      </c>
      <c r="AF434" s="0" t="str">
        <f aca="false">IF($A434="","",IF(AT434="Y",BU434&amp;"",BH434&amp;""))</f>
        <v/>
      </c>
      <c r="AG434" s="0" t="str">
        <f aca="false">IF($A434="","",IF(AT434="Y",BV434&amp;"",BI434&amp;""))</f>
        <v/>
      </c>
      <c r="AO434" s="5"/>
      <c r="AR434" s="0" t="str">
        <f aca="false">IF($A434="","",IF(AND(CK434="pass",AO434&lt;&gt;"Y",C434&lt;&gt;"",OR(AU434&lt;&gt;"Y",AV434="Y")),"Y","N"))</f>
        <v/>
      </c>
      <c r="AS434" s="0" t="str">
        <f aca="false">IF($A434="","",_xlfn.TEXTJOIN("; ",TRUE(),IF(CK434&lt;&gt;"pass","gated out",""),IF(AO434="Y","on hold: "&amp;AP434,""),IF(C434="","no contact named on an opened page",""),IF(AND(AU434="Y",AV434&lt;&gt;"Y"),"founder review pending (Founder review tab)","")))</f>
        <v/>
      </c>
      <c r="BC434" s="0" t="str">
        <f aca="false">IF($A434="","",IFERROR(INDEX(Enrichment!$A$2:$GZ$2000,MATCH($A434,INDEX(Enrichment!$A$2:$GZ$2000,0,MATCH("row_id",Enrichment!$A$1:$GZ$1,0)),0),MATCH("work_email",Enrichment!$A$1:$GZ$1,0))&amp;"",""))</f>
        <v/>
      </c>
      <c r="BD434" s="0" t="str">
        <f aca="false">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P434" s="0" t="str">
        <f aca="false">IF($A434="","",IFERROR(INDEX(Enrichment!$A$2:$GZ$2000,MATCH($A434,INDEX(Enrichment!$A$2:$GZ$2000,0,MATCH("row_id",Enrichment!$A$1:$GZ$1,0)),0),MATCH("backup_work_email",Enrichment!$A$1:$GZ$1,0))&amp;"",""))</f>
        <v/>
      </c>
      <c r="BQ434" s="0" t="str">
        <f aca="false">IF($A434="","",IF(BP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DU434" s="0" t="str">
        <f aca="false">IF($A434="","",IF(R434="Y",10,0))</f>
        <v/>
      </c>
      <c r="EV434" s="0" t="str">
        <f aca="false">IF($A434="","",IF(ISNUMBER(MATCH(U434,{"queued","contacted","replied","call_booked","call_done","yes_in_principle","materials_sent"},0)),"Y","N"))</f>
        <v/>
      </c>
      <c r="EW434" s="0" t="str">
        <f aca="false">IF($A434="","",IF(OR(T434="Y",U434="do_not_contact",AQ434&amp;""&lt;&gt;""),"Y","N"))</f>
        <v/>
      </c>
      <c r="EX434" s="0" t="str">
        <f aca="false">IF($A434="","",IF(AN434&amp;""&lt;&gt;"",AN434&amp;"",$A434))</f>
        <v/>
      </c>
      <c r="EY434" s="0" t="str">
        <f aca="false">IF($A434="","",IF(COUNTIFS($EX$2:$EX$1000,EX434,$EV$2:$EV$1000,"Y")+COUNTIFS($EX$2:$EX$1000,EX434,$EW$2:$EW$1000,"Y")&gt;0,"Y","N"))</f>
        <v/>
      </c>
      <c r="EZ434" s="0" t="str">
        <f aca="false">IF($A434="","",IF(AND(U434="new",T434="N",EW434="N",AR434="Y",EY434="N"),"Y","N"))</f>
        <v/>
      </c>
      <c r="FA434" s="0" t="str">
        <f aca="false">IF($A434="","",IF(EZ434&lt;&gt;"Y","N",IF(COUNTIFS($EX$2:$EX$1000,EX434,$EZ$2:$EZ$1000,"Y",$J$2:$J$1000,"&gt;"&amp;J434)+COUNTIFS($EX$2:$EX$1000,EX434,$EZ$2:$EZ$1000,"Y",$J$2:$J$1000,J434,$FG$2:$FG$1000,"&lt;"&amp;FG434)=0,"Y","N")))</f>
        <v/>
      </c>
      <c r="FB434" s="0" t="str">
        <f aca="false">IF($A434="","",IF(AND(EZ434="Y",FA434="Y",Y434&amp;""&lt;&gt;""),IF(Y434&lt;=10,"Y","N"),"N"))</f>
        <v/>
      </c>
      <c r="FC434" s="0" t="str">
        <f aca="false">IF(FB434="Y",Y434,"")</f>
        <v/>
      </c>
      <c r="FD434" s="0" t="str">
        <f aca="false">IF($A434="","",IF(AND(CK434="pass",AU434="Y",AV434&lt;&gt;"Y",U434="new",EW434="N"),"Y","N"))</f>
        <v/>
      </c>
      <c r="FE434" s="0" t="str">
        <f aca="false">IF(FD434&lt;&gt;"Y","",IF(COUNTIFS($FD$2:$FD$1000,"Y",$J$2:$J$1000,"&gt;"&amp;J434)+COUNTIFS($FD$2:$FD$1000,"Y",$J$2:$J$1000,J434,$FG$2:$FG$1000,"&lt;"&amp;FG434)+1&lt;=30,COUNTIFS($FD$2:$FD$1000,"Y",$J$2:$J$1000,"&gt;"&amp;J434)+COUNTIFS($FD$2:$FD$1000,"Y",$J$2:$J$1000,J434,$FG$2:$FG$1000,"&lt;"&amp;FG434)+1,""))</f>
        <v/>
      </c>
      <c r="FF434" s="0" t="str">
        <f aca="false">IF(AND(_xlfn.ISFORMULA(C434),_xlfn.ISFORMULA(J434)),"Y","N")</f>
        <v>Y</v>
      </c>
      <c r="FG434" s="0" t="n">
        <f aca="false">ROW()-1</f>
        <v>433</v>
      </c>
    </row>
    <row r="435" customFormat="false" ht="15" hidden="false" customHeight="false" outlineLevel="0" collapsed="false">
      <c r="C435" s="0" t="str">
        <f aca="false">IF($A435="","",IF(AT435="Y",BL435&amp;"",AY435&amp;""))</f>
        <v/>
      </c>
      <c r="D435" s="0" t="str">
        <f aca="false">IF($A435="","",IF(AT435="Y",BM435&amp;"",AZ435&amp;""))</f>
        <v/>
      </c>
      <c r="E435" s="0" t="str">
        <f aca="false">IF($A435="","",IF(AT435="Y",BN435&amp;"",BA435&amp;""))</f>
        <v/>
      </c>
      <c r="F435" s="0" t="str">
        <f aca="false">IF($A435="","",IF(AT435="Y",BO435&amp;"",BB435&amp;""))</f>
        <v/>
      </c>
      <c r="G435" s="0" t="str">
        <f aca="false">IF($A435="","",IF(AT435="Y",BP435&amp;"",BC435&amp;""))</f>
        <v/>
      </c>
      <c r="H435" s="0" t="str">
        <f aca="false">IF($A435="","",IF(AT435="Y",BQ435&amp;"",BD435&amp;""))</f>
        <v/>
      </c>
      <c r="I435" s="0" t="str">
        <f aca="false">IF($A435="","",IF(R435="Y","warm-intro",IF(H435="verified","email",IF(C435&lt;&gt;"","linkedin",CA435&amp;""))))</f>
        <v/>
      </c>
      <c r="J435" s="0" t="str">
        <f aca="false">IF($A435="","",IF(CK435="pass",ROUND(N(DO435)+N(DP435)+N(DQ435)+N(DR435)+N(DS435)+N(DT435)+N(DU435)+N(DV435),0),0))</f>
        <v/>
      </c>
      <c r="K435" s="0" t="str">
        <f aca="false">IF($A435="","",IF(CK435&lt;&gt;"pass",BY435&amp;"",BY435&amp;", "&amp;IF(AT435="Y",BX435&amp;"",BK435&amp;"")&amp;BZ435&amp;IF(R435="Y","; known to the founder (+10)","")&amp;"."))</f>
        <v/>
      </c>
      <c r="R435" s="5"/>
      <c r="T435" s="5"/>
      <c r="U435" s="5"/>
      <c r="Y435" s="0" t="str">
        <f aca="false">IF(FA435&lt;&gt;"Y","",COUNTIFS($FA$2:$FA$1000,"Y",$J$2:$J$1000,"&gt;"&amp;J435)+COUNTIFS($FA$2:$FA$1000,"Y",$J$2:$J$1000,J435,$FG$2:$FG$1000,"&lt;"&amp;FG435)+1)</f>
        <v/>
      </c>
      <c r="AB435" s="0" t="str">
        <f aca="false">IF($A435="","",IF(AT435="Y",BW435&amp;"",BJ435&amp;""))</f>
        <v/>
      </c>
      <c r="AC435" s="0" t="str">
        <f aca="false">IF($A435="","",IF(AT435="Y",BR435&amp;"",BE435&amp;""))</f>
        <v/>
      </c>
      <c r="AD435" s="0" t="str">
        <f aca="false">IF($A435="","",IF(AT435="Y",BS435&amp;"",BF435&amp;""))</f>
        <v/>
      </c>
      <c r="AE435" s="0" t="str">
        <f aca="false">IF($A435="","",IF(AT435="Y",BT435&amp;"",BG435&amp;""))</f>
        <v/>
      </c>
      <c r="AF435" s="0" t="str">
        <f aca="false">IF($A435="","",IF(AT435="Y",BU435&amp;"",BH435&amp;""))</f>
        <v/>
      </c>
      <c r="AG435" s="0" t="str">
        <f aca="false">IF($A435="","",IF(AT435="Y",BV435&amp;"",BI435&amp;""))</f>
        <v/>
      </c>
      <c r="AO435" s="5"/>
      <c r="AR435" s="0" t="str">
        <f aca="false">IF($A435="","",IF(AND(CK435="pass",AO435&lt;&gt;"Y",C435&lt;&gt;"",OR(AU435&lt;&gt;"Y",AV435="Y")),"Y","N"))</f>
        <v/>
      </c>
      <c r="AS435" s="0" t="str">
        <f aca="false">IF($A435="","",_xlfn.TEXTJOIN("; ",TRUE(),IF(CK435&lt;&gt;"pass","gated out",""),IF(AO435="Y","on hold: "&amp;AP435,""),IF(C435="","no contact named on an opened page",""),IF(AND(AU435="Y",AV435&lt;&gt;"Y"),"founder review pending (Founder review tab)","")))</f>
        <v/>
      </c>
      <c r="BC435" s="0" t="str">
        <f aca="false">IF($A435="","",IFERROR(INDEX(Enrichment!$A$2:$GZ$2000,MATCH($A435,INDEX(Enrichment!$A$2:$GZ$2000,0,MATCH("row_id",Enrichment!$A$1:$GZ$1,0)),0),MATCH("work_email",Enrichment!$A$1:$GZ$1,0))&amp;"",""))</f>
        <v/>
      </c>
      <c r="BD435" s="0" t="str">
        <f aca="false">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P435" s="0" t="str">
        <f aca="false">IF($A435="","",IFERROR(INDEX(Enrichment!$A$2:$GZ$2000,MATCH($A435,INDEX(Enrichment!$A$2:$GZ$2000,0,MATCH("row_id",Enrichment!$A$1:$GZ$1,0)),0),MATCH("backup_work_email",Enrichment!$A$1:$GZ$1,0))&amp;"",""))</f>
        <v/>
      </c>
      <c r="BQ435" s="0" t="str">
        <f aca="false">IF($A435="","",IF(BP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DU435" s="0" t="str">
        <f aca="false">IF($A435="","",IF(R435="Y",10,0))</f>
        <v/>
      </c>
      <c r="EV435" s="0" t="str">
        <f aca="false">IF($A435="","",IF(ISNUMBER(MATCH(U435,{"queued","contacted","replied","call_booked","call_done","yes_in_principle","materials_sent"},0)),"Y","N"))</f>
        <v/>
      </c>
      <c r="EW435" s="0" t="str">
        <f aca="false">IF($A435="","",IF(OR(T435="Y",U435="do_not_contact",AQ435&amp;""&lt;&gt;""),"Y","N"))</f>
        <v/>
      </c>
      <c r="EX435" s="0" t="str">
        <f aca="false">IF($A435="","",IF(AN435&amp;""&lt;&gt;"",AN435&amp;"",$A435))</f>
        <v/>
      </c>
      <c r="EY435" s="0" t="str">
        <f aca="false">IF($A435="","",IF(COUNTIFS($EX$2:$EX$1000,EX435,$EV$2:$EV$1000,"Y")+COUNTIFS($EX$2:$EX$1000,EX435,$EW$2:$EW$1000,"Y")&gt;0,"Y","N"))</f>
        <v/>
      </c>
      <c r="EZ435" s="0" t="str">
        <f aca="false">IF($A435="","",IF(AND(U435="new",T435="N",EW435="N",AR435="Y",EY435="N"),"Y","N"))</f>
        <v/>
      </c>
      <c r="FA435" s="0" t="str">
        <f aca="false">IF($A435="","",IF(EZ435&lt;&gt;"Y","N",IF(COUNTIFS($EX$2:$EX$1000,EX435,$EZ$2:$EZ$1000,"Y",$J$2:$J$1000,"&gt;"&amp;J435)+COUNTIFS($EX$2:$EX$1000,EX435,$EZ$2:$EZ$1000,"Y",$J$2:$J$1000,J435,$FG$2:$FG$1000,"&lt;"&amp;FG435)=0,"Y","N")))</f>
        <v/>
      </c>
      <c r="FB435" s="0" t="str">
        <f aca="false">IF($A435="","",IF(AND(EZ435="Y",FA435="Y",Y435&amp;""&lt;&gt;""),IF(Y435&lt;=10,"Y","N"),"N"))</f>
        <v/>
      </c>
      <c r="FC435" s="0" t="str">
        <f aca="false">IF(FB435="Y",Y435,"")</f>
        <v/>
      </c>
      <c r="FD435" s="0" t="str">
        <f aca="false">IF($A435="","",IF(AND(CK435="pass",AU435="Y",AV435&lt;&gt;"Y",U435="new",EW435="N"),"Y","N"))</f>
        <v/>
      </c>
      <c r="FE435" s="0" t="str">
        <f aca="false">IF(FD435&lt;&gt;"Y","",IF(COUNTIFS($FD$2:$FD$1000,"Y",$J$2:$J$1000,"&gt;"&amp;J435)+COUNTIFS($FD$2:$FD$1000,"Y",$J$2:$J$1000,J435,$FG$2:$FG$1000,"&lt;"&amp;FG435)+1&lt;=30,COUNTIFS($FD$2:$FD$1000,"Y",$J$2:$J$1000,"&gt;"&amp;J435)+COUNTIFS($FD$2:$FD$1000,"Y",$J$2:$J$1000,J435,$FG$2:$FG$1000,"&lt;"&amp;FG435)+1,""))</f>
        <v/>
      </c>
      <c r="FF435" s="0" t="str">
        <f aca="false">IF(AND(_xlfn.ISFORMULA(C435),_xlfn.ISFORMULA(J435)),"Y","N")</f>
        <v>Y</v>
      </c>
      <c r="FG435" s="0" t="n">
        <f aca="false">ROW()-1</f>
        <v>434</v>
      </c>
    </row>
    <row r="436" customFormat="false" ht="15" hidden="false" customHeight="false" outlineLevel="0" collapsed="false">
      <c r="C436" s="0" t="str">
        <f aca="false">IF($A436="","",IF(AT436="Y",BL436&amp;"",AY436&amp;""))</f>
        <v/>
      </c>
      <c r="D436" s="0" t="str">
        <f aca="false">IF($A436="","",IF(AT436="Y",BM436&amp;"",AZ436&amp;""))</f>
        <v/>
      </c>
      <c r="E436" s="0" t="str">
        <f aca="false">IF($A436="","",IF(AT436="Y",BN436&amp;"",BA436&amp;""))</f>
        <v/>
      </c>
      <c r="F436" s="0" t="str">
        <f aca="false">IF($A436="","",IF(AT436="Y",BO436&amp;"",BB436&amp;""))</f>
        <v/>
      </c>
      <c r="G436" s="0" t="str">
        <f aca="false">IF($A436="","",IF(AT436="Y",BP436&amp;"",BC436&amp;""))</f>
        <v/>
      </c>
      <c r="H436" s="0" t="str">
        <f aca="false">IF($A436="","",IF(AT436="Y",BQ436&amp;"",BD436&amp;""))</f>
        <v/>
      </c>
      <c r="I436" s="0" t="str">
        <f aca="false">IF($A436="","",IF(R436="Y","warm-intro",IF(H436="verified","email",IF(C436&lt;&gt;"","linkedin",CA436&amp;""))))</f>
        <v/>
      </c>
      <c r="J436" s="0" t="str">
        <f aca="false">IF($A436="","",IF(CK436="pass",ROUND(N(DO436)+N(DP436)+N(DQ436)+N(DR436)+N(DS436)+N(DT436)+N(DU436)+N(DV436),0),0))</f>
        <v/>
      </c>
      <c r="K436" s="0" t="str">
        <f aca="false">IF($A436="","",IF(CK436&lt;&gt;"pass",BY436&amp;"",BY436&amp;", "&amp;IF(AT436="Y",BX436&amp;"",BK436&amp;"")&amp;BZ436&amp;IF(R436="Y","; known to the founder (+10)","")&amp;"."))</f>
        <v/>
      </c>
      <c r="R436" s="5"/>
      <c r="T436" s="5"/>
      <c r="U436" s="5"/>
      <c r="Y436" s="0" t="str">
        <f aca="false">IF(FA436&lt;&gt;"Y","",COUNTIFS($FA$2:$FA$1000,"Y",$J$2:$J$1000,"&gt;"&amp;J436)+COUNTIFS($FA$2:$FA$1000,"Y",$J$2:$J$1000,J436,$FG$2:$FG$1000,"&lt;"&amp;FG436)+1)</f>
        <v/>
      </c>
      <c r="AB436" s="0" t="str">
        <f aca="false">IF($A436="","",IF(AT436="Y",BW436&amp;"",BJ436&amp;""))</f>
        <v/>
      </c>
      <c r="AC436" s="0" t="str">
        <f aca="false">IF($A436="","",IF(AT436="Y",BR436&amp;"",BE436&amp;""))</f>
        <v/>
      </c>
      <c r="AD436" s="0" t="str">
        <f aca="false">IF($A436="","",IF(AT436="Y",BS436&amp;"",BF436&amp;""))</f>
        <v/>
      </c>
      <c r="AE436" s="0" t="str">
        <f aca="false">IF($A436="","",IF(AT436="Y",BT436&amp;"",BG436&amp;""))</f>
        <v/>
      </c>
      <c r="AF436" s="0" t="str">
        <f aca="false">IF($A436="","",IF(AT436="Y",BU436&amp;"",BH436&amp;""))</f>
        <v/>
      </c>
      <c r="AG436" s="0" t="str">
        <f aca="false">IF($A436="","",IF(AT436="Y",BV436&amp;"",BI436&amp;""))</f>
        <v/>
      </c>
      <c r="AO436" s="5"/>
      <c r="AR436" s="0" t="str">
        <f aca="false">IF($A436="","",IF(AND(CK436="pass",AO436&lt;&gt;"Y",C436&lt;&gt;"",OR(AU436&lt;&gt;"Y",AV436="Y")),"Y","N"))</f>
        <v/>
      </c>
      <c r="AS436" s="0" t="str">
        <f aca="false">IF($A436="","",_xlfn.TEXTJOIN("; ",TRUE(),IF(CK436&lt;&gt;"pass","gated out",""),IF(AO436="Y","on hold: "&amp;AP436,""),IF(C436="","no contact named on an opened page",""),IF(AND(AU436="Y",AV436&lt;&gt;"Y"),"founder review pending (Founder review tab)","")))</f>
        <v/>
      </c>
      <c r="BC436" s="0" t="str">
        <f aca="false">IF($A436="","",IFERROR(INDEX(Enrichment!$A$2:$GZ$2000,MATCH($A436,INDEX(Enrichment!$A$2:$GZ$2000,0,MATCH("row_id",Enrichment!$A$1:$GZ$1,0)),0),MATCH("work_email",Enrichment!$A$1:$GZ$1,0))&amp;"",""))</f>
        <v/>
      </c>
      <c r="BD436" s="0" t="str">
        <f aca="false">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P436" s="0" t="str">
        <f aca="false">IF($A436="","",IFERROR(INDEX(Enrichment!$A$2:$GZ$2000,MATCH($A436,INDEX(Enrichment!$A$2:$GZ$2000,0,MATCH("row_id",Enrichment!$A$1:$GZ$1,0)),0),MATCH("backup_work_email",Enrichment!$A$1:$GZ$1,0))&amp;"",""))</f>
        <v/>
      </c>
      <c r="BQ436" s="0" t="str">
        <f aca="false">IF($A436="","",IF(BP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DU436" s="0" t="str">
        <f aca="false">IF($A436="","",IF(R436="Y",10,0))</f>
        <v/>
      </c>
      <c r="EV436" s="0" t="str">
        <f aca="false">IF($A436="","",IF(ISNUMBER(MATCH(U436,{"queued","contacted","replied","call_booked","call_done","yes_in_principle","materials_sent"},0)),"Y","N"))</f>
        <v/>
      </c>
      <c r="EW436" s="0" t="str">
        <f aca="false">IF($A436="","",IF(OR(T436="Y",U436="do_not_contact",AQ436&amp;""&lt;&gt;""),"Y","N"))</f>
        <v/>
      </c>
      <c r="EX436" s="0" t="str">
        <f aca="false">IF($A436="","",IF(AN436&amp;""&lt;&gt;"",AN436&amp;"",$A436))</f>
        <v/>
      </c>
      <c r="EY436" s="0" t="str">
        <f aca="false">IF($A436="","",IF(COUNTIFS($EX$2:$EX$1000,EX436,$EV$2:$EV$1000,"Y")+COUNTIFS($EX$2:$EX$1000,EX436,$EW$2:$EW$1000,"Y")&gt;0,"Y","N"))</f>
        <v/>
      </c>
      <c r="EZ436" s="0" t="str">
        <f aca="false">IF($A436="","",IF(AND(U436="new",T436="N",EW436="N",AR436="Y",EY436="N"),"Y","N"))</f>
        <v/>
      </c>
      <c r="FA436" s="0" t="str">
        <f aca="false">IF($A436="","",IF(EZ436&lt;&gt;"Y","N",IF(COUNTIFS($EX$2:$EX$1000,EX436,$EZ$2:$EZ$1000,"Y",$J$2:$J$1000,"&gt;"&amp;J436)+COUNTIFS($EX$2:$EX$1000,EX436,$EZ$2:$EZ$1000,"Y",$J$2:$J$1000,J436,$FG$2:$FG$1000,"&lt;"&amp;FG436)=0,"Y","N")))</f>
        <v/>
      </c>
      <c r="FB436" s="0" t="str">
        <f aca="false">IF($A436="","",IF(AND(EZ436="Y",FA436="Y",Y436&amp;""&lt;&gt;""),IF(Y436&lt;=10,"Y","N"),"N"))</f>
        <v/>
      </c>
      <c r="FC436" s="0" t="str">
        <f aca="false">IF(FB436="Y",Y436,"")</f>
        <v/>
      </c>
      <c r="FD436" s="0" t="str">
        <f aca="false">IF($A436="","",IF(AND(CK436="pass",AU436="Y",AV436&lt;&gt;"Y",U436="new",EW436="N"),"Y","N"))</f>
        <v/>
      </c>
      <c r="FE436" s="0" t="str">
        <f aca="false">IF(FD436&lt;&gt;"Y","",IF(COUNTIFS($FD$2:$FD$1000,"Y",$J$2:$J$1000,"&gt;"&amp;J436)+COUNTIFS($FD$2:$FD$1000,"Y",$J$2:$J$1000,J436,$FG$2:$FG$1000,"&lt;"&amp;FG436)+1&lt;=30,COUNTIFS($FD$2:$FD$1000,"Y",$J$2:$J$1000,"&gt;"&amp;J436)+COUNTIFS($FD$2:$FD$1000,"Y",$J$2:$J$1000,J436,$FG$2:$FG$1000,"&lt;"&amp;FG436)+1,""))</f>
        <v/>
      </c>
      <c r="FF436" s="0" t="str">
        <f aca="false">IF(AND(_xlfn.ISFORMULA(C436),_xlfn.ISFORMULA(J436)),"Y","N")</f>
        <v>Y</v>
      </c>
      <c r="FG436" s="0" t="n">
        <f aca="false">ROW()-1</f>
        <v>435</v>
      </c>
    </row>
    <row r="437" customFormat="false" ht="15" hidden="false" customHeight="false" outlineLevel="0" collapsed="false">
      <c r="C437" s="0" t="str">
        <f aca="false">IF($A437="","",IF(AT437="Y",BL437&amp;"",AY437&amp;""))</f>
        <v/>
      </c>
      <c r="D437" s="0" t="str">
        <f aca="false">IF($A437="","",IF(AT437="Y",BM437&amp;"",AZ437&amp;""))</f>
        <v/>
      </c>
      <c r="E437" s="0" t="str">
        <f aca="false">IF($A437="","",IF(AT437="Y",BN437&amp;"",BA437&amp;""))</f>
        <v/>
      </c>
      <c r="F437" s="0" t="str">
        <f aca="false">IF($A437="","",IF(AT437="Y",BO437&amp;"",BB437&amp;""))</f>
        <v/>
      </c>
      <c r="G437" s="0" t="str">
        <f aca="false">IF($A437="","",IF(AT437="Y",BP437&amp;"",BC437&amp;""))</f>
        <v/>
      </c>
      <c r="H437" s="0" t="str">
        <f aca="false">IF($A437="","",IF(AT437="Y",BQ437&amp;"",BD437&amp;""))</f>
        <v/>
      </c>
      <c r="I437" s="0" t="str">
        <f aca="false">IF($A437="","",IF(R437="Y","warm-intro",IF(H437="verified","email",IF(C437&lt;&gt;"","linkedin",CA437&amp;""))))</f>
        <v/>
      </c>
      <c r="J437" s="0" t="str">
        <f aca="false">IF($A437="","",IF(CK437="pass",ROUND(N(DO437)+N(DP437)+N(DQ437)+N(DR437)+N(DS437)+N(DT437)+N(DU437)+N(DV437),0),0))</f>
        <v/>
      </c>
      <c r="K437" s="0" t="str">
        <f aca="false">IF($A437="","",IF(CK437&lt;&gt;"pass",BY437&amp;"",BY437&amp;", "&amp;IF(AT437="Y",BX437&amp;"",BK437&amp;"")&amp;BZ437&amp;IF(R437="Y","; known to the founder (+10)","")&amp;"."))</f>
        <v/>
      </c>
      <c r="R437" s="5"/>
      <c r="T437" s="5"/>
      <c r="U437" s="5"/>
      <c r="Y437" s="0" t="str">
        <f aca="false">IF(FA437&lt;&gt;"Y","",COUNTIFS($FA$2:$FA$1000,"Y",$J$2:$J$1000,"&gt;"&amp;J437)+COUNTIFS($FA$2:$FA$1000,"Y",$J$2:$J$1000,J437,$FG$2:$FG$1000,"&lt;"&amp;FG437)+1)</f>
        <v/>
      </c>
      <c r="AB437" s="0" t="str">
        <f aca="false">IF($A437="","",IF(AT437="Y",BW437&amp;"",BJ437&amp;""))</f>
        <v/>
      </c>
      <c r="AC437" s="0" t="str">
        <f aca="false">IF($A437="","",IF(AT437="Y",BR437&amp;"",BE437&amp;""))</f>
        <v/>
      </c>
      <c r="AD437" s="0" t="str">
        <f aca="false">IF($A437="","",IF(AT437="Y",BS437&amp;"",BF437&amp;""))</f>
        <v/>
      </c>
      <c r="AE437" s="0" t="str">
        <f aca="false">IF($A437="","",IF(AT437="Y",BT437&amp;"",BG437&amp;""))</f>
        <v/>
      </c>
      <c r="AF437" s="0" t="str">
        <f aca="false">IF($A437="","",IF(AT437="Y",BU437&amp;"",BH437&amp;""))</f>
        <v/>
      </c>
      <c r="AG437" s="0" t="str">
        <f aca="false">IF($A437="","",IF(AT437="Y",BV437&amp;"",BI437&amp;""))</f>
        <v/>
      </c>
      <c r="AO437" s="5"/>
      <c r="AR437" s="0" t="str">
        <f aca="false">IF($A437="","",IF(AND(CK437="pass",AO437&lt;&gt;"Y",C437&lt;&gt;"",OR(AU437&lt;&gt;"Y",AV437="Y")),"Y","N"))</f>
        <v/>
      </c>
      <c r="AS437" s="0" t="str">
        <f aca="false">IF($A437="","",_xlfn.TEXTJOIN("; ",TRUE(),IF(CK437&lt;&gt;"pass","gated out",""),IF(AO437="Y","on hold: "&amp;AP437,""),IF(C437="","no contact named on an opened page",""),IF(AND(AU437="Y",AV437&lt;&gt;"Y"),"founder review pending (Founder review tab)","")))</f>
        <v/>
      </c>
      <c r="BC437" s="0" t="str">
        <f aca="false">IF($A437="","",IFERROR(INDEX(Enrichment!$A$2:$GZ$2000,MATCH($A437,INDEX(Enrichment!$A$2:$GZ$2000,0,MATCH("row_id",Enrichment!$A$1:$GZ$1,0)),0),MATCH("work_email",Enrichment!$A$1:$GZ$1,0))&amp;"",""))</f>
        <v/>
      </c>
      <c r="BD437" s="0" t="str">
        <f aca="false">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P437" s="0" t="str">
        <f aca="false">IF($A437="","",IFERROR(INDEX(Enrichment!$A$2:$GZ$2000,MATCH($A437,INDEX(Enrichment!$A$2:$GZ$2000,0,MATCH("row_id",Enrichment!$A$1:$GZ$1,0)),0),MATCH("backup_work_email",Enrichment!$A$1:$GZ$1,0))&amp;"",""))</f>
        <v/>
      </c>
      <c r="BQ437" s="0" t="str">
        <f aca="false">IF($A437="","",IF(BP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DU437" s="0" t="str">
        <f aca="false">IF($A437="","",IF(R437="Y",10,0))</f>
        <v/>
      </c>
      <c r="EV437" s="0" t="str">
        <f aca="false">IF($A437="","",IF(ISNUMBER(MATCH(U437,{"queued","contacted","replied","call_booked","call_done","yes_in_principle","materials_sent"},0)),"Y","N"))</f>
        <v/>
      </c>
      <c r="EW437" s="0" t="str">
        <f aca="false">IF($A437="","",IF(OR(T437="Y",U437="do_not_contact",AQ437&amp;""&lt;&gt;""),"Y","N"))</f>
        <v/>
      </c>
      <c r="EX437" s="0" t="str">
        <f aca="false">IF($A437="","",IF(AN437&amp;""&lt;&gt;"",AN437&amp;"",$A437))</f>
        <v/>
      </c>
      <c r="EY437" s="0" t="str">
        <f aca="false">IF($A437="","",IF(COUNTIFS($EX$2:$EX$1000,EX437,$EV$2:$EV$1000,"Y")+COUNTIFS($EX$2:$EX$1000,EX437,$EW$2:$EW$1000,"Y")&gt;0,"Y","N"))</f>
        <v/>
      </c>
      <c r="EZ437" s="0" t="str">
        <f aca="false">IF($A437="","",IF(AND(U437="new",T437="N",EW437="N",AR437="Y",EY437="N"),"Y","N"))</f>
        <v/>
      </c>
      <c r="FA437" s="0" t="str">
        <f aca="false">IF($A437="","",IF(EZ437&lt;&gt;"Y","N",IF(COUNTIFS($EX$2:$EX$1000,EX437,$EZ$2:$EZ$1000,"Y",$J$2:$J$1000,"&gt;"&amp;J437)+COUNTIFS($EX$2:$EX$1000,EX437,$EZ$2:$EZ$1000,"Y",$J$2:$J$1000,J437,$FG$2:$FG$1000,"&lt;"&amp;FG437)=0,"Y","N")))</f>
        <v/>
      </c>
      <c r="FB437" s="0" t="str">
        <f aca="false">IF($A437="","",IF(AND(EZ437="Y",FA437="Y",Y437&amp;""&lt;&gt;""),IF(Y437&lt;=10,"Y","N"),"N"))</f>
        <v/>
      </c>
      <c r="FC437" s="0" t="str">
        <f aca="false">IF(FB437="Y",Y437,"")</f>
        <v/>
      </c>
      <c r="FD437" s="0" t="str">
        <f aca="false">IF($A437="","",IF(AND(CK437="pass",AU437="Y",AV437&lt;&gt;"Y",U437="new",EW437="N"),"Y","N"))</f>
        <v/>
      </c>
      <c r="FE437" s="0" t="str">
        <f aca="false">IF(FD437&lt;&gt;"Y","",IF(COUNTIFS($FD$2:$FD$1000,"Y",$J$2:$J$1000,"&gt;"&amp;J437)+COUNTIFS($FD$2:$FD$1000,"Y",$J$2:$J$1000,J437,$FG$2:$FG$1000,"&lt;"&amp;FG437)+1&lt;=30,COUNTIFS($FD$2:$FD$1000,"Y",$J$2:$J$1000,"&gt;"&amp;J437)+COUNTIFS($FD$2:$FD$1000,"Y",$J$2:$J$1000,J437,$FG$2:$FG$1000,"&lt;"&amp;FG437)+1,""))</f>
        <v/>
      </c>
      <c r="FF437" s="0" t="str">
        <f aca="false">IF(AND(_xlfn.ISFORMULA(C437),_xlfn.ISFORMULA(J437)),"Y","N")</f>
        <v>Y</v>
      </c>
      <c r="FG437" s="0" t="n">
        <f aca="false">ROW()-1</f>
        <v>436</v>
      </c>
    </row>
    <row r="438" customFormat="false" ht="15" hidden="false" customHeight="false" outlineLevel="0" collapsed="false">
      <c r="C438" s="0" t="str">
        <f aca="false">IF($A438="","",IF(AT438="Y",BL438&amp;"",AY438&amp;""))</f>
        <v/>
      </c>
      <c r="D438" s="0" t="str">
        <f aca="false">IF($A438="","",IF(AT438="Y",BM438&amp;"",AZ438&amp;""))</f>
        <v/>
      </c>
      <c r="E438" s="0" t="str">
        <f aca="false">IF($A438="","",IF(AT438="Y",BN438&amp;"",BA438&amp;""))</f>
        <v/>
      </c>
      <c r="F438" s="0" t="str">
        <f aca="false">IF($A438="","",IF(AT438="Y",BO438&amp;"",BB438&amp;""))</f>
        <v/>
      </c>
      <c r="G438" s="0" t="str">
        <f aca="false">IF($A438="","",IF(AT438="Y",BP438&amp;"",BC438&amp;""))</f>
        <v/>
      </c>
      <c r="H438" s="0" t="str">
        <f aca="false">IF($A438="","",IF(AT438="Y",BQ438&amp;"",BD438&amp;""))</f>
        <v/>
      </c>
      <c r="I438" s="0" t="str">
        <f aca="false">IF($A438="","",IF(R438="Y","warm-intro",IF(H438="verified","email",IF(C438&lt;&gt;"","linkedin",CA438&amp;""))))</f>
        <v/>
      </c>
      <c r="J438" s="0" t="str">
        <f aca="false">IF($A438="","",IF(CK438="pass",ROUND(N(DO438)+N(DP438)+N(DQ438)+N(DR438)+N(DS438)+N(DT438)+N(DU438)+N(DV438),0),0))</f>
        <v/>
      </c>
      <c r="K438" s="0" t="str">
        <f aca="false">IF($A438="","",IF(CK438&lt;&gt;"pass",BY438&amp;"",BY438&amp;", "&amp;IF(AT438="Y",BX438&amp;"",BK438&amp;"")&amp;BZ438&amp;IF(R438="Y","; known to the founder (+10)","")&amp;"."))</f>
        <v/>
      </c>
      <c r="R438" s="5"/>
      <c r="T438" s="5"/>
      <c r="U438" s="5"/>
      <c r="Y438" s="0" t="str">
        <f aca="false">IF(FA438&lt;&gt;"Y","",COUNTIFS($FA$2:$FA$1000,"Y",$J$2:$J$1000,"&gt;"&amp;J438)+COUNTIFS($FA$2:$FA$1000,"Y",$J$2:$J$1000,J438,$FG$2:$FG$1000,"&lt;"&amp;FG438)+1)</f>
        <v/>
      </c>
      <c r="AB438" s="0" t="str">
        <f aca="false">IF($A438="","",IF(AT438="Y",BW438&amp;"",BJ438&amp;""))</f>
        <v/>
      </c>
      <c r="AC438" s="0" t="str">
        <f aca="false">IF($A438="","",IF(AT438="Y",BR438&amp;"",BE438&amp;""))</f>
        <v/>
      </c>
      <c r="AD438" s="0" t="str">
        <f aca="false">IF($A438="","",IF(AT438="Y",BS438&amp;"",BF438&amp;""))</f>
        <v/>
      </c>
      <c r="AE438" s="0" t="str">
        <f aca="false">IF($A438="","",IF(AT438="Y",BT438&amp;"",BG438&amp;""))</f>
        <v/>
      </c>
      <c r="AF438" s="0" t="str">
        <f aca="false">IF($A438="","",IF(AT438="Y",BU438&amp;"",BH438&amp;""))</f>
        <v/>
      </c>
      <c r="AG438" s="0" t="str">
        <f aca="false">IF($A438="","",IF(AT438="Y",BV438&amp;"",BI438&amp;""))</f>
        <v/>
      </c>
      <c r="AO438" s="5"/>
      <c r="AR438" s="0" t="str">
        <f aca="false">IF($A438="","",IF(AND(CK438="pass",AO438&lt;&gt;"Y",C438&lt;&gt;"",OR(AU438&lt;&gt;"Y",AV438="Y")),"Y","N"))</f>
        <v/>
      </c>
      <c r="AS438" s="0" t="str">
        <f aca="false">IF($A438="","",_xlfn.TEXTJOIN("; ",TRUE(),IF(CK438&lt;&gt;"pass","gated out",""),IF(AO438="Y","on hold: "&amp;AP438,""),IF(C438="","no contact named on an opened page",""),IF(AND(AU438="Y",AV438&lt;&gt;"Y"),"founder review pending (Founder review tab)","")))</f>
        <v/>
      </c>
      <c r="BC438" s="0" t="str">
        <f aca="false">IF($A438="","",IFERROR(INDEX(Enrichment!$A$2:$GZ$2000,MATCH($A438,INDEX(Enrichment!$A$2:$GZ$2000,0,MATCH("row_id",Enrichment!$A$1:$GZ$1,0)),0),MATCH("work_email",Enrichment!$A$1:$GZ$1,0))&amp;"",""))</f>
        <v/>
      </c>
      <c r="BD438" s="0" t="str">
        <f aca="false">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P438" s="0" t="str">
        <f aca="false">IF($A438="","",IFERROR(INDEX(Enrichment!$A$2:$GZ$2000,MATCH($A438,INDEX(Enrichment!$A$2:$GZ$2000,0,MATCH("row_id",Enrichment!$A$1:$GZ$1,0)),0),MATCH("backup_work_email",Enrichment!$A$1:$GZ$1,0))&amp;"",""))</f>
        <v/>
      </c>
      <c r="BQ438" s="0" t="str">
        <f aca="false">IF($A438="","",IF(BP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DU438" s="0" t="str">
        <f aca="false">IF($A438="","",IF(R438="Y",10,0))</f>
        <v/>
      </c>
      <c r="EV438" s="0" t="str">
        <f aca="false">IF($A438="","",IF(ISNUMBER(MATCH(U438,{"queued","contacted","replied","call_booked","call_done","yes_in_principle","materials_sent"},0)),"Y","N"))</f>
        <v/>
      </c>
      <c r="EW438" s="0" t="str">
        <f aca="false">IF($A438="","",IF(OR(T438="Y",U438="do_not_contact",AQ438&amp;""&lt;&gt;""),"Y","N"))</f>
        <v/>
      </c>
      <c r="EX438" s="0" t="str">
        <f aca="false">IF($A438="","",IF(AN438&amp;""&lt;&gt;"",AN438&amp;"",$A438))</f>
        <v/>
      </c>
      <c r="EY438" s="0" t="str">
        <f aca="false">IF($A438="","",IF(COUNTIFS($EX$2:$EX$1000,EX438,$EV$2:$EV$1000,"Y")+COUNTIFS($EX$2:$EX$1000,EX438,$EW$2:$EW$1000,"Y")&gt;0,"Y","N"))</f>
        <v/>
      </c>
      <c r="EZ438" s="0" t="str">
        <f aca="false">IF($A438="","",IF(AND(U438="new",T438="N",EW438="N",AR438="Y",EY438="N"),"Y","N"))</f>
        <v/>
      </c>
      <c r="FA438" s="0" t="str">
        <f aca="false">IF($A438="","",IF(EZ438&lt;&gt;"Y","N",IF(COUNTIFS($EX$2:$EX$1000,EX438,$EZ$2:$EZ$1000,"Y",$J$2:$J$1000,"&gt;"&amp;J438)+COUNTIFS($EX$2:$EX$1000,EX438,$EZ$2:$EZ$1000,"Y",$J$2:$J$1000,J438,$FG$2:$FG$1000,"&lt;"&amp;FG438)=0,"Y","N")))</f>
        <v/>
      </c>
      <c r="FB438" s="0" t="str">
        <f aca="false">IF($A438="","",IF(AND(EZ438="Y",FA438="Y",Y438&amp;""&lt;&gt;""),IF(Y438&lt;=10,"Y","N"),"N"))</f>
        <v/>
      </c>
      <c r="FC438" s="0" t="str">
        <f aca="false">IF(FB438="Y",Y438,"")</f>
        <v/>
      </c>
      <c r="FD438" s="0" t="str">
        <f aca="false">IF($A438="","",IF(AND(CK438="pass",AU438="Y",AV438&lt;&gt;"Y",U438="new",EW438="N"),"Y","N"))</f>
        <v/>
      </c>
      <c r="FE438" s="0" t="str">
        <f aca="false">IF(FD438&lt;&gt;"Y","",IF(COUNTIFS($FD$2:$FD$1000,"Y",$J$2:$J$1000,"&gt;"&amp;J438)+COUNTIFS($FD$2:$FD$1000,"Y",$J$2:$J$1000,J438,$FG$2:$FG$1000,"&lt;"&amp;FG438)+1&lt;=30,COUNTIFS($FD$2:$FD$1000,"Y",$J$2:$J$1000,"&gt;"&amp;J438)+COUNTIFS($FD$2:$FD$1000,"Y",$J$2:$J$1000,J438,$FG$2:$FG$1000,"&lt;"&amp;FG438)+1,""))</f>
        <v/>
      </c>
      <c r="FF438" s="0" t="str">
        <f aca="false">IF(AND(_xlfn.ISFORMULA(C438),_xlfn.ISFORMULA(J438)),"Y","N")</f>
        <v>Y</v>
      </c>
      <c r="FG438" s="0" t="n">
        <f aca="false">ROW()-1</f>
        <v>437</v>
      </c>
    </row>
    <row r="439" customFormat="false" ht="15" hidden="false" customHeight="false" outlineLevel="0" collapsed="false">
      <c r="C439" s="0" t="str">
        <f aca="false">IF($A439="","",IF(AT439="Y",BL439&amp;"",AY439&amp;""))</f>
        <v/>
      </c>
      <c r="D439" s="0" t="str">
        <f aca="false">IF($A439="","",IF(AT439="Y",BM439&amp;"",AZ439&amp;""))</f>
        <v/>
      </c>
      <c r="E439" s="0" t="str">
        <f aca="false">IF($A439="","",IF(AT439="Y",BN439&amp;"",BA439&amp;""))</f>
        <v/>
      </c>
      <c r="F439" s="0" t="str">
        <f aca="false">IF($A439="","",IF(AT439="Y",BO439&amp;"",BB439&amp;""))</f>
        <v/>
      </c>
      <c r="G439" s="0" t="str">
        <f aca="false">IF($A439="","",IF(AT439="Y",BP439&amp;"",BC439&amp;""))</f>
        <v/>
      </c>
      <c r="H439" s="0" t="str">
        <f aca="false">IF($A439="","",IF(AT439="Y",BQ439&amp;"",BD439&amp;""))</f>
        <v/>
      </c>
      <c r="I439" s="0" t="str">
        <f aca="false">IF($A439="","",IF(R439="Y","warm-intro",IF(H439="verified","email",IF(C439&lt;&gt;"","linkedin",CA439&amp;""))))</f>
        <v/>
      </c>
      <c r="J439" s="0" t="str">
        <f aca="false">IF($A439="","",IF(CK439="pass",ROUND(N(DO439)+N(DP439)+N(DQ439)+N(DR439)+N(DS439)+N(DT439)+N(DU439)+N(DV439),0),0))</f>
        <v/>
      </c>
      <c r="K439" s="0" t="str">
        <f aca="false">IF($A439="","",IF(CK439&lt;&gt;"pass",BY439&amp;"",BY439&amp;", "&amp;IF(AT439="Y",BX439&amp;"",BK439&amp;"")&amp;BZ439&amp;IF(R439="Y","; known to the founder (+10)","")&amp;"."))</f>
        <v/>
      </c>
      <c r="R439" s="5"/>
      <c r="T439" s="5"/>
      <c r="U439" s="5"/>
      <c r="Y439" s="0" t="str">
        <f aca="false">IF(FA439&lt;&gt;"Y","",COUNTIFS($FA$2:$FA$1000,"Y",$J$2:$J$1000,"&gt;"&amp;J439)+COUNTIFS($FA$2:$FA$1000,"Y",$J$2:$J$1000,J439,$FG$2:$FG$1000,"&lt;"&amp;FG439)+1)</f>
        <v/>
      </c>
      <c r="AB439" s="0" t="str">
        <f aca="false">IF($A439="","",IF(AT439="Y",BW439&amp;"",BJ439&amp;""))</f>
        <v/>
      </c>
      <c r="AC439" s="0" t="str">
        <f aca="false">IF($A439="","",IF(AT439="Y",BR439&amp;"",BE439&amp;""))</f>
        <v/>
      </c>
      <c r="AD439" s="0" t="str">
        <f aca="false">IF($A439="","",IF(AT439="Y",BS439&amp;"",BF439&amp;""))</f>
        <v/>
      </c>
      <c r="AE439" s="0" t="str">
        <f aca="false">IF($A439="","",IF(AT439="Y",BT439&amp;"",BG439&amp;""))</f>
        <v/>
      </c>
      <c r="AF439" s="0" t="str">
        <f aca="false">IF($A439="","",IF(AT439="Y",BU439&amp;"",BH439&amp;""))</f>
        <v/>
      </c>
      <c r="AG439" s="0" t="str">
        <f aca="false">IF($A439="","",IF(AT439="Y",BV439&amp;"",BI439&amp;""))</f>
        <v/>
      </c>
      <c r="AO439" s="5"/>
      <c r="AR439" s="0" t="str">
        <f aca="false">IF($A439="","",IF(AND(CK439="pass",AO439&lt;&gt;"Y",C439&lt;&gt;"",OR(AU439&lt;&gt;"Y",AV439="Y")),"Y","N"))</f>
        <v/>
      </c>
      <c r="AS439" s="0" t="str">
        <f aca="false">IF($A439="","",_xlfn.TEXTJOIN("; ",TRUE(),IF(CK439&lt;&gt;"pass","gated out",""),IF(AO439="Y","on hold: "&amp;AP439,""),IF(C439="","no contact named on an opened page",""),IF(AND(AU439="Y",AV439&lt;&gt;"Y"),"founder review pending (Founder review tab)","")))</f>
        <v/>
      </c>
      <c r="BC439" s="0" t="str">
        <f aca="false">IF($A439="","",IFERROR(INDEX(Enrichment!$A$2:$GZ$2000,MATCH($A439,INDEX(Enrichment!$A$2:$GZ$2000,0,MATCH("row_id",Enrichment!$A$1:$GZ$1,0)),0),MATCH("work_email",Enrichment!$A$1:$GZ$1,0))&amp;"",""))</f>
        <v/>
      </c>
      <c r="BD439" s="0" t="str">
        <f aca="false">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P439" s="0" t="str">
        <f aca="false">IF($A439="","",IFERROR(INDEX(Enrichment!$A$2:$GZ$2000,MATCH($A439,INDEX(Enrichment!$A$2:$GZ$2000,0,MATCH("row_id",Enrichment!$A$1:$GZ$1,0)),0),MATCH("backup_work_email",Enrichment!$A$1:$GZ$1,0))&amp;"",""))</f>
        <v/>
      </c>
      <c r="BQ439" s="0" t="str">
        <f aca="false">IF($A439="","",IF(BP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DU439" s="0" t="str">
        <f aca="false">IF($A439="","",IF(R439="Y",10,0))</f>
        <v/>
      </c>
      <c r="EV439" s="0" t="str">
        <f aca="false">IF($A439="","",IF(ISNUMBER(MATCH(U439,{"queued","contacted","replied","call_booked","call_done","yes_in_principle","materials_sent"},0)),"Y","N"))</f>
        <v/>
      </c>
      <c r="EW439" s="0" t="str">
        <f aca="false">IF($A439="","",IF(OR(T439="Y",U439="do_not_contact",AQ439&amp;""&lt;&gt;""),"Y","N"))</f>
        <v/>
      </c>
      <c r="EX439" s="0" t="str">
        <f aca="false">IF($A439="","",IF(AN439&amp;""&lt;&gt;"",AN439&amp;"",$A439))</f>
        <v/>
      </c>
      <c r="EY439" s="0" t="str">
        <f aca="false">IF($A439="","",IF(COUNTIFS($EX$2:$EX$1000,EX439,$EV$2:$EV$1000,"Y")+COUNTIFS($EX$2:$EX$1000,EX439,$EW$2:$EW$1000,"Y")&gt;0,"Y","N"))</f>
        <v/>
      </c>
      <c r="EZ439" s="0" t="str">
        <f aca="false">IF($A439="","",IF(AND(U439="new",T439="N",EW439="N",AR439="Y",EY439="N"),"Y","N"))</f>
        <v/>
      </c>
      <c r="FA439" s="0" t="str">
        <f aca="false">IF($A439="","",IF(EZ439&lt;&gt;"Y","N",IF(COUNTIFS($EX$2:$EX$1000,EX439,$EZ$2:$EZ$1000,"Y",$J$2:$J$1000,"&gt;"&amp;J439)+COUNTIFS($EX$2:$EX$1000,EX439,$EZ$2:$EZ$1000,"Y",$J$2:$J$1000,J439,$FG$2:$FG$1000,"&lt;"&amp;FG439)=0,"Y","N")))</f>
        <v/>
      </c>
      <c r="FB439" s="0" t="str">
        <f aca="false">IF($A439="","",IF(AND(EZ439="Y",FA439="Y",Y439&amp;""&lt;&gt;""),IF(Y439&lt;=10,"Y","N"),"N"))</f>
        <v/>
      </c>
      <c r="FC439" s="0" t="str">
        <f aca="false">IF(FB439="Y",Y439,"")</f>
        <v/>
      </c>
      <c r="FD439" s="0" t="str">
        <f aca="false">IF($A439="","",IF(AND(CK439="pass",AU439="Y",AV439&lt;&gt;"Y",U439="new",EW439="N"),"Y","N"))</f>
        <v/>
      </c>
      <c r="FE439" s="0" t="str">
        <f aca="false">IF(FD439&lt;&gt;"Y","",IF(COUNTIFS($FD$2:$FD$1000,"Y",$J$2:$J$1000,"&gt;"&amp;J439)+COUNTIFS($FD$2:$FD$1000,"Y",$J$2:$J$1000,J439,$FG$2:$FG$1000,"&lt;"&amp;FG439)+1&lt;=30,COUNTIFS($FD$2:$FD$1000,"Y",$J$2:$J$1000,"&gt;"&amp;J439)+COUNTIFS($FD$2:$FD$1000,"Y",$J$2:$J$1000,J439,$FG$2:$FG$1000,"&lt;"&amp;FG439)+1,""))</f>
        <v/>
      </c>
      <c r="FF439" s="0" t="str">
        <f aca="false">IF(AND(_xlfn.ISFORMULA(C439),_xlfn.ISFORMULA(J439)),"Y","N")</f>
        <v>Y</v>
      </c>
      <c r="FG439" s="0" t="n">
        <f aca="false">ROW()-1</f>
        <v>438</v>
      </c>
    </row>
    <row r="440" customFormat="false" ht="15" hidden="false" customHeight="false" outlineLevel="0" collapsed="false">
      <c r="C440" s="0" t="str">
        <f aca="false">IF($A440="","",IF(AT440="Y",BL440&amp;"",AY440&amp;""))</f>
        <v/>
      </c>
      <c r="D440" s="0" t="str">
        <f aca="false">IF($A440="","",IF(AT440="Y",BM440&amp;"",AZ440&amp;""))</f>
        <v/>
      </c>
      <c r="E440" s="0" t="str">
        <f aca="false">IF($A440="","",IF(AT440="Y",BN440&amp;"",BA440&amp;""))</f>
        <v/>
      </c>
      <c r="F440" s="0" t="str">
        <f aca="false">IF($A440="","",IF(AT440="Y",BO440&amp;"",BB440&amp;""))</f>
        <v/>
      </c>
      <c r="G440" s="0" t="str">
        <f aca="false">IF($A440="","",IF(AT440="Y",BP440&amp;"",BC440&amp;""))</f>
        <v/>
      </c>
      <c r="H440" s="0" t="str">
        <f aca="false">IF($A440="","",IF(AT440="Y",BQ440&amp;"",BD440&amp;""))</f>
        <v/>
      </c>
      <c r="I440" s="0" t="str">
        <f aca="false">IF($A440="","",IF(R440="Y","warm-intro",IF(H440="verified","email",IF(C440&lt;&gt;"","linkedin",CA440&amp;""))))</f>
        <v/>
      </c>
      <c r="J440" s="0" t="str">
        <f aca="false">IF($A440="","",IF(CK440="pass",ROUND(N(DO440)+N(DP440)+N(DQ440)+N(DR440)+N(DS440)+N(DT440)+N(DU440)+N(DV440),0),0))</f>
        <v/>
      </c>
      <c r="K440" s="0" t="str">
        <f aca="false">IF($A440="","",IF(CK440&lt;&gt;"pass",BY440&amp;"",BY440&amp;", "&amp;IF(AT440="Y",BX440&amp;"",BK440&amp;"")&amp;BZ440&amp;IF(R440="Y","; known to the founder (+10)","")&amp;"."))</f>
        <v/>
      </c>
      <c r="R440" s="5"/>
      <c r="T440" s="5"/>
      <c r="U440" s="5"/>
      <c r="Y440" s="0" t="str">
        <f aca="false">IF(FA440&lt;&gt;"Y","",COUNTIFS($FA$2:$FA$1000,"Y",$J$2:$J$1000,"&gt;"&amp;J440)+COUNTIFS($FA$2:$FA$1000,"Y",$J$2:$J$1000,J440,$FG$2:$FG$1000,"&lt;"&amp;FG440)+1)</f>
        <v/>
      </c>
      <c r="AB440" s="0" t="str">
        <f aca="false">IF($A440="","",IF(AT440="Y",BW440&amp;"",BJ440&amp;""))</f>
        <v/>
      </c>
      <c r="AC440" s="0" t="str">
        <f aca="false">IF($A440="","",IF(AT440="Y",BR440&amp;"",BE440&amp;""))</f>
        <v/>
      </c>
      <c r="AD440" s="0" t="str">
        <f aca="false">IF($A440="","",IF(AT440="Y",BS440&amp;"",BF440&amp;""))</f>
        <v/>
      </c>
      <c r="AE440" s="0" t="str">
        <f aca="false">IF($A440="","",IF(AT440="Y",BT440&amp;"",BG440&amp;""))</f>
        <v/>
      </c>
      <c r="AF440" s="0" t="str">
        <f aca="false">IF($A440="","",IF(AT440="Y",BU440&amp;"",BH440&amp;""))</f>
        <v/>
      </c>
      <c r="AG440" s="0" t="str">
        <f aca="false">IF($A440="","",IF(AT440="Y",BV440&amp;"",BI440&amp;""))</f>
        <v/>
      </c>
      <c r="AO440" s="5"/>
      <c r="AR440" s="0" t="str">
        <f aca="false">IF($A440="","",IF(AND(CK440="pass",AO440&lt;&gt;"Y",C440&lt;&gt;"",OR(AU440&lt;&gt;"Y",AV440="Y")),"Y","N"))</f>
        <v/>
      </c>
      <c r="AS440" s="0" t="str">
        <f aca="false">IF($A440="","",_xlfn.TEXTJOIN("; ",TRUE(),IF(CK440&lt;&gt;"pass","gated out",""),IF(AO440="Y","on hold: "&amp;AP440,""),IF(C440="","no contact named on an opened page",""),IF(AND(AU440="Y",AV440&lt;&gt;"Y"),"founder review pending (Founder review tab)","")))</f>
        <v/>
      </c>
      <c r="BC440" s="0" t="str">
        <f aca="false">IF($A440="","",IFERROR(INDEX(Enrichment!$A$2:$GZ$2000,MATCH($A440,INDEX(Enrichment!$A$2:$GZ$2000,0,MATCH("row_id",Enrichment!$A$1:$GZ$1,0)),0),MATCH("work_email",Enrichment!$A$1:$GZ$1,0))&amp;"",""))</f>
        <v/>
      </c>
      <c r="BD440" s="0" t="str">
        <f aca="false">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P440" s="0" t="str">
        <f aca="false">IF($A440="","",IFERROR(INDEX(Enrichment!$A$2:$GZ$2000,MATCH($A440,INDEX(Enrichment!$A$2:$GZ$2000,0,MATCH("row_id",Enrichment!$A$1:$GZ$1,0)),0),MATCH("backup_work_email",Enrichment!$A$1:$GZ$1,0))&amp;"",""))</f>
        <v/>
      </c>
      <c r="BQ440" s="0" t="str">
        <f aca="false">IF($A440="","",IF(BP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DU440" s="0" t="str">
        <f aca="false">IF($A440="","",IF(R440="Y",10,0))</f>
        <v/>
      </c>
      <c r="EV440" s="0" t="str">
        <f aca="false">IF($A440="","",IF(ISNUMBER(MATCH(U440,{"queued","contacted","replied","call_booked","call_done","yes_in_principle","materials_sent"},0)),"Y","N"))</f>
        <v/>
      </c>
      <c r="EW440" s="0" t="str">
        <f aca="false">IF($A440="","",IF(OR(T440="Y",U440="do_not_contact",AQ440&amp;""&lt;&gt;""),"Y","N"))</f>
        <v/>
      </c>
      <c r="EX440" s="0" t="str">
        <f aca="false">IF($A440="","",IF(AN440&amp;""&lt;&gt;"",AN440&amp;"",$A440))</f>
        <v/>
      </c>
      <c r="EY440" s="0" t="str">
        <f aca="false">IF($A440="","",IF(COUNTIFS($EX$2:$EX$1000,EX440,$EV$2:$EV$1000,"Y")+COUNTIFS($EX$2:$EX$1000,EX440,$EW$2:$EW$1000,"Y")&gt;0,"Y","N"))</f>
        <v/>
      </c>
      <c r="EZ440" s="0" t="str">
        <f aca="false">IF($A440="","",IF(AND(U440="new",T440="N",EW440="N",AR440="Y",EY440="N"),"Y","N"))</f>
        <v/>
      </c>
      <c r="FA440" s="0" t="str">
        <f aca="false">IF($A440="","",IF(EZ440&lt;&gt;"Y","N",IF(COUNTIFS($EX$2:$EX$1000,EX440,$EZ$2:$EZ$1000,"Y",$J$2:$J$1000,"&gt;"&amp;J440)+COUNTIFS($EX$2:$EX$1000,EX440,$EZ$2:$EZ$1000,"Y",$J$2:$J$1000,J440,$FG$2:$FG$1000,"&lt;"&amp;FG440)=0,"Y","N")))</f>
        <v/>
      </c>
      <c r="FB440" s="0" t="str">
        <f aca="false">IF($A440="","",IF(AND(EZ440="Y",FA440="Y",Y440&amp;""&lt;&gt;""),IF(Y440&lt;=10,"Y","N"),"N"))</f>
        <v/>
      </c>
      <c r="FC440" s="0" t="str">
        <f aca="false">IF(FB440="Y",Y440,"")</f>
        <v/>
      </c>
      <c r="FD440" s="0" t="str">
        <f aca="false">IF($A440="","",IF(AND(CK440="pass",AU440="Y",AV440&lt;&gt;"Y",U440="new",EW440="N"),"Y","N"))</f>
        <v/>
      </c>
      <c r="FE440" s="0" t="str">
        <f aca="false">IF(FD440&lt;&gt;"Y","",IF(COUNTIFS($FD$2:$FD$1000,"Y",$J$2:$J$1000,"&gt;"&amp;J440)+COUNTIFS($FD$2:$FD$1000,"Y",$J$2:$J$1000,J440,$FG$2:$FG$1000,"&lt;"&amp;FG440)+1&lt;=30,COUNTIFS($FD$2:$FD$1000,"Y",$J$2:$J$1000,"&gt;"&amp;J440)+COUNTIFS($FD$2:$FD$1000,"Y",$J$2:$J$1000,J440,$FG$2:$FG$1000,"&lt;"&amp;FG440)+1,""))</f>
        <v/>
      </c>
      <c r="FF440" s="0" t="str">
        <f aca="false">IF(AND(_xlfn.ISFORMULA(C440),_xlfn.ISFORMULA(J440)),"Y","N")</f>
        <v>Y</v>
      </c>
      <c r="FG440" s="0" t="n">
        <f aca="false">ROW()-1</f>
        <v>439</v>
      </c>
    </row>
    <row r="441" customFormat="false" ht="15" hidden="false" customHeight="false" outlineLevel="0" collapsed="false">
      <c r="C441" s="0" t="str">
        <f aca="false">IF($A441="","",IF(AT441="Y",BL441&amp;"",AY441&amp;""))</f>
        <v/>
      </c>
      <c r="D441" s="0" t="str">
        <f aca="false">IF($A441="","",IF(AT441="Y",BM441&amp;"",AZ441&amp;""))</f>
        <v/>
      </c>
      <c r="E441" s="0" t="str">
        <f aca="false">IF($A441="","",IF(AT441="Y",BN441&amp;"",BA441&amp;""))</f>
        <v/>
      </c>
      <c r="F441" s="0" t="str">
        <f aca="false">IF($A441="","",IF(AT441="Y",BO441&amp;"",BB441&amp;""))</f>
        <v/>
      </c>
      <c r="G441" s="0" t="str">
        <f aca="false">IF($A441="","",IF(AT441="Y",BP441&amp;"",BC441&amp;""))</f>
        <v/>
      </c>
      <c r="H441" s="0" t="str">
        <f aca="false">IF($A441="","",IF(AT441="Y",BQ441&amp;"",BD441&amp;""))</f>
        <v/>
      </c>
      <c r="I441" s="0" t="str">
        <f aca="false">IF($A441="","",IF(R441="Y","warm-intro",IF(H441="verified","email",IF(C441&lt;&gt;"","linkedin",CA441&amp;""))))</f>
        <v/>
      </c>
      <c r="J441" s="0" t="str">
        <f aca="false">IF($A441="","",IF(CK441="pass",ROUND(N(DO441)+N(DP441)+N(DQ441)+N(DR441)+N(DS441)+N(DT441)+N(DU441)+N(DV441),0),0))</f>
        <v/>
      </c>
      <c r="K441" s="0" t="str">
        <f aca="false">IF($A441="","",IF(CK441&lt;&gt;"pass",BY441&amp;"",BY441&amp;", "&amp;IF(AT441="Y",BX441&amp;"",BK441&amp;"")&amp;BZ441&amp;IF(R441="Y","; known to the founder (+10)","")&amp;"."))</f>
        <v/>
      </c>
      <c r="R441" s="5"/>
      <c r="T441" s="5"/>
      <c r="U441" s="5"/>
      <c r="Y441" s="0" t="str">
        <f aca="false">IF(FA441&lt;&gt;"Y","",COUNTIFS($FA$2:$FA$1000,"Y",$J$2:$J$1000,"&gt;"&amp;J441)+COUNTIFS($FA$2:$FA$1000,"Y",$J$2:$J$1000,J441,$FG$2:$FG$1000,"&lt;"&amp;FG441)+1)</f>
        <v/>
      </c>
      <c r="AB441" s="0" t="str">
        <f aca="false">IF($A441="","",IF(AT441="Y",BW441&amp;"",BJ441&amp;""))</f>
        <v/>
      </c>
      <c r="AC441" s="0" t="str">
        <f aca="false">IF($A441="","",IF(AT441="Y",BR441&amp;"",BE441&amp;""))</f>
        <v/>
      </c>
      <c r="AD441" s="0" t="str">
        <f aca="false">IF($A441="","",IF(AT441="Y",BS441&amp;"",BF441&amp;""))</f>
        <v/>
      </c>
      <c r="AE441" s="0" t="str">
        <f aca="false">IF($A441="","",IF(AT441="Y",BT441&amp;"",BG441&amp;""))</f>
        <v/>
      </c>
      <c r="AF441" s="0" t="str">
        <f aca="false">IF($A441="","",IF(AT441="Y",BU441&amp;"",BH441&amp;""))</f>
        <v/>
      </c>
      <c r="AG441" s="0" t="str">
        <f aca="false">IF($A441="","",IF(AT441="Y",BV441&amp;"",BI441&amp;""))</f>
        <v/>
      </c>
      <c r="AO441" s="5"/>
      <c r="AR441" s="0" t="str">
        <f aca="false">IF($A441="","",IF(AND(CK441="pass",AO441&lt;&gt;"Y",C441&lt;&gt;"",OR(AU441&lt;&gt;"Y",AV441="Y")),"Y","N"))</f>
        <v/>
      </c>
      <c r="AS441" s="0" t="str">
        <f aca="false">IF($A441="","",_xlfn.TEXTJOIN("; ",TRUE(),IF(CK441&lt;&gt;"pass","gated out",""),IF(AO441="Y","on hold: "&amp;AP441,""),IF(C441="","no contact named on an opened page",""),IF(AND(AU441="Y",AV441&lt;&gt;"Y"),"founder review pending (Founder review tab)","")))</f>
        <v/>
      </c>
      <c r="BC441" s="0" t="str">
        <f aca="false">IF($A441="","",IFERROR(INDEX(Enrichment!$A$2:$GZ$2000,MATCH($A441,INDEX(Enrichment!$A$2:$GZ$2000,0,MATCH("row_id",Enrichment!$A$1:$GZ$1,0)),0),MATCH("work_email",Enrichment!$A$1:$GZ$1,0))&amp;"",""))</f>
        <v/>
      </c>
      <c r="BD441" s="0" t="str">
        <f aca="false">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P441" s="0" t="str">
        <f aca="false">IF($A441="","",IFERROR(INDEX(Enrichment!$A$2:$GZ$2000,MATCH($A441,INDEX(Enrichment!$A$2:$GZ$2000,0,MATCH("row_id",Enrichment!$A$1:$GZ$1,0)),0),MATCH("backup_work_email",Enrichment!$A$1:$GZ$1,0))&amp;"",""))</f>
        <v/>
      </c>
      <c r="BQ441" s="0" t="str">
        <f aca="false">IF($A441="","",IF(BP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DU441" s="0" t="str">
        <f aca="false">IF($A441="","",IF(R441="Y",10,0))</f>
        <v/>
      </c>
      <c r="EV441" s="0" t="str">
        <f aca="false">IF($A441="","",IF(ISNUMBER(MATCH(U441,{"queued","contacted","replied","call_booked","call_done","yes_in_principle","materials_sent"},0)),"Y","N"))</f>
        <v/>
      </c>
      <c r="EW441" s="0" t="str">
        <f aca="false">IF($A441="","",IF(OR(T441="Y",U441="do_not_contact",AQ441&amp;""&lt;&gt;""),"Y","N"))</f>
        <v/>
      </c>
      <c r="EX441" s="0" t="str">
        <f aca="false">IF($A441="","",IF(AN441&amp;""&lt;&gt;"",AN441&amp;"",$A441))</f>
        <v/>
      </c>
      <c r="EY441" s="0" t="str">
        <f aca="false">IF($A441="","",IF(COUNTIFS($EX$2:$EX$1000,EX441,$EV$2:$EV$1000,"Y")+COUNTIFS($EX$2:$EX$1000,EX441,$EW$2:$EW$1000,"Y")&gt;0,"Y","N"))</f>
        <v/>
      </c>
      <c r="EZ441" s="0" t="str">
        <f aca="false">IF($A441="","",IF(AND(U441="new",T441="N",EW441="N",AR441="Y",EY441="N"),"Y","N"))</f>
        <v/>
      </c>
      <c r="FA441" s="0" t="str">
        <f aca="false">IF($A441="","",IF(EZ441&lt;&gt;"Y","N",IF(COUNTIFS($EX$2:$EX$1000,EX441,$EZ$2:$EZ$1000,"Y",$J$2:$J$1000,"&gt;"&amp;J441)+COUNTIFS($EX$2:$EX$1000,EX441,$EZ$2:$EZ$1000,"Y",$J$2:$J$1000,J441,$FG$2:$FG$1000,"&lt;"&amp;FG441)=0,"Y","N")))</f>
        <v/>
      </c>
      <c r="FB441" s="0" t="str">
        <f aca="false">IF($A441="","",IF(AND(EZ441="Y",FA441="Y",Y441&amp;""&lt;&gt;""),IF(Y441&lt;=10,"Y","N"),"N"))</f>
        <v/>
      </c>
      <c r="FC441" s="0" t="str">
        <f aca="false">IF(FB441="Y",Y441,"")</f>
        <v/>
      </c>
      <c r="FD441" s="0" t="str">
        <f aca="false">IF($A441="","",IF(AND(CK441="pass",AU441="Y",AV441&lt;&gt;"Y",U441="new",EW441="N"),"Y","N"))</f>
        <v/>
      </c>
      <c r="FE441" s="0" t="str">
        <f aca="false">IF(FD441&lt;&gt;"Y","",IF(COUNTIFS($FD$2:$FD$1000,"Y",$J$2:$J$1000,"&gt;"&amp;J441)+COUNTIFS($FD$2:$FD$1000,"Y",$J$2:$J$1000,J441,$FG$2:$FG$1000,"&lt;"&amp;FG441)+1&lt;=30,COUNTIFS($FD$2:$FD$1000,"Y",$J$2:$J$1000,"&gt;"&amp;J441)+COUNTIFS($FD$2:$FD$1000,"Y",$J$2:$J$1000,J441,$FG$2:$FG$1000,"&lt;"&amp;FG441)+1,""))</f>
        <v/>
      </c>
      <c r="FF441" s="0" t="str">
        <f aca="false">IF(AND(_xlfn.ISFORMULA(C441),_xlfn.ISFORMULA(J441)),"Y","N")</f>
        <v>Y</v>
      </c>
      <c r="FG441" s="0" t="n">
        <f aca="false">ROW()-1</f>
        <v>440</v>
      </c>
    </row>
    <row r="442" customFormat="false" ht="15" hidden="false" customHeight="false" outlineLevel="0" collapsed="false">
      <c r="C442" s="0" t="str">
        <f aca="false">IF($A442="","",IF(AT442="Y",BL442&amp;"",AY442&amp;""))</f>
        <v/>
      </c>
      <c r="D442" s="0" t="str">
        <f aca="false">IF($A442="","",IF(AT442="Y",BM442&amp;"",AZ442&amp;""))</f>
        <v/>
      </c>
      <c r="E442" s="0" t="str">
        <f aca="false">IF($A442="","",IF(AT442="Y",BN442&amp;"",BA442&amp;""))</f>
        <v/>
      </c>
      <c r="F442" s="0" t="str">
        <f aca="false">IF($A442="","",IF(AT442="Y",BO442&amp;"",BB442&amp;""))</f>
        <v/>
      </c>
      <c r="G442" s="0" t="str">
        <f aca="false">IF($A442="","",IF(AT442="Y",BP442&amp;"",BC442&amp;""))</f>
        <v/>
      </c>
      <c r="H442" s="0" t="str">
        <f aca="false">IF($A442="","",IF(AT442="Y",BQ442&amp;"",BD442&amp;""))</f>
        <v/>
      </c>
      <c r="I442" s="0" t="str">
        <f aca="false">IF($A442="","",IF(R442="Y","warm-intro",IF(H442="verified","email",IF(C442&lt;&gt;"","linkedin",CA442&amp;""))))</f>
        <v/>
      </c>
      <c r="J442" s="0" t="str">
        <f aca="false">IF($A442="","",IF(CK442="pass",ROUND(N(DO442)+N(DP442)+N(DQ442)+N(DR442)+N(DS442)+N(DT442)+N(DU442)+N(DV442),0),0))</f>
        <v/>
      </c>
      <c r="K442" s="0" t="str">
        <f aca="false">IF($A442="","",IF(CK442&lt;&gt;"pass",BY442&amp;"",BY442&amp;", "&amp;IF(AT442="Y",BX442&amp;"",BK442&amp;"")&amp;BZ442&amp;IF(R442="Y","; known to the founder (+10)","")&amp;"."))</f>
        <v/>
      </c>
      <c r="R442" s="5"/>
      <c r="T442" s="5"/>
      <c r="U442" s="5"/>
      <c r="Y442" s="0" t="str">
        <f aca="false">IF(FA442&lt;&gt;"Y","",COUNTIFS($FA$2:$FA$1000,"Y",$J$2:$J$1000,"&gt;"&amp;J442)+COUNTIFS($FA$2:$FA$1000,"Y",$J$2:$J$1000,J442,$FG$2:$FG$1000,"&lt;"&amp;FG442)+1)</f>
        <v/>
      </c>
      <c r="AB442" s="0" t="str">
        <f aca="false">IF($A442="","",IF(AT442="Y",BW442&amp;"",BJ442&amp;""))</f>
        <v/>
      </c>
      <c r="AC442" s="0" t="str">
        <f aca="false">IF($A442="","",IF(AT442="Y",BR442&amp;"",BE442&amp;""))</f>
        <v/>
      </c>
      <c r="AD442" s="0" t="str">
        <f aca="false">IF($A442="","",IF(AT442="Y",BS442&amp;"",BF442&amp;""))</f>
        <v/>
      </c>
      <c r="AE442" s="0" t="str">
        <f aca="false">IF($A442="","",IF(AT442="Y",BT442&amp;"",BG442&amp;""))</f>
        <v/>
      </c>
      <c r="AF442" s="0" t="str">
        <f aca="false">IF($A442="","",IF(AT442="Y",BU442&amp;"",BH442&amp;""))</f>
        <v/>
      </c>
      <c r="AG442" s="0" t="str">
        <f aca="false">IF($A442="","",IF(AT442="Y",BV442&amp;"",BI442&amp;""))</f>
        <v/>
      </c>
      <c r="AO442" s="5"/>
      <c r="AR442" s="0" t="str">
        <f aca="false">IF($A442="","",IF(AND(CK442="pass",AO442&lt;&gt;"Y",C442&lt;&gt;"",OR(AU442&lt;&gt;"Y",AV442="Y")),"Y","N"))</f>
        <v/>
      </c>
      <c r="AS442" s="0" t="str">
        <f aca="false">IF($A442="","",_xlfn.TEXTJOIN("; ",TRUE(),IF(CK442&lt;&gt;"pass","gated out",""),IF(AO442="Y","on hold: "&amp;AP442,""),IF(C442="","no contact named on an opened page",""),IF(AND(AU442="Y",AV442&lt;&gt;"Y"),"founder review pending (Founder review tab)","")))</f>
        <v/>
      </c>
      <c r="BC442" s="0" t="str">
        <f aca="false">IF($A442="","",IFERROR(INDEX(Enrichment!$A$2:$GZ$2000,MATCH($A442,INDEX(Enrichment!$A$2:$GZ$2000,0,MATCH("row_id",Enrichment!$A$1:$GZ$1,0)),0),MATCH("work_email",Enrichment!$A$1:$GZ$1,0))&amp;"",""))</f>
        <v/>
      </c>
      <c r="BD442" s="0" t="str">
        <f aca="false">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P442" s="0" t="str">
        <f aca="false">IF($A442="","",IFERROR(INDEX(Enrichment!$A$2:$GZ$2000,MATCH($A442,INDEX(Enrichment!$A$2:$GZ$2000,0,MATCH("row_id",Enrichment!$A$1:$GZ$1,0)),0),MATCH("backup_work_email",Enrichment!$A$1:$GZ$1,0))&amp;"",""))</f>
        <v/>
      </c>
      <c r="BQ442" s="0" t="str">
        <f aca="false">IF($A442="","",IF(BP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DU442" s="0" t="str">
        <f aca="false">IF($A442="","",IF(R442="Y",10,0))</f>
        <v/>
      </c>
      <c r="EV442" s="0" t="str">
        <f aca="false">IF($A442="","",IF(ISNUMBER(MATCH(U442,{"queued","contacted","replied","call_booked","call_done","yes_in_principle","materials_sent"},0)),"Y","N"))</f>
        <v/>
      </c>
      <c r="EW442" s="0" t="str">
        <f aca="false">IF($A442="","",IF(OR(T442="Y",U442="do_not_contact",AQ442&amp;""&lt;&gt;""),"Y","N"))</f>
        <v/>
      </c>
      <c r="EX442" s="0" t="str">
        <f aca="false">IF($A442="","",IF(AN442&amp;""&lt;&gt;"",AN442&amp;"",$A442))</f>
        <v/>
      </c>
      <c r="EY442" s="0" t="str">
        <f aca="false">IF($A442="","",IF(COUNTIFS($EX$2:$EX$1000,EX442,$EV$2:$EV$1000,"Y")+COUNTIFS($EX$2:$EX$1000,EX442,$EW$2:$EW$1000,"Y")&gt;0,"Y","N"))</f>
        <v/>
      </c>
      <c r="EZ442" s="0" t="str">
        <f aca="false">IF($A442="","",IF(AND(U442="new",T442="N",EW442="N",AR442="Y",EY442="N"),"Y","N"))</f>
        <v/>
      </c>
      <c r="FA442" s="0" t="str">
        <f aca="false">IF($A442="","",IF(EZ442&lt;&gt;"Y","N",IF(COUNTIFS($EX$2:$EX$1000,EX442,$EZ$2:$EZ$1000,"Y",$J$2:$J$1000,"&gt;"&amp;J442)+COUNTIFS($EX$2:$EX$1000,EX442,$EZ$2:$EZ$1000,"Y",$J$2:$J$1000,J442,$FG$2:$FG$1000,"&lt;"&amp;FG442)=0,"Y","N")))</f>
        <v/>
      </c>
      <c r="FB442" s="0" t="str">
        <f aca="false">IF($A442="","",IF(AND(EZ442="Y",FA442="Y",Y442&amp;""&lt;&gt;""),IF(Y442&lt;=10,"Y","N"),"N"))</f>
        <v/>
      </c>
      <c r="FC442" s="0" t="str">
        <f aca="false">IF(FB442="Y",Y442,"")</f>
        <v/>
      </c>
      <c r="FD442" s="0" t="str">
        <f aca="false">IF($A442="","",IF(AND(CK442="pass",AU442="Y",AV442&lt;&gt;"Y",U442="new",EW442="N"),"Y","N"))</f>
        <v/>
      </c>
      <c r="FE442" s="0" t="str">
        <f aca="false">IF(FD442&lt;&gt;"Y","",IF(COUNTIFS($FD$2:$FD$1000,"Y",$J$2:$J$1000,"&gt;"&amp;J442)+COUNTIFS($FD$2:$FD$1000,"Y",$J$2:$J$1000,J442,$FG$2:$FG$1000,"&lt;"&amp;FG442)+1&lt;=30,COUNTIFS($FD$2:$FD$1000,"Y",$J$2:$J$1000,"&gt;"&amp;J442)+COUNTIFS($FD$2:$FD$1000,"Y",$J$2:$J$1000,J442,$FG$2:$FG$1000,"&lt;"&amp;FG442)+1,""))</f>
        <v/>
      </c>
      <c r="FF442" s="0" t="str">
        <f aca="false">IF(AND(_xlfn.ISFORMULA(C442),_xlfn.ISFORMULA(J442)),"Y","N")</f>
        <v>Y</v>
      </c>
      <c r="FG442" s="0" t="n">
        <f aca="false">ROW()-1</f>
        <v>441</v>
      </c>
    </row>
    <row r="443" customFormat="false" ht="15" hidden="false" customHeight="false" outlineLevel="0" collapsed="false">
      <c r="C443" s="0" t="str">
        <f aca="false">IF($A443="","",IF(AT443="Y",BL443&amp;"",AY443&amp;""))</f>
        <v/>
      </c>
      <c r="D443" s="0" t="str">
        <f aca="false">IF($A443="","",IF(AT443="Y",BM443&amp;"",AZ443&amp;""))</f>
        <v/>
      </c>
      <c r="E443" s="0" t="str">
        <f aca="false">IF($A443="","",IF(AT443="Y",BN443&amp;"",BA443&amp;""))</f>
        <v/>
      </c>
      <c r="F443" s="0" t="str">
        <f aca="false">IF($A443="","",IF(AT443="Y",BO443&amp;"",BB443&amp;""))</f>
        <v/>
      </c>
      <c r="G443" s="0" t="str">
        <f aca="false">IF($A443="","",IF(AT443="Y",BP443&amp;"",BC443&amp;""))</f>
        <v/>
      </c>
      <c r="H443" s="0" t="str">
        <f aca="false">IF($A443="","",IF(AT443="Y",BQ443&amp;"",BD443&amp;""))</f>
        <v/>
      </c>
      <c r="I443" s="0" t="str">
        <f aca="false">IF($A443="","",IF(R443="Y","warm-intro",IF(H443="verified","email",IF(C443&lt;&gt;"","linkedin",CA443&amp;""))))</f>
        <v/>
      </c>
      <c r="J443" s="0" t="str">
        <f aca="false">IF($A443="","",IF(CK443="pass",ROUND(N(DO443)+N(DP443)+N(DQ443)+N(DR443)+N(DS443)+N(DT443)+N(DU443)+N(DV443),0),0))</f>
        <v/>
      </c>
      <c r="K443" s="0" t="str">
        <f aca="false">IF($A443="","",IF(CK443&lt;&gt;"pass",BY443&amp;"",BY443&amp;", "&amp;IF(AT443="Y",BX443&amp;"",BK443&amp;"")&amp;BZ443&amp;IF(R443="Y","; known to the founder (+10)","")&amp;"."))</f>
        <v/>
      </c>
      <c r="R443" s="5"/>
      <c r="T443" s="5"/>
      <c r="U443" s="5"/>
      <c r="Y443" s="0" t="str">
        <f aca="false">IF(FA443&lt;&gt;"Y","",COUNTIFS($FA$2:$FA$1000,"Y",$J$2:$J$1000,"&gt;"&amp;J443)+COUNTIFS($FA$2:$FA$1000,"Y",$J$2:$J$1000,J443,$FG$2:$FG$1000,"&lt;"&amp;FG443)+1)</f>
        <v/>
      </c>
      <c r="AB443" s="0" t="str">
        <f aca="false">IF($A443="","",IF(AT443="Y",BW443&amp;"",BJ443&amp;""))</f>
        <v/>
      </c>
      <c r="AC443" s="0" t="str">
        <f aca="false">IF($A443="","",IF(AT443="Y",BR443&amp;"",BE443&amp;""))</f>
        <v/>
      </c>
      <c r="AD443" s="0" t="str">
        <f aca="false">IF($A443="","",IF(AT443="Y",BS443&amp;"",BF443&amp;""))</f>
        <v/>
      </c>
      <c r="AE443" s="0" t="str">
        <f aca="false">IF($A443="","",IF(AT443="Y",BT443&amp;"",BG443&amp;""))</f>
        <v/>
      </c>
      <c r="AF443" s="0" t="str">
        <f aca="false">IF($A443="","",IF(AT443="Y",BU443&amp;"",BH443&amp;""))</f>
        <v/>
      </c>
      <c r="AG443" s="0" t="str">
        <f aca="false">IF($A443="","",IF(AT443="Y",BV443&amp;"",BI443&amp;""))</f>
        <v/>
      </c>
      <c r="AO443" s="5"/>
      <c r="AR443" s="0" t="str">
        <f aca="false">IF($A443="","",IF(AND(CK443="pass",AO443&lt;&gt;"Y",C443&lt;&gt;"",OR(AU443&lt;&gt;"Y",AV443="Y")),"Y","N"))</f>
        <v/>
      </c>
      <c r="AS443" s="0" t="str">
        <f aca="false">IF($A443="","",_xlfn.TEXTJOIN("; ",TRUE(),IF(CK443&lt;&gt;"pass","gated out",""),IF(AO443="Y","on hold: "&amp;AP443,""),IF(C443="","no contact named on an opened page",""),IF(AND(AU443="Y",AV443&lt;&gt;"Y"),"founder review pending (Founder review tab)","")))</f>
        <v/>
      </c>
      <c r="BC443" s="0" t="str">
        <f aca="false">IF($A443="","",IFERROR(INDEX(Enrichment!$A$2:$GZ$2000,MATCH($A443,INDEX(Enrichment!$A$2:$GZ$2000,0,MATCH("row_id",Enrichment!$A$1:$GZ$1,0)),0),MATCH("work_email",Enrichment!$A$1:$GZ$1,0))&amp;"",""))</f>
        <v/>
      </c>
      <c r="BD443" s="0" t="str">
        <f aca="false">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P443" s="0" t="str">
        <f aca="false">IF($A443="","",IFERROR(INDEX(Enrichment!$A$2:$GZ$2000,MATCH($A443,INDEX(Enrichment!$A$2:$GZ$2000,0,MATCH("row_id",Enrichment!$A$1:$GZ$1,0)),0),MATCH("backup_work_email",Enrichment!$A$1:$GZ$1,0))&amp;"",""))</f>
        <v/>
      </c>
      <c r="BQ443" s="0" t="str">
        <f aca="false">IF($A443="","",IF(BP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DU443" s="0" t="str">
        <f aca="false">IF($A443="","",IF(R443="Y",10,0))</f>
        <v/>
      </c>
      <c r="EV443" s="0" t="str">
        <f aca="false">IF($A443="","",IF(ISNUMBER(MATCH(U443,{"queued","contacted","replied","call_booked","call_done","yes_in_principle","materials_sent"},0)),"Y","N"))</f>
        <v/>
      </c>
      <c r="EW443" s="0" t="str">
        <f aca="false">IF($A443="","",IF(OR(T443="Y",U443="do_not_contact",AQ443&amp;""&lt;&gt;""),"Y","N"))</f>
        <v/>
      </c>
      <c r="EX443" s="0" t="str">
        <f aca="false">IF($A443="","",IF(AN443&amp;""&lt;&gt;"",AN443&amp;"",$A443))</f>
        <v/>
      </c>
      <c r="EY443" s="0" t="str">
        <f aca="false">IF($A443="","",IF(COUNTIFS($EX$2:$EX$1000,EX443,$EV$2:$EV$1000,"Y")+COUNTIFS($EX$2:$EX$1000,EX443,$EW$2:$EW$1000,"Y")&gt;0,"Y","N"))</f>
        <v/>
      </c>
      <c r="EZ443" s="0" t="str">
        <f aca="false">IF($A443="","",IF(AND(U443="new",T443="N",EW443="N",AR443="Y",EY443="N"),"Y","N"))</f>
        <v/>
      </c>
      <c r="FA443" s="0" t="str">
        <f aca="false">IF($A443="","",IF(EZ443&lt;&gt;"Y","N",IF(COUNTIFS($EX$2:$EX$1000,EX443,$EZ$2:$EZ$1000,"Y",$J$2:$J$1000,"&gt;"&amp;J443)+COUNTIFS($EX$2:$EX$1000,EX443,$EZ$2:$EZ$1000,"Y",$J$2:$J$1000,J443,$FG$2:$FG$1000,"&lt;"&amp;FG443)=0,"Y","N")))</f>
        <v/>
      </c>
      <c r="FB443" s="0" t="str">
        <f aca="false">IF($A443="","",IF(AND(EZ443="Y",FA443="Y",Y443&amp;""&lt;&gt;""),IF(Y443&lt;=10,"Y","N"),"N"))</f>
        <v/>
      </c>
      <c r="FC443" s="0" t="str">
        <f aca="false">IF(FB443="Y",Y443,"")</f>
        <v/>
      </c>
      <c r="FD443" s="0" t="str">
        <f aca="false">IF($A443="","",IF(AND(CK443="pass",AU443="Y",AV443&lt;&gt;"Y",U443="new",EW443="N"),"Y","N"))</f>
        <v/>
      </c>
      <c r="FE443" s="0" t="str">
        <f aca="false">IF(FD443&lt;&gt;"Y","",IF(COUNTIFS($FD$2:$FD$1000,"Y",$J$2:$J$1000,"&gt;"&amp;J443)+COUNTIFS($FD$2:$FD$1000,"Y",$J$2:$J$1000,J443,$FG$2:$FG$1000,"&lt;"&amp;FG443)+1&lt;=30,COUNTIFS($FD$2:$FD$1000,"Y",$J$2:$J$1000,"&gt;"&amp;J443)+COUNTIFS($FD$2:$FD$1000,"Y",$J$2:$J$1000,J443,$FG$2:$FG$1000,"&lt;"&amp;FG443)+1,""))</f>
        <v/>
      </c>
      <c r="FF443" s="0" t="str">
        <f aca="false">IF(AND(_xlfn.ISFORMULA(C443),_xlfn.ISFORMULA(J443)),"Y","N")</f>
        <v>Y</v>
      </c>
      <c r="FG443" s="0" t="n">
        <f aca="false">ROW()-1</f>
        <v>442</v>
      </c>
    </row>
    <row r="444" customFormat="false" ht="15" hidden="false" customHeight="false" outlineLevel="0" collapsed="false">
      <c r="C444" s="0" t="str">
        <f aca="false">IF($A444="","",IF(AT444="Y",BL444&amp;"",AY444&amp;""))</f>
        <v/>
      </c>
      <c r="D444" s="0" t="str">
        <f aca="false">IF($A444="","",IF(AT444="Y",BM444&amp;"",AZ444&amp;""))</f>
        <v/>
      </c>
      <c r="E444" s="0" t="str">
        <f aca="false">IF($A444="","",IF(AT444="Y",BN444&amp;"",BA444&amp;""))</f>
        <v/>
      </c>
      <c r="F444" s="0" t="str">
        <f aca="false">IF($A444="","",IF(AT444="Y",BO444&amp;"",BB444&amp;""))</f>
        <v/>
      </c>
      <c r="G444" s="0" t="str">
        <f aca="false">IF($A444="","",IF(AT444="Y",BP444&amp;"",BC444&amp;""))</f>
        <v/>
      </c>
      <c r="H444" s="0" t="str">
        <f aca="false">IF($A444="","",IF(AT444="Y",BQ444&amp;"",BD444&amp;""))</f>
        <v/>
      </c>
      <c r="I444" s="0" t="str">
        <f aca="false">IF($A444="","",IF(R444="Y","warm-intro",IF(H444="verified","email",IF(C444&lt;&gt;"","linkedin",CA444&amp;""))))</f>
        <v/>
      </c>
      <c r="J444" s="0" t="str">
        <f aca="false">IF($A444="","",IF(CK444="pass",ROUND(N(DO444)+N(DP444)+N(DQ444)+N(DR444)+N(DS444)+N(DT444)+N(DU444)+N(DV444),0),0))</f>
        <v/>
      </c>
      <c r="K444" s="0" t="str">
        <f aca="false">IF($A444="","",IF(CK444&lt;&gt;"pass",BY444&amp;"",BY444&amp;", "&amp;IF(AT444="Y",BX444&amp;"",BK444&amp;"")&amp;BZ444&amp;IF(R444="Y","; known to the founder (+10)","")&amp;"."))</f>
        <v/>
      </c>
      <c r="R444" s="5"/>
      <c r="T444" s="5"/>
      <c r="U444" s="5"/>
      <c r="Y444" s="0" t="str">
        <f aca="false">IF(FA444&lt;&gt;"Y","",COUNTIFS($FA$2:$FA$1000,"Y",$J$2:$J$1000,"&gt;"&amp;J444)+COUNTIFS($FA$2:$FA$1000,"Y",$J$2:$J$1000,J444,$FG$2:$FG$1000,"&lt;"&amp;FG444)+1)</f>
        <v/>
      </c>
      <c r="AB444" s="0" t="str">
        <f aca="false">IF($A444="","",IF(AT444="Y",BW444&amp;"",BJ444&amp;""))</f>
        <v/>
      </c>
      <c r="AC444" s="0" t="str">
        <f aca="false">IF($A444="","",IF(AT444="Y",BR444&amp;"",BE444&amp;""))</f>
        <v/>
      </c>
      <c r="AD444" s="0" t="str">
        <f aca="false">IF($A444="","",IF(AT444="Y",BS444&amp;"",BF444&amp;""))</f>
        <v/>
      </c>
      <c r="AE444" s="0" t="str">
        <f aca="false">IF($A444="","",IF(AT444="Y",BT444&amp;"",BG444&amp;""))</f>
        <v/>
      </c>
      <c r="AF444" s="0" t="str">
        <f aca="false">IF($A444="","",IF(AT444="Y",BU444&amp;"",BH444&amp;""))</f>
        <v/>
      </c>
      <c r="AG444" s="0" t="str">
        <f aca="false">IF($A444="","",IF(AT444="Y",BV444&amp;"",BI444&amp;""))</f>
        <v/>
      </c>
      <c r="AO444" s="5"/>
      <c r="AR444" s="0" t="str">
        <f aca="false">IF($A444="","",IF(AND(CK444="pass",AO444&lt;&gt;"Y",C444&lt;&gt;"",OR(AU444&lt;&gt;"Y",AV444="Y")),"Y","N"))</f>
        <v/>
      </c>
      <c r="AS444" s="0" t="str">
        <f aca="false">IF($A444="","",_xlfn.TEXTJOIN("; ",TRUE(),IF(CK444&lt;&gt;"pass","gated out",""),IF(AO444="Y","on hold: "&amp;AP444,""),IF(C444="","no contact named on an opened page",""),IF(AND(AU444="Y",AV444&lt;&gt;"Y"),"founder review pending (Founder review tab)","")))</f>
        <v/>
      </c>
      <c r="BC444" s="0" t="str">
        <f aca="false">IF($A444="","",IFERROR(INDEX(Enrichment!$A$2:$GZ$2000,MATCH($A444,INDEX(Enrichment!$A$2:$GZ$2000,0,MATCH("row_id",Enrichment!$A$1:$GZ$1,0)),0),MATCH("work_email",Enrichment!$A$1:$GZ$1,0))&amp;"",""))</f>
        <v/>
      </c>
      <c r="BD444" s="0" t="str">
        <f aca="false">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P444" s="0" t="str">
        <f aca="false">IF($A444="","",IFERROR(INDEX(Enrichment!$A$2:$GZ$2000,MATCH($A444,INDEX(Enrichment!$A$2:$GZ$2000,0,MATCH("row_id",Enrichment!$A$1:$GZ$1,0)),0),MATCH("backup_work_email",Enrichment!$A$1:$GZ$1,0))&amp;"",""))</f>
        <v/>
      </c>
      <c r="BQ444" s="0" t="str">
        <f aca="false">IF($A444="","",IF(BP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DU444" s="0" t="str">
        <f aca="false">IF($A444="","",IF(R444="Y",10,0))</f>
        <v/>
      </c>
      <c r="EV444" s="0" t="str">
        <f aca="false">IF($A444="","",IF(ISNUMBER(MATCH(U444,{"queued","contacted","replied","call_booked","call_done","yes_in_principle","materials_sent"},0)),"Y","N"))</f>
        <v/>
      </c>
      <c r="EW444" s="0" t="str">
        <f aca="false">IF($A444="","",IF(OR(T444="Y",U444="do_not_contact",AQ444&amp;""&lt;&gt;""),"Y","N"))</f>
        <v/>
      </c>
      <c r="EX444" s="0" t="str">
        <f aca="false">IF($A444="","",IF(AN444&amp;""&lt;&gt;"",AN444&amp;"",$A444))</f>
        <v/>
      </c>
      <c r="EY444" s="0" t="str">
        <f aca="false">IF($A444="","",IF(COUNTIFS($EX$2:$EX$1000,EX444,$EV$2:$EV$1000,"Y")+COUNTIFS($EX$2:$EX$1000,EX444,$EW$2:$EW$1000,"Y")&gt;0,"Y","N"))</f>
        <v/>
      </c>
      <c r="EZ444" s="0" t="str">
        <f aca="false">IF($A444="","",IF(AND(U444="new",T444="N",EW444="N",AR444="Y",EY444="N"),"Y","N"))</f>
        <v/>
      </c>
      <c r="FA444" s="0" t="str">
        <f aca="false">IF($A444="","",IF(EZ444&lt;&gt;"Y","N",IF(COUNTIFS($EX$2:$EX$1000,EX444,$EZ$2:$EZ$1000,"Y",$J$2:$J$1000,"&gt;"&amp;J444)+COUNTIFS($EX$2:$EX$1000,EX444,$EZ$2:$EZ$1000,"Y",$J$2:$J$1000,J444,$FG$2:$FG$1000,"&lt;"&amp;FG444)=0,"Y","N")))</f>
        <v/>
      </c>
      <c r="FB444" s="0" t="str">
        <f aca="false">IF($A444="","",IF(AND(EZ444="Y",FA444="Y",Y444&amp;""&lt;&gt;""),IF(Y444&lt;=10,"Y","N"),"N"))</f>
        <v/>
      </c>
      <c r="FC444" s="0" t="str">
        <f aca="false">IF(FB444="Y",Y444,"")</f>
        <v/>
      </c>
      <c r="FD444" s="0" t="str">
        <f aca="false">IF($A444="","",IF(AND(CK444="pass",AU444="Y",AV444&lt;&gt;"Y",U444="new",EW444="N"),"Y","N"))</f>
        <v/>
      </c>
      <c r="FE444" s="0" t="str">
        <f aca="false">IF(FD444&lt;&gt;"Y","",IF(COUNTIFS($FD$2:$FD$1000,"Y",$J$2:$J$1000,"&gt;"&amp;J444)+COUNTIFS($FD$2:$FD$1000,"Y",$J$2:$J$1000,J444,$FG$2:$FG$1000,"&lt;"&amp;FG444)+1&lt;=30,COUNTIFS($FD$2:$FD$1000,"Y",$J$2:$J$1000,"&gt;"&amp;J444)+COUNTIFS($FD$2:$FD$1000,"Y",$J$2:$J$1000,J444,$FG$2:$FG$1000,"&lt;"&amp;FG444)+1,""))</f>
        <v/>
      </c>
      <c r="FF444" s="0" t="str">
        <f aca="false">IF(AND(_xlfn.ISFORMULA(C444),_xlfn.ISFORMULA(J444)),"Y","N")</f>
        <v>Y</v>
      </c>
      <c r="FG444" s="0" t="n">
        <f aca="false">ROW()-1</f>
        <v>443</v>
      </c>
    </row>
    <row r="445" customFormat="false" ht="15" hidden="false" customHeight="false" outlineLevel="0" collapsed="false">
      <c r="C445" s="0" t="str">
        <f aca="false">IF($A445="","",IF(AT445="Y",BL445&amp;"",AY445&amp;""))</f>
        <v/>
      </c>
      <c r="D445" s="0" t="str">
        <f aca="false">IF($A445="","",IF(AT445="Y",BM445&amp;"",AZ445&amp;""))</f>
        <v/>
      </c>
      <c r="E445" s="0" t="str">
        <f aca="false">IF($A445="","",IF(AT445="Y",BN445&amp;"",BA445&amp;""))</f>
        <v/>
      </c>
      <c r="F445" s="0" t="str">
        <f aca="false">IF($A445="","",IF(AT445="Y",BO445&amp;"",BB445&amp;""))</f>
        <v/>
      </c>
      <c r="G445" s="0" t="str">
        <f aca="false">IF($A445="","",IF(AT445="Y",BP445&amp;"",BC445&amp;""))</f>
        <v/>
      </c>
      <c r="H445" s="0" t="str">
        <f aca="false">IF($A445="","",IF(AT445="Y",BQ445&amp;"",BD445&amp;""))</f>
        <v/>
      </c>
      <c r="I445" s="0" t="str">
        <f aca="false">IF($A445="","",IF(R445="Y","warm-intro",IF(H445="verified","email",IF(C445&lt;&gt;"","linkedin",CA445&amp;""))))</f>
        <v/>
      </c>
      <c r="J445" s="0" t="str">
        <f aca="false">IF($A445="","",IF(CK445="pass",ROUND(N(DO445)+N(DP445)+N(DQ445)+N(DR445)+N(DS445)+N(DT445)+N(DU445)+N(DV445),0),0))</f>
        <v/>
      </c>
      <c r="K445" s="0" t="str">
        <f aca="false">IF($A445="","",IF(CK445&lt;&gt;"pass",BY445&amp;"",BY445&amp;", "&amp;IF(AT445="Y",BX445&amp;"",BK445&amp;"")&amp;BZ445&amp;IF(R445="Y","; known to the founder (+10)","")&amp;"."))</f>
        <v/>
      </c>
      <c r="R445" s="5"/>
      <c r="T445" s="5"/>
      <c r="U445" s="5"/>
      <c r="Y445" s="0" t="str">
        <f aca="false">IF(FA445&lt;&gt;"Y","",COUNTIFS($FA$2:$FA$1000,"Y",$J$2:$J$1000,"&gt;"&amp;J445)+COUNTIFS($FA$2:$FA$1000,"Y",$J$2:$J$1000,J445,$FG$2:$FG$1000,"&lt;"&amp;FG445)+1)</f>
        <v/>
      </c>
      <c r="AB445" s="0" t="str">
        <f aca="false">IF($A445="","",IF(AT445="Y",BW445&amp;"",BJ445&amp;""))</f>
        <v/>
      </c>
      <c r="AC445" s="0" t="str">
        <f aca="false">IF($A445="","",IF(AT445="Y",BR445&amp;"",BE445&amp;""))</f>
        <v/>
      </c>
      <c r="AD445" s="0" t="str">
        <f aca="false">IF($A445="","",IF(AT445="Y",BS445&amp;"",BF445&amp;""))</f>
        <v/>
      </c>
      <c r="AE445" s="0" t="str">
        <f aca="false">IF($A445="","",IF(AT445="Y",BT445&amp;"",BG445&amp;""))</f>
        <v/>
      </c>
      <c r="AF445" s="0" t="str">
        <f aca="false">IF($A445="","",IF(AT445="Y",BU445&amp;"",BH445&amp;""))</f>
        <v/>
      </c>
      <c r="AG445" s="0" t="str">
        <f aca="false">IF($A445="","",IF(AT445="Y",BV445&amp;"",BI445&amp;""))</f>
        <v/>
      </c>
      <c r="AO445" s="5"/>
      <c r="AR445" s="0" t="str">
        <f aca="false">IF($A445="","",IF(AND(CK445="pass",AO445&lt;&gt;"Y",C445&lt;&gt;"",OR(AU445&lt;&gt;"Y",AV445="Y")),"Y","N"))</f>
        <v/>
      </c>
      <c r="AS445" s="0" t="str">
        <f aca="false">IF($A445="","",_xlfn.TEXTJOIN("; ",TRUE(),IF(CK445&lt;&gt;"pass","gated out",""),IF(AO445="Y","on hold: "&amp;AP445,""),IF(C445="","no contact named on an opened page",""),IF(AND(AU445="Y",AV445&lt;&gt;"Y"),"founder review pending (Founder review tab)","")))</f>
        <v/>
      </c>
      <c r="BC445" s="0" t="str">
        <f aca="false">IF($A445="","",IFERROR(INDEX(Enrichment!$A$2:$GZ$2000,MATCH($A445,INDEX(Enrichment!$A$2:$GZ$2000,0,MATCH("row_id",Enrichment!$A$1:$GZ$1,0)),0),MATCH("work_email",Enrichment!$A$1:$GZ$1,0))&amp;"",""))</f>
        <v/>
      </c>
      <c r="BD445" s="0" t="str">
        <f aca="false">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P445" s="0" t="str">
        <f aca="false">IF($A445="","",IFERROR(INDEX(Enrichment!$A$2:$GZ$2000,MATCH($A445,INDEX(Enrichment!$A$2:$GZ$2000,0,MATCH("row_id",Enrichment!$A$1:$GZ$1,0)),0),MATCH("backup_work_email",Enrichment!$A$1:$GZ$1,0))&amp;"",""))</f>
        <v/>
      </c>
      <c r="BQ445" s="0" t="str">
        <f aca="false">IF($A445="","",IF(BP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DU445" s="0" t="str">
        <f aca="false">IF($A445="","",IF(R445="Y",10,0))</f>
        <v/>
      </c>
      <c r="EV445" s="0" t="str">
        <f aca="false">IF($A445="","",IF(ISNUMBER(MATCH(U445,{"queued","contacted","replied","call_booked","call_done","yes_in_principle","materials_sent"},0)),"Y","N"))</f>
        <v/>
      </c>
      <c r="EW445" s="0" t="str">
        <f aca="false">IF($A445="","",IF(OR(T445="Y",U445="do_not_contact",AQ445&amp;""&lt;&gt;""),"Y","N"))</f>
        <v/>
      </c>
      <c r="EX445" s="0" t="str">
        <f aca="false">IF($A445="","",IF(AN445&amp;""&lt;&gt;"",AN445&amp;"",$A445))</f>
        <v/>
      </c>
      <c r="EY445" s="0" t="str">
        <f aca="false">IF($A445="","",IF(COUNTIFS($EX$2:$EX$1000,EX445,$EV$2:$EV$1000,"Y")+COUNTIFS($EX$2:$EX$1000,EX445,$EW$2:$EW$1000,"Y")&gt;0,"Y","N"))</f>
        <v/>
      </c>
      <c r="EZ445" s="0" t="str">
        <f aca="false">IF($A445="","",IF(AND(U445="new",T445="N",EW445="N",AR445="Y",EY445="N"),"Y","N"))</f>
        <v/>
      </c>
      <c r="FA445" s="0" t="str">
        <f aca="false">IF($A445="","",IF(EZ445&lt;&gt;"Y","N",IF(COUNTIFS($EX$2:$EX$1000,EX445,$EZ$2:$EZ$1000,"Y",$J$2:$J$1000,"&gt;"&amp;J445)+COUNTIFS($EX$2:$EX$1000,EX445,$EZ$2:$EZ$1000,"Y",$J$2:$J$1000,J445,$FG$2:$FG$1000,"&lt;"&amp;FG445)=0,"Y","N")))</f>
        <v/>
      </c>
      <c r="FB445" s="0" t="str">
        <f aca="false">IF($A445="","",IF(AND(EZ445="Y",FA445="Y",Y445&amp;""&lt;&gt;""),IF(Y445&lt;=10,"Y","N"),"N"))</f>
        <v/>
      </c>
      <c r="FC445" s="0" t="str">
        <f aca="false">IF(FB445="Y",Y445,"")</f>
        <v/>
      </c>
      <c r="FD445" s="0" t="str">
        <f aca="false">IF($A445="","",IF(AND(CK445="pass",AU445="Y",AV445&lt;&gt;"Y",U445="new",EW445="N"),"Y","N"))</f>
        <v/>
      </c>
      <c r="FE445" s="0" t="str">
        <f aca="false">IF(FD445&lt;&gt;"Y","",IF(COUNTIFS($FD$2:$FD$1000,"Y",$J$2:$J$1000,"&gt;"&amp;J445)+COUNTIFS($FD$2:$FD$1000,"Y",$J$2:$J$1000,J445,$FG$2:$FG$1000,"&lt;"&amp;FG445)+1&lt;=30,COUNTIFS($FD$2:$FD$1000,"Y",$J$2:$J$1000,"&gt;"&amp;J445)+COUNTIFS($FD$2:$FD$1000,"Y",$J$2:$J$1000,J445,$FG$2:$FG$1000,"&lt;"&amp;FG445)+1,""))</f>
        <v/>
      </c>
      <c r="FF445" s="0" t="str">
        <f aca="false">IF(AND(_xlfn.ISFORMULA(C445),_xlfn.ISFORMULA(J445)),"Y","N")</f>
        <v>Y</v>
      </c>
      <c r="FG445" s="0" t="n">
        <f aca="false">ROW()-1</f>
        <v>444</v>
      </c>
    </row>
    <row r="446" customFormat="false" ht="15" hidden="false" customHeight="false" outlineLevel="0" collapsed="false">
      <c r="C446" s="0" t="str">
        <f aca="false">IF($A446="","",IF(AT446="Y",BL446&amp;"",AY446&amp;""))</f>
        <v/>
      </c>
      <c r="D446" s="0" t="str">
        <f aca="false">IF($A446="","",IF(AT446="Y",BM446&amp;"",AZ446&amp;""))</f>
        <v/>
      </c>
      <c r="E446" s="0" t="str">
        <f aca="false">IF($A446="","",IF(AT446="Y",BN446&amp;"",BA446&amp;""))</f>
        <v/>
      </c>
      <c r="F446" s="0" t="str">
        <f aca="false">IF($A446="","",IF(AT446="Y",BO446&amp;"",BB446&amp;""))</f>
        <v/>
      </c>
      <c r="G446" s="0" t="str">
        <f aca="false">IF($A446="","",IF(AT446="Y",BP446&amp;"",BC446&amp;""))</f>
        <v/>
      </c>
      <c r="H446" s="0" t="str">
        <f aca="false">IF($A446="","",IF(AT446="Y",BQ446&amp;"",BD446&amp;""))</f>
        <v/>
      </c>
      <c r="I446" s="0" t="str">
        <f aca="false">IF($A446="","",IF(R446="Y","warm-intro",IF(H446="verified","email",IF(C446&lt;&gt;"","linkedin",CA446&amp;""))))</f>
        <v/>
      </c>
      <c r="J446" s="0" t="str">
        <f aca="false">IF($A446="","",IF(CK446="pass",ROUND(N(DO446)+N(DP446)+N(DQ446)+N(DR446)+N(DS446)+N(DT446)+N(DU446)+N(DV446),0),0))</f>
        <v/>
      </c>
      <c r="K446" s="0" t="str">
        <f aca="false">IF($A446="","",IF(CK446&lt;&gt;"pass",BY446&amp;"",BY446&amp;", "&amp;IF(AT446="Y",BX446&amp;"",BK446&amp;"")&amp;BZ446&amp;IF(R446="Y","; known to the founder (+10)","")&amp;"."))</f>
        <v/>
      </c>
      <c r="R446" s="5"/>
      <c r="T446" s="5"/>
      <c r="U446" s="5"/>
      <c r="Y446" s="0" t="str">
        <f aca="false">IF(FA446&lt;&gt;"Y","",COUNTIFS($FA$2:$FA$1000,"Y",$J$2:$J$1000,"&gt;"&amp;J446)+COUNTIFS($FA$2:$FA$1000,"Y",$J$2:$J$1000,J446,$FG$2:$FG$1000,"&lt;"&amp;FG446)+1)</f>
        <v/>
      </c>
      <c r="AB446" s="0" t="str">
        <f aca="false">IF($A446="","",IF(AT446="Y",BW446&amp;"",BJ446&amp;""))</f>
        <v/>
      </c>
      <c r="AC446" s="0" t="str">
        <f aca="false">IF($A446="","",IF(AT446="Y",BR446&amp;"",BE446&amp;""))</f>
        <v/>
      </c>
      <c r="AD446" s="0" t="str">
        <f aca="false">IF($A446="","",IF(AT446="Y",BS446&amp;"",BF446&amp;""))</f>
        <v/>
      </c>
      <c r="AE446" s="0" t="str">
        <f aca="false">IF($A446="","",IF(AT446="Y",BT446&amp;"",BG446&amp;""))</f>
        <v/>
      </c>
      <c r="AF446" s="0" t="str">
        <f aca="false">IF($A446="","",IF(AT446="Y",BU446&amp;"",BH446&amp;""))</f>
        <v/>
      </c>
      <c r="AG446" s="0" t="str">
        <f aca="false">IF($A446="","",IF(AT446="Y",BV446&amp;"",BI446&amp;""))</f>
        <v/>
      </c>
      <c r="AO446" s="5"/>
      <c r="AR446" s="0" t="str">
        <f aca="false">IF($A446="","",IF(AND(CK446="pass",AO446&lt;&gt;"Y",C446&lt;&gt;"",OR(AU446&lt;&gt;"Y",AV446="Y")),"Y","N"))</f>
        <v/>
      </c>
      <c r="AS446" s="0" t="str">
        <f aca="false">IF($A446="","",_xlfn.TEXTJOIN("; ",TRUE(),IF(CK446&lt;&gt;"pass","gated out",""),IF(AO446="Y","on hold: "&amp;AP446,""),IF(C446="","no contact named on an opened page",""),IF(AND(AU446="Y",AV446&lt;&gt;"Y"),"founder review pending (Founder review tab)","")))</f>
        <v/>
      </c>
      <c r="BC446" s="0" t="str">
        <f aca="false">IF($A446="","",IFERROR(INDEX(Enrichment!$A$2:$GZ$2000,MATCH($A446,INDEX(Enrichment!$A$2:$GZ$2000,0,MATCH("row_id",Enrichment!$A$1:$GZ$1,0)),0),MATCH("work_email",Enrichment!$A$1:$GZ$1,0))&amp;"",""))</f>
        <v/>
      </c>
      <c r="BD446" s="0" t="str">
        <f aca="false">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P446" s="0" t="str">
        <f aca="false">IF($A446="","",IFERROR(INDEX(Enrichment!$A$2:$GZ$2000,MATCH($A446,INDEX(Enrichment!$A$2:$GZ$2000,0,MATCH("row_id",Enrichment!$A$1:$GZ$1,0)),0),MATCH("backup_work_email",Enrichment!$A$1:$GZ$1,0))&amp;"",""))</f>
        <v/>
      </c>
      <c r="BQ446" s="0" t="str">
        <f aca="false">IF($A446="","",IF(BP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DU446" s="0" t="str">
        <f aca="false">IF($A446="","",IF(R446="Y",10,0))</f>
        <v/>
      </c>
      <c r="EV446" s="0" t="str">
        <f aca="false">IF($A446="","",IF(ISNUMBER(MATCH(U446,{"queued","contacted","replied","call_booked","call_done","yes_in_principle","materials_sent"},0)),"Y","N"))</f>
        <v/>
      </c>
      <c r="EW446" s="0" t="str">
        <f aca="false">IF($A446="","",IF(OR(T446="Y",U446="do_not_contact",AQ446&amp;""&lt;&gt;""),"Y","N"))</f>
        <v/>
      </c>
      <c r="EX446" s="0" t="str">
        <f aca="false">IF($A446="","",IF(AN446&amp;""&lt;&gt;"",AN446&amp;"",$A446))</f>
        <v/>
      </c>
      <c r="EY446" s="0" t="str">
        <f aca="false">IF($A446="","",IF(COUNTIFS($EX$2:$EX$1000,EX446,$EV$2:$EV$1000,"Y")+COUNTIFS($EX$2:$EX$1000,EX446,$EW$2:$EW$1000,"Y")&gt;0,"Y","N"))</f>
        <v/>
      </c>
      <c r="EZ446" s="0" t="str">
        <f aca="false">IF($A446="","",IF(AND(U446="new",T446="N",EW446="N",AR446="Y",EY446="N"),"Y","N"))</f>
        <v/>
      </c>
      <c r="FA446" s="0" t="str">
        <f aca="false">IF($A446="","",IF(EZ446&lt;&gt;"Y","N",IF(COUNTIFS($EX$2:$EX$1000,EX446,$EZ$2:$EZ$1000,"Y",$J$2:$J$1000,"&gt;"&amp;J446)+COUNTIFS($EX$2:$EX$1000,EX446,$EZ$2:$EZ$1000,"Y",$J$2:$J$1000,J446,$FG$2:$FG$1000,"&lt;"&amp;FG446)=0,"Y","N")))</f>
        <v/>
      </c>
      <c r="FB446" s="0" t="str">
        <f aca="false">IF($A446="","",IF(AND(EZ446="Y",FA446="Y",Y446&amp;""&lt;&gt;""),IF(Y446&lt;=10,"Y","N"),"N"))</f>
        <v/>
      </c>
      <c r="FC446" s="0" t="str">
        <f aca="false">IF(FB446="Y",Y446,"")</f>
        <v/>
      </c>
      <c r="FD446" s="0" t="str">
        <f aca="false">IF($A446="","",IF(AND(CK446="pass",AU446="Y",AV446&lt;&gt;"Y",U446="new",EW446="N"),"Y","N"))</f>
        <v/>
      </c>
      <c r="FE446" s="0" t="str">
        <f aca="false">IF(FD446&lt;&gt;"Y","",IF(COUNTIFS($FD$2:$FD$1000,"Y",$J$2:$J$1000,"&gt;"&amp;J446)+COUNTIFS($FD$2:$FD$1000,"Y",$J$2:$J$1000,J446,$FG$2:$FG$1000,"&lt;"&amp;FG446)+1&lt;=30,COUNTIFS($FD$2:$FD$1000,"Y",$J$2:$J$1000,"&gt;"&amp;J446)+COUNTIFS($FD$2:$FD$1000,"Y",$J$2:$J$1000,J446,$FG$2:$FG$1000,"&lt;"&amp;FG446)+1,""))</f>
        <v/>
      </c>
      <c r="FF446" s="0" t="str">
        <f aca="false">IF(AND(_xlfn.ISFORMULA(C446),_xlfn.ISFORMULA(J446)),"Y","N")</f>
        <v>Y</v>
      </c>
      <c r="FG446" s="0" t="n">
        <f aca="false">ROW()-1</f>
        <v>445</v>
      </c>
    </row>
    <row r="447" customFormat="false" ht="15" hidden="false" customHeight="false" outlineLevel="0" collapsed="false">
      <c r="C447" s="0" t="str">
        <f aca="false">IF($A447="","",IF(AT447="Y",BL447&amp;"",AY447&amp;""))</f>
        <v/>
      </c>
      <c r="D447" s="0" t="str">
        <f aca="false">IF($A447="","",IF(AT447="Y",BM447&amp;"",AZ447&amp;""))</f>
        <v/>
      </c>
      <c r="E447" s="0" t="str">
        <f aca="false">IF($A447="","",IF(AT447="Y",BN447&amp;"",BA447&amp;""))</f>
        <v/>
      </c>
      <c r="F447" s="0" t="str">
        <f aca="false">IF($A447="","",IF(AT447="Y",BO447&amp;"",BB447&amp;""))</f>
        <v/>
      </c>
      <c r="G447" s="0" t="str">
        <f aca="false">IF($A447="","",IF(AT447="Y",BP447&amp;"",BC447&amp;""))</f>
        <v/>
      </c>
      <c r="H447" s="0" t="str">
        <f aca="false">IF($A447="","",IF(AT447="Y",BQ447&amp;"",BD447&amp;""))</f>
        <v/>
      </c>
      <c r="I447" s="0" t="str">
        <f aca="false">IF($A447="","",IF(R447="Y","warm-intro",IF(H447="verified","email",IF(C447&lt;&gt;"","linkedin",CA447&amp;""))))</f>
        <v/>
      </c>
      <c r="J447" s="0" t="str">
        <f aca="false">IF($A447="","",IF(CK447="pass",ROUND(N(DO447)+N(DP447)+N(DQ447)+N(DR447)+N(DS447)+N(DT447)+N(DU447)+N(DV447),0),0))</f>
        <v/>
      </c>
      <c r="K447" s="0" t="str">
        <f aca="false">IF($A447="","",IF(CK447&lt;&gt;"pass",BY447&amp;"",BY447&amp;", "&amp;IF(AT447="Y",BX447&amp;"",BK447&amp;"")&amp;BZ447&amp;IF(R447="Y","; known to the founder (+10)","")&amp;"."))</f>
        <v/>
      </c>
      <c r="R447" s="5"/>
      <c r="T447" s="5"/>
      <c r="U447" s="5"/>
      <c r="Y447" s="0" t="str">
        <f aca="false">IF(FA447&lt;&gt;"Y","",COUNTIFS($FA$2:$FA$1000,"Y",$J$2:$J$1000,"&gt;"&amp;J447)+COUNTIFS($FA$2:$FA$1000,"Y",$J$2:$J$1000,J447,$FG$2:$FG$1000,"&lt;"&amp;FG447)+1)</f>
        <v/>
      </c>
      <c r="AB447" s="0" t="str">
        <f aca="false">IF($A447="","",IF(AT447="Y",BW447&amp;"",BJ447&amp;""))</f>
        <v/>
      </c>
      <c r="AC447" s="0" t="str">
        <f aca="false">IF($A447="","",IF(AT447="Y",BR447&amp;"",BE447&amp;""))</f>
        <v/>
      </c>
      <c r="AD447" s="0" t="str">
        <f aca="false">IF($A447="","",IF(AT447="Y",BS447&amp;"",BF447&amp;""))</f>
        <v/>
      </c>
      <c r="AE447" s="0" t="str">
        <f aca="false">IF($A447="","",IF(AT447="Y",BT447&amp;"",BG447&amp;""))</f>
        <v/>
      </c>
      <c r="AF447" s="0" t="str">
        <f aca="false">IF($A447="","",IF(AT447="Y",BU447&amp;"",BH447&amp;""))</f>
        <v/>
      </c>
      <c r="AG447" s="0" t="str">
        <f aca="false">IF($A447="","",IF(AT447="Y",BV447&amp;"",BI447&amp;""))</f>
        <v/>
      </c>
      <c r="AO447" s="5"/>
      <c r="AR447" s="0" t="str">
        <f aca="false">IF($A447="","",IF(AND(CK447="pass",AO447&lt;&gt;"Y",C447&lt;&gt;"",OR(AU447&lt;&gt;"Y",AV447="Y")),"Y","N"))</f>
        <v/>
      </c>
      <c r="AS447" s="0" t="str">
        <f aca="false">IF($A447="","",_xlfn.TEXTJOIN("; ",TRUE(),IF(CK447&lt;&gt;"pass","gated out",""),IF(AO447="Y","on hold: "&amp;AP447,""),IF(C447="","no contact named on an opened page",""),IF(AND(AU447="Y",AV447&lt;&gt;"Y"),"founder review pending (Founder review tab)","")))</f>
        <v/>
      </c>
      <c r="BC447" s="0" t="str">
        <f aca="false">IF($A447="","",IFERROR(INDEX(Enrichment!$A$2:$GZ$2000,MATCH($A447,INDEX(Enrichment!$A$2:$GZ$2000,0,MATCH("row_id",Enrichment!$A$1:$GZ$1,0)),0),MATCH("work_email",Enrichment!$A$1:$GZ$1,0))&amp;"",""))</f>
        <v/>
      </c>
      <c r="BD447" s="0" t="str">
        <f aca="false">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P447" s="0" t="str">
        <f aca="false">IF($A447="","",IFERROR(INDEX(Enrichment!$A$2:$GZ$2000,MATCH($A447,INDEX(Enrichment!$A$2:$GZ$2000,0,MATCH("row_id",Enrichment!$A$1:$GZ$1,0)),0),MATCH("backup_work_email",Enrichment!$A$1:$GZ$1,0))&amp;"",""))</f>
        <v/>
      </c>
      <c r="BQ447" s="0" t="str">
        <f aca="false">IF($A447="","",IF(BP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DU447" s="0" t="str">
        <f aca="false">IF($A447="","",IF(R447="Y",10,0))</f>
        <v/>
      </c>
      <c r="EV447" s="0" t="str">
        <f aca="false">IF($A447="","",IF(ISNUMBER(MATCH(U447,{"queued","contacted","replied","call_booked","call_done","yes_in_principle","materials_sent"},0)),"Y","N"))</f>
        <v/>
      </c>
      <c r="EW447" s="0" t="str">
        <f aca="false">IF($A447="","",IF(OR(T447="Y",U447="do_not_contact",AQ447&amp;""&lt;&gt;""),"Y","N"))</f>
        <v/>
      </c>
      <c r="EX447" s="0" t="str">
        <f aca="false">IF($A447="","",IF(AN447&amp;""&lt;&gt;"",AN447&amp;"",$A447))</f>
        <v/>
      </c>
      <c r="EY447" s="0" t="str">
        <f aca="false">IF($A447="","",IF(COUNTIFS($EX$2:$EX$1000,EX447,$EV$2:$EV$1000,"Y")+COUNTIFS($EX$2:$EX$1000,EX447,$EW$2:$EW$1000,"Y")&gt;0,"Y","N"))</f>
        <v/>
      </c>
      <c r="EZ447" s="0" t="str">
        <f aca="false">IF($A447="","",IF(AND(U447="new",T447="N",EW447="N",AR447="Y",EY447="N"),"Y","N"))</f>
        <v/>
      </c>
      <c r="FA447" s="0" t="str">
        <f aca="false">IF($A447="","",IF(EZ447&lt;&gt;"Y","N",IF(COUNTIFS($EX$2:$EX$1000,EX447,$EZ$2:$EZ$1000,"Y",$J$2:$J$1000,"&gt;"&amp;J447)+COUNTIFS($EX$2:$EX$1000,EX447,$EZ$2:$EZ$1000,"Y",$J$2:$J$1000,J447,$FG$2:$FG$1000,"&lt;"&amp;FG447)=0,"Y","N")))</f>
        <v/>
      </c>
      <c r="FB447" s="0" t="str">
        <f aca="false">IF($A447="","",IF(AND(EZ447="Y",FA447="Y",Y447&amp;""&lt;&gt;""),IF(Y447&lt;=10,"Y","N"),"N"))</f>
        <v/>
      </c>
      <c r="FC447" s="0" t="str">
        <f aca="false">IF(FB447="Y",Y447,"")</f>
        <v/>
      </c>
      <c r="FD447" s="0" t="str">
        <f aca="false">IF($A447="","",IF(AND(CK447="pass",AU447="Y",AV447&lt;&gt;"Y",U447="new",EW447="N"),"Y","N"))</f>
        <v/>
      </c>
      <c r="FE447" s="0" t="str">
        <f aca="false">IF(FD447&lt;&gt;"Y","",IF(COUNTIFS($FD$2:$FD$1000,"Y",$J$2:$J$1000,"&gt;"&amp;J447)+COUNTIFS($FD$2:$FD$1000,"Y",$J$2:$J$1000,J447,$FG$2:$FG$1000,"&lt;"&amp;FG447)+1&lt;=30,COUNTIFS($FD$2:$FD$1000,"Y",$J$2:$J$1000,"&gt;"&amp;J447)+COUNTIFS($FD$2:$FD$1000,"Y",$J$2:$J$1000,J447,$FG$2:$FG$1000,"&lt;"&amp;FG447)+1,""))</f>
        <v/>
      </c>
      <c r="FF447" s="0" t="str">
        <f aca="false">IF(AND(_xlfn.ISFORMULA(C447),_xlfn.ISFORMULA(J447)),"Y","N")</f>
        <v>Y</v>
      </c>
      <c r="FG447" s="0" t="n">
        <f aca="false">ROW()-1</f>
        <v>446</v>
      </c>
    </row>
    <row r="448" customFormat="false" ht="15" hidden="false" customHeight="false" outlineLevel="0" collapsed="false">
      <c r="C448" s="0" t="str">
        <f aca="false">IF($A448="","",IF(AT448="Y",BL448&amp;"",AY448&amp;""))</f>
        <v/>
      </c>
      <c r="D448" s="0" t="str">
        <f aca="false">IF($A448="","",IF(AT448="Y",BM448&amp;"",AZ448&amp;""))</f>
        <v/>
      </c>
      <c r="E448" s="0" t="str">
        <f aca="false">IF($A448="","",IF(AT448="Y",BN448&amp;"",BA448&amp;""))</f>
        <v/>
      </c>
      <c r="F448" s="0" t="str">
        <f aca="false">IF($A448="","",IF(AT448="Y",BO448&amp;"",BB448&amp;""))</f>
        <v/>
      </c>
      <c r="G448" s="0" t="str">
        <f aca="false">IF($A448="","",IF(AT448="Y",BP448&amp;"",BC448&amp;""))</f>
        <v/>
      </c>
      <c r="H448" s="0" t="str">
        <f aca="false">IF($A448="","",IF(AT448="Y",BQ448&amp;"",BD448&amp;""))</f>
        <v/>
      </c>
      <c r="I448" s="0" t="str">
        <f aca="false">IF($A448="","",IF(R448="Y","warm-intro",IF(H448="verified","email",IF(C448&lt;&gt;"","linkedin",CA448&amp;""))))</f>
        <v/>
      </c>
      <c r="J448" s="0" t="str">
        <f aca="false">IF($A448="","",IF(CK448="pass",ROUND(N(DO448)+N(DP448)+N(DQ448)+N(DR448)+N(DS448)+N(DT448)+N(DU448)+N(DV448),0),0))</f>
        <v/>
      </c>
      <c r="K448" s="0" t="str">
        <f aca="false">IF($A448="","",IF(CK448&lt;&gt;"pass",BY448&amp;"",BY448&amp;", "&amp;IF(AT448="Y",BX448&amp;"",BK448&amp;"")&amp;BZ448&amp;IF(R448="Y","; known to the founder (+10)","")&amp;"."))</f>
        <v/>
      </c>
      <c r="R448" s="5"/>
      <c r="T448" s="5"/>
      <c r="U448" s="5"/>
      <c r="Y448" s="0" t="str">
        <f aca="false">IF(FA448&lt;&gt;"Y","",COUNTIFS($FA$2:$FA$1000,"Y",$J$2:$J$1000,"&gt;"&amp;J448)+COUNTIFS($FA$2:$FA$1000,"Y",$J$2:$J$1000,J448,$FG$2:$FG$1000,"&lt;"&amp;FG448)+1)</f>
        <v/>
      </c>
      <c r="AB448" s="0" t="str">
        <f aca="false">IF($A448="","",IF(AT448="Y",BW448&amp;"",BJ448&amp;""))</f>
        <v/>
      </c>
      <c r="AC448" s="0" t="str">
        <f aca="false">IF($A448="","",IF(AT448="Y",BR448&amp;"",BE448&amp;""))</f>
        <v/>
      </c>
      <c r="AD448" s="0" t="str">
        <f aca="false">IF($A448="","",IF(AT448="Y",BS448&amp;"",BF448&amp;""))</f>
        <v/>
      </c>
      <c r="AE448" s="0" t="str">
        <f aca="false">IF($A448="","",IF(AT448="Y",BT448&amp;"",BG448&amp;""))</f>
        <v/>
      </c>
      <c r="AF448" s="0" t="str">
        <f aca="false">IF($A448="","",IF(AT448="Y",BU448&amp;"",BH448&amp;""))</f>
        <v/>
      </c>
      <c r="AG448" s="0" t="str">
        <f aca="false">IF($A448="","",IF(AT448="Y",BV448&amp;"",BI448&amp;""))</f>
        <v/>
      </c>
      <c r="AO448" s="5"/>
      <c r="AR448" s="0" t="str">
        <f aca="false">IF($A448="","",IF(AND(CK448="pass",AO448&lt;&gt;"Y",C448&lt;&gt;"",OR(AU448&lt;&gt;"Y",AV448="Y")),"Y","N"))</f>
        <v/>
      </c>
      <c r="AS448" s="0" t="str">
        <f aca="false">IF($A448="","",_xlfn.TEXTJOIN("; ",TRUE(),IF(CK448&lt;&gt;"pass","gated out",""),IF(AO448="Y","on hold: "&amp;AP448,""),IF(C448="","no contact named on an opened page",""),IF(AND(AU448="Y",AV448&lt;&gt;"Y"),"founder review pending (Founder review tab)","")))</f>
        <v/>
      </c>
      <c r="BC448" s="0" t="str">
        <f aca="false">IF($A448="","",IFERROR(INDEX(Enrichment!$A$2:$GZ$2000,MATCH($A448,INDEX(Enrichment!$A$2:$GZ$2000,0,MATCH("row_id",Enrichment!$A$1:$GZ$1,0)),0),MATCH("work_email",Enrichment!$A$1:$GZ$1,0))&amp;"",""))</f>
        <v/>
      </c>
      <c r="BD448" s="0" t="str">
        <f aca="false">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P448" s="0" t="str">
        <f aca="false">IF($A448="","",IFERROR(INDEX(Enrichment!$A$2:$GZ$2000,MATCH($A448,INDEX(Enrichment!$A$2:$GZ$2000,0,MATCH("row_id",Enrichment!$A$1:$GZ$1,0)),0),MATCH("backup_work_email",Enrichment!$A$1:$GZ$1,0))&amp;"",""))</f>
        <v/>
      </c>
      <c r="BQ448" s="0" t="str">
        <f aca="false">IF($A448="","",IF(BP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DU448" s="0" t="str">
        <f aca="false">IF($A448="","",IF(R448="Y",10,0))</f>
        <v/>
      </c>
      <c r="EV448" s="0" t="str">
        <f aca="false">IF($A448="","",IF(ISNUMBER(MATCH(U448,{"queued","contacted","replied","call_booked","call_done","yes_in_principle","materials_sent"},0)),"Y","N"))</f>
        <v/>
      </c>
      <c r="EW448" s="0" t="str">
        <f aca="false">IF($A448="","",IF(OR(T448="Y",U448="do_not_contact",AQ448&amp;""&lt;&gt;""),"Y","N"))</f>
        <v/>
      </c>
      <c r="EX448" s="0" t="str">
        <f aca="false">IF($A448="","",IF(AN448&amp;""&lt;&gt;"",AN448&amp;"",$A448))</f>
        <v/>
      </c>
      <c r="EY448" s="0" t="str">
        <f aca="false">IF($A448="","",IF(COUNTIFS($EX$2:$EX$1000,EX448,$EV$2:$EV$1000,"Y")+COUNTIFS($EX$2:$EX$1000,EX448,$EW$2:$EW$1000,"Y")&gt;0,"Y","N"))</f>
        <v/>
      </c>
      <c r="EZ448" s="0" t="str">
        <f aca="false">IF($A448="","",IF(AND(U448="new",T448="N",EW448="N",AR448="Y",EY448="N"),"Y","N"))</f>
        <v/>
      </c>
      <c r="FA448" s="0" t="str">
        <f aca="false">IF($A448="","",IF(EZ448&lt;&gt;"Y","N",IF(COUNTIFS($EX$2:$EX$1000,EX448,$EZ$2:$EZ$1000,"Y",$J$2:$J$1000,"&gt;"&amp;J448)+COUNTIFS($EX$2:$EX$1000,EX448,$EZ$2:$EZ$1000,"Y",$J$2:$J$1000,J448,$FG$2:$FG$1000,"&lt;"&amp;FG448)=0,"Y","N")))</f>
        <v/>
      </c>
      <c r="FB448" s="0" t="str">
        <f aca="false">IF($A448="","",IF(AND(EZ448="Y",FA448="Y",Y448&amp;""&lt;&gt;""),IF(Y448&lt;=10,"Y","N"),"N"))</f>
        <v/>
      </c>
      <c r="FC448" s="0" t="str">
        <f aca="false">IF(FB448="Y",Y448,"")</f>
        <v/>
      </c>
      <c r="FD448" s="0" t="str">
        <f aca="false">IF($A448="","",IF(AND(CK448="pass",AU448="Y",AV448&lt;&gt;"Y",U448="new",EW448="N"),"Y","N"))</f>
        <v/>
      </c>
      <c r="FE448" s="0" t="str">
        <f aca="false">IF(FD448&lt;&gt;"Y","",IF(COUNTIFS($FD$2:$FD$1000,"Y",$J$2:$J$1000,"&gt;"&amp;J448)+COUNTIFS($FD$2:$FD$1000,"Y",$J$2:$J$1000,J448,$FG$2:$FG$1000,"&lt;"&amp;FG448)+1&lt;=30,COUNTIFS($FD$2:$FD$1000,"Y",$J$2:$J$1000,"&gt;"&amp;J448)+COUNTIFS($FD$2:$FD$1000,"Y",$J$2:$J$1000,J448,$FG$2:$FG$1000,"&lt;"&amp;FG448)+1,""))</f>
        <v/>
      </c>
      <c r="FF448" s="0" t="str">
        <f aca="false">IF(AND(_xlfn.ISFORMULA(C448),_xlfn.ISFORMULA(J448)),"Y","N")</f>
        <v>Y</v>
      </c>
      <c r="FG448" s="0" t="n">
        <f aca="false">ROW()-1</f>
        <v>447</v>
      </c>
    </row>
    <row r="449" customFormat="false" ht="15" hidden="false" customHeight="false" outlineLevel="0" collapsed="false">
      <c r="C449" s="0" t="str">
        <f aca="false">IF($A449="","",IF(AT449="Y",BL449&amp;"",AY449&amp;""))</f>
        <v/>
      </c>
      <c r="D449" s="0" t="str">
        <f aca="false">IF($A449="","",IF(AT449="Y",BM449&amp;"",AZ449&amp;""))</f>
        <v/>
      </c>
      <c r="E449" s="0" t="str">
        <f aca="false">IF($A449="","",IF(AT449="Y",BN449&amp;"",BA449&amp;""))</f>
        <v/>
      </c>
      <c r="F449" s="0" t="str">
        <f aca="false">IF($A449="","",IF(AT449="Y",BO449&amp;"",BB449&amp;""))</f>
        <v/>
      </c>
      <c r="G449" s="0" t="str">
        <f aca="false">IF($A449="","",IF(AT449="Y",BP449&amp;"",BC449&amp;""))</f>
        <v/>
      </c>
      <c r="H449" s="0" t="str">
        <f aca="false">IF($A449="","",IF(AT449="Y",BQ449&amp;"",BD449&amp;""))</f>
        <v/>
      </c>
      <c r="I449" s="0" t="str">
        <f aca="false">IF($A449="","",IF(R449="Y","warm-intro",IF(H449="verified","email",IF(C449&lt;&gt;"","linkedin",CA449&amp;""))))</f>
        <v/>
      </c>
      <c r="J449" s="0" t="str">
        <f aca="false">IF($A449="","",IF(CK449="pass",ROUND(N(DO449)+N(DP449)+N(DQ449)+N(DR449)+N(DS449)+N(DT449)+N(DU449)+N(DV449),0),0))</f>
        <v/>
      </c>
      <c r="K449" s="0" t="str">
        <f aca="false">IF($A449="","",IF(CK449&lt;&gt;"pass",BY449&amp;"",BY449&amp;", "&amp;IF(AT449="Y",BX449&amp;"",BK449&amp;"")&amp;BZ449&amp;IF(R449="Y","; known to the founder (+10)","")&amp;"."))</f>
        <v/>
      </c>
      <c r="R449" s="5"/>
      <c r="T449" s="5"/>
      <c r="U449" s="5"/>
      <c r="Y449" s="0" t="str">
        <f aca="false">IF(FA449&lt;&gt;"Y","",COUNTIFS($FA$2:$FA$1000,"Y",$J$2:$J$1000,"&gt;"&amp;J449)+COUNTIFS($FA$2:$FA$1000,"Y",$J$2:$J$1000,J449,$FG$2:$FG$1000,"&lt;"&amp;FG449)+1)</f>
        <v/>
      </c>
      <c r="AB449" s="0" t="str">
        <f aca="false">IF($A449="","",IF(AT449="Y",BW449&amp;"",BJ449&amp;""))</f>
        <v/>
      </c>
      <c r="AC449" s="0" t="str">
        <f aca="false">IF($A449="","",IF(AT449="Y",BR449&amp;"",BE449&amp;""))</f>
        <v/>
      </c>
      <c r="AD449" s="0" t="str">
        <f aca="false">IF($A449="","",IF(AT449="Y",BS449&amp;"",BF449&amp;""))</f>
        <v/>
      </c>
      <c r="AE449" s="0" t="str">
        <f aca="false">IF($A449="","",IF(AT449="Y",BT449&amp;"",BG449&amp;""))</f>
        <v/>
      </c>
      <c r="AF449" s="0" t="str">
        <f aca="false">IF($A449="","",IF(AT449="Y",BU449&amp;"",BH449&amp;""))</f>
        <v/>
      </c>
      <c r="AG449" s="0" t="str">
        <f aca="false">IF($A449="","",IF(AT449="Y",BV449&amp;"",BI449&amp;""))</f>
        <v/>
      </c>
      <c r="AO449" s="5"/>
      <c r="AR449" s="0" t="str">
        <f aca="false">IF($A449="","",IF(AND(CK449="pass",AO449&lt;&gt;"Y",C449&lt;&gt;"",OR(AU449&lt;&gt;"Y",AV449="Y")),"Y","N"))</f>
        <v/>
      </c>
      <c r="AS449" s="0" t="str">
        <f aca="false">IF($A449="","",_xlfn.TEXTJOIN("; ",TRUE(),IF(CK449&lt;&gt;"pass","gated out",""),IF(AO449="Y","on hold: "&amp;AP449,""),IF(C449="","no contact named on an opened page",""),IF(AND(AU449="Y",AV449&lt;&gt;"Y"),"founder review pending (Founder review tab)","")))</f>
        <v/>
      </c>
      <c r="BC449" s="0" t="str">
        <f aca="false">IF($A449="","",IFERROR(INDEX(Enrichment!$A$2:$GZ$2000,MATCH($A449,INDEX(Enrichment!$A$2:$GZ$2000,0,MATCH("row_id",Enrichment!$A$1:$GZ$1,0)),0),MATCH("work_email",Enrichment!$A$1:$GZ$1,0))&amp;"",""))</f>
        <v/>
      </c>
      <c r="BD449" s="0" t="str">
        <f aca="false">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P449" s="0" t="str">
        <f aca="false">IF($A449="","",IFERROR(INDEX(Enrichment!$A$2:$GZ$2000,MATCH($A449,INDEX(Enrichment!$A$2:$GZ$2000,0,MATCH("row_id",Enrichment!$A$1:$GZ$1,0)),0),MATCH("backup_work_email",Enrichment!$A$1:$GZ$1,0))&amp;"",""))</f>
        <v/>
      </c>
      <c r="BQ449" s="0" t="str">
        <f aca="false">IF($A449="","",IF(BP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DU449" s="0" t="str">
        <f aca="false">IF($A449="","",IF(R449="Y",10,0))</f>
        <v/>
      </c>
      <c r="EV449" s="0" t="str">
        <f aca="false">IF($A449="","",IF(ISNUMBER(MATCH(U449,{"queued","contacted","replied","call_booked","call_done","yes_in_principle","materials_sent"},0)),"Y","N"))</f>
        <v/>
      </c>
      <c r="EW449" s="0" t="str">
        <f aca="false">IF($A449="","",IF(OR(T449="Y",U449="do_not_contact",AQ449&amp;""&lt;&gt;""),"Y","N"))</f>
        <v/>
      </c>
      <c r="EX449" s="0" t="str">
        <f aca="false">IF($A449="","",IF(AN449&amp;""&lt;&gt;"",AN449&amp;"",$A449))</f>
        <v/>
      </c>
      <c r="EY449" s="0" t="str">
        <f aca="false">IF($A449="","",IF(COUNTIFS($EX$2:$EX$1000,EX449,$EV$2:$EV$1000,"Y")+COUNTIFS($EX$2:$EX$1000,EX449,$EW$2:$EW$1000,"Y")&gt;0,"Y","N"))</f>
        <v/>
      </c>
      <c r="EZ449" s="0" t="str">
        <f aca="false">IF($A449="","",IF(AND(U449="new",T449="N",EW449="N",AR449="Y",EY449="N"),"Y","N"))</f>
        <v/>
      </c>
      <c r="FA449" s="0" t="str">
        <f aca="false">IF($A449="","",IF(EZ449&lt;&gt;"Y","N",IF(COUNTIFS($EX$2:$EX$1000,EX449,$EZ$2:$EZ$1000,"Y",$J$2:$J$1000,"&gt;"&amp;J449)+COUNTIFS($EX$2:$EX$1000,EX449,$EZ$2:$EZ$1000,"Y",$J$2:$J$1000,J449,$FG$2:$FG$1000,"&lt;"&amp;FG449)=0,"Y","N")))</f>
        <v/>
      </c>
      <c r="FB449" s="0" t="str">
        <f aca="false">IF($A449="","",IF(AND(EZ449="Y",FA449="Y",Y449&amp;""&lt;&gt;""),IF(Y449&lt;=10,"Y","N"),"N"))</f>
        <v/>
      </c>
      <c r="FC449" s="0" t="str">
        <f aca="false">IF(FB449="Y",Y449,"")</f>
        <v/>
      </c>
      <c r="FD449" s="0" t="str">
        <f aca="false">IF($A449="","",IF(AND(CK449="pass",AU449="Y",AV449&lt;&gt;"Y",U449="new",EW449="N"),"Y","N"))</f>
        <v/>
      </c>
      <c r="FE449" s="0" t="str">
        <f aca="false">IF(FD449&lt;&gt;"Y","",IF(COUNTIFS($FD$2:$FD$1000,"Y",$J$2:$J$1000,"&gt;"&amp;J449)+COUNTIFS($FD$2:$FD$1000,"Y",$J$2:$J$1000,J449,$FG$2:$FG$1000,"&lt;"&amp;FG449)+1&lt;=30,COUNTIFS($FD$2:$FD$1000,"Y",$J$2:$J$1000,"&gt;"&amp;J449)+COUNTIFS($FD$2:$FD$1000,"Y",$J$2:$J$1000,J449,$FG$2:$FG$1000,"&lt;"&amp;FG449)+1,""))</f>
        <v/>
      </c>
      <c r="FF449" s="0" t="str">
        <f aca="false">IF(AND(_xlfn.ISFORMULA(C449),_xlfn.ISFORMULA(J449)),"Y","N")</f>
        <v>Y</v>
      </c>
      <c r="FG449" s="0" t="n">
        <f aca="false">ROW()-1</f>
        <v>448</v>
      </c>
    </row>
    <row r="450" customFormat="false" ht="15" hidden="false" customHeight="false" outlineLevel="0" collapsed="false">
      <c r="C450" s="0" t="str">
        <f aca="false">IF($A450="","",IF(AT450="Y",BL450&amp;"",AY450&amp;""))</f>
        <v/>
      </c>
      <c r="D450" s="0" t="str">
        <f aca="false">IF($A450="","",IF(AT450="Y",BM450&amp;"",AZ450&amp;""))</f>
        <v/>
      </c>
      <c r="E450" s="0" t="str">
        <f aca="false">IF($A450="","",IF(AT450="Y",BN450&amp;"",BA450&amp;""))</f>
        <v/>
      </c>
      <c r="F450" s="0" t="str">
        <f aca="false">IF($A450="","",IF(AT450="Y",BO450&amp;"",BB450&amp;""))</f>
        <v/>
      </c>
      <c r="G450" s="0" t="str">
        <f aca="false">IF($A450="","",IF(AT450="Y",BP450&amp;"",BC450&amp;""))</f>
        <v/>
      </c>
      <c r="H450" s="0" t="str">
        <f aca="false">IF($A450="","",IF(AT450="Y",BQ450&amp;"",BD450&amp;""))</f>
        <v/>
      </c>
      <c r="I450" s="0" t="str">
        <f aca="false">IF($A450="","",IF(R450="Y","warm-intro",IF(H450="verified","email",IF(C450&lt;&gt;"","linkedin",CA450&amp;""))))</f>
        <v/>
      </c>
      <c r="J450" s="0" t="str">
        <f aca="false">IF($A450="","",IF(CK450="pass",ROUND(N(DO450)+N(DP450)+N(DQ450)+N(DR450)+N(DS450)+N(DT450)+N(DU450)+N(DV450),0),0))</f>
        <v/>
      </c>
      <c r="K450" s="0" t="str">
        <f aca="false">IF($A450="","",IF(CK450&lt;&gt;"pass",BY450&amp;"",BY450&amp;", "&amp;IF(AT450="Y",BX450&amp;"",BK450&amp;"")&amp;BZ450&amp;IF(R450="Y","; known to the founder (+10)","")&amp;"."))</f>
        <v/>
      </c>
      <c r="R450" s="5"/>
      <c r="T450" s="5"/>
      <c r="U450" s="5"/>
      <c r="Y450" s="0" t="str">
        <f aca="false">IF(FA450&lt;&gt;"Y","",COUNTIFS($FA$2:$FA$1000,"Y",$J$2:$J$1000,"&gt;"&amp;J450)+COUNTIFS($FA$2:$FA$1000,"Y",$J$2:$J$1000,J450,$FG$2:$FG$1000,"&lt;"&amp;FG450)+1)</f>
        <v/>
      </c>
      <c r="AB450" s="0" t="str">
        <f aca="false">IF($A450="","",IF(AT450="Y",BW450&amp;"",BJ450&amp;""))</f>
        <v/>
      </c>
      <c r="AC450" s="0" t="str">
        <f aca="false">IF($A450="","",IF(AT450="Y",BR450&amp;"",BE450&amp;""))</f>
        <v/>
      </c>
      <c r="AD450" s="0" t="str">
        <f aca="false">IF($A450="","",IF(AT450="Y",BS450&amp;"",BF450&amp;""))</f>
        <v/>
      </c>
      <c r="AE450" s="0" t="str">
        <f aca="false">IF($A450="","",IF(AT450="Y",BT450&amp;"",BG450&amp;""))</f>
        <v/>
      </c>
      <c r="AF450" s="0" t="str">
        <f aca="false">IF($A450="","",IF(AT450="Y",BU450&amp;"",BH450&amp;""))</f>
        <v/>
      </c>
      <c r="AG450" s="0" t="str">
        <f aca="false">IF($A450="","",IF(AT450="Y",BV450&amp;"",BI450&amp;""))</f>
        <v/>
      </c>
      <c r="AO450" s="5"/>
      <c r="AR450" s="0" t="str">
        <f aca="false">IF($A450="","",IF(AND(CK450="pass",AO450&lt;&gt;"Y",C450&lt;&gt;"",OR(AU450&lt;&gt;"Y",AV450="Y")),"Y","N"))</f>
        <v/>
      </c>
      <c r="AS450" s="0" t="str">
        <f aca="false">IF($A450="","",_xlfn.TEXTJOIN("; ",TRUE(),IF(CK450&lt;&gt;"pass","gated out",""),IF(AO450="Y","on hold: "&amp;AP450,""),IF(C450="","no contact named on an opened page",""),IF(AND(AU450="Y",AV450&lt;&gt;"Y"),"founder review pending (Founder review tab)","")))</f>
        <v/>
      </c>
      <c r="BC450" s="0" t="str">
        <f aca="false">IF($A450="","",IFERROR(INDEX(Enrichment!$A$2:$GZ$2000,MATCH($A450,INDEX(Enrichment!$A$2:$GZ$2000,0,MATCH("row_id",Enrichment!$A$1:$GZ$1,0)),0),MATCH("work_email",Enrichment!$A$1:$GZ$1,0))&amp;"",""))</f>
        <v/>
      </c>
      <c r="BD450" s="0" t="str">
        <f aca="false">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P450" s="0" t="str">
        <f aca="false">IF($A450="","",IFERROR(INDEX(Enrichment!$A$2:$GZ$2000,MATCH($A450,INDEX(Enrichment!$A$2:$GZ$2000,0,MATCH("row_id",Enrichment!$A$1:$GZ$1,0)),0),MATCH("backup_work_email",Enrichment!$A$1:$GZ$1,0))&amp;"",""))</f>
        <v/>
      </c>
      <c r="BQ450" s="0" t="str">
        <f aca="false">IF($A450="","",IF(BP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DU450" s="0" t="str">
        <f aca="false">IF($A450="","",IF(R450="Y",10,0))</f>
        <v/>
      </c>
      <c r="EV450" s="0" t="str">
        <f aca="false">IF($A450="","",IF(ISNUMBER(MATCH(U450,{"queued","contacted","replied","call_booked","call_done","yes_in_principle","materials_sent"},0)),"Y","N"))</f>
        <v/>
      </c>
      <c r="EW450" s="0" t="str">
        <f aca="false">IF($A450="","",IF(OR(T450="Y",U450="do_not_contact",AQ450&amp;""&lt;&gt;""),"Y","N"))</f>
        <v/>
      </c>
      <c r="EX450" s="0" t="str">
        <f aca="false">IF($A450="","",IF(AN450&amp;""&lt;&gt;"",AN450&amp;"",$A450))</f>
        <v/>
      </c>
      <c r="EY450" s="0" t="str">
        <f aca="false">IF($A450="","",IF(COUNTIFS($EX$2:$EX$1000,EX450,$EV$2:$EV$1000,"Y")+COUNTIFS($EX$2:$EX$1000,EX450,$EW$2:$EW$1000,"Y")&gt;0,"Y","N"))</f>
        <v/>
      </c>
      <c r="EZ450" s="0" t="str">
        <f aca="false">IF($A450="","",IF(AND(U450="new",T450="N",EW450="N",AR450="Y",EY450="N"),"Y","N"))</f>
        <v/>
      </c>
      <c r="FA450" s="0" t="str">
        <f aca="false">IF($A450="","",IF(EZ450&lt;&gt;"Y","N",IF(COUNTIFS($EX$2:$EX$1000,EX450,$EZ$2:$EZ$1000,"Y",$J$2:$J$1000,"&gt;"&amp;J450)+COUNTIFS($EX$2:$EX$1000,EX450,$EZ$2:$EZ$1000,"Y",$J$2:$J$1000,J450,$FG$2:$FG$1000,"&lt;"&amp;FG450)=0,"Y","N")))</f>
        <v/>
      </c>
      <c r="FB450" s="0" t="str">
        <f aca="false">IF($A450="","",IF(AND(EZ450="Y",FA450="Y",Y450&amp;""&lt;&gt;""),IF(Y450&lt;=10,"Y","N"),"N"))</f>
        <v/>
      </c>
      <c r="FC450" s="0" t="str">
        <f aca="false">IF(FB450="Y",Y450,"")</f>
        <v/>
      </c>
      <c r="FD450" s="0" t="str">
        <f aca="false">IF($A450="","",IF(AND(CK450="pass",AU450="Y",AV450&lt;&gt;"Y",U450="new",EW450="N"),"Y","N"))</f>
        <v/>
      </c>
      <c r="FE450" s="0" t="str">
        <f aca="false">IF(FD450&lt;&gt;"Y","",IF(COUNTIFS($FD$2:$FD$1000,"Y",$J$2:$J$1000,"&gt;"&amp;J450)+COUNTIFS($FD$2:$FD$1000,"Y",$J$2:$J$1000,J450,$FG$2:$FG$1000,"&lt;"&amp;FG450)+1&lt;=30,COUNTIFS($FD$2:$FD$1000,"Y",$J$2:$J$1000,"&gt;"&amp;J450)+COUNTIFS($FD$2:$FD$1000,"Y",$J$2:$J$1000,J450,$FG$2:$FG$1000,"&lt;"&amp;FG450)+1,""))</f>
        <v/>
      </c>
      <c r="FF450" s="0" t="str">
        <f aca="false">IF(AND(_xlfn.ISFORMULA(C450),_xlfn.ISFORMULA(J450)),"Y","N")</f>
        <v>Y</v>
      </c>
      <c r="FG450" s="0" t="n">
        <f aca="false">ROW()-1</f>
        <v>449</v>
      </c>
    </row>
    <row r="451" customFormat="false" ht="15" hidden="false" customHeight="false" outlineLevel="0" collapsed="false">
      <c r="C451" s="0" t="str">
        <f aca="false">IF($A451="","",IF(AT451="Y",BL451&amp;"",AY451&amp;""))</f>
        <v/>
      </c>
      <c r="D451" s="0" t="str">
        <f aca="false">IF($A451="","",IF(AT451="Y",BM451&amp;"",AZ451&amp;""))</f>
        <v/>
      </c>
      <c r="E451" s="0" t="str">
        <f aca="false">IF($A451="","",IF(AT451="Y",BN451&amp;"",BA451&amp;""))</f>
        <v/>
      </c>
      <c r="F451" s="0" t="str">
        <f aca="false">IF($A451="","",IF(AT451="Y",BO451&amp;"",BB451&amp;""))</f>
        <v/>
      </c>
      <c r="G451" s="0" t="str">
        <f aca="false">IF($A451="","",IF(AT451="Y",BP451&amp;"",BC451&amp;""))</f>
        <v/>
      </c>
      <c r="H451" s="0" t="str">
        <f aca="false">IF($A451="","",IF(AT451="Y",BQ451&amp;"",BD451&amp;""))</f>
        <v/>
      </c>
      <c r="I451" s="0" t="str">
        <f aca="false">IF($A451="","",IF(R451="Y","warm-intro",IF(H451="verified","email",IF(C451&lt;&gt;"","linkedin",CA451&amp;""))))</f>
        <v/>
      </c>
      <c r="J451" s="0" t="str">
        <f aca="false">IF($A451="","",IF(CK451="pass",ROUND(N(DO451)+N(DP451)+N(DQ451)+N(DR451)+N(DS451)+N(DT451)+N(DU451)+N(DV451),0),0))</f>
        <v/>
      </c>
      <c r="K451" s="0" t="str">
        <f aca="false">IF($A451="","",IF(CK451&lt;&gt;"pass",BY451&amp;"",BY451&amp;", "&amp;IF(AT451="Y",BX451&amp;"",BK451&amp;"")&amp;BZ451&amp;IF(R451="Y","; known to the founder (+10)","")&amp;"."))</f>
        <v/>
      </c>
      <c r="R451" s="5"/>
      <c r="T451" s="5"/>
      <c r="U451" s="5"/>
      <c r="Y451" s="0" t="str">
        <f aca="false">IF(FA451&lt;&gt;"Y","",COUNTIFS($FA$2:$FA$1000,"Y",$J$2:$J$1000,"&gt;"&amp;J451)+COUNTIFS($FA$2:$FA$1000,"Y",$J$2:$J$1000,J451,$FG$2:$FG$1000,"&lt;"&amp;FG451)+1)</f>
        <v/>
      </c>
      <c r="AB451" s="0" t="str">
        <f aca="false">IF($A451="","",IF(AT451="Y",BW451&amp;"",BJ451&amp;""))</f>
        <v/>
      </c>
      <c r="AC451" s="0" t="str">
        <f aca="false">IF($A451="","",IF(AT451="Y",BR451&amp;"",BE451&amp;""))</f>
        <v/>
      </c>
      <c r="AD451" s="0" t="str">
        <f aca="false">IF($A451="","",IF(AT451="Y",BS451&amp;"",BF451&amp;""))</f>
        <v/>
      </c>
      <c r="AE451" s="0" t="str">
        <f aca="false">IF($A451="","",IF(AT451="Y",BT451&amp;"",BG451&amp;""))</f>
        <v/>
      </c>
      <c r="AF451" s="0" t="str">
        <f aca="false">IF($A451="","",IF(AT451="Y",BU451&amp;"",BH451&amp;""))</f>
        <v/>
      </c>
      <c r="AG451" s="0" t="str">
        <f aca="false">IF($A451="","",IF(AT451="Y",BV451&amp;"",BI451&amp;""))</f>
        <v/>
      </c>
      <c r="AO451" s="5"/>
      <c r="AR451" s="0" t="str">
        <f aca="false">IF($A451="","",IF(AND(CK451="pass",AO451&lt;&gt;"Y",C451&lt;&gt;"",OR(AU451&lt;&gt;"Y",AV451="Y")),"Y","N"))</f>
        <v/>
      </c>
      <c r="AS451" s="0" t="str">
        <f aca="false">IF($A451="","",_xlfn.TEXTJOIN("; ",TRUE(),IF(CK451&lt;&gt;"pass","gated out",""),IF(AO451="Y","on hold: "&amp;AP451,""),IF(C451="","no contact named on an opened page",""),IF(AND(AU451="Y",AV451&lt;&gt;"Y"),"founder review pending (Founder review tab)","")))</f>
        <v/>
      </c>
      <c r="BC451" s="0" t="str">
        <f aca="false">IF($A451="","",IFERROR(INDEX(Enrichment!$A$2:$GZ$2000,MATCH($A451,INDEX(Enrichment!$A$2:$GZ$2000,0,MATCH("row_id",Enrichment!$A$1:$GZ$1,0)),0),MATCH("work_email",Enrichment!$A$1:$GZ$1,0))&amp;"",""))</f>
        <v/>
      </c>
      <c r="BD451" s="0" t="str">
        <f aca="false">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P451" s="0" t="str">
        <f aca="false">IF($A451="","",IFERROR(INDEX(Enrichment!$A$2:$GZ$2000,MATCH($A451,INDEX(Enrichment!$A$2:$GZ$2000,0,MATCH("row_id",Enrichment!$A$1:$GZ$1,0)),0),MATCH("backup_work_email",Enrichment!$A$1:$GZ$1,0))&amp;"",""))</f>
        <v/>
      </c>
      <c r="BQ451" s="0" t="str">
        <f aca="false">IF($A451="","",IF(BP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DU451" s="0" t="str">
        <f aca="false">IF($A451="","",IF(R451="Y",10,0))</f>
        <v/>
      </c>
      <c r="EV451" s="0" t="str">
        <f aca="false">IF($A451="","",IF(ISNUMBER(MATCH(U451,{"queued","contacted","replied","call_booked","call_done","yes_in_principle","materials_sent"},0)),"Y","N"))</f>
        <v/>
      </c>
      <c r="EW451" s="0" t="str">
        <f aca="false">IF($A451="","",IF(OR(T451="Y",U451="do_not_contact",AQ451&amp;""&lt;&gt;""),"Y","N"))</f>
        <v/>
      </c>
      <c r="EX451" s="0" t="str">
        <f aca="false">IF($A451="","",IF(AN451&amp;""&lt;&gt;"",AN451&amp;"",$A451))</f>
        <v/>
      </c>
      <c r="EY451" s="0" t="str">
        <f aca="false">IF($A451="","",IF(COUNTIFS($EX$2:$EX$1000,EX451,$EV$2:$EV$1000,"Y")+COUNTIFS($EX$2:$EX$1000,EX451,$EW$2:$EW$1000,"Y")&gt;0,"Y","N"))</f>
        <v/>
      </c>
      <c r="EZ451" s="0" t="str">
        <f aca="false">IF($A451="","",IF(AND(U451="new",T451="N",EW451="N",AR451="Y",EY451="N"),"Y","N"))</f>
        <v/>
      </c>
      <c r="FA451" s="0" t="str">
        <f aca="false">IF($A451="","",IF(EZ451&lt;&gt;"Y","N",IF(COUNTIFS($EX$2:$EX$1000,EX451,$EZ$2:$EZ$1000,"Y",$J$2:$J$1000,"&gt;"&amp;J451)+COUNTIFS($EX$2:$EX$1000,EX451,$EZ$2:$EZ$1000,"Y",$J$2:$J$1000,J451,$FG$2:$FG$1000,"&lt;"&amp;FG451)=0,"Y","N")))</f>
        <v/>
      </c>
      <c r="FB451" s="0" t="str">
        <f aca="false">IF($A451="","",IF(AND(EZ451="Y",FA451="Y",Y451&amp;""&lt;&gt;""),IF(Y451&lt;=10,"Y","N"),"N"))</f>
        <v/>
      </c>
      <c r="FC451" s="0" t="str">
        <f aca="false">IF(FB451="Y",Y451,"")</f>
        <v/>
      </c>
      <c r="FD451" s="0" t="str">
        <f aca="false">IF($A451="","",IF(AND(CK451="pass",AU451="Y",AV451&lt;&gt;"Y",U451="new",EW451="N"),"Y","N"))</f>
        <v/>
      </c>
      <c r="FE451" s="0" t="str">
        <f aca="false">IF(FD451&lt;&gt;"Y","",IF(COUNTIFS($FD$2:$FD$1000,"Y",$J$2:$J$1000,"&gt;"&amp;J451)+COUNTIFS($FD$2:$FD$1000,"Y",$J$2:$J$1000,J451,$FG$2:$FG$1000,"&lt;"&amp;FG451)+1&lt;=30,COUNTIFS($FD$2:$FD$1000,"Y",$J$2:$J$1000,"&gt;"&amp;J451)+COUNTIFS($FD$2:$FD$1000,"Y",$J$2:$J$1000,J451,$FG$2:$FG$1000,"&lt;"&amp;FG451)+1,""))</f>
        <v/>
      </c>
      <c r="FF451" s="0" t="str">
        <f aca="false">IF(AND(_xlfn.ISFORMULA(C451),_xlfn.ISFORMULA(J451)),"Y","N")</f>
        <v>Y</v>
      </c>
      <c r="FG451" s="0" t="n">
        <f aca="false">ROW()-1</f>
        <v>450</v>
      </c>
    </row>
    <row r="452" customFormat="false" ht="15" hidden="false" customHeight="false" outlineLevel="0" collapsed="false">
      <c r="C452" s="0" t="str">
        <f aca="false">IF($A452="","",IF(AT452="Y",BL452&amp;"",AY452&amp;""))</f>
        <v/>
      </c>
      <c r="D452" s="0" t="str">
        <f aca="false">IF($A452="","",IF(AT452="Y",BM452&amp;"",AZ452&amp;""))</f>
        <v/>
      </c>
      <c r="E452" s="0" t="str">
        <f aca="false">IF($A452="","",IF(AT452="Y",BN452&amp;"",BA452&amp;""))</f>
        <v/>
      </c>
      <c r="F452" s="0" t="str">
        <f aca="false">IF($A452="","",IF(AT452="Y",BO452&amp;"",BB452&amp;""))</f>
        <v/>
      </c>
      <c r="G452" s="0" t="str">
        <f aca="false">IF($A452="","",IF(AT452="Y",BP452&amp;"",BC452&amp;""))</f>
        <v/>
      </c>
      <c r="H452" s="0" t="str">
        <f aca="false">IF($A452="","",IF(AT452="Y",BQ452&amp;"",BD452&amp;""))</f>
        <v/>
      </c>
      <c r="I452" s="0" t="str">
        <f aca="false">IF($A452="","",IF(R452="Y","warm-intro",IF(H452="verified","email",IF(C452&lt;&gt;"","linkedin",CA452&amp;""))))</f>
        <v/>
      </c>
      <c r="J452" s="0" t="str">
        <f aca="false">IF($A452="","",IF(CK452="pass",ROUND(N(DO452)+N(DP452)+N(DQ452)+N(DR452)+N(DS452)+N(DT452)+N(DU452)+N(DV452),0),0))</f>
        <v/>
      </c>
      <c r="K452" s="0" t="str">
        <f aca="false">IF($A452="","",IF(CK452&lt;&gt;"pass",BY452&amp;"",BY452&amp;", "&amp;IF(AT452="Y",BX452&amp;"",BK452&amp;"")&amp;BZ452&amp;IF(R452="Y","; known to the founder (+10)","")&amp;"."))</f>
        <v/>
      </c>
      <c r="R452" s="5"/>
      <c r="T452" s="5"/>
      <c r="U452" s="5"/>
      <c r="Y452" s="0" t="str">
        <f aca="false">IF(FA452&lt;&gt;"Y","",COUNTIFS($FA$2:$FA$1000,"Y",$J$2:$J$1000,"&gt;"&amp;J452)+COUNTIFS($FA$2:$FA$1000,"Y",$J$2:$J$1000,J452,$FG$2:$FG$1000,"&lt;"&amp;FG452)+1)</f>
        <v/>
      </c>
      <c r="AB452" s="0" t="str">
        <f aca="false">IF($A452="","",IF(AT452="Y",BW452&amp;"",BJ452&amp;""))</f>
        <v/>
      </c>
      <c r="AC452" s="0" t="str">
        <f aca="false">IF($A452="","",IF(AT452="Y",BR452&amp;"",BE452&amp;""))</f>
        <v/>
      </c>
      <c r="AD452" s="0" t="str">
        <f aca="false">IF($A452="","",IF(AT452="Y",BS452&amp;"",BF452&amp;""))</f>
        <v/>
      </c>
      <c r="AE452" s="0" t="str">
        <f aca="false">IF($A452="","",IF(AT452="Y",BT452&amp;"",BG452&amp;""))</f>
        <v/>
      </c>
      <c r="AF452" s="0" t="str">
        <f aca="false">IF($A452="","",IF(AT452="Y",BU452&amp;"",BH452&amp;""))</f>
        <v/>
      </c>
      <c r="AG452" s="0" t="str">
        <f aca="false">IF($A452="","",IF(AT452="Y",BV452&amp;"",BI452&amp;""))</f>
        <v/>
      </c>
      <c r="AO452" s="5"/>
      <c r="AR452" s="0" t="str">
        <f aca="false">IF($A452="","",IF(AND(CK452="pass",AO452&lt;&gt;"Y",C452&lt;&gt;"",OR(AU452&lt;&gt;"Y",AV452="Y")),"Y","N"))</f>
        <v/>
      </c>
      <c r="AS452" s="0" t="str">
        <f aca="false">IF($A452="","",_xlfn.TEXTJOIN("; ",TRUE(),IF(CK452&lt;&gt;"pass","gated out",""),IF(AO452="Y","on hold: "&amp;AP452,""),IF(C452="","no contact named on an opened page",""),IF(AND(AU452="Y",AV452&lt;&gt;"Y"),"founder review pending (Founder review tab)","")))</f>
        <v/>
      </c>
      <c r="BC452" s="0" t="str">
        <f aca="false">IF($A452="","",IFERROR(INDEX(Enrichment!$A$2:$GZ$2000,MATCH($A452,INDEX(Enrichment!$A$2:$GZ$2000,0,MATCH("row_id",Enrichment!$A$1:$GZ$1,0)),0),MATCH("work_email",Enrichment!$A$1:$GZ$1,0))&amp;"",""))</f>
        <v/>
      </c>
      <c r="BD452" s="0" t="str">
        <f aca="false">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P452" s="0" t="str">
        <f aca="false">IF($A452="","",IFERROR(INDEX(Enrichment!$A$2:$GZ$2000,MATCH($A452,INDEX(Enrichment!$A$2:$GZ$2000,0,MATCH("row_id",Enrichment!$A$1:$GZ$1,0)),0),MATCH("backup_work_email",Enrichment!$A$1:$GZ$1,0))&amp;"",""))</f>
        <v/>
      </c>
      <c r="BQ452" s="0" t="str">
        <f aca="false">IF($A452="","",IF(BP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DU452" s="0" t="str">
        <f aca="false">IF($A452="","",IF(R452="Y",10,0))</f>
        <v/>
      </c>
      <c r="EV452" s="0" t="str">
        <f aca="false">IF($A452="","",IF(ISNUMBER(MATCH(U452,{"queued","contacted","replied","call_booked","call_done","yes_in_principle","materials_sent"},0)),"Y","N"))</f>
        <v/>
      </c>
      <c r="EW452" s="0" t="str">
        <f aca="false">IF($A452="","",IF(OR(T452="Y",U452="do_not_contact",AQ452&amp;""&lt;&gt;""),"Y","N"))</f>
        <v/>
      </c>
      <c r="EX452" s="0" t="str">
        <f aca="false">IF($A452="","",IF(AN452&amp;""&lt;&gt;"",AN452&amp;"",$A452))</f>
        <v/>
      </c>
      <c r="EY452" s="0" t="str">
        <f aca="false">IF($A452="","",IF(COUNTIFS($EX$2:$EX$1000,EX452,$EV$2:$EV$1000,"Y")+COUNTIFS($EX$2:$EX$1000,EX452,$EW$2:$EW$1000,"Y")&gt;0,"Y","N"))</f>
        <v/>
      </c>
      <c r="EZ452" s="0" t="str">
        <f aca="false">IF($A452="","",IF(AND(U452="new",T452="N",EW452="N",AR452="Y",EY452="N"),"Y","N"))</f>
        <v/>
      </c>
      <c r="FA452" s="0" t="str">
        <f aca="false">IF($A452="","",IF(EZ452&lt;&gt;"Y","N",IF(COUNTIFS($EX$2:$EX$1000,EX452,$EZ$2:$EZ$1000,"Y",$J$2:$J$1000,"&gt;"&amp;J452)+COUNTIFS($EX$2:$EX$1000,EX452,$EZ$2:$EZ$1000,"Y",$J$2:$J$1000,J452,$FG$2:$FG$1000,"&lt;"&amp;FG452)=0,"Y","N")))</f>
        <v/>
      </c>
      <c r="FB452" s="0" t="str">
        <f aca="false">IF($A452="","",IF(AND(EZ452="Y",FA452="Y",Y452&amp;""&lt;&gt;""),IF(Y452&lt;=10,"Y","N"),"N"))</f>
        <v/>
      </c>
      <c r="FC452" s="0" t="str">
        <f aca="false">IF(FB452="Y",Y452,"")</f>
        <v/>
      </c>
      <c r="FD452" s="0" t="str">
        <f aca="false">IF($A452="","",IF(AND(CK452="pass",AU452="Y",AV452&lt;&gt;"Y",U452="new",EW452="N"),"Y","N"))</f>
        <v/>
      </c>
      <c r="FE452" s="0" t="str">
        <f aca="false">IF(FD452&lt;&gt;"Y","",IF(COUNTIFS($FD$2:$FD$1000,"Y",$J$2:$J$1000,"&gt;"&amp;J452)+COUNTIFS($FD$2:$FD$1000,"Y",$J$2:$J$1000,J452,$FG$2:$FG$1000,"&lt;"&amp;FG452)+1&lt;=30,COUNTIFS($FD$2:$FD$1000,"Y",$J$2:$J$1000,"&gt;"&amp;J452)+COUNTIFS($FD$2:$FD$1000,"Y",$J$2:$J$1000,J452,$FG$2:$FG$1000,"&lt;"&amp;FG452)+1,""))</f>
        <v/>
      </c>
      <c r="FF452" s="0" t="str">
        <f aca="false">IF(AND(_xlfn.ISFORMULA(C452),_xlfn.ISFORMULA(J452)),"Y","N")</f>
        <v>Y</v>
      </c>
      <c r="FG452" s="0" t="n">
        <f aca="false">ROW()-1</f>
        <v>451</v>
      </c>
    </row>
    <row r="453" customFormat="false" ht="15" hidden="false" customHeight="false" outlineLevel="0" collapsed="false">
      <c r="C453" s="0" t="str">
        <f aca="false">IF($A453="","",IF(AT453="Y",BL453&amp;"",AY453&amp;""))</f>
        <v/>
      </c>
      <c r="D453" s="0" t="str">
        <f aca="false">IF($A453="","",IF(AT453="Y",BM453&amp;"",AZ453&amp;""))</f>
        <v/>
      </c>
      <c r="E453" s="0" t="str">
        <f aca="false">IF($A453="","",IF(AT453="Y",BN453&amp;"",BA453&amp;""))</f>
        <v/>
      </c>
      <c r="F453" s="0" t="str">
        <f aca="false">IF($A453="","",IF(AT453="Y",BO453&amp;"",BB453&amp;""))</f>
        <v/>
      </c>
      <c r="G453" s="0" t="str">
        <f aca="false">IF($A453="","",IF(AT453="Y",BP453&amp;"",BC453&amp;""))</f>
        <v/>
      </c>
      <c r="H453" s="0" t="str">
        <f aca="false">IF($A453="","",IF(AT453="Y",BQ453&amp;"",BD453&amp;""))</f>
        <v/>
      </c>
      <c r="I453" s="0" t="str">
        <f aca="false">IF($A453="","",IF(R453="Y","warm-intro",IF(H453="verified","email",IF(C453&lt;&gt;"","linkedin",CA453&amp;""))))</f>
        <v/>
      </c>
      <c r="J453" s="0" t="str">
        <f aca="false">IF($A453="","",IF(CK453="pass",ROUND(N(DO453)+N(DP453)+N(DQ453)+N(DR453)+N(DS453)+N(DT453)+N(DU453)+N(DV453),0),0))</f>
        <v/>
      </c>
      <c r="K453" s="0" t="str">
        <f aca="false">IF($A453="","",IF(CK453&lt;&gt;"pass",BY453&amp;"",BY453&amp;", "&amp;IF(AT453="Y",BX453&amp;"",BK453&amp;"")&amp;BZ453&amp;IF(R453="Y","; known to the founder (+10)","")&amp;"."))</f>
        <v/>
      </c>
      <c r="R453" s="5"/>
      <c r="T453" s="5"/>
      <c r="U453" s="5"/>
      <c r="Y453" s="0" t="str">
        <f aca="false">IF(FA453&lt;&gt;"Y","",COUNTIFS($FA$2:$FA$1000,"Y",$J$2:$J$1000,"&gt;"&amp;J453)+COUNTIFS($FA$2:$FA$1000,"Y",$J$2:$J$1000,J453,$FG$2:$FG$1000,"&lt;"&amp;FG453)+1)</f>
        <v/>
      </c>
      <c r="AB453" s="0" t="str">
        <f aca="false">IF($A453="","",IF(AT453="Y",BW453&amp;"",BJ453&amp;""))</f>
        <v/>
      </c>
      <c r="AC453" s="0" t="str">
        <f aca="false">IF($A453="","",IF(AT453="Y",BR453&amp;"",BE453&amp;""))</f>
        <v/>
      </c>
      <c r="AD453" s="0" t="str">
        <f aca="false">IF($A453="","",IF(AT453="Y",BS453&amp;"",BF453&amp;""))</f>
        <v/>
      </c>
      <c r="AE453" s="0" t="str">
        <f aca="false">IF($A453="","",IF(AT453="Y",BT453&amp;"",BG453&amp;""))</f>
        <v/>
      </c>
      <c r="AF453" s="0" t="str">
        <f aca="false">IF($A453="","",IF(AT453="Y",BU453&amp;"",BH453&amp;""))</f>
        <v/>
      </c>
      <c r="AG453" s="0" t="str">
        <f aca="false">IF($A453="","",IF(AT453="Y",BV453&amp;"",BI453&amp;""))</f>
        <v/>
      </c>
      <c r="AO453" s="5"/>
      <c r="AR453" s="0" t="str">
        <f aca="false">IF($A453="","",IF(AND(CK453="pass",AO453&lt;&gt;"Y",C453&lt;&gt;"",OR(AU453&lt;&gt;"Y",AV453="Y")),"Y","N"))</f>
        <v/>
      </c>
      <c r="AS453" s="0" t="str">
        <f aca="false">IF($A453="","",_xlfn.TEXTJOIN("; ",TRUE(),IF(CK453&lt;&gt;"pass","gated out",""),IF(AO453="Y","on hold: "&amp;AP453,""),IF(C453="","no contact named on an opened page",""),IF(AND(AU453="Y",AV453&lt;&gt;"Y"),"founder review pending (Founder review tab)","")))</f>
        <v/>
      </c>
      <c r="BC453" s="0" t="str">
        <f aca="false">IF($A453="","",IFERROR(INDEX(Enrichment!$A$2:$GZ$2000,MATCH($A453,INDEX(Enrichment!$A$2:$GZ$2000,0,MATCH("row_id",Enrichment!$A$1:$GZ$1,0)),0),MATCH("work_email",Enrichment!$A$1:$GZ$1,0))&amp;"",""))</f>
        <v/>
      </c>
      <c r="BD453" s="0" t="str">
        <f aca="false">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P453" s="0" t="str">
        <f aca="false">IF($A453="","",IFERROR(INDEX(Enrichment!$A$2:$GZ$2000,MATCH($A453,INDEX(Enrichment!$A$2:$GZ$2000,0,MATCH("row_id",Enrichment!$A$1:$GZ$1,0)),0),MATCH("backup_work_email",Enrichment!$A$1:$GZ$1,0))&amp;"",""))</f>
        <v/>
      </c>
      <c r="BQ453" s="0" t="str">
        <f aca="false">IF($A453="","",IF(BP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DU453" s="0" t="str">
        <f aca="false">IF($A453="","",IF(R453="Y",10,0))</f>
        <v/>
      </c>
      <c r="EV453" s="0" t="str">
        <f aca="false">IF($A453="","",IF(ISNUMBER(MATCH(U453,{"queued","contacted","replied","call_booked","call_done","yes_in_principle","materials_sent"},0)),"Y","N"))</f>
        <v/>
      </c>
      <c r="EW453" s="0" t="str">
        <f aca="false">IF($A453="","",IF(OR(T453="Y",U453="do_not_contact",AQ453&amp;""&lt;&gt;""),"Y","N"))</f>
        <v/>
      </c>
      <c r="EX453" s="0" t="str">
        <f aca="false">IF($A453="","",IF(AN453&amp;""&lt;&gt;"",AN453&amp;"",$A453))</f>
        <v/>
      </c>
      <c r="EY453" s="0" t="str">
        <f aca="false">IF($A453="","",IF(COUNTIFS($EX$2:$EX$1000,EX453,$EV$2:$EV$1000,"Y")+COUNTIFS($EX$2:$EX$1000,EX453,$EW$2:$EW$1000,"Y")&gt;0,"Y","N"))</f>
        <v/>
      </c>
      <c r="EZ453" s="0" t="str">
        <f aca="false">IF($A453="","",IF(AND(U453="new",T453="N",EW453="N",AR453="Y",EY453="N"),"Y","N"))</f>
        <v/>
      </c>
      <c r="FA453" s="0" t="str">
        <f aca="false">IF($A453="","",IF(EZ453&lt;&gt;"Y","N",IF(COUNTIFS($EX$2:$EX$1000,EX453,$EZ$2:$EZ$1000,"Y",$J$2:$J$1000,"&gt;"&amp;J453)+COUNTIFS($EX$2:$EX$1000,EX453,$EZ$2:$EZ$1000,"Y",$J$2:$J$1000,J453,$FG$2:$FG$1000,"&lt;"&amp;FG453)=0,"Y","N")))</f>
        <v/>
      </c>
      <c r="FB453" s="0" t="str">
        <f aca="false">IF($A453="","",IF(AND(EZ453="Y",FA453="Y",Y453&amp;""&lt;&gt;""),IF(Y453&lt;=10,"Y","N"),"N"))</f>
        <v/>
      </c>
      <c r="FC453" s="0" t="str">
        <f aca="false">IF(FB453="Y",Y453,"")</f>
        <v/>
      </c>
      <c r="FD453" s="0" t="str">
        <f aca="false">IF($A453="","",IF(AND(CK453="pass",AU453="Y",AV453&lt;&gt;"Y",U453="new",EW453="N"),"Y","N"))</f>
        <v/>
      </c>
      <c r="FE453" s="0" t="str">
        <f aca="false">IF(FD453&lt;&gt;"Y","",IF(COUNTIFS($FD$2:$FD$1000,"Y",$J$2:$J$1000,"&gt;"&amp;J453)+COUNTIFS($FD$2:$FD$1000,"Y",$J$2:$J$1000,J453,$FG$2:$FG$1000,"&lt;"&amp;FG453)+1&lt;=30,COUNTIFS($FD$2:$FD$1000,"Y",$J$2:$J$1000,"&gt;"&amp;J453)+COUNTIFS($FD$2:$FD$1000,"Y",$J$2:$J$1000,J453,$FG$2:$FG$1000,"&lt;"&amp;FG453)+1,""))</f>
        <v/>
      </c>
      <c r="FF453" s="0" t="str">
        <f aca="false">IF(AND(_xlfn.ISFORMULA(C453),_xlfn.ISFORMULA(J453)),"Y","N")</f>
        <v>Y</v>
      </c>
      <c r="FG453" s="0" t="n">
        <f aca="false">ROW()-1</f>
        <v>452</v>
      </c>
    </row>
    <row r="454" customFormat="false" ht="15" hidden="false" customHeight="false" outlineLevel="0" collapsed="false">
      <c r="C454" s="0" t="str">
        <f aca="false">IF($A454="","",IF(AT454="Y",BL454&amp;"",AY454&amp;""))</f>
        <v/>
      </c>
      <c r="D454" s="0" t="str">
        <f aca="false">IF($A454="","",IF(AT454="Y",BM454&amp;"",AZ454&amp;""))</f>
        <v/>
      </c>
      <c r="E454" s="0" t="str">
        <f aca="false">IF($A454="","",IF(AT454="Y",BN454&amp;"",BA454&amp;""))</f>
        <v/>
      </c>
      <c r="F454" s="0" t="str">
        <f aca="false">IF($A454="","",IF(AT454="Y",BO454&amp;"",BB454&amp;""))</f>
        <v/>
      </c>
      <c r="G454" s="0" t="str">
        <f aca="false">IF($A454="","",IF(AT454="Y",BP454&amp;"",BC454&amp;""))</f>
        <v/>
      </c>
      <c r="H454" s="0" t="str">
        <f aca="false">IF($A454="","",IF(AT454="Y",BQ454&amp;"",BD454&amp;""))</f>
        <v/>
      </c>
      <c r="I454" s="0" t="str">
        <f aca="false">IF($A454="","",IF(R454="Y","warm-intro",IF(H454="verified","email",IF(C454&lt;&gt;"","linkedin",CA454&amp;""))))</f>
        <v/>
      </c>
      <c r="J454" s="0" t="str">
        <f aca="false">IF($A454="","",IF(CK454="pass",ROUND(N(DO454)+N(DP454)+N(DQ454)+N(DR454)+N(DS454)+N(DT454)+N(DU454)+N(DV454),0),0))</f>
        <v/>
      </c>
      <c r="K454" s="0" t="str">
        <f aca="false">IF($A454="","",IF(CK454&lt;&gt;"pass",BY454&amp;"",BY454&amp;", "&amp;IF(AT454="Y",BX454&amp;"",BK454&amp;"")&amp;BZ454&amp;IF(R454="Y","; known to the founder (+10)","")&amp;"."))</f>
        <v/>
      </c>
      <c r="R454" s="5"/>
      <c r="T454" s="5"/>
      <c r="U454" s="5"/>
      <c r="Y454" s="0" t="str">
        <f aca="false">IF(FA454&lt;&gt;"Y","",COUNTIFS($FA$2:$FA$1000,"Y",$J$2:$J$1000,"&gt;"&amp;J454)+COUNTIFS($FA$2:$FA$1000,"Y",$J$2:$J$1000,J454,$FG$2:$FG$1000,"&lt;"&amp;FG454)+1)</f>
        <v/>
      </c>
      <c r="AB454" s="0" t="str">
        <f aca="false">IF($A454="","",IF(AT454="Y",BW454&amp;"",BJ454&amp;""))</f>
        <v/>
      </c>
      <c r="AC454" s="0" t="str">
        <f aca="false">IF($A454="","",IF(AT454="Y",BR454&amp;"",BE454&amp;""))</f>
        <v/>
      </c>
      <c r="AD454" s="0" t="str">
        <f aca="false">IF($A454="","",IF(AT454="Y",BS454&amp;"",BF454&amp;""))</f>
        <v/>
      </c>
      <c r="AE454" s="0" t="str">
        <f aca="false">IF($A454="","",IF(AT454="Y",BT454&amp;"",BG454&amp;""))</f>
        <v/>
      </c>
      <c r="AF454" s="0" t="str">
        <f aca="false">IF($A454="","",IF(AT454="Y",BU454&amp;"",BH454&amp;""))</f>
        <v/>
      </c>
      <c r="AG454" s="0" t="str">
        <f aca="false">IF($A454="","",IF(AT454="Y",BV454&amp;"",BI454&amp;""))</f>
        <v/>
      </c>
      <c r="AO454" s="5"/>
      <c r="AR454" s="0" t="str">
        <f aca="false">IF($A454="","",IF(AND(CK454="pass",AO454&lt;&gt;"Y",C454&lt;&gt;"",OR(AU454&lt;&gt;"Y",AV454="Y")),"Y","N"))</f>
        <v/>
      </c>
      <c r="AS454" s="0" t="str">
        <f aca="false">IF($A454="","",_xlfn.TEXTJOIN("; ",TRUE(),IF(CK454&lt;&gt;"pass","gated out",""),IF(AO454="Y","on hold: "&amp;AP454,""),IF(C454="","no contact named on an opened page",""),IF(AND(AU454="Y",AV454&lt;&gt;"Y"),"founder review pending (Founder review tab)","")))</f>
        <v/>
      </c>
      <c r="BC454" s="0" t="str">
        <f aca="false">IF($A454="","",IFERROR(INDEX(Enrichment!$A$2:$GZ$2000,MATCH($A454,INDEX(Enrichment!$A$2:$GZ$2000,0,MATCH("row_id",Enrichment!$A$1:$GZ$1,0)),0),MATCH("work_email",Enrichment!$A$1:$GZ$1,0))&amp;"",""))</f>
        <v/>
      </c>
      <c r="BD454" s="0" t="str">
        <f aca="false">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P454" s="0" t="str">
        <f aca="false">IF($A454="","",IFERROR(INDEX(Enrichment!$A$2:$GZ$2000,MATCH($A454,INDEX(Enrichment!$A$2:$GZ$2000,0,MATCH("row_id",Enrichment!$A$1:$GZ$1,0)),0),MATCH("backup_work_email",Enrichment!$A$1:$GZ$1,0))&amp;"",""))</f>
        <v/>
      </c>
      <c r="BQ454" s="0" t="str">
        <f aca="false">IF($A454="","",IF(BP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DU454" s="0" t="str">
        <f aca="false">IF($A454="","",IF(R454="Y",10,0))</f>
        <v/>
      </c>
      <c r="EV454" s="0" t="str">
        <f aca="false">IF($A454="","",IF(ISNUMBER(MATCH(U454,{"queued","contacted","replied","call_booked","call_done","yes_in_principle","materials_sent"},0)),"Y","N"))</f>
        <v/>
      </c>
      <c r="EW454" s="0" t="str">
        <f aca="false">IF($A454="","",IF(OR(T454="Y",U454="do_not_contact",AQ454&amp;""&lt;&gt;""),"Y","N"))</f>
        <v/>
      </c>
      <c r="EX454" s="0" t="str">
        <f aca="false">IF($A454="","",IF(AN454&amp;""&lt;&gt;"",AN454&amp;"",$A454))</f>
        <v/>
      </c>
      <c r="EY454" s="0" t="str">
        <f aca="false">IF($A454="","",IF(COUNTIFS($EX$2:$EX$1000,EX454,$EV$2:$EV$1000,"Y")+COUNTIFS($EX$2:$EX$1000,EX454,$EW$2:$EW$1000,"Y")&gt;0,"Y","N"))</f>
        <v/>
      </c>
      <c r="EZ454" s="0" t="str">
        <f aca="false">IF($A454="","",IF(AND(U454="new",T454="N",EW454="N",AR454="Y",EY454="N"),"Y","N"))</f>
        <v/>
      </c>
      <c r="FA454" s="0" t="str">
        <f aca="false">IF($A454="","",IF(EZ454&lt;&gt;"Y","N",IF(COUNTIFS($EX$2:$EX$1000,EX454,$EZ$2:$EZ$1000,"Y",$J$2:$J$1000,"&gt;"&amp;J454)+COUNTIFS($EX$2:$EX$1000,EX454,$EZ$2:$EZ$1000,"Y",$J$2:$J$1000,J454,$FG$2:$FG$1000,"&lt;"&amp;FG454)=0,"Y","N")))</f>
        <v/>
      </c>
      <c r="FB454" s="0" t="str">
        <f aca="false">IF($A454="","",IF(AND(EZ454="Y",FA454="Y",Y454&amp;""&lt;&gt;""),IF(Y454&lt;=10,"Y","N"),"N"))</f>
        <v/>
      </c>
      <c r="FC454" s="0" t="str">
        <f aca="false">IF(FB454="Y",Y454,"")</f>
        <v/>
      </c>
      <c r="FD454" s="0" t="str">
        <f aca="false">IF($A454="","",IF(AND(CK454="pass",AU454="Y",AV454&lt;&gt;"Y",U454="new",EW454="N"),"Y","N"))</f>
        <v/>
      </c>
      <c r="FE454" s="0" t="str">
        <f aca="false">IF(FD454&lt;&gt;"Y","",IF(COUNTIFS($FD$2:$FD$1000,"Y",$J$2:$J$1000,"&gt;"&amp;J454)+COUNTIFS($FD$2:$FD$1000,"Y",$J$2:$J$1000,J454,$FG$2:$FG$1000,"&lt;"&amp;FG454)+1&lt;=30,COUNTIFS($FD$2:$FD$1000,"Y",$J$2:$J$1000,"&gt;"&amp;J454)+COUNTIFS($FD$2:$FD$1000,"Y",$J$2:$J$1000,J454,$FG$2:$FG$1000,"&lt;"&amp;FG454)+1,""))</f>
        <v/>
      </c>
      <c r="FF454" s="0" t="str">
        <f aca="false">IF(AND(_xlfn.ISFORMULA(C454),_xlfn.ISFORMULA(J454)),"Y","N")</f>
        <v>Y</v>
      </c>
      <c r="FG454" s="0" t="n">
        <f aca="false">ROW()-1</f>
        <v>453</v>
      </c>
    </row>
    <row r="455" customFormat="false" ht="15" hidden="false" customHeight="false" outlineLevel="0" collapsed="false">
      <c r="C455" s="0" t="str">
        <f aca="false">IF($A455="","",IF(AT455="Y",BL455&amp;"",AY455&amp;""))</f>
        <v/>
      </c>
      <c r="D455" s="0" t="str">
        <f aca="false">IF($A455="","",IF(AT455="Y",BM455&amp;"",AZ455&amp;""))</f>
        <v/>
      </c>
      <c r="E455" s="0" t="str">
        <f aca="false">IF($A455="","",IF(AT455="Y",BN455&amp;"",BA455&amp;""))</f>
        <v/>
      </c>
      <c r="F455" s="0" t="str">
        <f aca="false">IF($A455="","",IF(AT455="Y",BO455&amp;"",BB455&amp;""))</f>
        <v/>
      </c>
      <c r="G455" s="0" t="str">
        <f aca="false">IF($A455="","",IF(AT455="Y",BP455&amp;"",BC455&amp;""))</f>
        <v/>
      </c>
      <c r="H455" s="0" t="str">
        <f aca="false">IF($A455="","",IF(AT455="Y",BQ455&amp;"",BD455&amp;""))</f>
        <v/>
      </c>
      <c r="I455" s="0" t="str">
        <f aca="false">IF($A455="","",IF(R455="Y","warm-intro",IF(H455="verified","email",IF(C455&lt;&gt;"","linkedin",CA455&amp;""))))</f>
        <v/>
      </c>
      <c r="J455" s="0" t="str">
        <f aca="false">IF($A455="","",IF(CK455="pass",ROUND(N(DO455)+N(DP455)+N(DQ455)+N(DR455)+N(DS455)+N(DT455)+N(DU455)+N(DV455),0),0))</f>
        <v/>
      </c>
      <c r="K455" s="0" t="str">
        <f aca="false">IF($A455="","",IF(CK455&lt;&gt;"pass",BY455&amp;"",BY455&amp;", "&amp;IF(AT455="Y",BX455&amp;"",BK455&amp;"")&amp;BZ455&amp;IF(R455="Y","; known to the founder (+10)","")&amp;"."))</f>
        <v/>
      </c>
      <c r="R455" s="5"/>
      <c r="T455" s="5"/>
      <c r="U455" s="5"/>
      <c r="Y455" s="0" t="str">
        <f aca="false">IF(FA455&lt;&gt;"Y","",COUNTIFS($FA$2:$FA$1000,"Y",$J$2:$J$1000,"&gt;"&amp;J455)+COUNTIFS($FA$2:$FA$1000,"Y",$J$2:$J$1000,J455,$FG$2:$FG$1000,"&lt;"&amp;FG455)+1)</f>
        <v/>
      </c>
      <c r="AB455" s="0" t="str">
        <f aca="false">IF($A455="","",IF(AT455="Y",BW455&amp;"",BJ455&amp;""))</f>
        <v/>
      </c>
      <c r="AC455" s="0" t="str">
        <f aca="false">IF($A455="","",IF(AT455="Y",BR455&amp;"",BE455&amp;""))</f>
        <v/>
      </c>
      <c r="AD455" s="0" t="str">
        <f aca="false">IF($A455="","",IF(AT455="Y",BS455&amp;"",BF455&amp;""))</f>
        <v/>
      </c>
      <c r="AE455" s="0" t="str">
        <f aca="false">IF($A455="","",IF(AT455="Y",BT455&amp;"",BG455&amp;""))</f>
        <v/>
      </c>
      <c r="AF455" s="0" t="str">
        <f aca="false">IF($A455="","",IF(AT455="Y",BU455&amp;"",BH455&amp;""))</f>
        <v/>
      </c>
      <c r="AG455" s="0" t="str">
        <f aca="false">IF($A455="","",IF(AT455="Y",BV455&amp;"",BI455&amp;""))</f>
        <v/>
      </c>
      <c r="AO455" s="5"/>
      <c r="AR455" s="0" t="str">
        <f aca="false">IF($A455="","",IF(AND(CK455="pass",AO455&lt;&gt;"Y",C455&lt;&gt;"",OR(AU455&lt;&gt;"Y",AV455="Y")),"Y","N"))</f>
        <v/>
      </c>
      <c r="AS455" s="0" t="str">
        <f aca="false">IF($A455="","",_xlfn.TEXTJOIN("; ",TRUE(),IF(CK455&lt;&gt;"pass","gated out",""),IF(AO455="Y","on hold: "&amp;AP455,""),IF(C455="","no contact named on an opened page",""),IF(AND(AU455="Y",AV455&lt;&gt;"Y"),"founder review pending (Founder review tab)","")))</f>
        <v/>
      </c>
      <c r="BC455" s="0" t="str">
        <f aca="false">IF($A455="","",IFERROR(INDEX(Enrichment!$A$2:$GZ$2000,MATCH($A455,INDEX(Enrichment!$A$2:$GZ$2000,0,MATCH("row_id",Enrichment!$A$1:$GZ$1,0)),0),MATCH("work_email",Enrichment!$A$1:$GZ$1,0))&amp;"",""))</f>
        <v/>
      </c>
      <c r="BD455" s="0" t="str">
        <f aca="false">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P455" s="0" t="str">
        <f aca="false">IF($A455="","",IFERROR(INDEX(Enrichment!$A$2:$GZ$2000,MATCH($A455,INDEX(Enrichment!$A$2:$GZ$2000,0,MATCH("row_id",Enrichment!$A$1:$GZ$1,0)),0),MATCH("backup_work_email",Enrichment!$A$1:$GZ$1,0))&amp;"",""))</f>
        <v/>
      </c>
      <c r="BQ455" s="0" t="str">
        <f aca="false">IF($A455="","",IF(BP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DU455" s="0" t="str">
        <f aca="false">IF($A455="","",IF(R455="Y",10,0))</f>
        <v/>
      </c>
      <c r="EV455" s="0" t="str">
        <f aca="false">IF($A455="","",IF(ISNUMBER(MATCH(U455,{"queued","contacted","replied","call_booked","call_done","yes_in_principle","materials_sent"},0)),"Y","N"))</f>
        <v/>
      </c>
      <c r="EW455" s="0" t="str">
        <f aca="false">IF($A455="","",IF(OR(T455="Y",U455="do_not_contact",AQ455&amp;""&lt;&gt;""),"Y","N"))</f>
        <v/>
      </c>
      <c r="EX455" s="0" t="str">
        <f aca="false">IF($A455="","",IF(AN455&amp;""&lt;&gt;"",AN455&amp;"",$A455))</f>
        <v/>
      </c>
      <c r="EY455" s="0" t="str">
        <f aca="false">IF($A455="","",IF(COUNTIFS($EX$2:$EX$1000,EX455,$EV$2:$EV$1000,"Y")+COUNTIFS($EX$2:$EX$1000,EX455,$EW$2:$EW$1000,"Y")&gt;0,"Y","N"))</f>
        <v/>
      </c>
      <c r="EZ455" s="0" t="str">
        <f aca="false">IF($A455="","",IF(AND(U455="new",T455="N",EW455="N",AR455="Y",EY455="N"),"Y","N"))</f>
        <v/>
      </c>
      <c r="FA455" s="0" t="str">
        <f aca="false">IF($A455="","",IF(EZ455&lt;&gt;"Y","N",IF(COUNTIFS($EX$2:$EX$1000,EX455,$EZ$2:$EZ$1000,"Y",$J$2:$J$1000,"&gt;"&amp;J455)+COUNTIFS($EX$2:$EX$1000,EX455,$EZ$2:$EZ$1000,"Y",$J$2:$J$1000,J455,$FG$2:$FG$1000,"&lt;"&amp;FG455)=0,"Y","N")))</f>
        <v/>
      </c>
      <c r="FB455" s="0" t="str">
        <f aca="false">IF($A455="","",IF(AND(EZ455="Y",FA455="Y",Y455&amp;""&lt;&gt;""),IF(Y455&lt;=10,"Y","N"),"N"))</f>
        <v/>
      </c>
      <c r="FC455" s="0" t="str">
        <f aca="false">IF(FB455="Y",Y455,"")</f>
        <v/>
      </c>
      <c r="FD455" s="0" t="str">
        <f aca="false">IF($A455="","",IF(AND(CK455="pass",AU455="Y",AV455&lt;&gt;"Y",U455="new",EW455="N"),"Y","N"))</f>
        <v/>
      </c>
      <c r="FE455" s="0" t="str">
        <f aca="false">IF(FD455&lt;&gt;"Y","",IF(COUNTIFS($FD$2:$FD$1000,"Y",$J$2:$J$1000,"&gt;"&amp;J455)+COUNTIFS($FD$2:$FD$1000,"Y",$J$2:$J$1000,J455,$FG$2:$FG$1000,"&lt;"&amp;FG455)+1&lt;=30,COUNTIFS($FD$2:$FD$1000,"Y",$J$2:$J$1000,"&gt;"&amp;J455)+COUNTIFS($FD$2:$FD$1000,"Y",$J$2:$J$1000,J455,$FG$2:$FG$1000,"&lt;"&amp;FG455)+1,""))</f>
        <v/>
      </c>
      <c r="FF455" s="0" t="str">
        <f aca="false">IF(AND(_xlfn.ISFORMULA(C455),_xlfn.ISFORMULA(J455)),"Y","N")</f>
        <v>Y</v>
      </c>
      <c r="FG455" s="0" t="n">
        <f aca="false">ROW()-1</f>
        <v>454</v>
      </c>
    </row>
    <row r="456" customFormat="false" ht="15" hidden="false" customHeight="false" outlineLevel="0" collapsed="false">
      <c r="C456" s="0" t="str">
        <f aca="false">IF($A456="","",IF(AT456="Y",BL456&amp;"",AY456&amp;""))</f>
        <v/>
      </c>
      <c r="D456" s="0" t="str">
        <f aca="false">IF($A456="","",IF(AT456="Y",BM456&amp;"",AZ456&amp;""))</f>
        <v/>
      </c>
      <c r="E456" s="0" t="str">
        <f aca="false">IF($A456="","",IF(AT456="Y",BN456&amp;"",BA456&amp;""))</f>
        <v/>
      </c>
      <c r="F456" s="0" t="str">
        <f aca="false">IF($A456="","",IF(AT456="Y",BO456&amp;"",BB456&amp;""))</f>
        <v/>
      </c>
      <c r="G456" s="0" t="str">
        <f aca="false">IF($A456="","",IF(AT456="Y",BP456&amp;"",BC456&amp;""))</f>
        <v/>
      </c>
      <c r="H456" s="0" t="str">
        <f aca="false">IF($A456="","",IF(AT456="Y",BQ456&amp;"",BD456&amp;""))</f>
        <v/>
      </c>
      <c r="I456" s="0" t="str">
        <f aca="false">IF($A456="","",IF(R456="Y","warm-intro",IF(H456="verified","email",IF(C456&lt;&gt;"","linkedin",CA456&amp;""))))</f>
        <v/>
      </c>
      <c r="J456" s="0" t="str">
        <f aca="false">IF($A456="","",IF(CK456="pass",ROUND(N(DO456)+N(DP456)+N(DQ456)+N(DR456)+N(DS456)+N(DT456)+N(DU456)+N(DV456),0),0))</f>
        <v/>
      </c>
      <c r="K456" s="0" t="str">
        <f aca="false">IF($A456="","",IF(CK456&lt;&gt;"pass",BY456&amp;"",BY456&amp;", "&amp;IF(AT456="Y",BX456&amp;"",BK456&amp;"")&amp;BZ456&amp;IF(R456="Y","; known to the founder (+10)","")&amp;"."))</f>
        <v/>
      </c>
      <c r="R456" s="5"/>
      <c r="T456" s="5"/>
      <c r="U456" s="5"/>
      <c r="Y456" s="0" t="str">
        <f aca="false">IF(FA456&lt;&gt;"Y","",COUNTIFS($FA$2:$FA$1000,"Y",$J$2:$J$1000,"&gt;"&amp;J456)+COUNTIFS($FA$2:$FA$1000,"Y",$J$2:$J$1000,J456,$FG$2:$FG$1000,"&lt;"&amp;FG456)+1)</f>
        <v/>
      </c>
      <c r="AB456" s="0" t="str">
        <f aca="false">IF($A456="","",IF(AT456="Y",BW456&amp;"",BJ456&amp;""))</f>
        <v/>
      </c>
      <c r="AC456" s="0" t="str">
        <f aca="false">IF($A456="","",IF(AT456="Y",BR456&amp;"",BE456&amp;""))</f>
        <v/>
      </c>
      <c r="AD456" s="0" t="str">
        <f aca="false">IF($A456="","",IF(AT456="Y",BS456&amp;"",BF456&amp;""))</f>
        <v/>
      </c>
      <c r="AE456" s="0" t="str">
        <f aca="false">IF($A456="","",IF(AT456="Y",BT456&amp;"",BG456&amp;""))</f>
        <v/>
      </c>
      <c r="AF456" s="0" t="str">
        <f aca="false">IF($A456="","",IF(AT456="Y",BU456&amp;"",BH456&amp;""))</f>
        <v/>
      </c>
      <c r="AG456" s="0" t="str">
        <f aca="false">IF($A456="","",IF(AT456="Y",BV456&amp;"",BI456&amp;""))</f>
        <v/>
      </c>
      <c r="AO456" s="5"/>
      <c r="AR456" s="0" t="str">
        <f aca="false">IF($A456="","",IF(AND(CK456="pass",AO456&lt;&gt;"Y",C456&lt;&gt;"",OR(AU456&lt;&gt;"Y",AV456="Y")),"Y","N"))</f>
        <v/>
      </c>
      <c r="AS456" s="0" t="str">
        <f aca="false">IF($A456="","",_xlfn.TEXTJOIN("; ",TRUE(),IF(CK456&lt;&gt;"pass","gated out",""),IF(AO456="Y","on hold: "&amp;AP456,""),IF(C456="","no contact named on an opened page",""),IF(AND(AU456="Y",AV456&lt;&gt;"Y"),"founder review pending (Founder review tab)","")))</f>
        <v/>
      </c>
      <c r="BC456" s="0" t="str">
        <f aca="false">IF($A456="","",IFERROR(INDEX(Enrichment!$A$2:$GZ$2000,MATCH($A456,INDEX(Enrichment!$A$2:$GZ$2000,0,MATCH("row_id",Enrichment!$A$1:$GZ$1,0)),0),MATCH("work_email",Enrichment!$A$1:$GZ$1,0))&amp;"",""))</f>
        <v/>
      </c>
      <c r="BD456" s="0" t="str">
        <f aca="false">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P456" s="0" t="str">
        <f aca="false">IF($A456="","",IFERROR(INDEX(Enrichment!$A$2:$GZ$2000,MATCH($A456,INDEX(Enrichment!$A$2:$GZ$2000,0,MATCH("row_id",Enrichment!$A$1:$GZ$1,0)),0),MATCH("backup_work_email",Enrichment!$A$1:$GZ$1,0))&amp;"",""))</f>
        <v/>
      </c>
      <c r="BQ456" s="0" t="str">
        <f aca="false">IF($A456="","",IF(BP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DU456" s="0" t="str">
        <f aca="false">IF($A456="","",IF(R456="Y",10,0))</f>
        <v/>
      </c>
      <c r="EV456" s="0" t="str">
        <f aca="false">IF($A456="","",IF(ISNUMBER(MATCH(U456,{"queued","contacted","replied","call_booked","call_done","yes_in_principle","materials_sent"},0)),"Y","N"))</f>
        <v/>
      </c>
      <c r="EW456" s="0" t="str">
        <f aca="false">IF($A456="","",IF(OR(T456="Y",U456="do_not_contact",AQ456&amp;""&lt;&gt;""),"Y","N"))</f>
        <v/>
      </c>
      <c r="EX456" s="0" t="str">
        <f aca="false">IF($A456="","",IF(AN456&amp;""&lt;&gt;"",AN456&amp;"",$A456))</f>
        <v/>
      </c>
      <c r="EY456" s="0" t="str">
        <f aca="false">IF($A456="","",IF(COUNTIFS($EX$2:$EX$1000,EX456,$EV$2:$EV$1000,"Y")+COUNTIFS($EX$2:$EX$1000,EX456,$EW$2:$EW$1000,"Y")&gt;0,"Y","N"))</f>
        <v/>
      </c>
      <c r="EZ456" s="0" t="str">
        <f aca="false">IF($A456="","",IF(AND(U456="new",T456="N",EW456="N",AR456="Y",EY456="N"),"Y","N"))</f>
        <v/>
      </c>
      <c r="FA456" s="0" t="str">
        <f aca="false">IF($A456="","",IF(EZ456&lt;&gt;"Y","N",IF(COUNTIFS($EX$2:$EX$1000,EX456,$EZ$2:$EZ$1000,"Y",$J$2:$J$1000,"&gt;"&amp;J456)+COUNTIFS($EX$2:$EX$1000,EX456,$EZ$2:$EZ$1000,"Y",$J$2:$J$1000,J456,$FG$2:$FG$1000,"&lt;"&amp;FG456)=0,"Y","N")))</f>
        <v/>
      </c>
      <c r="FB456" s="0" t="str">
        <f aca="false">IF($A456="","",IF(AND(EZ456="Y",FA456="Y",Y456&amp;""&lt;&gt;""),IF(Y456&lt;=10,"Y","N"),"N"))</f>
        <v/>
      </c>
      <c r="FC456" s="0" t="str">
        <f aca="false">IF(FB456="Y",Y456,"")</f>
        <v/>
      </c>
      <c r="FD456" s="0" t="str">
        <f aca="false">IF($A456="","",IF(AND(CK456="pass",AU456="Y",AV456&lt;&gt;"Y",U456="new",EW456="N"),"Y","N"))</f>
        <v/>
      </c>
      <c r="FE456" s="0" t="str">
        <f aca="false">IF(FD456&lt;&gt;"Y","",IF(COUNTIFS($FD$2:$FD$1000,"Y",$J$2:$J$1000,"&gt;"&amp;J456)+COUNTIFS($FD$2:$FD$1000,"Y",$J$2:$J$1000,J456,$FG$2:$FG$1000,"&lt;"&amp;FG456)+1&lt;=30,COUNTIFS($FD$2:$FD$1000,"Y",$J$2:$J$1000,"&gt;"&amp;J456)+COUNTIFS($FD$2:$FD$1000,"Y",$J$2:$J$1000,J456,$FG$2:$FG$1000,"&lt;"&amp;FG456)+1,""))</f>
        <v/>
      </c>
      <c r="FF456" s="0" t="str">
        <f aca="false">IF(AND(_xlfn.ISFORMULA(C456),_xlfn.ISFORMULA(J456)),"Y","N")</f>
        <v>Y</v>
      </c>
      <c r="FG456" s="0" t="n">
        <f aca="false">ROW()-1</f>
        <v>455</v>
      </c>
    </row>
    <row r="457" customFormat="false" ht="15" hidden="false" customHeight="false" outlineLevel="0" collapsed="false">
      <c r="C457" s="0" t="str">
        <f aca="false">IF($A457="","",IF(AT457="Y",BL457&amp;"",AY457&amp;""))</f>
        <v/>
      </c>
      <c r="D457" s="0" t="str">
        <f aca="false">IF($A457="","",IF(AT457="Y",BM457&amp;"",AZ457&amp;""))</f>
        <v/>
      </c>
      <c r="E457" s="0" t="str">
        <f aca="false">IF($A457="","",IF(AT457="Y",BN457&amp;"",BA457&amp;""))</f>
        <v/>
      </c>
      <c r="F457" s="0" t="str">
        <f aca="false">IF($A457="","",IF(AT457="Y",BO457&amp;"",BB457&amp;""))</f>
        <v/>
      </c>
      <c r="G457" s="0" t="str">
        <f aca="false">IF($A457="","",IF(AT457="Y",BP457&amp;"",BC457&amp;""))</f>
        <v/>
      </c>
      <c r="H457" s="0" t="str">
        <f aca="false">IF($A457="","",IF(AT457="Y",BQ457&amp;"",BD457&amp;""))</f>
        <v/>
      </c>
      <c r="I457" s="0" t="str">
        <f aca="false">IF($A457="","",IF(R457="Y","warm-intro",IF(H457="verified","email",IF(C457&lt;&gt;"","linkedin",CA457&amp;""))))</f>
        <v/>
      </c>
      <c r="J457" s="0" t="str">
        <f aca="false">IF($A457="","",IF(CK457="pass",ROUND(N(DO457)+N(DP457)+N(DQ457)+N(DR457)+N(DS457)+N(DT457)+N(DU457)+N(DV457),0),0))</f>
        <v/>
      </c>
      <c r="K457" s="0" t="str">
        <f aca="false">IF($A457="","",IF(CK457&lt;&gt;"pass",BY457&amp;"",BY457&amp;", "&amp;IF(AT457="Y",BX457&amp;"",BK457&amp;"")&amp;BZ457&amp;IF(R457="Y","; known to the founder (+10)","")&amp;"."))</f>
        <v/>
      </c>
      <c r="R457" s="5"/>
      <c r="T457" s="5"/>
      <c r="U457" s="5"/>
      <c r="Y457" s="0" t="str">
        <f aca="false">IF(FA457&lt;&gt;"Y","",COUNTIFS($FA$2:$FA$1000,"Y",$J$2:$J$1000,"&gt;"&amp;J457)+COUNTIFS($FA$2:$FA$1000,"Y",$J$2:$J$1000,J457,$FG$2:$FG$1000,"&lt;"&amp;FG457)+1)</f>
        <v/>
      </c>
      <c r="AB457" s="0" t="str">
        <f aca="false">IF($A457="","",IF(AT457="Y",BW457&amp;"",BJ457&amp;""))</f>
        <v/>
      </c>
      <c r="AC457" s="0" t="str">
        <f aca="false">IF($A457="","",IF(AT457="Y",BR457&amp;"",BE457&amp;""))</f>
        <v/>
      </c>
      <c r="AD457" s="0" t="str">
        <f aca="false">IF($A457="","",IF(AT457="Y",BS457&amp;"",BF457&amp;""))</f>
        <v/>
      </c>
      <c r="AE457" s="0" t="str">
        <f aca="false">IF($A457="","",IF(AT457="Y",BT457&amp;"",BG457&amp;""))</f>
        <v/>
      </c>
      <c r="AF457" s="0" t="str">
        <f aca="false">IF($A457="","",IF(AT457="Y",BU457&amp;"",BH457&amp;""))</f>
        <v/>
      </c>
      <c r="AG457" s="0" t="str">
        <f aca="false">IF($A457="","",IF(AT457="Y",BV457&amp;"",BI457&amp;""))</f>
        <v/>
      </c>
      <c r="AO457" s="5"/>
      <c r="AR457" s="0" t="str">
        <f aca="false">IF($A457="","",IF(AND(CK457="pass",AO457&lt;&gt;"Y",C457&lt;&gt;"",OR(AU457&lt;&gt;"Y",AV457="Y")),"Y","N"))</f>
        <v/>
      </c>
      <c r="AS457" s="0" t="str">
        <f aca="false">IF($A457="","",_xlfn.TEXTJOIN("; ",TRUE(),IF(CK457&lt;&gt;"pass","gated out",""),IF(AO457="Y","on hold: "&amp;AP457,""),IF(C457="","no contact named on an opened page",""),IF(AND(AU457="Y",AV457&lt;&gt;"Y"),"founder review pending (Founder review tab)","")))</f>
        <v/>
      </c>
      <c r="BC457" s="0" t="str">
        <f aca="false">IF($A457="","",IFERROR(INDEX(Enrichment!$A$2:$GZ$2000,MATCH($A457,INDEX(Enrichment!$A$2:$GZ$2000,0,MATCH("row_id",Enrichment!$A$1:$GZ$1,0)),0),MATCH("work_email",Enrichment!$A$1:$GZ$1,0))&amp;"",""))</f>
        <v/>
      </c>
      <c r="BD457" s="0" t="str">
        <f aca="false">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P457" s="0" t="str">
        <f aca="false">IF($A457="","",IFERROR(INDEX(Enrichment!$A$2:$GZ$2000,MATCH($A457,INDEX(Enrichment!$A$2:$GZ$2000,0,MATCH("row_id",Enrichment!$A$1:$GZ$1,0)),0),MATCH("backup_work_email",Enrichment!$A$1:$GZ$1,0))&amp;"",""))</f>
        <v/>
      </c>
      <c r="BQ457" s="0" t="str">
        <f aca="false">IF($A457="","",IF(BP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DU457" s="0" t="str">
        <f aca="false">IF($A457="","",IF(R457="Y",10,0))</f>
        <v/>
      </c>
      <c r="EV457" s="0" t="str">
        <f aca="false">IF($A457="","",IF(ISNUMBER(MATCH(U457,{"queued","contacted","replied","call_booked","call_done","yes_in_principle","materials_sent"},0)),"Y","N"))</f>
        <v/>
      </c>
      <c r="EW457" s="0" t="str">
        <f aca="false">IF($A457="","",IF(OR(T457="Y",U457="do_not_contact",AQ457&amp;""&lt;&gt;""),"Y","N"))</f>
        <v/>
      </c>
      <c r="EX457" s="0" t="str">
        <f aca="false">IF($A457="","",IF(AN457&amp;""&lt;&gt;"",AN457&amp;"",$A457))</f>
        <v/>
      </c>
      <c r="EY457" s="0" t="str">
        <f aca="false">IF($A457="","",IF(COUNTIFS($EX$2:$EX$1000,EX457,$EV$2:$EV$1000,"Y")+COUNTIFS($EX$2:$EX$1000,EX457,$EW$2:$EW$1000,"Y")&gt;0,"Y","N"))</f>
        <v/>
      </c>
      <c r="EZ457" s="0" t="str">
        <f aca="false">IF($A457="","",IF(AND(U457="new",T457="N",EW457="N",AR457="Y",EY457="N"),"Y","N"))</f>
        <v/>
      </c>
      <c r="FA457" s="0" t="str">
        <f aca="false">IF($A457="","",IF(EZ457&lt;&gt;"Y","N",IF(COUNTIFS($EX$2:$EX$1000,EX457,$EZ$2:$EZ$1000,"Y",$J$2:$J$1000,"&gt;"&amp;J457)+COUNTIFS($EX$2:$EX$1000,EX457,$EZ$2:$EZ$1000,"Y",$J$2:$J$1000,J457,$FG$2:$FG$1000,"&lt;"&amp;FG457)=0,"Y","N")))</f>
        <v/>
      </c>
      <c r="FB457" s="0" t="str">
        <f aca="false">IF($A457="","",IF(AND(EZ457="Y",FA457="Y",Y457&amp;""&lt;&gt;""),IF(Y457&lt;=10,"Y","N"),"N"))</f>
        <v/>
      </c>
      <c r="FC457" s="0" t="str">
        <f aca="false">IF(FB457="Y",Y457,"")</f>
        <v/>
      </c>
      <c r="FD457" s="0" t="str">
        <f aca="false">IF($A457="","",IF(AND(CK457="pass",AU457="Y",AV457&lt;&gt;"Y",U457="new",EW457="N"),"Y","N"))</f>
        <v/>
      </c>
      <c r="FE457" s="0" t="str">
        <f aca="false">IF(FD457&lt;&gt;"Y","",IF(COUNTIFS($FD$2:$FD$1000,"Y",$J$2:$J$1000,"&gt;"&amp;J457)+COUNTIFS($FD$2:$FD$1000,"Y",$J$2:$J$1000,J457,$FG$2:$FG$1000,"&lt;"&amp;FG457)+1&lt;=30,COUNTIFS($FD$2:$FD$1000,"Y",$J$2:$J$1000,"&gt;"&amp;J457)+COUNTIFS($FD$2:$FD$1000,"Y",$J$2:$J$1000,J457,$FG$2:$FG$1000,"&lt;"&amp;FG457)+1,""))</f>
        <v/>
      </c>
      <c r="FF457" s="0" t="str">
        <f aca="false">IF(AND(_xlfn.ISFORMULA(C457),_xlfn.ISFORMULA(J457)),"Y","N")</f>
        <v>Y</v>
      </c>
      <c r="FG457" s="0" t="n">
        <f aca="false">ROW()-1</f>
        <v>456</v>
      </c>
    </row>
    <row r="458" customFormat="false" ht="15" hidden="false" customHeight="false" outlineLevel="0" collapsed="false">
      <c r="C458" s="0" t="str">
        <f aca="false">IF($A458="","",IF(AT458="Y",BL458&amp;"",AY458&amp;""))</f>
        <v/>
      </c>
      <c r="D458" s="0" t="str">
        <f aca="false">IF($A458="","",IF(AT458="Y",BM458&amp;"",AZ458&amp;""))</f>
        <v/>
      </c>
      <c r="E458" s="0" t="str">
        <f aca="false">IF($A458="","",IF(AT458="Y",BN458&amp;"",BA458&amp;""))</f>
        <v/>
      </c>
      <c r="F458" s="0" t="str">
        <f aca="false">IF($A458="","",IF(AT458="Y",BO458&amp;"",BB458&amp;""))</f>
        <v/>
      </c>
      <c r="G458" s="0" t="str">
        <f aca="false">IF($A458="","",IF(AT458="Y",BP458&amp;"",BC458&amp;""))</f>
        <v/>
      </c>
      <c r="H458" s="0" t="str">
        <f aca="false">IF($A458="","",IF(AT458="Y",BQ458&amp;"",BD458&amp;""))</f>
        <v/>
      </c>
      <c r="I458" s="0" t="str">
        <f aca="false">IF($A458="","",IF(R458="Y","warm-intro",IF(H458="verified","email",IF(C458&lt;&gt;"","linkedin",CA458&amp;""))))</f>
        <v/>
      </c>
      <c r="J458" s="0" t="str">
        <f aca="false">IF($A458="","",IF(CK458="pass",ROUND(N(DO458)+N(DP458)+N(DQ458)+N(DR458)+N(DS458)+N(DT458)+N(DU458)+N(DV458),0),0))</f>
        <v/>
      </c>
      <c r="K458" s="0" t="str">
        <f aca="false">IF($A458="","",IF(CK458&lt;&gt;"pass",BY458&amp;"",BY458&amp;", "&amp;IF(AT458="Y",BX458&amp;"",BK458&amp;"")&amp;BZ458&amp;IF(R458="Y","; known to the founder (+10)","")&amp;"."))</f>
        <v/>
      </c>
      <c r="R458" s="5"/>
      <c r="T458" s="5"/>
      <c r="U458" s="5"/>
      <c r="Y458" s="0" t="str">
        <f aca="false">IF(FA458&lt;&gt;"Y","",COUNTIFS($FA$2:$FA$1000,"Y",$J$2:$J$1000,"&gt;"&amp;J458)+COUNTIFS($FA$2:$FA$1000,"Y",$J$2:$J$1000,J458,$FG$2:$FG$1000,"&lt;"&amp;FG458)+1)</f>
        <v/>
      </c>
      <c r="AB458" s="0" t="str">
        <f aca="false">IF($A458="","",IF(AT458="Y",BW458&amp;"",BJ458&amp;""))</f>
        <v/>
      </c>
      <c r="AC458" s="0" t="str">
        <f aca="false">IF($A458="","",IF(AT458="Y",BR458&amp;"",BE458&amp;""))</f>
        <v/>
      </c>
      <c r="AD458" s="0" t="str">
        <f aca="false">IF($A458="","",IF(AT458="Y",BS458&amp;"",BF458&amp;""))</f>
        <v/>
      </c>
      <c r="AE458" s="0" t="str">
        <f aca="false">IF($A458="","",IF(AT458="Y",BT458&amp;"",BG458&amp;""))</f>
        <v/>
      </c>
      <c r="AF458" s="0" t="str">
        <f aca="false">IF($A458="","",IF(AT458="Y",BU458&amp;"",BH458&amp;""))</f>
        <v/>
      </c>
      <c r="AG458" s="0" t="str">
        <f aca="false">IF($A458="","",IF(AT458="Y",BV458&amp;"",BI458&amp;""))</f>
        <v/>
      </c>
      <c r="AO458" s="5"/>
      <c r="AR458" s="0" t="str">
        <f aca="false">IF($A458="","",IF(AND(CK458="pass",AO458&lt;&gt;"Y",C458&lt;&gt;"",OR(AU458&lt;&gt;"Y",AV458="Y")),"Y","N"))</f>
        <v/>
      </c>
      <c r="AS458" s="0" t="str">
        <f aca="false">IF($A458="","",_xlfn.TEXTJOIN("; ",TRUE(),IF(CK458&lt;&gt;"pass","gated out",""),IF(AO458="Y","on hold: "&amp;AP458,""),IF(C458="","no contact named on an opened page",""),IF(AND(AU458="Y",AV458&lt;&gt;"Y"),"founder review pending (Founder review tab)","")))</f>
        <v/>
      </c>
      <c r="BC458" s="0" t="str">
        <f aca="false">IF($A458="","",IFERROR(INDEX(Enrichment!$A$2:$GZ$2000,MATCH($A458,INDEX(Enrichment!$A$2:$GZ$2000,0,MATCH("row_id",Enrichment!$A$1:$GZ$1,0)),0),MATCH("work_email",Enrichment!$A$1:$GZ$1,0))&amp;"",""))</f>
        <v/>
      </c>
      <c r="BD458" s="0" t="str">
        <f aca="false">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P458" s="0" t="str">
        <f aca="false">IF($A458="","",IFERROR(INDEX(Enrichment!$A$2:$GZ$2000,MATCH($A458,INDEX(Enrichment!$A$2:$GZ$2000,0,MATCH("row_id",Enrichment!$A$1:$GZ$1,0)),0),MATCH("backup_work_email",Enrichment!$A$1:$GZ$1,0))&amp;"",""))</f>
        <v/>
      </c>
      <c r="BQ458" s="0" t="str">
        <f aca="false">IF($A458="","",IF(BP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DU458" s="0" t="str">
        <f aca="false">IF($A458="","",IF(R458="Y",10,0))</f>
        <v/>
      </c>
      <c r="EV458" s="0" t="str">
        <f aca="false">IF($A458="","",IF(ISNUMBER(MATCH(U458,{"queued","contacted","replied","call_booked","call_done","yes_in_principle","materials_sent"},0)),"Y","N"))</f>
        <v/>
      </c>
      <c r="EW458" s="0" t="str">
        <f aca="false">IF($A458="","",IF(OR(T458="Y",U458="do_not_contact",AQ458&amp;""&lt;&gt;""),"Y","N"))</f>
        <v/>
      </c>
      <c r="EX458" s="0" t="str">
        <f aca="false">IF($A458="","",IF(AN458&amp;""&lt;&gt;"",AN458&amp;"",$A458))</f>
        <v/>
      </c>
      <c r="EY458" s="0" t="str">
        <f aca="false">IF($A458="","",IF(COUNTIFS($EX$2:$EX$1000,EX458,$EV$2:$EV$1000,"Y")+COUNTIFS($EX$2:$EX$1000,EX458,$EW$2:$EW$1000,"Y")&gt;0,"Y","N"))</f>
        <v/>
      </c>
      <c r="EZ458" s="0" t="str">
        <f aca="false">IF($A458="","",IF(AND(U458="new",T458="N",EW458="N",AR458="Y",EY458="N"),"Y","N"))</f>
        <v/>
      </c>
      <c r="FA458" s="0" t="str">
        <f aca="false">IF($A458="","",IF(EZ458&lt;&gt;"Y","N",IF(COUNTIFS($EX$2:$EX$1000,EX458,$EZ$2:$EZ$1000,"Y",$J$2:$J$1000,"&gt;"&amp;J458)+COUNTIFS($EX$2:$EX$1000,EX458,$EZ$2:$EZ$1000,"Y",$J$2:$J$1000,J458,$FG$2:$FG$1000,"&lt;"&amp;FG458)=0,"Y","N")))</f>
        <v/>
      </c>
      <c r="FB458" s="0" t="str">
        <f aca="false">IF($A458="","",IF(AND(EZ458="Y",FA458="Y",Y458&amp;""&lt;&gt;""),IF(Y458&lt;=10,"Y","N"),"N"))</f>
        <v/>
      </c>
      <c r="FC458" s="0" t="str">
        <f aca="false">IF(FB458="Y",Y458,"")</f>
        <v/>
      </c>
      <c r="FD458" s="0" t="str">
        <f aca="false">IF($A458="","",IF(AND(CK458="pass",AU458="Y",AV458&lt;&gt;"Y",U458="new",EW458="N"),"Y","N"))</f>
        <v/>
      </c>
      <c r="FE458" s="0" t="str">
        <f aca="false">IF(FD458&lt;&gt;"Y","",IF(COUNTIFS($FD$2:$FD$1000,"Y",$J$2:$J$1000,"&gt;"&amp;J458)+COUNTIFS($FD$2:$FD$1000,"Y",$J$2:$J$1000,J458,$FG$2:$FG$1000,"&lt;"&amp;FG458)+1&lt;=30,COUNTIFS($FD$2:$FD$1000,"Y",$J$2:$J$1000,"&gt;"&amp;J458)+COUNTIFS($FD$2:$FD$1000,"Y",$J$2:$J$1000,J458,$FG$2:$FG$1000,"&lt;"&amp;FG458)+1,""))</f>
        <v/>
      </c>
      <c r="FF458" s="0" t="str">
        <f aca="false">IF(AND(_xlfn.ISFORMULA(C458),_xlfn.ISFORMULA(J458)),"Y","N")</f>
        <v>Y</v>
      </c>
      <c r="FG458" s="0" t="n">
        <f aca="false">ROW()-1</f>
        <v>457</v>
      </c>
    </row>
    <row r="459" customFormat="false" ht="15" hidden="false" customHeight="false" outlineLevel="0" collapsed="false">
      <c r="C459" s="0" t="str">
        <f aca="false">IF($A459="","",IF(AT459="Y",BL459&amp;"",AY459&amp;""))</f>
        <v/>
      </c>
      <c r="D459" s="0" t="str">
        <f aca="false">IF($A459="","",IF(AT459="Y",BM459&amp;"",AZ459&amp;""))</f>
        <v/>
      </c>
      <c r="E459" s="0" t="str">
        <f aca="false">IF($A459="","",IF(AT459="Y",BN459&amp;"",BA459&amp;""))</f>
        <v/>
      </c>
      <c r="F459" s="0" t="str">
        <f aca="false">IF($A459="","",IF(AT459="Y",BO459&amp;"",BB459&amp;""))</f>
        <v/>
      </c>
      <c r="G459" s="0" t="str">
        <f aca="false">IF($A459="","",IF(AT459="Y",BP459&amp;"",BC459&amp;""))</f>
        <v/>
      </c>
      <c r="H459" s="0" t="str">
        <f aca="false">IF($A459="","",IF(AT459="Y",BQ459&amp;"",BD459&amp;""))</f>
        <v/>
      </c>
      <c r="I459" s="0" t="str">
        <f aca="false">IF($A459="","",IF(R459="Y","warm-intro",IF(H459="verified","email",IF(C459&lt;&gt;"","linkedin",CA459&amp;""))))</f>
        <v/>
      </c>
      <c r="J459" s="0" t="str">
        <f aca="false">IF($A459="","",IF(CK459="pass",ROUND(N(DO459)+N(DP459)+N(DQ459)+N(DR459)+N(DS459)+N(DT459)+N(DU459)+N(DV459),0),0))</f>
        <v/>
      </c>
      <c r="K459" s="0" t="str">
        <f aca="false">IF($A459="","",IF(CK459&lt;&gt;"pass",BY459&amp;"",BY459&amp;", "&amp;IF(AT459="Y",BX459&amp;"",BK459&amp;"")&amp;BZ459&amp;IF(R459="Y","; known to the founder (+10)","")&amp;"."))</f>
        <v/>
      </c>
      <c r="R459" s="5"/>
      <c r="T459" s="5"/>
      <c r="U459" s="5"/>
      <c r="Y459" s="0" t="str">
        <f aca="false">IF(FA459&lt;&gt;"Y","",COUNTIFS($FA$2:$FA$1000,"Y",$J$2:$J$1000,"&gt;"&amp;J459)+COUNTIFS($FA$2:$FA$1000,"Y",$J$2:$J$1000,J459,$FG$2:$FG$1000,"&lt;"&amp;FG459)+1)</f>
        <v/>
      </c>
      <c r="AB459" s="0" t="str">
        <f aca="false">IF($A459="","",IF(AT459="Y",BW459&amp;"",BJ459&amp;""))</f>
        <v/>
      </c>
      <c r="AC459" s="0" t="str">
        <f aca="false">IF($A459="","",IF(AT459="Y",BR459&amp;"",BE459&amp;""))</f>
        <v/>
      </c>
      <c r="AD459" s="0" t="str">
        <f aca="false">IF($A459="","",IF(AT459="Y",BS459&amp;"",BF459&amp;""))</f>
        <v/>
      </c>
      <c r="AE459" s="0" t="str">
        <f aca="false">IF($A459="","",IF(AT459="Y",BT459&amp;"",BG459&amp;""))</f>
        <v/>
      </c>
      <c r="AF459" s="0" t="str">
        <f aca="false">IF($A459="","",IF(AT459="Y",BU459&amp;"",BH459&amp;""))</f>
        <v/>
      </c>
      <c r="AG459" s="0" t="str">
        <f aca="false">IF($A459="","",IF(AT459="Y",BV459&amp;"",BI459&amp;""))</f>
        <v/>
      </c>
      <c r="AO459" s="5"/>
      <c r="AR459" s="0" t="str">
        <f aca="false">IF($A459="","",IF(AND(CK459="pass",AO459&lt;&gt;"Y",C459&lt;&gt;"",OR(AU459&lt;&gt;"Y",AV459="Y")),"Y","N"))</f>
        <v/>
      </c>
      <c r="AS459" s="0" t="str">
        <f aca="false">IF($A459="","",_xlfn.TEXTJOIN("; ",TRUE(),IF(CK459&lt;&gt;"pass","gated out",""),IF(AO459="Y","on hold: "&amp;AP459,""),IF(C459="","no contact named on an opened page",""),IF(AND(AU459="Y",AV459&lt;&gt;"Y"),"founder review pending (Founder review tab)","")))</f>
        <v/>
      </c>
      <c r="BC459" s="0" t="str">
        <f aca="false">IF($A459="","",IFERROR(INDEX(Enrichment!$A$2:$GZ$2000,MATCH($A459,INDEX(Enrichment!$A$2:$GZ$2000,0,MATCH("row_id",Enrichment!$A$1:$GZ$1,0)),0),MATCH("work_email",Enrichment!$A$1:$GZ$1,0))&amp;"",""))</f>
        <v/>
      </c>
      <c r="BD459" s="0" t="str">
        <f aca="false">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P459" s="0" t="str">
        <f aca="false">IF($A459="","",IFERROR(INDEX(Enrichment!$A$2:$GZ$2000,MATCH($A459,INDEX(Enrichment!$A$2:$GZ$2000,0,MATCH("row_id",Enrichment!$A$1:$GZ$1,0)),0),MATCH("backup_work_email",Enrichment!$A$1:$GZ$1,0))&amp;"",""))</f>
        <v/>
      </c>
      <c r="BQ459" s="0" t="str">
        <f aca="false">IF($A459="","",IF(BP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DU459" s="0" t="str">
        <f aca="false">IF($A459="","",IF(R459="Y",10,0))</f>
        <v/>
      </c>
      <c r="EV459" s="0" t="str">
        <f aca="false">IF($A459="","",IF(ISNUMBER(MATCH(U459,{"queued","contacted","replied","call_booked","call_done","yes_in_principle","materials_sent"},0)),"Y","N"))</f>
        <v/>
      </c>
      <c r="EW459" s="0" t="str">
        <f aca="false">IF($A459="","",IF(OR(T459="Y",U459="do_not_contact",AQ459&amp;""&lt;&gt;""),"Y","N"))</f>
        <v/>
      </c>
      <c r="EX459" s="0" t="str">
        <f aca="false">IF($A459="","",IF(AN459&amp;""&lt;&gt;"",AN459&amp;"",$A459))</f>
        <v/>
      </c>
      <c r="EY459" s="0" t="str">
        <f aca="false">IF($A459="","",IF(COUNTIFS($EX$2:$EX$1000,EX459,$EV$2:$EV$1000,"Y")+COUNTIFS($EX$2:$EX$1000,EX459,$EW$2:$EW$1000,"Y")&gt;0,"Y","N"))</f>
        <v/>
      </c>
      <c r="EZ459" s="0" t="str">
        <f aca="false">IF($A459="","",IF(AND(U459="new",T459="N",EW459="N",AR459="Y",EY459="N"),"Y","N"))</f>
        <v/>
      </c>
      <c r="FA459" s="0" t="str">
        <f aca="false">IF($A459="","",IF(EZ459&lt;&gt;"Y","N",IF(COUNTIFS($EX$2:$EX$1000,EX459,$EZ$2:$EZ$1000,"Y",$J$2:$J$1000,"&gt;"&amp;J459)+COUNTIFS($EX$2:$EX$1000,EX459,$EZ$2:$EZ$1000,"Y",$J$2:$J$1000,J459,$FG$2:$FG$1000,"&lt;"&amp;FG459)=0,"Y","N")))</f>
        <v/>
      </c>
      <c r="FB459" s="0" t="str">
        <f aca="false">IF($A459="","",IF(AND(EZ459="Y",FA459="Y",Y459&amp;""&lt;&gt;""),IF(Y459&lt;=10,"Y","N"),"N"))</f>
        <v/>
      </c>
      <c r="FC459" s="0" t="str">
        <f aca="false">IF(FB459="Y",Y459,"")</f>
        <v/>
      </c>
      <c r="FD459" s="0" t="str">
        <f aca="false">IF($A459="","",IF(AND(CK459="pass",AU459="Y",AV459&lt;&gt;"Y",U459="new",EW459="N"),"Y","N"))</f>
        <v/>
      </c>
      <c r="FE459" s="0" t="str">
        <f aca="false">IF(FD459&lt;&gt;"Y","",IF(COUNTIFS($FD$2:$FD$1000,"Y",$J$2:$J$1000,"&gt;"&amp;J459)+COUNTIFS($FD$2:$FD$1000,"Y",$J$2:$J$1000,J459,$FG$2:$FG$1000,"&lt;"&amp;FG459)+1&lt;=30,COUNTIFS($FD$2:$FD$1000,"Y",$J$2:$J$1000,"&gt;"&amp;J459)+COUNTIFS($FD$2:$FD$1000,"Y",$J$2:$J$1000,J459,$FG$2:$FG$1000,"&lt;"&amp;FG459)+1,""))</f>
        <v/>
      </c>
      <c r="FF459" s="0" t="str">
        <f aca="false">IF(AND(_xlfn.ISFORMULA(C459),_xlfn.ISFORMULA(J459)),"Y","N")</f>
        <v>Y</v>
      </c>
      <c r="FG459" s="0" t="n">
        <f aca="false">ROW()-1</f>
        <v>458</v>
      </c>
    </row>
    <row r="460" customFormat="false" ht="15" hidden="false" customHeight="false" outlineLevel="0" collapsed="false">
      <c r="C460" s="0" t="str">
        <f aca="false">IF($A460="","",IF(AT460="Y",BL460&amp;"",AY460&amp;""))</f>
        <v/>
      </c>
      <c r="D460" s="0" t="str">
        <f aca="false">IF($A460="","",IF(AT460="Y",BM460&amp;"",AZ460&amp;""))</f>
        <v/>
      </c>
      <c r="E460" s="0" t="str">
        <f aca="false">IF($A460="","",IF(AT460="Y",BN460&amp;"",BA460&amp;""))</f>
        <v/>
      </c>
      <c r="F460" s="0" t="str">
        <f aca="false">IF($A460="","",IF(AT460="Y",BO460&amp;"",BB460&amp;""))</f>
        <v/>
      </c>
      <c r="G460" s="0" t="str">
        <f aca="false">IF($A460="","",IF(AT460="Y",BP460&amp;"",BC460&amp;""))</f>
        <v/>
      </c>
      <c r="H460" s="0" t="str">
        <f aca="false">IF($A460="","",IF(AT460="Y",BQ460&amp;"",BD460&amp;""))</f>
        <v/>
      </c>
      <c r="I460" s="0" t="str">
        <f aca="false">IF($A460="","",IF(R460="Y","warm-intro",IF(H460="verified","email",IF(C460&lt;&gt;"","linkedin",CA460&amp;""))))</f>
        <v/>
      </c>
      <c r="J460" s="0" t="str">
        <f aca="false">IF($A460="","",IF(CK460="pass",ROUND(N(DO460)+N(DP460)+N(DQ460)+N(DR460)+N(DS460)+N(DT460)+N(DU460)+N(DV460),0),0))</f>
        <v/>
      </c>
      <c r="K460" s="0" t="str">
        <f aca="false">IF($A460="","",IF(CK460&lt;&gt;"pass",BY460&amp;"",BY460&amp;", "&amp;IF(AT460="Y",BX460&amp;"",BK460&amp;"")&amp;BZ460&amp;IF(R460="Y","; known to the founder (+10)","")&amp;"."))</f>
        <v/>
      </c>
      <c r="R460" s="5"/>
      <c r="T460" s="5"/>
      <c r="U460" s="5"/>
      <c r="Y460" s="0" t="str">
        <f aca="false">IF(FA460&lt;&gt;"Y","",COUNTIFS($FA$2:$FA$1000,"Y",$J$2:$J$1000,"&gt;"&amp;J460)+COUNTIFS($FA$2:$FA$1000,"Y",$J$2:$J$1000,J460,$FG$2:$FG$1000,"&lt;"&amp;FG460)+1)</f>
        <v/>
      </c>
      <c r="AB460" s="0" t="str">
        <f aca="false">IF($A460="","",IF(AT460="Y",BW460&amp;"",BJ460&amp;""))</f>
        <v/>
      </c>
      <c r="AC460" s="0" t="str">
        <f aca="false">IF($A460="","",IF(AT460="Y",BR460&amp;"",BE460&amp;""))</f>
        <v/>
      </c>
      <c r="AD460" s="0" t="str">
        <f aca="false">IF($A460="","",IF(AT460="Y",BS460&amp;"",BF460&amp;""))</f>
        <v/>
      </c>
      <c r="AE460" s="0" t="str">
        <f aca="false">IF($A460="","",IF(AT460="Y",BT460&amp;"",BG460&amp;""))</f>
        <v/>
      </c>
      <c r="AF460" s="0" t="str">
        <f aca="false">IF($A460="","",IF(AT460="Y",BU460&amp;"",BH460&amp;""))</f>
        <v/>
      </c>
      <c r="AG460" s="0" t="str">
        <f aca="false">IF($A460="","",IF(AT460="Y",BV460&amp;"",BI460&amp;""))</f>
        <v/>
      </c>
      <c r="AO460" s="5"/>
      <c r="AR460" s="0" t="str">
        <f aca="false">IF($A460="","",IF(AND(CK460="pass",AO460&lt;&gt;"Y",C460&lt;&gt;"",OR(AU460&lt;&gt;"Y",AV460="Y")),"Y","N"))</f>
        <v/>
      </c>
      <c r="AS460" s="0" t="str">
        <f aca="false">IF($A460="","",_xlfn.TEXTJOIN("; ",TRUE(),IF(CK460&lt;&gt;"pass","gated out",""),IF(AO460="Y","on hold: "&amp;AP460,""),IF(C460="","no contact named on an opened page",""),IF(AND(AU460="Y",AV460&lt;&gt;"Y"),"founder review pending (Founder review tab)","")))</f>
        <v/>
      </c>
      <c r="BC460" s="0" t="str">
        <f aca="false">IF($A460="","",IFERROR(INDEX(Enrichment!$A$2:$GZ$2000,MATCH($A460,INDEX(Enrichment!$A$2:$GZ$2000,0,MATCH("row_id",Enrichment!$A$1:$GZ$1,0)),0),MATCH("work_email",Enrichment!$A$1:$GZ$1,0))&amp;"",""))</f>
        <v/>
      </c>
      <c r="BD460" s="0" t="str">
        <f aca="false">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P460" s="0" t="str">
        <f aca="false">IF($A460="","",IFERROR(INDEX(Enrichment!$A$2:$GZ$2000,MATCH($A460,INDEX(Enrichment!$A$2:$GZ$2000,0,MATCH("row_id",Enrichment!$A$1:$GZ$1,0)),0),MATCH("backup_work_email",Enrichment!$A$1:$GZ$1,0))&amp;"",""))</f>
        <v/>
      </c>
      <c r="BQ460" s="0" t="str">
        <f aca="false">IF($A460="","",IF(BP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DU460" s="0" t="str">
        <f aca="false">IF($A460="","",IF(R460="Y",10,0))</f>
        <v/>
      </c>
      <c r="EV460" s="0" t="str">
        <f aca="false">IF($A460="","",IF(ISNUMBER(MATCH(U460,{"queued","contacted","replied","call_booked","call_done","yes_in_principle","materials_sent"},0)),"Y","N"))</f>
        <v/>
      </c>
      <c r="EW460" s="0" t="str">
        <f aca="false">IF($A460="","",IF(OR(T460="Y",U460="do_not_contact",AQ460&amp;""&lt;&gt;""),"Y","N"))</f>
        <v/>
      </c>
      <c r="EX460" s="0" t="str">
        <f aca="false">IF($A460="","",IF(AN460&amp;""&lt;&gt;"",AN460&amp;"",$A460))</f>
        <v/>
      </c>
      <c r="EY460" s="0" t="str">
        <f aca="false">IF($A460="","",IF(COUNTIFS($EX$2:$EX$1000,EX460,$EV$2:$EV$1000,"Y")+COUNTIFS($EX$2:$EX$1000,EX460,$EW$2:$EW$1000,"Y")&gt;0,"Y","N"))</f>
        <v/>
      </c>
      <c r="EZ460" s="0" t="str">
        <f aca="false">IF($A460="","",IF(AND(U460="new",T460="N",EW460="N",AR460="Y",EY460="N"),"Y","N"))</f>
        <v/>
      </c>
      <c r="FA460" s="0" t="str">
        <f aca="false">IF($A460="","",IF(EZ460&lt;&gt;"Y","N",IF(COUNTIFS($EX$2:$EX$1000,EX460,$EZ$2:$EZ$1000,"Y",$J$2:$J$1000,"&gt;"&amp;J460)+COUNTIFS($EX$2:$EX$1000,EX460,$EZ$2:$EZ$1000,"Y",$J$2:$J$1000,J460,$FG$2:$FG$1000,"&lt;"&amp;FG460)=0,"Y","N")))</f>
        <v/>
      </c>
      <c r="FB460" s="0" t="str">
        <f aca="false">IF($A460="","",IF(AND(EZ460="Y",FA460="Y",Y460&amp;""&lt;&gt;""),IF(Y460&lt;=10,"Y","N"),"N"))</f>
        <v/>
      </c>
      <c r="FC460" s="0" t="str">
        <f aca="false">IF(FB460="Y",Y460,"")</f>
        <v/>
      </c>
      <c r="FD460" s="0" t="str">
        <f aca="false">IF($A460="","",IF(AND(CK460="pass",AU460="Y",AV460&lt;&gt;"Y",U460="new",EW460="N"),"Y","N"))</f>
        <v/>
      </c>
      <c r="FE460" s="0" t="str">
        <f aca="false">IF(FD460&lt;&gt;"Y","",IF(COUNTIFS($FD$2:$FD$1000,"Y",$J$2:$J$1000,"&gt;"&amp;J460)+COUNTIFS($FD$2:$FD$1000,"Y",$J$2:$J$1000,J460,$FG$2:$FG$1000,"&lt;"&amp;FG460)+1&lt;=30,COUNTIFS($FD$2:$FD$1000,"Y",$J$2:$J$1000,"&gt;"&amp;J460)+COUNTIFS($FD$2:$FD$1000,"Y",$J$2:$J$1000,J460,$FG$2:$FG$1000,"&lt;"&amp;FG460)+1,""))</f>
        <v/>
      </c>
      <c r="FF460" s="0" t="str">
        <f aca="false">IF(AND(_xlfn.ISFORMULA(C460),_xlfn.ISFORMULA(J460)),"Y","N")</f>
        <v>Y</v>
      </c>
      <c r="FG460" s="0" t="n">
        <f aca="false">ROW()-1</f>
        <v>459</v>
      </c>
    </row>
    <row r="461" customFormat="false" ht="15" hidden="false" customHeight="false" outlineLevel="0" collapsed="false">
      <c r="C461" s="0" t="str">
        <f aca="false">IF($A461="","",IF(AT461="Y",BL461&amp;"",AY461&amp;""))</f>
        <v/>
      </c>
      <c r="D461" s="0" t="str">
        <f aca="false">IF($A461="","",IF(AT461="Y",BM461&amp;"",AZ461&amp;""))</f>
        <v/>
      </c>
      <c r="E461" s="0" t="str">
        <f aca="false">IF($A461="","",IF(AT461="Y",BN461&amp;"",BA461&amp;""))</f>
        <v/>
      </c>
      <c r="F461" s="0" t="str">
        <f aca="false">IF($A461="","",IF(AT461="Y",BO461&amp;"",BB461&amp;""))</f>
        <v/>
      </c>
      <c r="G461" s="0" t="str">
        <f aca="false">IF($A461="","",IF(AT461="Y",BP461&amp;"",BC461&amp;""))</f>
        <v/>
      </c>
      <c r="H461" s="0" t="str">
        <f aca="false">IF($A461="","",IF(AT461="Y",BQ461&amp;"",BD461&amp;""))</f>
        <v/>
      </c>
      <c r="I461" s="0" t="str">
        <f aca="false">IF($A461="","",IF(R461="Y","warm-intro",IF(H461="verified","email",IF(C461&lt;&gt;"","linkedin",CA461&amp;""))))</f>
        <v/>
      </c>
      <c r="J461" s="0" t="str">
        <f aca="false">IF($A461="","",IF(CK461="pass",ROUND(N(DO461)+N(DP461)+N(DQ461)+N(DR461)+N(DS461)+N(DT461)+N(DU461)+N(DV461),0),0))</f>
        <v/>
      </c>
      <c r="K461" s="0" t="str">
        <f aca="false">IF($A461="","",IF(CK461&lt;&gt;"pass",BY461&amp;"",BY461&amp;", "&amp;IF(AT461="Y",BX461&amp;"",BK461&amp;"")&amp;BZ461&amp;IF(R461="Y","; known to the founder (+10)","")&amp;"."))</f>
        <v/>
      </c>
      <c r="R461" s="5"/>
      <c r="T461" s="5"/>
      <c r="U461" s="5"/>
      <c r="Y461" s="0" t="str">
        <f aca="false">IF(FA461&lt;&gt;"Y","",COUNTIFS($FA$2:$FA$1000,"Y",$J$2:$J$1000,"&gt;"&amp;J461)+COUNTIFS($FA$2:$FA$1000,"Y",$J$2:$J$1000,J461,$FG$2:$FG$1000,"&lt;"&amp;FG461)+1)</f>
        <v/>
      </c>
      <c r="AB461" s="0" t="str">
        <f aca="false">IF($A461="","",IF(AT461="Y",BW461&amp;"",BJ461&amp;""))</f>
        <v/>
      </c>
      <c r="AC461" s="0" t="str">
        <f aca="false">IF($A461="","",IF(AT461="Y",BR461&amp;"",BE461&amp;""))</f>
        <v/>
      </c>
      <c r="AD461" s="0" t="str">
        <f aca="false">IF($A461="","",IF(AT461="Y",BS461&amp;"",BF461&amp;""))</f>
        <v/>
      </c>
      <c r="AE461" s="0" t="str">
        <f aca="false">IF($A461="","",IF(AT461="Y",BT461&amp;"",BG461&amp;""))</f>
        <v/>
      </c>
      <c r="AF461" s="0" t="str">
        <f aca="false">IF($A461="","",IF(AT461="Y",BU461&amp;"",BH461&amp;""))</f>
        <v/>
      </c>
      <c r="AG461" s="0" t="str">
        <f aca="false">IF($A461="","",IF(AT461="Y",BV461&amp;"",BI461&amp;""))</f>
        <v/>
      </c>
      <c r="AO461" s="5"/>
      <c r="AR461" s="0" t="str">
        <f aca="false">IF($A461="","",IF(AND(CK461="pass",AO461&lt;&gt;"Y",C461&lt;&gt;"",OR(AU461&lt;&gt;"Y",AV461="Y")),"Y","N"))</f>
        <v/>
      </c>
      <c r="AS461" s="0" t="str">
        <f aca="false">IF($A461="","",_xlfn.TEXTJOIN("; ",TRUE(),IF(CK461&lt;&gt;"pass","gated out",""),IF(AO461="Y","on hold: "&amp;AP461,""),IF(C461="","no contact named on an opened page",""),IF(AND(AU461="Y",AV461&lt;&gt;"Y"),"founder review pending (Founder review tab)","")))</f>
        <v/>
      </c>
      <c r="BC461" s="0" t="str">
        <f aca="false">IF($A461="","",IFERROR(INDEX(Enrichment!$A$2:$GZ$2000,MATCH($A461,INDEX(Enrichment!$A$2:$GZ$2000,0,MATCH("row_id",Enrichment!$A$1:$GZ$1,0)),0),MATCH("work_email",Enrichment!$A$1:$GZ$1,0))&amp;"",""))</f>
        <v/>
      </c>
      <c r="BD461" s="0" t="str">
        <f aca="false">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P461" s="0" t="str">
        <f aca="false">IF($A461="","",IFERROR(INDEX(Enrichment!$A$2:$GZ$2000,MATCH($A461,INDEX(Enrichment!$A$2:$GZ$2000,0,MATCH("row_id",Enrichment!$A$1:$GZ$1,0)),0),MATCH("backup_work_email",Enrichment!$A$1:$GZ$1,0))&amp;"",""))</f>
        <v/>
      </c>
      <c r="BQ461" s="0" t="str">
        <f aca="false">IF($A461="","",IF(BP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DU461" s="0" t="str">
        <f aca="false">IF($A461="","",IF(R461="Y",10,0))</f>
        <v/>
      </c>
      <c r="EV461" s="0" t="str">
        <f aca="false">IF($A461="","",IF(ISNUMBER(MATCH(U461,{"queued","contacted","replied","call_booked","call_done","yes_in_principle","materials_sent"},0)),"Y","N"))</f>
        <v/>
      </c>
      <c r="EW461" s="0" t="str">
        <f aca="false">IF($A461="","",IF(OR(T461="Y",U461="do_not_contact",AQ461&amp;""&lt;&gt;""),"Y","N"))</f>
        <v/>
      </c>
      <c r="EX461" s="0" t="str">
        <f aca="false">IF($A461="","",IF(AN461&amp;""&lt;&gt;"",AN461&amp;"",$A461))</f>
        <v/>
      </c>
      <c r="EY461" s="0" t="str">
        <f aca="false">IF($A461="","",IF(COUNTIFS($EX$2:$EX$1000,EX461,$EV$2:$EV$1000,"Y")+COUNTIFS($EX$2:$EX$1000,EX461,$EW$2:$EW$1000,"Y")&gt;0,"Y","N"))</f>
        <v/>
      </c>
      <c r="EZ461" s="0" t="str">
        <f aca="false">IF($A461="","",IF(AND(U461="new",T461="N",EW461="N",AR461="Y",EY461="N"),"Y","N"))</f>
        <v/>
      </c>
      <c r="FA461" s="0" t="str">
        <f aca="false">IF($A461="","",IF(EZ461&lt;&gt;"Y","N",IF(COUNTIFS($EX$2:$EX$1000,EX461,$EZ$2:$EZ$1000,"Y",$J$2:$J$1000,"&gt;"&amp;J461)+COUNTIFS($EX$2:$EX$1000,EX461,$EZ$2:$EZ$1000,"Y",$J$2:$J$1000,J461,$FG$2:$FG$1000,"&lt;"&amp;FG461)=0,"Y","N")))</f>
        <v/>
      </c>
      <c r="FB461" s="0" t="str">
        <f aca="false">IF($A461="","",IF(AND(EZ461="Y",FA461="Y",Y461&amp;""&lt;&gt;""),IF(Y461&lt;=10,"Y","N"),"N"))</f>
        <v/>
      </c>
      <c r="FC461" s="0" t="str">
        <f aca="false">IF(FB461="Y",Y461,"")</f>
        <v/>
      </c>
      <c r="FD461" s="0" t="str">
        <f aca="false">IF($A461="","",IF(AND(CK461="pass",AU461="Y",AV461&lt;&gt;"Y",U461="new",EW461="N"),"Y","N"))</f>
        <v/>
      </c>
      <c r="FE461" s="0" t="str">
        <f aca="false">IF(FD461&lt;&gt;"Y","",IF(COUNTIFS($FD$2:$FD$1000,"Y",$J$2:$J$1000,"&gt;"&amp;J461)+COUNTIFS($FD$2:$FD$1000,"Y",$J$2:$J$1000,J461,$FG$2:$FG$1000,"&lt;"&amp;FG461)+1&lt;=30,COUNTIFS($FD$2:$FD$1000,"Y",$J$2:$J$1000,"&gt;"&amp;J461)+COUNTIFS($FD$2:$FD$1000,"Y",$J$2:$J$1000,J461,$FG$2:$FG$1000,"&lt;"&amp;FG461)+1,""))</f>
        <v/>
      </c>
      <c r="FF461" s="0" t="str">
        <f aca="false">IF(AND(_xlfn.ISFORMULA(C461),_xlfn.ISFORMULA(J461)),"Y","N")</f>
        <v>Y</v>
      </c>
      <c r="FG461" s="0" t="n">
        <f aca="false">ROW()-1</f>
        <v>460</v>
      </c>
    </row>
    <row r="462" customFormat="false" ht="15" hidden="false" customHeight="false" outlineLevel="0" collapsed="false">
      <c r="C462" s="0" t="str">
        <f aca="false">IF($A462="","",IF(AT462="Y",BL462&amp;"",AY462&amp;""))</f>
        <v/>
      </c>
      <c r="D462" s="0" t="str">
        <f aca="false">IF($A462="","",IF(AT462="Y",BM462&amp;"",AZ462&amp;""))</f>
        <v/>
      </c>
      <c r="E462" s="0" t="str">
        <f aca="false">IF($A462="","",IF(AT462="Y",BN462&amp;"",BA462&amp;""))</f>
        <v/>
      </c>
      <c r="F462" s="0" t="str">
        <f aca="false">IF($A462="","",IF(AT462="Y",BO462&amp;"",BB462&amp;""))</f>
        <v/>
      </c>
      <c r="G462" s="0" t="str">
        <f aca="false">IF($A462="","",IF(AT462="Y",BP462&amp;"",BC462&amp;""))</f>
        <v/>
      </c>
      <c r="H462" s="0" t="str">
        <f aca="false">IF($A462="","",IF(AT462="Y",BQ462&amp;"",BD462&amp;""))</f>
        <v/>
      </c>
      <c r="I462" s="0" t="str">
        <f aca="false">IF($A462="","",IF(R462="Y","warm-intro",IF(H462="verified","email",IF(C462&lt;&gt;"","linkedin",CA462&amp;""))))</f>
        <v/>
      </c>
      <c r="J462" s="0" t="str">
        <f aca="false">IF($A462="","",IF(CK462="pass",ROUND(N(DO462)+N(DP462)+N(DQ462)+N(DR462)+N(DS462)+N(DT462)+N(DU462)+N(DV462),0),0))</f>
        <v/>
      </c>
      <c r="K462" s="0" t="str">
        <f aca="false">IF($A462="","",IF(CK462&lt;&gt;"pass",BY462&amp;"",BY462&amp;", "&amp;IF(AT462="Y",BX462&amp;"",BK462&amp;"")&amp;BZ462&amp;IF(R462="Y","; known to the founder (+10)","")&amp;"."))</f>
        <v/>
      </c>
      <c r="R462" s="5"/>
      <c r="T462" s="5"/>
      <c r="U462" s="5"/>
      <c r="Y462" s="0" t="str">
        <f aca="false">IF(FA462&lt;&gt;"Y","",COUNTIFS($FA$2:$FA$1000,"Y",$J$2:$J$1000,"&gt;"&amp;J462)+COUNTIFS($FA$2:$FA$1000,"Y",$J$2:$J$1000,J462,$FG$2:$FG$1000,"&lt;"&amp;FG462)+1)</f>
        <v/>
      </c>
      <c r="AB462" s="0" t="str">
        <f aca="false">IF($A462="","",IF(AT462="Y",BW462&amp;"",BJ462&amp;""))</f>
        <v/>
      </c>
      <c r="AC462" s="0" t="str">
        <f aca="false">IF($A462="","",IF(AT462="Y",BR462&amp;"",BE462&amp;""))</f>
        <v/>
      </c>
      <c r="AD462" s="0" t="str">
        <f aca="false">IF($A462="","",IF(AT462="Y",BS462&amp;"",BF462&amp;""))</f>
        <v/>
      </c>
      <c r="AE462" s="0" t="str">
        <f aca="false">IF($A462="","",IF(AT462="Y",BT462&amp;"",BG462&amp;""))</f>
        <v/>
      </c>
      <c r="AF462" s="0" t="str">
        <f aca="false">IF($A462="","",IF(AT462="Y",BU462&amp;"",BH462&amp;""))</f>
        <v/>
      </c>
      <c r="AG462" s="0" t="str">
        <f aca="false">IF($A462="","",IF(AT462="Y",BV462&amp;"",BI462&amp;""))</f>
        <v/>
      </c>
      <c r="AO462" s="5"/>
      <c r="AR462" s="0" t="str">
        <f aca="false">IF($A462="","",IF(AND(CK462="pass",AO462&lt;&gt;"Y",C462&lt;&gt;"",OR(AU462&lt;&gt;"Y",AV462="Y")),"Y","N"))</f>
        <v/>
      </c>
      <c r="AS462" s="0" t="str">
        <f aca="false">IF($A462="","",_xlfn.TEXTJOIN("; ",TRUE(),IF(CK462&lt;&gt;"pass","gated out",""),IF(AO462="Y","on hold: "&amp;AP462,""),IF(C462="","no contact named on an opened page",""),IF(AND(AU462="Y",AV462&lt;&gt;"Y"),"founder review pending (Founder review tab)","")))</f>
        <v/>
      </c>
      <c r="BC462" s="0" t="str">
        <f aca="false">IF($A462="","",IFERROR(INDEX(Enrichment!$A$2:$GZ$2000,MATCH($A462,INDEX(Enrichment!$A$2:$GZ$2000,0,MATCH("row_id",Enrichment!$A$1:$GZ$1,0)),0),MATCH("work_email",Enrichment!$A$1:$GZ$1,0))&amp;"",""))</f>
        <v/>
      </c>
      <c r="BD462" s="0" t="str">
        <f aca="false">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P462" s="0" t="str">
        <f aca="false">IF($A462="","",IFERROR(INDEX(Enrichment!$A$2:$GZ$2000,MATCH($A462,INDEX(Enrichment!$A$2:$GZ$2000,0,MATCH("row_id",Enrichment!$A$1:$GZ$1,0)),0),MATCH("backup_work_email",Enrichment!$A$1:$GZ$1,0))&amp;"",""))</f>
        <v/>
      </c>
      <c r="BQ462" s="0" t="str">
        <f aca="false">IF($A462="","",IF(BP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DU462" s="0" t="str">
        <f aca="false">IF($A462="","",IF(R462="Y",10,0))</f>
        <v/>
      </c>
      <c r="EV462" s="0" t="str">
        <f aca="false">IF($A462="","",IF(ISNUMBER(MATCH(U462,{"queued","contacted","replied","call_booked","call_done","yes_in_principle","materials_sent"},0)),"Y","N"))</f>
        <v/>
      </c>
      <c r="EW462" s="0" t="str">
        <f aca="false">IF($A462="","",IF(OR(T462="Y",U462="do_not_contact",AQ462&amp;""&lt;&gt;""),"Y","N"))</f>
        <v/>
      </c>
      <c r="EX462" s="0" t="str">
        <f aca="false">IF($A462="","",IF(AN462&amp;""&lt;&gt;"",AN462&amp;"",$A462))</f>
        <v/>
      </c>
      <c r="EY462" s="0" t="str">
        <f aca="false">IF($A462="","",IF(COUNTIFS($EX$2:$EX$1000,EX462,$EV$2:$EV$1000,"Y")+COUNTIFS($EX$2:$EX$1000,EX462,$EW$2:$EW$1000,"Y")&gt;0,"Y","N"))</f>
        <v/>
      </c>
      <c r="EZ462" s="0" t="str">
        <f aca="false">IF($A462="","",IF(AND(U462="new",T462="N",EW462="N",AR462="Y",EY462="N"),"Y","N"))</f>
        <v/>
      </c>
      <c r="FA462" s="0" t="str">
        <f aca="false">IF($A462="","",IF(EZ462&lt;&gt;"Y","N",IF(COUNTIFS($EX$2:$EX$1000,EX462,$EZ$2:$EZ$1000,"Y",$J$2:$J$1000,"&gt;"&amp;J462)+COUNTIFS($EX$2:$EX$1000,EX462,$EZ$2:$EZ$1000,"Y",$J$2:$J$1000,J462,$FG$2:$FG$1000,"&lt;"&amp;FG462)=0,"Y","N")))</f>
        <v/>
      </c>
      <c r="FB462" s="0" t="str">
        <f aca="false">IF($A462="","",IF(AND(EZ462="Y",FA462="Y",Y462&amp;""&lt;&gt;""),IF(Y462&lt;=10,"Y","N"),"N"))</f>
        <v/>
      </c>
      <c r="FC462" s="0" t="str">
        <f aca="false">IF(FB462="Y",Y462,"")</f>
        <v/>
      </c>
      <c r="FD462" s="0" t="str">
        <f aca="false">IF($A462="","",IF(AND(CK462="pass",AU462="Y",AV462&lt;&gt;"Y",U462="new",EW462="N"),"Y","N"))</f>
        <v/>
      </c>
      <c r="FE462" s="0" t="str">
        <f aca="false">IF(FD462&lt;&gt;"Y","",IF(COUNTIFS($FD$2:$FD$1000,"Y",$J$2:$J$1000,"&gt;"&amp;J462)+COUNTIFS($FD$2:$FD$1000,"Y",$J$2:$J$1000,J462,$FG$2:$FG$1000,"&lt;"&amp;FG462)+1&lt;=30,COUNTIFS($FD$2:$FD$1000,"Y",$J$2:$J$1000,"&gt;"&amp;J462)+COUNTIFS($FD$2:$FD$1000,"Y",$J$2:$J$1000,J462,$FG$2:$FG$1000,"&lt;"&amp;FG462)+1,""))</f>
        <v/>
      </c>
      <c r="FF462" s="0" t="str">
        <f aca="false">IF(AND(_xlfn.ISFORMULA(C462),_xlfn.ISFORMULA(J462)),"Y","N")</f>
        <v>Y</v>
      </c>
      <c r="FG462" s="0" t="n">
        <f aca="false">ROW()-1</f>
        <v>461</v>
      </c>
    </row>
    <row r="463" customFormat="false" ht="15" hidden="false" customHeight="false" outlineLevel="0" collapsed="false">
      <c r="C463" s="0" t="str">
        <f aca="false">IF($A463="","",IF(AT463="Y",BL463&amp;"",AY463&amp;""))</f>
        <v/>
      </c>
      <c r="D463" s="0" t="str">
        <f aca="false">IF($A463="","",IF(AT463="Y",BM463&amp;"",AZ463&amp;""))</f>
        <v/>
      </c>
      <c r="E463" s="0" t="str">
        <f aca="false">IF($A463="","",IF(AT463="Y",BN463&amp;"",BA463&amp;""))</f>
        <v/>
      </c>
      <c r="F463" s="0" t="str">
        <f aca="false">IF($A463="","",IF(AT463="Y",BO463&amp;"",BB463&amp;""))</f>
        <v/>
      </c>
      <c r="G463" s="0" t="str">
        <f aca="false">IF($A463="","",IF(AT463="Y",BP463&amp;"",BC463&amp;""))</f>
        <v/>
      </c>
      <c r="H463" s="0" t="str">
        <f aca="false">IF($A463="","",IF(AT463="Y",BQ463&amp;"",BD463&amp;""))</f>
        <v/>
      </c>
      <c r="I463" s="0" t="str">
        <f aca="false">IF($A463="","",IF(R463="Y","warm-intro",IF(H463="verified","email",IF(C463&lt;&gt;"","linkedin",CA463&amp;""))))</f>
        <v/>
      </c>
      <c r="J463" s="0" t="str">
        <f aca="false">IF($A463="","",IF(CK463="pass",ROUND(N(DO463)+N(DP463)+N(DQ463)+N(DR463)+N(DS463)+N(DT463)+N(DU463)+N(DV463),0),0))</f>
        <v/>
      </c>
      <c r="K463" s="0" t="str">
        <f aca="false">IF($A463="","",IF(CK463&lt;&gt;"pass",BY463&amp;"",BY463&amp;", "&amp;IF(AT463="Y",BX463&amp;"",BK463&amp;"")&amp;BZ463&amp;IF(R463="Y","; known to the founder (+10)","")&amp;"."))</f>
        <v/>
      </c>
      <c r="R463" s="5"/>
      <c r="T463" s="5"/>
      <c r="U463" s="5"/>
      <c r="Y463" s="0" t="str">
        <f aca="false">IF(FA463&lt;&gt;"Y","",COUNTIFS($FA$2:$FA$1000,"Y",$J$2:$J$1000,"&gt;"&amp;J463)+COUNTIFS($FA$2:$FA$1000,"Y",$J$2:$J$1000,J463,$FG$2:$FG$1000,"&lt;"&amp;FG463)+1)</f>
        <v/>
      </c>
      <c r="AB463" s="0" t="str">
        <f aca="false">IF($A463="","",IF(AT463="Y",BW463&amp;"",BJ463&amp;""))</f>
        <v/>
      </c>
      <c r="AC463" s="0" t="str">
        <f aca="false">IF($A463="","",IF(AT463="Y",BR463&amp;"",BE463&amp;""))</f>
        <v/>
      </c>
      <c r="AD463" s="0" t="str">
        <f aca="false">IF($A463="","",IF(AT463="Y",BS463&amp;"",BF463&amp;""))</f>
        <v/>
      </c>
      <c r="AE463" s="0" t="str">
        <f aca="false">IF($A463="","",IF(AT463="Y",BT463&amp;"",BG463&amp;""))</f>
        <v/>
      </c>
      <c r="AF463" s="0" t="str">
        <f aca="false">IF($A463="","",IF(AT463="Y",BU463&amp;"",BH463&amp;""))</f>
        <v/>
      </c>
      <c r="AG463" s="0" t="str">
        <f aca="false">IF($A463="","",IF(AT463="Y",BV463&amp;"",BI463&amp;""))</f>
        <v/>
      </c>
      <c r="AO463" s="5"/>
      <c r="AR463" s="0" t="str">
        <f aca="false">IF($A463="","",IF(AND(CK463="pass",AO463&lt;&gt;"Y",C463&lt;&gt;"",OR(AU463&lt;&gt;"Y",AV463="Y")),"Y","N"))</f>
        <v/>
      </c>
      <c r="AS463" s="0" t="str">
        <f aca="false">IF($A463="","",_xlfn.TEXTJOIN("; ",TRUE(),IF(CK463&lt;&gt;"pass","gated out",""),IF(AO463="Y","on hold: "&amp;AP463,""),IF(C463="","no contact named on an opened page",""),IF(AND(AU463="Y",AV463&lt;&gt;"Y"),"founder review pending (Founder review tab)","")))</f>
        <v/>
      </c>
      <c r="BC463" s="0" t="str">
        <f aca="false">IF($A463="","",IFERROR(INDEX(Enrichment!$A$2:$GZ$2000,MATCH($A463,INDEX(Enrichment!$A$2:$GZ$2000,0,MATCH("row_id",Enrichment!$A$1:$GZ$1,0)),0),MATCH("work_email",Enrichment!$A$1:$GZ$1,0))&amp;"",""))</f>
        <v/>
      </c>
      <c r="BD463" s="0" t="str">
        <f aca="false">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P463" s="0" t="str">
        <f aca="false">IF($A463="","",IFERROR(INDEX(Enrichment!$A$2:$GZ$2000,MATCH($A463,INDEX(Enrichment!$A$2:$GZ$2000,0,MATCH("row_id",Enrichment!$A$1:$GZ$1,0)),0),MATCH("backup_work_email",Enrichment!$A$1:$GZ$1,0))&amp;"",""))</f>
        <v/>
      </c>
      <c r="BQ463" s="0" t="str">
        <f aca="false">IF($A463="","",IF(BP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DU463" s="0" t="str">
        <f aca="false">IF($A463="","",IF(R463="Y",10,0))</f>
        <v/>
      </c>
      <c r="EV463" s="0" t="str">
        <f aca="false">IF($A463="","",IF(ISNUMBER(MATCH(U463,{"queued","contacted","replied","call_booked","call_done","yes_in_principle","materials_sent"},0)),"Y","N"))</f>
        <v/>
      </c>
      <c r="EW463" s="0" t="str">
        <f aca="false">IF($A463="","",IF(OR(T463="Y",U463="do_not_contact",AQ463&amp;""&lt;&gt;""),"Y","N"))</f>
        <v/>
      </c>
      <c r="EX463" s="0" t="str">
        <f aca="false">IF($A463="","",IF(AN463&amp;""&lt;&gt;"",AN463&amp;"",$A463))</f>
        <v/>
      </c>
      <c r="EY463" s="0" t="str">
        <f aca="false">IF($A463="","",IF(COUNTIFS($EX$2:$EX$1000,EX463,$EV$2:$EV$1000,"Y")+COUNTIFS($EX$2:$EX$1000,EX463,$EW$2:$EW$1000,"Y")&gt;0,"Y","N"))</f>
        <v/>
      </c>
      <c r="EZ463" s="0" t="str">
        <f aca="false">IF($A463="","",IF(AND(U463="new",T463="N",EW463="N",AR463="Y",EY463="N"),"Y","N"))</f>
        <v/>
      </c>
      <c r="FA463" s="0" t="str">
        <f aca="false">IF($A463="","",IF(EZ463&lt;&gt;"Y","N",IF(COUNTIFS($EX$2:$EX$1000,EX463,$EZ$2:$EZ$1000,"Y",$J$2:$J$1000,"&gt;"&amp;J463)+COUNTIFS($EX$2:$EX$1000,EX463,$EZ$2:$EZ$1000,"Y",$J$2:$J$1000,J463,$FG$2:$FG$1000,"&lt;"&amp;FG463)=0,"Y","N")))</f>
        <v/>
      </c>
      <c r="FB463" s="0" t="str">
        <f aca="false">IF($A463="","",IF(AND(EZ463="Y",FA463="Y",Y463&amp;""&lt;&gt;""),IF(Y463&lt;=10,"Y","N"),"N"))</f>
        <v/>
      </c>
      <c r="FC463" s="0" t="str">
        <f aca="false">IF(FB463="Y",Y463,"")</f>
        <v/>
      </c>
      <c r="FD463" s="0" t="str">
        <f aca="false">IF($A463="","",IF(AND(CK463="pass",AU463="Y",AV463&lt;&gt;"Y",U463="new",EW463="N"),"Y","N"))</f>
        <v/>
      </c>
      <c r="FE463" s="0" t="str">
        <f aca="false">IF(FD463&lt;&gt;"Y","",IF(COUNTIFS($FD$2:$FD$1000,"Y",$J$2:$J$1000,"&gt;"&amp;J463)+COUNTIFS($FD$2:$FD$1000,"Y",$J$2:$J$1000,J463,$FG$2:$FG$1000,"&lt;"&amp;FG463)+1&lt;=30,COUNTIFS($FD$2:$FD$1000,"Y",$J$2:$J$1000,"&gt;"&amp;J463)+COUNTIFS($FD$2:$FD$1000,"Y",$J$2:$J$1000,J463,$FG$2:$FG$1000,"&lt;"&amp;FG463)+1,""))</f>
        <v/>
      </c>
      <c r="FF463" s="0" t="str">
        <f aca="false">IF(AND(_xlfn.ISFORMULA(C463),_xlfn.ISFORMULA(J463)),"Y","N")</f>
        <v>Y</v>
      </c>
      <c r="FG463" s="0" t="n">
        <f aca="false">ROW()-1</f>
        <v>462</v>
      </c>
    </row>
    <row r="464" customFormat="false" ht="15" hidden="false" customHeight="false" outlineLevel="0" collapsed="false">
      <c r="C464" s="0" t="str">
        <f aca="false">IF($A464="","",IF(AT464="Y",BL464&amp;"",AY464&amp;""))</f>
        <v/>
      </c>
      <c r="D464" s="0" t="str">
        <f aca="false">IF($A464="","",IF(AT464="Y",BM464&amp;"",AZ464&amp;""))</f>
        <v/>
      </c>
      <c r="E464" s="0" t="str">
        <f aca="false">IF($A464="","",IF(AT464="Y",BN464&amp;"",BA464&amp;""))</f>
        <v/>
      </c>
      <c r="F464" s="0" t="str">
        <f aca="false">IF($A464="","",IF(AT464="Y",BO464&amp;"",BB464&amp;""))</f>
        <v/>
      </c>
      <c r="G464" s="0" t="str">
        <f aca="false">IF($A464="","",IF(AT464="Y",BP464&amp;"",BC464&amp;""))</f>
        <v/>
      </c>
      <c r="H464" s="0" t="str">
        <f aca="false">IF($A464="","",IF(AT464="Y",BQ464&amp;"",BD464&amp;""))</f>
        <v/>
      </c>
      <c r="I464" s="0" t="str">
        <f aca="false">IF($A464="","",IF(R464="Y","warm-intro",IF(H464="verified","email",IF(C464&lt;&gt;"","linkedin",CA464&amp;""))))</f>
        <v/>
      </c>
      <c r="J464" s="0" t="str">
        <f aca="false">IF($A464="","",IF(CK464="pass",ROUND(N(DO464)+N(DP464)+N(DQ464)+N(DR464)+N(DS464)+N(DT464)+N(DU464)+N(DV464),0),0))</f>
        <v/>
      </c>
      <c r="K464" s="0" t="str">
        <f aca="false">IF($A464="","",IF(CK464&lt;&gt;"pass",BY464&amp;"",BY464&amp;", "&amp;IF(AT464="Y",BX464&amp;"",BK464&amp;"")&amp;BZ464&amp;IF(R464="Y","; known to the founder (+10)","")&amp;"."))</f>
        <v/>
      </c>
      <c r="R464" s="5"/>
      <c r="T464" s="5"/>
      <c r="U464" s="5"/>
      <c r="Y464" s="0" t="str">
        <f aca="false">IF(FA464&lt;&gt;"Y","",COUNTIFS($FA$2:$FA$1000,"Y",$J$2:$J$1000,"&gt;"&amp;J464)+COUNTIFS($FA$2:$FA$1000,"Y",$J$2:$J$1000,J464,$FG$2:$FG$1000,"&lt;"&amp;FG464)+1)</f>
        <v/>
      </c>
      <c r="AB464" s="0" t="str">
        <f aca="false">IF($A464="","",IF(AT464="Y",BW464&amp;"",BJ464&amp;""))</f>
        <v/>
      </c>
      <c r="AC464" s="0" t="str">
        <f aca="false">IF($A464="","",IF(AT464="Y",BR464&amp;"",BE464&amp;""))</f>
        <v/>
      </c>
      <c r="AD464" s="0" t="str">
        <f aca="false">IF($A464="","",IF(AT464="Y",BS464&amp;"",BF464&amp;""))</f>
        <v/>
      </c>
      <c r="AE464" s="0" t="str">
        <f aca="false">IF($A464="","",IF(AT464="Y",BT464&amp;"",BG464&amp;""))</f>
        <v/>
      </c>
      <c r="AF464" s="0" t="str">
        <f aca="false">IF($A464="","",IF(AT464="Y",BU464&amp;"",BH464&amp;""))</f>
        <v/>
      </c>
      <c r="AG464" s="0" t="str">
        <f aca="false">IF($A464="","",IF(AT464="Y",BV464&amp;"",BI464&amp;""))</f>
        <v/>
      </c>
      <c r="AO464" s="5"/>
      <c r="AR464" s="0" t="str">
        <f aca="false">IF($A464="","",IF(AND(CK464="pass",AO464&lt;&gt;"Y",C464&lt;&gt;"",OR(AU464&lt;&gt;"Y",AV464="Y")),"Y","N"))</f>
        <v/>
      </c>
      <c r="AS464" s="0" t="str">
        <f aca="false">IF($A464="","",_xlfn.TEXTJOIN("; ",TRUE(),IF(CK464&lt;&gt;"pass","gated out",""),IF(AO464="Y","on hold: "&amp;AP464,""),IF(C464="","no contact named on an opened page",""),IF(AND(AU464="Y",AV464&lt;&gt;"Y"),"founder review pending (Founder review tab)","")))</f>
        <v/>
      </c>
      <c r="BC464" s="0" t="str">
        <f aca="false">IF($A464="","",IFERROR(INDEX(Enrichment!$A$2:$GZ$2000,MATCH($A464,INDEX(Enrichment!$A$2:$GZ$2000,0,MATCH("row_id",Enrichment!$A$1:$GZ$1,0)),0),MATCH("work_email",Enrichment!$A$1:$GZ$1,0))&amp;"",""))</f>
        <v/>
      </c>
      <c r="BD464" s="0" t="str">
        <f aca="false">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P464" s="0" t="str">
        <f aca="false">IF($A464="","",IFERROR(INDEX(Enrichment!$A$2:$GZ$2000,MATCH($A464,INDEX(Enrichment!$A$2:$GZ$2000,0,MATCH("row_id",Enrichment!$A$1:$GZ$1,0)),0),MATCH("backup_work_email",Enrichment!$A$1:$GZ$1,0))&amp;"",""))</f>
        <v/>
      </c>
      <c r="BQ464" s="0" t="str">
        <f aca="false">IF($A464="","",IF(BP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DU464" s="0" t="str">
        <f aca="false">IF($A464="","",IF(R464="Y",10,0))</f>
        <v/>
      </c>
      <c r="EV464" s="0" t="str">
        <f aca="false">IF($A464="","",IF(ISNUMBER(MATCH(U464,{"queued","contacted","replied","call_booked","call_done","yes_in_principle","materials_sent"},0)),"Y","N"))</f>
        <v/>
      </c>
      <c r="EW464" s="0" t="str">
        <f aca="false">IF($A464="","",IF(OR(T464="Y",U464="do_not_contact",AQ464&amp;""&lt;&gt;""),"Y","N"))</f>
        <v/>
      </c>
      <c r="EX464" s="0" t="str">
        <f aca="false">IF($A464="","",IF(AN464&amp;""&lt;&gt;"",AN464&amp;"",$A464))</f>
        <v/>
      </c>
      <c r="EY464" s="0" t="str">
        <f aca="false">IF($A464="","",IF(COUNTIFS($EX$2:$EX$1000,EX464,$EV$2:$EV$1000,"Y")+COUNTIFS($EX$2:$EX$1000,EX464,$EW$2:$EW$1000,"Y")&gt;0,"Y","N"))</f>
        <v/>
      </c>
      <c r="EZ464" s="0" t="str">
        <f aca="false">IF($A464="","",IF(AND(U464="new",T464="N",EW464="N",AR464="Y",EY464="N"),"Y","N"))</f>
        <v/>
      </c>
      <c r="FA464" s="0" t="str">
        <f aca="false">IF($A464="","",IF(EZ464&lt;&gt;"Y","N",IF(COUNTIFS($EX$2:$EX$1000,EX464,$EZ$2:$EZ$1000,"Y",$J$2:$J$1000,"&gt;"&amp;J464)+COUNTIFS($EX$2:$EX$1000,EX464,$EZ$2:$EZ$1000,"Y",$J$2:$J$1000,J464,$FG$2:$FG$1000,"&lt;"&amp;FG464)=0,"Y","N")))</f>
        <v/>
      </c>
      <c r="FB464" s="0" t="str">
        <f aca="false">IF($A464="","",IF(AND(EZ464="Y",FA464="Y",Y464&amp;""&lt;&gt;""),IF(Y464&lt;=10,"Y","N"),"N"))</f>
        <v/>
      </c>
      <c r="FC464" s="0" t="str">
        <f aca="false">IF(FB464="Y",Y464,"")</f>
        <v/>
      </c>
      <c r="FD464" s="0" t="str">
        <f aca="false">IF($A464="","",IF(AND(CK464="pass",AU464="Y",AV464&lt;&gt;"Y",U464="new",EW464="N"),"Y","N"))</f>
        <v/>
      </c>
      <c r="FE464" s="0" t="str">
        <f aca="false">IF(FD464&lt;&gt;"Y","",IF(COUNTIFS($FD$2:$FD$1000,"Y",$J$2:$J$1000,"&gt;"&amp;J464)+COUNTIFS($FD$2:$FD$1000,"Y",$J$2:$J$1000,J464,$FG$2:$FG$1000,"&lt;"&amp;FG464)+1&lt;=30,COUNTIFS($FD$2:$FD$1000,"Y",$J$2:$J$1000,"&gt;"&amp;J464)+COUNTIFS($FD$2:$FD$1000,"Y",$J$2:$J$1000,J464,$FG$2:$FG$1000,"&lt;"&amp;FG464)+1,""))</f>
        <v/>
      </c>
      <c r="FF464" s="0" t="str">
        <f aca="false">IF(AND(_xlfn.ISFORMULA(C464),_xlfn.ISFORMULA(J464)),"Y","N")</f>
        <v>Y</v>
      </c>
      <c r="FG464" s="0" t="n">
        <f aca="false">ROW()-1</f>
        <v>463</v>
      </c>
    </row>
    <row r="465" customFormat="false" ht="15" hidden="false" customHeight="false" outlineLevel="0" collapsed="false">
      <c r="C465" s="0" t="str">
        <f aca="false">IF($A465="","",IF(AT465="Y",BL465&amp;"",AY465&amp;""))</f>
        <v/>
      </c>
      <c r="D465" s="0" t="str">
        <f aca="false">IF($A465="","",IF(AT465="Y",BM465&amp;"",AZ465&amp;""))</f>
        <v/>
      </c>
      <c r="E465" s="0" t="str">
        <f aca="false">IF($A465="","",IF(AT465="Y",BN465&amp;"",BA465&amp;""))</f>
        <v/>
      </c>
      <c r="F465" s="0" t="str">
        <f aca="false">IF($A465="","",IF(AT465="Y",BO465&amp;"",BB465&amp;""))</f>
        <v/>
      </c>
      <c r="G465" s="0" t="str">
        <f aca="false">IF($A465="","",IF(AT465="Y",BP465&amp;"",BC465&amp;""))</f>
        <v/>
      </c>
      <c r="H465" s="0" t="str">
        <f aca="false">IF($A465="","",IF(AT465="Y",BQ465&amp;"",BD465&amp;""))</f>
        <v/>
      </c>
      <c r="I465" s="0" t="str">
        <f aca="false">IF($A465="","",IF(R465="Y","warm-intro",IF(H465="verified","email",IF(C465&lt;&gt;"","linkedin",CA465&amp;""))))</f>
        <v/>
      </c>
      <c r="J465" s="0" t="str">
        <f aca="false">IF($A465="","",IF(CK465="pass",ROUND(N(DO465)+N(DP465)+N(DQ465)+N(DR465)+N(DS465)+N(DT465)+N(DU465)+N(DV465),0),0))</f>
        <v/>
      </c>
      <c r="K465" s="0" t="str">
        <f aca="false">IF($A465="","",IF(CK465&lt;&gt;"pass",BY465&amp;"",BY465&amp;", "&amp;IF(AT465="Y",BX465&amp;"",BK465&amp;"")&amp;BZ465&amp;IF(R465="Y","; known to the founder (+10)","")&amp;"."))</f>
        <v/>
      </c>
      <c r="R465" s="5"/>
      <c r="T465" s="5"/>
      <c r="U465" s="5"/>
      <c r="Y465" s="0" t="str">
        <f aca="false">IF(FA465&lt;&gt;"Y","",COUNTIFS($FA$2:$FA$1000,"Y",$J$2:$J$1000,"&gt;"&amp;J465)+COUNTIFS($FA$2:$FA$1000,"Y",$J$2:$J$1000,J465,$FG$2:$FG$1000,"&lt;"&amp;FG465)+1)</f>
        <v/>
      </c>
      <c r="AB465" s="0" t="str">
        <f aca="false">IF($A465="","",IF(AT465="Y",BW465&amp;"",BJ465&amp;""))</f>
        <v/>
      </c>
      <c r="AC465" s="0" t="str">
        <f aca="false">IF($A465="","",IF(AT465="Y",BR465&amp;"",BE465&amp;""))</f>
        <v/>
      </c>
      <c r="AD465" s="0" t="str">
        <f aca="false">IF($A465="","",IF(AT465="Y",BS465&amp;"",BF465&amp;""))</f>
        <v/>
      </c>
      <c r="AE465" s="0" t="str">
        <f aca="false">IF($A465="","",IF(AT465="Y",BT465&amp;"",BG465&amp;""))</f>
        <v/>
      </c>
      <c r="AF465" s="0" t="str">
        <f aca="false">IF($A465="","",IF(AT465="Y",BU465&amp;"",BH465&amp;""))</f>
        <v/>
      </c>
      <c r="AG465" s="0" t="str">
        <f aca="false">IF($A465="","",IF(AT465="Y",BV465&amp;"",BI465&amp;""))</f>
        <v/>
      </c>
      <c r="AO465" s="5"/>
      <c r="AR465" s="0" t="str">
        <f aca="false">IF($A465="","",IF(AND(CK465="pass",AO465&lt;&gt;"Y",C465&lt;&gt;"",OR(AU465&lt;&gt;"Y",AV465="Y")),"Y","N"))</f>
        <v/>
      </c>
      <c r="AS465" s="0" t="str">
        <f aca="false">IF($A465="","",_xlfn.TEXTJOIN("; ",TRUE(),IF(CK465&lt;&gt;"pass","gated out",""),IF(AO465="Y","on hold: "&amp;AP465,""),IF(C465="","no contact named on an opened page",""),IF(AND(AU465="Y",AV465&lt;&gt;"Y"),"founder review pending (Founder review tab)","")))</f>
        <v/>
      </c>
      <c r="BC465" s="0" t="str">
        <f aca="false">IF($A465="","",IFERROR(INDEX(Enrichment!$A$2:$GZ$2000,MATCH($A465,INDEX(Enrichment!$A$2:$GZ$2000,0,MATCH("row_id",Enrichment!$A$1:$GZ$1,0)),0),MATCH("work_email",Enrichment!$A$1:$GZ$1,0))&amp;"",""))</f>
        <v/>
      </c>
      <c r="BD465" s="0" t="str">
        <f aca="false">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P465" s="0" t="str">
        <f aca="false">IF($A465="","",IFERROR(INDEX(Enrichment!$A$2:$GZ$2000,MATCH($A465,INDEX(Enrichment!$A$2:$GZ$2000,0,MATCH("row_id",Enrichment!$A$1:$GZ$1,0)),0),MATCH("backup_work_email",Enrichment!$A$1:$GZ$1,0))&amp;"",""))</f>
        <v/>
      </c>
      <c r="BQ465" s="0" t="str">
        <f aca="false">IF($A465="","",IF(BP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DU465" s="0" t="str">
        <f aca="false">IF($A465="","",IF(R465="Y",10,0))</f>
        <v/>
      </c>
      <c r="EV465" s="0" t="str">
        <f aca="false">IF($A465="","",IF(ISNUMBER(MATCH(U465,{"queued","contacted","replied","call_booked","call_done","yes_in_principle","materials_sent"},0)),"Y","N"))</f>
        <v/>
      </c>
      <c r="EW465" s="0" t="str">
        <f aca="false">IF($A465="","",IF(OR(T465="Y",U465="do_not_contact",AQ465&amp;""&lt;&gt;""),"Y","N"))</f>
        <v/>
      </c>
      <c r="EX465" s="0" t="str">
        <f aca="false">IF($A465="","",IF(AN465&amp;""&lt;&gt;"",AN465&amp;"",$A465))</f>
        <v/>
      </c>
      <c r="EY465" s="0" t="str">
        <f aca="false">IF($A465="","",IF(COUNTIFS($EX$2:$EX$1000,EX465,$EV$2:$EV$1000,"Y")+COUNTIFS($EX$2:$EX$1000,EX465,$EW$2:$EW$1000,"Y")&gt;0,"Y","N"))</f>
        <v/>
      </c>
      <c r="EZ465" s="0" t="str">
        <f aca="false">IF($A465="","",IF(AND(U465="new",T465="N",EW465="N",AR465="Y",EY465="N"),"Y","N"))</f>
        <v/>
      </c>
      <c r="FA465" s="0" t="str">
        <f aca="false">IF($A465="","",IF(EZ465&lt;&gt;"Y","N",IF(COUNTIFS($EX$2:$EX$1000,EX465,$EZ$2:$EZ$1000,"Y",$J$2:$J$1000,"&gt;"&amp;J465)+COUNTIFS($EX$2:$EX$1000,EX465,$EZ$2:$EZ$1000,"Y",$J$2:$J$1000,J465,$FG$2:$FG$1000,"&lt;"&amp;FG465)=0,"Y","N")))</f>
        <v/>
      </c>
      <c r="FB465" s="0" t="str">
        <f aca="false">IF($A465="","",IF(AND(EZ465="Y",FA465="Y",Y465&amp;""&lt;&gt;""),IF(Y465&lt;=10,"Y","N"),"N"))</f>
        <v/>
      </c>
      <c r="FC465" s="0" t="str">
        <f aca="false">IF(FB465="Y",Y465,"")</f>
        <v/>
      </c>
      <c r="FD465" s="0" t="str">
        <f aca="false">IF($A465="","",IF(AND(CK465="pass",AU465="Y",AV465&lt;&gt;"Y",U465="new",EW465="N"),"Y","N"))</f>
        <v/>
      </c>
      <c r="FE465" s="0" t="str">
        <f aca="false">IF(FD465&lt;&gt;"Y","",IF(COUNTIFS($FD$2:$FD$1000,"Y",$J$2:$J$1000,"&gt;"&amp;J465)+COUNTIFS($FD$2:$FD$1000,"Y",$J$2:$J$1000,J465,$FG$2:$FG$1000,"&lt;"&amp;FG465)+1&lt;=30,COUNTIFS($FD$2:$FD$1000,"Y",$J$2:$J$1000,"&gt;"&amp;J465)+COUNTIFS($FD$2:$FD$1000,"Y",$J$2:$J$1000,J465,$FG$2:$FG$1000,"&lt;"&amp;FG465)+1,""))</f>
        <v/>
      </c>
      <c r="FF465" s="0" t="str">
        <f aca="false">IF(AND(_xlfn.ISFORMULA(C465),_xlfn.ISFORMULA(J465)),"Y","N")</f>
        <v>Y</v>
      </c>
      <c r="FG465" s="0" t="n">
        <f aca="false">ROW()-1</f>
        <v>464</v>
      </c>
    </row>
    <row r="466" customFormat="false" ht="15" hidden="false" customHeight="false" outlineLevel="0" collapsed="false">
      <c r="C466" s="0" t="str">
        <f aca="false">IF($A466="","",IF(AT466="Y",BL466&amp;"",AY466&amp;""))</f>
        <v/>
      </c>
      <c r="D466" s="0" t="str">
        <f aca="false">IF($A466="","",IF(AT466="Y",BM466&amp;"",AZ466&amp;""))</f>
        <v/>
      </c>
      <c r="E466" s="0" t="str">
        <f aca="false">IF($A466="","",IF(AT466="Y",BN466&amp;"",BA466&amp;""))</f>
        <v/>
      </c>
      <c r="F466" s="0" t="str">
        <f aca="false">IF($A466="","",IF(AT466="Y",BO466&amp;"",BB466&amp;""))</f>
        <v/>
      </c>
      <c r="G466" s="0" t="str">
        <f aca="false">IF($A466="","",IF(AT466="Y",BP466&amp;"",BC466&amp;""))</f>
        <v/>
      </c>
      <c r="H466" s="0" t="str">
        <f aca="false">IF($A466="","",IF(AT466="Y",BQ466&amp;"",BD466&amp;""))</f>
        <v/>
      </c>
      <c r="I466" s="0" t="str">
        <f aca="false">IF($A466="","",IF(R466="Y","warm-intro",IF(H466="verified","email",IF(C466&lt;&gt;"","linkedin",CA466&amp;""))))</f>
        <v/>
      </c>
      <c r="J466" s="0" t="str">
        <f aca="false">IF($A466="","",IF(CK466="pass",ROUND(N(DO466)+N(DP466)+N(DQ466)+N(DR466)+N(DS466)+N(DT466)+N(DU466)+N(DV466),0),0))</f>
        <v/>
      </c>
      <c r="K466" s="0" t="str">
        <f aca="false">IF($A466="","",IF(CK466&lt;&gt;"pass",BY466&amp;"",BY466&amp;", "&amp;IF(AT466="Y",BX466&amp;"",BK466&amp;"")&amp;BZ466&amp;IF(R466="Y","; known to the founder (+10)","")&amp;"."))</f>
        <v/>
      </c>
      <c r="R466" s="5"/>
      <c r="T466" s="5"/>
      <c r="U466" s="5"/>
      <c r="Y466" s="0" t="str">
        <f aca="false">IF(FA466&lt;&gt;"Y","",COUNTIFS($FA$2:$FA$1000,"Y",$J$2:$J$1000,"&gt;"&amp;J466)+COUNTIFS($FA$2:$FA$1000,"Y",$J$2:$J$1000,J466,$FG$2:$FG$1000,"&lt;"&amp;FG466)+1)</f>
        <v/>
      </c>
      <c r="AB466" s="0" t="str">
        <f aca="false">IF($A466="","",IF(AT466="Y",BW466&amp;"",BJ466&amp;""))</f>
        <v/>
      </c>
      <c r="AC466" s="0" t="str">
        <f aca="false">IF($A466="","",IF(AT466="Y",BR466&amp;"",BE466&amp;""))</f>
        <v/>
      </c>
      <c r="AD466" s="0" t="str">
        <f aca="false">IF($A466="","",IF(AT466="Y",BS466&amp;"",BF466&amp;""))</f>
        <v/>
      </c>
      <c r="AE466" s="0" t="str">
        <f aca="false">IF($A466="","",IF(AT466="Y",BT466&amp;"",BG466&amp;""))</f>
        <v/>
      </c>
      <c r="AF466" s="0" t="str">
        <f aca="false">IF($A466="","",IF(AT466="Y",BU466&amp;"",BH466&amp;""))</f>
        <v/>
      </c>
      <c r="AG466" s="0" t="str">
        <f aca="false">IF($A466="","",IF(AT466="Y",BV466&amp;"",BI466&amp;""))</f>
        <v/>
      </c>
      <c r="AO466" s="5"/>
      <c r="AR466" s="0" t="str">
        <f aca="false">IF($A466="","",IF(AND(CK466="pass",AO466&lt;&gt;"Y",C466&lt;&gt;"",OR(AU466&lt;&gt;"Y",AV466="Y")),"Y","N"))</f>
        <v/>
      </c>
      <c r="AS466" s="0" t="str">
        <f aca="false">IF($A466="","",_xlfn.TEXTJOIN("; ",TRUE(),IF(CK466&lt;&gt;"pass","gated out",""),IF(AO466="Y","on hold: "&amp;AP466,""),IF(C466="","no contact named on an opened page",""),IF(AND(AU466="Y",AV466&lt;&gt;"Y"),"founder review pending (Founder review tab)","")))</f>
        <v/>
      </c>
      <c r="BC466" s="0" t="str">
        <f aca="false">IF($A466="","",IFERROR(INDEX(Enrichment!$A$2:$GZ$2000,MATCH($A466,INDEX(Enrichment!$A$2:$GZ$2000,0,MATCH("row_id",Enrichment!$A$1:$GZ$1,0)),0),MATCH("work_email",Enrichment!$A$1:$GZ$1,0))&amp;"",""))</f>
        <v/>
      </c>
      <c r="BD466" s="0" t="str">
        <f aca="false">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P466" s="0" t="str">
        <f aca="false">IF($A466="","",IFERROR(INDEX(Enrichment!$A$2:$GZ$2000,MATCH($A466,INDEX(Enrichment!$A$2:$GZ$2000,0,MATCH("row_id",Enrichment!$A$1:$GZ$1,0)),0),MATCH("backup_work_email",Enrichment!$A$1:$GZ$1,0))&amp;"",""))</f>
        <v/>
      </c>
      <c r="BQ466" s="0" t="str">
        <f aca="false">IF($A466="","",IF(BP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DU466" s="0" t="str">
        <f aca="false">IF($A466="","",IF(R466="Y",10,0))</f>
        <v/>
      </c>
      <c r="EV466" s="0" t="str">
        <f aca="false">IF($A466="","",IF(ISNUMBER(MATCH(U466,{"queued","contacted","replied","call_booked","call_done","yes_in_principle","materials_sent"},0)),"Y","N"))</f>
        <v/>
      </c>
      <c r="EW466" s="0" t="str">
        <f aca="false">IF($A466="","",IF(OR(T466="Y",U466="do_not_contact",AQ466&amp;""&lt;&gt;""),"Y","N"))</f>
        <v/>
      </c>
      <c r="EX466" s="0" t="str">
        <f aca="false">IF($A466="","",IF(AN466&amp;""&lt;&gt;"",AN466&amp;"",$A466))</f>
        <v/>
      </c>
      <c r="EY466" s="0" t="str">
        <f aca="false">IF($A466="","",IF(COUNTIFS($EX$2:$EX$1000,EX466,$EV$2:$EV$1000,"Y")+COUNTIFS($EX$2:$EX$1000,EX466,$EW$2:$EW$1000,"Y")&gt;0,"Y","N"))</f>
        <v/>
      </c>
      <c r="EZ466" s="0" t="str">
        <f aca="false">IF($A466="","",IF(AND(U466="new",T466="N",EW466="N",AR466="Y",EY466="N"),"Y","N"))</f>
        <v/>
      </c>
      <c r="FA466" s="0" t="str">
        <f aca="false">IF($A466="","",IF(EZ466&lt;&gt;"Y","N",IF(COUNTIFS($EX$2:$EX$1000,EX466,$EZ$2:$EZ$1000,"Y",$J$2:$J$1000,"&gt;"&amp;J466)+COUNTIFS($EX$2:$EX$1000,EX466,$EZ$2:$EZ$1000,"Y",$J$2:$J$1000,J466,$FG$2:$FG$1000,"&lt;"&amp;FG466)=0,"Y","N")))</f>
        <v/>
      </c>
      <c r="FB466" s="0" t="str">
        <f aca="false">IF($A466="","",IF(AND(EZ466="Y",FA466="Y",Y466&amp;""&lt;&gt;""),IF(Y466&lt;=10,"Y","N"),"N"))</f>
        <v/>
      </c>
      <c r="FC466" s="0" t="str">
        <f aca="false">IF(FB466="Y",Y466,"")</f>
        <v/>
      </c>
      <c r="FD466" s="0" t="str">
        <f aca="false">IF($A466="","",IF(AND(CK466="pass",AU466="Y",AV466&lt;&gt;"Y",U466="new",EW466="N"),"Y","N"))</f>
        <v/>
      </c>
      <c r="FE466" s="0" t="str">
        <f aca="false">IF(FD466&lt;&gt;"Y","",IF(COUNTIFS($FD$2:$FD$1000,"Y",$J$2:$J$1000,"&gt;"&amp;J466)+COUNTIFS($FD$2:$FD$1000,"Y",$J$2:$J$1000,J466,$FG$2:$FG$1000,"&lt;"&amp;FG466)+1&lt;=30,COUNTIFS($FD$2:$FD$1000,"Y",$J$2:$J$1000,"&gt;"&amp;J466)+COUNTIFS($FD$2:$FD$1000,"Y",$J$2:$J$1000,J466,$FG$2:$FG$1000,"&lt;"&amp;FG466)+1,""))</f>
        <v/>
      </c>
      <c r="FF466" s="0" t="str">
        <f aca="false">IF(AND(_xlfn.ISFORMULA(C466),_xlfn.ISFORMULA(J466)),"Y","N")</f>
        <v>Y</v>
      </c>
      <c r="FG466" s="0" t="n">
        <f aca="false">ROW()-1</f>
        <v>465</v>
      </c>
    </row>
    <row r="467" customFormat="false" ht="15" hidden="false" customHeight="false" outlineLevel="0" collapsed="false">
      <c r="C467" s="0" t="str">
        <f aca="false">IF($A467="","",IF(AT467="Y",BL467&amp;"",AY467&amp;""))</f>
        <v/>
      </c>
      <c r="D467" s="0" t="str">
        <f aca="false">IF($A467="","",IF(AT467="Y",BM467&amp;"",AZ467&amp;""))</f>
        <v/>
      </c>
      <c r="E467" s="0" t="str">
        <f aca="false">IF($A467="","",IF(AT467="Y",BN467&amp;"",BA467&amp;""))</f>
        <v/>
      </c>
      <c r="F467" s="0" t="str">
        <f aca="false">IF($A467="","",IF(AT467="Y",BO467&amp;"",BB467&amp;""))</f>
        <v/>
      </c>
      <c r="G467" s="0" t="str">
        <f aca="false">IF($A467="","",IF(AT467="Y",BP467&amp;"",BC467&amp;""))</f>
        <v/>
      </c>
      <c r="H467" s="0" t="str">
        <f aca="false">IF($A467="","",IF(AT467="Y",BQ467&amp;"",BD467&amp;""))</f>
        <v/>
      </c>
      <c r="I467" s="0" t="str">
        <f aca="false">IF($A467="","",IF(R467="Y","warm-intro",IF(H467="verified","email",IF(C467&lt;&gt;"","linkedin",CA467&amp;""))))</f>
        <v/>
      </c>
      <c r="J467" s="0" t="str">
        <f aca="false">IF($A467="","",IF(CK467="pass",ROUND(N(DO467)+N(DP467)+N(DQ467)+N(DR467)+N(DS467)+N(DT467)+N(DU467)+N(DV467),0),0))</f>
        <v/>
      </c>
      <c r="K467" s="0" t="str">
        <f aca="false">IF($A467="","",IF(CK467&lt;&gt;"pass",BY467&amp;"",BY467&amp;", "&amp;IF(AT467="Y",BX467&amp;"",BK467&amp;"")&amp;BZ467&amp;IF(R467="Y","; known to the founder (+10)","")&amp;"."))</f>
        <v/>
      </c>
      <c r="R467" s="5"/>
      <c r="T467" s="5"/>
      <c r="U467" s="5"/>
      <c r="Y467" s="0" t="str">
        <f aca="false">IF(FA467&lt;&gt;"Y","",COUNTIFS($FA$2:$FA$1000,"Y",$J$2:$J$1000,"&gt;"&amp;J467)+COUNTIFS($FA$2:$FA$1000,"Y",$J$2:$J$1000,J467,$FG$2:$FG$1000,"&lt;"&amp;FG467)+1)</f>
        <v/>
      </c>
      <c r="AB467" s="0" t="str">
        <f aca="false">IF($A467="","",IF(AT467="Y",BW467&amp;"",BJ467&amp;""))</f>
        <v/>
      </c>
      <c r="AC467" s="0" t="str">
        <f aca="false">IF($A467="","",IF(AT467="Y",BR467&amp;"",BE467&amp;""))</f>
        <v/>
      </c>
      <c r="AD467" s="0" t="str">
        <f aca="false">IF($A467="","",IF(AT467="Y",BS467&amp;"",BF467&amp;""))</f>
        <v/>
      </c>
      <c r="AE467" s="0" t="str">
        <f aca="false">IF($A467="","",IF(AT467="Y",BT467&amp;"",BG467&amp;""))</f>
        <v/>
      </c>
      <c r="AF467" s="0" t="str">
        <f aca="false">IF($A467="","",IF(AT467="Y",BU467&amp;"",BH467&amp;""))</f>
        <v/>
      </c>
      <c r="AG467" s="0" t="str">
        <f aca="false">IF($A467="","",IF(AT467="Y",BV467&amp;"",BI467&amp;""))</f>
        <v/>
      </c>
      <c r="AO467" s="5"/>
      <c r="AR467" s="0" t="str">
        <f aca="false">IF($A467="","",IF(AND(CK467="pass",AO467&lt;&gt;"Y",C467&lt;&gt;"",OR(AU467&lt;&gt;"Y",AV467="Y")),"Y","N"))</f>
        <v/>
      </c>
      <c r="AS467" s="0" t="str">
        <f aca="false">IF($A467="","",_xlfn.TEXTJOIN("; ",TRUE(),IF(CK467&lt;&gt;"pass","gated out",""),IF(AO467="Y","on hold: "&amp;AP467,""),IF(C467="","no contact named on an opened page",""),IF(AND(AU467="Y",AV467&lt;&gt;"Y"),"founder review pending (Founder review tab)","")))</f>
        <v/>
      </c>
      <c r="BC467" s="0" t="str">
        <f aca="false">IF($A467="","",IFERROR(INDEX(Enrichment!$A$2:$GZ$2000,MATCH($A467,INDEX(Enrichment!$A$2:$GZ$2000,0,MATCH("row_id",Enrichment!$A$1:$GZ$1,0)),0),MATCH("work_email",Enrichment!$A$1:$GZ$1,0))&amp;"",""))</f>
        <v/>
      </c>
      <c r="BD467" s="0" t="str">
        <f aca="false">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P467" s="0" t="str">
        <f aca="false">IF($A467="","",IFERROR(INDEX(Enrichment!$A$2:$GZ$2000,MATCH($A467,INDEX(Enrichment!$A$2:$GZ$2000,0,MATCH("row_id",Enrichment!$A$1:$GZ$1,0)),0),MATCH("backup_work_email",Enrichment!$A$1:$GZ$1,0))&amp;"",""))</f>
        <v/>
      </c>
      <c r="BQ467" s="0" t="str">
        <f aca="false">IF($A467="","",IF(BP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DU467" s="0" t="str">
        <f aca="false">IF($A467="","",IF(R467="Y",10,0))</f>
        <v/>
      </c>
      <c r="EV467" s="0" t="str">
        <f aca="false">IF($A467="","",IF(ISNUMBER(MATCH(U467,{"queued","contacted","replied","call_booked","call_done","yes_in_principle","materials_sent"},0)),"Y","N"))</f>
        <v/>
      </c>
      <c r="EW467" s="0" t="str">
        <f aca="false">IF($A467="","",IF(OR(T467="Y",U467="do_not_contact",AQ467&amp;""&lt;&gt;""),"Y","N"))</f>
        <v/>
      </c>
      <c r="EX467" s="0" t="str">
        <f aca="false">IF($A467="","",IF(AN467&amp;""&lt;&gt;"",AN467&amp;"",$A467))</f>
        <v/>
      </c>
      <c r="EY467" s="0" t="str">
        <f aca="false">IF($A467="","",IF(COUNTIFS($EX$2:$EX$1000,EX467,$EV$2:$EV$1000,"Y")+COUNTIFS($EX$2:$EX$1000,EX467,$EW$2:$EW$1000,"Y")&gt;0,"Y","N"))</f>
        <v/>
      </c>
      <c r="EZ467" s="0" t="str">
        <f aca="false">IF($A467="","",IF(AND(U467="new",T467="N",EW467="N",AR467="Y",EY467="N"),"Y","N"))</f>
        <v/>
      </c>
      <c r="FA467" s="0" t="str">
        <f aca="false">IF($A467="","",IF(EZ467&lt;&gt;"Y","N",IF(COUNTIFS($EX$2:$EX$1000,EX467,$EZ$2:$EZ$1000,"Y",$J$2:$J$1000,"&gt;"&amp;J467)+COUNTIFS($EX$2:$EX$1000,EX467,$EZ$2:$EZ$1000,"Y",$J$2:$J$1000,J467,$FG$2:$FG$1000,"&lt;"&amp;FG467)=0,"Y","N")))</f>
        <v/>
      </c>
      <c r="FB467" s="0" t="str">
        <f aca="false">IF($A467="","",IF(AND(EZ467="Y",FA467="Y",Y467&amp;""&lt;&gt;""),IF(Y467&lt;=10,"Y","N"),"N"))</f>
        <v/>
      </c>
      <c r="FC467" s="0" t="str">
        <f aca="false">IF(FB467="Y",Y467,"")</f>
        <v/>
      </c>
      <c r="FD467" s="0" t="str">
        <f aca="false">IF($A467="","",IF(AND(CK467="pass",AU467="Y",AV467&lt;&gt;"Y",U467="new",EW467="N"),"Y","N"))</f>
        <v/>
      </c>
      <c r="FE467" s="0" t="str">
        <f aca="false">IF(FD467&lt;&gt;"Y","",IF(COUNTIFS($FD$2:$FD$1000,"Y",$J$2:$J$1000,"&gt;"&amp;J467)+COUNTIFS($FD$2:$FD$1000,"Y",$J$2:$J$1000,J467,$FG$2:$FG$1000,"&lt;"&amp;FG467)+1&lt;=30,COUNTIFS($FD$2:$FD$1000,"Y",$J$2:$J$1000,"&gt;"&amp;J467)+COUNTIFS($FD$2:$FD$1000,"Y",$J$2:$J$1000,J467,$FG$2:$FG$1000,"&lt;"&amp;FG467)+1,""))</f>
        <v/>
      </c>
      <c r="FF467" s="0" t="str">
        <f aca="false">IF(AND(_xlfn.ISFORMULA(C467),_xlfn.ISFORMULA(J467)),"Y","N")</f>
        <v>Y</v>
      </c>
      <c r="FG467" s="0" t="n">
        <f aca="false">ROW()-1</f>
        <v>466</v>
      </c>
    </row>
    <row r="468" customFormat="false" ht="15" hidden="false" customHeight="false" outlineLevel="0" collapsed="false">
      <c r="C468" s="0" t="str">
        <f aca="false">IF($A468="","",IF(AT468="Y",BL468&amp;"",AY468&amp;""))</f>
        <v/>
      </c>
      <c r="D468" s="0" t="str">
        <f aca="false">IF($A468="","",IF(AT468="Y",BM468&amp;"",AZ468&amp;""))</f>
        <v/>
      </c>
      <c r="E468" s="0" t="str">
        <f aca="false">IF($A468="","",IF(AT468="Y",BN468&amp;"",BA468&amp;""))</f>
        <v/>
      </c>
      <c r="F468" s="0" t="str">
        <f aca="false">IF($A468="","",IF(AT468="Y",BO468&amp;"",BB468&amp;""))</f>
        <v/>
      </c>
      <c r="G468" s="0" t="str">
        <f aca="false">IF($A468="","",IF(AT468="Y",BP468&amp;"",BC468&amp;""))</f>
        <v/>
      </c>
      <c r="H468" s="0" t="str">
        <f aca="false">IF($A468="","",IF(AT468="Y",BQ468&amp;"",BD468&amp;""))</f>
        <v/>
      </c>
      <c r="I468" s="0" t="str">
        <f aca="false">IF($A468="","",IF(R468="Y","warm-intro",IF(H468="verified","email",IF(C468&lt;&gt;"","linkedin",CA468&amp;""))))</f>
        <v/>
      </c>
      <c r="J468" s="0" t="str">
        <f aca="false">IF($A468="","",IF(CK468="pass",ROUND(N(DO468)+N(DP468)+N(DQ468)+N(DR468)+N(DS468)+N(DT468)+N(DU468)+N(DV468),0),0))</f>
        <v/>
      </c>
      <c r="K468" s="0" t="str">
        <f aca="false">IF($A468="","",IF(CK468&lt;&gt;"pass",BY468&amp;"",BY468&amp;", "&amp;IF(AT468="Y",BX468&amp;"",BK468&amp;"")&amp;BZ468&amp;IF(R468="Y","; known to the founder (+10)","")&amp;"."))</f>
        <v/>
      </c>
      <c r="R468" s="5"/>
      <c r="T468" s="5"/>
      <c r="U468" s="5"/>
      <c r="Y468" s="0" t="str">
        <f aca="false">IF(FA468&lt;&gt;"Y","",COUNTIFS($FA$2:$FA$1000,"Y",$J$2:$J$1000,"&gt;"&amp;J468)+COUNTIFS($FA$2:$FA$1000,"Y",$J$2:$J$1000,J468,$FG$2:$FG$1000,"&lt;"&amp;FG468)+1)</f>
        <v/>
      </c>
      <c r="AB468" s="0" t="str">
        <f aca="false">IF($A468="","",IF(AT468="Y",BW468&amp;"",BJ468&amp;""))</f>
        <v/>
      </c>
      <c r="AC468" s="0" t="str">
        <f aca="false">IF($A468="","",IF(AT468="Y",BR468&amp;"",BE468&amp;""))</f>
        <v/>
      </c>
      <c r="AD468" s="0" t="str">
        <f aca="false">IF($A468="","",IF(AT468="Y",BS468&amp;"",BF468&amp;""))</f>
        <v/>
      </c>
      <c r="AE468" s="0" t="str">
        <f aca="false">IF($A468="","",IF(AT468="Y",BT468&amp;"",BG468&amp;""))</f>
        <v/>
      </c>
      <c r="AF468" s="0" t="str">
        <f aca="false">IF($A468="","",IF(AT468="Y",BU468&amp;"",BH468&amp;""))</f>
        <v/>
      </c>
      <c r="AG468" s="0" t="str">
        <f aca="false">IF($A468="","",IF(AT468="Y",BV468&amp;"",BI468&amp;""))</f>
        <v/>
      </c>
      <c r="AO468" s="5"/>
      <c r="AR468" s="0" t="str">
        <f aca="false">IF($A468="","",IF(AND(CK468="pass",AO468&lt;&gt;"Y",C468&lt;&gt;"",OR(AU468&lt;&gt;"Y",AV468="Y")),"Y","N"))</f>
        <v/>
      </c>
      <c r="AS468" s="0" t="str">
        <f aca="false">IF($A468="","",_xlfn.TEXTJOIN("; ",TRUE(),IF(CK468&lt;&gt;"pass","gated out",""),IF(AO468="Y","on hold: "&amp;AP468,""),IF(C468="","no contact named on an opened page",""),IF(AND(AU468="Y",AV468&lt;&gt;"Y"),"founder review pending (Founder review tab)","")))</f>
        <v/>
      </c>
      <c r="BC468" s="0" t="str">
        <f aca="false">IF($A468="","",IFERROR(INDEX(Enrichment!$A$2:$GZ$2000,MATCH($A468,INDEX(Enrichment!$A$2:$GZ$2000,0,MATCH("row_id",Enrichment!$A$1:$GZ$1,0)),0),MATCH("work_email",Enrichment!$A$1:$GZ$1,0))&amp;"",""))</f>
        <v/>
      </c>
      <c r="BD468" s="0" t="str">
        <f aca="false">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P468" s="0" t="str">
        <f aca="false">IF($A468="","",IFERROR(INDEX(Enrichment!$A$2:$GZ$2000,MATCH($A468,INDEX(Enrichment!$A$2:$GZ$2000,0,MATCH("row_id",Enrichment!$A$1:$GZ$1,0)),0),MATCH("backup_work_email",Enrichment!$A$1:$GZ$1,0))&amp;"",""))</f>
        <v/>
      </c>
      <c r="BQ468" s="0" t="str">
        <f aca="false">IF($A468="","",IF(BP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DU468" s="0" t="str">
        <f aca="false">IF($A468="","",IF(R468="Y",10,0))</f>
        <v/>
      </c>
      <c r="EV468" s="0" t="str">
        <f aca="false">IF($A468="","",IF(ISNUMBER(MATCH(U468,{"queued","contacted","replied","call_booked","call_done","yes_in_principle","materials_sent"},0)),"Y","N"))</f>
        <v/>
      </c>
      <c r="EW468" s="0" t="str">
        <f aca="false">IF($A468="","",IF(OR(T468="Y",U468="do_not_contact",AQ468&amp;""&lt;&gt;""),"Y","N"))</f>
        <v/>
      </c>
      <c r="EX468" s="0" t="str">
        <f aca="false">IF($A468="","",IF(AN468&amp;""&lt;&gt;"",AN468&amp;"",$A468))</f>
        <v/>
      </c>
      <c r="EY468" s="0" t="str">
        <f aca="false">IF($A468="","",IF(COUNTIFS($EX$2:$EX$1000,EX468,$EV$2:$EV$1000,"Y")+COUNTIFS($EX$2:$EX$1000,EX468,$EW$2:$EW$1000,"Y")&gt;0,"Y","N"))</f>
        <v/>
      </c>
      <c r="EZ468" s="0" t="str">
        <f aca="false">IF($A468="","",IF(AND(U468="new",T468="N",EW468="N",AR468="Y",EY468="N"),"Y","N"))</f>
        <v/>
      </c>
      <c r="FA468" s="0" t="str">
        <f aca="false">IF($A468="","",IF(EZ468&lt;&gt;"Y","N",IF(COUNTIFS($EX$2:$EX$1000,EX468,$EZ$2:$EZ$1000,"Y",$J$2:$J$1000,"&gt;"&amp;J468)+COUNTIFS($EX$2:$EX$1000,EX468,$EZ$2:$EZ$1000,"Y",$J$2:$J$1000,J468,$FG$2:$FG$1000,"&lt;"&amp;FG468)=0,"Y","N")))</f>
        <v/>
      </c>
      <c r="FB468" s="0" t="str">
        <f aca="false">IF($A468="","",IF(AND(EZ468="Y",FA468="Y",Y468&amp;""&lt;&gt;""),IF(Y468&lt;=10,"Y","N"),"N"))</f>
        <v/>
      </c>
      <c r="FC468" s="0" t="str">
        <f aca="false">IF(FB468="Y",Y468,"")</f>
        <v/>
      </c>
      <c r="FD468" s="0" t="str">
        <f aca="false">IF($A468="","",IF(AND(CK468="pass",AU468="Y",AV468&lt;&gt;"Y",U468="new",EW468="N"),"Y","N"))</f>
        <v/>
      </c>
      <c r="FE468" s="0" t="str">
        <f aca="false">IF(FD468&lt;&gt;"Y","",IF(COUNTIFS($FD$2:$FD$1000,"Y",$J$2:$J$1000,"&gt;"&amp;J468)+COUNTIFS($FD$2:$FD$1000,"Y",$J$2:$J$1000,J468,$FG$2:$FG$1000,"&lt;"&amp;FG468)+1&lt;=30,COUNTIFS($FD$2:$FD$1000,"Y",$J$2:$J$1000,"&gt;"&amp;J468)+COUNTIFS($FD$2:$FD$1000,"Y",$J$2:$J$1000,J468,$FG$2:$FG$1000,"&lt;"&amp;FG468)+1,""))</f>
        <v/>
      </c>
      <c r="FF468" s="0" t="str">
        <f aca="false">IF(AND(_xlfn.ISFORMULA(C468),_xlfn.ISFORMULA(J468)),"Y","N")</f>
        <v>Y</v>
      </c>
      <c r="FG468" s="0" t="n">
        <f aca="false">ROW()-1</f>
        <v>467</v>
      </c>
    </row>
    <row r="469" customFormat="false" ht="15" hidden="false" customHeight="false" outlineLevel="0" collapsed="false">
      <c r="C469" s="0" t="str">
        <f aca="false">IF($A469="","",IF(AT469="Y",BL469&amp;"",AY469&amp;""))</f>
        <v/>
      </c>
      <c r="D469" s="0" t="str">
        <f aca="false">IF($A469="","",IF(AT469="Y",BM469&amp;"",AZ469&amp;""))</f>
        <v/>
      </c>
      <c r="E469" s="0" t="str">
        <f aca="false">IF($A469="","",IF(AT469="Y",BN469&amp;"",BA469&amp;""))</f>
        <v/>
      </c>
      <c r="F469" s="0" t="str">
        <f aca="false">IF($A469="","",IF(AT469="Y",BO469&amp;"",BB469&amp;""))</f>
        <v/>
      </c>
      <c r="G469" s="0" t="str">
        <f aca="false">IF($A469="","",IF(AT469="Y",BP469&amp;"",BC469&amp;""))</f>
        <v/>
      </c>
      <c r="H469" s="0" t="str">
        <f aca="false">IF($A469="","",IF(AT469="Y",BQ469&amp;"",BD469&amp;""))</f>
        <v/>
      </c>
      <c r="I469" s="0" t="str">
        <f aca="false">IF($A469="","",IF(R469="Y","warm-intro",IF(H469="verified","email",IF(C469&lt;&gt;"","linkedin",CA469&amp;""))))</f>
        <v/>
      </c>
      <c r="J469" s="0" t="str">
        <f aca="false">IF($A469="","",IF(CK469="pass",ROUND(N(DO469)+N(DP469)+N(DQ469)+N(DR469)+N(DS469)+N(DT469)+N(DU469)+N(DV469),0),0))</f>
        <v/>
      </c>
      <c r="K469" s="0" t="str">
        <f aca="false">IF($A469="","",IF(CK469&lt;&gt;"pass",BY469&amp;"",BY469&amp;", "&amp;IF(AT469="Y",BX469&amp;"",BK469&amp;"")&amp;BZ469&amp;IF(R469="Y","; known to the founder (+10)","")&amp;"."))</f>
        <v/>
      </c>
      <c r="R469" s="5"/>
      <c r="T469" s="5"/>
      <c r="U469" s="5"/>
      <c r="Y469" s="0" t="str">
        <f aca="false">IF(FA469&lt;&gt;"Y","",COUNTIFS($FA$2:$FA$1000,"Y",$J$2:$J$1000,"&gt;"&amp;J469)+COUNTIFS($FA$2:$FA$1000,"Y",$J$2:$J$1000,J469,$FG$2:$FG$1000,"&lt;"&amp;FG469)+1)</f>
        <v/>
      </c>
      <c r="AB469" s="0" t="str">
        <f aca="false">IF($A469="","",IF(AT469="Y",BW469&amp;"",BJ469&amp;""))</f>
        <v/>
      </c>
      <c r="AC469" s="0" t="str">
        <f aca="false">IF($A469="","",IF(AT469="Y",BR469&amp;"",BE469&amp;""))</f>
        <v/>
      </c>
      <c r="AD469" s="0" t="str">
        <f aca="false">IF($A469="","",IF(AT469="Y",BS469&amp;"",BF469&amp;""))</f>
        <v/>
      </c>
      <c r="AE469" s="0" t="str">
        <f aca="false">IF($A469="","",IF(AT469="Y",BT469&amp;"",BG469&amp;""))</f>
        <v/>
      </c>
      <c r="AF469" s="0" t="str">
        <f aca="false">IF($A469="","",IF(AT469="Y",BU469&amp;"",BH469&amp;""))</f>
        <v/>
      </c>
      <c r="AG469" s="0" t="str">
        <f aca="false">IF($A469="","",IF(AT469="Y",BV469&amp;"",BI469&amp;""))</f>
        <v/>
      </c>
      <c r="AO469" s="5"/>
      <c r="AR469" s="0" t="str">
        <f aca="false">IF($A469="","",IF(AND(CK469="pass",AO469&lt;&gt;"Y",C469&lt;&gt;"",OR(AU469&lt;&gt;"Y",AV469="Y")),"Y","N"))</f>
        <v/>
      </c>
      <c r="AS469" s="0" t="str">
        <f aca="false">IF($A469="","",_xlfn.TEXTJOIN("; ",TRUE(),IF(CK469&lt;&gt;"pass","gated out",""),IF(AO469="Y","on hold: "&amp;AP469,""),IF(C469="","no contact named on an opened page",""),IF(AND(AU469="Y",AV469&lt;&gt;"Y"),"founder review pending (Founder review tab)","")))</f>
        <v/>
      </c>
      <c r="BC469" s="0" t="str">
        <f aca="false">IF($A469="","",IFERROR(INDEX(Enrichment!$A$2:$GZ$2000,MATCH($A469,INDEX(Enrichment!$A$2:$GZ$2000,0,MATCH("row_id",Enrichment!$A$1:$GZ$1,0)),0),MATCH("work_email",Enrichment!$A$1:$GZ$1,0))&amp;"",""))</f>
        <v/>
      </c>
      <c r="BD469" s="0" t="str">
        <f aca="false">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P469" s="0" t="str">
        <f aca="false">IF($A469="","",IFERROR(INDEX(Enrichment!$A$2:$GZ$2000,MATCH($A469,INDEX(Enrichment!$A$2:$GZ$2000,0,MATCH("row_id",Enrichment!$A$1:$GZ$1,0)),0),MATCH("backup_work_email",Enrichment!$A$1:$GZ$1,0))&amp;"",""))</f>
        <v/>
      </c>
      <c r="BQ469" s="0" t="str">
        <f aca="false">IF($A469="","",IF(BP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DU469" s="0" t="str">
        <f aca="false">IF($A469="","",IF(R469="Y",10,0))</f>
        <v/>
      </c>
      <c r="EV469" s="0" t="str">
        <f aca="false">IF($A469="","",IF(ISNUMBER(MATCH(U469,{"queued","contacted","replied","call_booked","call_done","yes_in_principle","materials_sent"},0)),"Y","N"))</f>
        <v/>
      </c>
      <c r="EW469" s="0" t="str">
        <f aca="false">IF($A469="","",IF(OR(T469="Y",U469="do_not_contact",AQ469&amp;""&lt;&gt;""),"Y","N"))</f>
        <v/>
      </c>
      <c r="EX469" s="0" t="str">
        <f aca="false">IF($A469="","",IF(AN469&amp;""&lt;&gt;"",AN469&amp;"",$A469))</f>
        <v/>
      </c>
      <c r="EY469" s="0" t="str">
        <f aca="false">IF($A469="","",IF(COUNTIFS($EX$2:$EX$1000,EX469,$EV$2:$EV$1000,"Y")+COUNTIFS($EX$2:$EX$1000,EX469,$EW$2:$EW$1000,"Y")&gt;0,"Y","N"))</f>
        <v/>
      </c>
      <c r="EZ469" s="0" t="str">
        <f aca="false">IF($A469="","",IF(AND(U469="new",T469="N",EW469="N",AR469="Y",EY469="N"),"Y","N"))</f>
        <v/>
      </c>
      <c r="FA469" s="0" t="str">
        <f aca="false">IF($A469="","",IF(EZ469&lt;&gt;"Y","N",IF(COUNTIFS($EX$2:$EX$1000,EX469,$EZ$2:$EZ$1000,"Y",$J$2:$J$1000,"&gt;"&amp;J469)+COUNTIFS($EX$2:$EX$1000,EX469,$EZ$2:$EZ$1000,"Y",$J$2:$J$1000,J469,$FG$2:$FG$1000,"&lt;"&amp;FG469)=0,"Y","N")))</f>
        <v/>
      </c>
      <c r="FB469" s="0" t="str">
        <f aca="false">IF($A469="","",IF(AND(EZ469="Y",FA469="Y",Y469&amp;""&lt;&gt;""),IF(Y469&lt;=10,"Y","N"),"N"))</f>
        <v/>
      </c>
      <c r="FC469" s="0" t="str">
        <f aca="false">IF(FB469="Y",Y469,"")</f>
        <v/>
      </c>
      <c r="FD469" s="0" t="str">
        <f aca="false">IF($A469="","",IF(AND(CK469="pass",AU469="Y",AV469&lt;&gt;"Y",U469="new",EW469="N"),"Y","N"))</f>
        <v/>
      </c>
      <c r="FE469" s="0" t="str">
        <f aca="false">IF(FD469&lt;&gt;"Y","",IF(COUNTIFS($FD$2:$FD$1000,"Y",$J$2:$J$1000,"&gt;"&amp;J469)+COUNTIFS($FD$2:$FD$1000,"Y",$J$2:$J$1000,J469,$FG$2:$FG$1000,"&lt;"&amp;FG469)+1&lt;=30,COUNTIFS($FD$2:$FD$1000,"Y",$J$2:$J$1000,"&gt;"&amp;J469)+COUNTIFS($FD$2:$FD$1000,"Y",$J$2:$J$1000,J469,$FG$2:$FG$1000,"&lt;"&amp;FG469)+1,""))</f>
        <v/>
      </c>
      <c r="FF469" s="0" t="str">
        <f aca="false">IF(AND(_xlfn.ISFORMULA(C469),_xlfn.ISFORMULA(J469)),"Y","N")</f>
        <v>Y</v>
      </c>
      <c r="FG469" s="0" t="n">
        <f aca="false">ROW()-1</f>
        <v>468</v>
      </c>
    </row>
    <row r="470" customFormat="false" ht="15" hidden="false" customHeight="false" outlineLevel="0" collapsed="false">
      <c r="C470" s="0" t="str">
        <f aca="false">IF($A470="","",IF(AT470="Y",BL470&amp;"",AY470&amp;""))</f>
        <v/>
      </c>
      <c r="D470" s="0" t="str">
        <f aca="false">IF($A470="","",IF(AT470="Y",BM470&amp;"",AZ470&amp;""))</f>
        <v/>
      </c>
      <c r="E470" s="0" t="str">
        <f aca="false">IF($A470="","",IF(AT470="Y",BN470&amp;"",BA470&amp;""))</f>
        <v/>
      </c>
      <c r="F470" s="0" t="str">
        <f aca="false">IF($A470="","",IF(AT470="Y",BO470&amp;"",BB470&amp;""))</f>
        <v/>
      </c>
      <c r="G470" s="0" t="str">
        <f aca="false">IF($A470="","",IF(AT470="Y",BP470&amp;"",BC470&amp;""))</f>
        <v/>
      </c>
      <c r="H470" s="0" t="str">
        <f aca="false">IF($A470="","",IF(AT470="Y",BQ470&amp;"",BD470&amp;""))</f>
        <v/>
      </c>
      <c r="I470" s="0" t="str">
        <f aca="false">IF($A470="","",IF(R470="Y","warm-intro",IF(H470="verified","email",IF(C470&lt;&gt;"","linkedin",CA470&amp;""))))</f>
        <v/>
      </c>
      <c r="J470" s="0" t="str">
        <f aca="false">IF($A470="","",IF(CK470="pass",ROUND(N(DO470)+N(DP470)+N(DQ470)+N(DR470)+N(DS470)+N(DT470)+N(DU470)+N(DV470),0),0))</f>
        <v/>
      </c>
      <c r="K470" s="0" t="str">
        <f aca="false">IF($A470="","",IF(CK470&lt;&gt;"pass",BY470&amp;"",BY470&amp;", "&amp;IF(AT470="Y",BX470&amp;"",BK470&amp;"")&amp;BZ470&amp;IF(R470="Y","; known to the founder (+10)","")&amp;"."))</f>
        <v/>
      </c>
      <c r="R470" s="5"/>
      <c r="T470" s="5"/>
      <c r="U470" s="5"/>
      <c r="Y470" s="0" t="str">
        <f aca="false">IF(FA470&lt;&gt;"Y","",COUNTIFS($FA$2:$FA$1000,"Y",$J$2:$J$1000,"&gt;"&amp;J470)+COUNTIFS($FA$2:$FA$1000,"Y",$J$2:$J$1000,J470,$FG$2:$FG$1000,"&lt;"&amp;FG470)+1)</f>
        <v/>
      </c>
      <c r="AB470" s="0" t="str">
        <f aca="false">IF($A470="","",IF(AT470="Y",BW470&amp;"",BJ470&amp;""))</f>
        <v/>
      </c>
      <c r="AC470" s="0" t="str">
        <f aca="false">IF($A470="","",IF(AT470="Y",BR470&amp;"",BE470&amp;""))</f>
        <v/>
      </c>
      <c r="AD470" s="0" t="str">
        <f aca="false">IF($A470="","",IF(AT470="Y",BS470&amp;"",BF470&amp;""))</f>
        <v/>
      </c>
      <c r="AE470" s="0" t="str">
        <f aca="false">IF($A470="","",IF(AT470="Y",BT470&amp;"",BG470&amp;""))</f>
        <v/>
      </c>
      <c r="AF470" s="0" t="str">
        <f aca="false">IF($A470="","",IF(AT470="Y",BU470&amp;"",BH470&amp;""))</f>
        <v/>
      </c>
      <c r="AG470" s="0" t="str">
        <f aca="false">IF($A470="","",IF(AT470="Y",BV470&amp;"",BI470&amp;""))</f>
        <v/>
      </c>
      <c r="AO470" s="5"/>
      <c r="AR470" s="0" t="str">
        <f aca="false">IF($A470="","",IF(AND(CK470="pass",AO470&lt;&gt;"Y",C470&lt;&gt;"",OR(AU470&lt;&gt;"Y",AV470="Y")),"Y","N"))</f>
        <v/>
      </c>
      <c r="AS470" s="0" t="str">
        <f aca="false">IF($A470="","",_xlfn.TEXTJOIN("; ",TRUE(),IF(CK470&lt;&gt;"pass","gated out",""),IF(AO470="Y","on hold: "&amp;AP470,""),IF(C470="","no contact named on an opened page",""),IF(AND(AU470="Y",AV470&lt;&gt;"Y"),"founder review pending (Founder review tab)","")))</f>
        <v/>
      </c>
      <c r="BC470" s="0" t="str">
        <f aca="false">IF($A470="","",IFERROR(INDEX(Enrichment!$A$2:$GZ$2000,MATCH($A470,INDEX(Enrichment!$A$2:$GZ$2000,0,MATCH("row_id",Enrichment!$A$1:$GZ$1,0)),0),MATCH("work_email",Enrichment!$A$1:$GZ$1,0))&amp;"",""))</f>
        <v/>
      </c>
      <c r="BD470" s="0" t="str">
        <f aca="false">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P470" s="0" t="str">
        <f aca="false">IF($A470="","",IFERROR(INDEX(Enrichment!$A$2:$GZ$2000,MATCH($A470,INDEX(Enrichment!$A$2:$GZ$2000,0,MATCH("row_id",Enrichment!$A$1:$GZ$1,0)),0),MATCH("backup_work_email",Enrichment!$A$1:$GZ$1,0))&amp;"",""))</f>
        <v/>
      </c>
      <c r="BQ470" s="0" t="str">
        <f aca="false">IF($A470="","",IF(BP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DU470" s="0" t="str">
        <f aca="false">IF($A470="","",IF(R470="Y",10,0))</f>
        <v/>
      </c>
      <c r="EV470" s="0" t="str">
        <f aca="false">IF($A470="","",IF(ISNUMBER(MATCH(U470,{"queued","contacted","replied","call_booked","call_done","yes_in_principle","materials_sent"},0)),"Y","N"))</f>
        <v/>
      </c>
      <c r="EW470" s="0" t="str">
        <f aca="false">IF($A470="","",IF(OR(T470="Y",U470="do_not_contact",AQ470&amp;""&lt;&gt;""),"Y","N"))</f>
        <v/>
      </c>
      <c r="EX470" s="0" t="str">
        <f aca="false">IF($A470="","",IF(AN470&amp;""&lt;&gt;"",AN470&amp;"",$A470))</f>
        <v/>
      </c>
      <c r="EY470" s="0" t="str">
        <f aca="false">IF($A470="","",IF(COUNTIFS($EX$2:$EX$1000,EX470,$EV$2:$EV$1000,"Y")+COUNTIFS($EX$2:$EX$1000,EX470,$EW$2:$EW$1000,"Y")&gt;0,"Y","N"))</f>
        <v/>
      </c>
      <c r="EZ470" s="0" t="str">
        <f aca="false">IF($A470="","",IF(AND(U470="new",T470="N",EW470="N",AR470="Y",EY470="N"),"Y","N"))</f>
        <v/>
      </c>
      <c r="FA470" s="0" t="str">
        <f aca="false">IF($A470="","",IF(EZ470&lt;&gt;"Y","N",IF(COUNTIFS($EX$2:$EX$1000,EX470,$EZ$2:$EZ$1000,"Y",$J$2:$J$1000,"&gt;"&amp;J470)+COUNTIFS($EX$2:$EX$1000,EX470,$EZ$2:$EZ$1000,"Y",$J$2:$J$1000,J470,$FG$2:$FG$1000,"&lt;"&amp;FG470)=0,"Y","N")))</f>
        <v/>
      </c>
      <c r="FB470" s="0" t="str">
        <f aca="false">IF($A470="","",IF(AND(EZ470="Y",FA470="Y",Y470&amp;""&lt;&gt;""),IF(Y470&lt;=10,"Y","N"),"N"))</f>
        <v/>
      </c>
      <c r="FC470" s="0" t="str">
        <f aca="false">IF(FB470="Y",Y470,"")</f>
        <v/>
      </c>
      <c r="FD470" s="0" t="str">
        <f aca="false">IF($A470="","",IF(AND(CK470="pass",AU470="Y",AV470&lt;&gt;"Y",U470="new",EW470="N"),"Y","N"))</f>
        <v/>
      </c>
      <c r="FE470" s="0" t="str">
        <f aca="false">IF(FD470&lt;&gt;"Y","",IF(COUNTIFS($FD$2:$FD$1000,"Y",$J$2:$J$1000,"&gt;"&amp;J470)+COUNTIFS($FD$2:$FD$1000,"Y",$J$2:$J$1000,J470,$FG$2:$FG$1000,"&lt;"&amp;FG470)+1&lt;=30,COUNTIFS($FD$2:$FD$1000,"Y",$J$2:$J$1000,"&gt;"&amp;J470)+COUNTIFS($FD$2:$FD$1000,"Y",$J$2:$J$1000,J470,$FG$2:$FG$1000,"&lt;"&amp;FG470)+1,""))</f>
        <v/>
      </c>
      <c r="FF470" s="0" t="str">
        <f aca="false">IF(AND(_xlfn.ISFORMULA(C470),_xlfn.ISFORMULA(J470)),"Y","N")</f>
        <v>Y</v>
      </c>
      <c r="FG470" s="0" t="n">
        <f aca="false">ROW()-1</f>
        <v>469</v>
      </c>
    </row>
    <row r="471" customFormat="false" ht="15" hidden="false" customHeight="false" outlineLevel="0" collapsed="false">
      <c r="C471" s="0" t="str">
        <f aca="false">IF($A471="","",IF(AT471="Y",BL471&amp;"",AY471&amp;""))</f>
        <v/>
      </c>
      <c r="D471" s="0" t="str">
        <f aca="false">IF($A471="","",IF(AT471="Y",BM471&amp;"",AZ471&amp;""))</f>
        <v/>
      </c>
      <c r="E471" s="0" t="str">
        <f aca="false">IF($A471="","",IF(AT471="Y",BN471&amp;"",BA471&amp;""))</f>
        <v/>
      </c>
      <c r="F471" s="0" t="str">
        <f aca="false">IF($A471="","",IF(AT471="Y",BO471&amp;"",BB471&amp;""))</f>
        <v/>
      </c>
      <c r="G471" s="0" t="str">
        <f aca="false">IF($A471="","",IF(AT471="Y",BP471&amp;"",BC471&amp;""))</f>
        <v/>
      </c>
      <c r="H471" s="0" t="str">
        <f aca="false">IF($A471="","",IF(AT471="Y",BQ471&amp;"",BD471&amp;""))</f>
        <v/>
      </c>
      <c r="I471" s="0" t="str">
        <f aca="false">IF($A471="","",IF(R471="Y","warm-intro",IF(H471="verified","email",IF(C471&lt;&gt;"","linkedin",CA471&amp;""))))</f>
        <v/>
      </c>
      <c r="J471" s="0" t="str">
        <f aca="false">IF($A471="","",IF(CK471="pass",ROUND(N(DO471)+N(DP471)+N(DQ471)+N(DR471)+N(DS471)+N(DT471)+N(DU471)+N(DV471),0),0))</f>
        <v/>
      </c>
      <c r="K471" s="0" t="str">
        <f aca="false">IF($A471="","",IF(CK471&lt;&gt;"pass",BY471&amp;"",BY471&amp;", "&amp;IF(AT471="Y",BX471&amp;"",BK471&amp;"")&amp;BZ471&amp;IF(R471="Y","; known to the founder (+10)","")&amp;"."))</f>
        <v/>
      </c>
      <c r="R471" s="5"/>
      <c r="T471" s="5"/>
      <c r="U471" s="5"/>
      <c r="Y471" s="0" t="str">
        <f aca="false">IF(FA471&lt;&gt;"Y","",COUNTIFS($FA$2:$FA$1000,"Y",$J$2:$J$1000,"&gt;"&amp;J471)+COUNTIFS($FA$2:$FA$1000,"Y",$J$2:$J$1000,J471,$FG$2:$FG$1000,"&lt;"&amp;FG471)+1)</f>
        <v/>
      </c>
      <c r="AB471" s="0" t="str">
        <f aca="false">IF($A471="","",IF(AT471="Y",BW471&amp;"",BJ471&amp;""))</f>
        <v/>
      </c>
      <c r="AC471" s="0" t="str">
        <f aca="false">IF($A471="","",IF(AT471="Y",BR471&amp;"",BE471&amp;""))</f>
        <v/>
      </c>
      <c r="AD471" s="0" t="str">
        <f aca="false">IF($A471="","",IF(AT471="Y",BS471&amp;"",BF471&amp;""))</f>
        <v/>
      </c>
      <c r="AE471" s="0" t="str">
        <f aca="false">IF($A471="","",IF(AT471="Y",BT471&amp;"",BG471&amp;""))</f>
        <v/>
      </c>
      <c r="AF471" s="0" t="str">
        <f aca="false">IF($A471="","",IF(AT471="Y",BU471&amp;"",BH471&amp;""))</f>
        <v/>
      </c>
      <c r="AG471" s="0" t="str">
        <f aca="false">IF($A471="","",IF(AT471="Y",BV471&amp;"",BI471&amp;""))</f>
        <v/>
      </c>
      <c r="AO471" s="5"/>
      <c r="AR471" s="0" t="str">
        <f aca="false">IF($A471="","",IF(AND(CK471="pass",AO471&lt;&gt;"Y",C471&lt;&gt;"",OR(AU471&lt;&gt;"Y",AV471="Y")),"Y","N"))</f>
        <v/>
      </c>
      <c r="AS471" s="0" t="str">
        <f aca="false">IF($A471="","",_xlfn.TEXTJOIN("; ",TRUE(),IF(CK471&lt;&gt;"pass","gated out",""),IF(AO471="Y","on hold: "&amp;AP471,""),IF(C471="","no contact named on an opened page",""),IF(AND(AU471="Y",AV471&lt;&gt;"Y"),"founder review pending (Founder review tab)","")))</f>
        <v/>
      </c>
      <c r="BC471" s="0" t="str">
        <f aca="false">IF($A471="","",IFERROR(INDEX(Enrichment!$A$2:$GZ$2000,MATCH($A471,INDEX(Enrichment!$A$2:$GZ$2000,0,MATCH("row_id",Enrichment!$A$1:$GZ$1,0)),0),MATCH("work_email",Enrichment!$A$1:$GZ$1,0))&amp;"",""))</f>
        <v/>
      </c>
      <c r="BD471" s="0" t="str">
        <f aca="false">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P471" s="0" t="str">
        <f aca="false">IF($A471="","",IFERROR(INDEX(Enrichment!$A$2:$GZ$2000,MATCH($A471,INDEX(Enrichment!$A$2:$GZ$2000,0,MATCH("row_id",Enrichment!$A$1:$GZ$1,0)),0),MATCH("backup_work_email",Enrichment!$A$1:$GZ$1,0))&amp;"",""))</f>
        <v/>
      </c>
      <c r="BQ471" s="0" t="str">
        <f aca="false">IF($A471="","",IF(BP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DU471" s="0" t="str">
        <f aca="false">IF($A471="","",IF(R471="Y",10,0))</f>
        <v/>
      </c>
      <c r="EV471" s="0" t="str">
        <f aca="false">IF($A471="","",IF(ISNUMBER(MATCH(U471,{"queued","contacted","replied","call_booked","call_done","yes_in_principle","materials_sent"},0)),"Y","N"))</f>
        <v/>
      </c>
      <c r="EW471" s="0" t="str">
        <f aca="false">IF($A471="","",IF(OR(T471="Y",U471="do_not_contact",AQ471&amp;""&lt;&gt;""),"Y","N"))</f>
        <v/>
      </c>
      <c r="EX471" s="0" t="str">
        <f aca="false">IF($A471="","",IF(AN471&amp;""&lt;&gt;"",AN471&amp;"",$A471))</f>
        <v/>
      </c>
      <c r="EY471" s="0" t="str">
        <f aca="false">IF($A471="","",IF(COUNTIFS($EX$2:$EX$1000,EX471,$EV$2:$EV$1000,"Y")+COUNTIFS($EX$2:$EX$1000,EX471,$EW$2:$EW$1000,"Y")&gt;0,"Y","N"))</f>
        <v/>
      </c>
      <c r="EZ471" s="0" t="str">
        <f aca="false">IF($A471="","",IF(AND(U471="new",T471="N",EW471="N",AR471="Y",EY471="N"),"Y","N"))</f>
        <v/>
      </c>
      <c r="FA471" s="0" t="str">
        <f aca="false">IF($A471="","",IF(EZ471&lt;&gt;"Y","N",IF(COUNTIFS($EX$2:$EX$1000,EX471,$EZ$2:$EZ$1000,"Y",$J$2:$J$1000,"&gt;"&amp;J471)+COUNTIFS($EX$2:$EX$1000,EX471,$EZ$2:$EZ$1000,"Y",$J$2:$J$1000,J471,$FG$2:$FG$1000,"&lt;"&amp;FG471)=0,"Y","N")))</f>
        <v/>
      </c>
      <c r="FB471" s="0" t="str">
        <f aca="false">IF($A471="","",IF(AND(EZ471="Y",FA471="Y",Y471&amp;""&lt;&gt;""),IF(Y471&lt;=10,"Y","N"),"N"))</f>
        <v/>
      </c>
      <c r="FC471" s="0" t="str">
        <f aca="false">IF(FB471="Y",Y471,"")</f>
        <v/>
      </c>
      <c r="FD471" s="0" t="str">
        <f aca="false">IF($A471="","",IF(AND(CK471="pass",AU471="Y",AV471&lt;&gt;"Y",U471="new",EW471="N"),"Y","N"))</f>
        <v/>
      </c>
      <c r="FE471" s="0" t="str">
        <f aca="false">IF(FD471&lt;&gt;"Y","",IF(COUNTIFS($FD$2:$FD$1000,"Y",$J$2:$J$1000,"&gt;"&amp;J471)+COUNTIFS($FD$2:$FD$1000,"Y",$J$2:$J$1000,J471,$FG$2:$FG$1000,"&lt;"&amp;FG471)+1&lt;=30,COUNTIFS($FD$2:$FD$1000,"Y",$J$2:$J$1000,"&gt;"&amp;J471)+COUNTIFS($FD$2:$FD$1000,"Y",$J$2:$J$1000,J471,$FG$2:$FG$1000,"&lt;"&amp;FG471)+1,""))</f>
        <v/>
      </c>
      <c r="FF471" s="0" t="str">
        <f aca="false">IF(AND(_xlfn.ISFORMULA(C471),_xlfn.ISFORMULA(J471)),"Y","N")</f>
        <v>Y</v>
      </c>
      <c r="FG471" s="0" t="n">
        <f aca="false">ROW()-1</f>
        <v>470</v>
      </c>
    </row>
    <row r="472" customFormat="false" ht="15" hidden="false" customHeight="false" outlineLevel="0" collapsed="false">
      <c r="C472" s="0" t="str">
        <f aca="false">IF($A472="","",IF(AT472="Y",BL472&amp;"",AY472&amp;""))</f>
        <v/>
      </c>
      <c r="D472" s="0" t="str">
        <f aca="false">IF($A472="","",IF(AT472="Y",BM472&amp;"",AZ472&amp;""))</f>
        <v/>
      </c>
      <c r="E472" s="0" t="str">
        <f aca="false">IF($A472="","",IF(AT472="Y",BN472&amp;"",BA472&amp;""))</f>
        <v/>
      </c>
      <c r="F472" s="0" t="str">
        <f aca="false">IF($A472="","",IF(AT472="Y",BO472&amp;"",BB472&amp;""))</f>
        <v/>
      </c>
      <c r="G472" s="0" t="str">
        <f aca="false">IF($A472="","",IF(AT472="Y",BP472&amp;"",BC472&amp;""))</f>
        <v/>
      </c>
      <c r="H472" s="0" t="str">
        <f aca="false">IF($A472="","",IF(AT472="Y",BQ472&amp;"",BD472&amp;""))</f>
        <v/>
      </c>
      <c r="I472" s="0" t="str">
        <f aca="false">IF($A472="","",IF(R472="Y","warm-intro",IF(H472="verified","email",IF(C472&lt;&gt;"","linkedin",CA472&amp;""))))</f>
        <v/>
      </c>
      <c r="J472" s="0" t="str">
        <f aca="false">IF($A472="","",IF(CK472="pass",ROUND(N(DO472)+N(DP472)+N(DQ472)+N(DR472)+N(DS472)+N(DT472)+N(DU472)+N(DV472),0),0))</f>
        <v/>
      </c>
      <c r="K472" s="0" t="str">
        <f aca="false">IF($A472="","",IF(CK472&lt;&gt;"pass",BY472&amp;"",BY472&amp;", "&amp;IF(AT472="Y",BX472&amp;"",BK472&amp;"")&amp;BZ472&amp;IF(R472="Y","; known to the founder (+10)","")&amp;"."))</f>
        <v/>
      </c>
      <c r="R472" s="5"/>
      <c r="T472" s="5"/>
      <c r="U472" s="5"/>
      <c r="Y472" s="0" t="str">
        <f aca="false">IF(FA472&lt;&gt;"Y","",COUNTIFS($FA$2:$FA$1000,"Y",$J$2:$J$1000,"&gt;"&amp;J472)+COUNTIFS($FA$2:$FA$1000,"Y",$J$2:$J$1000,J472,$FG$2:$FG$1000,"&lt;"&amp;FG472)+1)</f>
        <v/>
      </c>
      <c r="AB472" s="0" t="str">
        <f aca="false">IF($A472="","",IF(AT472="Y",BW472&amp;"",BJ472&amp;""))</f>
        <v/>
      </c>
      <c r="AC472" s="0" t="str">
        <f aca="false">IF($A472="","",IF(AT472="Y",BR472&amp;"",BE472&amp;""))</f>
        <v/>
      </c>
      <c r="AD472" s="0" t="str">
        <f aca="false">IF($A472="","",IF(AT472="Y",BS472&amp;"",BF472&amp;""))</f>
        <v/>
      </c>
      <c r="AE472" s="0" t="str">
        <f aca="false">IF($A472="","",IF(AT472="Y",BT472&amp;"",BG472&amp;""))</f>
        <v/>
      </c>
      <c r="AF472" s="0" t="str">
        <f aca="false">IF($A472="","",IF(AT472="Y",BU472&amp;"",BH472&amp;""))</f>
        <v/>
      </c>
      <c r="AG472" s="0" t="str">
        <f aca="false">IF($A472="","",IF(AT472="Y",BV472&amp;"",BI472&amp;""))</f>
        <v/>
      </c>
      <c r="AO472" s="5"/>
      <c r="AR472" s="0" t="str">
        <f aca="false">IF($A472="","",IF(AND(CK472="pass",AO472&lt;&gt;"Y",C472&lt;&gt;"",OR(AU472&lt;&gt;"Y",AV472="Y")),"Y","N"))</f>
        <v/>
      </c>
      <c r="AS472" s="0" t="str">
        <f aca="false">IF($A472="","",_xlfn.TEXTJOIN("; ",TRUE(),IF(CK472&lt;&gt;"pass","gated out",""),IF(AO472="Y","on hold: "&amp;AP472,""),IF(C472="","no contact named on an opened page",""),IF(AND(AU472="Y",AV472&lt;&gt;"Y"),"founder review pending (Founder review tab)","")))</f>
        <v/>
      </c>
      <c r="BC472" s="0" t="str">
        <f aca="false">IF($A472="","",IFERROR(INDEX(Enrichment!$A$2:$GZ$2000,MATCH($A472,INDEX(Enrichment!$A$2:$GZ$2000,0,MATCH("row_id",Enrichment!$A$1:$GZ$1,0)),0),MATCH("work_email",Enrichment!$A$1:$GZ$1,0))&amp;"",""))</f>
        <v/>
      </c>
      <c r="BD472" s="0" t="str">
        <f aca="false">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P472" s="0" t="str">
        <f aca="false">IF($A472="","",IFERROR(INDEX(Enrichment!$A$2:$GZ$2000,MATCH($A472,INDEX(Enrichment!$A$2:$GZ$2000,0,MATCH("row_id",Enrichment!$A$1:$GZ$1,0)),0),MATCH("backup_work_email",Enrichment!$A$1:$GZ$1,0))&amp;"",""))</f>
        <v/>
      </c>
      <c r="BQ472" s="0" t="str">
        <f aca="false">IF($A472="","",IF(BP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DU472" s="0" t="str">
        <f aca="false">IF($A472="","",IF(R472="Y",10,0))</f>
        <v/>
      </c>
      <c r="EV472" s="0" t="str">
        <f aca="false">IF($A472="","",IF(ISNUMBER(MATCH(U472,{"queued","contacted","replied","call_booked","call_done","yes_in_principle","materials_sent"},0)),"Y","N"))</f>
        <v/>
      </c>
      <c r="EW472" s="0" t="str">
        <f aca="false">IF($A472="","",IF(OR(T472="Y",U472="do_not_contact",AQ472&amp;""&lt;&gt;""),"Y","N"))</f>
        <v/>
      </c>
      <c r="EX472" s="0" t="str">
        <f aca="false">IF($A472="","",IF(AN472&amp;""&lt;&gt;"",AN472&amp;"",$A472))</f>
        <v/>
      </c>
      <c r="EY472" s="0" t="str">
        <f aca="false">IF($A472="","",IF(COUNTIFS($EX$2:$EX$1000,EX472,$EV$2:$EV$1000,"Y")+COUNTIFS($EX$2:$EX$1000,EX472,$EW$2:$EW$1000,"Y")&gt;0,"Y","N"))</f>
        <v/>
      </c>
      <c r="EZ472" s="0" t="str">
        <f aca="false">IF($A472="","",IF(AND(U472="new",T472="N",EW472="N",AR472="Y",EY472="N"),"Y","N"))</f>
        <v/>
      </c>
      <c r="FA472" s="0" t="str">
        <f aca="false">IF($A472="","",IF(EZ472&lt;&gt;"Y","N",IF(COUNTIFS($EX$2:$EX$1000,EX472,$EZ$2:$EZ$1000,"Y",$J$2:$J$1000,"&gt;"&amp;J472)+COUNTIFS($EX$2:$EX$1000,EX472,$EZ$2:$EZ$1000,"Y",$J$2:$J$1000,J472,$FG$2:$FG$1000,"&lt;"&amp;FG472)=0,"Y","N")))</f>
        <v/>
      </c>
      <c r="FB472" s="0" t="str">
        <f aca="false">IF($A472="","",IF(AND(EZ472="Y",FA472="Y",Y472&amp;""&lt;&gt;""),IF(Y472&lt;=10,"Y","N"),"N"))</f>
        <v/>
      </c>
      <c r="FC472" s="0" t="str">
        <f aca="false">IF(FB472="Y",Y472,"")</f>
        <v/>
      </c>
      <c r="FD472" s="0" t="str">
        <f aca="false">IF($A472="","",IF(AND(CK472="pass",AU472="Y",AV472&lt;&gt;"Y",U472="new",EW472="N"),"Y","N"))</f>
        <v/>
      </c>
      <c r="FE472" s="0" t="str">
        <f aca="false">IF(FD472&lt;&gt;"Y","",IF(COUNTIFS($FD$2:$FD$1000,"Y",$J$2:$J$1000,"&gt;"&amp;J472)+COUNTIFS($FD$2:$FD$1000,"Y",$J$2:$J$1000,J472,$FG$2:$FG$1000,"&lt;"&amp;FG472)+1&lt;=30,COUNTIFS($FD$2:$FD$1000,"Y",$J$2:$J$1000,"&gt;"&amp;J472)+COUNTIFS($FD$2:$FD$1000,"Y",$J$2:$J$1000,J472,$FG$2:$FG$1000,"&lt;"&amp;FG472)+1,""))</f>
        <v/>
      </c>
      <c r="FF472" s="0" t="str">
        <f aca="false">IF(AND(_xlfn.ISFORMULA(C472),_xlfn.ISFORMULA(J472)),"Y","N")</f>
        <v>Y</v>
      </c>
      <c r="FG472" s="0" t="n">
        <f aca="false">ROW()-1</f>
        <v>471</v>
      </c>
    </row>
    <row r="473" customFormat="false" ht="15" hidden="false" customHeight="false" outlineLevel="0" collapsed="false">
      <c r="C473" s="0" t="str">
        <f aca="false">IF($A473="","",IF(AT473="Y",BL473&amp;"",AY473&amp;""))</f>
        <v/>
      </c>
      <c r="D473" s="0" t="str">
        <f aca="false">IF($A473="","",IF(AT473="Y",BM473&amp;"",AZ473&amp;""))</f>
        <v/>
      </c>
      <c r="E473" s="0" t="str">
        <f aca="false">IF($A473="","",IF(AT473="Y",BN473&amp;"",BA473&amp;""))</f>
        <v/>
      </c>
      <c r="F473" s="0" t="str">
        <f aca="false">IF($A473="","",IF(AT473="Y",BO473&amp;"",BB473&amp;""))</f>
        <v/>
      </c>
      <c r="G473" s="0" t="str">
        <f aca="false">IF($A473="","",IF(AT473="Y",BP473&amp;"",BC473&amp;""))</f>
        <v/>
      </c>
      <c r="H473" s="0" t="str">
        <f aca="false">IF($A473="","",IF(AT473="Y",BQ473&amp;"",BD473&amp;""))</f>
        <v/>
      </c>
      <c r="I473" s="0" t="str">
        <f aca="false">IF($A473="","",IF(R473="Y","warm-intro",IF(H473="verified","email",IF(C473&lt;&gt;"","linkedin",CA473&amp;""))))</f>
        <v/>
      </c>
      <c r="J473" s="0" t="str">
        <f aca="false">IF($A473="","",IF(CK473="pass",ROUND(N(DO473)+N(DP473)+N(DQ473)+N(DR473)+N(DS473)+N(DT473)+N(DU473)+N(DV473),0),0))</f>
        <v/>
      </c>
      <c r="K473" s="0" t="str">
        <f aca="false">IF($A473="","",IF(CK473&lt;&gt;"pass",BY473&amp;"",BY473&amp;", "&amp;IF(AT473="Y",BX473&amp;"",BK473&amp;"")&amp;BZ473&amp;IF(R473="Y","; known to the founder (+10)","")&amp;"."))</f>
        <v/>
      </c>
      <c r="R473" s="5"/>
      <c r="T473" s="5"/>
      <c r="U473" s="5"/>
      <c r="Y473" s="0" t="str">
        <f aca="false">IF(FA473&lt;&gt;"Y","",COUNTIFS($FA$2:$FA$1000,"Y",$J$2:$J$1000,"&gt;"&amp;J473)+COUNTIFS($FA$2:$FA$1000,"Y",$J$2:$J$1000,J473,$FG$2:$FG$1000,"&lt;"&amp;FG473)+1)</f>
        <v/>
      </c>
      <c r="AB473" s="0" t="str">
        <f aca="false">IF($A473="","",IF(AT473="Y",BW473&amp;"",BJ473&amp;""))</f>
        <v/>
      </c>
      <c r="AC473" s="0" t="str">
        <f aca="false">IF($A473="","",IF(AT473="Y",BR473&amp;"",BE473&amp;""))</f>
        <v/>
      </c>
      <c r="AD473" s="0" t="str">
        <f aca="false">IF($A473="","",IF(AT473="Y",BS473&amp;"",BF473&amp;""))</f>
        <v/>
      </c>
      <c r="AE473" s="0" t="str">
        <f aca="false">IF($A473="","",IF(AT473="Y",BT473&amp;"",BG473&amp;""))</f>
        <v/>
      </c>
      <c r="AF473" s="0" t="str">
        <f aca="false">IF($A473="","",IF(AT473="Y",BU473&amp;"",BH473&amp;""))</f>
        <v/>
      </c>
      <c r="AG473" s="0" t="str">
        <f aca="false">IF($A473="","",IF(AT473="Y",BV473&amp;"",BI473&amp;""))</f>
        <v/>
      </c>
      <c r="AO473" s="5"/>
      <c r="AR473" s="0" t="str">
        <f aca="false">IF($A473="","",IF(AND(CK473="pass",AO473&lt;&gt;"Y",C473&lt;&gt;"",OR(AU473&lt;&gt;"Y",AV473="Y")),"Y","N"))</f>
        <v/>
      </c>
      <c r="AS473" s="0" t="str">
        <f aca="false">IF($A473="","",_xlfn.TEXTJOIN("; ",TRUE(),IF(CK473&lt;&gt;"pass","gated out",""),IF(AO473="Y","on hold: "&amp;AP473,""),IF(C473="","no contact named on an opened page",""),IF(AND(AU473="Y",AV473&lt;&gt;"Y"),"founder review pending (Founder review tab)","")))</f>
        <v/>
      </c>
      <c r="BC473" s="0" t="str">
        <f aca="false">IF($A473="","",IFERROR(INDEX(Enrichment!$A$2:$GZ$2000,MATCH($A473,INDEX(Enrichment!$A$2:$GZ$2000,0,MATCH("row_id",Enrichment!$A$1:$GZ$1,0)),0),MATCH("work_email",Enrichment!$A$1:$GZ$1,0))&amp;"",""))</f>
        <v/>
      </c>
      <c r="BD473" s="0" t="str">
        <f aca="false">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P473" s="0" t="str">
        <f aca="false">IF($A473="","",IFERROR(INDEX(Enrichment!$A$2:$GZ$2000,MATCH($A473,INDEX(Enrichment!$A$2:$GZ$2000,0,MATCH("row_id",Enrichment!$A$1:$GZ$1,0)),0),MATCH("backup_work_email",Enrichment!$A$1:$GZ$1,0))&amp;"",""))</f>
        <v/>
      </c>
      <c r="BQ473" s="0" t="str">
        <f aca="false">IF($A473="","",IF(BP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DU473" s="0" t="str">
        <f aca="false">IF($A473="","",IF(R473="Y",10,0))</f>
        <v/>
      </c>
      <c r="EV473" s="0" t="str">
        <f aca="false">IF($A473="","",IF(ISNUMBER(MATCH(U473,{"queued","contacted","replied","call_booked","call_done","yes_in_principle","materials_sent"},0)),"Y","N"))</f>
        <v/>
      </c>
      <c r="EW473" s="0" t="str">
        <f aca="false">IF($A473="","",IF(OR(T473="Y",U473="do_not_contact",AQ473&amp;""&lt;&gt;""),"Y","N"))</f>
        <v/>
      </c>
      <c r="EX473" s="0" t="str">
        <f aca="false">IF($A473="","",IF(AN473&amp;""&lt;&gt;"",AN473&amp;"",$A473))</f>
        <v/>
      </c>
      <c r="EY473" s="0" t="str">
        <f aca="false">IF($A473="","",IF(COUNTIFS($EX$2:$EX$1000,EX473,$EV$2:$EV$1000,"Y")+COUNTIFS($EX$2:$EX$1000,EX473,$EW$2:$EW$1000,"Y")&gt;0,"Y","N"))</f>
        <v/>
      </c>
      <c r="EZ473" s="0" t="str">
        <f aca="false">IF($A473="","",IF(AND(U473="new",T473="N",EW473="N",AR473="Y",EY473="N"),"Y","N"))</f>
        <v/>
      </c>
      <c r="FA473" s="0" t="str">
        <f aca="false">IF($A473="","",IF(EZ473&lt;&gt;"Y","N",IF(COUNTIFS($EX$2:$EX$1000,EX473,$EZ$2:$EZ$1000,"Y",$J$2:$J$1000,"&gt;"&amp;J473)+COUNTIFS($EX$2:$EX$1000,EX473,$EZ$2:$EZ$1000,"Y",$J$2:$J$1000,J473,$FG$2:$FG$1000,"&lt;"&amp;FG473)=0,"Y","N")))</f>
        <v/>
      </c>
      <c r="FB473" s="0" t="str">
        <f aca="false">IF($A473="","",IF(AND(EZ473="Y",FA473="Y",Y473&amp;""&lt;&gt;""),IF(Y473&lt;=10,"Y","N"),"N"))</f>
        <v/>
      </c>
      <c r="FC473" s="0" t="str">
        <f aca="false">IF(FB473="Y",Y473,"")</f>
        <v/>
      </c>
      <c r="FD473" s="0" t="str">
        <f aca="false">IF($A473="","",IF(AND(CK473="pass",AU473="Y",AV473&lt;&gt;"Y",U473="new",EW473="N"),"Y","N"))</f>
        <v/>
      </c>
      <c r="FE473" s="0" t="str">
        <f aca="false">IF(FD473&lt;&gt;"Y","",IF(COUNTIFS($FD$2:$FD$1000,"Y",$J$2:$J$1000,"&gt;"&amp;J473)+COUNTIFS($FD$2:$FD$1000,"Y",$J$2:$J$1000,J473,$FG$2:$FG$1000,"&lt;"&amp;FG473)+1&lt;=30,COUNTIFS($FD$2:$FD$1000,"Y",$J$2:$J$1000,"&gt;"&amp;J473)+COUNTIFS($FD$2:$FD$1000,"Y",$J$2:$J$1000,J473,$FG$2:$FG$1000,"&lt;"&amp;FG473)+1,""))</f>
        <v/>
      </c>
      <c r="FF473" s="0" t="str">
        <f aca="false">IF(AND(_xlfn.ISFORMULA(C473),_xlfn.ISFORMULA(J473)),"Y","N")</f>
        <v>Y</v>
      </c>
      <c r="FG473" s="0" t="n">
        <f aca="false">ROW()-1</f>
        <v>472</v>
      </c>
    </row>
    <row r="474" customFormat="false" ht="15" hidden="false" customHeight="false" outlineLevel="0" collapsed="false">
      <c r="C474" s="0" t="str">
        <f aca="false">IF($A474="","",IF(AT474="Y",BL474&amp;"",AY474&amp;""))</f>
        <v/>
      </c>
      <c r="D474" s="0" t="str">
        <f aca="false">IF($A474="","",IF(AT474="Y",BM474&amp;"",AZ474&amp;""))</f>
        <v/>
      </c>
      <c r="E474" s="0" t="str">
        <f aca="false">IF($A474="","",IF(AT474="Y",BN474&amp;"",BA474&amp;""))</f>
        <v/>
      </c>
      <c r="F474" s="0" t="str">
        <f aca="false">IF($A474="","",IF(AT474="Y",BO474&amp;"",BB474&amp;""))</f>
        <v/>
      </c>
      <c r="G474" s="0" t="str">
        <f aca="false">IF($A474="","",IF(AT474="Y",BP474&amp;"",BC474&amp;""))</f>
        <v/>
      </c>
      <c r="H474" s="0" t="str">
        <f aca="false">IF($A474="","",IF(AT474="Y",BQ474&amp;"",BD474&amp;""))</f>
        <v/>
      </c>
      <c r="I474" s="0" t="str">
        <f aca="false">IF($A474="","",IF(R474="Y","warm-intro",IF(H474="verified","email",IF(C474&lt;&gt;"","linkedin",CA474&amp;""))))</f>
        <v/>
      </c>
      <c r="J474" s="0" t="str">
        <f aca="false">IF($A474="","",IF(CK474="pass",ROUND(N(DO474)+N(DP474)+N(DQ474)+N(DR474)+N(DS474)+N(DT474)+N(DU474)+N(DV474),0),0))</f>
        <v/>
      </c>
      <c r="K474" s="0" t="str">
        <f aca="false">IF($A474="","",IF(CK474&lt;&gt;"pass",BY474&amp;"",BY474&amp;", "&amp;IF(AT474="Y",BX474&amp;"",BK474&amp;"")&amp;BZ474&amp;IF(R474="Y","; known to the founder (+10)","")&amp;"."))</f>
        <v/>
      </c>
      <c r="R474" s="5"/>
      <c r="T474" s="5"/>
      <c r="U474" s="5"/>
      <c r="Y474" s="0" t="str">
        <f aca="false">IF(FA474&lt;&gt;"Y","",COUNTIFS($FA$2:$FA$1000,"Y",$J$2:$J$1000,"&gt;"&amp;J474)+COUNTIFS($FA$2:$FA$1000,"Y",$J$2:$J$1000,J474,$FG$2:$FG$1000,"&lt;"&amp;FG474)+1)</f>
        <v/>
      </c>
      <c r="AB474" s="0" t="str">
        <f aca="false">IF($A474="","",IF(AT474="Y",BW474&amp;"",BJ474&amp;""))</f>
        <v/>
      </c>
      <c r="AC474" s="0" t="str">
        <f aca="false">IF($A474="","",IF(AT474="Y",BR474&amp;"",BE474&amp;""))</f>
        <v/>
      </c>
      <c r="AD474" s="0" t="str">
        <f aca="false">IF($A474="","",IF(AT474="Y",BS474&amp;"",BF474&amp;""))</f>
        <v/>
      </c>
      <c r="AE474" s="0" t="str">
        <f aca="false">IF($A474="","",IF(AT474="Y",BT474&amp;"",BG474&amp;""))</f>
        <v/>
      </c>
      <c r="AF474" s="0" t="str">
        <f aca="false">IF($A474="","",IF(AT474="Y",BU474&amp;"",BH474&amp;""))</f>
        <v/>
      </c>
      <c r="AG474" s="0" t="str">
        <f aca="false">IF($A474="","",IF(AT474="Y",BV474&amp;"",BI474&amp;""))</f>
        <v/>
      </c>
      <c r="AO474" s="5"/>
      <c r="AR474" s="0" t="str">
        <f aca="false">IF($A474="","",IF(AND(CK474="pass",AO474&lt;&gt;"Y",C474&lt;&gt;"",OR(AU474&lt;&gt;"Y",AV474="Y")),"Y","N"))</f>
        <v/>
      </c>
      <c r="AS474" s="0" t="str">
        <f aca="false">IF($A474="","",_xlfn.TEXTJOIN("; ",TRUE(),IF(CK474&lt;&gt;"pass","gated out",""),IF(AO474="Y","on hold: "&amp;AP474,""),IF(C474="","no contact named on an opened page",""),IF(AND(AU474="Y",AV474&lt;&gt;"Y"),"founder review pending (Founder review tab)","")))</f>
        <v/>
      </c>
      <c r="BC474" s="0" t="str">
        <f aca="false">IF($A474="","",IFERROR(INDEX(Enrichment!$A$2:$GZ$2000,MATCH($A474,INDEX(Enrichment!$A$2:$GZ$2000,0,MATCH("row_id",Enrichment!$A$1:$GZ$1,0)),0),MATCH("work_email",Enrichment!$A$1:$GZ$1,0))&amp;"",""))</f>
        <v/>
      </c>
      <c r="BD474" s="0" t="str">
        <f aca="false">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P474" s="0" t="str">
        <f aca="false">IF($A474="","",IFERROR(INDEX(Enrichment!$A$2:$GZ$2000,MATCH($A474,INDEX(Enrichment!$A$2:$GZ$2000,0,MATCH("row_id",Enrichment!$A$1:$GZ$1,0)),0),MATCH("backup_work_email",Enrichment!$A$1:$GZ$1,0))&amp;"",""))</f>
        <v/>
      </c>
      <c r="BQ474" s="0" t="str">
        <f aca="false">IF($A474="","",IF(BP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DU474" s="0" t="str">
        <f aca="false">IF($A474="","",IF(R474="Y",10,0))</f>
        <v/>
      </c>
      <c r="EV474" s="0" t="str">
        <f aca="false">IF($A474="","",IF(ISNUMBER(MATCH(U474,{"queued","contacted","replied","call_booked","call_done","yes_in_principle","materials_sent"},0)),"Y","N"))</f>
        <v/>
      </c>
      <c r="EW474" s="0" t="str">
        <f aca="false">IF($A474="","",IF(OR(T474="Y",U474="do_not_contact",AQ474&amp;""&lt;&gt;""),"Y","N"))</f>
        <v/>
      </c>
      <c r="EX474" s="0" t="str">
        <f aca="false">IF($A474="","",IF(AN474&amp;""&lt;&gt;"",AN474&amp;"",$A474))</f>
        <v/>
      </c>
      <c r="EY474" s="0" t="str">
        <f aca="false">IF($A474="","",IF(COUNTIFS($EX$2:$EX$1000,EX474,$EV$2:$EV$1000,"Y")+COUNTIFS($EX$2:$EX$1000,EX474,$EW$2:$EW$1000,"Y")&gt;0,"Y","N"))</f>
        <v/>
      </c>
      <c r="EZ474" s="0" t="str">
        <f aca="false">IF($A474="","",IF(AND(U474="new",T474="N",EW474="N",AR474="Y",EY474="N"),"Y","N"))</f>
        <v/>
      </c>
      <c r="FA474" s="0" t="str">
        <f aca="false">IF($A474="","",IF(EZ474&lt;&gt;"Y","N",IF(COUNTIFS($EX$2:$EX$1000,EX474,$EZ$2:$EZ$1000,"Y",$J$2:$J$1000,"&gt;"&amp;J474)+COUNTIFS($EX$2:$EX$1000,EX474,$EZ$2:$EZ$1000,"Y",$J$2:$J$1000,J474,$FG$2:$FG$1000,"&lt;"&amp;FG474)=0,"Y","N")))</f>
        <v/>
      </c>
      <c r="FB474" s="0" t="str">
        <f aca="false">IF($A474="","",IF(AND(EZ474="Y",FA474="Y",Y474&amp;""&lt;&gt;""),IF(Y474&lt;=10,"Y","N"),"N"))</f>
        <v/>
      </c>
      <c r="FC474" s="0" t="str">
        <f aca="false">IF(FB474="Y",Y474,"")</f>
        <v/>
      </c>
      <c r="FD474" s="0" t="str">
        <f aca="false">IF($A474="","",IF(AND(CK474="pass",AU474="Y",AV474&lt;&gt;"Y",U474="new",EW474="N"),"Y","N"))</f>
        <v/>
      </c>
      <c r="FE474" s="0" t="str">
        <f aca="false">IF(FD474&lt;&gt;"Y","",IF(COUNTIFS($FD$2:$FD$1000,"Y",$J$2:$J$1000,"&gt;"&amp;J474)+COUNTIFS($FD$2:$FD$1000,"Y",$J$2:$J$1000,J474,$FG$2:$FG$1000,"&lt;"&amp;FG474)+1&lt;=30,COUNTIFS($FD$2:$FD$1000,"Y",$J$2:$J$1000,"&gt;"&amp;J474)+COUNTIFS($FD$2:$FD$1000,"Y",$J$2:$J$1000,J474,$FG$2:$FG$1000,"&lt;"&amp;FG474)+1,""))</f>
        <v/>
      </c>
      <c r="FF474" s="0" t="str">
        <f aca="false">IF(AND(_xlfn.ISFORMULA(C474),_xlfn.ISFORMULA(J474)),"Y","N")</f>
        <v>Y</v>
      </c>
      <c r="FG474" s="0" t="n">
        <f aca="false">ROW()-1</f>
        <v>473</v>
      </c>
    </row>
    <row r="475" customFormat="false" ht="15" hidden="false" customHeight="false" outlineLevel="0" collapsed="false">
      <c r="C475" s="0" t="str">
        <f aca="false">IF($A475="","",IF(AT475="Y",BL475&amp;"",AY475&amp;""))</f>
        <v/>
      </c>
      <c r="D475" s="0" t="str">
        <f aca="false">IF($A475="","",IF(AT475="Y",BM475&amp;"",AZ475&amp;""))</f>
        <v/>
      </c>
      <c r="E475" s="0" t="str">
        <f aca="false">IF($A475="","",IF(AT475="Y",BN475&amp;"",BA475&amp;""))</f>
        <v/>
      </c>
      <c r="F475" s="0" t="str">
        <f aca="false">IF($A475="","",IF(AT475="Y",BO475&amp;"",BB475&amp;""))</f>
        <v/>
      </c>
      <c r="G475" s="0" t="str">
        <f aca="false">IF($A475="","",IF(AT475="Y",BP475&amp;"",BC475&amp;""))</f>
        <v/>
      </c>
      <c r="H475" s="0" t="str">
        <f aca="false">IF($A475="","",IF(AT475="Y",BQ475&amp;"",BD475&amp;""))</f>
        <v/>
      </c>
      <c r="I475" s="0" t="str">
        <f aca="false">IF($A475="","",IF(R475="Y","warm-intro",IF(H475="verified","email",IF(C475&lt;&gt;"","linkedin",CA475&amp;""))))</f>
        <v/>
      </c>
      <c r="J475" s="0" t="str">
        <f aca="false">IF($A475="","",IF(CK475="pass",ROUND(N(DO475)+N(DP475)+N(DQ475)+N(DR475)+N(DS475)+N(DT475)+N(DU475)+N(DV475),0),0))</f>
        <v/>
      </c>
      <c r="K475" s="0" t="str">
        <f aca="false">IF($A475="","",IF(CK475&lt;&gt;"pass",BY475&amp;"",BY475&amp;", "&amp;IF(AT475="Y",BX475&amp;"",BK475&amp;"")&amp;BZ475&amp;IF(R475="Y","; known to the founder (+10)","")&amp;"."))</f>
        <v/>
      </c>
      <c r="R475" s="5"/>
      <c r="T475" s="5"/>
      <c r="U475" s="5"/>
      <c r="Y475" s="0" t="str">
        <f aca="false">IF(FA475&lt;&gt;"Y","",COUNTIFS($FA$2:$FA$1000,"Y",$J$2:$J$1000,"&gt;"&amp;J475)+COUNTIFS($FA$2:$FA$1000,"Y",$J$2:$J$1000,J475,$FG$2:$FG$1000,"&lt;"&amp;FG475)+1)</f>
        <v/>
      </c>
      <c r="AB475" s="0" t="str">
        <f aca="false">IF($A475="","",IF(AT475="Y",BW475&amp;"",BJ475&amp;""))</f>
        <v/>
      </c>
      <c r="AC475" s="0" t="str">
        <f aca="false">IF($A475="","",IF(AT475="Y",BR475&amp;"",BE475&amp;""))</f>
        <v/>
      </c>
      <c r="AD475" s="0" t="str">
        <f aca="false">IF($A475="","",IF(AT475="Y",BS475&amp;"",BF475&amp;""))</f>
        <v/>
      </c>
      <c r="AE475" s="0" t="str">
        <f aca="false">IF($A475="","",IF(AT475="Y",BT475&amp;"",BG475&amp;""))</f>
        <v/>
      </c>
      <c r="AF475" s="0" t="str">
        <f aca="false">IF($A475="","",IF(AT475="Y",BU475&amp;"",BH475&amp;""))</f>
        <v/>
      </c>
      <c r="AG475" s="0" t="str">
        <f aca="false">IF($A475="","",IF(AT475="Y",BV475&amp;"",BI475&amp;""))</f>
        <v/>
      </c>
      <c r="AO475" s="5"/>
      <c r="AR475" s="0" t="str">
        <f aca="false">IF($A475="","",IF(AND(CK475="pass",AO475&lt;&gt;"Y",C475&lt;&gt;"",OR(AU475&lt;&gt;"Y",AV475="Y")),"Y","N"))</f>
        <v/>
      </c>
      <c r="AS475" s="0" t="str">
        <f aca="false">IF($A475="","",_xlfn.TEXTJOIN("; ",TRUE(),IF(CK475&lt;&gt;"pass","gated out",""),IF(AO475="Y","on hold: "&amp;AP475,""),IF(C475="","no contact named on an opened page",""),IF(AND(AU475="Y",AV475&lt;&gt;"Y"),"founder review pending (Founder review tab)","")))</f>
        <v/>
      </c>
      <c r="BC475" s="0" t="str">
        <f aca="false">IF($A475="","",IFERROR(INDEX(Enrichment!$A$2:$GZ$2000,MATCH($A475,INDEX(Enrichment!$A$2:$GZ$2000,0,MATCH("row_id",Enrichment!$A$1:$GZ$1,0)),0),MATCH("work_email",Enrichment!$A$1:$GZ$1,0))&amp;"",""))</f>
        <v/>
      </c>
      <c r="BD475" s="0" t="str">
        <f aca="false">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P475" s="0" t="str">
        <f aca="false">IF($A475="","",IFERROR(INDEX(Enrichment!$A$2:$GZ$2000,MATCH($A475,INDEX(Enrichment!$A$2:$GZ$2000,0,MATCH("row_id",Enrichment!$A$1:$GZ$1,0)),0),MATCH("backup_work_email",Enrichment!$A$1:$GZ$1,0))&amp;"",""))</f>
        <v/>
      </c>
      <c r="BQ475" s="0" t="str">
        <f aca="false">IF($A475="","",IF(BP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DU475" s="0" t="str">
        <f aca="false">IF($A475="","",IF(R475="Y",10,0))</f>
        <v/>
      </c>
      <c r="EV475" s="0" t="str">
        <f aca="false">IF($A475="","",IF(ISNUMBER(MATCH(U475,{"queued","contacted","replied","call_booked","call_done","yes_in_principle","materials_sent"},0)),"Y","N"))</f>
        <v/>
      </c>
      <c r="EW475" s="0" t="str">
        <f aca="false">IF($A475="","",IF(OR(T475="Y",U475="do_not_contact",AQ475&amp;""&lt;&gt;""),"Y","N"))</f>
        <v/>
      </c>
      <c r="EX475" s="0" t="str">
        <f aca="false">IF($A475="","",IF(AN475&amp;""&lt;&gt;"",AN475&amp;"",$A475))</f>
        <v/>
      </c>
      <c r="EY475" s="0" t="str">
        <f aca="false">IF($A475="","",IF(COUNTIFS($EX$2:$EX$1000,EX475,$EV$2:$EV$1000,"Y")+COUNTIFS($EX$2:$EX$1000,EX475,$EW$2:$EW$1000,"Y")&gt;0,"Y","N"))</f>
        <v/>
      </c>
      <c r="EZ475" s="0" t="str">
        <f aca="false">IF($A475="","",IF(AND(U475="new",T475="N",EW475="N",AR475="Y",EY475="N"),"Y","N"))</f>
        <v/>
      </c>
      <c r="FA475" s="0" t="str">
        <f aca="false">IF($A475="","",IF(EZ475&lt;&gt;"Y","N",IF(COUNTIFS($EX$2:$EX$1000,EX475,$EZ$2:$EZ$1000,"Y",$J$2:$J$1000,"&gt;"&amp;J475)+COUNTIFS($EX$2:$EX$1000,EX475,$EZ$2:$EZ$1000,"Y",$J$2:$J$1000,J475,$FG$2:$FG$1000,"&lt;"&amp;FG475)=0,"Y","N")))</f>
        <v/>
      </c>
      <c r="FB475" s="0" t="str">
        <f aca="false">IF($A475="","",IF(AND(EZ475="Y",FA475="Y",Y475&amp;""&lt;&gt;""),IF(Y475&lt;=10,"Y","N"),"N"))</f>
        <v/>
      </c>
      <c r="FC475" s="0" t="str">
        <f aca="false">IF(FB475="Y",Y475,"")</f>
        <v/>
      </c>
      <c r="FD475" s="0" t="str">
        <f aca="false">IF($A475="","",IF(AND(CK475="pass",AU475="Y",AV475&lt;&gt;"Y",U475="new",EW475="N"),"Y","N"))</f>
        <v/>
      </c>
      <c r="FE475" s="0" t="str">
        <f aca="false">IF(FD475&lt;&gt;"Y","",IF(COUNTIFS($FD$2:$FD$1000,"Y",$J$2:$J$1000,"&gt;"&amp;J475)+COUNTIFS($FD$2:$FD$1000,"Y",$J$2:$J$1000,J475,$FG$2:$FG$1000,"&lt;"&amp;FG475)+1&lt;=30,COUNTIFS($FD$2:$FD$1000,"Y",$J$2:$J$1000,"&gt;"&amp;J475)+COUNTIFS($FD$2:$FD$1000,"Y",$J$2:$J$1000,J475,$FG$2:$FG$1000,"&lt;"&amp;FG475)+1,""))</f>
        <v/>
      </c>
      <c r="FF475" s="0" t="str">
        <f aca="false">IF(AND(_xlfn.ISFORMULA(C475),_xlfn.ISFORMULA(J475)),"Y","N")</f>
        <v>Y</v>
      </c>
      <c r="FG475" s="0" t="n">
        <f aca="false">ROW()-1</f>
        <v>474</v>
      </c>
    </row>
    <row r="476" customFormat="false" ht="15" hidden="false" customHeight="false" outlineLevel="0" collapsed="false">
      <c r="C476" s="0" t="str">
        <f aca="false">IF($A476="","",IF(AT476="Y",BL476&amp;"",AY476&amp;""))</f>
        <v/>
      </c>
      <c r="D476" s="0" t="str">
        <f aca="false">IF($A476="","",IF(AT476="Y",BM476&amp;"",AZ476&amp;""))</f>
        <v/>
      </c>
      <c r="E476" s="0" t="str">
        <f aca="false">IF($A476="","",IF(AT476="Y",BN476&amp;"",BA476&amp;""))</f>
        <v/>
      </c>
      <c r="F476" s="0" t="str">
        <f aca="false">IF($A476="","",IF(AT476="Y",BO476&amp;"",BB476&amp;""))</f>
        <v/>
      </c>
      <c r="G476" s="0" t="str">
        <f aca="false">IF($A476="","",IF(AT476="Y",BP476&amp;"",BC476&amp;""))</f>
        <v/>
      </c>
      <c r="H476" s="0" t="str">
        <f aca="false">IF($A476="","",IF(AT476="Y",BQ476&amp;"",BD476&amp;""))</f>
        <v/>
      </c>
      <c r="I476" s="0" t="str">
        <f aca="false">IF($A476="","",IF(R476="Y","warm-intro",IF(H476="verified","email",IF(C476&lt;&gt;"","linkedin",CA476&amp;""))))</f>
        <v/>
      </c>
      <c r="J476" s="0" t="str">
        <f aca="false">IF($A476="","",IF(CK476="pass",ROUND(N(DO476)+N(DP476)+N(DQ476)+N(DR476)+N(DS476)+N(DT476)+N(DU476)+N(DV476),0),0))</f>
        <v/>
      </c>
      <c r="K476" s="0" t="str">
        <f aca="false">IF($A476="","",IF(CK476&lt;&gt;"pass",BY476&amp;"",BY476&amp;", "&amp;IF(AT476="Y",BX476&amp;"",BK476&amp;"")&amp;BZ476&amp;IF(R476="Y","; known to the founder (+10)","")&amp;"."))</f>
        <v/>
      </c>
      <c r="R476" s="5"/>
      <c r="T476" s="5"/>
      <c r="U476" s="5"/>
      <c r="Y476" s="0" t="str">
        <f aca="false">IF(FA476&lt;&gt;"Y","",COUNTIFS($FA$2:$FA$1000,"Y",$J$2:$J$1000,"&gt;"&amp;J476)+COUNTIFS($FA$2:$FA$1000,"Y",$J$2:$J$1000,J476,$FG$2:$FG$1000,"&lt;"&amp;FG476)+1)</f>
        <v/>
      </c>
      <c r="AB476" s="0" t="str">
        <f aca="false">IF($A476="","",IF(AT476="Y",BW476&amp;"",BJ476&amp;""))</f>
        <v/>
      </c>
      <c r="AC476" s="0" t="str">
        <f aca="false">IF($A476="","",IF(AT476="Y",BR476&amp;"",BE476&amp;""))</f>
        <v/>
      </c>
      <c r="AD476" s="0" t="str">
        <f aca="false">IF($A476="","",IF(AT476="Y",BS476&amp;"",BF476&amp;""))</f>
        <v/>
      </c>
      <c r="AE476" s="0" t="str">
        <f aca="false">IF($A476="","",IF(AT476="Y",BT476&amp;"",BG476&amp;""))</f>
        <v/>
      </c>
      <c r="AF476" s="0" t="str">
        <f aca="false">IF($A476="","",IF(AT476="Y",BU476&amp;"",BH476&amp;""))</f>
        <v/>
      </c>
      <c r="AG476" s="0" t="str">
        <f aca="false">IF($A476="","",IF(AT476="Y",BV476&amp;"",BI476&amp;""))</f>
        <v/>
      </c>
      <c r="AO476" s="5"/>
      <c r="AR476" s="0" t="str">
        <f aca="false">IF($A476="","",IF(AND(CK476="pass",AO476&lt;&gt;"Y",C476&lt;&gt;"",OR(AU476&lt;&gt;"Y",AV476="Y")),"Y","N"))</f>
        <v/>
      </c>
      <c r="AS476" s="0" t="str">
        <f aca="false">IF($A476="","",_xlfn.TEXTJOIN("; ",TRUE(),IF(CK476&lt;&gt;"pass","gated out",""),IF(AO476="Y","on hold: "&amp;AP476,""),IF(C476="","no contact named on an opened page",""),IF(AND(AU476="Y",AV476&lt;&gt;"Y"),"founder review pending (Founder review tab)","")))</f>
        <v/>
      </c>
      <c r="BC476" s="0" t="str">
        <f aca="false">IF($A476="","",IFERROR(INDEX(Enrichment!$A$2:$GZ$2000,MATCH($A476,INDEX(Enrichment!$A$2:$GZ$2000,0,MATCH("row_id",Enrichment!$A$1:$GZ$1,0)),0),MATCH("work_email",Enrichment!$A$1:$GZ$1,0))&amp;"",""))</f>
        <v/>
      </c>
      <c r="BD476" s="0" t="str">
        <f aca="false">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P476" s="0" t="str">
        <f aca="false">IF($A476="","",IFERROR(INDEX(Enrichment!$A$2:$GZ$2000,MATCH($A476,INDEX(Enrichment!$A$2:$GZ$2000,0,MATCH("row_id",Enrichment!$A$1:$GZ$1,0)),0),MATCH("backup_work_email",Enrichment!$A$1:$GZ$1,0))&amp;"",""))</f>
        <v/>
      </c>
      <c r="BQ476" s="0" t="str">
        <f aca="false">IF($A476="","",IF(BP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DU476" s="0" t="str">
        <f aca="false">IF($A476="","",IF(R476="Y",10,0))</f>
        <v/>
      </c>
      <c r="EV476" s="0" t="str">
        <f aca="false">IF($A476="","",IF(ISNUMBER(MATCH(U476,{"queued","contacted","replied","call_booked","call_done","yes_in_principle","materials_sent"},0)),"Y","N"))</f>
        <v/>
      </c>
      <c r="EW476" s="0" t="str">
        <f aca="false">IF($A476="","",IF(OR(T476="Y",U476="do_not_contact",AQ476&amp;""&lt;&gt;""),"Y","N"))</f>
        <v/>
      </c>
      <c r="EX476" s="0" t="str">
        <f aca="false">IF($A476="","",IF(AN476&amp;""&lt;&gt;"",AN476&amp;"",$A476))</f>
        <v/>
      </c>
      <c r="EY476" s="0" t="str">
        <f aca="false">IF($A476="","",IF(COUNTIFS($EX$2:$EX$1000,EX476,$EV$2:$EV$1000,"Y")+COUNTIFS($EX$2:$EX$1000,EX476,$EW$2:$EW$1000,"Y")&gt;0,"Y","N"))</f>
        <v/>
      </c>
      <c r="EZ476" s="0" t="str">
        <f aca="false">IF($A476="","",IF(AND(U476="new",T476="N",EW476="N",AR476="Y",EY476="N"),"Y","N"))</f>
        <v/>
      </c>
      <c r="FA476" s="0" t="str">
        <f aca="false">IF($A476="","",IF(EZ476&lt;&gt;"Y","N",IF(COUNTIFS($EX$2:$EX$1000,EX476,$EZ$2:$EZ$1000,"Y",$J$2:$J$1000,"&gt;"&amp;J476)+COUNTIFS($EX$2:$EX$1000,EX476,$EZ$2:$EZ$1000,"Y",$J$2:$J$1000,J476,$FG$2:$FG$1000,"&lt;"&amp;FG476)=0,"Y","N")))</f>
        <v/>
      </c>
      <c r="FB476" s="0" t="str">
        <f aca="false">IF($A476="","",IF(AND(EZ476="Y",FA476="Y",Y476&amp;""&lt;&gt;""),IF(Y476&lt;=10,"Y","N"),"N"))</f>
        <v/>
      </c>
      <c r="FC476" s="0" t="str">
        <f aca="false">IF(FB476="Y",Y476,"")</f>
        <v/>
      </c>
      <c r="FD476" s="0" t="str">
        <f aca="false">IF($A476="","",IF(AND(CK476="pass",AU476="Y",AV476&lt;&gt;"Y",U476="new",EW476="N"),"Y","N"))</f>
        <v/>
      </c>
      <c r="FE476" s="0" t="str">
        <f aca="false">IF(FD476&lt;&gt;"Y","",IF(COUNTIFS($FD$2:$FD$1000,"Y",$J$2:$J$1000,"&gt;"&amp;J476)+COUNTIFS($FD$2:$FD$1000,"Y",$J$2:$J$1000,J476,$FG$2:$FG$1000,"&lt;"&amp;FG476)+1&lt;=30,COUNTIFS($FD$2:$FD$1000,"Y",$J$2:$J$1000,"&gt;"&amp;J476)+COUNTIFS($FD$2:$FD$1000,"Y",$J$2:$J$1000,J476,$FG$2:$FG$1000,"&lt;"&amp;FG476)+1,""))</f>
        <v/>
      </c>
      <c r="FF476" s="0" t="str">
        <f aca="false">IF(AND(_xlfn.ISFORMULA(C476),_xlfn.ISFORMULA(J476)),"Y","N")</f>
        <v>Y</v>
      </c>
      <c r="FG476" s="0" t="n">
        <f aca="false">ROW()-1</f>
        <v>475</v>
      </c>
    </row>
    <row r="477" customFormat="false" ht="15" hidden="false" customHeight="false" outlineLevel="0" collapsed="false">
      <c r="C477" s="0" t="str">
        <f aca="false">IF($A477="","",IF(AT477="Y",BL477&amp;"",AY477&amp;""))</f>
        <v/>
      </c>
      <c r="D477" s="0" t="str">
        <f aca="false">IF($A477="","",IF(AT477="Y",BM477&amp;"",AZ477&amp;""))</f>
        <v/>
      </c>
      <c r="E477" s="0" t="str">
        <f aca="false">IF($A477="","",IF(AT477="Y",BN477&amp;"",BA477&amp;""))</f>
        <v/>
      </c>
      <c r="F477" s="0" t="str">
        <f aca="false">IF($A477="","",IF(AT477="Y",BO477&amp;"",BB477&amp;""))</f>
        <v/>
      </c>
      <c r="G477" s="0" t="str">
        <f aca="false">IF($A477="","",IF(AT477="Y",BP477&amp;"",BC477&amp;""))</f>
        <v/>
      </c>
      <c r="H477" s="0" t="str">
        <f aca="false">IF($A477="","",IF(AT477="Y",BQ477&amp;"",BD477&amp;""))</f>
        <v/>
      </c>
      <c r="I477" s="0" t="str">
        <f aca="false">IF($A477="","",IF(R477="Y","warm-intro",IF(H477="verified","email",IF(C477&lt;&gt;"","linkedin",CA477&amp;""))))</f>
        <v/>
      </c>
      <c r="J477" s="0" t="str">
        <f aca="false">IF($A477="","",IF(CK477="pass",ROUND(N(DO477)+N(DP477)+N(DQ477)+N(DR477)+N(DS477)+N(DT477)+N(DU477)+N(DV477),0),0))</f>
        <v/>
      </c>
      <c r="K477" s="0" t="str">
        <f aca="false">IF($A477="","",IF(CK477&lt;&gt;"pass",BY477&amp;"",BY477&amp;", "&amp;IF(AT477="Y",BX477&amp;"",BK477&amp;"")&amp;BZ477&amp;IF(R477="Y","; known to the founder (+10)","")&amp;"."))</f>
        <v/>
      </c>
      <c r="R477" s="5"/>
      <c r="T477" s="5"/>
      <c r="U477" s="5"/>
      <c r="Y477" s="0" t="str">
        <f aca="false">IF(FA477&lt;&gt;"Y","",COUNTIFS($FA$2:$FA$1000,"Y",$J$2:$J$1000,"&gt;"&amp;J477)+COUNTIFS($FA$2:$FA$1000,"Y",$J$2:$J$1000,J477,$FG$2:$FG$1000,"&lt;"&amp;FG477)+1)</f>
        <v/>
      </c>
      <c r="AB477" s="0" t="str">
        <f aca="false">IF($A477="","",IF(AT477="Y",BW477&amp;"",BJ477&amp;""))</f>
        <v/>
      </c>
      <c r="AC477" s="0" t="str">
        <f aca="false">IF($A477="","",IF(AT477="Y",BR477&amp;"",BE477&amp;""))</f>
        <v/>
      </c>
      <c r="AD477" s="0" t="str">
        <f aca="false">IF($A477="","",IF(AT477="Y",BS477&amp;"",BF477&amp;""))</f>
        <v/>
      </c>
      <c r="AE477" s="0" t="str">
        <f aca="false">IF($A477="","",IF(AT477="Y",BT477&amp;"",BG477&amp;""))</f>
        <v/>
      </c>
      <c r="AF477" s="0" t="str">
        <f aca="false">IF($A477="","",IF(AT477="Y",BU477&amp;"",BH477&amp;""))</f>
        <v/>
      </c>
      <c r="AG477" s="0" t="str">
        <f aca="false">IF($A477="","",IF(AT477="Y",BV477&amp;"",BI477&amp;""))</f>
        <v/>
      </c>
      <c r="AO477" s="5"/>
      <c r="AR477" s="0" t="str">
        <f aca="false">IF($A477="","",IF(AND(CK477="pass",AO477&lt;&gt;"Y",C477&lt;&gt;"",OR(AU477&lt;&gt;"Y",AV477="Y")),"Y","N"))</f>
        <v/>
      </c>
      <c r="AS477" s="0" t="str">
        <f aca="false">IF($A477="","",_xlfn.TEXTJOIN("; ",TRUE(),IF(CK477&lt;&gt;"pass","gated out",""),IF(AO477="Y","on hold: "&amp;AP477,""),IF(C477="","no contact named on an opened page",""),IF(AND(AU477="Y",AV477&lt;&gt;"Y"),"founder review pending (Founder review tab)","")))</f>
        <v/>
      </c>
      <c r="BC477" s="0" t="str">
        <f aca="false">IF($A477="","",IFERROR(INDEX(Enrichment!$A$2:$GZ$2000,MATCH($A477,INDEX(Enrichment!$A$2:$GZ$2000,0,MATCH("row_id",Enrichment!$A$1:$GZ$1,0)),0),MATCH("work_email",Enrichment!$A$1:$GZ$1,0))&amp;"",""))</f>
        <v/>
      </c>
      <c r="BD477" s="0" t="str">
        <f aca="false">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P477" s="0" t="str">
        <f aca="false">IF($A477="","",IFERROR(INDEX(Enrichment!$A$2:$GZ$2000,MATCH($A477,INDEX(Enrichment!$A$2:$GZ$2000,0,MATCH("row_id",Enrichment!$A$1:$GZ$1,0)),0),MATCH("backup_work_email",Enrichment!$A$1:$GZ$1,0))&amp;"",""))</f>
        <v/>
      </c>
      <c r="BQ477" s="0" t="str">
        <f aca="false">IF($A477="","",IF(BP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DU477" s="0" t="str">
        <f aca="false">IF($A477="","",IF(R477="Y",10,0))</f>
        <v/>
      </c>
      <c r="EV477" s="0" t="str">
        <f aca="false">IF($A477="","",IF(ISNUMBER(MATCH(U477,{"queued","contacted","replied","call_booked","call_done","yes_in_principle","materials_sent"},0)),"Y","N"))</f>
        <v/>
      </c>
      <c r="EW477" s="0" t="str">
        <f aca="false">IF($A477="","",IF(OR(T477="Y",U477="do_not_contact",AQ477&amp;""&lt;&gt;""),"Y","N"))</f>
        <v/>
      </c>
      <c r="EX477" s="0" t="str">
        <f aca="false">IF($A477="","",IF(AN477&amp;""&lt;&gt;"",AN477&amp;"",$A477))</f>
        <v/>
      </c>
      <c r="EY477" s="0" t="str">
        <f aca="false">IF($A477="","",IF(COUNTIFS($EX$2:$EX$1000,EX477,$EV$2:$EV$1000,"Y")+COUNTIFS($EX$2:$EX$1000,EX477,$EW$2:$EW$1000,"Y")&gt;0,"Y","N"))</f>
        <v/>
      </c>
      <c r="EZ477" s="0" t="str">
        <f aca="false">IF($A477="","",IF(AND(U477="new",T477="N",EW477="N",AR477="Y",EY477="N"),"Y","N"))</f>
        <v/>
      </c>
      <c r="FA477" s="0" t="str">
        <f aca="false">IF($A477="","",IF(EZ477&lt;&gt;"Y","N",IF(COUNTIFS($EX$2:$EX$1000,EX477,$EZ$2:$EZ$1000,"Y",$J$2:$J$1000,"&gt;"&amp;J477)+COUNTIFS($EX$2:$EX$1000,EX477,$EZ$2:$EZ$1000,"Y",$J$2:$J$1000,J477,$FG$2:$FG$1000,"&lt;"&amp;FG477)=0,"Y","N")))</f>
        <v/>
      </c>
      <c r="FB477" s="0" t="str">
        <f aca="false">IF($A477="","",IF(AND(EZ477="Y",FA477="Y",Y477&amp;""&lt;&gt;""),IF(Y477&lt;=10,"Y","N"),"N"))</f>
        <v/>
      </c>
      <c r="FC477" s="0" t="str">
        <f aca="false">IF(FB477="Y",Y477,"")</f>
        <v/>
      </c>
      <c r="FD477" s="0" t="str">
        <f aca="false">IF($A477="","",IF(AND(CK477="pass",AU477="Y",AV477&lt;&gt;"Y",U477="new",EW477="N"),"Y","N"))</f>
        <v/>
      </c>
      <c r="FE477" s="0" t="str">
        <f aca="false">IF(FD477&lt;&gt;"Y","",IF(COUNTIFS($FD$2:$FD$1000,"Y",$J$2:$J$1000,"&gt;"&amp;J477)+COUNTIFS($FD$2:$FD$1000,"Y",$J$2:$J$1000,J477,$FG$2:$FG$1000,"&lt;"&amp;FG477)+1&lt;=30,COUNTIFS($FD$2:$FD$1000,"Y",$J$2:$J$1000,"&gt;"&amp;J477)+COUNTIFS($FD$2:$FD$1000,"Y",$J$2:$J$1000,J477,$FG$2:$FG$1000,"&lt;"&amp;FG477)+1,""))</f>
        <v/>
      </c>
      <c r="FF477" s="0" t="str">
        <f aca="false">IF(AND(_xlfn.ISFORMULA(C477),_xlfn.ISFORMULA(J477)),"Y","N")</f>
        <v>Y</v>
      </c>
      <c r="FG477" s="0" t="n">
        <f aca="false">ROW()-1</f>
        <v>476</v>
      </c>
    </row>
    <row r="478" customFormat="false" ht="15" hidden="false" customHeight="false" outlineLevel="0" collapsed="false">
      <c r="C478" s="0" t="str">
        <f aca="false">IF($A478="","",IF(AT478="Y",BL478&amp;"",AY478&amp;""))</f>
        <v/>
      </c>
      <c r="D478" s="0" t="str">
        <f aca="false">IF($A478="","",IF(AT478="Y",BM478&amp;"",AZ478&amp;""))</f>
        <v/>
      </c>
      <c r="E478" s="0" t="str">
        <f aca="false">IF($A478="","",IF(AT478="Y",BN478&amp;"",BA478&amp;""))</f>
        <v/>
      </c>
      <c r="F478" s="0" t="str">
        <f aca="false">IF($A478="","",IF(AT478="Y",BO478&amp;"",BB478&amp;""))</f>
        <v/>
      </c>
      <c r="G478" s="0" t="str">
        <f aca="false">IF($A478="","",IF(AT478="Y",BP478&amp;"",BC478&amp;""))</f>
        <v/>
      </c>
      <c r="H478" s="0" t="str">
        <f aca="false">IF($A478="","",IF(AT478="Y",BQ478&amp;"",BD478&amp;""))</f>
        <v/>
      </c>
      <c r="I478" s="0" t="str">
        <f aca="false">IF($A478="","",IF(R478="Y","warm-intro",IF(H478="verified","email",IF(C478&lt;&gt;"","linkedin",CA478&amp;""))))</f>
        <v/>
      </c>
      <c r="J478" s="0" t="str">
        <f aca="false">IF($A478="","",IF(CK478="pass",ROUND(N(DO478)+N(DP478)+N(DQ478)+N(DR478)+N(DS478)+N(DT478)+N(DU478)+N(DV478),0),0))</f>
        <v/>
      </c>
      <c r="K478" s="0" t="str">
        <f aca="false">IF($A478="","",IF(CK478&lt;&gt;"pass",BY478&amp;"",BY478&amp;", "&amp;IF(AT478="Y",BX478&amp;"",BK478&amp;"")&amp;BZ478&amp;IF(R478="Y","; known to the founder (+10)","")&amp;"."))</f>
        <v/>
      </c>
      <c r="R478" s="5"/>
      <c r="T478" s="5"/>
      <c r="U478" s="5"/>
      <c r="Y478" s="0" t="str">
        <f aca="false">IF(FA478&lt;&gt;"Y","",COUNTIFS($FA$2:$FA$1000,"Y",$J$2:$J$1000,"&gt;"&amp;J478)+COUNTIFS($FA$2:$FA$1000,"Y",$J$2:$J$1000,J478,$FG$2:$FG$1000,"&lt;"&amp;FG478)+1)</f>
        <v/>
      </c>
      <c r="AB478" s="0" t="str">
        <f aca="false">IF($A478="","",IF(AT478="Y",BW478&amp;"",BJ478&amp;""))</f>
        <v/>
      </c>
      <c r="AC478" s="0" t="str">
        <f aca="false">IF($A478="","",IF(AT478="Y",BR478&amp;"",BE478&amp;""))</f>
        <v/>
      </c>
      <c r="AD478" s="0" t="str">
        <f aca="false">IF($A478="","",IF(AT478="Y",BS478&amp;"",BF478&amp;""))</f>
        <v/>
      </c>
      <c r="AE478" s="0" t="str">
        <f aca="false">IF($A478="","",IF(AT478="Y",BT478&amp;"",BG478&amp;""))</f>
        <v/>
      </c>
      <c r="AF478" s="0" t="str">
        <f aca="false">IF($A478="","",IF(AT478="Y",BU478&amp;"",BH478&amp;""))</f>
        <v/>
      </c>
      <c r="AG478" s="0" t="str">
        <f aca="false">IF($A478="","",IF(AT478="Y",BV478&amp;"",BI478&amp;""))</f>
        <v/>
      </c>
      <c r="AO478" s="5"/>
      <c r="AR478" s="0" t="str">
        <f aca="false">IF($A478="","",IF(AND(CK478="pass",AO478&lt;&gt;"Y",C478&lt;&gt;"",OR(AU478&lt;&gt;"Y",AV478="Y")),"Y","N"))</f>
        <v/>
      </c>
      <c r="AS478" s="0" t="str">
        <f aca="false">IF($A478="","",_xlfn.TEXTJOIN("; ",TRUE(),IF(CK478&lt;&gt;"pass","gated out",""),IF(AO478="Y","on hold: "&amp;AP478,""),IF(C478="","no contact named on an opened page",""),IF(AND(AU478="Y",AV478&lt;&gt;"Y"),"founder review pending (Founder review tab)","")))</f>
        <v/>
      </c>
      <c r="BC478" s="0" t="str">
        <f aca="false">IF($A478="","",IFERROR(INDEX(Enrichment!$A$2:$GZ$2000,MATCH($A478,INDEX(Enrichment!$A$2:$GZ$2000,0,MATCH("row_id",Enrichment!$A$1:$GZ$1,0)),0),MATCH("work_email",Enrichment!$A$1:$GZ$1,0))&amp;"",""))</f>
        <v/>
      </c>
      <c r="BD478" s="0" t="str">
        <f aca="false">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P478" s="0" t="str">
        <f aca="false">IF($A478="","",IFERROR(INDEX(Enrichment!$A$2:$GZ$2000,MATCH($A478,INDEX(Enrichment!$A$2:$GZ$2000,0,MATCH("row_id",Enrichment!$A$1:$GZ$1,0)),0),MATCH("backup_work_email",Enrichment!$A$1:$GZ$1,0))&amp;"",""))</f>
        <v/>
      </c>
      <c r="BQ478" s="0" t="str">
        <f aca="false">IF($A478="","",IF(BP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DU478" s="0" t="str">
        <f aca="false">IF($A478="","",IF(R478="Y",10,0))</f>
        <v/>
      </c>
      <c r="EV478" s="0" t="str">
        <f aca="false">IF($A478="","",IF(ISNUMBER(MATCH(U478,{"queued","contacted","replied","call_booked","call_done","yes_in_principle","materials_sent"},0)),"Y","N"))</f>
        <v/>
      </c>
      <c r="EW478" s="0" t="str">
        <f aca="false">IF($A478="","",IF(OR(T478="Y",U478="do_not_contact",AQ478&amp;""&lt;&gt;""),"Y","N"))</f>
        <v/>
      </c>
      <c r="EX478" s="0" t="str">
        <f aca="false">IF($A478="","",IF(AN478&amp;""&lt;&gt;"",AN478&amp;"",$A478))</f>
        <v/>
      </c>
      <c r="EY478" s="0" t="str">
        <f aca="false">IF($A478="","",IF(COUNTIFS($EX$2:$EX$1000,EX478,$EV$2:$EV$1000,"Y")+COUNTIFS($EX$2:$EX$1000,EX478,$EW$2:$EW$1000,"Y")&gt;0,"Y","N"))</f>
        <v/>
      </c>
      <c r="EZ478" s="0" t="str">
        <f aca="false">IF($A478="","",IF(AND(U478="new",T478="N",EW478="N",AR478="Y",EY478="N"),"Y","N"))</f>
        <v/>
      </c>
      <c r="FA478" s="0" t="str">
        <f aca="false">IF($A478="","",IF(EZ478&lt;&gt;"Y","N",IF(COUNTIFS($EX$2:$EX$1000,EX478,$EZ$2:$EZ$1000,"Y",$J$2:$J$1000,"&gt;"&amp;J478)+COUNTIFS($EX$2:$EX$1000,EX478,$EZ$2:$EZ$1000,"Y",$J$2:$J$1000,J478,$FG$2:$FG$1000,"&lt;"&amp;FG478)=0,"Y","N")))</f>
        <v/>
      </c>
      <c r="FB478" s="0" t="str">
        <f aca="false">IF($A478="","",IF(AND(EZ478="Y",FA478="Y",Y478&amp;""&lt;&gt;""),IF(Y478&lt;=10,"Y","N"),"N"))</f>
        <v/>
      </c>
      <c r="FC478" s="0" t="str">
        <f aca="false">IF(FB478="Y",Y478,"")</f>
        <v/>
      </c>
      <c r="FD478" s="0" t="str">
        <f aca="false">IF($A478="","",IF(AND(CK478="pass",AU478="Y",AV478&lt;&gt;"Y",U478="new",EW478="N"),"Y","N"))</f>
        <v/>
      </c>
      <c r="FE478" s="0" t="str">
        <f aca="false">IF(FD478&lt;&gt;"Y","",IF(COUNTIFS($FD$2:$FD$1000,"Y",$J$2:$J$1000,"&gt;"&amp;J478)+COUNTIFS($FD$2:$FD$1000,"Y",$J$2:$J$1000,J478,$FG$2:$FG$1000,"&lt;"&amp;FG478)+1&lt;=30,COUNTIFS($FD$2:$FD$1000,"Y",$J$2:$J$1000,"&gt;"&amp;J478)+COUNTIFS($FD$2:$FD$1000,"Y",$J$2:$J$1000,J478,$FG$2:$FG$1000,"&lt;"&amp;FG478)+1,""))</f>
        <v/>
      </c>
      <c r="FF478" s="0" t="str">
        <f aca="false">IF(AND(_xlfn.ISFORMULA(C478),_xlfn.ISFORMULA(J478)),"Y","N")</f>
        <v>Y</v>
      </c>
      <c r="FG478" s="0" t="n">
        <f aca="false">ROW()-1</f>
        <v>477</v>
      </c>
    </row>
    <row r="479" customFormat="false" ht="15" hidden="false" customHeight="false" outlineLevel="0" collapsed="false">
      <c r="C479" s="0" t="str">
        <f aca="false">IF($A479="","",IF(AT479="Y",BL479&amp;"",AY479&amp;""))</f>
        <v/>
      </c>
      <c r="D479" s="0" t="str">
        <f aca="false">IF($A479="","",IF(AT479="Y",BM479&amp;"",AZ479&amp;""))</f>
        <v/>
      </c>
      <c r="E479" s="0" t="str">
        <f aca="false">IF($A479="","",IF(AT479="Y",BN479&amp;"",BA479&amp;""))</f>
        <v/>
      </c>
      <c r="F479" s="0" t="str">
        <f aca="false">IF($A479="","",IF(AT479="Y",BO479&amp;"",BB479&amp;""))</f>
        <v/>
      </c>
      <c r="G479" s="0" t="str">
        <f aca="false">IF($A479="","",IF(AT479="Y",BP479&amp;"",BC479&amp;""))</f>
        <v/>
      </c>
      <c r="H479" s="0" t="str">
        <f aca="false">IF($A479="","",IF(AT479="Y",BQ479&amp;"",BD479&amp;""))</f>
        <v/>
      </c>
      <c r="I479" s="0" t="str">
        <f aca="false">IF($A479="","",IF(R479="Y","warm-intro",IF(H479="verified","email",IF(C479&lt;&gt;"","linkedin",CA479&amp;""))))</f>
        <v/>
      </c>
      <c r="J479" s="0" t="str">
        <f aca="false">IF($A479="","",IF(CK479="pass",ROUND(N(DO479)+N(DP479)+N(DQ479)+N(DR479)+N(DS479)+N(DT479)+N(DU479)+N(DV479),0),0))</f>
        <v/>
      </c>
      <c r="K479" s="0" t="str">
        <f aca="false">IF($A479="","",IF(CK479&lt;&gt;"pass",BY479&amp;"",BY479&amp;", "&amp;IF(AT479="Y",BX479&amp;"",BK479&amp;"")&amp;BZ479&amp;IF(R479="Y","; known to the founder (+10)","")&amp;"."))</f>
        <v/>
      </c>
      <c r="R479" s="5"/>
      <c r="T479" s="5"/>
      <c r="U479" s="5"/>
      <c r="Y479" s="0" t="str">
        <f aca="false">IF(FA479&lt;&gt;"Y","",COUNTIFS($FA$2:$FA$1000,"Y",$J$2:$J$1000,"&gt;"&amp;J479)+COUNTIFS($FA$2:$FA$1000,"Y",$J$2:$J$1000,J479,$FG$2:$FG$1000,"&lt;"&amp;FG479)+1)</f>
        <v/>
      </c>
      <c r="AB479" s="0" t="str">
        <f aca="false">IF($A479="","",IF(AT479="Y",BW479&amp;"",BJ479&amp;""))</f>
        <v/>
      </c>
      <c r="AC479" s="0" t="str">
        <f aca="false">IF($A479="","",IF(AT479="Y",BR479&amp;"",BE479&amp;""))</f>
        <v/>
      </c>
      <c r="AD479" s="0" t="str">
        <f aca="false">IF($A479="","",IF(AT479="Y",BS479&amp;"",BF479&amp;""))</f>
        <v/>
      </c>
      <c r="AE479" s="0" t="str">
        <f aca="false">IF($A479="","",IF(AT479="Y",BT479&amp;"",BG479&amp;""))</f>
        <v/>
      </c>
      <c r="AF479" s="0" t="str">
        <f aca="false">IF($A479="","",IF(AT479="Y",BU479&amp;"",BH479&amp;""))</f>
        <v/>
      </c>
      <c r="AG479" s="0" t="str">
        <f aca="false">IF($A479="","",IF(AT479="Y",BV479&amp;"",BI479&amp;""))</f>
        <v/>
      </c>
      <c r="AO479" s="5"/>
      <c r="AR479" s="0" t="str">
        <f aca="false">IF($A479="","",IF(AND(CK479="pass",AO479&lt;&gt;"Y",C479&lt;&gt;"",OR(AU479&lt;&gt;"Y",AV479="Y")),"Y","N"))</f>
        <v/>
      </c>
      <c r="AS479" s="0" t="str">
        <f aca="false">IF($A479="","",_xlfn.TEXTJOIN("; ",TRUE(),IF(CK479&lt;&gt;"pass","gated out",""),IF(AO479="Y","on hold: "&amp;AP479,""),IF(C479="","no contact named on an opened page",""),IF(AND(AU479="Y",AV479&lt;&gt;"Y"),"founder review pending (Founder review tab)","")))</f>
        <v/>
      </c>
      <c r="BC479" s="0" t="str">
        <f aca="false">IF($A479="","",IFERROR(INDEX(Enrichment!$A$2:$GZ$2000,MATCH($A479,INDEX(Enrichment!$A$2:$GZ$2000,0,MATCH("row_id",Enrichment!$A$1:$GZ$1,0)),0),MATCH("work_email",Enrichment!$A$1:$GZ$1,0))&amp;"",""))</f>
        <v/>
      </c>
      <c r="BD479" s="0" t="str">
        <f aca="false">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P479" s="0" t="str">
        <f aca="false">IF($A479="","",IFERROR(INDEX(Enrichment!$A$2:$GZ$2000,MATCH($A479,INDEX(Enrichment!$A$2:$GZ$2000,0,MATCH("row_id",Enrichment!$A$1:$GZ$1,0)),0),MATCH("backup_work_email",Enrichment!$A$1:$GZ$1,0))&amp;"",""))</f>
        <v/>
      </c>
      <c r="BQ479" s="0" t="str">
        <f aca="false">IF($A479="","",IF(BP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DU479" s="0" t="str">
        <f aca="false">IF($A479="","",IF(R479="Y",10,0))</f>
        <v/>
      </c>
      <c r="EV479" s="0" t="str">
        <f aca="false">IF($A479="","",IF(ISNUMBER(MATCH(U479,{"queued","contacted","replied","call_booked","call_done","yes_in_principle","materials_sent"},0)),"Y","N"))</f>
        <v/>
      </c>
      <c r="EW479" s="0" t="str">
        <f aca="false">IF($A479="","",IF(OR(T479="Y",U479="do_not_contact",AQ479&amp;""&lt;&gt;""),"Y","N"))</f>
        <v/>
      </c>
      <c r="EX479" s="0" t="str">
        <f aca="false">IF($A479="","",IF(AN479&amp;""&lt;&gt;"",AN479&amp;"",$A479))</f>
        <v/>
      </c>
      <c r="EY479" s="0" t="str">
        <f aca="false">IF($A479="","",IF(COUNTIFS($EX$2:$EX$1000,EX479,$EV$2:$EV$1000,"Y")+COUNTIFS($EX$2:$EX$1000,EX479,$EW$2:$EW$1000,"Y")&gt;0,"Y","N"))</f>
        <v/>
      </c>
      <c r="EZ479" s="0" t="str">
        <f aca="false">IF($A479="","",IF(AND(U479="new",T479="N",EW479="N",AR479="Y",EY479="N"),"Y","N"))</f>
        <v/>
      </c>
      <c r="FA479" s="0" t="str">
        <f aca="false">IF($A479="","",IF(EZ479&lt;&gt;"Y","N",IF(COUNTIFS($EX$2:$EX$1000,EX479,$EZ$2:$EZ$1000,"Y",$J$2:$J$1000,"&gt;"&amp;J479)+COUNTIFS($EX$2:$EX$1000,EX479,$EZ$2:$EZ$1000,"Y",$J$2:$J$1000,J479,$FG$2:$FG$1000,"&lt;"&amp;FG479)=0,"Y","N")))</f>
        <v/>
      </c>
      <c r="FB479" s="0" t="str">
        <f aca="false">IF($A479="","",IF(AND(EZ479="Y",FA479="Y",Y479&amp;""&lt;&gt;""),IF(Y479&lt;=10,"Y","N"),"N"))</f>
        <v/>
      </c>
      <c r="FC479" s="0" t="str">
        <f aca="false">IF(FB479="Y",Y479,"")</f>
        <v/>
      </c>
      <c r="FD479" s="0" t="str">
        <f aca="false">IF($A479="","",IF(AND(CK479="pass",AU479="Y",AV479&lt;&gt;"Y",U479="new",EW479="N"),"Y","N"))</f>
        <v/>
      </c>
      <c r="FE479" s="0" t="str">
        <f aca="false">IF(FD479&lt;&gt;"Y","",IF(COUNTIFS($FD$2:$FD$1000,"Y",$J$2:$J$1000,"&gt;"&amp;J479)+COUNTIFS($FD$2:$FD$1000,"Y",$J$2:$J$1000,J479,$FG$2:$FG$1000,"&lt;"&amp;FG479)+1&lt;=30,COUNTIFS($FD$2:$FD$1000,"Y",$J$2:$J$1000,"&gt;"&amp;J479)+COUNTIFS($FD$2:$FD$1000,"Y",$J$2:$J$1000,J479,$FG$2:$FG$1000,"&lt;"&amp;FG479)+1,""))</f>
        <v/>
      </c>
      <c r="FF479" s="0" t="str">
        <f aca="false">IF(AND(_xlfn.ISFORMULA(C479),_xlfn.ISFORMULA(J479)),"Y","N")</f>
        <v>Y</v>
      </c>
      <c r="FG479" s="0" t="n">
        <f aca="false">ROW()-1</f>
        <v>478</v>
      </c>
    </row>
    <row r="480" customFormat="false" ht="15" hidden="false" customHeight="false" outlineLevel="0" collapsed="false">
      <c r="C480" s="0" t="str">
        <f aca="false">IF($A480="","",IF(AT480="Y",BL480&amp;"",AY480&amp;""))</f>
        <v/>
      </c>
      <c r="D480" s="0" t="str">
        <f aca="false">IF($A480="","",IF(AT480="Y",BM480&amp;"",AZ480&amp;""))</f>
        <v/>
      </c>
      <c r="E480" s="0" t="str">
        <f aca="false">IF($A480="","",IF(AT480="Y",BN480&amp;"",BA480&amp;""))</f>
        <v/>
      </c>
      <c r="F480" s="0" t="str">
        <f aca="false">IF($A480="","",IF(AT480="Y",BO480&amp;"",BB480&amp;""))</f>
        <v/>
      </c>
      <c r="G480" s="0" t="str">
        <f aca="false">IF($A480="","",IF(AT480="Y",BP480&amp;"",BC480&amp;""))</f>
        <v/>
      </c>
      <c r="H480" s="0" t="str">
        <f aca="false">IF($A480="","",IF(AT480="Y",BQ480&amp;"",BD480&amp;""))</f>
        <v/>
      </c>
      <c r="I480" s="0" t="str">
        <f aca="false">IF($A480="","",IF(R480="Y","warm-intro",IF(H480="verified","email",IF(C480&lt;&gt;"","linkedin",CA480&amp;""))))</f>
        <v/>
      </c>
      <c r="J480" s="0" t="str">
        <f aca="false">IF($A480="","",IF(CK480="pass",ROUND(N(DO480)+N(DP480)+N(DQ480)+N(DR480)+N(DS480)+N(DT480)+N(DU480)+N(DV480),0),0))</f>
        <v/>
      </c>
      <c r="K480" s="0" t="str">
        <f aca="false">IF($A480="","",IF(CK480&lt;&gt;"pass",BY480&amp;"",BY480&amp;", "&amp;IF(AT480="Y",BX480&amp;"",BK480&amp;"")&amp;BZ480&amp;IF(R480="Y","; known to the founder (+10)","")&amp;"."))</f>
        <v/>
      </c>
      <c r="R480" s="5"/>
      <c r="T480" s="5"/>
      <c r="U480" s="5"/>
      <c r="Y480" s="0" t="str">
        <f aca="false">IF(FA480&lt;&gt;"Y","",COUNTIFS($FA$2:$FA$1000,"Y",$J$2:$J$1000,"&gt;"&amp;J480)+COUNTIFS($FA$2:$FA$1000,"Y",$J$2:$J$1000,J480,$FG$2:$FG$1000,"&lt;"&amp;FG480)+1)</f>
        <v/>
      </c>
      <c r="AB480" s="0" t="str">
        <f aca="false">IF($A480="","",IF(AT480="Y",BW480&amp;"",BJ480&amp;""))</f>
        <v/>
      </c>
      <c r="AC480" s="0" t="str">
        <f aca="false">IF($A480="","",IF(AT480="Y",BR480&amp;"",BE480&amp;""))</f>
        <v/>
      </c>
      <c r="AD480" s="0" t="str">
        <f aca="false">IF($A480="","",IF(AT480="Y",BS480&amp;"",BF480&amp;""))</f>
        <v/>
      </c>
      <c r="AE480" s="0" t="str">
        <f aca="false">IF($A480="","",IF(AT480="Y",BT480&amp;"",BG480&amp;""))</f>
        <v/>
      </c>
      <c r="AF480" s="0" t="str">
        <f aca="false">IF($A480="","",IF(AT480="Y",BU480&amp;"",BH480&amp;""))</f>
        <v/>
      </c>
      <c r="AG480" s="0" t="str">
        <f aca="false">IF($A480="","",IF(AT480="Y",BV480&amp;"",BI480&amp;""))</f>
        <v/>
      </c>
      <c r="AO480" s="5"/>
      <c r="AR480" s="0" t="str">
        <f aca="false">IF($A480="","",IF(AND(CK480="pass",AO480&lt;&gt;"Y",C480&lt;&gt;"",OR(AU480&lt;&gt;"Y",AV480="Y")),"Y","N"))</f>
        <v/>
      </c>
      <c r="AS480" s="0" t="str">
        <f aca="false">IF($A480="","",_xlfn.TEXTJOIN("; ",TRUE(),IF(CK480&lt;&gt;"pass","gated out",""),IF(AO480="Y","on hold: "&amp;AP480,""),IF(C480="","no contact named on an opened page",""),IF(AND(AU480="Y",AV480&lt;&gt;"Y"),"founder review pending (Founder review tab)","")))</f>
        <v/>
      </c>
      <c r="BC480" s="0" t="str">
        <f aca="false">IF($A480="","",IFERROR(INDEX(Enrichment!$A$2:$GZ$2000,MATCH($A480,INDEX(Enrichment!$A$2:$GZ$2000,0,MATCH("row_id",Enrichment!$A$1:$GZ$1,0)),0),MATCH("work_email",Enrichment!$A$1:$GZ$1,0))&amp;"",""))</f>
        <v/>
      </c>
      <c r="BD480" s="0" t="str">
        <f aca="false">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P480" s="0" t="str">
        <f aca="false">IF($A480="","",IFERROR(INDEX(Enrichment!$A$2:$GZ$2000,MATCH($A480,INDEX(Enrichment!$A$2:$GZ$2000,0,MATCH("row_id",Enrichment!$A$1:$GZ$1,0)),0),MATCH("backup_work_email",Enrichment!$A$1:$GZ$1,0))&amp;"",""))</f>
        <v/>
      </c>
      <c r="BQ480" s="0" t="str">
        <f aca="false">IF($A480="","",IF(BP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DU480" s="0" t="str">
        <f aca="false">IF($A480="","",IF(R480="Y",10,0))</f>
        <v/>
      </c>
      <c r="EV480" s="0" t="str">
        <f aca="false">IF($A480="","",IF(ISNUMBER(MATCH(U480,{"queued","contacted","replied","call_booked","call_done","yes_in_principle","materials_sent"},0)),"Y","N"))</f>
        <v/>
      </c>
      <c r="EW480" s="0" t="str">
        <f aca="false">IF($A480="","",IF(OR(T480="Y",U480="do_not_contact",AQ480&amp;""&lt;&gt;""),"Y","N"))</f>
        <v/>
      </c>
      <c r="EX480" s="0" t="str">
        <f aca="false">IF($A480="","",IF(AN480&amp;""&lt;&gt;"",AN480&amp;"",$A480))</f>
        <v/>
      </c>
      <c r="EY480" s="0" t="str">
        <f aca="false">IF($A480="","",IF(COUNTIFS($EX$2:$EX$1000,EX480,$EV$2:$EV$1000,"Y")+COUNTIFS($EX$2:$EX$1000,EX480,$EW$2:$EW$1000,"Y")&gt;0,"Y","N"))</f>
        <v/>
      </c>
      <c r="EZ480" s="0" t="str">
        <f aca="false">IF($A480="","",IF(AND(U480="new",T480="N",EW480="N",AR480="Y",EY480="N"),"Y","N"))</f>
        <v/>
      </c>
      <c r="FA480" s="0" t="str">
        <f aca="false">IF($A480="","",IF(EZ480&lt;&gt;"Y","N",IF(COUNTIFS($EX$2:$EX$1000,EX480,$EZ$2:$EZ$1000,"Y",$J$2:$J$1000,"&gt;"&amp;J480)+COUNTIFS($EX$2:$EX$1000,EX480,$EZ$2:$EZ$1000,"Y",$J$2:$J$1000,J480,$FG$2:$FG$1000,"&lt;"&amp;FG480)=0,"Y","N")))</f>
        <v/>
      </c>
      <c r="FB480" s="0" t="str">
        <f aca="false">IF($A480="","",IF(AND(EZ480="Y",FA480="Y",Y480&amp;""&lt;&gt;""),IF(Y480&lt;=10,"Y","N"),"N"))</f>
        <v/>
      </c>
      <c r="FC480" s="0" t="str">
        <f aca="false">IF(FB480="Y",Y480,"")</f>
        <v/>
      </c>
      <c r="FD480" s="0" t="str">
        <f aca="false">IF($A480="","",IF(AND(CK480="pass",AU480="Y",AV480&lt;&gt;"Y",U480="new",EW480="N"),"Y","N"))</f>
        <v/>
      </c>
      <c r="FE480" s="0" t="str">
        <f aca="false">IF(FD480&lt;&gt;"Y","",IF(COUNTIFS($FD$2:$FD$1000,"Y",$J$2:$J$1000,"&gt;"&amp;J480)+COUNTIFS($FD$2:$FD$1000,"Y",$J$2:$J$1000,J480,$FG$2:$FG$1000,"&lt;"&amp;FG480)+1&lt;=30,COUNTIFS($FD$2:$FD$1000,"Y",$J$2:$J$1000,"&gt;"&amp;J480)+COUNTIFS($FD$2:$FD$1000,"Y",$J$2:$J$1000,J480,$FG$2:$FG$1000,"&lt;"&amp;FG480)+1,""))</f>
        <v/>
      </c>
      <c r="FF480" s="0" t="str">
        <f aca="false">IF(AND(_xlfn.ISFORMULA(C480),_xlfn.ISFORMULA(J480)),"Y","N")</f>
        <v>Y</v>
      </c>
      <c r="FG480" s="0" t="n">
        <f aca="false">ROW()-1</f>
        <v>479</v>
      </c>
    </row>
    <row r="481" customFormat="false" ht="15" hidden="false" customHeight="false" outlineLevel="0" collapsed="false">
      <c r="C481" s="0" t="str">
        <f aca="false">IF($A481="","",IF(AT481="Y",BL481&amp;"",AY481&amp;""))</f>
        <v/>
      </c>
      <c r="D481" s="0" t="str">
        <f aca="false">IF($A481="","",IF(AT481="Y",BM481&amp;"",AZ481&amp;""))</f>
        <v/>
      </c>
      <c r="E481" s="0" t="str">
        <f aca="false">IF($A481="","",IF(AT481="Y",BN481&amp;"",BA481&amp;""))</f>
        <v/>
      </c>
      <c r="F481" s="0" t="str">
        <f aca="false">IF($A481="","",IF(AT481="Y",BO481&amp;"",BB481&amp;""))</f>
        <v/>
      </c>
      <c r="G481" s="0" t="str">
        <f aca="false">IF($A481="","",IF(AT481="Y",BP481&amp;"",BC481&amp;""))</f>
        <v/>
      </c>
      <c r="H481" s="0" t="str">
        <f aca="false">IF($A481="","",IF(AT481="Y",BQ481&amp;"",BD481&amp;""))</f>
        <v/>
      </c>
      <c r="I481" s="0" t="str">
        <f aca="false">IF($A481="","",IF(R481="Y","warm-intro",IF(H481="verified","email",IF(C481&lt;&gt;"","linkedin",CA481&amp;""))))</f>
        <v/>
      </c>
      <c r="J481" s="0" t="str">
        <f aca="false">IF($A481="","",IF(CK481="pass",ROUND(N(DO481)+N(DP481)+N(DQ481)+N(DR481)+N(DS481)+N(DT481)+N(DU481)+N(DV481),0),0))</f>
        <v/>
      </c>
      <c r="K481" s="0" t="str">
        <f aca="false">IF($A481="","",IF(CK481&lt;&gt;"pass",BY481&amp;"",BY481&amp;", "&amp;IF(AT481="Y",BX481&amp;"",BK481&amp;"")&amp;BZ481&amp;IF(R481="Y","; known to the founder (+10)","")&amp;"."))</f>
        <v/>
      </c>
      <c r="R481" s="5"/>
      <c r="T481" s="5"/>
      <c r="U481" s="5"/>
      <c r="Y481" s="0" t="str">
        <f aca="false">IF(FA481&lt;&gt;"Y","",COUNTIFS($FA$2:$FA$1000,"Y",$J$2:$J$1000,"&gt;"&amp;J481)+COUNTIFS($FA$2:$FA$1000,"Y",$J$2:$J$1000,J481,$FG$2:$FG$1000,"&lt;"&amp;FG481)+1)</f>
        <v/>
      </c>
      <c r="AB481" s="0" t="str">
        <f aca="false">IF($A481="","",IF(AT481="Y",BW481&amp;"",BJ481&amp;""))</f>
        <v/>
      </c>
      <c r="AC481" s="0" t="str">
        <f aca="false">IF($A481="","",IF(AT481="Y",BR481&amp;"",BE481&amp;""))</f>
        <v/>
      </c>
      <c r="AD481" s="0" t="str">
        <f aca="false">IF($A481="","",IF(AT481="Y",BS481&amp;"",BF481&amp;""))</f>
        <v/>
      </c>
      <c r="AE481" s="0" t="str">
        <f aca="false">IF($A481="","",IF(AT481="Y",BT481&amp;"",BG481&amp;""))</f>
        <v/>
      </c>
      <c r="AF481" s="0" t="str">
        <f aca="false">IF($A481="","",IF(AT481="Y",BU481&amp;"",BH481&amp;""))</f>
        <v/>
      </c>
      <c r="AG481" s="0" t="str">
        <f aca="false">IF($A481="","",IF(AT481="Y",BV481&amp;"",BI481&amp;""))</f>
        <v/>
      </c>
      <c r="AO481" s="5"/>
      <c r="AR481" s="0" t="str">
        <f aca="false">IF($A481="","",IF(AND(CK481="pass",AO481&lt;&gt;"Y",C481&lt;&gt;"",OR(AU481&lt;&gt;"Y",AV481="Y")),"Y","N"))</f>
        <v/>
      </c>
      <c r="AS481" s="0" t="str">
        <f aca="false">IF($A481="","",_xlfn.TEXTJOIN("; ",TRUE(),IF(CK481&lt;&gt;"pass","gated out",""),IF(AO481="Y","on hold: "&amp;AP481,""),IF(C481="","no contact named on an opened page",""),IF(AND(AU481="Y",AV481&lt;&gt;"Y"),"founder review pending (Founder review tab)","")))</f>
        <v/>
      </c>
      <c r="BC481" s="0" t="str">
        <f aca="false">IF($A481="","",IFERROR(INDEX(Enrichment!$A$2:$GZ$2000,MATCH($A481,INDEX(Enrichment!$A$2:$GZ$2000,0,MATCH("row_id",Enrichment!$A$1:$GZ$1,0)),0),MATCH("work_email",Enrichment!$A$1:$GZ$1,0))&amp;"",""))</f>
        <v/>
      </c>
      <c r="BD481" s="0" t="str">
        <f aca="false">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P481" s="0" t="str">
        <f aca="false">IF($A481="","",IFERROR(INDEX(Enrichment!$A$2:$GZ$2000,MATCH($A481,INDEX(Enrichment!$A$2:$GZ$2000,0,MATCH("row_id",Enrichment!$A$1:$GZ$1,0)),0),MATCH("backup_work_email",Enrichment!$A$1:$GZ$1,0))&amp;"",""))</f>
        <v/>
      </c>
      <c r="BQ481" s="0" t="str">
        <f aca="false">IF($A481="","",IF(BP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DU481" s="0" t="str">
        <f aca="false">IF($A481="","",IF(R481="Y",10,0))</f>
        <v/>
      </c>
      <c r="EV481" s="0" t="str">
        <f aca="false">IF($A481="","",IF(ISNUMBER(MATCH(U481,{"queued","contacted","replied","call_booked","call_done","yes_in_principle","materials_sent"},0)),"Y","N"))</f>
        <v/>
      </c>
      <c r="EW481" s="0" t="str">
        <f aca="false">IF($A481="","",IF(OR(T481="Y",U481="do_not_contact",AQ481&amp;""&lt;&gt;""),"Y","N"))</f>
        <v/>
      </c>
      <c r="EX481" s="0" t="str">
        <f aca="false">IF($A481="","",IF(AN481&amp;""&lt;&gt;"",AN481&amp;"",$A481))</f>
        <v/>
      </c>
      <c r="EY481" s="0" t="str">
        <f aca="false">IF($A481="","",IF(COUNTIFS($EX$2:$EX$1000,EX481,$EV$2:$EV$1000,"Y")+COUNTIFS($EX$2:$EX$1000,EX481,$EW$2:$EW$1000,"Y")&gt;0,"Y","N"))</f>
        <v/>
      </c>
      <c r="EZ481" s="0" t="str">
        <f aca="false">IF($A481="","",IF(AND(U481="new",T481="N",EW481="N",AR481="Y",EY481="N"),"Y","N"))</f>
        <v/>
      </c>
      <c r="FA481" s="0" t="str">
        <f aca="false">IF($A481="","",IF(EZ481&lt;&gt;"Y","N",IF(COUNTIFS($EX$2:$EX$1000,EX481,$EZ$2:$EZ$1000,"Y",$J$2:$J$1000,"&gt;"&amp;J481)+COUNTIFS($EX$2:$EX$1000,EX481,$EZ$2:$EZ$1000,"Y",$J$2:$J$1000,J481,$FG$2:$FG$1000,"&lt;"&amp;FG481)=0,"Y","N")))</f>
        <v/>
      </c>
      <c r="FB481" s="0" t="str">
        <f aca="false">IF($A481="","",IF(AND(EZ481="Y",FA481="Y",Y481&amp;""&lt;&gt;""),IF(Y481&lt;=10,"Y","N"),"N"))</f>
        <v/>
      </c>
      <c r="FC481" s="0" t="str">
        <f aca="false">IF(FB481="Y",Y481,"")</f>
        <v/>
      </c>
      <c r="FD481" s="0" t="str">
        <f aca="false">IF($A481="","",IF(AND(CK481="pass",AU481="Y",AV481&lt;&gt;"Y",U481="new",EW481="N"),"Y","N"))</f>
        <v/>
      </c>
      <c r="FE481" s="0" t="str">
        <f aca="false">IF(FD481&lt;&gt;"Y","",IF(COUNTIFS($FD$2:$FD$1000,"Y",$J$2:$J$1000,"&gt;"&amp;J481)+COUNTIFS($FD$2:$FD$1000,"Y",$J$2:$J$1000,J481,$FG$2:$FG$1000,"&lt;"&amp;FG481)+1&lt;=30,COUNTIFS($FD$2:$FD$1000,"Y",$J$2:$J$1000,"&gt;"&amp;J481)+COUNTIFS($FD$2:$FD$1000,"Y",$J$2:$J$1000,J481,$FG$2:$FG$1000,"&lt;"&amp;FG481)+1,""))</f>
        <v/>
      </c>
      <c r="FF481" s="0" t="str">
        <f aca="false">IF(AND(_xlfn.ISFORMULA(C481),_xlfn.ISFORMULA(J481)),"Y","N")</f>
        <v>Y</v>
      </c>
      <c r="FG481" s="0" t="n">
        <f aca="false">ROW()-1</f>
        <v>480</v>
      </c>
    </row>
    <row r="482" customFormat="false" ht="15" hidden="false" customHeight="false" outlineLevel="0" collapsed="false">
      <c r="C482" s="0" t="str">
        <f aca="false">IF($A482="","",IF(AT482="Y",BL482&amp;"",AY482&amp;""))</f>
        <v/>
      </c>
      <c r="D482" s="0" t="str">
        <f aca="false">IF($A482="","",IF(AT482="Y",BM482&amp;"",AZ482&amp;""))</f>
        <v/>
      </c>
      <c r="E482" s="0" t="str">
        <f aca="false">IF($A482="","",IF(AT482="Y",BN482&amp;"",BA482&amp;""))</f>
        <v/>
      </c>
      <c r="F482" s="0" t="str">
        <f aca="false">IF($A482="","",IF(AT482="Y",BO482&amp;"",BB482&amp;""))</f>
        <v/>
      </c>
      <c r="G482" s="0" t="str">
        <f aca="false">IF($A482="","",IF(AT482="Y",BP482&amp;"",BC482&amp;""))</f>
        <v/>
      </c>
      <c r="H482" s="0" t="str">
        <f aca="false">IF($A482="","",IF(AT482="Y",BQ482&amp;"",BD482&amp;""))</f>
        <v/>
      </c>
      <c r="I482" s="0" t="str">
        <f aca="false">IF($A482="","",IF(R482="Y","warm-intro",IF(H482="verified","email",IF(C482&lt;&gt;"","linkedin",CA482&amp;""))))</f>
        <v/>
      </c>
      <c r="J482" s="0" t="str">
        <f aca="false">IF($A482="","",IF(CK482="pass",ROUND(N(DO482)+N(DP482)+N(DQ482)+N(DR482)+N(DS482)+N(DT482)+N(DU482)+N(DV482),0),0))</f>
        <v/>
      </c>
      <c r="K482" s="0" t="str">
        <f aca="false">IF($A482="","",IF(CK482&lt;&gt;"pass",BY482&amp;"",BY482&amp;", "&amp;IF(AT482="Y",BX482&amp;"",BK482&amp;"")&amp;BZ482&amp;IF(R482="Y","; known to the founder (+10)","")&amp;"."))</f>
        <v/>
      </c>
      <c r="R482" s="5"/>
      <c r="T482" s="5"/>
      <c r="U482" s="5"/>
      <c r="Y482" s="0" t="str">
        <f aca="false">IF(FA482&lt;&gt;"Y","",COUNTIFS($FA$2:$FA$1000,"Y",$J$2:$J$1000,"&gt;"&amp;J482)+COUNTIFS($FA$2:$FA$1000,"Y",$J$2:$J$1000,J482,$FG$2:$FG$1000,"&lt;"&amp;FG482)+1)</f>
        <v/>
      </c>
      <c r="AB482" s="0" t="str">
        <f aca="false">IF($A482="","",IF(AT482="Y",BW482&amp;"",BJ482&amp;""))</f>
        <v/>
      </c>
      <c r="AC482" s="0" t="str">
        <f aca="false">IF($A482="","",IF(AT482="Y",BR482&amp;"",BE482&amp;""))</f>
        <v/>
      </c>
      <c r="AD482" s="0" t="str">
        <f aca="false">IF($A482="","",IF(AT482="Y",BS482&amp;"",BF482&amp;""))</f>
        <v/>
      </c>
      <c r="AE482" s="0" t="str">
        <f aca="false">IF($A482="","",IF(AT482="Y",BT482&amp;"",BG482&amp;""))</f>
        <v/>
      </c>
      <c r="AF482" s="0" t="str">
        <f aca="false">IF($A482="","",IF(AT482="Y",BU482&amp;"",BH482&amp;""))</f>
        <v/>
      </c>
      <c r="AG482" s="0" t="str">
        <f aca="false">IF($A482="","",IF(AT482="Y",BV482&amp;"",BI482&amp;""))</f>
        <v/>
      </c>
      <c r="AO482" s="5"/>
      <c r="AR482" s="0" t="str">
        <f aca="false">IF($A482="","",IF(AND(CK482="pass",AO482&lt;&gt;"Y",C482&lt;&gt;"",OR(AU482&lt;&gt;"Y",AV482="Y")),"Y","N"))</f>
        <v/>
      </c>
      <c r="AS482" s="0" t="str">
        <f aca="false">IF($A482="","",_xlfn.TEXTJOIN("; ",TRUE(),IF(CK482&lt;&gt;"pass","gated out",""),IF(AO482="Y","on hold: "&amp;AP482,""),IF(C482="","no contact named on an opened page",""),IF(AND(AU482="Y",AV482&lt;&gt;"Y"),"founder review pending (Founder review tab)","")))</f>
        <v/>
      </c>
      <c r="BC482" s="0" t="str">
        <f aca="false">IF($A482="","",IFERROR(INDEX(Enrichment!$A$2:$GZ$2000,MATCH($A482,INDEX(Enrichment!$A$2:$GZ$2000,0,MATCH("row_id",Enrichment!$A$1:$GZ$1,0)),0),MATCH("work_email",Enrichment!$A$1:$GZ$1,0))&amp;"",""))</f>
        <v/>
      </c>
      <c r="BD482" s="0" t="str">
        <f aca="false">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P482" s="0" t="str">
        <f aca="false">IF($A482="","",IFERROR(INDEX(Enrichment!$A$2:$GZ$2000,MATCH($A482,INDEX(Enrichment!$A$2:$GZ$2000,0,MATCH("row_id",Enrichment!$A$1:$GZ$1,0)),0),MATCH("backup_work_email",Enrichment!$A$1:$GZ$1,0))&amp;"",""))</f>
        <v/>
      </c>
      <c r="BQ482" s="0" t="str">
        <f aca="false">IF($A482="","",IF(BP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DU482" s="0" t="str">
        <f aca="false">IF($A482="","",IF(R482="Y",10,0))</f>
        <v/>
      </c>
      <c r="EV482" s="0" t="str">
        <f aca="false">IF($A482="","",IF(ISNUMBER(MATCH(U482,{"queued","contacted","replied","call_booked","call_done","yes_in_principle","materials_sent"},0)),"Y","N"))</f>
        <v/>
      </c>
      <c r="EW482" s="0" t="str">
        <f aca="false">IF($A482="","",IF(OR(T482="Y",U482="do_not_contact",AQ482&amp;""&lt;&gt;""),"Y","N"))</f>
        <v/>
      </c>
      <c r="EX482" s="0" t="str">
        <f aca="false">IF($A482="","",IF(AN482&amp;""&lt;&gt;"",AN482&amp;"",$A482))</f>
        <v/>
      </c>
      <c r="EY482" s="0" t="str">
        <f aca="false">IF($A482="","",IF(COUNTIFS($EX$2:$EX$1000,EX482,$EV$2:$EV$1000,"Y")+COUNTIFS($EX$2:$EX$1000,EX482,$EW$2:$EW$1000,"Y")&gt;0,"Y","N"))</f>
        <v/>
      </c>
      <c r="EZ482" s="0" t="str">
        <f aca="false">IF($A482="","",IF(AND(U482="new",T482="N",EW482="N",AR482="Y",EY482="N"),"Y","N"))</f>
        <v/>
      </c>
      <c r="FA482" s="0" t="str">
        <f aca="false">IF($A482="","",IF(EZ482&lt;&gt;"Y","N",IF(COUNTIFS($EX$2:$EX$1000,EX482,$EZ$2:$EZ$1000,"Y",$J$2:$J$1000,"&gt;"&amp;J482)+COUNTIFS($EX$2:$EX$1000,EX482,$EZ$2:$EZ$1000,"Y",$J$2:$J$1000,J482,$FG$2:$FG$1000,"&lt;"&amp;FG482)=0,"Y","N")))</f>
        <v/>
      </c>
      <c r="FB482" s="0" t="str">
        <f aca="false">IF($A482="","",IF(AND(EZ482="Y",FA482="Y",Y482&amp;""&lt;&gt;""),IF(Y482&lt;=10,"Y","N"),"N"))</f>
        <v/>
      </c>
      <c r="FC482" s="0" t="str">
        <f aca="false">IF(FB482="Y",Y482,"")</f>
        <v/>
      </c>
      <c r="FD482" s="0" t="str">
        <f aca="false">IF($A482="","",IF(AND(CK482="pass",AU482="Y",AV482&lt;&gt;"Y",U482="new",EW482="N"),"Y","N"))</f>
        <v/>
      </c>
      <c r="FE482" s="0" t="str">
        <f aca="false">IF(FD482&lt;&gt;"Y","",IF(COUNTIFS($FD$2:$FD$1000,"Y",$J$2:$J$1000,"&gt;"&amp;J482)+COUNTIFS($FD$2:$FD$1000,"Y",$J$2:$J$1000,J482,$FG$2:$FG$1000,"&lt;"&amp;FG482)+1&lt;=30,COUNTIFS($FD$2:$FD$1000,"Y",$J$2:$J$1000,"&gt;"&amp;J482)+COUNTIFS($FD$2:$FD$1000,"Y",$J$2:$J$1000,J482,$FG$2:$FG$1000,"&lt;"&amp;FG482)+1,""))</f>
        <v/>
      </c>
      <c r="FF482" s="0" t="str">
        <f aca="false">IF(AND(_xlfn.ISFORMULA(C482),_xlfn.ISFORMULA(J482)),"Y","N")</f>
        <v>Y</v>
      </c>
      <c r="FG482" s="0" t="n">
        <f aca="false">ROW()-1</f>
        <v>481</v>
      </c>
    </row>
    <row r="483" customFormat="false" ht="15" hidden="false" customHeight="false" outlineLevel="0" collapsed="false">
      <c r="C483" s="0" t="str">
        <f aca="false">IF($A483="","",IF(AT483="Y",BL483&amp;"",AY483&amp;""))</f>
        <v/>
      </c>
      <c r="D483" s="0" t="str">
        <f aca="false">IF($A483="","",IF(AT483="Y",BM483&amp;"",AZ483&amp;""))</f>
        <v/>
      </c>
      <c r="E483" s="0" t="str">
        <f aca="false">IF($A483="","",IF(AT483="Y",BN483&amp;"",BA483&amp;""))</f>
        <v/>
      </c>
      <c r="F483" s="0" t="str">
        <f aca="false">IF($A483="","",IF(AT483="Y",BO483&amp;"",BB483&amp;""))</f>
        <v/>
      </c>
      <c r="G483" s="0" t="str">
        <f aca="false">IF($A483="","",IF(AT483="Y",BP483&amp;"",BC483&amp;""))</f>
        <v/>
      </c>
      <c r="H483" s="0" t="str">
        <f aca="false">IF($A483="","",IF(AT483="Y",BQ483&amp;"",BD483&amp;""))</f>
        <v/>
      </c>
      <c r="I483" s="0" t="str">
        <f aca="false">IF($A483="","",IF(R483="Y","warm-intro",IF(H483="verified","email",IF(C483&lt;&gt;"","linkedin",CA483&amp;""))))</f>
        <v/>
      </c>
      <c r="J483" s="0" t="str">
        <f aca="false">IF($A483="","",IF(CK483="pass",ROUND(N(DO483)+N(DP483)+N(DQ483)+N(DR483)+N(DS483)+N(DT483)+N(DU483)+N(DV483),0),0))</f>
        <v/>
      </c>
      <c r="K483" s="0" t="str">
        <f aca="false">IF($A483="","",IF(CK483&lt;&gt;"pass",BY483&amp;"",BY483&amp;", "&amp;IF(AT483="Y",BX483&amp;"",BK483&amp;"")&amp;BZ483&amp;IF(R483="Y","; known to the founder (+10)","")&amp;"."))</f>
        <v/>
      </c>
      <c r="R483" s="5"/>
      <c r="T483" s="5"/>
      <c r="U483" s="5"/>
      <c r="Y483" s="0" t="str">
        <f aca="false">IF(FA483&lt;&gt;"Y","",COUNTIFS($FA$2:$FA$1000,"Y",$J$2:$J$1000,"&gt;"&amp;J483)+COUNTIFS($FA$2:$FA$1000,"Y",$J$2:$J$1000,J483,$FG$2:$FG$1000,"&lt;"&amp;FG483)+1)</f>
        <v/>
      </c>
      <c r="AB483" s="0" t="str">
        <f aca="false">IF($A483="","",IF(AT483="Y",BW483&amp;"",BJ483&amp;""))</f>
        <v/>
      </c>
      <c r="AC483" s="0" t="str">
        <f aca="false">IF($A483="","",IF(AT483="Y",BR483&amp;"",BE483&amp;""))</f>
        <v/>
      </c>
      <c r="AD483" s="0" t="str">
        <f aca="false">IF($A483="","",IF(AT483="Y",BS483&amp;"",BF483&amp;""))</f>
        <v/>
      </c>
      <c r="AE483" s="0" t="str">
        <f aca="false">IF($A483="","",IF(AT483="Y",BT483&amp;"",BG483&amp;""))</f>
        <v/>
      </c>
      <c r="AF483" s="0" t="str">
        <f aca="false">IF($A483="","",IF(AT483="Y",BU483&amp;"",BH483&amp;""))</f>
        <v/>
      </c>
      <c r="AG483" s="0" t="str">
        <f aca="false">IF($A483="","",IF(AT483="Y",BV483&amp;"",BI483&amp;""))</f>
        <v/>
      </c>
      <c r="AO483" s="5"/>
      <c r="AR483" s="0" t="str">
        <f aca="false">IF($A483="","",IF(AND(CK483="pass",AO483&lt;&gt;"Y",C483&lt;&gt;"",OR(AU483&lt;&gt;"Y",AV483="Y")),"Y","N"))</f>
        <v/>
      </c>
      <c r="AS483" s="0" t="str">
        <f aca="false">IF($A483="","",_xlfn.TEXTJOIN("; ",TRUE(),IF(CK483&lt;&gt;"pass","gated out",""),IF(AO483="Y","on hold: "&amp;AP483,""),IF(C483="","no contact named on an opened page",""),IF(AND(AU483="Y",AV483&lt;&gt;"Y"),"founder review pending (Founder review tab)","")))</f>
        <v/>
      </c>
      <c r="BC483" s="0" t="str">
        <f aca="false">IF($A483="","",IFERROR(INDEX(Enrichment!$A$2:$GZ$2000,MATCH($A483,INDEX(Enrichment!$A$2:$GZ$2000,0,MATCH("row_id",Enrichment!$A$1:$GZ$1,0)),0),MATCH("work_email",Enrichment!$A$1:$GZ$1,0))&amp;"",""))</f>
        <v/>
      </c>
      <c r="BD483" s="0" t="str">
        <f aca="false">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P483" s="0" t="str">
        <f aca="false">IF($A483="","",IFERROR(INDEX(Enrichment!$A$2:$GZ$2000,MATCH($A483,INDEX(Enrichment!$A$2:$GZ$2000,0,MATCH("row_id",Enrichment!$A$1:$GZ$1,0)),0),MATCH("backup_work_email",Enrichment!$A$1:$GZ$1,0))&amp;"",""))</f>
        <v/>
      </c>
      <c r="BQ483" s="0" t="str">
        <f aca="false">IF($A483="","",IF(BP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DU483" s="0" t="str">
        <f aca="false">IF($A483="","",IF(R483="Y",10,0))</f>
        <v/>
      </c>
      <c r="EV483" s="0" t="str">
        <f aca="false">IF($A483="","",IF(ISNUMBER(MATCH(U483,{"queued","contacted","replied","call_booked","call_done","yes_in_principle","materials_sent"},0)),"Y","N"))</f>
        <v/>
      </c>
      <c r="EW483" s="0" t="str">
        <f aca="false">IF($A483="","",IF(OR(T483="Y",U483="do_not_contact",AQ483&amp;""&lt;&gt;""),"Y","N"))</f>
        <v/>
      </c>
      <c r="EX483" s="0" t="str">
        <f aca="false">IF($A483="","",IF(AN483&amp;""&lt;&gt;"",AN483&amp;"",$A483))</f>
        <v/>
      </c>
      <c r="EY483" s="0" t="str">
        <f aca="false">IF($A483="","",IF(COUNTIFS($EX$2:$EX$1000,EX483,$EV$2:$EV$1000,"Y")+COUNTIFS($EX$2:$EX$1000,EX483,$EW$2:$EW$1000,"Y")&gt;0,"Y","N"))</f>
        <v/>
      </c>
      <c r="EZ483" s="0" t="str">
        <f aca="false">IF($A483="","",IF(AND(U483="new",T483="N",EW483="N",AR483="Y",EY483="N"),"Y","N"))</f>
        <v/>
      </c>
      <c r="FA483" s="0" t="str">
        <f aca="false">IF($A483="","",IF(EZ483&lt;&gt;"Y","N",IF(COUNTIFS($EX$2:$EX$1000,EX483,$EZ$2:$EZ$1000,"Y",$J$2:$J$1000,"&gt;"&amp;J483)+COUNTIFS($EX$2:$EX$1000,EX483,$EZ$2:$EZ$1000,"Y",$J$2:$J$1000,J483,$FG$2:$FG$1000,"&lt;"&amp;FG483)=0,"Y","N")))</f>
        <v/>
      </c>
      <c r="FB483" s="0" t="str">
        <f aca="false">IF($A483="","",IF(AND(EZ483="Y",FA483="Y",Y483&amp;""&lt;&gt;""),IF(Y483&lt;=10,"Y","N"),"N"))</f>
        <v/>
      </c>
      <c r="FC483" s="0" t="str">
        <f aca="false">IF(FB483="Y",Y483,"")</f>
        <v/>
      </c>
      <c r="FD483" s="0" t="str">
        <f aca="false">IF($A483="","",IF(AND(CK483="pass",AU483="Y",AV483&lt;&gt;"Y",U483="new",EW483="N"),"Y","N"))</f>
        <v/>
      </c>
      <c r="FE483" s="0" t="str">
        <f aca="false">IF(FD483&lt;&gt;"Y","",IF(COUNTIFS($FD$2:$FD$1000,"Y",$J$2:$J$1000,"&gt;"&amp;J483)+COUNTIFS($FD$2:$FD$1000,"Y",$J$2:$J$1000,J483,$FG$2:$FG$1000,"&lt;"&amp;FG483)+1&lt;=30,COUNTIFS($FD$2:$FD$1000,"Y",$J$2:$J$1000,"&gt;"&amp;J483)+COUNTIFS($FD$2:$FD$1000,"Y",$J$2:$J$1000,J483,$FG$2:$FG$1000,"&lt;"&amp;FG483)+1,""))</f>
        <v/>
      </c>
      <c r="FF483" s="0" t="str">
        <f aca="false">IF(AND(_xlfn.ISFORMULA(C483),_xlfn.ISFORMULA(J483)),"Y","N")</f>
        <v>Y</v>
      </c>
      <c r="FG483" s="0" t="n">
        <f aca="false">ROW()-1</f>
        <v>482</v>
      </c>
    </row>
    <row r="484" customFormat="false" ht="15" hidden="false" customHeight="false" outlineLevel="0" collapsed="false">
      <c r="C484" s="0" t="str">
        <f aca="false">IF($A484="","",IF(AT484="Y",BL484&amp;"",AY484&amp;""))</f>
        <v/>
      </c>
      <c r="D484" s="0" t="str">
        <f aca="false">IF($A484="","",IF(AT484="Y",BM484&amp;"",AZ484&amp;""))</f>
        <v/>
      </c>
      <c r="E484" s="0" t="str">
        <f aca="false">IF($A484="","",IF(AT484="Y",BN484&amp;"",BA484&amp;""))</f>
        <v/>
      </c>
      <c r="F484" s="0" t="str">
        <f aca="false">IF($A484="","",IF(AT484="Y",BO484&amp;"",BB484&amp;""))</f>
        <v/>
      </c>
      <c r="G484" s="0" t="str">
        <f aca="false">IF($A484="","",IF(AT484="Y",BP484&amp;"",BC484&amp;""))</f>
        <v/>
      </c>
      <c r="H484" s="0" t="str">
        <f aca="false">IF($A484="","",IF(AT484="Y",BQ484&amp;"",BD484&amp;""))</f>
        <v/>
      </c>
      <c r="I484" s="0" t="str">
        <f aca="false">IF($A484="","",IF(R484="Y","warm-intro",IF(H484="verified","email",IF(C484&lt;&gt;"","linkedin",CA484&amp;""))))</f>
        <v/>
      </c>
      <c r="J484" s="0" t="str">
        <f aca="false">IF($A484="","",IF(CK484="pass",ROUND(N(DO484)+N(DP484)+N(DQ484)+N(DR484)+N(DS484)+N(DT484)+N(DU484)+N(DV484),0),0))</f>
        <v/>
      </c>
      <c r="K484" s="0" t="str">
        <f aca="false">IF($A484="","",IF(CK484&lt;&gt;"pass",BY484&amp;"",BY484&amp;", "&amp;IF(AT484="Y",BX484&amp;"",BK484&amp;"")&amp;BZ484&amp;IF(R484="Y","; known to the founder (+10)","")&amp;"."))</f>
        <v/>
      </c>
      <c r="R484" s="5"/>
      <c r="T484" s="5"/>
      <c r="U484" s="5"/>
      <c r="Y484" s="0" t="str">
        <f aca="false">IF(FA484&lt;&gt;"Y","",COUNTIFS($FA$2:$FA$1000,"Y",$J$2:$J$1000,"&gt;"&amp;J484)+COUNTIFS($FA$2:$FA$1000,"Y",$J$2:$J$1000,J484,$FG$2:$FG$1000,"&lt;"&amp;FG484)+1)</f>
        <v/>
      </c>
      <c r="AB484" s="0" t="str">
        <f aca="false">IF($A484="","",IF(AT484="Y",BW484&amp;"",BJ484&amp;""))</f>
        <v/>
      </c>
      <c r="AC484" s="0" t="str">
        <f aca="false">IF($A484="","",IF(AT484="Y",BR484&amp;"",BE484&amp;""))</f>
        <v/>
      </c>
      <c r="AD484" s="0" t="str">
        <f aca="false">IF($A484="","",IF(AT484="Y",BS484&amp;"",BF484&amp;""))</f>
        <v/>
      </c>
      <c r="AE484" s="0" t="str">
        <f aca="false">IF($A484="","",IF(AT484="Y",BT484&amp;"",BG484&amp;""))</f>
        <v/>
      </c>
      <c r="AF484" s="0" t="str">
        <f aca="false">IF($A484="","",IF(AT484="Y",BU484&amp;"",BH484&amp;""))</f>
        <v/>
      </c>
      <c r="AG484" s="0" t="str">
        <f aca="false">IF($A484="","",IF(AT484="Y",BV484&amp;"",BI484&amp;""))</f>
        <v/>
      </c>
      <c r="AO484" s="5"/>
      <c r="AR484" s="0" t="str">
        <f aca="false">IF($A484="","",IF(AND(CK484="pass",AO484&lt;&gt;"Y",C484&lt;&gt;"",OR(AU484&lt;&gt;"Y",AV484="Y")),"Y","N"))</f>
        <v/>
      </c>
      <c r="AS484" s="0" t="str">
        <f aca="false">IF($A484="","",_xlfn.TEXTJOIN("; ",TRUE(),IF(CK484&lt;&gt;"pass","gated out",""),IF(AO484="Y","on hold: "&amp;AP484,""),IF(C484="","no contact named on an opened page",""),IF(AND(AU484="Y",AV484&lt;&gt;"Y"),"founder review pending (Founder review tab)","")))</f>
        <v/>
      </c>
      <c r="BC484" s="0" t="str">
        <f aca="false">IF($A484="","",IFERROR(INDEX(Enrichment!$A$2:$GZ$2000,MATCH($A484,INDEX(Enrichment!$A$2:$GZ$2000,0,MATCH("row_id",Enrichment!$A$1:$GZ$1,0)),0),MATCH("work_email",Enrichment!$A$1:$GZ$1,0))&amp;"",""))</f>
        <v/>
      </c>
      <c r="BD484" s="0" t="str">
        <f aca="false">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P484" s="0" t="str">
        <f aca="false">IF($A484="","",IFERROR(INDEX(Enrichment!$A$2:$GZ$2000,MATCH($A484,INDEX(Enrichment!$A$2:$GZ$2000,0,MATCH("row_id",Enrichment!$A$1:$GZ$1,0)),0),MATCH("backup_work_email",Enrichment!$A$1:$GZ$1,0))&amp;"",""))</f>
        <v/>
      </c>
      <c r="BQ484" s="0" t="str">
        <f aca="false">IF($A484="","",IF(BP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DU484" s="0" t="str">
        <f aca="false">IF($A484="","",IF(R484="Y",10,0))</f>
        <v/>
      </c>
      <c r="EV484" s="0" t="str">
        <f aca="false">IF($A484="","",IF(ISNUMBER(MATCH(U484,{"queued","contacted","replied","call_booked","call_done","yes_in_principle","materials_sent"},0)),"Y","N"))</f>
        <v/>
      </c>
      <c r="EW484" s="0" t="str">
        <f aca="false">IF($A484="","",IF(OR(T484="Y",U484="do_not_contact",AQ484&amp;""&lt;&gt;""),"Y","N"))</f>
        <v/>
      </c>
      <c r="EX484" s="0" t="str">
        <f aca="false">IF($A484="","",IF(AN484&amp;""&lt;&gt;"",AN484&amp;"",$A484))</f>
        <v/>
      </c>
      <c r="EY484" s="0" t="str">
        <f aca="false">IF($A484="","",IF(COUNTIFS($EX$2:$EX$1000,EX484,$EV$2:$EV$1000,"Y")+COUNTIFS($EX$2:$EX$1000,EX484,$EW$2:$EW$1000,"Y")&gt;0,"Y","N"))</f>
        <v/>
      </c>
      <c r="EZ484" s="0" t="str">
        <f aca="false">IF($A484="","",IF(AND(U484="new",T484="N",EW484="N",AR484="Y",EY484="N"),"Y","N"))</f>
        <v/>
      </c>
      <c r="FA484" s="0" t="str">
        <f aca="false">IF($A484="","",IF(EZ484&lt;&gt;"Y","N",IF(COUNTIFS($EX$2:$EX$1000,EX484,$EZ$2:$EZ$1000,"Y",$J$2:$J$1000,"&gt;"&amp;J484)+COUNTIFS($EX$2:$EX$1000,EX484,$EZ$2:$EZ$1000,"Y",$J$2:$J$1000,J484,$FG$2:$FG$1000,"&lt;"&amp;FG484)=0,"Y","N")))</f>
        <v/>
      </c>
      <c r="FB484" s="0" t="str">
        <f aca="false">IF($A484="","",IF(AND(EZ484="Y",FA484="Y",Y484&amp;""&lt;&gt;""),IF(Y484&lt;=10,"Y","N"),"N"))</f>
        <v/>
      </c>
      <c r="FC484" s="0" t="str">
        <f aca="false">IF(FB484="Y",Y484,"")</f>
        <v/>
      </c>
      <c r="FD484" s="0" t="str">
        <f aca="false">IF($A484="","",IF(AND(CK484="pass",AU484="Y",AV484&lt;&gt;"Y",U484="new",EW484="N"),"Y","N"))</f>
        <v/>
      </c>
      <c r="FE484" s="0" t="str">
        <f aca="false">IF(FD484&lt;&gt;"Y","",IF(COUNTIFS($FD$2:$FD$1000,"Y",$J$2:$J$1000,"&gt;"&amp;J484)+COUNTIFS($FD$2:$FD$1000,"Y",$J$2:$J$1000,J484,$FG$2:$FG$1000,"&lt;"&amp;FG484)+1&lt;=30,COUNTIFS($FD$2:$FD$1000,"Y",$J$2:$J$1000,"&gt;"&amp;J484)+COUNTIFS($FD$2:$FD$1000,"Y",$J$2:$J$1000,J484,$FG$2:$FG$1000,"&lt;"&amp;FG484)+1,""))</f>
        <v/>
      </c>
      <c r="FF484" s="0" t="str">
        <f aca="false">IF(AND(_xlfn.ISFORMULA(C484),_xlfn.ISFORMULA(J484)),"Y","N")</f>
        <v>Y</v>
      </c>
      <c r="FG484" s="0" t="n">
        <f aca="false">ROW()-1</f>
        <v>483</v>
      </c>
    </row>
    <row r="485" customFormat="false" ht="15" hidden="false" customHeight="false" outlineLevel="0" collapsed="false">
      <c r="C485" s="0" t="str">
        <f aca="false">IF($A485="","",IF(AT485="Y",BL485&amp;"",AY485&amp;""))</f>
        <v/>
      </c>
      <c r="D485" s="0" t="str">
        <f aca="false">IF($A485="","",IF(AT485="Y",BM485&amp;"",AZ485&amp;""))</f>
        <v/>
      </c>
      <c r="E485" s="0" t="str">
        <f aca="false">IF($A485="","",IF(AT485="Y",BN485&amp;"",BA485&amp;""))</f>
        <v/>
      </c>
      <c r="F485" s="0" t="str">
        <f aca="false">IF($A485="","",IF(AT485="Y",BO485&amp;"",BB485&amp;""))</f>
        <v/>
      </c>
      <c r="G485" s="0" t="str">
        <f aca="false">IF($A485="","",IF(AT485="Y",BP485&amp;"",BC485&amp;""))</f>
        <v/>
      </c>
      <c r="H485" s="0" t="str">
        <f aca="false">IF($A485="","",IF(AT485="Y",BQ485&amp;"",BD485&amp;""))</f>
        <v/>
      </c>
      <c r="I485" s="0" t="str">
        <f aca="false">IF($A485="","",IF(R485="Y","warm-intro",IF(H485="verified","email",IF(C485&lt;&gt;"","linkedin",CA485&amp;""))))</f>
        <v/>
      </c>
      <c r="J485" s="0" t="str">
        <f aca="false">IF($A485="","",IF(CK485="pass",ROUND(N(DO485)+N(DP485)+N(DQ485)+N(DR485)+N(DS485)+N(DT485)+N(DU485)+N(DV485),0),0))</f>
        <v/>
      </c>
      <c r="K485" s="0" t="str">
        <f aca="false">IF($A485="","",IF(CK485&lt;&gt;"pass",BY485&amp;"",BY485&amp;", "&amp;IF(AT485="Y",BX485&amp;"",BK485&amp;"")&amp;BZ485&amp;IF(R485="Y","; known to the founder (+10)","")&amp;"."))</f>
        <v/>
      </c>
      <c r="R485" s="5"/>
      <c r="T485" s="5"/>
      <c r="U485" s="5"/>
      <c r="Y485" s="0" t="str">
        <f aca="false">IF(FA485&lt;&gt;"Y","",COUNTIFS($FA$2:$FA$1000,"Y",$J$2:$J$1000,"&gt;"&amp;J485)+COUNTIFS($FA$2:$FA$1000,"Y",$J$2:$J$1000,J485,$FG$2:$FG$1000,"&lt;"&amp;FG485)+1)</f>
        <v/>
      </c>
      <c r="AB485" s="0" t="str">
        <f aca="false">IF($A485="","",IF(AT485="Y",BW485&amp;"",BJ485&amp;""))</f>
        <v/>
      </c>
      <c r="AC485" s="0" t="str">
        <f aca="false">IF($A485="","",IF(AT485="Y",BR485&amp;"",BE485&amp;""))</f>
        <v/>
      </c>
      <c r="AD485" s="0" t="str">
        <f aca="false">IF($A485="","",IF(AT485="Y",BS485&amp;"",BF485&amp;""))</f>
        <v/>
      </c>
      <c r="AE485" s="0" t="str">
        <f aca="false">IF($A485="","",IF(AT485="Y",BT485&amp;"",BG485&amp;""))</f>
        <v/>
      </c>
      <c r="AF485" s="0" t="str">
        <f aca="false">IF($A485="","",IF(AT485="Y",BU485&amp;"",BH485&amp;""))</f>
        <v/>
      </c>
      <c r="AG485" s="0" t="str">
        <f aca="false">IF($A485="","",IF(AT485="Y",BV485&amp;"",BI485&amp;""))</f>
        <v/>
      </c>
      <c r="AO485" s="5"/>
      <c r="AR485" s="0" t="str">
        <f aca="false">IF($A485="","",IF(AND(CK485="pass",AO485&lt;&gt;"Y",C485&lt;&gt;"",OR(AU485&lt;&gt;"Y",AV485="Y")),"Y","N"))</f>
        <v/>
      </c>
      <c r="AS485" s="0" t="str">
        <f aca="false">IF($A485="","",_xlfn.TEXTJOIN("; ",TRUE(),IF(CK485&lt;&gt;"pass","gated out",""),IF(AO485="Y","on hold: "&amp;AP485,""),IF(C485="","no contact named on an opened page",""),IF(AND(AU485="Y",AV485&lt;&gt;"Y"),"founder review pending (Founder review tab)","")))</f>
        <v/>
      </c>
      <c r="BC485" s="0" t="str">
        <f aca="false">IF($A485="","",IFERROR(INDEX(Enrichment!$A$2:$GZ$2000,MATCH($A485,INDEX(Enrichment!$A$2:$GZ$2000,0,MATCH("row_id",Enrichment!$A$1:$GZ$1,0)),0),MATCH("work_email",Enrichment!$A$1:$GZ$1,0))&amp;"",""))</f>
        <v/>
      </c>
      <c r="BD485" s="0" t="str">
        <f aca="false">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P485" s="0" t="str">
        <f aca="false">IF($A485="","",IFERROR(INDEX(Enrichment!$A$2:$GZ$2000,MATCH($A485,INDEX(Enrichment!$A$2:$GZ$2000,0,MATCH("row_id",Enrichment!$A$1:$GZ$1,0)),0),MATCH("backup_work_email",Enrichment!$A$1:$GZ$1,0))&amp;"",""))</f>
        <v/>
      </c>
      <c r="BQ485" s="0" t="str">
        <f aca="false">IF($A485="","",IF(BP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DU485" s="0" t="str">
        <f aca="false">IF($A485="","",IF(R485="Y",10,0))</f>
        <v/>
      </c>
      <c r="EV485" s="0" t="str">
        <f aca="false">IF($A485="","",IF(ISNUMBER(MATCH(U485,{"queued","contacted","replied","call_booked","call_done","yes_in_principle","materials_sent"},0)),"Y","N"))</f>
        <v/>
      </c>
      <c r="EW485" s="0" t="str">
        <f aca="false">IF($A485="","",IF(OR(T485="Y",U485="do_not_contact",AQ485&amp;""&lt;&gt;""),"Y","N"))</f>
        <v/>
      </c>
      <c r="EX485" s="0" t="str">
        <f aca="false">IF($A485="","",IF(AN485&amp;""&lt;&gt;"",AN485&amp;"",$A485))</f>
        <v/>
      </c>
      <c r="EY485" s="0" t="str">
        <f aca="false">IF($A485="","",IF(COUNTIFS($EX$2:$EX$1000,EX485,$EV$2:$EV$1000,"Y")+COUNTIFS($EX$2:$EX$1000,EX485,$EW$2:$EW$1000,"Y")&gt;0,"Y","N"))</f>
        <v/>
      </c>
      <c r="EZ485" s="0" t="str">
        <f aca="false">IF($A485="","",IF(AND(U485="new",T485="N",EW485="N",AR485="Y",EY485="N"),"Y","N"))</f>
        <v/>
      </c>
      <c r="FA485" s="0" t="str">
        <f aca="false">IF($A485="","",IF(EZ485&lt;&gt;"Y","N",IF(COUNTIFS($EX$2:$EX$1000,EX485,$EZ$2:$EZ$1000,"Y",$J$2:$J$1000,"&gt;"&amp;J485)+COUNTIFS($EX$2:$EX$1000,EX485,$EZ$2:$EZ$1000,"Y",$J$2:$J$1000,J485,$FG$2:$FG$1000,"&lt;"&amp;FG485)=0,"Y","N")))</f>
        <v/>
      </c>
      <c r="FB485" s="0" t="str">
        <f aca="false">IF($A485="","",IF(AND(EZ485="Y",FA485="Y",Y485&amp;""&lt;&gt;""),IF(Y485&lt;=10,"Y","N"),"N"))</f>
        <v/>
      </c>
      <c r="FC485" s="0" t="str">
        <f aca="false">IF(FB485="Y",Y485,"")</f>
        <v/>
      </c>
      <c r="FD485" s="0" t="str">
        <f aca="false">IF($A485="","",IF(AND(CK485="pass",AU485="Y",AV485&lt;&gt;"Y",U485="new",EW485="N"),"Y","N"))</f>
        <v/>
      </c>
      <c r="FE485" s="0" t="str">
        <f aca="false">IF(FD485&lt;&gt;"Y","",IF(COUNTIFS($FD$2:$FD$1000,"Y",$J$2:$J$1000,"&gt;"&amp;J485)+COUNTIFS($FD$2:$FD$1000,"Y",$J$2:$J$1000,J485,$FG$2:$FG$1000,"&lt;"&amp;FG485)+1&lt;=30,COUNTIFS($FD$2:$FD$1000,"Y",$J$2:$J$1000,"&gt;"&amp;J485)+COUNTIFS($FD$2:$FD$1000,"Y",$J$2:$J$1000,J485,$FG$2:$FG$1000,"&lt;"&amp;FG485)+1,""))</f>
        <v/>
      </c>
      <c r="FF485" s="0" t="str">
        <f aca="false">IF(AND(_xlfn.ISFORMULA(C485),_xlfn.ISFORMULA(J485)),"Y","N")</f>
        <v>Y</v>
      </c>
      <c r="FG485" s="0" t="n">
        <f aca="false">ROW()-1</f>
        <v>484</v>
      </c>
    </row>
    <row r="486" customFormat="false" ht="15" hidden="false" customHeight="false" outlineLevel="0" collapsed="false">
      <c r="C486" s="0" t="str">
        <f aca="false">IF($A486="","",IF(AT486="Y",BL486&amp;"",AY486&amp;""))</f>
        <v/>
      </c>
      <c r="D486" s="0" t="str">
        <f aca="false">IF($A486="","",IF(AT486="Y",BM486&amp;"",AZ486&amp;""))</f>
        <v/>
      </c>
      <c r="E486" s="0" t="str">
        <f aca="false">IF($A486="","",IF(AT486="Y",BN486&amp;"",BA486&amp;""))</f>
        <v/>
      </c>
      <c r="F486" s="0" t="str">
        <f aca="false">IF($A486="","",IF(AT486="Y",BO486&amp;"",BB486&amp;""))</f>
        <v/>
      </c>
      <c r="G486" s="0" t="str">
        <f aca="false">IF($A486="","",IF(AT486="Y",BP486&amp;"",BC486&amp;""))</f>
        <v/>
      </c>
      <c r="H486" s="0" t="str">
        <f aca="false">IF($A486="","",IF(AT486="Y",BQ486&amp;"",BD486&amp;""))</f>
        <v/>
      </c>
      <c r="I486" s="0" t="str">
        <f aca="false">IF($A486="","",IF(R486="Y","warm-intro",IF(H486="verified","email",IF(C486&lt;&gt;"","linkedin",CA486&amp;""))))</f>
        <v/>
      </c>
      <c r="J486" s="0" t="str">
        <f aca="false">IF($A486="","",IF(CK486="pass",ROUND(N(DO486)+N(DP486)+N(DQ486)+N(DR486)+N(DS486)+N(DT486)+N(DU486)+N(DV486),0),0))</f>
        <v/>
      </c>
      <c r="K486" s="0" t="str">
        <f aca="false">IF($A486="","",IF(CK486&lt;&gt;"pass",BY486&amp;"",BY486&amp;", "&amp;IF(AT486="Y",BX486&amp;"",BK486&amp;"")&amp;BZ486&amp;IF(R486="Y","; known to the founder (+10)","")&amp;"."))</f>
        <v/>
      </c>
      <c r="R486" s="5"/>
      <c r="T486" s="5"/>
      <c r="U486" s="5"/>
      <c r="Y486" s="0" t="str">
        <f aca="false">IF(FA486&lt;&gt;"Y","",COUNTIFS($FA$2:$FA$1000,"Y",$J$2:$J$1000,"&gt;"&amp;J486)+COUNTIFS($FA$2:$FA$1000,"Y",$J$2:$J$1000,J486,$FG$2:$FG$1000,"&lt;"&amp;FG486)+1)</f>
        <v/>
      </c>
      <c r="AB486" s="0" t="str">
        <f aca="false">IF($A486="","",IF(AT486="Y",BW486&amp;"",BJ486&amp;""))</f>
        <v/>
      </c>
      <c r="AC486" s="0" t="str">
        <f aca="false">IF($A486="","",IF(AT486="Y",BR486&amp;"",BE486&amp;""))</f>
        <v/>
      </c>
      <c r="AD486" s="0" t="str">
        <f aca="false">IF($A486="","",IF(AT486="Y",BS486&amp;"",BF486&amp;""))</f>
        <v/>
      </c>
      <c r="AE486" s="0" t="str">
        <f aca="false">IF($A486="","",IF(AT486="Y",BT486&amp;"",BG486&amp;""))</f>
        <v/>
      </c>
      <c r="AF486" s="0" t="str">
        <f aca="false">IF($A486="","",IF(AT486="Y",BU486&amp;"",BH486&amp;""))</f>
        <v/>
      </c>
      <c r="AG486" s="0" t="str">
        <f aca="false">IF($A486="","",IF(AT486="Y",BV486&amp;"",BI486&amp;""))</f>
        <v/>
      </c>
      <c r="AO486" s="5"/>
      <c r="AR486" s="0" t="str">
        <f aca="false">IF($A486="","",IF(AND(CK486="pass",AO486&lt;&gt;"Y",C486&lt;&gt;"",OR(AU486&lt;&gt;"Y",AV486="Y")),"Y","N"))</f>
        <v/>
      </c>
      <c r="AS486" s="0" t="str">
        <f aca="false">IF($A486="","",_xlfn.TEXTJOIN("; ",TRUE(),IF(CK486&lt;&gt;"pass","gated out",""),IF(AO486="Y","on hold: "&amp;AP486,""),IF(C486="","no contact named on an opened page",""),IF(AND(AU486="Y",AV486&lt;&gt;"Y"),"founder review pending (Founder review tab)","")))</f>
        <v/>
      </c>
      <c r="BC486" s="0" t="str">
        <f aca="false">IF($A486="","",IFERROR(INDEX(Enrichment!$A$2:$GZ$2000,MATCH($A486,INDEX(Enrichment!$A$2:$GZ$2000,0,MATCH("row_id",Enrichment!$A$1:$GZ$1,0)),0),MATCH("work_email",Enrichment!$A$1:$GZ$1,0))&amp;"",""))</f>
        <v/>
      </c>
      <c r="BD486" s="0" t="str">
        <f aca="false">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P486" s="0" t="str">
        <f aca="false">IF($A486="","",IFERROR(INDEX(Enrichment!$A$2:$GZ$2000,MATCH($A486,INDEX(Enrichment!$A$2:$GZ$2000,0,MATCH("row_id",Enrichment!$A$1:$GZ$1,0)),0),MATCH("backup_work_email",Enrichment!$A$1:$GZ$1,0))&amp;"",""))</f>
        <v/>
      </c>
      <c r="BQ486" s="0" t="str">
        <f aca="false">IF($A486="","",IF(BP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DU486" s="0" t="str">
        <f aca="false">IF($A486="","",IF(R486="Y",10,0))</f>
        <v/>
      </c>
      <c r="EV486" s="0" t="str">
        <f aca="false">IF($A486="","",IF(ISNUMBER(MATCH(U486,{"queued","contacted","replied","call_booked","call_done","yes_in_principle","materials_sent"},0)),"Y","N"))</f>
        <v/>
      </c>
      <c r="EW486" s="0" t="str">
        <f aca="false">IF($A486="","",IF(OR(T486="Y",U486="do_not_contact",AQ486&amp;""&lt;&gt;""),"Y","N"))</f>
        <v/>
      </c>
      <c r="EX486" s="0" t="str">
        <f aca="false">IF($A486="","",IF(AN486&amp;""&lt;&gt;"",AN486&amp;"",$A486))</f>
        <v/>
      </c>
      <c r="EY486" s="0" t="str">
        <f aca="false">IF($A486="","",IF(COUNTIFS($EX$2:$EX$1000,EX486,$EV$2:$EV$1000,"Y")+COUNTIFS($EX$2:$EX$1000,EX486,$EW$2:$EW$1000,"Y")&gt;0,"Y","N"))</f>
        <v/>
      </c>
      <c r="EZ486" s="0" t="str">
        <f aca="false">IF($A486="","",IF(AND(U486="new",T486="N",EW486="N",AR486="Y",EY486="N"),"Y","N"))</f>
        <v/>
      </c>
      <c r="FA486" s="0" t="str">
        <f aca="false">IF($A486="","",IF(EZ486&lt;&gt;"Y","N",IF(COUNTIFS($EX$2:$EX$1000,EX486,$EZ$2:$EZ$1000,"Y",$J$2:$J$1000,"&gt;"&amp;J486)+COUNTIFS($EX$2:$EX$1000,EX486,$EZ$2:$EZ$1000,"Y",$J$2:$J$1000,J486,$FG$2:$FG$1000,"&lt;"&amp;FG486)=0,"Y","N")))</f>
        <v/>
      </c>
      <c r="FB486" s="0" t="str">
        <f aca="false">IF($A486="","",IF(AND(EZ486="Y",FA486="Y",Y486&amp;""&lt;&gt;""),IF(Y486&lt;=10,"Y","N"),"N"))</f>
        <v/>
      </c>
      <c r="FC486" s="0" t="str">
        <f aca="false">IF(FB486="Y",Y486,"")</f>
        <v/>
      </c>
      <c r="FD486" s="0" t="str">
        <f aca="false">IF($A486="","",IF(AND(CK486="pass",AU486="Y",AV486&lt;&gt;"Y",U486="new",EW486="N"),"Y","N"))</f>
        <v/>
      </c>
      <c r="FE486" s="0" t="str">
        <f aca="false">IF(FD486&lt;&gt;"Y","",IF(COUNTIFS($FD$2:$FD$1000,"Y",$J$2:$J$1000,"&gt;"&amp;J486)+COUNTIFS($FD$2:$FD$1000,"Y",$J$2:$J$1000,J486,$FG$2:$FG$1000,"&lt;"&amp;FG486)+1&lt;=30,COUNTIFS($FD$2:$FD$1000,"Y",$J$2:$J$1000,"&gt;"&amp;J486)+COUNTIFS($FD$2:$FD$1000,"Y",$J$2:$J$1000,J486,$FG$2:$FG$1000,"&lt;"&amp;FG486)+1,""))</f>
        <v/>
      </c>
      <c r="FF486" s="0" t="str">
        <f aca="false">IF(AND(_xlfn.ISFORMULA(C486),_xlfn.ISFORMULA(J486)),"Y","N")</f>
        <v>Y</v>
      </c>
      <c r="FG486" s="0" t="n">
        <f aca="false">ROW()-1</f>
        <v>485</v>
      </c>
    </row>
    <row r="487" customFormat="false" ht="15" hidden="false" customHeight="false" outlineLevel="0" collapsed="false">
      <c r="C487" s="0" t="str">
        <f aca="false">IF($A487="","",IF(AT487="Y",BL487&amp;"",AY487&amp;""))</f>
        <v/>
      </c>
      <c r="D487" s="0" t="str">
        <f aca="false">IF($A487="","",IF(AT487="Y",BM487&amp;"",AZ487&amp;""))</f>
        <v/>
      </c>
      <c r="E487" s="0" t="str">
        <f aca="false">IF($A487="","",IF(AT487="Y",BN487&amp;"",BA487&amp;""))</f>
        <v/>
      </c>
      <c r="F487" s="0" t="str">
        <f aca="false">IF($A487="","",IF(AT487="Y",BO487&amp;"",BB487&amp;""))</f>
        <v/>
      </c>
      <c r="G487" s="0" t="str">
        <f aca="false">IF($A487="","",IF(AT487="Y",BP487&amp;"",BC487&amp;""))</f>
        <v/>
      </c>
      <c r="H487" s="0" t="str">
        <f aca="false">IF($A487="","",IF(AT487="Y",BQ487&amp;"",BD487&amp;""))</f>
        <v/>
      </c>
      <c r="I487" s="0" t="str">
        <f aca="false">IF($A487="","",IF(R487="Y","warm-intro",IF(H487="verified","email",IF(C487&lt;&gt;"","linkedin",CA487&amp;""))))</f>
        <v/>
      </c>
      <c r="J487" s="0" t="str">
        <f aca="false">IF($A487="","",IF(CK487="pass",ROUND(N(DO487)+N(DP487)+N(DQ487)+N(DR487)+N(DS487)+N(DT487)+N(DU487)+N(DV487),0),0))</f>
        <v/>
      </c>
      <c r="K487" s="0" t="str">
        <f aca="false">IF($A487="","",IF(CK487&lt;&gt;"pass",BY487&amp;"",BY487&amp;", "&amp;IF(AT487="Y",BX487&amp;"",BK487&amp;"")&amp;BZ487&amp;IF(R487="Y","; known to the founder (+10)","")&amp;"."))</f>
        <v/>
      </c>
      <c r="R487" s="5"/>
      <c r="T487" s="5"/>
      <c r="U487" s="5"/>
      <c r="Y487" s="0" t="str">
        <f aca="false">IF(FA487&lt;&gt;"Y","",COUNTIFS($FA$2:$FA$1000,"Y",$J$2:$J$1000,"&gt;"&amp;J487)+COUNTIFS($FA$2:$FA$1000,"Y",$J$2:$J$1000,J487,$FG$2:$FG$1000,"&lt;"&amp;FG487)+1)</f>
        <v/>
      </c>
      <c r="AB487" s="0" t="str">
        <f aca="false">IF($A487="","",IF(AT487="Y",BW487&amp;"",BJ487&amp;""))</f>
        <v/>
      </c>
      <c r="AC487" s="0" t="str">
        <f aca="false">IF($A487="","",IF(AT487="Y",BR487&amp;"",BE487&amp;""))</f>
        <v/>
      </c>
      <c r="AD487" s="0" t="str">
        <f aca="false">IF($A487="","",IF(AT487="Y",BS487&amp;"",BF487&amp;""))</f>
        <v/>
      </c>
      <c r="AE487" s="0" t="str">
        <f aca="false">IF($A487="","",IF(AT487="Y",BT487&amp;"",BG487&amp;""))</f>
        <v/>
      </c>
      <c r="AF487" s="0" t="str">
        <f aca="false">IF($A487="","",IF(AT487="Y",BU487&amp;"",BH487&amp;""))</f>
        <v/>
      </c>
      <c r="AG487" s="0" t="str">
        <f aca="false">IF($A487="","",IF(AT487="Y",BV487&amp;"",BI487&amp;""))</f>
        <v/>
      </c>
      <c r="AO487" s="5"/>
      <c r="AR487" s="0" t="str">
        <f aca="false">IF($A487="","",IF(AND(CK487="pass",AO487&lt;&gt;"Y",C487&lt;&gt;"",OR(AU487&lt;&gt;"Y",AV487="Y")),"Y","N"))</f>
        <v/>
      </c>
      <c r="AS487" s="0" t="str">
        <f aca="false">IF($A487="","",_xlfn.TEXTJOIN("; ",TRUE(),IF(CK487&lt;&gt;"pass","gated out",""),IF(AO487="Y","on hold: "&amp;AP487,""),IF(C487="","no contact named on an opened page",""),IF(AND(AU487="Y",AV487&lt;&gt;"Y"),"founder review pending (Founder review tab)","")))</f>
        <v/>
      </c>
      <c r="BC487" s="0" t="str">
        <f aca="false">IF($A487="","",IFERROR(INDEX(Enrichment!$A$2:$GZ$2000,MATCH($A487,INDEX(Enrichment!$A$2:$GZ$2000,0,MATCH("row_id",Enrichment!$A$1:$GZ$1,0)),0),MATCH("work_email",Enrichment!$A$1:$GZ$1,0))&amp;"",""))</f>
        <v/>
      </c>
      <c r="BD487" s="0" t="str">
        <f aca="false">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P487" s="0" t="str">
        <f aca="false">IF($A487="","",IFERROR(INDEX(Enrichment!$A$2:$GZ$2000,MATCH($A487,INDEX(Enrichment!$A$2:$GZ$2000,0,MATCH("row_id",Enrichment!$A$1:$GZ$1,0)),0),MATCH("backup_work_email",Enrichment!$A$1:$GZ$1,0))&amp;"",""))</f>
        <v/>
      </c>
      <c r="BQ487" s="0" t="str">
        <f aca="false">IF($A487="","",IF(BP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DU487" s="0" t="str">
        <f aca="false">IF($A487="","",IF(R487="Y",10,0))</f>
        <v/>
      </c>
      <c r="EV487" s="0" t="str">
        <f aca="false">IF($A487="","",IF(ISNUMBER(MATCH(U487,{"queued","contacted","replied","call_booked","call_done","yes_in_principle","materials_sent"},0)),"Y","N"))</f>
        <v/>
      </c>
      <c r="EW487" s="0" t="str">
        <f aca="false">IF($A487="","",IF(OR(T487="Y",U487="do_not_contact",AQ487&amp;""&lt;&gt;""),"Y","N"))</f>
        <v/>
      </c>
      <c r="EX487" s="0" t="str">
        <f aca="false">IF($A487="","",IF(AN487&amp;""&lt;&gt;"",AN487&amp;"",$A487))</f>
        <v/>
      </c>
      <c r="EY487" s="0" t="str">
        <f aca="false">IF($A487="","",IF(COUNTIFS($EX$2:$EX$1000,EX487,$EV$2:$EV$1000,"Y")+COUNTIFS($EX$2:$EX$1000,EX487,$EW$2:$EW$1000,"Y")&gt;0,"Y","N"))</f>
        <v/>
      </c>
      <c r="EZ487" s="0" t="str">
        <f aca="false">IF($A487="","",IF(AND(U487="new",T487="N",EW487="N",AR487="Y",EY487="N"),"Y","N"))</f>
        <v/>
      </c>
      <c r="FA487" s="0" t="str">
        <f aca="false">IF($A487="","",IF(EZ487&lt;&gt;"Y","N",IF(COUNTIFS($EX$2:$EX$1000,EX487,$EZ$2:$EZ$1000,"Y",$J$2:$J$1000,"&gt;"&amp;J487)+COUNTIFS($EX$2:$EX$1000,EX487,$EZ$2:$EZ$1000,"Y",$J$2:$J$1000,J487,$FG$2:$FG$1000,"&lt;"&amp;FG487)=0,"Y","N")))</f>
        <v/>
      </c>
      <c r="FB487" s="0" t="str">
        <f aca="false">IF($A487="","",IF(AND(EZ487="Y",FA487="Y",Y487&amp;""&lt;&gt;""),IF(Y487&lt;=10,"Y","N"),"N"))</f>
        <v/>
      </c>
      <c r="FC487" s="0" t="str">
        <f aca="false">IF(FB487="Y",Y487,"")</f>
        <v/>
      </c>
      <c r="FD487" s="0" t="str">
        <f aca="false">IF($A487="","",IF(AND(CK487="pass",AU487="Y",AV487&lt;&gt;"Y",U487="new",EW487="N"),"Y","N"))</f>
        <v/>
      </c>
      <c r="FE487" s="0" t="str">
        <f aca="false">IF(FD487&lt;&gt;"Y","",IF(COUNTIFS($FD$2:$FD$1000,"Y",$J$2:$J$1000,"&gt;"&amp;J487)+COUNTIFS($FD$2:$FD$1000,"Y",$J$2:$J$1000,J487,$FG$2:$FG$1000,"&lt;"&amp;FG487)+1&lt;=30,COUNTIFS($FD$2:$FD$1000,"Y",$J$2:$J$1000,"&gt;"&amp;J487)+COUNTIFS($FD$2:$FD$1000,"Y",$J$2:$J$1000,J487,$FG$2:$FG$1000,"&lt;"&amp;FG487)+1,""))</f>
        <v/>
      </c>
      <c r="FF487" s="0" t="str">
        <f aca="false">IF(AND(_xlfn.ISFORMULA(C487),_xlfn.ISFORMULA(J487)),"Y","N")</f>
        <v>Y</v>
      </c>
      <c r="FG487" s="0" t="n">
        <f aca="false">ROW()-1</f>
        <v>486</v>
      </c>
    </row>
    <row r="488" customFormat="false" ht="15" hidden="false" customHeight="false" outlineLevel="0" collapsed="false">
      <c r="C488" s="0" t="str">
        <f aca="false">IF($A488="","",IF(AT488="Y",BL488&amp;"",AY488&amp;""))</f>
        <v/>
      </c>
      <c r="D488" s="0" t="str">
        <f aca="false">IF($A488="","",IF(AT488="Y",BM488&amp;"",AZ488&amp;""))</f>
        <v/>
      </c>
      <c r="E488" s="0" t="str">
        <f aca="false">IF($A488="","",IF(AT488="Y",BN488&amp;"",BA488&amp;""))</f>
        <v/>
      </c>
      <c r="F488" s="0" t="str">
        <f aca="false">IF($A488="","",IF(AT488="Y",BO488&amp;"",BB488&amp;""))</f>
        <v/>
      </c>
      <c r="G488" s="0" t="str">
        <f aca="false">IF($A488="","",IF(AT488="Y",BP488&amp;"",BC488&amp;""))</f>
        <v/>
      </c>
      <c r="H488" s="0" t="str">
        <f aca="false">IF($A488="","",IF(AT488="Y",BQ488&amp;"",BD488&amp;""))</f>
        <v/>
      </c>
      <c r="I488" s="0" t="str">
        <f aca="false">IF($A488="","",IF(R488="Y","warm-intro",IF(H488="verified","email",IF(C488&lt;&gt;"","linkedin",CA488&amp;""))))</f>
        <v/>
      </c>
      <c r="J488" s="0" t="str">
        <f aca="false">IF($A488="","",IF(CK488="pass",ROUND(N(DO488)+N(DP488)+N(DQ488)+N(DR488)+N(DS488)+N(DT488)+N(DU488)+N(DV488),0),0))</f>
        <v/>
      </c>
      <c r="K488" s="0" t="str">
        <f aca="false">IF($A488="","",IF(CK488&lt;&gt;"pass",BY488&amp;"",BY488&amp;", "&amp;IF(AT488="Y",BX488&amp;"",BK488&amp;"")&amp;BZ488&amp;IF(R488="Y","; known to the founder (+10)","")&amp;"."))</f>
        <v/>
      </c>
      <c r="R488" s="5"/>
      <c r="T488" s="5"/>
      <c r="U488" s="5"/>
      <c r="Y488" s="0" t="str">
        <f aca="false">IF(FA488&lt;&gt;"Y","",COUNTIFS($FA$2:$FA$1000,"Y",$J$2:$J$1000,"&gt;"&amp;J488)+COUNTIFS($FA$2:$FA$1000,"Y",$J$2:$J$1000,J488,$FG$2:$FG$1000,"&lt;"&amp;FG488)+1)</f>
        <v/>
      </c>
      <c r="AB488" s="0" t="str">
        <f aca="false">IF($A488="","",IF(AT488="Y",BW488&amp;"",BJ488&amp;""))</f>
        <v/>
      </c>
      <c r="AC488" s="0" t="str">
        <f aca="false">IF($A488="","",IF(AT488="Y",BR488&amp;"",BE488&amp;""))</f>
        <v/>
      </c>
      <c r="AD488" s="0" t="str">
        <f aca="false">IF($A488="","",IF(AT488="Y",BS488&amp;"",BF488&amp;""))</f>
        <v/>
      </c>
      <c r="AE488" s="0" t="str">
        <f aca="false">IF($A488="","",IF(AT488="Y",BT488&amp;"",BG488&amp;""))</f>
        <v/>
      </c>
      <c r="AF488" s="0" t="str">
        <f aca="false">IF($A488="","",IF(AT488="Y",BU488&amp;"",BH488&amp;""))</f>
        <v/>
      </c>
      <c r="AG488" s="0" t="str">
        <f aca="false">IF($A488="","",IF(AT488="Y",BV488&amp;"",BI488&amp;""))</f>
        <v/>
      </c>
      <c r="AO488" s="5"/>
      <c r="AR488" s="0" t="str">
        <f aca="false">IF($A488="","",IF(AND(CK488="pass",AO488&lt;&gt;"Y",C488&lt;&gt;"",OR(AU488&lt;&gt;"Y",AV488="Y")),"Y","N"))</f>
        <v/>
      </c>
      <c r="AS488" s="0" t="str">
        <f aca="false">IF($A488="","",_xlfn.TEXTJOIN("; ",TRUE(),IF(CK488&lt;&gt;"pass","gated out",""),IF(AO488="Y","on hold: "&amp;AP488,""),IF(C488="","no contact named on an opened page",""),IF(AND(AU488="Y",AV488&lt;&gt;"Y"),"founder review pending (Founder review tab)","")))</f>
        <v/>
      </c>
      <c r="BC488" s="0" t="str">
        <f aca="false">IF($A488="","",IFERROR(INDEX(Enrichment!$A$2:$GZ$2000,MATCH($A488,INDEX(Enrichment!$A$2:$GZ$2000,0,MATCH("row_id",Enrichment!$A$1:$GZ$1,0)),0),MATCH("work_email",Enrichment!$A$1:$GZ$1,0))&amp;"",""))</f>
        <v/>
      </c>
      <c r="BD488" s="0" t="str">
        <f aca="false">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P488" s="0" t="str">
        <f aca="false">IF($A488="","",IFERROR(INDEX(Enrichment!$A$2:$GZ$2000,MATCH($A488,INDEX(Enrichment!$A$2:$GZ$2000,0,MATCH("row_id",Enrichment!$A$1:$GZ$1,0)),0),MATCH("backup_work_email",Enrichment!$A$1:$GZ$1,0))&amp;"",""))</f>
        <v/>
      </c>
      <c r="BQ488" s="0" t="str">
        <f aca="false">IF($A488="","",IF(BP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DU488" s="0" t="str">
        <f aca="false">IF($A488="","",IF(R488="Y",10,0))</f>
        <v/>
      </c>
      <c r="EV488" s="0" t="str">
        <f aca="false">IF($A488="","",IF(ISNUMBER(MATCH(U488,{"queued","contacted","replied","call_booked","call_done","yes_in_principle","materials_sent"},0)),"Y","N"))</f>
        <v/>
      </c>
      <c r="EW488" s="0" t="str">
        <f aca="false">IF($A488="","",IF(OR(T488="Y",U488="do_not_contact",AQ488&amp;""&lt;&gt;""),"Y","N"))</f>
        <v/>
      </c>
      <c r="EX488" s="0" t="str">
        <f aca="false">IF($A488="","",IF(AN488&amp;""&lt;&gt;"",AN488&amp;"",$A488))</f>
        <v/>
      </c>
      <c r="EY488" s="0" t="str">
        <f aca="false">IF($A488="","",IF(COUNTIFS($EX$2:$EX$1000,EX488,$EV$2:$EV$1000,"Y")+COUNTIFS($EX$2:$EX$1000,EX488,$EW$2:$EW$1000,"Y")&gt;0,"Y","N"))</f>
        <v/>
      </c>
      <c r="EZ488" s="0" t="str">
        <f aca="false">IF($A488="","",IF(AND(U488="new",T488="N",EW488="N",AR488="Y",EY488="N"),"Y","N"))</f>
        <v/>
      </c>
      <c r="FA488" s="0" t="str">
        <f aca="false">IF($A488="","",IF(EZ488&lt;&gt;"Y","N",IF(COUNTIFS($EX$2:$EX$1000,EX488,$EZ$2:$EZ$1000,"Y",$J$2:$J$1000,"&gt;"&amp;J488)+COUNTIFS($EX$2:$EX$1000,EX488,$EZ$2:$EZ$1000,"Y",$J$2:$J$1000,J488,$FG$2:$FG$1000,"&lt;"&amp;FG488)=0,"Y","N")))</f>
        <v/>
      </c>
      <c r="FB488" s="0" t="str">
        <f aca="false">IF($A488="","",IF(AND(EZ488="Y",FA488="Y",Y488&amp;""&lt;&gt;""),IF(Y488&lt;=10,"Y","N"),"N"))</f>
        <v/>
      </c>
      <c r="FC488" s="0" t="str">
        <f aca="false">IF(FB488="Y",Y488,"")</f>
        <v/>
      </c>
      <c r="FD488" s="0" t="str">
        <f aca="false">IF($A488="","",IF(AND(CK488="pass",AU488="Y",AV488&lt;&gt;"Y",U488="new",EW488="N"),"Y","N"))</f>
        <v/>
      </c>
      <c r="FE488" s="0" t="str">
        <f aca="false">IF(FD488&lt;&gt;"Y","",IF(COUNTIFS($FD$2:$FD$1000,"Y",$J$2:$J$1000,"&gt;"&amp;J488)+COUNTIFS($FD$2:$FD$1000,"Y",$J$2:$J$1000,J488,$FG$2:$FG$1000,"&lt;"&amp;FG488)+1&lt;=30,COUNTIFS($FD$2:$FD$1000,"Y",$J$2:$J$1000,"&gt;"&amp;J488)+COUNTIFS($FD$2:$FD$1000,"Y",$J$2:$J$1000,J488,$FG$2:$FG$1000,"&lt;"&amp;FG488)+1,""))</f>
        <v/>
      </c>
      <c r="FF488" s="0" t="str">
        <f aca="false">IF(AND(_xlfn.ISFORMULA(C488),_xlfn.ISFORMULA(J488)),"Y","N")</f>
        <v>Y</v>
      </c>
      <c r="FG488" s="0" t="n">
        <f aca="false">ROW()-1</f>
        <v>487</v>
      </c>
    </row>
    <row r="489" customFormat="false" ht="15" hidden="false" customHeight="false" outlineLevel="0" collapsed="false">
      <c r="C489" s="0" t="str">
        <f aca="false">IF($A489="","",IF(AT489="Y",BL489&amp;"",AY489&amp;""))</f>
        <v/>
      </c>
      <c r="D489" s="0" t="str">
        <f aca="false">IF($A489="","",IF(AT489="Y",BM489&amp;"",AZ489&amp;""))</f>
        <v/>
      </c>
      <c r="E489" s="0" t="str">
        <f aca="false">IF($A489="","",IF(AT489="Y",BN489&amp;"",BA489&amp;""))</f>
        <v/>
      </c>
      <c r="F489" s="0" t="str">
        <f aca="false">IF($A489="","",IF(AT489="Y",BO489&amp;"",BB489&amp;""))</f>
        <v/>
      </c>
      <c r="G489" s="0" t="str">
        <f aca="false">IF($A489="","",IF(AT489="Y",BP489&amp;"",BC489&amp;""))</f>
        <v/>
      </c>
      <c r="H489" s="0" t="str">
        <f aca="false">IF($A489="","",IF(AT489="Y",BQ489&amp;"",BD489&amp;""))</f>
        <v/>
      </c>
      <c r="I489" s="0" t="str">
        <f aca="false">IF($A489="","",IF(R489="Y","warm-intro",IF(H489="verified","email",IF(C489&lt;&gt;"","linkedin",CA489&amp;""))))</f>
        <v/>
      </c>
      <c r="J489" s="0" t="str">
        <f aca="false">IF($A489="","",IF(CK489="pass",ROUND(N(DO489)+N(DP489)+N(DQ489)+N(DR489)+N(DS489)+N(DT489)+N(DU489)+N(DV489),0),0))</f>
        <v/>
      </c>
      <c r="K489" s="0" t="str">
        <f aca="false">IF($A489="","",IF(CK489&lt;&gt;"pass",BY489&amp;"",BY489&amp;", "&amp;IF(AT489="Y",BX489&amp;"",BK489&amp;"")&amp;BZ489&amp;IF(R489="Y","; known to the founder (+10)","")&amp;"."))</f>
        <v/>
      </c>
      <c r="R489" s="5"/>
      <c r="T489" s="5"/>
      <c r="U489" s="5"/>
      <c r="Y489" s="0" t="str">
        <f aca="false">IF(FA489&lt;&gt;"Y","",COUNTIFS($FA$2:$FA$1000,"Y",$J$2:$J$1000,"&gt;"&amp;J489)+COUNTIFS($FA$2:$FA$1000,"Y",$J$2:$J$1000,J489,$FG$2:$FG$1000,"&lt;"&amp;FG489)+1)</f>
        <v/>
      </c>
      <c r="AB489" s="0" t="str">
        <f aca="false">IF($A489="","",IF(AT489="Y",BW489&amp;"",BJ489&amp;""))</f>
        <v/>
      </c>
      <c r="AC489" s="0" t="str">
        <f aca="false">IF($A489="","",IF(AT489="Y",BR489&amp;"",BE489&amp;""))</f>
        <v/>
      </c>
      <c r="AD489" s="0" t="str">
        <f aca="false">IF($A489="","",IF(AT489="Y",BS489&amp;"",BF489&amp;""))</f>
        <v/>
      </c>
      <c r="AE489" s="0" t="str">
        <f aca="false">IF($A489="","",IF(AT489="Y",BT489&amp;"",BG489&amp;""))</f>
        <v/>
      </c>
      <c r="AF489" s="0" t="str">
        <f aca="false">IF($A489="","",IF(AT489="Y",BU489&amp;"",BH489&amp;""))</f>
        <v/>
      </c>
      <c r="AG489" s="0" t="str">
        <f aca="false">IF($A489="","",IF(AT489="Y",BV489&amp;"",BI489&amp;""))</f>
        <v/>
      </c>
      <c r="AO489" s="5"/>
      <c r="AR489" s="0" t="str">
        <f aca="false">IF($A489="","",IF(AND(CK489="pass",AO489&lt;&gt;"Y",C489&lt;&gt;"",OR(AU489&lt;&gt;"Y",AV489="Y")),"Y","N"))</f>
        <v/>
      </c>
      <c r="AS489" s="0" t="str">
        <f aca="false">IF($A489="","",_xlfn.TEXTJOIN("; ",TRUE(),IF(CK489&lt;&gt;"pass","gated out",""),IF(AO489="Y","on hold: "&amp;AP489,""),IF(C489="","no contact named on an opened page",""),IF(AND(AU489="Y",AV489&lt;&gt;"Y"),"founder review pending (Founder review tab)","")))</f>
        <v/>
      </c>
      <c r="BC489" s="0" t="str">
        <f aca="false">IF($A489="","",IFERROR(INDEX(Enrichment!$A$2:$GZ$2000,MATCH($A489,INDEX(Enrichment!$A$2:$GZ$2000,0,MATCH("row_id",Enrichment!$A$1:$GZ$1,0)),0),MATCH("work_email",Enrichment!$A$1:$GZ$1,0))&amp;"",""))</f>
        <v/>
      </c>
      <c r="BD489" s="0" t="str">
        <f aca="false">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P489" s="0" t="str">
        <f aca="false">IF($A489="","",IFERROR(INDEX(Enrichment!$A$2:$GZ$2000,MATCH($A489,INDEX(Enrichment!$A$2:$GZ$2000,0,MATCH("row_id",Enrichment!$A$1:$GZ$1,0)),0),MATCH("backup_work_email",Enrichment!$A$1:$GZ$1,0))&amp;"",""))</f>
        <v/>
      </c>
      <c r="BQ489" s="0" t="str">
        <f aca="false">IF($A489="","",IF(BP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DU489" s="0" t="str">
        <f aca="false">IF($A489="","",IF(R489="Y",10,0))</f>
        <v/>
      </c>
      <c r="EV489" s="0" t="str">
        <f aca="false">IF($A489="","",IF(ISNUMBER(MATCH(U489,{"queued","contacted","replied","call_booked","call_done","yes_in_principle","materials_sent"},0)),"Y","N"))</f>
        <v/>
      </c>
      <c r="EW489" s="0" t="str">
        <f aca="false">IF($A489="","",IF(OR(T489="Y",U489="do_not_contact",AQ489&amp;""&lt;&gt;""),"Y","N"))</f>
        <v/>
      </c>
      <c r="EX489" s="0" t="str">
        <f aca="false">IF($A489="","",IF(AN489&amp;""&lt;&gt;"",AN489&amp;"",$A489))</f>
        <v/>
      </c>
      <c r="EY489" s="0" t="str">
        <f aca="false">IF($A489="","",IF(COUNTIFS($EX$2:$EX$1000,EX489,$EV$2:$EV$1000,"Y")+COUNTIFS($EX$2:$EX$1000,EX489,$EW$2:$EW$1000,"Y")&gt;0,"Y","N"))</f>
        <v/>
      </c>
      <c r="EZ489" s="0" t="str">
        <f aca="false">IF($A489="","",IF(AND(U489="new",T489="N",EW489="N",AR489="Y",EY489="N"),"Y","N"))</f>
        <v/>
      </c>
      <c r="FA489" s="0" t="str">
        <f aca="false">IF($A489="","",IF(EZ489&lt;&gt;"Y","N",IF(COUNTIFS($EX$2:$EX$1000,EX489,$EZ$2:$EZ$1000,"Y",$J$2:$J$1000,"&gt;"&amp;J489)+COUNTIFS($EX$2:$EX$1000,EX489,$EZ$2:$EZ$1000,"Y",$J$2:$J$1000,J489,$FG$2:$FG$1000,"&lt;"&amp;FG489)=0,"Y","N")))</f>
        <v/>
      </c>
      <c r="FB489" s="0" t="str">
        <f aca="false">IF($A489="","",IF(AND(EZ489="Y",FA489="Y",Y489&amp;""&lt;&gt;""),IF(Y489&lt;=10,"Y","N"),"N"))</f>
        <v/>
      </c>
      <c r="FC489" s="0" t="str">
        <f aca="false">IF(FB489="Y",Y489,"")</f>
        <v/>
      </c>
      <c r="FD489" s="0" t="str">
        <f aca="false">IF($A489="","",IF(AND(CK489="pass",AU489="Y",AV489&lt;&gt;"Y",U489="new",EW489="N"),"Y","N"))</f>
        <v/>
      </c>
      <c r="FE489" s="0" t="str">
        <f aca="false">IF(FD489&lt;&gt;"Y","",IF(COUNTIFS($FD$2:$FD$1000,"Y",$J$2:$J$1000,"&gt;"&amp;J489)+COUNTIFS($FD$2:$FD$1000,"Y",$J$2:$J$1000,J489,$FG$2:$FG$1000,"&lt;"&amp;FG489)+1&lt;=30,COUNTIFS($FD$2:$FD$1000,"Y",$J$2:$J$1000,"&gt;"&amp;J489)+COUNTIFS($FD$2:$FD$1000,"Y",$J$2:$J$1000,J489,$FG$2:$FG$1000,"&lt;"&amp;FG489)+1,""))</f>
        <v/>
      </c>
      <c r="FF489" s="0" t="str">
        <f aca="false">IF(AND(_xlfn.ISFORMULA(C489),_xlfn.ISFORMULA(J489)),"Y","N")</f>
        <v>Y</v>
      </c>
      <c r="FG489" s="0" t="n">
        <f aca="false">ROW()-1</f>
        <v>488</v>
      </c>
    </row>
    <row r="490" customFormat="false" ht="15" hidden="false" customHeight="false" outlineLevel="0" collapsed="false">
      <c r="C490" s="0" t="str">
        <f aca="false">IF($A490="","",IF(AT490="Y",BL490&amp;"",AY490&amp;""))</f>
        <v/>
      </c>
      <c r="D490" s="0" t="str">
        <f aca="false">IF($A490="","",IF(AT490="Y",BM490&amp;"",AZ490&amp;""))</f>
        <v/>
      </c>
      <c r="E490" s="0" t="str">
        <f aca="false">IF($A490="","",IF(AT490="Y",BN490&amp;"",BA490&amp;""))</f>
        <v/>
      </c>
      <c r="F490" s="0" t="str">
        <f aca="false">IF($A490="","",IF(AT490="Y",BO490&amp;"",BB490&amp;""))</f>
        <v/>
      </c>
      <c r="G490" s="0" t="str">
        <f aca="false">IF($A490="","",IF(AT490="Y",BP490&amp;"",BC490&amp;""))</f>
        <v/>
      </c>
      <c r="H490" s="0" t="str">
        <f aca="false">IF($A490="","",IF(AT490="Y",BQ490&amp;"",BD490&amp;""))</f>
        <v/>
      </c>
      <c r="I490" s="0" t="str">
        <f aca="false">IF($A490="","",IF(R490="Y","warm-intro",IF(H490="verified","email",IF(C490&lt;&gt;"","linkedin",CA490&amp;""))))</f>
        <v/>
      </c>
      <c r="J490" s="0" t="str">
        <f aca="false">IF($A490="","",IF(CK490="pass",ROUND(N(DO490)+N(DP490)+N(DQ490)+N(DR490)+N(DS490)+N(DT490)+N(DU490)+N(DV490),0),0))</f>
        <v/>
      </c>
      <c r="K490" s="0" t="str">
        <f aca="false">IF($A490="","",IF(CK490&lt;&gt;"pass",BY490&amp;"",BY490&amp;", "&amp;IF(AT490="Y",BX490&amp;"",BK490&amp;"")&amp;BZ490&amp;IF(R490="Y","; known to the founder (+10)","")&amp;"."))</f>
        <v/>
      </c>
      <c r="R490" s="5"/>
      <c r="T490" s="5"/>
      <c r="U490" s="5"/>
      <c r="Y490" s="0" t="str">
        <f aca="false">IF(FA490&lt;&gt;"Y","",COUNTIFS($FA$2:$FA$1000,"Y",$J$2:$J$1000,"&gt;"&amp;J490)+COUNTIFS($FA$2:$FA$1000,"Y",$J$2:$J$1000,J490,$FG$2:$FG$1000,"&lt;"&amp;FG490)+1)</f>
        <v/>
      </c>
      <c r="AB490" s="0" t="str">
        <f aca="false">IF($A490="","",IF(AT490="Y",BW490&amp;"",BJ490&amp;""))</f>
        <v/>
      </c>
      <c r="AC490" s="0" t="str">
        <f aca="false">IF($A490="","",IF(AT490="Y",BR490&amp;"",BE490&amp;""))</f>
        <v/>
      </c>
      <c r="AD490" s="0" t="str">
        <f aca="false">IF($A490="","",IF(AT490="Y",BS490&amp;"",BF490&amp;""))</f>
        <v/>
      </c>
      <c r="AE490" s="0" t="str">
        <f aca="false">IF($A490="","",IF(AT490="Y",BT490&amp;"",BG490&amp;""))</f>
        <v/>
      </c>
      <c r="AF490" s="0" t="str">
        <f aca="false">IF($A490="","",IF(AT490="Y",BU490&amp;"",BH490&amp;""))</f>
        <v/>
      </c>
      <c r="AG490" s="0" t="str">
        <f aca="false">IF($A490="","",IF(AT490="Y",BV490&amp;"",BI490&amp;""))</f>
        <v/>
      </c>
      <c r="AO490" s="5"/>
      <c r="AR490" s="0" t="str">
        <f aca="false">IF($A490="","",IF(AND(CK490="pass",AO490&lt;&gt;"Y",C490&lt;&gt;"",OR(AU490&lt;&gt;"Y",AV490="Y")),"Y","N"))</f>
        <v/>
      </c>
      <c r="AS490" s="0" t="str">
        <f aca="false">IF($A490="","",_xlfn.TEXTJOIN("; ",TRUE(),IF(CK490&lt;&gt;"pass","gated out",""),IF(AO490="Y","on hold: "&amp;AP490,""),IF(C490="","no contact named on an opened page",""),IF(AND(AU490="Y",AV490&lt;&gt;"Y"),"founder review pending (Founder review tab)","")))</f>
        <v/>
      </c>
      <c r="BC490" s="0" t="str">
        <f aca="false">IF($A490="","",IFERROR(INDEX(Enrichment!$A$2:$GZ$2000,MATCH($A490,INDEX(Enrichment!$A$2:$GZ$2000,0,MATCH("row_id",Enrichment!$A$1:$GZ$1,0)),0),MATCH("work_email",Enrichment!$A$1:$GZ$1,0))&amp;"",""))</f>
        <v/>
      </c>
      <c r="BD490" s="0" t="str">
        <f aca="false">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P490" s="0" t="str">
        <f aca="false">IF($A490="","",IFERROR(INDEX(Enrichment!$A$2:$GZ$2000,MATCH($A490,INDEX(Enrichment!$A$2:$GZ$2000,0,MATCH("row_id",Enrichment!$A$1:$GZ$1,0)),0),MATCH("backup_work_email",Enrichment!$A$1:$GZ$1,0))&amp;"",""))</f>
        <v/>
      </c>
      <c r="BQ490" s="0" t="str">
        <f aca="false">IF($A490="","",IF(BP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DU490" s="0" t="str">
        <f aca="false">IF($A490="","",IF(R490="Y",10,0))</f>
        <v/>
      </c>
      <c r="EV490" s="0" t="str">
        <f aca="false">IF($A490="","",IF(ISNUMBER(MATCH(U490,{"queued","contacted","replied","call_booked","call_done","yes_in_principle","materials_sent"},0)),"Y","N"))</f>
        <v/>
      </c>
      <c r="EW490" s="0" t="str">
        <f aca="false">IF($A490="","",IF(OR(T490="Y",U490="do_not_contact",AQ490&amp;""&lt;&gt;""),"Y","N"))</f>
        <v/>
      </c>
      <c r="EX490" s="0" t="str">
        <f aca="false">IF($A490="","",IF(AN490&amp;""&lt;&gt;"",AN490&amp;"",$A490))</f>
        <v/>
      </c>
      <c r="EY490" s="0" t="str">
        <f aca="false">IF($A490="","",IF(COUNTIFS($EX$2:$EX$1000,EX490,$EV$2:$EV$1000,"Y")+COUNTIFS($EX$2:$EX$1000,EX490,$EW$2:$EW$1000,"Y")&gt;0,"Y","N"))</f>
        <v/>
      </c>
      <c r="EZ490" s="0" t="str">
        <f aca="false">IF($A490="","",IF(AND(U490="new",T490="N",EW490="N",AR490="Y",EY490="N"),"Y","N"))</f>
        <v/>
      </c>
      <c r="FA490" s="0" t="str">
        <f aca="false">IF($A490="","",IF(EZ490&lt;&gt;"Y","N",IF(COUNTIFS($EX$2:$EX$1000,EX490,$EZ$2:$EZ$1000,"Y",$J$2:$J$1000,"&gt;"&amp;J490)+COUNTIFS($EX$2:$EX$1000,EX490,$EZ$2:$EZ$1000,"Y",$J$2:$J$1000,J490,$FG$2:$FG$1000,"&lt;"&amp;FG490)=0,"Y","N")))</f>
        <v/>
      </c>
      <c r="FB490" s="0" t="str">
        <f aca="false">IF($A490="","",IF(AND(EZ490="Y",FA490="Y",Y490&amp;""&lt;&gt;""),IF(Y490&lt;=10,"Y","N"),"N"))</f>
        <v/>
      </c>
      <c r="FC490" s="0" t="str">
        <f aca="false">IF(FB490="Y",Y490,"")</f>
        <v/>
      </c>
      <c r="FD490" s="0" t="str">
        <f aca="false">IF($A490="","",IF(AND(CK490="pass",AU490="Y",AV490&lt;&gt;"Y",U490="new",EW490="N"),"Y","N"))</f>
        <v/>
      </c>
      <c r="FE490" s="0" t="str">
        <f aca="false">IF(FD490&lt;&gt;"Y","",IF(COUNTIFS($FD$2:$FD$1000,"Y",$J$2:$J$1000,"&gt;"&amp;J490)+COUNTIFS($FD$2:$FD$1000,"Y",$J$2:$J$1000,J490,$FG$2:$FG$1000,"&lt;"&amp;FG490)+1&lt;=30,COUNTIFS($FD$2:$FD$1000,"Y",$J$2:$J$1000,"&gt;"&amp;J490)+COUNTIFS($FD$2:$FD$1000,"Y",$J$2:$J$1000,J490,$FG$2:$FG$1000,"&lt;"&amp;FG490)+1,""))</f>
        <v/>
      </c>
      <c r="FF490" s="0" t="str">
        <f aca="false">IF(AND(_xlfn.ISFORMULA(C490),_xlfn.ISFORMULA(J490)),"Y","N")</f>
        <v>Y</v>
      </c>
      <c r="FG490" s="0" t="n">
        <f aca="false">ROW()-1</f>
        <v>489</v>
      </c>
    </row>
    <row r="491" customFormat="false" ht="15" hidden="false" customHeight="false" outlineLevel="0" collapsed="false">
      <c r="C491" s="0" t="str">
        <f aca="false">IF($A491="","",IF(AT491="Y",BL491&amp;"",AY491&amp;""))</f>
        <v/>
      </c>
      <c r="D491" s="0" t="str">
        <f aca="false">IF($A491="","",IF(AT491="Y",BM491&amp;"",AZ491&amp;""))</f>
        <v/>
      </c>
      <c r="E491" s="0" t="str">
        <f aca="false">IF($A491="","",IF(AT491="Y",BN491&amp;"",BA491&amp;""))</f>
        <v/>
      </c>
      <c r="F491" s="0" t="str">
        <f aca="false">IF($A491="","",IF(AT491="Y",BO491&amp;"",BB491&amp;""))</f>
        <v/>
      </c>
      <c r="G491" s="0" t="str">
        <f aca="false">IF($A491="","",IF(AT491="Y",BP491&amp;"",BC491&amp;""))</f>
        <v/>
      </c>
      <c r="H491" s="0" t="str">
        <f aca="false">IF($A491="","",IF(AT491="Y",BQ491&amp;"",BD491&amp;""))</f>
        <v/>
      </c>
      <c r="I491" s="0" t="str">
        <f aca="false">IF($A491="","",IF(R491="Y","warm-intro",IF(H491="verified","email",IF(C491&lt;&gt;"","linkedin",CA491&amp;""))))</f>
        <v/>
      </c>
      <c r="J491" s="0" t="str">
        <f aca="false">IF($A491="","",IF(CK491="pass",ROUND(N(DO491)+N(DP491)+N(DQ491)+N(DR491)+N(DS491)+N(DT491)+N(DU491)+N(DV491),0),0))</f>
        <v/>
      </c>
      <c r="K491" s="0" t="str">
        <f aca="false">IF($A491="","",IF(CK491&lt;&gt;"pass",BY491&amp;"",BY491&amp;", "&amp;IF(AT491="Y",BX491&amp;"",BK491&amp;"")&amp;BZ491&amp;IF(R491="Y","; known to the founder (+10)","")&amp;"."))</f>
        <v/>
      </c>
      <c r="R491" s="5"/>
      <c r="T491" s="5"/>
      <c r="U491" s="5"/>
      <c r="Y491" s="0" t="str">
        <f aca="false">IF(FA491&lt;&gt;"Y","",COUNTIFS($FA$2:$FA$1000,"Y",$J$2:$J$1000,"&gt;"&amp;J491)+COUNTIFS($FA$2:$FA$1000,"Y",$J$2:$J$1000,J491,$FG$2:$FG$1000,"&lt;"&amp;FG491)+1)</f>
        <v/>
      </c>
      <c r="AB491" s="0" t="str">
        <f aca="false">IF($A491="","",IF(AT491="Y",BW491&amp;"",BJ491&amp;""))</f>
        <v/>
      </c>
      <c r="AC491" s="0" t="str">
        <f aca="false">IF($A491="","",IF(AT491="Y",BR491&amp;"",BE491&amp;""))</f>
        <v/>
      </c>
      <c r="AD491" s="0" t="str">
        <f aca="false">IF($A491="","",IF(AT491="Y",BS491&amp;"",BF491&amp;""))</f>
        <v/>
      </c>
      <c r="AE491" s="0" t="str">
        <f aca="false">IF($A491="","",IF(AT491="Y",BT491&amp;"",BG491&amp;""))</f>
        <v/>
      </c>
      <c r="AF491" s="0" t="str">
        <f aca="false">IF($A491="","",IF(AT491="Y",BU491&amp;"",BH491&amp;""))</f>
        <v/>
      </c>
      <c r="AG491" s="0" t="str">
        <f aca="false">IF($A491="","",IF(AT491="Y",BV491&amp;"",BI491&amp;""))</f>
        <v/>
      </c>
      <c r="AO491" s="5"/>
      <c r="AR491" s="0" t="str">
        <f aca="false">IF($A491="","",IF(AND(CK491="pass",AO491&lt;&gt;"Y",C491&lt;&gt;"",OR(AU491&lt;&gt;"Y",AV491="Y")),"Y","N"))</f>
        <v/>
      </c>
      <c r="AS491" s="0" t="str">
        <f aca="false">IF($A491="","",_xlfn.TEXTJOIN("; ",TRUE(),IF(CK491&lt;&gt;"pass","gated out",""),IF(AO491="Y","on hold: "&amp;AP491,""),IF(C491="","no contact named on an opened page",""),IF(AND(AU491="Y",AV491&lt;&gt;"Y"),"founder review pending (Founder review tab)","")))</f>
        <v/>
      </c>
      <c r="BC491" s="0" t="str">
        <f aca="false">IF($A491="","",IFERROR(INDEX(Enrichment!$A$2:$GZ$2000,MATCH($A491,INDEX(Enrichment!$A$2:$GZ$2000,0,MATCH("row_id",Enrichment!$A$1:$GZ$1,0)),0),MATCH("work_email",Enrichment!$A$1:$GZ$1,0))&amp;"",""))</f>
        <v/>
      </c>
      <c r="BD491" s="0" t="str">
        <f aca="false">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P491" s="0" t="str">
        <f aca="false">IF($A491="","",IFERROR(INDEX(Enrichment!$A$2:$GZ$2000,MATCH($A491,INDEX(Enrichment!$A$2:$GZ$2000,0,MATCH("row_id",Enrichment!$A$1:$GZ$1,0)),0),MATCH("backup_work_email",Enrichment!$A$1:$GZ$1,0))&amp;"",""))</f>
        <v/>
      </c>
      <c r="BQ491" s="0" t="str">
        <f aca="false">IF($A491="","",IF(BP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DU491" s="0" t="str">
        <f aca="false">IF($A491="","",IF(R491="Y",10,0))</f>
        <v/>
      </c>
      <c r="EV491" s="0" t="str">
        <f aca="false">IF($A491="","",IF(ISNUMBER(MATCH(U491,{"queued","contacted","replied","call_booked","call_done","yes_in_principle","materials_sent"},0)),"Y","N"))</f>
        <v/>
      </c>
      <c r="EW491" s="0" t="str">
        <f aca="false">IF($A491="","",IF(OR(T491="Y",U491="do_not_contact",AQ491&amp;""&lt;&gt;""),"Y","N"))</f>
        <v/>
      </c>
      <c r="EX491" s="0" t="str">
        <f aca="false">IF($A491="","",IF(AN491&amp;""&lt;&gt;"",AN491&amp;"",$A491))</f>
        <v/>
      </c>
      <c r="EY491" s="0" t="str">
        <f aca="false">IF($A491="","",IF(COUNTIFS($EX$2:$EX$1000,EX491,$EV$2:$EV$1000,"Y")+COUNTIFS($EX$2:$EX$1000,EX491,$EW$2:$EW$1000,"Y")&gt;0,"Y","N"))</f>
        <v/>
      </c>
      <c r="EZ491" s="0" t="str">
        <f aca="false">IF($A491="","",IF(AND(U491="new",T491="N",EW491="N",AR491="Y",EY491="N"),"Y","N"))</f>
        <v/>
      </c>
      <c r="FA491" s="0" t="str">
        <f aca="false">IF($A491="","",IF(EZ491&lt;&gt;"Y","N",IF(COUNTIFS($EX$2:$EX$1000,EX491,$EZ$2:$EZ$1000,"Y",$J$2:$J$1000,"&gt;"&amp;J491)+COUNTIFS($EX$2:$EX$1000,EX491,$EZ$2:$EZ$1000,"Y",$J$2:$J$1000,J491,$FG$2:$FG$1000,"&lt;"&amp;FG491)=0,"Y","N")))</f>
        <v/>
      </c>
      <c r="FB491" s="0" t="str">
        <f aca="false">IF($A491="","",IF(AND(EZ491="Y",FA491="Y",Y491&amp;""&lt;&gt;""),IF(Y491&lt;=10,"Y","N"),"N"))</f>
        <v/>
      </c>
      <c r="FC491" s="0" t="str">
        <f aca="false">IF(FB491="Y",Y491,"")</f>
        <v/>
      </c>
      <c r="FD491" s="0" t="str">
        <f aca="false">IF($A491="","",IF(AND(CK491="pass",AU491="Y",AV491&lt;&gt;"Y",U491="new",EW491="N"),"Y","N"))</f>
        <v/>
      </c>
      <c r="FE491" s="0" t="str">
        <f aca="false">IF(FD491&lt;&gt;"Y","",IF(COUNTIFS($FD$2:$FD$1000,"Y",$J$2:$J$1000,"&gt;"&amp;J491)+COUNTIFS($FD$2:$FD$1000,"Y",$J$2:$J$1000,J491,$FG$2:$FG$1000,"&lt;"&amp;FG491)+1&lt;=30,COUNTIFS($FD$2:$FD$1000,"Y",$J$2:$J$1000,"&gt;"&amp;J491)+COUNTIFS($FD$2:$FD$1000,"Y",$J$2:$J$1000,J491,$FG$2:$FG$1000,"&lt;"&amp;FG491)+1,""))</f>
        <v/>
      </c>
      <c r="FF491" s="0" t="str">
        <f aca="false">IF(AND(_xlfn.ISFORMULA(C491),_xlfn.ISFORMULA(J491)),"Y","N")</f>
        <v>Y</v>
      </c>
      <c r="FG491" s="0" t="n">
        <f aca="false">ROW()-1</f>
        <v>490</v>
      </c>
    </row>
    <row r="492" customFormat="false" ht="15" hidden="false" customHeight="false" outlineLevel="0" collapsed="false">
      <c r="C492" s="0" t="str">
        <f aca="false">IF($A492="","",IF(AT492="Y",BL492&amp;"",AY492&amp;""))</f>
        <v/>
      </c>
      <c r="D492" s="0" t="str">
        <f aca="false">IF($A492="","",IF(AT492="Y",BM492&amp;"",AZ492&amp;""))</f>
        <v/>
      </c>
      <c r="E492" s="0" t="str">
        <f aca="false">IF($A492="","",IF(AT492="Y",BN492&amp;"",BA492&amp;""))</f>
        <v/>
      </c>
      <c r="F492" s="0" t="str">
        <f aca="false">IF($A492="","",IF(AT492="Y",BO492&amp;"",BB492&amp;""))</f>
        <v/>
      </c>
      <c r="G492" s="0" t="str">
        <f aca="false">IF($A492="","",IF(AT492="Y",BP492&amp;"",BC492&amp;""))</f>
        <v/>
      </c>
      <c r="H492" s="0" t="str">
        <f aca="false">IF($A492="","",IF(AT492="Y",BQ492&amp;"",BD492&amp;""))</f>
        <v/>
      </c>
      <c r="I492" s="0" t="str">
        <f aca="false">IF($A492="","",IF(R492="Y","warm-intro",IF(H492="verified","email",IF(C492&lt;&gt;"","linkedin",CA492&amp;""))))</f>
        <v/>
      </c>
      <c r="J492" s="0" t="str">
        <f aca="false">IF($A492="","",IF(CK492="pass",ROUND(N(DO492)+N(DP492)+N(DQ492)+N(DR492)+N(DS492)+N(DT492)+N(DU492)+N(DV492),0),0))</f>
        <v/>
      </c>
      <c r="K492" s="0" t="str">
        <f aca="false">IF($A492="","",IF(CK492&lt;&gt;"pass",BY492&amp;"",BY492&amp;", "&amp;IF(AT492="Y",BX492&amp;"",BK492&amp;"")&amp;BZ492&amp;IF(R492="Y","; known to the founder (+10)","")&amp;"."))</f>
        <v/>
      </c>
      <c r="R492" s="5"/>
      <c r="T492" s="5"/>
      <c r="U492" s="5"/>
      <c r="Y492" s="0" t="str">
        <f aca="false">IF(FA492&lt;&gt;"Y","",COUNTIFS($FA$2:$FA$1000,"Y",$J$2:$J$1000,"&gt;"&amp;J492)+COUNTIFS($FA$2:$FA$1000,"Y",$J$2:$J$1000,J492,$FG$2:$FG$1000,"&lt;"&amp;FG492)+1)</f>
        <v/>
      </c>
      <c r="AB492" s="0" t="str">
        <f aca="false">IF($A492="","",IF(AT492="Y",BW492&amp;"",BJ492&amp;""))</f>
        <v/>
      </c>
      <c r="AC492" s="0" t="str">
        <f aca="false">IF($A492="","",IF(AT492="Y",BR492&amp;"",BE492&amp;""))</f>
        <v/>
      </c>
      <c r="AD492" s="0" t="str">
        <f aca="false">IF($A492="","",IF(AT492="Y",BS492&amp;"",BF492&amp;""))</f>
        <v/>
      </c>
      <c r="AE492" s="0" t="str">
        <f aca="false">IF($A492="","",IF(AT492="Y",BT492&amp;"",BG492&amp;""))</f>
        <v/>
      </c>
      <c r="AF492" s="0" t="str">
        <f aca="false">IF($A492="","",IF(AT492="Y",BU492&amp;"",BH492&amp;""))</f>
        <v/>
      </c>
      <c r="AG492" s="0" t="str">
        <f aca="false">IF($A492="","",IF(AT492="Y",BV492&amp;"",BI492&amp;""))</f>
        <v/>
      </c>
      <c r="AO492" s="5"/>
      <c r="AR492" s="0" t="str">
        <f aca="false">IF($A492="","",IF(AND(CK492="pass",AO492&lt;&gt;"Y",C492&lt;&gt;"",OR(AU492&lt;&gt;"Y",AV492="Y")),"Y","N"))</f>
        <v/>
      </c>
      <c r="AS492" s="0" t="str">
        <f aca="false">IF($A492="","",_xlfn.TEXTJOIN("; ",TRUE(),IF(CK492&lt;&gt;"pass","gated out",""),IF(AO492="Y","on hold: "&amp;AP492,""),IF(C492="","no contact named on an opened page",""),IF(AND(AU492="Y",AV492&lt;&gt;"Y"),"founder review pending (Founder review tab)","")))</f>
        <v/>
      </c>
      <c r="BC492" s="0" t="str">
        <f aca="false">IF($A492="","",IFERROR(INDEX(Enrichment!$A$2:$GZ$2000,MATCH($A492,INDEX(Enrichment!$A$2:$GZ$2000,0,MATCH("row_id",Enrichment!$A$1:$GZ$1,0)),0),MATCH("work_email",Enrichment!$A$1:$GZ$1,0))&amp;"",""))</f>
        <v/>
      </c>
      <c r="BD492" s="0" t="str">
        <f aca="false">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P492" s="0" t="str">
        <f aca="false">IF($A492="","",IFERROR(INDEX(Enrichment!$A$2:$GZ$2000,MATCH($A492,INDEX(Enrichment!$A$2:$GZ$2000,0,MATCH("row_id",Enrichment!$A$1:$GZ$1,0)),0),MATCH("backup_work_email",Enrichment!$A$1:$GZ$1,0))&amp;"",""))</f>
        <v/>
      </c>
      <c r="BQ492" s="0" t="str">
        <f aca="false">IF($A492="","",IF(BP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DU492" s="0" t="str">
        <f aca="false">IF($A492="","",IF(R492="Y",10,0))</f>
        <v/>
      </c>
      <c r="EV492" s="0" t="str">
        <f aca="false">IF($A492="","",IF(ISNUMBER(MATCH(U492,{"queued","contacted","replied","call_booked","call_done","yes_in_principle","materials_sent"},0)),"Y","N"))</f>
        <v/>
      </c>
      <c r="EW492" s="0" t="str">
        <f aca="false">IF($A492="","",IF(OR(T492="Y",U492="do_not_contact",AQ492&amp;""&lt;&gt;""),"Y","N"))</f>
        <v/>
      </c>
      <c r="EX492" s="0" t="str">
        <f aca="false">IF($A492="","",IF(AN492&amp;""&lt;&gt;"",AN492&amp;"",$A492))</f>
        <v/>
      </c>
      <c r="EY492" s="0" t="str">
        <f aca="false">IF($A492="","",IF(COUNTIFS($EX$2:$EX$1000,EX492,$EV$2:$EV$1000,"Y")+COUNTIFS($EX$2:$EX$1000,EX492,$EW$2:$EW$1000,"Y")&gt;0,"Y","N"))</f>
        <v/>
      </c>
      <c r="EZ492" s="0" t="str">
        <f aca="false">IF($A492="","",IF(AND(U492="new",T492="N",EW492="N",AR492="Y",EY492="N"),"Y","N"))</f>
        <v/>
      </c>
      <c r="FA492" s="0" t="str">
        <f aca="false">IF($A492="","",IF(EZ492&lt;&gt;"Y","N",IF(COUNTIFS($EX$2:$EX$1000,EX492,$EZ$2:$EZ$1000,"Y",$J$2:$J$1000,"&gt;"&amp;J492)+COUNTIFS($EX$2:$EX$1000,EX492,$EZ$2:$EZ$1000,"Y",$J$2:$J$1000,J492,$FG$2:$FG$1000,"&lt;"&amp;FG492)=0,"Y","N")))</f>
        <v/>
      </c>
      <c r="FB492" s="0" t="str">
        <f aca="false">IF($A492="","",IF(AND(EZ492="Y",FA492="Y",Y492&amp;""&lt;&gt;""),IF(Y492&lt;=10,"Y","N"),"N"))</f>
        <v/>
      </c>
      <c r="FC492" s="0" t="str">
        <f aca="false">IF(FB492="Y",Y492,"")</f>
        <v/>
      </c>
      <c r="FD492" s="0" t="str">
        <f aca="false">IF($A492="","",IF(AND(CK492="pass",AU492="Y",AV492&lt;&gt;"Y",U492="new",EW492="N"),"Y","N"))</f>
        <v/>
      </c>
      <c r="FE492" s="0" t="str">
        <f aca="false">IF(FD492&lt;&gt;"Y","",IF(COUNTIFS($FD$2:$FD$1000,"Y",$J$2:$J$1000,"&gt;"&amp;J492)+COUNTIFS($FD$2:$FD$1000,"Y",$J$2:$J$1000,J492,$FG$2:$FG$1000,"&lt;"&amp;FG492)+1&lt;=30,COUNTIFS($FD$2:$FD$1000,"Y",$J$2:$J$1000,"&gt;"&amp;J492)+COUNTIFS($FD$2:$FD$1000,"Y",$J$2:$J$1000,J492,$FG$2:$FG$1000,"&lt;"&amp;FG492)+1,""))</f>
        <v/>
      </c>
      <c r="FF492" s="0" t="str">
        <f aca="false">IF(AND(_xlfn.ISFORMULA(C492),_xlfn.ISFORMULA(J492)),"Y","N")</f>
        <v>Y</v>
      </c>
      <c r="FG492" s="0" t="n">
        <f aca="false">ROW()-1</f>
        <v>491</v>
      </c>
    </row>
    <row r="493" customFormat="false" ht="15" hidden="false" customHeight="false" outlineLevel="0" collapsed="false">
      <c r="C493" s="0" t="str">
        <f aca="false">IF($A493="","",IF(AT493="Y",BL493&amp;"",AY493&amp;""))</f>
        <v/>
      </c>
      <c r="D493" s="0" t="str">
        <f aca="false">IF($A493="","",IF(AT493="Y",BM493&amp;"",AZ493&amp;""))</f>
        <v/>
      </c>
      <c r="E493" s="0" t="str">
        <f aca="false">IF($A493="","",IF(AT493="Y",BN493&amp;"",BA493&amp;""))</f>
        <v/>
      </c>
      <c r="F493" s="0" t="str">
        <f aca="false">IF($A493="","",IF(AT493="Y",BO493&amp;"",BB493&amp;""))</f>
        <v/>
      </c>
      <c r="G493" s="0" t="str">
        <f aca="false">IF($A493="","",IF(AT493="Y",BP493&amp;"",BC493&amp;""))</f>
        <v/>
      </c>
      <c r="H493" s="0" t="str">
        <f aca="false">IF($A493="","",IF(AT493="Y",BQ493&amp;"",BD493&amp;""))</f>
        <v/>
      </c>
      <c r="I493" s="0" t="str">
        <f aca="false">IF($A493="","",IF(R493="Y","warm-intro",IF(H493="verified","email",IF(C493&lt;&gt;"","linkedin",CA493&amp;""))))</f>
        <v/>
      </c>
      <c r="J493" s="0" t="str">
        <f aca="false">IF($A493="","",IF(CK493="pass",ROUND(N(DO493)+N(DP493)+N(DQ493)+N(DR493)+N(DS493)+N(DT493)+N(DU493)+N(DV493),0),0))</f>
        <v/>
      </c>
      <c r="K493" s="0" t="str">
        <f aca="false">IF($A493="","",IF(CK493&lt;&gt;"pass",BY493&amp;"",BY493&amp;", "&amp;IF(AT493="Y",BX493&amp;"",BK493&amp;"")&amp;BZ493&amp;IF(R493="Y","; known to the founder (+10)","")&amp;"."))</f>
        <v/>
      </c>
      <c r="R493" s="5"/>
      <c r="T493" s="5"/>
      <c r="U493" s="5"/>
      <c r="Y493" s="0" t="str">
        <f aca="false">IF(FA493&lt;&gt;"Y","",COUNTIFS($FA$2:$FA$1000,"Y",$J$2:$J$1000,"&gt;"&amp;J493)+COUNTIFS($FA$2:$FA$1000,"Y",$J$2:$J$1000,J493,$FG$2:$FG$1000,"&lt;"&amp;FG493)+1)</f>
        <v/>
      </c>
      <c r="AB493" s="0" t="str">
        <f aca="false">IF($A493="","",IF(AT493="Y",BW493&amp;"",BJ493&amp;""))</f>
        <v/>
      </c>
      <c r="AC493" s="0" t="str">
        <f aca="false">IF($A493="","",IF(AT493="Y",BR493&amp;"",BE493&amp;""))</f>
        <v/>
      </c>
      <c r="AD493" s="0" t="str">
        <f aca="false">IF($A493="","",IF(AT493="Y",BS493&amp;"",BF493&amp;""))</f>
        <v/>
      </c>
      <c r="AE493" s="0" t="str">
        <f aca="false">IF($A493="","",IF(AT493="Y",BT493&amp;"",BG493&amp;""))</f>
        <v/>
      </c>
      <c r="AF493" s="0" t="str">
        <f aca="false">IF($A493="","",IF(AT493="Y",BU493&amp;"",BH493&amp;""))</f>
        <v/>
      </c>
      <c r="AG493" s="0" t="str">
        <f aca="false">IF($A493="","",IF(AT493="Y",BV493&amp;"",BI493&amp;""))</f>
        <v/>
      </c>
      <c r="AO493" s="5"/>
      <c r="AR493" s="0" t="str">
        <f aca="false">IF($A493="","",IF(AND(CK493="pass",AO493&lt;&gt;"Y",C493&lt;&gt;"",OR(AU493&lt;&gt;"Y",AV493="Y")),"Y","N"))</f>
        <v/>
      </c>
      <c r="AS493" s="0" t="str">
        <f aca="false">IF($A493="","",_xlfn.TEXTJOIN("; ",TRUE(),IF(CK493&lt;&gt;"pass","gated out",""),IF(AO493="Y","on hold: "&amp;AP493,""),IF(C493="","no contact named on an opened page",""),IF(AND(AU493="Y",AV493&lt;&gt;"Y"),"founder review pending (Founder review tab)","")))</f>
        <v/>
      </c>
      <c r="BC493" s="0" t="str">
        <f aca="false">IF($A493="","",IFERROR(INDEX(Enrichment!$A$2:$GZ$2000,MATCH($A493,INDEX(Enrichment!$A$2:$GZ$2000,0,MATCH("row_id",Enrichment!$A$1:$GZ$1,0)),0),MATCH("work_email",Enrichment!$A$1:$GZ$1,0))&amp;"",""))</f>
        <v/>
      </c>
      <c r="BD493" s="0" t="str">
        <f aca="false">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P493" s="0" t="str">
        <f aca="false">IF($A493="","",IFERROR(INDEX(Enrichment!$A$2:$GZ$2000,MATCH($A493,INDEX(Enrichment!$A$2:$GZ$2000,0,MATCH("row_id",Enrichment!$A$1:$GZ$1,0)),0),MATCH("backup_work_email",Enrichment!$A$1:$GZ$1,0))&amp;"",""))</f>
        <v/>
      </c>
      <c r="BQ493" s="0" t="str">
        <f aca="false">IF($A493="","",IF(BP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DU493" s="0" t="str">
        <f aca="false">IF($A493="","",IF(R493="Y",10,0))</f>
        <v/>
      </c>
      <c r="EV493" s="0" t="str">
        <f aca="false">IF($A493="","",IF(ISNUMBER(MATCH(U493,{"queued","contacted","replied","call_booked","call_done","yes_in_principle","materials_sent"},0)),"Y","N"))</f>
        <v/>
      </c>
      <c r="EW493" s="0" t="str">
        <f aca="false">IF($A493="","",IF(OR(T493="Y",U493="do_not_contact",AQ493&amp;""&lt;&gt;""),"Y","N"))</f>
        <v/>
      </c>
      <c r="EX493" s="0" t="str">
        <f aca="false">IF($A493="","",IF(AN493&amp;""&lt;&gt;"",AN493&amp;"",$A493))</f>
        <v/>
      </c>
      <c r="EY493" s="0" t="str">
        <f aca="false">IF($A493="","",IF(COUNTIFS($EX$2:$EX$1000,EX493,$EV$2:$EV$1000,"Y")+COUNTIFS($EX$2:$EX$1000,EX493,$EW$2:$EW$1000,"Y")&gt;0,"Y","N"))</f>
        <v/>
      </c>
      <c r="EZ493" s="0" t="str">
        <f aca="false">IF($A493="","",IF(AND(U493="new",T493="N",EW493="N",AR493="Y",EY493="N"),"Y","N"))</f>
        <v/>
      </c>
      <c r="FA493" s="0" t="str">
        <f aca="false">IF($A493="","",IF(EZ493&lt;&gt;"Y","N",IF(COUNTIFS($EX$2:$EX$1000,EX493,$EZ$2:$EZ$1000,"Y",$J$2:$J$1000,"&gt;"&amp;J493)+COUNTIFS($EX$2:$EX$1000,EX493,$EZ$2:$EZ$1000,"Y",$J$2:$J$1000,J493,$FG$2:$FG$1000,"&lt;"&amp;FG493)=0,"Y","N")))</f>
        <v/>
      </c>
      <c r="FB493" s="0" t="str">
        <f aca="false">IF($A493="","",IF(AND(EZ493="Y",FA493="Y",Y493&amp;""&lt;&gt;""),IF(Y493&lt;=10,"Y","N"),"N"))</f>
        <v/>
      </c>
      <c r="FC493" s="0" t="str">
        <f aca="false">IF(FB493="Y",Y493,"")</f>
        <v/>
      </c>
      <c r="FD493" s="0" t="str">
        <f aca="false">IF($A493="","",IF(AND(CK493="pass",AU493="Y",AV493&lt;&gt;"Y",U493="new",EW493="N"),"Y","N"))</f>
        <v/>
      </c>
      <c r="FE493" s="0" t="str">
        <f aca="false">IF(FD493&lt;&gt;"Y","",IF(COUNTIFS($FD$2:$FD$1000,"Y",$J$2:$J$1000,"&gt;"&amp;J493)+COUNTIFS($FD$2:$FD$1000,"Y",$J$2:$J$1000,J493,$FG$2:$FG$1000,"&lt;"&amp;FG493)+1&lt;=30,COUNTIFS($FD$2:$FD$1000,"Y",$J$2:$J$1000,"&gt;"&amp;J493)+COUNTIFS($FD$2:$FD$1000,"Y",$J$2:$J$1000,J493,$FG$2:$FG$1000,"&lt;"&amp;FG493)+1,""))</f>
        <v/>
      </c>
      <c r="FF493" s="0" t="str">
        <f aca="false">IF(AND(_xlfn.ISFORMULA(C493),_xlfn.ISFORMULA(J493)),"Y","N")</f>
        <v>Y</v>
      </c>
      <c r="FG493" s="0" t="n">
        <f aca="false">ROW()-1</f>
        <v>492</v>
      </c>
    </row>
    <row r="494" customFormat="false" ht="15" hidden="false" customHeight="false" outlineLevel="0" collapsed="false">
      <c r="C494" s="0" t="str">
        <f aca="false">IF($A494="","",IF(AT494="Y",BL494&amp;"",AY494&amp;""))</f>
        <v/>
      </c>
      <c r="D494" s="0" t="str">
        <f aca="false">IF($A494="","",IF(AT494="Y",BM494&amp;"",AZ494&amp;""))</f>
        <v/>
      </c>
      <c r="E494" s="0" t="str">
        <f aca="false">IF($A494="","",IF(AT494="Y",BN494&amp;"",BA494&amp;""))</f>
        <v/>
      </c>
      <c r="F494" s="0" t="str">
        <f aca="false">IF($A494="","",IF(AT494="Y",BO494&amp;"",BB494&amp;""))</f>
        <v/>
      </c>
      <c r="G494" s="0" t="str">
        <f aca="false">IF($A494="","",IF(AT494="Y",BP494&amp;"",BC494&amp;""))</f>
        <v/>
      </c>
      <c r="H494" s="0" t="str">
        <f aca="false">IF($A494="","",IF(AT494="Y",BQ494&amp;"",BD494&amp;""))</f>
        <v/>
      </c>
      <c r="I494" s="0" t="str">
        <f aca="false">IF($A494="","",IF(R494="Y","warm-intro",IF(H494="verified","email",IF(C494&lt;&gt;"","linkedin",CA494&amp;""))))</f>
        <v/>
      </c>
      <c r="J494" s="0" t="str">
        <f aca="false">IF($A494="","",IF(CK494="pass",ROUND(N(DO494)+N(DP494)+N(DQ494)+N(DR494)+N(DS494)+N(DT494)+N(DU494)+N(DV494),0),0))</f>
        <v/>
      </c>
      <c r="K494" s="0" t="str">
        <f aca="false">IF($A494="","",IF(CK494&lt;&gt;"pass",BY494&amp;"",BY494&amp;", "&amp;IF(AT494="Y",BX494&amp;"",BK494&amp;"")&amp;BZ494&amp;IF(R494="Y","; known to the founder (+10)","")&amp;"."))</f>
        <v/>
      </c>
      <c r="R494" s="5"/>
      <c r="T494" s="5"/>
      <c r="U494" s="5"/>
      <c r="Y494" s="0" t="str">
        <f aca="false">IF(FA494&lt;&gt;"Y","",COUNTIFS($FA$2:$FA$1000,"Y",$J$2:$J$1000,"&gt;"&amp;J494)+COUNTIFS($FA$2:$FA$1000,"Y",$J$2:$J$1000,J494,$FG$2:$FG$1000,"&lt;"&amp;FG494)+1)</f>
        <v/>
      </c>
      <c r="AB494" s="0" t="str">
        <f aca="false">IF($A494="","",IF(AT494="Y",BW494&amp;"",BJ494&amp;""))</f>
        <v/>
      </c>
      <c r="AC494" s="0" t="str">
        <f aca="false">IF($A494="","",IF(AT494="Y",BR494&amp;"",BE494&amp;""))</f>
        <v/>
      </c>
      <c r="AD494" s="0" t="str">
        <f aca="false">IF($A494="","",IF(AT494="Y",BS494&amp;"",BF494&amp;""))</f>
        <v/>
      </c>
      <c r="AE494" s="0" t="str">
        <f aca="false">IF($A494="","",IF(AT494="Y",BT494&amp;"",BG494&amp;""))</f>
        <v/>
      </c>
      <c r="AF494" s="0" t="str">
        <f aca="false">IF($A494="","",IF(AT494="Y",BU494&amp;"",BH494&amp;""))</f>
        <v/>
      </c>
      <c r="AG494" s="0" t="str">
        <f aca="false">IF($A494="","",IF(AT494="Y",BV494&amp;"",BI494&amp;""))</f>
        <v/>
      </c>
      <c r="AO494" s="5"/>
      <c r="AR494" s="0" t="str">
        <f aca="false">IF($A494="","",IF(AND(CK494="pass",AO494&lt;&gt;"Y",C494&lt;&gt;"",OR(AU494&lt;&gt;"Y",AV494="Y")),"Y","N"))</f>
        <v/>
      </c>
      <c r="AS494" s="0" t="str">
        <f aca="false">IF($A494="","",_xlfn.TEXTJOIN("; ",TRUE(),IF(CK494&lt;&gt;"pass","gated out",""),IF(AO494="Y","on hold: "&amp;AP494,""),IF(C494="","no contact named on an opened page",""),IF(AND(AU494="Y",AV494&lt;&gt;"Y"),"founder review pending (Founder review tab)","")))</f>
        <v/>
      </c>
      <c r="BC494" s="0" t="str">
        <f aca="false">IF($A494="","",IFERROR(INDEX(Enrichment!$A$2:$GZ$2000,MATCH($A494,INDEX(Enrichment!$A$2:$GZ$2000,0,MATCH("row_id",Enrichment!$A$1:$GZ$1,0)),0),MATCH("work_email",Enrichment!$A$1:$GZ$1,0))&amp;"",""))</f>
        <v/>
      </c>
      <c r="BD494" s="0" t="str">
        <f aca="false">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P494" s="0" t="str">
        <f aca="false">IF($A494="","",IFERROR(INDEX(Enrichment!$A$2:$GZ$2000,MATCH($A494,INDEX(Enrichment!$A$2:$GZ$2000,0,MATCH("row_id",Enrichment!$A$1:$GZ$1,0)),0),MATCH("backup_work_email",Enrichment!$A$1:$GZ$1,0))&amp;"",""))</f>
        <v/>
      </c>
      <c r="BQ494" s="0" t="str">
        <f aca="false">IF($A494="","",IF(BP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DU494" s="0" t="str">
        <f aca="false">IF($A494="","",IF(R494="Y",10,0))</f>
        <v/>
      </c>
      <c r="EV494" s="0" t="str">
        <f aca="false">IF($A494="","",IF(ISNUMBER(MATCH(U494,{"queued","contacted","replied","call_booked","call_done","yes_in_principle","materials_sent"},0)),"Y","N"))</f>
        <v/>
      </c>
      <c r="EW494" s="0" t="str">
        <f aca="false">IF($A494="","",IF(OR(T494="Y",U494="do_not_contact",AQ494&amp;""&lt;&gt;""),"Y","N"))</f>
        <v/>
      </c>
      <c r="EX494" s="0" t="str">
        <f aca="false">IF($A494="","",IF(AN494&amp;""&lt;&gt;"",AN494&amp;"",$A494))</f>
        <v/>
      </c>
      <c r="EY494" s="0" t="str">
        <f aca="false">IF($A494="","",IF(COUNTIFS($EX$2:$EX$1000,EX494,$EV$2:$EV$1000,"Y")+COUNTIFS($EX$2:$EX$1000,EX494,$EW$2:$EW$1000,"Y")&gt;0,"Y","N"))</f>
        <v/>
      </c>
      <c r="EZ494" s="0" t="str">
        <f aca="false">IF($A494="","",IF(AND(U494="new",T494="N",EW494="N",AR494="Y",EY494="N"),"Y","N"))</f>
        <v/>
      </c>
      <c r="FA494" s="0" t="str">
        <f aca="false">IF($A494="","",IF(EZ494&lt;&gt;"Y","N",IF(COUNTIFS($EX$2:$EX$1000,EX494,$EZ$2:$EZ$1000,"Y",$J$2:$J$1000,"&gt;"&amp;J494)+COUNTIFS($EX$2:$EX$1000,EX494,$EZ$2:$EZ$1000,"Y",$J$2:$J$1000,J494,$FG$2:$FG$1000,"&lt;"&amp;FG494)=0,"Y","N")))</f>
        <v/>
      </c>
      <c r="FB494" s="0" t="str">
        <f aca="false">IF($A494="","",IF(AND(EZ494="Y",FA494="Y",Y494&amp;""&lt;&gt;""),IF(Y494&lt;=10,"Y","N"),"N"))</f>
        <v/>
      </c>
      <c r="FC494" s="0" t="str">
        <f aca="false">IF(FB494="Y",Y494,"")</f>
        <v/>
      </c>
      <c r="FD494" s="0" t="str">
        <f aca="false">IF($A494="","",IF(AND(CK494="pass",AU494="Y",AV494&lt;&gt;"Y",U494="new",EW494="N"),"Y","N"))</f>
        <v/>
      </c>
      <c r="FE494" s="0" t="str">
        <f aca="false">IF(FD494&lt;&gt;"Y","",IF(COUNTIFS($FD$2:$FD$1000,"Y",$J$2:$J$1000,"&gt;"&amp;J494)+COUNTIFS($FD$2:$FD$1000,"Y",$J$2:$J$1000,J494,$FG$2:$FG$1000,"&lt;"&amp;FG494)+1&lt;=30,COUNTIFS($FD$2:$FD$1000,"Y",$J$2:$J$1000,"&gt;"&amp;J494)+COUNTIFS($FD$2:$FD$1000,"Y",$J$2:$J$1000,J494,$FG$2:$FG$1000,"&lt;"&amp;FG494)+1,""))</f>
        <v/>
      </c>
      <c r="FF494" s="0" t="str">
        <f aca="false">IF(AND(_xlfn.ISFORMULA(C494),_xlfn.ISFORMULA(J494)),"Y","N")</f>
        <v>Y</v>
      </c>
      <c r="FG494" s="0" t="n">
        <f aca="false">ROW()-1</f>
        <v>493</v>
      </c>
    </row>
    <row r="495" customFormat="false" ht="15" hidden="false" customHeight="false" outlineLevel="0" collapsed="false">
      <c r="C495" s="0" t="str">
        <f aca="false">IF($A495="","",IF(AT495="Y",BL495&amp;"",AY495&amp;""))</f>
        <v/>
      </c>
      <c r="D495" s="0" t="str">
        <f aca="false">IF($A495="","",IF(AT495="Y",BM495&amp;"",AZ495&amp;""))</f>
        <v/>
      </c>
      <c r="E495" s="0" t="str">
        <f aca="false">IF($A495="","",IF(AT495="Y",BN495&amp;"",BA495&amp;""))</f>
        <v/>
      </c>
      <c r="F495" s="0" t="str">
        <f aca="false">IF($A495="","",IF(AT495="Y",BO495&amp;"",BB495&amp;""))</f>
        <v/>
      </c>
      <c r="G495" s="0" t="str">
        <f aca="false">IF($A495="","",IF(AT495="Y",BP495&amp;"",BC495&amp;""))</f>
        <v/>
      </c>
      <c r="H495" s="0" t="str">
        <f aca="false">IF($A495="","",IF(AT495="Y",BQ495&amp;"",BD495&amp;""))</f>
        <v/>
      </c>
      <c r="I495" s="0" t="str">
        <f aca="false">IF($A495="","",IF(R495="Y","warm-intro",IF(H495="verified","email",IF(C495&lt;&gt;"","linkedin",CA495&amp;""))))</f>
        <v/>
      </c>
      <c r="J495" s="0" t="str">
        <f aca="false">IF($A495="","",IF(CK495="pass",ROUND(N(DO495)+N(DP495)+N(DQ495)+N(DR495)+N(DS495)+N(DT495)+N(DU495)+N(DV495),0),0))</f>
        <v/>
      </c>
      <c r="K495" s="0" t="str">
        <f aca="false">IF($A495="","",IF(CK495&lt;&gt;"pass",BY495&amp;"",BY495&amp;", "&amp;IF(AT495="Y",BX495&amp;"",BK495&amp;"")&amp;BZ495&amp;IF(R495="Y","; known to the founder (+10)","")&amp;"."))</f>
        <v/>
      </c>
      <c r="R495" s="5"/>
      <c r="T495" s="5"/>
      <c r="U495" s="5"/>
      <c r="Y495" s="0" t="str">
        <f aca="false">IF(FA495&lt;&gt;"Y","",COUNTIFS($FA$2:$FA$1000,"Y",$J$2:$J$1000,"&gt;"&amp;J495)+COUNTIFS($FA$2:$FA$1000,"Y",$J$2:$J$1000,J495,$FG$2:$FG$1000,"&lt;"&amp;FG495)+1)</f>
        <v/>
      </c>
      <c r="AB495" s="0" t="str">
        <f aca="false">IF($A495="","",IF(AT495="Y",BW495&amp;"",BJ495&amp;""))</f>
        <v/>
      </c>
      <c r="AC495" s="0" t="str">
        <f aca="false">IF($A495="","",IF(AT495="Y",BR495&amp;"",BE495&amp;""))</f>
        <v/>
      </c>
      <c r="AD495" s="0" t="str">
        <f aca="false">IF($A495="","",IF(AT495="Y",BS495&amp;"",BF495&amp;""))</f>
        <v/>
      </c>
      <c r="AE495" s="0" t="str">
        <f aca="false">IF($A495="","",IF(AT495="Y",BT495&amp;"",BG495&amp;""))</f>
        <v/>
      </c>
      <c r="AF495" s="0" t="str">
        <f aca="false">IF($A495="","",IF(AT495="Y",BU495&amp;"",BH495&amp;""))</f>
        <v/>
      </c>
      <c r="AG495" s="0" t="str">
        <f aca="false">IF($A495="","",IF(AT495="Y",BV495&amp;"",BI495&amp;""))</f>
        <v/>
      </c>
      <c r="AO495" s="5"/>
      <c r="AR495" s="0" t="str">
        <f aca="false">IF($A495="","",IF(AND(CK495="pass",AO495&lt;&gt;"Y",C495&lt;&gt;"",OR(AU495&lt;&gt;"Y",AV495="Y")),"Y","N"))</f>
        <v/>
      </c>
      <c r="AS495" s="0" t="str">
        <f aca="false">IF($A495="","",_xlfn.TEXTJOIN("; ",TRUE(),IF(CK495&lt;&gt;"pass","gated out",""),IF(AO495="Y","on hold: "&amp;AP495,""),IF(C495="","no contact named on an opened page",""),IF(AND(AU495="Y",AV495&lt;&gt;"Y"),"founder review pending (Founder review tab)","")))</f>
        <v/>
      </c>
      <c r="BC495" s="0" t="str">
        <f aca="false">IF($A495="","",IFERROR(INDEX(Enrichment!$A$2:$GZ$2000,MATCH($A495,INDEX(Enrichment!$A$2:$GZ$2000,0,MATCH("row_id",Enrichment!$A$1:$GZ$1,0)),0),MATCH("work_email",Enrichment!$A$1:$GZ$1,0))&amp;"",""))</f>
        <v/>
      </c>
      <c r="BD495" s="0" t="str">
        <f aca="false">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P495" s="0" t="str">
        <f aca="false">IF($A495="","",IFERROR(INDEX(Enrichment!$A$2:$GZ$2000,MATCH($A495,INDEX(Enrichment!$A$2:$GZ$2000,0,MATCH("row_id",Enrichment!$A$1:$GZ$1,0)),0),MATCH("backup_work_email",Enrichment!$A$1:$GZ$1,0))&amp;"",""))</f>
        <v/>
      </c>
      <c r="BQ495" s="0" t="str">
        <f aca="false">IF($A495="","",IF(BP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DU495" s="0" t="str">
        <f aca="false">IF($A495="","",IF(R495="Y",10,0))</f>
        <v/>
      </c>
      <c r="EV495" s="0" t="str">
        <f aca="false">IF($A495="","",IF(ISNUMBER(MATCH(U495,{"queued","contacted","replied","call_booked","call_done","yes_in_principle","materials_sent"},0)),"Y","N"))</f>
        <v/>
      </c>
      <c r="EW495" s="0" t="str">
        <f aca="false">IF($A495="","",IF(OR(T495="Y",U495="do_not_contact",AQ495&amp;""&lt;&gt;""),"Y","N"))</f>
        <v/>
      </c>
      <c r="EX495" s="0" t="str">
        <f aca="false">IF($A495="","",IF(AN495&amp;""&lt;&gt;"",AN495&amp;"",$A495))</f>
        <v/>
      </c>
      <c r="EY495" s="0" t="str">
        <f aca="false">IF($A495="","",IF(COUNTIFS($EX$2:$EX$1000,EX495,$EV$2:$EV$1000,"Y")+COUNTIFS($EX$2:$EX$1000,EX495,$EW$2:$EW$1000,"Y")&gt;0,"Y","N"))</f>
        <v/>
      </c>
      <c r="EZ495" s="0" t="str">
        <f aca="false">IF($A495="","",IF(AND(U495="new",T495="N",EW495="N",AR495="Y",EY495="N"),"Y","N"))</f>
        <v/>
      </c>
      <c r="FA495" s="0" t="str">
        <f aca="false">IF($A495="","",IF(EZ495&lt;&gt;"Y","N",IF(COUNTIFS($EX$2:$EX$1000,EX495,$EZ$2:$EZ$1000,"Y",$J$2:$J$1000,"&gt;"&amp;J495)+COUNTIFS($EX$2:$EX$1000,EX495,$EZ$2:$EZ$1000,"Y",$J$2:$J$1000,J495,$FG$2:$FG$1000,"&lt;"&amp;FG495)=0,"Y","N")))</f>
        <v/>
      </c>
      <c r="FB495" s="0" t="str">
        <f aca="false">IF($A495="","",IF(AND(EZ495="Y",FA495="Y",Y495&amp;""&lt;&gt;""),IF(Y495&lt;=10,"Y","N"),"N"))</f>
        <v/>
      </c>
      <c r="FC495" s="0" t="str">
        <f aca="false">IF(FB495="Y",Y495,"")</f>
        <v/>
      </c>
      <c r="FD495" s="0" t="str">
        <f aca="false">IF($A495="","",IF(AND(CK495="pass",AU495="Y",AV495&lt;&gt;"Y",U495="new",EW495="N"),"Y","N"))</f>
        <v/>
      </c>
      <c r="FE495" s="0" t="str">
        <f aca="false">IF(FD495&lt;&gt;"Y","",IF(COUNTIFS($FD$2:$FD$1000,"Y",$J$2:$J$1000,"&gt;"&amp;J495)+COUNTIFS($FD$2:$FD$1000,"Y",$J$2:$J$1000,J495,$FG$2:$FG$1000,"&lt;"&amp;FG495)+1&lt;=30,COUNTIFS($FD$2:$FD$1000,"Y",$J$2:$J$1000,"&gt;"&amp;J495)+COUNTIFS($FD$2:$FD$1000,"Y",$J$2:$J$1000,J495,$FG$2:$FG$1000,"&lt;"&amp;FG495)+1,""))</f>
        <v/>
      </c>
      <c r="FF495" s="0" t="str">
        <f aca="false">IF(AND(_xlfn.ISFORMULA(C495),_xlfn.ISFORMULA(J495)),"Y","N")</f>
        <v>Y</v>
      </c>
      <c r="FG495" s="0" t="n">
        <f aca="false">ROW()-1</f>
        <v>494</v>
      </c>
    </row>
    <row r="496" customFormat="false" ht="15" hidden="false" customHeight="false" outlineLevel="0" collapsed="false">
      <c r="C496" s="0" t="str">
        <f aca="false">IF($A496="","",IF(AT496="Y",BL496&amp;"",AY496&amp;""))</f>
        <v/>
      </c>
      <c r="D496" s="0" t="str">
        <f aca="false">IF($A496="","",IF(AT496="Y",BM496&amp;"",AZ496&amp;""))</f>
        <v/>
      </c>
      <c r="E496" s="0" t="str">
        <f aca="false">IF($A496="","",IF(AT496="Y",BN496&amp;"",BA496&amp;""))</f>
        <v/>
      </c>
      <c r="F496" s="0" t="str">
        <f aca="false">IF($A496="","",IF(AT496="Y",BO496&amp;"",BB496&amp;""))</f>
        <v/>
      </c>
      <c r="G496" s="0" t="str">
        <f aca="false">IF($A496="","",IF(AT496="Y",BP496&amp;"",BC496&amp;""))</f>
        <v/>
      </c>
      <c r="H496" s="0" t="str">
        <f aca="false">IF($A496="","",IF(AT496="Y",BQ496&amp;"",BD496&amp;""))</f>
        <v/>
      </c>
      <c r="I496" s="0" t="str">
        <f aca="false">IF($A496="","",IF(R496="Y","warm-intro",IF(H496="verified","email",IF(C496&lt;&gt;"","linkedin",CA496&amp;""))))</f>
        <v/>
      </c>
      <c r="J496" s="0" t="str">
        <f aca="false">IF($A496="","",IF(CK496="pass",ROUND(N(DO496)+N(DP496)+N(DQ496)+N(DR496)+N(DS496)+N(DT496)+N(DU496)+N(DV496),0),0))</f>
        <v/>
      </c>
      <c r="K496" s="0" t="str">
        <f aca="false">IF($A496="","",IF(CK496&lt;&gt;"pass",BY496&amp;"",BY496&amp;", "&amp;IF(AT496="Y",BX496&amp;"",BK496&amp;"")&amp;BZ496&amp;IF(R496="Y","; known to the founder (+10)","")&amp;"."))</f>
        <v/>
      </c>
      <c r="R496" s="5"/>
      <c r="T496" s="5"/>
      <c r="U496" s="5"/>
      <c r="Y496" s="0" t="str">
        <f aca="false">IF(FA496&lt;&gt;"Y","",COUNTIFS($FA$2:$FA$1000,"Y",$J$2:$J$1000,"&gt;"&amp;J496)+COUNTIFS($FA$2:$FA$1000,"Y",$J$2:$J$1000,J496,$FG$2:$FG$1000,"&lt;"&amp;FG496)+1)</f>
        <v/>
      </c>
      <c r="AB496" s="0" t="str">
        <f aca="false">IF($A496="","",IF(AT496="Y",BW496&amp;"",BJ496&amp;""))</f>
        <v/>
      </c>
      <c r="AC496" s="0" t="str">
        <f aca="false">IF($A496="","",IF(AT496="Y",BR496&amp;"",BE496&amp;""))</f>
        <v/>
      </c>
      <c r="AD496" s="0" t="str">
        <f aca="false">IF($A496="","",IF(AT496="Y",BS496&amp;"",BF496&amp;""))</f>
        <v/>
      </c>
      <c r="AE496" s="0" t="str">
        <f aca="false">IF($A496="","",IF(AT496="Y",BT496&amp;"",BG496&amp;""))</f>
        <v/>
      </c>
      <c r="AF496" s="0" t="str">
        <f aca="false">IF($A496="","",IF(AT496="Y",BU496&amp;"",BH496&amp;""))</f>
        <v/>
      </c>
      <c r="AG496" s="0" t="str">
        <f aca="false">IF($A496="","",IF(AT496="Y",BV496&amp;"",BI496&amp;""))</f>
        <v/>
      </c>
      <c r="AO496" s="5"/>
      <c r="AR496" s="0" t="str">
        <f aca="false">IF($A496="","",IF(AND(CK496="pass",AO496&lt;&gt;"Y",C496&lt;&gt;"",OR(AU496&lt;&gt;"Y",AV496="Y")),"Y","N"))</f>
        <v/>
      </c>
      <c r="AS496" s="0" t="str">
        <f aca="false">IF($A496="","",_xlfn.TEXTJOIN("; ",TRUE(),IF(CK496&lt;&gt;"pass","gated out",""),IF(AO496="Y","on hold: "&amp;AP496,""),IF(C496="","no contact named on an opened page",""),IF(AND(AU496="Y",AV496&lt;&gt;"Y"),"founder review pending (Founder review tab)","")))</f>
        <v/>
      </c>
      <c r="BC496" s="0" t="str">
        <f aca="false">IF($A496="","",IFERROR(INDEX(Enrichment!$A$2:$GZ$2000,MATCH($A496,INDEX(Enrichment!$A$2:$GZ$2000,0,MATCH("row_id",Enrichment!$A$1:$GZ$1,0)),0),MATCH("work_email",Enrichment!$A$1:$GZ$1,0))&amp;"",""))</f>
        <v/>
      </c>
      <c r="BD496" s="0" t="str">
        <f aca="false">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P496" s="0" t="str">
        <f aca="false">IF($A496="","",IFERROR(INDEX(Enrichment!$A$2:$GZ$2000,MATCH($A496,INDEX(Enrichment!$A$2:$GZ$2000,0,MATCH("row_id",Enrichment!$A$1:$GZ$1,0)),0),MATCH("backup_work_email",Enrichment!$A$1:$GZ$1,0))&amp;"",""))</f>
        <v/>
      </c>
      <c r="BQ496" s="0" t="str">
        <f aca="false">IF($A496="","",IF(BP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DU496" s="0" t="str">
        <f aca="false">IF($A496="","",IF(R496="Y",10,0))</f>
        <v/>
      </c>
      <c r="EV496" s="0" t="str">
        <f aca="false">IF($A496="","",IF(ISNUMBER(MATCH(U496,{"queued","contacted","replied","call_booked","call_done","yes_in_principle","materials_sent"},0)),"Y","N"))</f>
        <v/>
      </c>
      <c r="EW496" s="0" t="str">
        <f aca="false">IF($A496="","",IF(OR(T496="Y",U496="do_not_contact",AQ496&amp;""&lt;&gt;""),"Y","N"))</f>
        <v/>
      </c>
      <c r="EX496" s="0" t="str">
        <f aca="false">IF($A496="","",IF(AN496&amp;""&lt;&gt;"",AN496&amp;"",$A496))</f>
        <v/>
      </c>
      <c r="EY496" s="0" t="str">
        <f aca="false">IF($A496="","",IF(COUNTIFS($EX$2:$EX$1000,EX496,$EV$2:$EV$1000,"Y")+COUNTIFS($EX$2:$EX$1000,EX496,$EW$2:$EW$1000,"Y")&gt;0,"Y","N"))</f>
        <v/>
      </c>
      <c r="EZ496" s="0" t="str">
        <f aca="false">IF($A496="","",IF(AND(U496="new",T496="N",EW496="N",AR496="Y",EY496="N"),"Y","N"))</f>
        <v/>
      </c>
      <c r="FA496" s="0" t="str">
        <f aca="false">IF($A496="","",IF(EZ496&lt;&gt;"Y","N",IF(COUNTIFS($EX$2:$EX$1000,EX496,$EZ$2:$EZ$1000,"Y",$J$2:$J$1000,"&gt;"&amp;J496)+COUNTIFS($EX$2:$EX$1000,EX496,$EZ$2:$EZ$1000,"Y",$J$2:$J$1000,J496,$FG$2:$FG$1000,"&lt;"&amp;FG496)=0,"Y","N")))</f>
        <v/>
      </c>
      <c r="FB496" s="0" t="str">
        <f aca="false">IF($A496="","",IF(AND(EZ496="Y",FA496="Y",Y496&amp;""&lt;&gt;""),IF(Y496&lt;=10,"Y","N"),"N"))</f>
        <v/>
      </c>
      <c r="FC496" s="0" t="str">
        <f aca="false">IF(FB496="Y",Y496,"")</f>
        <v/>
      </c>
      <c r="FD496" s="0" t="str">
        <f aca="false">IF($A496="","",IF(AND(CK496="pass",AU496="Y",AV496&lt;&gt;"Y",U496="new",EW496="N"),"Y","N"))</f>
        <v/>
      </c>
      <c r="FE496" s="0" t="str">
        <f aca="false">IF(FD496&lt;&gt;"Y","",IF(COUNTIFS($FD$2:$FD$1000,"Y",$J$2:$J$1000,"&gt;"&amp;J496)+COUNTIFS($FD$2:$FD$1000,"Y",$J$2:$J$1000,J496,$FG$2:$FG$1000,"&lt;"&amp;FG496)+1&lt;=30,COUNTIFS($FD$2:$FD$1000,"Y",$J$2:$J$1000,"&gt;"&amp;J496)+COUNTIFS($FD$2:$FD$1000,"Y",$J$2:$J$1000,J496,$FG$2:$FG$1000,"&lt;"&amp;FG496)+1,""))</f>
        <v/>
      </c>
      <c r="FF496" s="0" t="str">
        <f aca="false">IF(AND(_xlfn.ISFORMULA(C496),_xlfn.ISFORMULA(J496)),"Y","N")</f>
        <v>Y</v>
      </c>
      <c r="FG496" s="0" t="n">
        <f aca="false">ROW()-1</f>
        <v>495</v>
      </c>
    </row>
    <row r="497" customFormat="false" ht="15" hidden="false" customHeight="false" outlineLevel="0" collapsed="false">
      <c r="C497" s="0" t="str">
        <f aca="false">IF($A497="","",IF(AT497="Y",BL497&amp;"",AY497&amp;""))</f>
        <v/>
      </c>
      <c r="D497" s="0" t="str">
        <f aca="false">IF($A497="","",IF(AT497="Y",BM497&amp;"",AZ497&amp;""))</f>
        <v/>
      </c>
      <c r="E497" s="0" t="str">
        <f aca="false">IF($A497="","",IF(AT497="Y",BN497&amp;"",BA497&amp;""))</f>
        <v/>
      </c>
      <c r="F497" s="0" t="str">
        <f aca="false">IF($A497="","",IF(AT497="Y",BO497&amp;"",BB497&amp;""))</f>
        <v/>
      </c>
      <c r="G497" s="0" t="str">
        <f aca="false">IF($A497="","",IF(AT497="Y",BP497&amp;"",BC497&amp;""))</f>
        <v/>
      </c>
      <c r="H497" s="0" t="str">
        <f aca="false">IF($A497="","",IF(AT497="Y",BQ497&amp;"",BD497&amp;""))</f>
        <v/>
      </c>
      <c r="I497" s="0" t="str">
        <f aca="false">IF($A497="","",IF(R497="Y","warm-intro",IF(H497="verified","email",IF(C497&lt;&gt;"","linkedin",CA497&amp;""))))</f>
        <v/>
      </c>
      <c r="J497" s="0" t="str">
        <f aca="false">IF($A497="","",IF(CK497="pass",ROUND(N(DO497)+N(DP497)+N(DQ497)+N(DR497)+N(DS497)+N(DT497)+N(DU497)+N(DV497),0),0))</f>
        <v/>
      </c>
      <c r="K497" s="0" t="str">
        <f aca="false">IF($A497="","",IF(CK497&lt;&gt;"pass",BY497&amp;"",BY497&amp;", "&amp;IF(AT497="Y",BX497&amp;"",BK497&amp;"")&amp;BZ497&amp;IF(R497="Y","; known to the founder (+10)","")&amp;"."))</f>
        <v/>
      </c>
      <c r="R497" s="5"/>
      <c r="T497" s="5"/>
      <c r="U497" s="5"/>
      <c r="Y497" s="0" t="str">
        <f aca="false">IF(FA497&lt;&gt;"Y","",COUNTIFS($FA$2:$FA$1000,"Y",$J$2:$J$1000,"&gt;"&amp;J497)+COUNTIFS($FA$2:$FA$1000,"Y",$J$2:$J$1000,J497,$FG$2:$FG$1000,"&lt;"&amp;FG497)+1)</f>
        <v/>
      </c>
      <c r="AB497" s="0" t="str">
        <f aca="false">IF($A497="","",IF(AT497="Y",BW497&amp;"",BJ497&amp;""))</f>
        <v/>
      </c>
      <c r="AC497" s="0" t="str">
        <f aca="false">IF($A497="","",IF(AT497="Y",BR497&amp;"",BE497&amp;""))</f>
        <v/>
      </c>
      <c r="AD497" s="0" t="str">
        <f aca="false">IF($A497="","",IF(AT497="Y",BS497&amp;"",BF497&amp;""))</f>
        <v/>
      </c>
      <c r="AE497" s="0" t="str">
        <f aca="false">IF($A497="","",IF(AT497="Y",BT497&amp;"",BG497&amp;""))</f>
        <v/>
      </c>
      <c r="AF497" s="0" t="str">
        <f aca="false">IF($A497="","",IF(AT497="Y",BU497&amp;"",BH497&amp;""))</f>
        <v/>
      </c>
      <c r="AG497" s="0" t="str">
        <f aca="false">IF($A497="","",IF(AT497="Y",BV497&amp;"",BI497&amp;""))</f>
        <v/>
      </c>
      <c r="AO497" s="5"/>
      <c r="AR497" s="0" t="str">
        <f aca="false">IF($A497="","",IF(AND(CK497="pass",AO497&lt;&gt;"Y",C497&lt;&gt;"",OR(AU497&lt;&gt;"Y",AV497="Y")),"Y","N"))</f>
        <v/>
      </c>
      <c r="AS497" s="0" t="str">
        <f aca="false">IF($A497="","",_xlfn.TEXTJOIN("; ",TRUE(),IF(CK497&lt;&gt;"pass","gated out",""),IF(AO497="Y","on hold: "&amp;AP497,""),IF(C497="","no contact named on an opened page",""),IF(AND(AU497="Y",AV497&lt;&gt;"Y"),"founder review pending (Founder review tab)","")))</f>
        <v/>
      </c>
      <c r="BC497" s="0" t="str">
        <f aca="false">IF($A497="","",IFERROR(INDEX(Enrichment!$A$2:$GZ$2000,MATCH($A497,INDEX(Enrichment!$A$2:$GZ$2000,0,MATCH("row_id",Enrichment!$A$1:$GZ$1,0)),0),MATCH("work_email",Enrichment!$A$1:$GZ$1,0))&amp;"",""))</f>
        <v/>
      </c>
      <c r="BD497" s="0" t="str">
        <f aca="false">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P497" s="0" t="str">
        <f aca="false">IF($A497="","",IFERROR(INDEX(Enrichment!$A$2:$GZ$2000,MATCH($A497,INDEX(Enrichment!$A$2:$GZ$2000,0,MATCH("row_id",Enrichment!$A$1:$GZ$1,0)),0),MATCH("backup_work_email",Enrichment!$A$1:$GZ$1,0))&amp;"",""))</f>
        <v/>
      </c>
      <c r="BQ497" s="0" t="str">
        <f aca="false">IF($A497="","",IF(BP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DU497" s="0" t="str">
        <f aca="false">IF($A497="","",IF(R497="Y",10,0))</f>
        <v/>
      </c>
      <c r="EV497" s="0" t="str">
        <f aca="false">IF($A497="","",IF(ISNUMBER(MATCH(U497,{"queued","contacted","replied","call_booked","call_done","yes_in_principle","materials_sent"},0)),"Y","N"))</f>
        <v/>
      </c>
      <c r="EW497" s="0" t="str">
        <f aca="false">IF($A497="","",IF(OR(T497="Y",U497="do_not_contact",AQ497&amp;""&lt;&gt;""),"Y","N"))</f>
        <v/>
      </c>
      <c r="EX497" s="0" t="str">
        <f aca="false">IF($A497="","",IF(AN497&amp;""&lt;&gt;"",AN497&amp;"",$A497))</f>
        <v/>
      </c>
      <c r="EY497" s="0" t="str">
        <f aca="false">IF($A497="","",IF(COUNTIFS($EX$2:$EX$1000,EX497,$EV$2:$EV$1000,"Y")+COUNTIFS($EX$2:$EX$1000,EX497,$EW$2:$EW$1000,"Y")&gt;0,"Y","N"))</f>
        <v/>
      </c>
      <c r="EZ497" s="0" t="str">
        <f aca="false">IF($A497="","",IF(AND(U497="new",T497="N",EW497="N",AR497="Y",EY497="N"),"Y","N"))</f>
        <v/>
      </c>
      <c r="FA497" s="0" t="str">
        <f aca="false">IF($A497="","",IF(EZ497&lt;&gt;"Y","N",IF(COUNTIFS($EX$2:$EX$1000,EX497,$EZ$2:$EZ$1000,"Y",$J$2:$J$1000,"&gt;"&amp;J497)+COUNTIFS($EX$2:$EX$1000,EX497,$EZ$2:$EZ$1000,"Y",$J$2:$J$1000,J497,$FG$2:$FG$1000,"&lt;"&amp;FG497)=0,"Y","N")))</f>
        <v/>
      </c>
      <c r="FB497" s="0" t="str">
        <f aca="false">IF($A497="","",IF(AND(EZ497="Y",FA497="Y",Y497&amp;""&lt;&gt;""),IF(Y497&lt;=10,"Y","N"),"N"))</f>
        <v/>
      </c>
      <c r="FC497" s="0" t="str">
        <f aca="false">IF(FB497="Y",Y497,"")</f>
        <v/>
      </c>
      <c r="FD497" s="0" t="str">
        <f aca="false">IF($A497="","",IF(AND(CK497="pass",AU497="Y",AV497&lt;&gt;"Y",U497="new",EW497="N"),"Y","N"))</f>
        <v/>
      </c>
      <c r="FE497" s="0" t="str">
        <f aca="false">IF(FD497&lt;&gt;"Y","",IF(COUNTIFS($FD$2:$FD$1000,"Y",$J$2:$J$1000,"&gt;"&amp;J497)+COUNTIFS($FD$2:$FD$1000,"Y",$J$2:$J$1000,J497,$FG$2:$FG$1000,"&lt;"&amp;FG497)+1&lt;=30,COUNTIFS($FD$2:$FD$1000,"Y",$J$2:$J$1000,"&gt;"&amp;J497)+COUNTIFS($FD$2:$FD$1000,"Y",$J$2:$J$1000,J497,$FG$2:$FG$1000,"&lt;"&amp;FG497)+1,""))</f>
        <v/>
      </c>
      <c r="FF497" s="0" t="str">
        <f aca="false">IF(AND(_xlfn.ISFORMULA(C497),_xlfn.ISFORMULA(J497)),"Y","N")</f>
        <v>Y</v>
      </c>
      <c r="FG497" s="0" t="n">
        <f aca="false">ROW()-1</f>
        <v>496</v>
      </c>
    </row>
    <row r="498" customFormat="false" ht="15" hidden="false" customHeight="false" outlineLevel="0" collapsed="false">
      <c r="C498" s="0" t="str">
        <f aca="false">IF($A498="","",IF(AT498="Y",BL498&amp;"",AY498&amp;""))</f>
        <v/>
      </c>
      <c r="D498" s="0" t="str">
        <f aca="false">IF($A498="","",IF(AT498="Y",BM498&amp;"",AZ498&amp;""))</f>
        <v/>
      </c>
      <c r="E498" s="0" t="str">
        <f aca="false">IF($A498="","",IF(AT498="Y",BN498&amp;"",BA498&amp;""))</f>
        <v/>
      </c>
      <c r="F498" s="0" t="str">
        <f aca="false">IF($A498="","",IF(AT498="Y",BO498&amp;"",BB498&amp;""))</f>
        <v/>
      </c>
      <c r="G498" s="0" t="str">
        <f aca="false">IF($A498="","",IF(AT498="Y",BP498&amp;"",BC498&amp;""))</f>
        <v/>
      </c>
      <c r="H498" s="0" t="str">
        <f aca="false">IF($A498="","",IF(AT498="Y",BQ498&amp;"",BD498&amp;""))</f>
        <v/>
      </c>
      <c r="I498" s="0" t="str">
        <f aca="false">IF($A498="","",IF(R498="Y","warm-intro",IF(H498="verified","email",IF(C498&lt;&gt;"","linkedin",CA498&amp;""))))</f>
        <v/>
      </c>
      <c r="J498" s="0" t="str">
        <f aca="false">IF($A498="","",IF(CK498="pass",ROUND(N(DO498)+N(DP498)+N(DQ498)+N(DR498)+N(DS498)+N(DT498)+N(DU498)+N(DV498),0),0))</f>
        <v/>
      </c>
      <c r="K498" s="0" t="str">
        <f aca="false">IF($A498="","",IF(CK498&lt;&gt;"pass",BY498&amp;"",BY498&amp;", "&amp;IF(AT498="Y",BX498&amp;"",BK498&amp;"")&amp;BZ498&amp;IF(R498="Y","; known to the founder (+10)","")&amp;"."))</f>
        <v/>
      </c>
      <c r="R498" s="5"/>
      <c r="T498" s="5"/>
      <c r="U498" s="5"/>
      <c r="Y498" s="0" t="str">
        <f aca="false">IF(FA498&lt;&gt;"Y","",COUNTIFS($FA$2:$FA$1000,"Y",$J$2:$J$1000,"&gt;"&amp;J498)+COUNTIFS($FA$2:$FA$1000,"Y",$J$2:$J$1000,J498,$FG$2:$FG$1000,"&lt;"&amp;FG498)+1)</f>
        <v/>
      </c>
      <c r="AB498" s="0" t="str">
        <f aca="false">IF($A498="","",IF(AT498="Y",BW498&amp;"",BJ498&amp;""))</f>
        <v/>
      </c>
      <c r="AC498" s="0" t="str">
        <f aca="false">IF($A498="","",IF(AT498="Y",BR498&amp;"",BE498&amp;""))</f>
        <v/>
      </c>
      <c r="AD498" s="0" t="str">
        <f aca="false">IF($A498="","",IF(AT498="Y",BS498&amp;"",BF498&amp;""))</f>
        <v/>
      </c>
      <c r="AE498" s="0" t="str">
        <f aca="false">IF($A498="","",IF(AT498="Y",BT498&amp;"",BG498&amp;""))</f>
        <v/>
      </c>
      <c r="AF498" s="0" t="str">
        <f aca="false">IF($A498="","",IF(AT498="Y",BU498&amp;"",BH498&amp;""))</f>
        <v/>
      </c>
      <c r="AG498" s="0" t="str">
        <f aca="false">IF($A498="","",IF(AT498="Y",BV498&amp;"",BI498&amp;""))</f>
        <v/>
      </c>
      <c r="AO498" s="5"/>
      <c r="AR498" s="0" t="str">
        <f aca="false">IF($A498="","",IF(AND(CK498="pass",AO498&lt;&gt;"Y",C498&lt;&gt;"",OR(AU498&lt;&gt;"Y",AV498="Y")),"Y","N"))</f>
        <v/>
      </c>
      <c r="AS498" s="0" t="str">
        <f aca="false">IF($A498="","",_xlfn.TEXTJOIN("; ",TRUE(),IF(CK498&lt;&gt;"pass","gated out",""),IF(AO498="Y","on hold: "&amp;AP498,""),IF(C498="","no contact named on an opened page",""),IF(AND(AU498="Y",AV498&lt;&gt;"Y"),"founder review pending (Founder review tab)","")))</f>
        <v/>
      </c>
      <c r="BC498" s="0" t="str">
        <f aca="false">IF($A498="","",IFERROR(INDEX(Enrichment!$A$2:$GZ$2000,MATCH($A498,INDEX(Enrichment!$A$2:$GZ$2000,0,MATCH("row_id",Enrichment!$A$1:$GZ$1,0)),0),MATCH("work_email",Enrichment!$A$1:$GZ$1,0))&amp;"",""))</f>
        <v/>
      </c>
      <c r="BD498" s="0" t="str">
        <f aca="false">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P498" s="0" t="str">
        <f aca="false">IF($A498="","",IFERROR(INDEX(Enrichment!$A$2:$GZ$2000,MATCH($A498,INDEX(Enrichment!$A$2:$GZ$2000,0,MATCH("row_id",Enrichment!$A$1:$GZ$1,0)),0),MATCH("backup_work_email",Enrichment!$A$1:$GZ$1,0))&amp;"",""))</f>
        <v/>
      </c>
      <c r="BQ498" s="0" t="str">
        <f aca="false">IF($A498="","",IF(BP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DU498" s="0" t="str">
        <f aca="false">IF($A498="","",IF(R498="Y",10,0))</f>
        <v/>
      </c>
      <c r="EV498" s="0" t="str">
        <f aca="false">IF($A498="","",IF(ISNUMBER(MATCH(U498,{"queued","contacted","replied","call_booked","call_done","yes_in_principle","materials_sent"},0)),"Y","N"))</f>
        <v/>
      </c>
      <c r="EW498" s="0" t="str">
        <f aca="false">IF($A498="","",IF(OR(T498="Y",U498="do_not_contact",AQ498&amp;""&lt;&gt;""),"Y","N"))</f>
        <v/>
      </c>
      <c r="EX498" s="0" t="str">
        <f aca="false">IF($A498="","",IF(AN498&amp;""&lt;&gt;"",AN498&amp;"",$A498))</f>
        <v/>
      </c>
      <c r="EY498" s="0" t="str">
        <f aca="false">IF($A498="","",IF(COUNTIFS($EX$2:$EX$1000,EX498,$EV$2:$EV$1000,"Y")+COUNTIFS($EX$2:$EX$1000,EX498,$EW$2:$EW$1000,"Y")&gt;0,"Y","N"))</f>
        <v/>
      </c>
      <c r="EZ498" s="0" t="str">
        <f aca="false">IF($A498="","",IF(AND(U498="new",T498="N",EW498="N",AR498="Y",EY498="N"),"Y","N"))</f>
        <v/>
      </c>
      <c r="FA498" s="0" t="str">
        <f aca="false">IF($A498="","",IF(EZ498&lt;&gt;"Y","N",IF(COUNTIFS($EX$2:$EX$1000,EX498,$EZ$2:$EZ$1000,"Y",$J$2:$J$1000,"&gt;"&amp;J498)+COUNTIFS($EX$2:$EX$1000,EX498,$EZ$2:$EZ$1000,"Y",$J$2:$J$1000,J498,$FG$2:$FG$1000,"&lt;"&amp;FG498)=0,"Y","N")))</f>
        <v/>
      </c>
      <c r="FB498" s="0" t="str">
        <f aca="false">IF($A498="","",IF(AND(EZ498="Y",FA498="Y",Y498&amp;""&lt;&gt;""),IF(Y498&lt;=10,"Y","N"),"N"))</f>
        <v/>
      </c>
      <c r="FC498" s="0" t="str">
        <f aca="false">IF(FB498="Y",Y498,"")</f>
        <v/>
      </c>
      <c r="FD498" s="0" t="str">
        <f aca="false">IF($A498="","",IF(AND(CK498="pass",AU498="Y",AV498&lt;&gt;"Y",U498="new",EW498="N"),"Y","N"))</f>
        <v/>
      </c>
      <c r="FE498" s="0" t="str">
        <f aca="false">IF(FD498&lt;&gt;"Y","",IF(COUNTIFS($FD$2:$FD$1000,"Y",$J$2:$J$1000,"&gt;"&amp;J498)+COUNTIFS($FD$2:$FD$1000,"Y",$J$2:$J$1000,J498,$FG$2:$FG$1000,"&lt;"&amp;FG498)+1&lt;=30,COUNTIFS($FD$2:$FD$1000,"Y",$J$2:$J$1000,"&gt;"&amp;J498)+COUNTIFS($FD$2:$FD$1000,"Y",$J$2:$J$1000,J498,$FG$2:$FG$1000,"&lt;"&amp;FG498)+1,""))</f>
        <v/>
      </c>
      <c r="FF498" s="0" t="str">
        <f aca="false">IF(AND(_xlfn.ISFORMULA(C498),_xlfn.ISFORMULA(J498)),"Y","N")</f>
        <v>Y</v>
      </c>
      <c r="FG498" s="0" t="n">
        <f aca="false">ROW()-1</f>
        <v>497</v>
      </c>
    </row>
    <row r="499" customFormat="false" ht="15" hidden="false" customHeight="false" outlineLevel="0" collapsed="false">
      <c r="C499" s="0" t="str">
        <f aca="false">IF($A499="","",IF(AT499="Y",BL499&amp;"",AY499&amp;""))</f>
        <v/>
      </c>
      <c r="D499" s="0" t="str">
        <f aca="false">IF($A499="","",IF(AT499="Y",BM499&amp;"",AZ499&amp;""))</f>
        <v/>
      </c>
      <c r="E499" s="0" t="str">
        <f aca="false">IF($A499="","",IF(AT499="Y",BN499&amp;"",BA499&amp;""))</f>
        <v/>
      </c>
      <c r="F499" s="0" t="str">
        <f aca="false">IF($A499="","",IF(AT499="Y",BO499&amp;"",BB499&amp;""))</f>
        <v/>
      </c>
      <c r="G499" s="0" t="str">
        <f aca="false">IF($A499="","",IF(AT499="Y",BP499&amp;"",BC499&amp;""))</f>
        <v/>
      </c>
      <c r="H499" s="0" t="str">
        <f aca="false">IF($A499="","",IF(AT499="Y",BQ499&amp;"",BD499&amp;""))</f>
        <v/>
      </c>
      <c r="I499" s="0" t="str">
        <f aca="false">IF($A499="","",IF(R499="Y","warm-intro",IF(H499="verified","email",IF(C499&lt;&gt;"","linkedin",CA499&amp;""))))</f>
        <v/>
      </c>
      <c r="J499" s="0" t="str">
        <f aca="false">IF($A499="","",IF(CK499="pass",ROUND(N(DO499)+N(DP499)+N(DQ499)+N(DR499)+N(DS499)+N(DT499)+N(DU499)+N(DV499),0),0))</f>
        <v/>
      </c>
      <c r="K499" s="0" t="str">
        <f aca="false">IF($A499="","",IF(CK499&lt;&gt;"pass",BY499&amp;"",BY499&amp;", "&amp;IF(AT499="Y",BX499&amp;"",BK499&amp;"")&amp;BZ499&amp;IF(R499="Y","; known to the founder (+10)","")&amp;"."))</f>
        <v/>
      </c>
      <c r="R499" s="5"/>
      <c r="T499" s="5"/>
      <c r="U499" s="5"/>
      <c r="Y499" s="0" t="str">
        <f aca="false">IF(FA499&lt;&gt;"Y","",COUNTIFS($FA$2:$FA$1000,"Y",$J$2:$J$1000,"&gt;"&amp;J499)+COUNTIFS($FA$2:$FA$1000,"Y",$J$2:$J$1000,J499,$FG$2:$FG$1000,"&lt;"&amp;FG499)+1)</f>
        <v/>
      </c>
      <c r="AB499" s="0" t="str">
        <f aca="false">IF($A499="","",IF(AT499="Y",BW499&amp;"",BJ499&amp;""))</f>
        <v/>
      </c>
      <c r="AC499" s="0" t="str">
        <f aca="false">IF($A499="","",IF(AT499="Y",BR499&amp;"",BE499&amp;""))</f>
        <v/>
      </c>
      <c r="AD499" s="0" t="str">
        <f aca="false">IF($A499="","",IF(AT499="Y",BS499&amp;"",BF499&amp;""))</f>
        <v/>
      </c>
      <c r="AE499" s="0" t="str">
        <f aca="false">IF($A499="","",IF(AT499="Y",BT499&amp;"",BG499&amp;""))</f>
        <v/>
      </c>
      <c r="AF499" s="0" t="str">
        <f aca="false">IF($A499="","",IF(AT499="Y",BU499&amp;"",BH499&amp;""))</f>
        <v/>
      </c>
      <c r="AG499" s="0" t="str">
        <f aca="false">IF($A499="","",IF(AT499="Y",BV499&amp;"",BI499&amp;""))</f>
        <v/>
      </c>
      <c r="AO499" s="5"/>
      <c r="AR499" s="0" t="str">
        <f aca="false">IF($A499="","",IF(AND(CK499="pass",AO499&lt;&gt;"Y",C499&lt;&gt;"",OR(AU499&lt;&gt;"Y",AV499="Y")),"Y","N"))</f>
        <v/>
      </c>
      <c r="AS499" s="0" t="str">
        <f aca="false">IF($A499="","",_xlfn.TEXTJOIN("; ",TRUE(),IF(CK499&lt;&gt;"pass","gated out",""),IF(AO499="Y","on hold: "&amp;AP499,""),IF(C499="","no contact named on an opened page",""),IF(AND(AU499="Y",AV499&lt;&gt;"Y"),"founder review pending (Founder review tab)","")))</f>
        <v/>
      </c>
      <c r="BC499" s="0" t="str">
        <f aca="false">IF($A499="","",IFERROR(INDEX(Enrichment!$A$2:$GZ$2000,MATCH($A499,INDEX(Enrichment!$A$2:$GZ$2000,0,MATCH("row_id",Enrichment!$A$1:$GZ$1,0)),0),MATCH("work_email",Enrichment!$A$1:$GZ$1,0))&amp;"",""))</f>
        <v/>
      </c>
      <c r="BD499" s="0" t="str">
        <f aca="false">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P499" s="0" t="str">
        <f aca="false">IF($A499="","",IFERROR(INDEX(Enrichment!$A$2:$GZ$2000,MATCH($A499,INDEX(Enrichment!$A$2:$GZ$2000,0,MATCH("row_id",Enrichment!$A$1:$GZ$1,0)),0),MATCH("backup_work_email",Enrichment!$A$1:$GZ$1,0))&amp;"",""))</f>
        <v/>
      </c>
      <c r="BQ499" s="0" t="str">
        <f aca="false">IF($A499="","",IF(BP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DU499" s="0" t="str">
        <f aca="false">IF($A499="","",IF(R499="Y",10,0))</f>
        <v/>
      </c>
      <c r="EV499" s="0" t="str">
        <f aca="false">IF($A499="","",IF(ISNUMBER(MATCH(U499,{"queued","contacted","replied","call_booked","call_done","yes_in_principle","materials_sent"},0)),"Y","N"))</f>
        <v/>
      </c>
      <c r="EW499" s="0" t="str">
        <f aca="false">IF($A499="","",IF(OR(T499="Y",U499="do_not_contact",AQ499&amp;""&lt;&gt;""),"Y","N"))</f>
        <v/>
      </c>
      <c r="EX499" s="0" t="str">
        <f aca="false">IF($A499="","",IF(AN499&amp;""&lt;&gt;"",AN499&amp;"",$A499))</f>
        <v/>
      </c>
      <c r="EY499" s="0" t="str">
        <f aca="false">IF($A499="","",IF(COUNTIFS($EX$2:$EX$1000,EX499,$EV$2:$EV$1000,"Y")+COUNTIFS($EX$2:$EX$1000,EX499,$EW$2:$EW$1000,"Y")&gt;0,"Y","N"))</f>
        <v/>
      </c>
      <c r="EZ499" s="0" t="str">
        <f aca="false">IF($A499="","",IF(AND(U499="new",T499="N",EW499="N",AR499="Y",EY499="N"),"Y","N"))</f>
        <v/>
      </c>
      <c r="FA499" s="0" t="str">
        <f aca="false">IF($A499="","",IF(EZ499&lt;&gt;"Y","N",IF(COUNTIFS($EX$2:$EX$1000,EX499,$EZ$2:$EZ$1000,"Y",$J$2:$J$1000,"&gt;"&amp;J499)+COUNTIFS($EX$2:$EX$1000,EX499,$EZ$2:$EZ$1000,"Y",$J$2:$J$1000,J499,$FG$2:$FG$1000,"&lt;"&amp;FG499)=0,"Y","N")))</f>
        <v/>
      </c>
      <c r="FB499" s="0" t="str">
        <f aca="false">IF($A499="","",IF(AND(EZ499="Y",FA499="Y",Y499&amp;""&lt;&gt;""),IF(Y499&lt;=10,"Y","N"),"N"))</f>
        <v/>
      </c>
      <c r="FC499" s="0" t="str">
        <f aca="false">IF(FB499="Y",Y499,"")</f>
        <v/>
      </c>
      <c r="FD499" s="0" t="str">
        <f aca="false">IF($A499="","",IF(AND(CK499="pass",AU499="Y",AV499&lt;&gt;"Y",U499="new",EW499="N"),"Y","N"))</f>
        <v/>
      </c>
      <c r="FE499" s="0" t="str">
        <f aca="false">IF(FD499&lt;&gt;"Y","",IF(COUNTIFS($FD$2:$FD$1000,"Y",$J$2:$J$1000,"&gt;"&amp;J499)+COUNTIFS($FD$2:$FD$1000,"Y",$J$2:$J$1000,J499,$FG$2:$FG$1000,"&lt;"&amp;FG499)+1&lt;=30,COUNTIFS($FD$2:$FD$1000,"Y",$J$2:$J$1000,"&gt;"&amp;J499)+COUNTIFS($FD$2:$FD$1000,"Y",$J$2:$J$1000,J499,$FG$2:$FG$1000,"&lt;"&amp;FG499)+1,""))</f>
        <v/>
      </c>
      <c r="FF499" s="0" t="str">
        <f aca="false">IF(AND(_xlfn.ISFORMULA(C499),_xlfn.ISFORMULA(J499)),"Y","N")</f>
        <v>Y</v>
      </c>
      <c r="FG499" s="0" t="n">
        <f aca="false">ROW()-1</f>
        <v>498</v>
      </c>
    </row>
    <row r="500" customFormat="false" ht="15" hidden="false" customHeight="false" outlineLevel="0" collapsed="false">
      <c r="C500" s="0" t="str">
        <f aca="false">IF($A500="","",IF(AT500="Y",BL500&amp;"",AY500&amp;""))</f>
        <v/>
      </c>
      <c r="D500" s="0" t="str">
        <f aca="false">IF($A500="","",IF(AT500="Y",BM500&amp;"",AZ500&amp;""))</f>
        <v/>
      </c>
      <c r="E500" s="0" t="str">
        <f aca="false">IF($A500="","",IF(AT500="Y",BN500&amp;"",BA500&amp;""))</f>
        <v/>
      </c>
      <c r="F500" s="0" t="str">
        <f aca="false">IF($A500="","",IF(AT500="Y",BO500&amp;"",BB500&amp;""))</f>
        <v/>
      </c>
      <c r="G500" s="0" t="str">
        <f aca="false">IF($A500="","",IF(AT500="Y",BP500&amp;"",BC500&amp;""))</f>
        <v/>
      </c>
      <c r="H500" s="0" t="str">
        <f aca="false">IF($A500="","",IF(AT500="Y",BQ500&amp;"",BD500&amp;""))</f>
        <v/>
      </c>
      <c r="I500" s="0" t="str">
        <f aca="false">IF($A500="","",IF(R500="Y","warm-intro",IF(H500="verified","email",IF(C500&lt;&gt;"","linkedin",CA500&amp;""))))</f>
        <v/>
      </c>
      <c r="J500" s="0" t="str">
        <f aca="false">IF($A500="","",IF(CK500="pass",ROUND(N(DO500)+N(DP500)+N(DQ500)+N(DR500)+N(DS500)+N(DT500)+N(DU500)+N(DV500),0),0))</f>
        <v/>
      </c>
      <c r="K500" s="0" t="str">
        <f aca="false">IF($A500="","",IF(CK500&lt;&gt;"pass",BY500&amp;"",BY500&amp;", "&amp;IF(AT500="Y",BX500&amp;"",BK500&amp;"")&amp;BZ500&amp;IF(R500="Y","; known to the founder (+10)","")&amp;"."))</f>
        <v/>
      </c>
      <c r="R500" s="5"/>
      <c r="T500" s="5"/>
      <c r="U500" s="5"/>
      <c r="Y500" s="0" t="str">
        <f aca="false">IF(FA500&lt;&gt;"Y","",COUNTIFS($FA$2:$FA$1000,"Y",$J$2:$J$1000,"&gt;"&amp;J500)+COUNTIFS($FA$2:$FA$1000,"Y",$J$2:$J$1000,J500,$FG$2:$FG$1000,"&lt;"&amp;FG500)+1)</f>
        <v/>
      </c>
      <c r="AB500" s="0" t="str">
        <f aca="false">IF($A500="","",IF(AT500="Y",BW500&amp;"",BJ500&amp;""))</f>
        <v/>
      </c>
      <c r="AC500" s="0" t="str">
        <f aca="false">IF($A500="","",IF(AT500="Y",BR500&amp;"",BE500&amp;""))</f>
        <v/>
      </c>
      <c r="AD500" s="0" t="str">
        <f aca="false">IF($A500="","",IF(AT500="Y",BS500&amp;"",BF500&amp;""))</f>
        <v/>
      </c>
      <c r="AE500" s="0" t="str">
        <f aca="false">IF($A500="","",IF(AT500="Y",BT500&amp;"",BG500&amp;""))</f>
        <v/>
      </c>
      <c r="AF500" s="0" t="str">
        <f aca="false">IF($A500="","",IF(AT500="Y",BU500&amp;"",BH500&amp;""))</f>
        <v/>
      </c>
      <c r="AG500" s="0" t="str">
        <f aca="false">IF($A500="","",IF(AT500="Y",BV500&amp;"",BI500&amp;""))</f>
        <v/>
      </c>
      <c r="AO500" s="5"/>
      <c r="AR500" s="0" t="str">
        <f aca="false">IF($A500="","",IF(AND(CK500="pass",AO500&lt;&gt;"Y",C500&lt;&gt;"",OR(AU500&lt;&gt;"Y",AV500="Y")),"Y","N"))</f>
        <v/>
      </c>
      <c r="AS500" s="0" t="str">
        <f aca="false">IF($A500="","",_xlfn.TEXTJOIN("; ",TRUE(),IF(CK500&lt;&gt;"pass","gated out",""),IF(AO500="Y","on hold: "&amp;AP500,""),IF(C500="","no contact named on an opened page",""),IF(AND(AU500="Y",AV500&lt;&gt;"Y"),"founder review pending (Founder review tab)","")))</f>
        <v/>
      </c>
      <c r="BC500" s="0" t="str">
        <f aca="false">IF($A500="","",IFERROR(INDEX(Enrichment!$A$2:$GZ$2000,MATCH($A500,INDEX(Enrichment!$A$2:$GZ$2000,0,MATCH("row_id",Enrichment!$A$1:$GZ$1,0)),0),MATCH("work_email",Enrichment!$A$1:$GZ$1,0))&amp;"",""))</f>
        <v/>
      </c>
      <c r="BD500" s="0" t="str">
        <f aca="false">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P500" s="0" t="str">
        <f aca="false">IF($A500="","",IFERROR(INDEX(Enrichment!$A$2:$GZ$2000,MATCH($A500,INDEX(Enrichment!$A$2:$GZ$2000,0,MATCH("row_id",Enrichment!$A$1:$GZ$1,0)),0),MATCH("backup_work_email",Enrichment!$A$1:$GZ$1,0))&amp;"",""))</f>
        <v/>
      </c>
      <c r="BQ500" s="0" t="str">
        <f aca="false">IF($A500="","",IF(BP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DU500" s="0" t="str">
        <f aca="false">IF($A500="","",IF(R500="Y",10,0))</f>
        <v/>
      </c>
      <c r="EV500" s="0" t="str">
        <f aca="false">IF($A500="","",IF(ISNUMBER(MATCH(U500,{"queued","contacted","replied","call_booked","call_done","yes_in_principle","materials_sent"},0)),"Y","N"))</f>
        <v/>
      </c>
      <c r="EW500" s="0" t="str">
        <f aca="false">IF($A500="","",IF(OR(T500="Y",U500="do_not_contact",AQ500&amp;""&lt;&gt;""),"Y","N"))</f>
        <v/>
      </c>
      <c r="EX500" s="0" t="str">
        <f aca="false">IF($A500="","",IF(AN500&amp;""&lt;&gt;"",AN500&amp;"",$A500))</f>
        <v/>
      </c>
      <c r="EY500" s="0" t="str">
        <f aca="false">IF($A500="","",IF(COUNTIFS($EX$2:$EX$1000,EX500,$EV$2:$EV$1000,"Y")+COUNTIFS($EX$2:$EX$1000,EX500,$EW$2:$EW$1000,"Y")&gt;0,"Y","N"))</f>
        <v/>
      </c>
      <c r="EZ500" s="0" t="str">
        <f aca="false">IF($A500="","",IF(AND(U500="new",T500="N",EW500="N",AR500="Y",EY500="N"),"Y","N"))</f>
        <v/>
      </c>
      <c r="FA500" s="0" t="str">
        <f aca="false">IF($A500="","",IF(EZ500&lt;&gt;"Y","N",IF(COUNTIFS($EX$2:$EX$1000,EX500,$EZ$2:$EZ$1000,"Y",$J$2:$J$1000,"&gt;"&amp;J500)+COUNTIFS($EX$2:$EX$1000,EX500,$EZ$2:$EZ$1000,"Y",$J$2:$J$1000,J500,$FG$2:$FG$1000,"&lt;"&amp;FG500)=0,"Y","N")))</f>
        <v/>
      </c>
      <c r="FB500" s="0" t="str">
        <f aca="false">IF($A500="","",IF(AND(EZ500="Y",FA500="Y",Y500&amp;""&lt;&gt;""),IF(Y500&lt;=10,"Y","N"),"N"))</f>
        <v/>
      </c>
      <c r="FC500" s="0" t="str">
        <f aca="false">IF(FB500="Y",Y500,"")</f>
        <v/>
      </c>
      <c r="FD500" s="0" t="str">
        <f aca="false">IF($A500="","",IF(AND(CK500="pass",AU500="Y",AV500&lt;&gt;"Y",U500="new",EW500="N"),"Y","N"))</f>
        <v/>
      </c>
      <c r="FE500" s="0" t="str">
        <f aca="false">IF(FD500&lt;&gt;"Y","",IF(COUNTIFS($FD$2:$FD$1000,"Y",$J$2:$J$1000,"&gt;"&amp;J500)+COUNTIFS($FD$2:$FD$1000,"Y",$J$2:$J$1000,J500,$FG$2:$FG$1000,"&lt;"&amp;FG500)+1&lt;=30,COUNTIFS($FD$2:$FD$1000,"Y",$J$2:$J$1000,"&gt;"&amp;J500)+COUNTIFS($FD$2:$FD$1000,"Y",$J$2:$J$1000,J500,$FG$2:$FG$1000,"&lt;"&amp;FG500)+1,""))</f>
        <v/>
      </c>
      <c r="FF500" s="0" t="str">
        <f aca="false">IF(AND(_xlfn.ISFORMULA(C500),_xlfn.ISFORMULA(J500)),"Y","N")</f>
        <v>Y</v>
      </c>
      <c r="FG500" s="0" t="n">
        <f aca="false">ROW()-1</f>
        <v>499</v>
      </c>
    </row>
    <row r="501" customFormat="false" ht="15" hidden="false" customHeight="false" outlineLevel="0" collapsed="false">
      <c r="C501" s="0" t="str">
        <f aca="false">IF($A501="","",IF(AT501="Y",BL501&amp;"",AY501&amp;""))</f>
        <v/>
      </c>
      <c r="D501" s="0" t="str">
        <f aca="false">IF($A501="","",IF(AT501="Y",BM501&amp;"",AZ501&amp;""))</f>
        <v/>
      </c>
      <c r="E501" s="0" t="str">
        <f aca="false">IF($A501="","",IF(AT501="Y",BN501&amp;"",BA501&amp;""))</f>
        <v/>
      </c>
      <c r="F501" s="0" t="str">
        <f aca="false">IF($A501="","",IF(AT501="Y",BO501&amp;"",BB501&amp;""))</f>
        <v/>
      </c>
      <c r="G501" s="0" t="str">
        <f aca="false">IF($A501="","",IF(AT501="Y",BP501&amp;"",BC501&amp;""))</f>
        <v/>
      </c>
      <c r="H501" s="0" t="str">
        <f aca="false">IF($A501="","",IF(AT501="Y",BQ501&amp;"",BD501&amp;""))</f>
        <v/>
      </c>
      <c r="I501" s="0" t="str">
        <f aca="false">IF($A501="","",IF(R501="Y","warm-intro",IF(H501="verified","email",IF(C501&lt;&gt;"","linkedin",CA501&amp;""))))</f>
        <v/>
      </c>
      <c r="J501" s="0" t="str">
        <f aca="false">IF($A501="","",IF(CK501="pass",ROUND(N(DO501)+N(DP501)+N(DQ501)+N(DR501)+N(DS501)+N(DT501)+N(DU501)+N(DV501),0),0))</f>
        <v/>
      </c>
      <c r="K501" s="0" t="str">
        <f aca="false">IF($A501="","",IF(CK501&lt;&gt;"pass",BY501&amp;"",BY501&amp;", "&amp;IF(AT501="Y",BX501&amp;"",BK501&amp;"")&amp;BZ501&amp;IF(R501="Y","; known to the founder (+10)","")&amp;"."))</f>
        <v/>
      </c>
      <c r="R501" s="5"/>
      <c r="T501" s="5"/>
      <c r="U501" s="5"/>
      <c r="Y501" s="0" t="str">
        <f aca="false">IF(FA501&lt;&gt;"Y","",COUNTIFS($FA$2:$FA$1000,"Y",$J$2:$J$1000,"&gt;"&amp;J501)+COUNTIFS($FA$2:$FA$1000,"Y",$J$2:$J$1000,J501,$FG$2:$FG$1000,"&lt;"&amp;FG501)+1)</f>
        <v/>
      </c>
      <c r="AB501" s="0" t="str">
        <f aca="false">IF($A501="","",IF(AT501="Y",BW501&amp;"",BJ501&amp;""))</f>
        <v/>
      </c>
      <c r="AC501" s="0" t="str">
        <f aca="false">IF($A501="","",IF(AT501="Y",BR501&amp;"",BE501&amp;""))</f>
        <v/>
      </c>
      <c r="AD501" s="0" t="str">
        <f aca="false">IF($A501="","",IF(AT501="Y",BS501&amp;"",BF501&amp;""))</f>
        <v/>
      </c>
      <c r="AE501" s="0" t="str">
        <f aca="false">IF($A501="","",IF(AT501="Y",BT501&amp;"",BG501&amp;""))</f>
        <v/>
      </c>
      <c r="AF501" s="0" t="str">
        <f aca="false">IF($A501="","",IF(AT501="Y",BU501&amp;"",BH501&amp;""))</f>
        <v/>
      </c>
      <c r="AG501" s="0" t="str">
        <f aca="false">IF($A501="","",IF(AT501="Y",BV501&amp;"",BI501&amp;""))</f>
        <v/>
      </c>
      <c r="AO501" s="5"/>
      <c r="AR501" s="0" t="str">
        <f aca="false">IF($A501="","",IF(AND(CK501="pass",AO501&lt;&gt;"Y",C501&lt;&gt;"",OR(AU501&lt;&gt;"Y",AV501="Y")),"Y","N"))</f>
        <v/>
      </c>
      <c r="AS501" s="0" t="str">
        <f aca="false">IF($A501="","",_xlfn.TEXTJOIN("; ",TRUE(),IF(CK501&lt;&gt;"pass","gated out",""),IF(AO501="Y","on hold: "&amp;AP501,""),IF(C501="","no contact named on an opened page",""),IF(AND(AU501="Y",AV501&lt;&gt;"Y"),"founder review pending (Founder review tab)","")))</f>
        <v/>
      </c>
      <c r="BC501" s="0" t="str">
        <f aca="false">IF($A501="","",IFERROR(INDEX(Enrichment!$A$2:$GZ$2000,MATCH($A501,INDEX(Enrichment!$A$2:$GZ$2000,0,MATCH("row_id",Enrichment!$A$1:$GZ$1,0)),0),MATCH("work_email",Enrichment!$A$1:$GZ$1,0))&amp;"",""))</f>
        <v/>
      </c>
      <c r="BD501" s="0" t="str">
        <f aca="false">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P501" s="0" t="str">
        <f aca="false">IF($A501="","",IFERROR(INDEX(Enrichment!$A$2:$GZ$2000,MATCH($A501,INDEX(Enrichment!$A$2:$GZ$2000,0,MATCH("row_id",Enrichment!$A$1:$GZ$1,0)),0),MATCH("backup_work_email",Enrichment!$A$1:$GZ$1,0))&amp;"",""))</f>
        <v/>
      </c>
      <c r="BQ501" s="0" t="str">
        <f aca="false">IF($A501="","",IF(BP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DU501" s="0" t="str">
        <f aca="false">IF($A501="","",IF(R501="Y",10,0))</f>
        <v/>
      </c>
      <c r="EV501" s="0" t="str">
        <f aca="false">IF($A501="","",IF(ISNUMBER(MATCH(U501,{"queued","contacted","replied","call_booked","call_done","yes_in_principle","materials_sent"},0)),"Y","N"))</f>
        <v/>
      </c>
      <c r="EW501" s="0" t="str">
        <f aca="false">IF($A501="","",IF(OR(T501="Y",U501="do_not_contact",AQ501&amp;""&lt;&gt;""),"Y","N"))</f>
        <v/>
      </c>
      <c r="EX501" s="0" t="str">
        <f aca="false">IF($A501="","",IF(AN501&amp;""&lt;&gt;"",AN501&amp;"",$A501))</f>
        <v/>
      </c>
      <c r="EY501" s="0" t="str">
        <f aca="false">IF($A501="","",IF(COUNTIFS($EX$2:$EX$1000,EX501,$EV$2:$EV$1000,"Y")+COUNTIFS($EX$2:$EX$1000,EX501,$EW$2:$EW$1000,"Y")&gt;0,"Y","N"))</f>
        <v/>
      </c>
      <c r="EZ501" s="0" t="str">
        <f aca="false">IF($A501="","",IF(AND(U501="new",T501="N",EW501="N",AR501="Y",EY501="N"),"Y","N"))</f>
        <v/>
      </c>
      <c r="FA501" s="0" t="str">
        <f aca="false">IF($A501="","",IF(EZ501&lt;&gt;"Y","N",IF(COUNTIFS($EX$2:$EX$1000,EX501,$EZ$2:$EZ$1000,"Y",$J$2:$J$1000,"&gt;"&amp;J501)+COUNTIFS($EX$2:$EX$1000,EX501,$EZ$2:$EZ$1000,"Y",$J$2:$J$1000,J501,$FG$2:$FG$1000,"&lt;"&amp;FG501)=0,"Y","N")))</f>
        <v/>
      </c>
      <c r="FB501" s="0" t="str">
        <f aca="false">IF($A501="","",IF(AND(EZ501="Y",FA501="Y",Y501&amp;""&lt;&gt;""),IF(Y501&lt;=10,"Y","N"),"N"))</f>
        <v/>
      </c>
      <c r="FC501" s="0" t="str">
        <f aca="false">IF(FB501="Y",Y501,"")</f>
        <v/>
      </c>
      <c r="FD501" s="0" t="str">
        <f aca="false">IF($A501="","",IF(AND(CK501="pass",AU501="Y",AV501&lt;&gt;"Y",U501="new",EW501="N"),"Y","N"))</f>
        <v/>
      </c>
      <c r="FE501" s="0" t="str">
        <f aca="false">IF(FD501&lt;&gt;"Y","",IF(COUNTIFS($FD$2:$FD$1000,"Y",$J$2:$J$1000,"&gt;"&amp;J501)+COUNTIFS($FD$2:$FD$1000,"Y",$J$2:$J$1000,J501,$FG$2:$FG$1000,"&lt;"&amp;FG501)+1&lt;=30,COUNTIFS($FD$2:$FD$1000,"Y",$J$2:$J$1000,"&gt;"&amp;J501)+COUNTIFS($FD$2:$FD$1000,"Y",$J$2:$J$1000,J501,$FG$2:$FG$1000,"&lt;"&amp;FG501)+1,""))</f>
        <v/>
      </c>
      <c r="FF501" s="0" t="str">
        <f aca="false">IF(AND(_xlfn.ISFORMULA(C501),_xlfn.ISFORMULA(J501)),"Y","N")</f>
        <v>Y</v>
      </c>
      <c r="FG501" s="0" t="n">
        <f aca="false">ROW()-1</f>
        <v>500</v>
      </c>
    </row>
    <row r="502" customFormat="false" ht="15" hidden="false" customHeight="false" outlineLevel="0" collapsed="false">
      <c r="C502" s="0" t="str">
        <f aca="false">IF($A502="","",IF(AT502="Y",BL502&amp;"",AY502&amp;""))</f>
        <v/>
      </c>
      <c r="D502" s="0" t="str">
        <f aca="false">IF($A502="","",IF(AT502="Y",BM502&amp;"",AZ502&amp;""))</f>
        <v/>
      </c>
      <c r="E502" s="0" t="str">
        <f aca="false">IF($A502="","",IF(AT502="Y",BN502&amp;"",BA502&amp;""))</f>
        <v/>
      </c>
      <c r="F502" s="0" t="str">
        <f aca="false">IF($A502="","",IF(AT502="Y",BO502&amp;"",BB502&amp;""))</f>
        <v/>
      </c>
      <c r="G502" s="0" t="str">
        <f aca="false">IF($A502="","",IF(AT502="Y",BP502&amp;"",BC502&amp;""))</f>
        <v/>
      </c>
      <c r="H502" s="0" t="str">
        <f aca="false">IF($A502="","",IF(AT502="Y",BQ502&amp;"",BD502&amp;""))</f>
        <v/>
      </c>
      <c r="I502" s="0" t="str">
        <f aca="false">IF($A502="","",IF(R502="Y","warm-intro",IF(H502="verified","email",IF(C502&lt;&gt;"","linkedin",CA502&amp;""))))</f>
        <v/>
      </c>
      <c r="J502" s="0" t="str">
        <f aca="false">IF($A502="","",IF(CK502="pass",ROUND(N(DO502)+N(DP502)+N(DQ502)+N(DR502)+N(DS502)+N(DT502)+N(DU502)+N(DV502),0),0))</f>
        <v/>
      </c>
      <c r="K502" s="0" t="str">
        <f aca="false">IF($A502="","",IF(CK502&lt;&gt;"pass",BY502&amp;"",BY502&amp;", "&amp;IF(AT502="Y",BX502&amp;"",BK502&amp;"")&amp;BZ502&amp;IF(R502="Y","; known to the founder (+10)","")&amp;"."))</f>
        <v/>
      </c>
      <c r="R502" s="5"/>
      <c r="T502" s="5"/>
      <c r="U502" s="5"/>
      <c r="Y502" s="0" t="str">
        <f aca="false">IF(FA502&lt;&gt;"Y","",COUNTIFS($FA$2:$FA$1000,"Y",$J$2:$J$1000,"&gt;"&amp;J502)+COUNTIFS($FA$2:$FA$1000,"Y",$J$2:$J$1000,J502,$FG$2:$FG$1000,"&lt;"&amp;FG502)+1)</f>
        <v/>
      </c>
      <c r="AB502" s="0" t="str">
        <f aca="false">IF($A502="","",IF(AT502="Y",BW502&amp;"",BJ502&amp;""))</f>
        <v/>
      </c>
      <c r="AC502" s="0" t="str">
        <f aca="false">IF($A502="","",IF(AT502="Y",BR502&amp;"",BE502&amp;""))</f>
        <v/>
      </c>
      <c r="AD502" s="0" t="str">
        <f aca="false">IF($A502="","",IF(AT502="Y",BS502&amp;"",BF502&amp;""))</f>
        <v/>
      </c>
      <c r="AE502" s="0" t="str">
        <f aca="false">IF($A502="","",IF(AT502="Y",BT502&amp;"",BG502&amp;""))</f>
        <v/>
      </c>
      <c r="AF502" s="0" t="str">
        <f aca="false">IF($A502="","",IF(AT502="Y",BU502&amp;"",BH502&amp;""))</f>
        <v/>
      </c>
      <c r="AG502" s="0" t="str">
        <f aca="false">IF($A502="","",IF(AT502="Y",BV502&amp;"",BI502&amp;""))</f>
        <v/>
      </c>
      <c r="AO502" s="5"/>
      <c r="AR502" s="0" t="str">
        <f aca="false">IF($A502="","",IF(AND(CK502="pass",AO502&lt;&gt;"Y",C502&lt;&gt;"",OR(AU502&lt;&gt;"Y",AV502="Y")),"Y","N"))</f>
        <v/>
      </c>
      <c r="AS502" s="0" t="str">
        <f aca="false">IF($A502="","",_xlfn.TEXTJOIN("; ",TRUE(),IF(CK502&lt;&gt;"pass","gated out",""),IF(AO502="Y","on hold: "&amp;AP502,""),IF(C502="","no contact named on an opened page",""),IF(AND(AU502="Y",AV502&lt;&gt;"Y"),"founder review pending (Founder review tab)","")))</f>
        <v/>
      </c>
      <c r="BC502" s="0" t="str">
        <f aca="false">IF($A502="","",IFERROR(INDEX(Enrichment!$A$2:$GZ$2000,MATCH($A502,INDEX(Enrichment!$A$2:$GZ$2000,0,MATCH("row_id",Enrichment!$A$1:$GZ$1,0)),0),MATCH("work_email",Enrichment!$A$1:$GZ$1,0))&amp;"",""))</f>
        <v/>
      </c>
      <c r="BD502" s="0" t="str">
        <f aca="false">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P502" s="0" t="str">
        <f aca="false">IF($A502="","",IFERROR(INDEX(Enrichment!$A$2:$GZ$2000,MATCH($A502,INDEX(Enrichment!$A$2:$GZ$2000,0,MATCH("row_id",Enrichment!$A$1:$GZ$1,0)),0),MATCH("backup_work_email",Enrichment!$A$1:$GZ$1,0))&amp;"",""))</f>
        <v/>
      </c>
      <c r="BQ502" s="0" t="str">
        <f aca="false">IF($A502="","",IF(BP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DU502" s="0" t="str">
        <f aca="false">IF($A502="","",IF(R502="Y",10,0))</f>
        <v/>
      </c>
      <c r="EV502" s="0" t="str">
        <f aca="false">IF($A502="","",IF(ISNUMBER(MATCH(U502,{"queued","contacted","replied","call_booked","call_done","yes_in_principle","materials_sent"},0)),"Y","N"))</f>
        <v/>
      </c>
      <c r="EW502" s="0" t="str">
        <f aca="false">IF($A502="","",IF(OR(T502="Y",U502="do_not_contact",AQ502&amp;""&lt;&gt;""),"Y","N"))</f>
        <v/>
      </c>
      <c r="EX502" s="0" t="str">
        <f aca="false">IF($A502="","",IF(AN502&amp;""&lt;&gt;"",AN502&amp;"",$A502))</f>
        <v/>
      </c>
      <c r="EY502" s="0" t="str">
        <f aca="false">IF($A502="","",IF(COUNTIFS($EX$2:$EX$1000,EX502,$EV$2:$EV$1000,"Y")+COUNTIFS($EX$2:$EX$1000,EX502,$EW$2:$EW$1000,"Y")&gt;0,"Y","N"))</f>
        <v/>
      </c>
      <c r="EZ502" s="0" t="str">
        <f aca="false">IF($A502="","",IF(AND(U502="new",T502="N",EW502="N",AR502="Y",EY502="N"),"Y","N"))</f>
        <v/>
      </c>
      <c r="FA502" s="0" t="str">
        <f aca="false">IF($A502="","",IF(EZ502&lt;&gt;"Y","N",IF(COUNTIFS($EX$2:$EX$1000,EX502,$EZ$2:$EZ$1000,"Y",$J$2:$J$1000,"&gt;"&amp;J502)+COUNTIFS($EX$2:$EX$1000,EX502,$EZ$2:$EZ$1000,"Y",$J$2:$J$1000,J502,$FG$2:$FG$1000,"&lt;"&amp;FG502)=0,"Y","N")))</f>
        <v/>
      </c>
      <c r="FB502" s="0" t="str">
        <f aca="false">IF($A502="","",IF(AND(EZ502="Y",FA502="Y",Y502&amp;""&lt;&gt;""),IF(Y502&lt;=10,"Y","N"),"N"))</f>
        <v/>
      </c>
      <c r="FC502" s="0" t="str">
        <f aca="false">IF(FB502="Y",Y502,"")</f>
        <v/>
      </c>
      <c r="FD502" s="0" t="str">
        <f aca="false">IF($A502="","",IF(AND(CK502="pass",AU502="Y",AV502&lt;&gt;"Y",U502="new",EW502="N"),"Y","N"))</f>
        <v/>
      </c>
      <c r="FE502" s="0" t="str">
        <f aca="false">IF(FD502&lt;&gt;"Y","",IF(COUNTIFS($FD$2:$FD$1000,"Y",$J$2:$J$1000,"&gt;"&amp;J502)+COUNTIFS($FD$2:$FD$1000,"Y",$J$2:$J$1000,J502,$FG$2:$FG$1000,"&lt;"&amp;FG502)+1&lt;=30,COUNTIFS($FD$2:$FD$1000,"Y",$J$2:$J$1000,"&gt;"&amp;J502)+COUNTIFS($FD$2:$FD$1000,"Y",$J$2:$J$1000,J502,$FG$2:$FG$1000,"&lt;"&amp;FG502)+1,""))</f>
        <v/>
      </c>
      <c r="FF502" s="0" t="str">
        <f aca="false">IF(AND(_xlfn.ISFORMULA(C502),_xlfn.ISFORMULA(J502)),"Y","N")</f>
        <v>Y</v>
      </c>
      <c r="FG502" s="0" t="n">
        <f aca="false">ROW()-1</f>
        <v>501</v>
      </c>
    </row>
    <row r="503" customFormat="false" ht="15" hidden="false" customHeight="false" outlineLevel="0" collapsed="false">
      <c r="C503" s="0" t="str">
        <f aca="false">IF($A503="","",IF(AT503="Y",BL503&amp;"",AY503&amp;""))</f>
        <v/>
      </c>
      <c r="D503" s="0" t="str">
        <f aca="false">IF($A503="","",IF(AT503="Y",BM503&amp;"",AZ503&amp;""))</f>
        <v/>
      </c>
      <c r="E503" s="0" t="str">
        <f aca="false">IF($A503="","",IF(AT503="Y",BN503&amp;"",BA503&amp;""))</f>
        <v/>
      </c>
      <c r="F503" s="0" t="str">
        <f aca="false">IF($A503="","",IF(AT503="Y",BO503&amp;"",BB503&amp;""))</f>
        <v/>
      </c>
      <c r="G503" s="0" t="str">
        <f aca="false">IF($A503="","",IF(AT503="Y",BP503&amp;"",BC503&amp;""))</f>
        <v/>
      </c>
      <c r="H503" s="0" t="str">
        <f aca="false">IF($A503="","",IF(AT503="Y",BQ503&amp;"",BD503&amp;""))</f>
        <v/>
      </c>
      <c r="I503" s="0" t="str">
        <f aca="false">IF($A503="","",IF(R503="Y","warm-intro",IF(H503="verified","email",IF(C503&lt;&gt;"","linkedin",CA503&amp;""))))</f>
        <v/>
      </c>
      <c r="J503" s="0" t="str">
        <f aca="false">IF($A503="","",IF(CK503="pass",ROUND(N(DO503)+N(DP503)+N(DQ503)+N(DR503)+N(DS503)+N(DT503)+N(DU503)+N(DV503),0),0))</f>
        <v/>
      </c>
      <c r="K503" s="0" t="str">
        <f aca="false">IF($A503="","",IF(CK503&lt;&gt;"pass",BY503&amp;"",BY503&amp;", "&amp;IF(AT503="Y",BX503&amp;"",BK503&amp;"")&amp;BZ503&amp;IF(R503="Y","; known to the founder (+10)","")&amp;"."))</f>
        <v/>
      </c>
      <c r="R503" s="5"/>
      <c r="T503" s="5"/>
      <c r="U503" s="5"/>
      <c r="Y503" s="0" t="str">
        <f aca="false">IF(FA503&lt;&gt;"Y","",COUNTIFS($FA$2:$FA$1000,"Y",$J$2:$J$1000,"&gt;"&amp;J503)+COUNTIFS($FA$2:$FA$1000,"Y",$J$2:$J$1000,J503,$FG$2:$FG$1000,"&lt;"&amp;FG503)+1)</f>
        <v/>
      </c>
      <c r="AB503" s="0" t="str">
        <f aca="false">IF($A503="","",IF(AT503="Y",BW503&amp;"",BJ503&amp;""))</f>
        <v/>
      </c>
      <c r="AC503" s="0" t="str">
        <f aca="false">IF($A503="","",IF(AT503="Y",BR503&amp;"",BE503&amp;""))</f>
        <v/>
      </c>
      <c r="AD503" s="0" t="str">
        <f aca="false">IF($A503="","",IF(AT503="Y",BS503&amp;"",BF503&amp;""))</f>
        <v/>
      </c>
      <c r="AE503" s="0" t="str">
        <f aca="false">IF($A503="","",IF(AT503="Y",BT503&amp;"",BG503&amp;""))</f>
        <v/>
      </c>
      <c r="AF503" s="0" t="str">
        <f aca="false">IF($A503="","",IF(AT503="Y",BU503&amp;"",BH503&amp;""))</f>
        <v/>
      </c>
      <c r="AG503" s="0" t="str">
        <f aca="false">IF($A503="","",IF(AT503="Y",BV503&amp;"",BI503&amp;""))</f>
        <v/>
      </c>
      <c r="AO503" s="5"/>
      <c r="AR503" s="0" t="str">
        <f aca="false">IF($A503="","",IF(AND(CK503="pass",AO503&lt;&gt;"Y",C503&lt;&gt;"",OR(AU503&lt;&gt;"Y",AV503="Y")),"Y","N"))</f>
        <v/>
      </c>
      <c r="AS503" s="0" t="str">
        <f aca="false">IF($A503="","",_xlfn.TEXTJOIN("; ",TRUE(),IF(CK503&lt;&gt;"pass","gated out",""),IF(AO503="Y","on hold: "&amp;AP503,""),IF(C503="","no contact named on an opened page",""),IF(AND(AU503="Y",AV503&lt;&gt;"Y"),"founder review pending (Founder review tab)","")))</f>
        <v/>
      </c>
      <c r="BC503" s="0" t="str">
        <f aca="false">IF($A503="","",IFERROR(INDEX(Enrichment!$A$2:$GZ$2000,MATCH($A503,INDEX(Enrichment!$A$2:$GZ$2000,0,MATCH("row_id",Enrichment!$A$1:$GZ$1,0)),0),MATCH("work_email",Enrichment!$A$1:$GZ$1,0))&amp;"",""))</f>
        <v/>
      </c>
      <c r="BD503" s="0" t="str">
        <f aca="false">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P503" s="0" t="str">
        <f aca="false">IF($A503="","",IFERROR(INDEX(Enrichment!$A$2:$GZ$2000,MATCH($A503,INDEX(Enrichment!$A$2:$GZ$2000,0,MATCH("row_id",Enrichment!$A$1:$GZ$1,0)),0),MATCH("backup_work_email",Enrichment!$A$1:$GZ$1,0))&amp;"",""))</f>
        <v/>
      </c>
      <c r="BQ503" s="0" t="str">
        <f aca="false">IF($A503="","",IF(BP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DU503" s="0" t="str">
        <f aca="false">IF($A503="","",IF(R503="Y",10,0))</f>
        <v/>
      </c>
      <c r="EV503" s="0" t="str">
        <f aca="false">IF($A503="","",IF(ISNUMBER(MATCH(U503,{"queued","contacted","replied","call_booked","call_done","yes_in_principle","materials_sent"},0)),"Y","N"))</f>
        <v/>
      </c>
      <c r="EW503" s="0" t="str">
        <f aca="false">IF($A503="","",IF(OR(T503="Y",U503="do_not_contact",AQ503&amp;""&lt;&gt;""),"Y","N"))</f>
        <v/>
      </c>
      <c r="EX503" s="0" t="str">
        <f aca="false">IF($A503="","",IF(AN503&amp;""&lt;&gt;"",AN503&amp;"",$A503))</f>
        <v/>
      </c>
      <c r="EY503" s="0" t="str">
        <f aca="false">IF($A503="","",IF(COUNTIFS($EX$2:$EX$1000,EX503,$EV$2:$EV$1000,"Y")+COUNTIFS($EX$2:$EX$1000,EX503,$EW$2:$EW$1000,"Y")&gt;0,"Y","N"))</f>
        <v/>
      </c>
      <c r="EZ503" s="0" t="str">
        <f aca="false">IF($A503="","",IF(AND(U503="new",T503="N",EW503="N",AR503="Y",EY503="N"),"Y","N"))</f>
        <v/>
      </c>
      <c r="FA503" s="0" t="str">
        <f aca="false">IF($A503="","",IF(EZ503&lt;&gt;"Y","N",IF(COUNTIFS($EX$2:$EX$1000,EX503,$EZ$2:$EZ$1000,"Y",$J$2:$J$1000,"&gt;"&amp;J503)+COUNTIFS($EX$2:$EX$1000,EX503,$EZ$2:$EZ$1000,"Y",$J$2:$J$1000,J503,$FG$2:$FG$1000,"&lt;"&amp;FG503)=0,"Y","N")))</f>
        <v/>
      </c>
      <c r="FB503" s="0" t="str">
        <f aca="false">IF($A503="","",IF(AND(EZ503="Y",FA503="Y",Y503&amp;""&lt;&gt;""),IF(Y503&lt;=10,"Y","N"),"N"))</f>
        <v/>
      </c>
      <c r="FC503" s="0" t="str">
        <f aca="false">IF(FB503="Y",Y503,"")</f>
        <v/>
      </c>
      <c r="FD503" s="0" t="str">
        <f aca="false">IF($A503="","",IF(AND(CK503="pass",AU503="Y",AV503&lt;&gt;"Y",U503="new",EW503="N"),"Y","N"))</f>
        <v/>
      </c>
      <c r="FE503" s="0" t="str">
        <f aca="false">IF(FD503&lt;&gt;"Y","",IF(COUNTIFS($FD$2:$FD$1000,"Y",$J$2:$J$1000,"&gt;"&amp;J503)+COUNTIFS($FD$2:$FD$1000,"Y",$J$2:$J$1000,J503,$FG$2:$FG$1000,"&lt;"&amp;FG503)+1&lt;=30,COUNTIFS($FD$2:$FD$1000,"Y",$J$2:$J$1000,"&gt;"&amp;J503)+COUNTIFS($FD$2:$FD$1000,"Y",$J$2:$J$1000,J503,$FG$2:$FG$1000,"&lt;"&amp;FG503)+1,""))</f>
        <v/>
      </c>
      <c r="FF503" s="0" t="str">
        <f aca="false">IF(AND(_xlfn.ISFORMULA(C503),_xlfn.ISFORMULA(J503)),"Y","N")</f>
        <v>Y</v>
      </c>
      <c r="FG503" s="0" t="n">
        <f aca="false">ROW()-1</f>
        <v>502</v>
      </c>
    </row>
    <row r="504" customFormat="false" ht="15" hidden="false" customHeight="false" outlineLevel="0" collapsed="false">
      <c r="C504" s="0" t="str">
        <f aca="false">IF($A504="","",IF(AT504="Y",BL504&amp;"",AY504&amp;""))</f>
        <v/>
      </c>
      <c r="D504" s="0" t="str">
        <f aca="false">IF($A504="","",IF(AT504="Y",BM504&amp;"",AZ504&amp;""))</f>
        <v/>
      </c>
      <c r="E504" s="0" t="str">
        <f aca="false">IF($A504="","",IF(AT504="Y",BN504&amp;"",BA504&amp;""))</f>
        <v/>
      </c>
      <c r="F504" s="0" t="str">
        <f aca="false">IF($A504="","",IF(AT504="Y",BO504&amp;"",BB504&amp;""))</f>
        <v/>
      </c>
      <c r="G504" s="0" t="str">
        <f aca="false">IF($A504="","",IF(AT504="Y",BP504&amp;"",BC504&amp;""))</f>
        <v/>
      </c>
      <c r="H504" s="0" t="str">
        <f aca="false">IF($A504="","",IF(AT504="Y",BQ504&amp;"",BD504&amp;""))</f>
        <v/>
      </c>
      <c r="I504" s="0" t="str">
        <f aca="false">IF($A504="","",IF(R504="Y","warm-intro",IF(H504="verified","email",IF(C504&lt;&gt;"","linkedin",CA504&amp;""))))</f>
        <v/>
      </c>
      <c r="J504" s="0" t="str">
        <f aca="false">IF($A504="","",IF(CK504="pass",ROUND(N(DO504)+N(DP504)+N(DQ504)+N(DR504)+N(DS504)+N(DT504)+N(DU504)+N(DV504),0),0))</f>
        <v/>
      </c>
      <c r="K504" s="0" t="str">
        <f aca="false">IF($A504="","",IF(CK504&lt;&gt;"pass",BY504&amp;"",BY504&amp;", "&amp;IF(AT504="Y",BX504&amp;"",BK504&amp;"")&amp;BZ504&amp;IF(R504="Y","; known to the founder (+10)","")&amp;"."))</f>
        <v/>
      </c>
      <c r="R504" s="5"/>
      <c r="T504" s="5"/>
      <c r="U504" s="5"/>
      <c r="Y504" s="0" t="str">
        <f aca="false">IF(FA504&lt;&gt;"Y","",COUNTIFS($FA$2:$FA$1000,"Y",$J$2:$J$1000,"&gt;"&amp;J504)+COUNTIFS($FA$2:$FA$1000,"Y",$J$2:$J$1000,J504,$FG$2:$FG$1000,"&lt;"&amp;FG504)+1)</f>
        <v/>
      </c>
      <c r="AB504" s="0" t="str">
        <f aca="false">IF($A504="","",IF(AT504="Y",BW504&amp;"",BJ504&amp;""))</f>
        <v/>
      </c>
      <c r="AC504" s="0" t="str">
        <f aca="false">IF($A504="","",IF(AT504="Y",BR504&amp;"",BE504&amp;""))</f>
        <v/>
      </c>
      <c r="AD504" s="0" t="str">
        <f aca="false">IF($A504="","",IF(AT504="Y",BS504&amp;"",BF504&amp;""))</f>
        <v/>
      </c>
      <c r="AE504" s="0" t="str">
        <f aca="false">IF($A504="","",IF(AT504="Y",BT504&amp;"",BG504&amp;""))</f>
        <v/>
      </c>
      <c r="AF504" s="0" t="str">
        <f aca="false">IF($A504="","",IF(AT504="Y",BU504&amp;"",BH504&amp;""))</f>
        <v/>
      </c>
      <c r="AG504" s="0" t="str">
        <f aca="false">IF($A504="","",IF(AT504="Y",BV504&amp;"",BI504&amp;""))</f>
        <v/>
      </c>
      <c r="AO504" s="5"/>
      <c r="AR504" s="0" t="str">
        <f aca="false">IF($A504="","",IF(AND(CK504="pass",AO504&lt;&gt;"Y",C504&lt;&gt;"",OR(AU504&lt;&gt;"Y",AV504="Y")),"Y","N"))</f>
        <v/>
      </c>
      <c r="AS504" s="0" t="str">
        <f aca="false">IF($A504="","",_xlfn.TEXTJOIN("; ",TRUE(),IF(CK504&lt;&gt;"pass","gated out",""),IF(AO504="Y","on hold: "&amp;AP504,""),IF(C504="","no contact named on an opened page",""),IF(AND(AU504="Y",AV504&lt;&gt;"Y"),"founder review pending (Founder review tab)","")))</f>
        <v/>
      </c>
      <c r="BC504" s="0" t="str">
        <f aca="false">IF($A504="","",IFERROR(INDEX(Enrichment!$A$2:$GZ$2000,MATCH($A504,INDEX(Enrichment!$A$2:$GZ$2000,0,MATCH("row_id",Enrichment!$A$1:$GZ$1,0)),0),MATCH("work_email",Enrichment!$A$1:$GZ$1,0))&amp;"",""))</f>
        <v/>
      </c>
      <c r="BD504" s="0" t="str">
        <f aca="false">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P504" s="0" t="str">
        <f aca="false">IF($A504="","",IFERROR(INDEX(Enrichment!$A$2:$GZ$2000,MATCH($A504,INDEX(Enrichment!$A$2:$GZ$2000,0,MATCH("row_id",Enrichment!$A$1:$GZ$1,0)),0),MATCH("backup_work_email",Enrichment!$A$1:$GZ$1,0))&amp;"",""))</f>
        <v/>
      </c>
      <c r="BQ504" s="0" t="str">
        <f aca="false">IF($A504="","",IF(BP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DU504" s="0" t="str">
        <f aca="false">IF($A504="","",IF(R504="Y",10,0))</f>
        <v/>
      </c>
      <c r="EV504" s="0" t="str">
        <f aca="false">IF($A504="","",IF(ISNUMBER(MATCH(U504,{"queued","contacted","replied","call_booked","call_done","yes_in_principle","materials_sent"},0)),"Y","N"))</f>
        <v/>
      </c>
      <c r="EW504" s="0" t="str">
        <f aca="false">IF($A504="","",IF(OR(T504="Y",U504="do_not_contact",AQ504&amp;""&lt;&gt;""),"Y","N"))</f>
        <v/>
      </c>
      <c r="EX504" s="0" t="str">
        <f aca="false">IF($A504="","",IF(AN504&amp;""&lt;&gt;"",AN504&amp;"",$A504))</f>
        <v/>
      </c>
      <c r="EY504" s="0" t="str">
        <f aca="false">IF($A504="","",IF(COUNTIFS($EX$2:$EX$1000,EX504,$EV$2:$EV$1000,"Y")+COUNTIFS($EX$2:$EX$1000,EX504,$EW$2:$EW$1000,"Y")&gt;0,"Y","N"))</f>
        <v/>
      </c>
      <c r="EZ504" s="0" t="str">
        <f aca="false">IF($A504="","",IF(AND(U504="new",T504="N",EW504="N",AR504="Y",EY504="N"),"Y","N"))</f>
        <v/>
      </c>
      <c r="FA504" s="0" t="str">
        <f aca="false">IF($A504="","",IF(EZ504&lt;&gt;"Y","N",IF(COUNTIFS($EX$2:$EX$1000,EX504,$EZ$2:$EZ$1000,"Y",$J$2:$J$1000,"&gt;"&amp;J504)+COUNTIFS($EX$2:$EX$1000,EX504,$EZ$2:$EZ$1000,"Y",$J$2:$J$1000,J504,$FG$2:$FG$1000,"&lt;"&amp;FG504)=0,"Y","N")))</f>
        <v/>
      </c>
      <c r="FB504" s="0" t="str">
        <f aca="false">IF($A504="","",IF(AND(EZ504="Y",FA504="Y",Y504&amp;""&lt;&gt;""),IF(Y504&lt;=10,"Y","N"),"N"))</f>
        <v/>
      </c>
      <c r="FC504" s="0" t="str">
        <f aca="false">IF(FB504="Y",Y504,"")</f>
        <v/>
      </c>
      <c r="FD504" s="0" t="str">
        <f aca="false">IF($A504="","",IF(AND(CK504="pass",AU504="Y",AV504&lt;&gt;"Y",U504="new",EW504="N"),"Y","N"))</f>
        <v/>
      </c>
      <c r="FE504" s="0" t="str">
        <f aca="false">IF(FD504&lt;&gt;"Y","",IF(COUNTIFS($FD$2:$FD$1000,"Y",$J$2:$J$1000,"&gt;"&amp;J504)+COUNTIFS($FD$2:$FD$1000,"Y",$J$2:$J$1000,J504,$FG$2:$FG$1000,"&lt;"&amp;FG504)+1&lt;=30,COUNTIFS($FD$2:$FD$1000,"Y",$J$2:$J$1000,"&gt;"&amp;J504)+COUNTIFS($FD$2:$FD$1000,"Y",$J$2:$J$1000,J504,$FG$2:$FG$1000,"&lt;"&amp;FG504)+1,""))</f>
        <v/>
      </c>
      <c r="FF504" s="0" t="str">
        <f aca="false">IF(AND(_xlfn.ISFORMULA(C504),_xlfn.ISFORMULA(J504)),"Y","N")</f>
        <v>Y</v>
      </c>
      <c r="FG504" s="0" t="n">
        <f aca="false">ROW()-1</f>
        <v>503</v>
      </c>
    </row>
    <row r="505" customFormat="false" ht="15" hidden="false" customHeight="false" outlineLevel="0" collapsed="false">
      <c r="C505" s="0" t="str">
        <f aca="false">IF($A505="","",IF(AT505="Y",BL505&amp;"",AY505&amp;""))</f>
        <v/>
      </c>
      <c r="D505" s="0" t="str">
        <f aca="false">IF($A505="","",IF(AT505="Y",BM505&amp;"",AZ505&amp;""))</f>
        <v/>
      </c>
      <c r="E505" s="0" t="str">
        <f aca="false">IF($A505="","",IF(AT505="Y",BN505&amp;"",BA505&amp;""))</f>
        <v/>
      </c>
      <c r="F505" s="0" t="str">
        <f aca="false">IF($A505="","",IF(AT505="Y",BO505&amp;"",BB505&amp;""))</f>
        <v/>
      </c>
      <c r="G505" s="0" t="str">
        <f aca="false">IF($A505="","",IF(AT505="Y",BP505&amp;"",BC505&amp;""))</f>
        <v/>
      </c>
      <c r="H505" s="0" t="str">
        <f aca="false">IF($A505="","",IF(AT505="Y",BQ505&amp;"",BD505&amp;""))</f>
        <v/>
      </c>
      <c r="I505" s="0" t="str">
        <f aca="false">IF($A505="","",IF(R505="Y","warm-intro",IF(H505="verified","email",IF(C505&lt;&gt;"","linkedin",CA505&amp;""))))</f>
        <v/>
      </c>
      <c r="J505" s="0" t="str">
        <f aca="false">IF($A505="","",IF(CK505="pass",ROUND(N(DO505)+N(DP505)+N(DQ505)+N(DR505)+N(DS505)+N(DT505)+N(DU505)+N(DV505),0),0))</f>
        <v/>
      </c>
      <c r="K505" s="0" t="str">
        <f aca="false">IF($A505="","",IF(CK505&lt;&gt;"pass",BY505&amp;"",BY505&amp;", "&amp;IF(AT505="Y",BX505&amp;"",BK505&amp;"")&amp;BZ505&amp;IF(R505="Y","; known to the founder (+10)","")&amp;"."))</f>
        <v/>
      </c>
      <c r="R505" s="5"/>
      <c r="T505" s="5"/>
      <c r="U505" s="5"/>
      <c r="Y505" s="0" t="str">
        <f aca="false">IF(FA505&lt;&gt;"Y","",COUNTIFS($FA$2:$FA$1000,"Y",$J$2:$J$1000,"&gt;"&amp;J505)+COUNTIFS($FA$2:$FA$1000,"Y",$J$2:$J$1000,J505,$FG$2:$FG$1000,"&lt;"&amp;FG505)+1)</f>
        <v/>
      </c>
      <c r="AB505" s="0" t="str">
        <f aca="false">IF($A505="","",IF(AT505="Y",BW505&amp;"",BJ505&amp;""))</f>
        <v/>
      </c>
      <c r="AC505" s="0" t="str">
        <f aca="false">IF($A505="","",IF(AT505="Y",BR505&amp;"",BE505&amp;""))</f>
        <v/>
      </c>
      <c r="AD505" s="0" t="str">
        <f aca="false">IF($A505="","",IF(AT505="Y",BS505&amp;"",BF505&amp;""))</f>
        <v/>
      </c>
      <c r="AE505" s="0" t="str">
        <f aca="false">IF($A505="","",IF(AT505="Y",BT505&amp;"",BG505&amp;""))</f>
        <v/>
      </c>
      <c r="AF505" s="0" t="str">
        <f aca="false">IF($A505="","",IF(AT505="Y",BU505&amp;"",BH505&amp;""))</f>
        <v/>
      </c>
      <c r="AG505" s="0" t="str">
        <f aca="false">IF($A505="","",IF(AT505="Y",BV505&amp;"",BI505&amp;""))</f>
        <v/>
      </c>
      <c r="AO505" s="5"/>
      <c r="AR505" s="0" t="str">
        <f aca="false">IF($A505="","",IF(AND(CK505="pass",AO505&lt;&gt;"Y",C505&lt;&gt;"",OR(AU505&lt;&gt;"Y",AV505="Y")),"Y","N"))</f>
        <v/>
      </c>
      <c r="AS505" s="0" t="str">
        <f aca="false">IF($A505="","",_xlfn.TEXTJOIN("; ",TRUE(),IF(CK505&lt;&gt;"pass","gated out",""),IF(AO505="Y","on hold: "&amp;AP505,""),IF(C505="","no contact named on an opened page",""),IF(AND(AU505="Y",AV505&lt;&gt;"Y"),"founder review pending (Founder review tab)","")))</f>
        <v/>
      </c>
      <c r="BC505" s="0" t="str">
        <f aca="false">IF($A505="","",IFERROR(INDEX(Enrichment!$A$2:$GZ$2000,MATCH($A505,INDEX(Enrichment!$A$2:$GZ$2000,0,MATCH("row_id",Enrichment!$A$1:$GZ$1,0)),0),MATCH("work_email",Enrichment!$A$1:$GZ$1,0))&amp;"",""))</f>
        <v/>
      </c>
      <c r="BD505" s="0" t="str">
        <f aca="false">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P505" s="0" t="str">
        <f aca="false">IF($A505="","",IFERROR(INDEX(Enrichment!$A$2:$GZ$2000,MATCH($A505,INDEX(Enrichment!$A$2:$GZ$2000,0,MATCH("row_id",Enrichment!$A$1:$GZ$1,0)),0),MATCH("backup_work_email",Enrichment!$A$1:$GZ$1,0))&amp;"",""))</f>
        <v/>
      </c>
      <c r="BQ505" s="0" t="str">
        <f aca="false">IF($A505="","",IF(BP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DU505" s="0" t="str">
        <f aca="false">IF($A505="","",IF(R505="Y",10,0))</f>
        <v/>
      </c>
      <c r="EV505" s="0" t="str">
        <f aca="false">IF($A505="","",IF(ISNUMBER(MATCH(U505,{"queued","contacted","replied","call_booked","call_done","yes_in_principle","materials_sent"},0)),"Y","N"))</f>
        <v/>
      </c>
      <c r="EW505" s="0" t="str">
        <f aca="false">IF($A505="","",IF(OR(T505="Y",U505="do_not_contact",AQ505&amp;""&lt;&gt;""),"Y","N"))</f>
        <v/>
      </c>
      <c r="EX505" s="0" t="str">
        <f aca="false">IF($A505="","",IF(AN505&amp;""&lt;&gt;"",AN505&amp;"",$A505))</f>
        <v/>
      </c>
      <c r="EY505" s="0" t="str">
        <f aca="false">IF($A505="","",IF(COUNTIFS($EX$2:$EX$1000,EX505,$EV$2:$EV$1000,"Y")+COUNTIFS($EX$2:$EX$1000,EX505,$EW$2:$EW$1000,"Y")&gt;0,"Y","N"))</f>
        <v/>
      </c>
      <c r="EZ505" s="0" t="str">
        <f aca="false">IF($A505="","",IF(AND(U505="new",T505="N",EW505="N",AR505="Y",EY505="N"),"Y","N"))</f>
        <v/>
      </c>
      <c r="FA505" s="0" t="str">
        <f aca="false">IF($A505="","",IF(EZ505&lt;&gt;"Y","N",IF(COUNTIFS($EX$2:$EX$1000,EX505,$EZ$2:$EZ$1000,"Y",$J$2:$J$1000,"&gt;"&amp;J505)+COUNTIFS($EX$2:$EX$1000,EX505,$EZ$2:$EZ$1000,"Y",$J$2:$J$1000,J505,$FG$2:$FG$1000,"&lt;"&amp;FG505)=0,"Y","N")))</f>
        <v/>
      </c>
      <c r="FB505" s="0" t="str">
        <f aca="false">IF($A505="","",IF(AND(EZ505="Y",FA505="Y",Y505&amp;""&lt;&gt;""),IF(Y505&lt;=10,"Y","N"),"N"))</f>
        <v/>
      </c>
      <c r="FC505" s="0" t="str">
        <f aca="false">IF(FB505="Y",Y505,"")</f>
        <v/>
      </c>
      <c r="FD505" s="0" t="str">
        <f aca="false">IF($A505="","",IF(AND(CK505="pass",AU505="Y",AV505&lt;&gt;"Y",U505="new",EW505="N"),"Y","N"))</f>
        <v/>
      </c>
      <c r="FE505" s="0" t="str">
        <f aca="false">IF(FD505&lt;&gt;"Y","",IF(COUNTIFS($FD$2:$FD$1000,"Y",$J$2:$J$1000,"&gt;"&amp;J505)+COUNTIFS($FD$2:$FD$1000,"Y",$J$2:$J$1000,J505,$FG$2:$FG$1000,"&lt;"&amp;FG505)+1&lt;=30,COUNTIFS($FD$2:$FD$1000,"Y",$J$2:$J$1000,"&gt;"&amp;J505)+COUNTIFS($FD$2:$FD$1000,"Y",$J$2:$J$1000,J505,$FG$2:$FG$1000,"&lt;"&amp;FG505)+1,""))</f>
        <v/>
      </c>
      <c r="FF505" s="0" t="str">
        <f aca="false">IF(AND(_xlfn.ISFORMULA(C505),_xlfn.ISFORMULA(J505)),"Y","N")</f>
        <v>Y</v>
      </c>
      <c r="FG505" s="0" t="n">
        <f aca="false">ROW()-1</f>
        <v>504</v>
      </c>
    </row>
    <row r="506" customFormat="false" ht="15" hidden="false" customHeight="false" outlineLevel="0" collapsed="false">
      <c r="C506" s="0" t="str">
        <f aca="false">IF($A506="","",IF(AT506="Y",BL506&amp;"",AY506&amp;""))</f>
        <v/>
      </c>
      <c r="D506" s="0" t="str">
        <f aca="false">IF($A506="","",IF(AT506="Y",BM506&amp;"",AZ506&amp;""))</f>
        <v/>
      </c>
      <c r="E506" s="0" t="str">
        <f aca="false">IF($A506="","",IF(AT506="Y",BN506&amp;"",BA506&amp;""))</f>
        <v/>
      </c>
      <c r="F506" s="0" t="str">
        <f aca="false">IF($A506="","",IF(AT506="Y",BO506&amp;"",BB506&amp;""))</f>
        <v/>
      </c>
      <c r="G506" s="0" t="str">
        <f aca="false">IF($A506="","",IF(AT506="Y",BP506&amp;"",BC506&amp;""))</f>
        <v/>
      </c>
      <c r="H506" s="0" t="str">
        <f aca="false">IF($A506="","",IF(AT506="Y",BQ506&amp;"",BD506&amp;""))</f>
        <v/>
      </c>
      <c r="I506" s="0" t="str">
        <f aca="false">IF($A506="","",IF(R506="Y","warm-intro",IF(H506="verified","email",IF(C506&lt;&gt;"","linkedin",CA506&amp;""))))</f>
        <v/>
      </c>
      <c r="J506" s="0" t="str">
        <f aca="false">IF($A506="","",IF(CK506="pass",ROUND(N(DO506)+N(DP506)+N(DQ506)+N(DR506)+N(DS506)+N(DT506)+N(DU506)+N(DV506),0),0))</f>
        <v/>
      </c>
      <c r="K506" s="0" t="str">
        <f aca="false">IF($A506="","",IF(CK506&lt;&gt;"pass",BY506&amp;"",BY506&amp;", "&amp;IF(AT506="Y",BX506&amp;"",BK506&amp;"")&amp;BZ506&amp;IF(R506="Y","; known to the founder (+10)","")&amp;"."))</f>
        <v/>
      </c>
      <c r="R506" s="5"/>
      <c r="T506" s="5"/>
      <c r="U506" s="5"/>
      <c r="Y506" s="0" t="str">
        <f aca="false">IF(FA506&lt;&gt;"Y","",COUNTIFS($FA$2:$FA$1000,"Y",$J$2:$J$1000,"&gt;"&amp;J506)+COUNTIFS($FA$2:$FA$1000,"Y",$J$2:$J$1000,J506,$FG$2:$FG$1000,"&lt;"&amp;FG506)+1)</f>
        <v/>
      </c>
      <c r="AB506" s="0" t="str">
        <f aca="false">IF($A506="","",IF(AT506="Y",BW506&amp;"",BJ506&amp;""))</f>
        <v/>
      </c>
      <c r="AC506" s="0" t="str">
        <f aca="false">IF($A506="","",IF(AT506="Y",BR506&amp;"",BE506&amp;""))</f>
        <v/>
      </c>
      <c r="AD506" s="0" t="str">
        <f aca="false">IF($A506="","",IF(AT506="Y",BS506&amp;"",BF506&amp;""))</f>
        <v/>
      </c>
      <c r="AE506" s="0" t="str">
        <f aca="false">IF($A506="","",IF(AT506="Y",BT506&amp;"",BG506&amp;""))</f>
        <v/>
      </c>
      <c r="AF506" s="0" t="str">
        <f aca="false">IF($A506="","",IF(AT506="Y",BU506&amp;"",BH506&amp;""))</f>
        <v/>
      </c>
      <c r="AG506" s="0" t="str">
        <f aca="false">IF($A506="","",IF(AT506="Y",BV506&amp;"",BI506&amp;""))</f>
        <v/>
      </c>
      <c r="AO506" s="5"/>
      <c r="AR506" s="0" t="str">
        <f aca="false">IF($A506="","",IF(AND(CK506="pass",AO506&lt;&gt;"Y",C506&lt;&gt;"",OR(AU506&lt;&gt;"Y",AV506="Y")),"Y","N"))</f>
        <v/>
      </c>
      <c r="AS506" s="0" t="str">
        <f aca="false">IF($A506="","",_xlfn.TEXTJOIN("; ",TRUE(),IF(CK506&lt;&gt;"pass","gated out",""),IF(AO506="Y","on hold: "&amp;AP506,""),IF(C506="","no contact named on an opened page",""),IF(AND(AU506="Y",AV506&lt;&gt;"Y"),"founder review pending (Founder review tab)","")))</f>
        <v/>
      </c>
      <c r="BC506" s="0" t="str">
        <f aca="false">IF($A506="","",IFERROR(INDEX(Enrichment!$A$2:$GZ$2000,MATCH($A506,INDEX(Enrichment!$A$2:$GZ$2000,0,MATCH("row_id",Enrichment!$A$1:$GZ$1,0)),0),MATCH("work_email",Enrichment!$A$1:$GZ$1,0))&amp;"",""))</f>
        <v/>
      </c>
      <c r="BD506" s="0" t="str">
        <f aca="false">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P506" s="0" t="str">
        <f aca="false">IF($A506="","",IFERROR(INDEX(Enrichment!$A$2:$GZ$2000,MATCH($A506,INDEX(Enrichment!$A$2:$GZ$2000,0,MATCH("row_id",Enrichment!$A$1:$GZ$1,0)),0),MATCH("backup_work_email",Enrichment!$A$1:$GZ$1,0))&amp;"",""))</f>
        <v/>
      </c>
      <c r="BQ506" s="0" t="str">
        <f aca="false">IF($A506="","",IF(BP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DU506" s="0" t="str">
        <f aca="false">IF($A506="","",IF(R506="Y",10,0))</f>
        <v/>
      </c>
      <c r="EV506" s="0" t="str">
        <f aca="false">IF($A506="","",IF(ISNUMBER(MATCH(U506,{"queued","contacted","replied","call_booked","call_done","yes_in_principle","materials_sent"},0)),"Y","N"))</f>
        <v/>
      </c>
      <c r="EW506" s="0" t="str">
        <f aca="false">IF($A506="","",IF(OR(T506="Y",U506="do_not_contact",AQ506&amp;""&lt;&gt;""),"Y","N"))</f>
        <v/>
      </c>
      <c r="EX506" s="0" t="str">
        <f aca="false">IF($A506="","",IF(AN506&amp;""&lt;&gt;"",AN506&amp;"",$A506))</f>
        <v/>
      </c>
      <c r="EY506" s="0" t="str">
        <f aca="false">IF($A506="","",IF(COUNTIFS($EX$2:$EX$1000,EX506,$EV$2:$EV$1000,"Y")+COUNTIFS($EX$2:$EX$1000,EX506,$EW$2:$EW$1000,"Y")&gt;0,"Y","N"))</f>
        <v/>
      </c>
      <c r="EZ506" s="0" t="str">
        <f aca="false">IF($A506="","",IF(AND(U506="new",T506="N",EW506="N",AR506="Y",EY506="N"),"Y","N"))</f>
        <v/>
      </c>
      <c r="FA506" s="0" t="str">
        <f aca="false">IF($A506="","",IF(EZ506&lt;&gt;"Y","N",IF(COUNTIFS($EX$2:$EX$1000,EX506,$EZ$2:$EZ$1000,"Y",$J$2:$J$1000,"&gt;"&amp;J506)+COUNTIFS($EX$2:$EX$1000,EX506,$EZ$2:$EZ$1000,"Y",$J$2:$J$1000,J506,$FG$2:$FG$1000,"&lt;"&amp;FG506)=0,"Y","N")))</f>
        <v/>
      </c>
      <c r="FB506" s="0" t="str">
        <f aca="false">IF($A506="","",IF(AND(EZ506="Y",FA506="Y",Y506&amp;""&lt;&gt;""),IF(Y506&lt;=10,"Y","N"),"N"))</f>
        <v/>
      </c>
      <c r="FC506" s="0" t="str">
        <f aca="false">IF(FB506="Y",Y506,"")</f>
        <v/>
      </c>
      <c r="FD506" s="0" t="str">
        <f aca="false">IF($A506="","",IF(AND(CK506="pass",AU506="Y",AV506&lt;&gt;"Y",U506="new",EW506="N"),"Y","N"))</f>
        <v/>
      </c>
      <c r="FE506" s="0" t="str">
        <f aca="false">IF(FD506&lt;&gt;"Y","",IF(COUNTIFS($FD$2:$FD$1000,"Y",$J$2:$J$1000,"&gt;"&amp;J506)+COUNTIFS($FD$2:$FD$1000,"Y",$J$2:$J$1000,J506,$FG$2:$FG$1000,"&lt;"&amp;FG506)+1&lt;=30,COUNTIFS($FD$2:$FD$1000,"Y",$J$2:$J$1000,"&gt;"&amp;J506)+COUNTIFS($FD$2:$FD$1000,"Y",$J$2:$J$1000,J506,$FG$2:$FG$1000,"&lt;"&amp;FG506)+1,""))</f>
        <v/>
      </c>
      <c r="FF506" s="0" t="str">
        <f aca="false">IF(AND(_xlfn.ISFORMULA(C506),_xlfn.ISFORMULA(J506)),"Y","N")</f>
        <v>Y</v>
      </c>
      <c r="FG506" s="0" t="n">
        <f aca="false">ROW()-1</f>
        <v>505</v>
      </c>
    </row>
    <row r="507" customFormat="false" ht="15" hidden="false" customHeight="false" outlineLevel="0" collapsed="false">
      <c r="C507" s="0" t="str">
        <f aca="false">IF($A507="","",IF(AT507="Y",BL507&amp;"",AY507&amp;""))</f>
        <v/>
      </c>
      <c r="D507" s="0" t="str">
        <f aca="false">IF($A507="","",IF(AT507="Y",BM507&amp;"",AZ507&amp;""))</f>
        <v/>
      </c>
      <c r="E507" s="0" t="str">
        <f aca="false">IF($A507="","",IF(AT507="Y",BN507&amp;"",BA507&amp;""))</f>
        <v/>
      </c>
      <c r="F507" s="0" t="str">
        <f aca="false">IF($A507="","",IF(AT507="Y",BO507&amp;"",BB507&amp;""))</f>
        <v/>
      </c>
      <c r="G507" s="0" t="str">
        <f aca="false">IF($A507="","",IF(AT507="Y",BP507&amp;"",BC507&amp;""))</f>
        <v/>
      </c>
      <c r="H507" s="0" t="str">
        <f aca="false">IF($A507="","",IF(AT507="Y",BQ507&amp;"",BD507&amp;""))</f>
        <v/>
      </c>
      <c r="I507" s="0" t="str">
        <f aca="false">IF($A507="","",IF(R507="Y","warm-intro",IF(H507="verified","email",IF(C507&lt;&gt;"","linkedin",CA507&amp;""))))</f>
        <v/>
      </c>
      <c r="J507" s="0" t="str">
        <f aca="false">IF($A507="","",IF(CK507="pass",ROUND(N(DO507)+N(DP507)+N(DQ507)+N(DR507)+N(DS507)+N(DT507)+N(DU507)+N(DV507),0),0))</f>
        <v/>
      </c>
      <c r="K507" s="0" t="str">
        <f aca="false">IF($A507="","",IF(CK507&lt;&gt;"pass",BY507&amp;"",BY507&amp;", "&amp;IF(AT507="Y",BX507&amp;"",BK507&amp;"")&amp;BZ507&amp;IF(R507="Y","; known to the founder (+10)","")&amp;"."))</f>
        <v/>
      </c>
      <c r="R507" s="5"/>
      <c r="T507" s="5"/>
      <c r="U507" s="5"/>
      <c r="Y507" s="0" t="str">
        <f aca="false">IF(FA507&lt;&gt;"Y","",COUNTIFS($FA$2:$FA$1000,"Y",$J$2:$J$1000,"&gt;"&amp;J507)+COUNTIFS($FA$2:$FA$1000,"Y",$J$2:$J$1000,J507,$FG$2:$FG$1000,"&lt;"&amp;FG507)+1)</f>
        <v/>
      </c>
      <c r="AB507" s="0" t="str">
        <f aca="false">IF($A507="","",IF(AT507="Y",BW507&amp;"",BJ507&amp;""))</f>
        <v/>
      </c>
      <c r="AC507" s="0" t="str">
        <f aca="false">IF($A507="","",IF(AT507="Y",BR507&amp;"",BE507&amp;""))</f>
        <v/>
      </c>
      <c r="AD507" s="0" t="str">
        <f aca="false">IF($A507="","",IF(AT507="Y",BS507&amp;"",BF507&amp;""))</f>
        <v/>
      </c>
      <c r="AE507" s="0" t="str">
        <f aca="false">IF($A507="","",IF(AT507="Y",BT507&amp;"",BG507&amp;""))</f>
        <v/>
      </c>
      <c r="AF507" s="0" t="str">
        <f aca="false">IF($A507="","",IF(AT507="Y",BU507&amp;"",BH507&amp;""))</f>
        <v/>
      </c>
      <c r="AG507" s="0" t="str">
        <f aca="false">IF($A507="","",IF(AT507="Y",BV507&amp;"",BI507&amp;""))</f>
        <v/>
      </c>
      <c r="AO507" s="5"/>
      <c r="AR507" s="0" t="str">
        <f aca="false">IF($A507="","",IF(AND(CK507="pass",AO507&lt;&gt;"Y",C507&lt;&gt;"",OR(AU507&lt;&gt;"Y",AV507="Y")),"Y","N"))</f>
        <v/>
      </c>
      <c r="AS507" s="0" t="str">
        <f aca="false">IF($A507="","",_xlfn.TEXTJOIN("; ",TRUE(),IF(CK507&lt;&gt;"pass","gated out",""),IF(AO507="Y","on hold: "&amp;AP507,""),IF(C507="","no contact named on an opened page",""),IF(AND(AU507="Y",AV507&lt;&gt;"Y"),"founder review pending (Founder review tab)","")))</f>
        <v/>
      </c>
      <c r="BC507" s="0" t="str">
        <f aca="false">IF($A507="","",IFERROR(INDEX(Enrichment!$A$2:$GZ$2000,MATCH($A507,INDEX(Enrichment!$A$2:$GZ$2000,0,MATCH("row_id",Enrichment!$A$1:$GZ$1,0)),0),MATCH("work_email",Enrichment!$A$1:$GZ$1,0))&amp;"",""))</f>
        <v/>
      </c>
      <c r="BD507" s="0" t="str">
        <f aca="false">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P507" s="0" t="str">
        <f aca="false">IF($A507="","",IFERROR(INDEX(Enrichment!$A$2:$GZ$2000,MATCH($A507,INDEX(Enrichment!$A$2:$GZ$2000,0,MATCH("row_id",Enrichment!$A$1:$GZ$1,0)),0),MATCH("backup_work_email",Enrichment!$A$1:$GZ$1,0))&amp;"",""))</f>
        <v/>
      </c>
      <c r="BQ507" s="0" t="str">
        <f aca="false">IF($A507="","",IF(BP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DU507" s="0" t="str">
        <f aca="false">IF($A507="","",IF(R507="Y",10,0))</f>
        <v/>
      </c>
      <c r="EV507" s="0" t="str">
        <f aca="false">IF($A507="","",IF(ISNUMBER(MATCH(U507,{"queued","contacted","replied","call_booked","call_done","yes_in_principle","materials_sent"},0)),"Y","N"))</f>
        <v/>
      </c>
      <c r="EW507" s="0" t="str">
        <f aca="false">IF($A507="","",IF(OR(T507="Y",U507="do_not_contact",AQ507&amp;""&lt;&gt;""),"Y","N"))</f>
        <v/>
      </c>
      <c r="EX507" s="0" t="str">
        <f aca="false">IF($A507="","",IF(AN507&amp;""&lt;&gt;"",AN507&amp;"",$A507))</f>
        <v/>
      </c>
      <c r="EY507" s="0" t="str">
        <f aca="false">IF($A507="","",IF(COUNTIFS($EX$2:$EX$1000,EX507,$EV$2:$EV$1000,"Y")+COUNTIFS($EX$2:$EX$1000,EX507,$EW$2:$EW$1000,"Y")&gt;0,"Y","N"))</f>
        <v/>
      </c>
      <c r="EZ507" s="0" t="str">
        <f aca="false">IF($A507="","",IF(AND(U507="new",T507="N",EW507="N",AR507="Y",EY507="N"),"Y","N"))</f>
        <v/>
      </c>
      <c r="FA507" s="0" t="str">
        <f aca="false">IF($A507="","",IF(EZ507&lt;&gt;"Y","N",IF(COUNTIFS($EX$2:$EX$1000,EX507,$EZ$2:$EZ$1000,"Y",$J$2:$J$1000,"&gt;"&amp;J507)+COUNTIFS($EX$2:$EX$1000,EX507,$EZ$2:$EZ$1000,"Y",$J$2:$J$1000,J507,$FG$2:$FG$1000,"&lt;"&amp;FG507)=0,"Y","N")))</f>
        <v/>
      </c>
      <c r="FB507" s="0" t="str">
        <f aca="false">IF($A507="","",IF(AND(EZ507="Y",FA507="Y",Y507&amp;""&lt;&gt;""),IF(Y507&lt;=10,"Y","N"),"N"))</f>
        <v/>
      </c>
      <c r="FC507" s="0" t="str">
        <f aca="false">IF(FB507="Y",Y507,"")</f>
        <v/>
      </c>
      <c r="FD507" s="0" t="str">
        <f aca="false">IF($A507="","",IF(AND(CK507="pass",AU507="Y",AV507&lt;&gt;"Y",U507="new",EW507="N"),"Y","N"))</f>
        <v/>
      </c>
      <c r="FE507" s="0" t="str">
        <f aca="false">IF(FD507&lt;&gt;"Y","",IF(COUNTIFS($FD$2:$FD$1000,"Y",$J$2:$J$1000,"&gt;"&amp;J507)+COUNTIFS($FD$2:$FD$1000,"Y",$J$2:$J$1000,J507,$FG$2:$FG$1000,"&lt;"&amp;FG507)+1&lt;=30,COUNTIFS($FD$2:$FD$1000,"Y",$J$2:$J$1000,"&gt;"&amp;J507)+COUNTIFS($FD$2:$FD$1000,"Y",$J$2:$J$1000,J507,$FG$2:$FG$1000,"&lt;"&amp;FG507)+1,""))</f>
        <v/>
      </c>
      <c r="FF507" s="0" t="str">
        <f aca="false">IF(AND(_xlfn.ISFORMULA(C507),_xlfn.ISFORMULA(J507)),"Y","N")</f>
        <v>Y</v>
      </c>
      <c r="FG507" s="0" t="n">
        <f aca="false">ROW()-1</f>
        <v>506</v>
      </c>
    </row>
    <row r="508" customFormat="false" ht="15" hidden="false" customHeight="false" outlineLevel="0" collapsed="false">
      <c r="C508" s="0" t="str">
        <f aca="false">IF($A508="","",IF(AT508="Y",BL508&amp;"",AY508&amp;""))</f>
        <v/>
      </c>
      <c r="D508" s="0" t="str">
        <f aca="false">IF($A508="","",IF(AT508="Y",BM508&amp;"",AZ508&amp;""))</f>
        <v/>
      </c>
      <c r="E508" s="0" t="str">
        <f aca="false">IF($A508="","",IF(AT508="Y",BN508&amp;"",BA508&amp;""))</f>
        <v/>
      </c>
      <c r="F508" s="0" t="str">
        <f aca="false">IF($A508="","",IF(AT508="Y",BO508&amp;"",BB508&amp;""))</f>
        <v/>
      </c>
      <c r="G508" s="0" t="str">
        <f aca="false">IF($A508="","",IF(AT508="Y",BP508&amp;"",BC508&amp;""))</f>
        <v/>
      </c>
      <c r="H508" s="0" t="str">
        <f aca="false">IF($A508="","",IF(AT508="Y",BQ508&amp;"",BD508&amp;""))</f>
        <v/>
      </c>
      <c r="I508" s="0" t="str">
        <f aca="false">IF($A508="","",IF(R508="Y","warm-intro",IF(H508="verified","email",IF(C508&lt;&gt;"","linkedin",CA508&amp;""))))</f>
        <v/>
      </c>
      <c r="J508" s="0" t="str">
        <f aca="false">IF($A508="","",IF(CK508="pass",ROUND(N(DO508)+N(DP508)+N(DQ508)+N(DR508)+N(DS508)+N(DT508)+N(DU508)+N(DV508),0),0))</f>
        <v/>
      </c>
      <c r="K508" s="0" t="str">
        <f aca="false">IF($A508="","",IF(CK508&lt;&gt;"pass",BY508&amp;"",BY508&amp;", "&amp;IF(AT508="Y",BX508&amp;"",BK508&amp;"")&amp;BZ508&amp;IF(R508="Y","; known to the founder (+10)","")&amp;"."))</f>
        <v/>
      </c>
      <c r="R508" s="5"/>
      <c r="T508" s="5"/>
      <c r="U508" s="5"/>
      <c r="Y508" s="0" t="str">
        <f aca="false">IF(FA508&lt;&gt;"Y","",COUNTIFS($FA$2:$FA$1000,"Y",$J$2:$J$1000,"&gt;"&amp;J508)+COUNTIFS($FA$2:$FA$1000,"Y",$J$2:$J$1000,J508,$FG$2:$FG$1000,"&lt;"&amp;FG508)+1)</f>
        <v/>
      </c>
      <c r="AB508" s="0" t="str">
        <f aca="false">IF($A508="","",IF(AT508="Y",BW508&amp;"",BJ508&amp;""))</f>
        <v/>
      </c>
      <c r="AC508" s="0" t="str">
        <f aca="false">IF($A508="","",IF(AT508="Y",BR508&amp;"",BE508&amp;""))</f>
        <v/>
      </c>
      <c r="AD508" s="0" t="str">
        <f aca="false">IF($A508="","",IF(AT508="Y",BS508&amp;"",BF508&amp;""))</f>
        <v/>
      </c>
      <c r="AE508" s="0" t="str">
        <f aca="false">IF($A508="","",IF(AT508="Y",BT508&amp;"",BG508&amp;""))</f>
        <v/>
      </c>
      <c r="AF508" s="0" t="str">
        <f aca="false">IF($A508="","",IF(AT508="Y",BU508&amp;"",BH508&amp;""))</f>
        <v/>
      </c>
      <c r="AG508" s="0" t="str">
        <f aca="false">IF($A508="","",IF(AT508="Y",BV508&amp;"",BI508&amp;""))</f>
        <v/>
      </c>
      <c r="AO508" s="5"/>
      <c r="AR508" s="0" t="str">
        <f aca="false">IF($A508="","",IF(AND(CK508="pass",AO508&lt;&gt;"Y",C508&lt;&gt;"",OR(AU508&lt;&gt;"Y",AV508="Y")),"Y","N"))</f>
        <v/>
      </c>
      <c r="AS508" s="0" t="str">
        <f aca="false">IF($A508="","",_xlfn.TEXTJOIN("; ",TRUE(),IF(CK508&lt;&gt;"pass","gated out",""),IF(AO508="Y","on hold: "&amp;AP508,""),IF(C508="","no contact named on an opened page",""),IF(AND(AU508="Y",AV508&lt;&gt;"Y"),"founder review pending (Founder review tab)","")))</f>
        <v/>
      </c>
      <c r="BC508" s="0" t="str">
        <f aca="false">IF($A508="","",IFERROR(INDEX(Enrichment!$A$2:$GZ$2000,MATCH($A508,INDEX(Enrichment!$A$2:$GZ$2000,0,MATCH("row_id",Enrichment!$A$1:$GZ$1,0)),0),MATCH("work_email",Enrichment!$A$1:$GZ$1,0))&amp;"",""))</f>
        <v/>
      </c>
      <c r="BD508" s="0" t="str">
        <f aca="false">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P508" s="0" t="str">
        <f aca="false">IF($A508="","",IFERROR(INDEX(Enrichment!$A$2:$GZ$2000,MATCH($A508,INDEX(Enrichment!$A$2:$GZ$2000,0,MATCH("row_id",Enrichment!$A$1:$GZ$1,0)),0),MATCH("backup_work_email",Enrichment!$A$1:$GZ$1,0))&amp;"",""))</f>
        <v/>
      </c>
      <c r="BQ508" s="0" t="str">
        <f aca="false">IF($A508="","",IF(BP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DU508" s="0" t="str">
        <f aca="false">IF($A508="","",IF(R508="Y",10,0))</f>
        <v/>
      </c>
      <c r="EV508" s="0" t="str">
        <f aca="false">IF($A508="","",IF(ISNUMBER(MATCH(U508,{"queued","contacted","replied","call_booked","call_done","yes_in_principle","materials_sent"},0)),"Y","N"))</f>
        <v/>
      </c>
      <c r="EW508" s="0" t="str">
        <f aca="false">IF($A508="","",IF(OR(T508="Y",U508="do_not_contact",AQ508&amp;""&lt;&gt;""),"Y","N"))</f>
        <v/>
      </c>
      <c r="EX508" s="0" t="str">
        <f aca="false">IF($A508="","",IF(AN508&amp;""&lt;&gt;"",AN508&amp;"",$A508))</f>
        <v/>
      </c>
      <c r="EY508" s="0" t="str">
        <f aca="false">IF($A508="","",IF(COUNTIFS($EX$2:$EX$1000,EX508,$EV$2:$EV$1000,"Y")+COUNTIFS($EX$2:$EX$1000,EX508,$EW$2:$EW$1000,"Y")&gt;0,"Y","N"))</f>
        <v/>
      </c>
      <c r="EZ508" s="0" t="str">
        <f aca="false">IF($A508="","",IF(AND(U508="new",T508="N",EW508="N",AR508="Y",EY508="N"),"Y","N"))</f>
        <v/>
      </c>
      <c r="FA508" s="0" t="str">
        <f aca="false">IF($A508="","",IF(EZ508&lt;&gt;"Y","N",IF(COUNTIFS($EX$2:$EX$1000,EX508,$EZ$2:$EZ$1000,"Y",$J$2:$J$1000,"&gt;"&amp;J508)+COUNTIFS($EX$2:$EX$1000,EX508,$EZ$2:$EZ$1000,"Y",$J$2:$J$1000,J508,$FG$2:$FG$1000,"&lt;"&amp;FG508)=0,"Y","N")))</f>
        <v/>
      </c>
      <c r="FB508" s="0" t="str">
        <f aca="false">IF($A508="","",IF(AND(EZ508="Y",FA508="Y",Y508&amp;""&lt;&gt;""),IF(Y508&lt;=10,"Y","N"),"N"))</f>
        <v/>
      </c>
      <c r="FC508" s="0" t="str">
        <f aca="false">IF(FB508="Y",Y508,"")</f>
        <v/>
      </c>
      <c r="FD508" s="0" t="str">
        <f aca="false">IF($A508="","",IF(AND(CK508="pass",AU508="Y",AV508&lt;&gt;"Y",U508="new",EW508="N"),"Y","N"))</f>
        <v/>
      </c>
      <c r="FE508" s="0" t="str">
        <f aca="false">IF(FD508&lt;&gt;"Y","",IF(COUNTIFS($FD$2:$FD$1000,"Y",$J$2:$J$1000,"&gt;"&amp;J508)+COUNTIFS($FD$2:$FD$1000,"Y",$J$2:$J$1000,J508,$FG$2:$FG$1000,"&lt;"&amp;FG508)+1&lt;=30,COUNTIFS($FD$2:$FD$1000,"Y",$J$2:$J$1000,"&gt;"&amp;J508)+COUNTIFS($FD$2:$FD$1000,"Y",$J$2:$J$1000,J508,$FG$2:$FG$1000,"&lt;"&amp;FG508)+1,""))</f>
        <v/>
      </c>
      <c r="FF508" s="0" t="str">
        <f aca="false">IF(AND(_xlfn.ISFORMULA(C508),_xlfn.ISFORMULA(J508)),"Y","N")</f>
        <v>Y</v>
      </c>
      <c r="FG508" s="0" t="n">
        <f aca="false">ROW()-1</f>
        <v>507</v>
      </c>
    </row>
    <row r="509" customFormat="false" ht="15" hidden="false" customHeight="false" outlineLevel="0" collapsed="false">
      <c r="C509" s="0" t="str">
        <f aca="false">IF($A509="","",IF(AT509="Y",BL509&amp;"",AY509&amp;""))</f>
        <v/>
      </c>
      <c r="D509" s="0" t="str">
        <f aca="false">IF($A509="","",IF(AT509="Y",BM509&amp;"",AZ509&amp;""))</f>
        <v/>
      </c>
      <c r="E509" s="0" t="str">
        <f aca="false">IF($A509="","",IF(AT509="Y",BN509&amp;"",BA509&amp;""))</f>
        <v/>
      </c>
      <c r="F509" s="0" t="str">
        <f aca="false">IF($A509="","",IF(AT509="Y",BO509&amp;"",BB509&amp;""))</f>
        <v/>
      </c>
      <c r="G509" s="0" t="str">
        <f aca="false">IF($A509="","",IF(AT509="Y",BP509&amp;"",BC509&amp;""))</f>
        <v/>
      </c>
      <c r="H509" s="0" t="str">
        <f aca="false">IF($A509="","",IF(AT509="Y",BQ509&amp;"",BD509&amp;""))</f>
        <v/>
      </c>
      <c r="I509" s="0" t="str">
        <f aca="false">IF($A509="","",IF(R509="Y","warm-intro",IF(H509="verified","email",IF(C509&lt;&gt;"","linkedin",CA509&amp;""))))</f>
        <v/>
      </c>
      <c r="J509" s="0" t="str">
        <f aca="false">IF($A509="","",IF(CK509="pass",ROUND(N(DO509)+N(DP509)+N(DQ509)+N(DR509)+N(DS509)+N(DT509)+N(DU509)+N(DV509),0),0))</f>
        <v/>
      </c>
      <c r="K509" s="0" t="str">
        <f aca="false">IF($A509="","",IF(CK509&lt;&gt;"pass",BY509&amp;"",BY509&amp;", "&amp;IF(AT509="Y",BX509&amp;"",BK509&amp;"")&amp;BZ509&amp;IF(R509="Y","; known to the founder (+10)","")&amp;"."))</f>
        <v/>
      </c>
      <c r="R509" s="5"/>
      <c r="T509" s="5"/>
      <c r="U509" s="5"/>
      <c r="Y509" s="0" t="str">
        <f aca="false">IF(FA509&lt;&gt;"Y","",COUNTIFS($FA$2:$FA$1000,"Y",$J$2:$J$1000,"&gt;"&amp;J509)+COUNTIFS($FA$2:$FA$1000,"Y",$J$2:$J$1000,J509,$FG$2:$FG$1000,"&lt;"&amp;FG509)+1)</f>
        <v/>
      </c>
      <c r="AB509" s="0" t="str">
        <f aca="false">IF($A509="","",IF(AT509="Y",BW509&amp;"",BJ509&amp;""))</f>
        <v/>
      </c>
      <c r="AC509" s="0" t="str">
        <f aca="false">IF($A509="","",IF(AT509="Y",BR509&amp;"",BE509&amp;""))</f>
        <v/>
      </c>
      <c r="AD509" s="0" t="str">
        <f aca="false">IF($A509="","",IF(AT509="Y",BS509&amp;"",BF509&amp;""))</f>
        <v/>
      </c>
      <c r="AE509" s="0" t="str">
        <f aca="false">IF($A509="","",IF(AT509="Y",BT509&amp;"",BG509&amp;""))</f>
        <v/>
      </c>
      <c r="AF509" s="0" t="str">
        <f aca="false">IF($A509="","",IF(AT509="Y",BU509&amp;"",BH509&amp;""))</f>
        <v/>
      </c>
      <c r="AG509" s="0" t="str">
        <f aca="false">IF($A509="","",IF(AT509="Y",BV509&amp;"",BI509&amp;""))</f>
        <v/>
      </c>
      <c r="AO509" s="5"/>
      <c r="AR509" s="0" t="str">
        <f aca="false">IF($A509="","",IF(AND(CK509="pass",AO509&lt;&gt;"Y",C509&lt;&gt;"",OR(AU509&lt;&gt;"Y",AV509="Y")),"Y","N"))</f>
        <v/>
      </c>
      <c r="AS509" s="0" t="str">
        <f aca="false">IF($A509="","",_xlfn.TEXTJOIN("; ",TRUE(),IF(CK509&lt;&gt;"pass","gated out",""),IF(AO509="Y","on hold: "&amp;AP509,""),IF(C509="","no contact named on an opened page",""),IF(AND(AU509="Y",AV509&lt;&gt;"Y"),"founder review pending (Founder review tab)","")))</f>
        <v/>
      </c>
      <c r="BC509" s="0" t="str">
        <f aca="false">IF($A509="","",IFERROR(INDEX(Enrichment!$A$2:$GZ$2000,MATCH($A509,INDEX(Enrichment!$A$2:$GZ$2000,0,MATCH("row_id",Enrichment!$A$1:$GZ$1,0)),0),MATCH("work_email",Enrichment!$A$1:$GZ$1,0))&amp;"",""))</f>
        <v/>
      </c>
      <c r="BD509" s="0" t="str">
        <f aca="false">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P509" s="0" t="str">
        <f aca="false">IF($A509="","",IFERROR(INDEX(Enrichment!$A$2:$GZ$2000,MATCH($A509,INDEX(Enrichment!$A$2:$GZ$2000,0,MATCH("row_id",Enrichment!$A$1:$GZ$1,0)),0),MATCH("backup_work_email",Enrichment!$A$1:$GZ$1,0))&amp;"",""))</f>
        <v/>
      </c>
      <c r="BQ509" s="0" t="str">
        <f aca="false">IF($A509="","",IF(BP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DU509" s="0" t="str">
        <f aca="false">IF($A509="","",IF(R509="Y",10,0))</f>
        <v/>
      </c>
      <c r="EV509" s="0" t="str">
        <f aca="false">IF($A509="","",IF(ISNUMBER(MATCH(U509,{"queued","contacted","replied","call_booked","call_done","yes_in_principle","materials_sent"},0)),"Y","N"))</f>
        <v/>
      </c>
      <c r="EW509" s="0" t="str">
        <f aca="false">IF($A509="","",IF(OR(T509="Y",U509="do_not_contact",AQ509&amp;""&lt;&gt;""),"Y","N"))</f>
        <v/>
      </c>
      <c r="EX509" s="0" t="str">
        <f aca="false">IF($A509="","",IF(AN509&amp;""&lt;&gt;"",AN509&amp;"",$A509))</f>
        <v/>
      </c>
      <c r="EY509" s="0" t="str">
        <f aca="false">IF($A509="","",IF(COUNTIFS($EX$2:$EX$1000,EX509,$EV$2:$EV$1000,"Y")+COUNTIFS($EX$2:$EX$1000,EX509,$EW$2:$EW$1000,"Y")&gt;0,"Y","N"))</f>
        <v/>
      </c>
      <c r="EZ509" s="0" t="str">
        <f aca="false">IF($A509="","",IF(AND(U509="new",T509="N",EW509="N",AR509="Y",EY509="N"),"Y","N"))</f>
        <v/>
      </c>
      <c r="FA509" s="0" t="str">
        <f aca="false">IF($A509="","",IF(EZ509&lt;&gt;"Y","N",IF(COUNTIFS($EX$2:$EX$1000,EX509,$EZ$2:$EZ$1000,"Y",$J$2:$J$1000,"&gt;"&amp;J509)+COUNTIFS($EX$2:$EX$1000,EX509,$EZ$2:$EZ$1000,"Y",$J$2:$J$1000,J509,$FG$2:$FG$1000,"&lt;"&amp;FG509)=0,"Y","N")))</f>
        <v/>
      </c>
      <c r="FB509" s="0" t="str">
        <f aca="false">IF($A509="","",IF(AND(EZ509="Y",FA509="Y",Y509&amp;""&lt;&gt;""),IF(Y509&lt;=10,"Y","N"),"N"))</f>
        <v/>
      </c>
      <c r="FC509" s="0" t="str">
        <f aca="false">IF(FB509="Y",Y509,"")</f>
        <v/>
      </c>
      <c r="FD509" s="0" t="str">
        <f aca="false">IF($A509="","",IF(AND(CK509="pass",AU509="Y",AV509&lt;&gt;"Y",U509="new",EW509="N"),"Y","N"))</f>
        <v/>
      </c>
      <c r="FE509" s="0" t="str">
        <f aca="false">IF(FD509&lt;&gt;"Y","",IF(COUNTIFS($FD$2:$FD$1000,"Y",$J$2:$J$1000,"&gt;"&amp;J509)+COUNTIFS($FD$2:$FD$1000,"Y",$J$2:$J$1000,J509,$FG$2:$FG$1000,"&lt;"&amp;FG509)+1&lt;=30,COUNTIFS($FD$2:$FD$1000,"Y",$J$2:$J$1000,"&gt;"&amp;J509)+COUNTIFS($FD$2:$FD$1000,"Y",$J$2:$J$1000,J509,$FG$2:$FG$1000,"&lt;"&amp;FG509)+1,""))</f>
        <v/>
      </c>
      <c r="FF509" s="0" t="str">
        <f aca="false">IF(AND(_xlfn.ISFORMULA(C509),_xlfn.ISFORMULA(J509)),"Y","N")</f>
        <v>Y</v>
      </c>
      <c r="FG509" s="0" t="n">
        <f aca="false">ROW()-1</f>
        <v>508</v>
      </c>
    </row>
    <row r="510" customFormat="false" ht="15" hidden="false" customHeight="false" outlineLevel="0" collapsed="false">
      <c r="C510" s="0" t="str">
        <f aca="false">IF($A510="","",IF(AT510="Y",BL510&amp;"",AY510&amp;""))</f>
        <v/>
      </c>
      <c r="D510" s="0" t="str">
        <f aca="false">IF($A510="","",IF(AT510="Y",BM510&amp;"",AZ510&amp;""))</f>
        <v/>
      </c>
      <c r="E510" s="0" t="str">
        <f aca="false">IF($A510="","",IF(AT510="Y",BN510&amp;"",BA510&amp;""))</f>
        <v/>
      </c>
      <c r="F510" s="0" t="str">
        <f aca="false">IF($A510="","",IF(AT510="Y",BO510&amp;"",BB510&amp;""))</f>
        <v/>
      </c>
      <c r="G510" s="0" t="str">
        <f aca="false">IF($A510="","",IF(AT510="Y",BP510&amp;"",BC510&amp;""))</f>
        <v/>
      </c>
      <c r="H510" s="0" t="str">
        <f aca="false">IF($A510="","",IF(AT510="Y",BQ510&amp;"",BD510&amp;""))</f>
        <v/>
      </c>
      <c r="I510" s="0" t="str">
        <f aca="false">IF($A510="","",IF(R510="Y","warm-intro",IF(H510="verified","email",IF(C510&lt;&gt;"","linkedin",CA510&amp;""))))</f>
        <v/>
      </c>
      <c r="J510" s="0" t="str">
        <f aca="false">IF($A510="","",IF(CK510="pass",ROUND(N(DO510)+N(DP510)+N(DQ510)+N(DR510)+N(DS510)+N(DT510)+N(DU510)+N(DV510),0),0))</f>
        <v/>
      </c>
      <c r="K510" s="0" t="str">
        <f aca="false">IF($A510="","",IF(CK510&lt;&gt;"pass",BY510&amp;"",BY510&amp;", "&amp;IF(AT510="Y",BX510&amp;"",BK510&amp;"")&amp;BZ510&amp;IF(R510="Y","; known to the founder (+10)","")&amp;"."))</f>
        <v/>
      </c>
      <c r="R510" s="5"/>
      <c r="T510" s="5"/>
      <c r="U510" s="5"/>
      <c r="Y510" s="0" t="str">
        <f aca="false">IF(FA510&lt;&gt;"Y","",COUNTIFS($FA$2:$FA$1000,"Y",$J$2:$J$1000,"&gt;"&amp;J510)+COUNTIFS($FA$2:$FA$1000,"Y",$J$2:$J$1000,J510,$FG$2:$FG$1000,"&lt;"&amp;FG510)+1)</f>
        <v/>
      </c>
      <c r="AB510" s="0" t="str">
        <f aca="false">IF($A510="","",IF(AT510="Y",BW510&amp;"",BJ510&amp;""))</f>
        <v/>
      </c>
      <c r="AC510" s="0" t="str">
        <f aca="false">IF($A510="","",IF(AT510="Y",BR510&amp;"",BE510&amp;""))</f>
        <v/>
      </c>
      <c r="AD510" s="0" t="str">
        <f aca="false">IF($A510="","",IF(AT510="Y",BS510&amp;"",BF510&amp;""))</f>
        <v/>
      </c>
      <c r="AE510" s="0" t="str">
        <f aca="false">IF($A510="","",IF(AT510="Y",BT510&amp;"",BG510&amp;""))</f>
        <v/>
      </c>
      <c r="AF510" s="0" t="str">
        <f aca="false">IF($A510="","",IF(AT510="Y",BU510&amp;"",BH510&amp;""))</f>
        <v/>
      </c>
      <c r="AG510" s="0" t="str">
        <f aca="false">IF($A510="","",IF(AT510="Y",BV510&amp;"",BI510&amp;""))</f>
        <v/>
      </c>
      <c r="AO510" s="5"/>
      <c r="AR510" s="0" t="str">
        <f aca="false">IF($A510="","",IF(AND(CK510="pass",AO510&lt;&gt;"Y",C510&lt;&gt;"",OR(AU510&lt;&gt;"Y",AV510="Y")),"Y","N"))</f>
        <v/>
      </c>
      <c r="AS510" s="0" t="str">
        <f aca="false">IF($A510="","",_xlfn.TEXTJOIN("; ",TRUE(),IF(CK510&lt;&gt;"pass","gated out",""),IF(AO510="Y","on hold: "&amp;AP510,""),IF(C510="","no contact named on an opened page",""),IF(AND(AU510="Y",AV510&lt;&gt;"Y"),"founder review pending (Founder review tab)","")))</f>
        <v/>
      </c>
      <c r="BC510" s="0" t="str">
        <f aca="false">IF($A510="","",IFERROR(INDEX(Enrichment!$A$2:$GZ$2000,MATCH($A510,INDEX(Enrichment!$A$2:$GZ$2000,0,MATCH("row_id",Enrichment!$A$1:$GZ$1,0)),0),MATCH("work_email",Enrichment!$A$1:$GZ$1,0))&amp;"",""))</f>
        <v/>
      </c>
      <c r="BD510" s="0" t="str">
        <f aca="false">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P510" s="0" t="str">
        <f aca="false">IF($A510="","",IFERROR(INDEX(Enrichment!$A$2:$GZ$2000,MATCH($A510,INDEX(Enrichment!$A$2:$GZ$2000,0,MATCH("row_id",Enrichment!$A$1:$GZ$1,0)),0),MATCH("backup_work_email",Enrichment!$A$1:$GZ$1,0))&amp;"",""))</f>
        <v/>
      </c>
      <c r="BQ510" s="0" t="str">
        <f aca="false">IF($A510="","",IF(BP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DU510" s="0" t="str">
        <f aca="false">IF($A510="","",IF(R510="Y",10,0))</f>
        <v/>
      </c>
      <c r="EV510" s="0" t="str">
        <f aca="false">IF($A510="","",IF(ISNUMBER(MATCH(U510,{"queued","contacted","replied","call_booked","call_done","yes_in_principle","materials_sent"},0)),"Y","N"))</f>
        <v/>
      </c>
      <c r="EW510" s="0" t="str">
        <f aca="false">IF($A510="","",IF(OR(T510="Y",U510="do_not_contact",AQ510&amp;""&lt;&gt;""),"Y","N"))</f>
        <v/>
      </c>
      <c r="EX510" s="0" t="str">
        <f aca="false">IF($A510="","",IF(AN510&amp;""&lt;&gt;"",AN510&amp;"",$A510))</f>
        <v/>
      </c>
      <c r="EY510" s="0" t="str">
        <f aca="false">IF($A510="","",IF(COUNTIFS($EX$2:$EX$1000,EX510,$EV$2:$EV$1000,"Y")+COUNTIFS($EX$2:$EX$1000,EX510,$EW$2:$EW$1000,"Y")&gt;0,"Y","N"))</f>
        <v/>
      </c>
      <c r="EZ510" s="0" t="str">
        <f aca="false">IF($A510="","",IF(AND(U510="new",T510="N",EW510="N",AR510="Y",EY510="N"),"Y","N"))</f>
        <v/>
      </c>
      <c r="FA510" s="0" t="str">
        <f aca="false">IF($A510="","",IF(EZ510&lt;&gt;"Y","N",IF(COUNTIFS($EX$2:$EX$1000,EX510,$EZ$2:$EZ$1000,"Y",$J$2:$J$1000,"&gt;"&amp;J510)+COUNTIFS($EX$2:$EX$1000,EX510,$EZ$2:$EZ$1000,"Y",$J$2:$J$1000,J510,$FG$2:$FG$1000,"&lt;"&amp;FG510)=0,"Y","N")))</f>
        <v/>
      </c>
      <c r="FB510" s="0" t="str">
        <f aca="false">IF($A510="","",IF(AND(EZ510="Y",FA510="Y",Y510&amp;""&lt;&gt;""),IF(Y510&lt;=10,"Y","N"),"N"))</f>
        <v/>
      </c>
      <c r="FC510" s="0" t="str">
        <f aca="false">IF(FB510="Y",Y510,"")</f>
        <v/>
      </c>
      <c r="FD510" s="0" t="str">
        <f aca="false">IF($A510="","",IF(AND(CK510="pass",AU510="Y",AV510&lt;&gt;"Y",U510="new",EW510="N"),"Y","N"))</f>
        <v/>
      </c>
      <c r="FE510" s="0" t="str">
        <f aca="false">IF(FD510&lt;&gt;"Y","",IF(COUNTIFS($FD$2:$FD$1000,"Y",$J$2:$J$1000,"&gt;"&amp;J510)+COUNTIFS($FD$2:$FD$1000,"Y",$J$2:$J$1000,J510,$FG$2:$FG$1000,"&lt;"&amp;FG510)+1&lt;=30,COUNTIFS($FD$2:$FD$1000,"Y",$J$2:$J$1000,"&gt;"&amp;J510)+COUNTIFS($FD$2:$FD$1000,"Y",$J$2:$J$1000,J510,$FG$2:$FG$1000,"&lt;"&amp;FG510)+1,""))</f>
        <v/>
      </c>
      <c r="FF510" s="0" t="str">
        <f aca="false">IF(AND(_xlfn.ISFORMULA(C510),_xlfn.ISFORMULA(J510)),"Y","N")</f>
        <v>Y</v>
      </c>
      <c r="FG510" s="0" t="n">
        <f aca="false">ROW()-1</f>
        <v>509</v>
      </c>
    </row>
    <row r="511" customFormat="false" ht="15" hidden="false" customHeight="false" outlineLevel="0" collapsed="false">
      <c r="C511" s="0" t="str">
        <f aca="false">IF($A511="","",IF(AT511="Y",BL511&amp;"",AY511&amp;""))</f>
        <v/>
      </c>
      <c r="D511" s="0" t="str">
        <f aca="false">IF($A511="","",IF(AT511="Y",BM511&amp;"",AZ511&amp;""))</f>
        <v/>
      </c>
      <c r="E511" s="0" t="str">
        <f aca="false">IF($A511="","",IF(AT511="Y",BN511&amp;"",BA511&amp;""))</f>
        <v/>
      </c>
      <c r="F511" s="0" t="str">
        <f aca="false">IF($A511="","",IF(AT511="Y",BO511&amp;"",BB511&amp;""))</f>
        <v/>
      </c>
      <c r="G511" s="0" t="str">
        <f aca="false">IF($A511="","",IF(AT511="Y",BP511&amp;"",BC511&amp;""))</f>
        <v/>
      </c>
      <c r="H511" s="0" t="str">
        <f aca="false">IF($A511="","",IF(AT511="Y",BQ511&amp;"",BD511&amp;""))</f>
        <v/>
      </c>
      <c r="I511" s="0" t="str">
        <f aca="false">IF($A511="","",IF(R511="Y","warm-intro",IF(H511="verified","email",IF(C511&lt;&gt;"","linkedin",CA511&amp;""))))</f>
        <v/>
      </c>
      <c r="J511" s="0" t="str">
        <f aca="false">IF($A511="","",IF(CK511="pass",ROUND(N(DO511)+N(DP511)+N(DQ511)+N(DR511)+N(DS511)+N(DT511)+N(DU511)+N(DV511),0),0))</f>
        <v/>
      </c>
      <c r="K511" s="0" t="str">
        <f aca="false">IF($A511="","",IF(CK511&lt;&gt;"pass",BY511&amp;"",BY511&amp;", "&amp;IF(AT511="Y",BX511&amp;"",BK511&amp;"")&amp;BZ511&amp;IF(R511="Y","; known to the founder (+10)","")&amp;"."))</f>
        <v/>
      </c>
      <c r="R511" s="5"/>
      <c r="T511" s="5"/>
      <c r="U511" s="5"/>
      <c r="Y511" s="0" t="str">
        <f aca="false">IF(FA511&lt;&gt;"Y","",COUNTIFS($FA$2:$FA$1000,"Y",$J$2:$J$1000,"&gt;"&amp;J511)+COUNTIFS($FA$2:$FA$1000,"Y",$J$2:$J$1000,J511,$FG$2:$FG$1000,"&lt;"&amp;FG511)+1)</f>
        <v/>
      </c>
      <c r="AB511" s="0" t="str">
        <f aca="false">IF($A511="","",IF(AT511="Y",BW511&amp;"",BJ511&amp;""))</f>
        <v/>
      </c>
      <c r="AC511" s="0" t="str">
        <f aca="false">IF($A511="","",IF(AT511="Y",BR511&amp;"",BE511&amp;""))</f>
        <v/>
      </c>
      <c r="AD511" s="0" t="str">
        <f aca="false">IF($A511="","",IF(AT511="Y",BS511&amp;"",BF511&amp;""))</f>
        <v/>
      </c>
      <c r="AE511" s="0" t="str">
        <f aca="false">IF($A511="","",IF(AT511="Y",BT511&amp;"",BG511&amp;""))</f>
        <v/>
      </c>
      <c r="AF511" s="0" t="str">
        <f aca="false">IF($A511="","",IF(AT511="Y",BU511&amp;"",BH511&amp;""))</f>
        <v/>
      </c>
      <c r="AG511" s="0" t="str">
        <f aca="false">IF($A511="","",IF(AT511="Y",BV511&amp;"",BI511&amp;""))</f>
        <v/>
      </c>
      <c r="AO511" s="5"/>
      <c r="AR511" s="0" t="str">
        <f aca="false">IF($A511="","",IF(AND(CK511="pass",AO511&lt;&gt;"Y",C511&lt;&gt;"",OR(AU511&lt;&gt;"Y",AV511="Y")),"Y","N"))</f>
        <v/>
      </c>
      <c r="AS511" s="0" t="str">
        <f aca="false">IF($A511="","",_xlfn.TEXTJOIN("; ",TRUE(),IF(CK511&lt;&gt;"pass","gated out",""),IF(AO511="Y","on hold: "&amp;AP511,""),IF(C511="","no contact named on an opened page",""),IF(AND(AU511="Y",AV511&lt;&gt;"Y"),"founder review pending (Founder review tab)","")))</f>
        <v/>
      </c>
      <c r="BC511" s="0" t="str">
        <f aca="false">IF($A511="","",IFERROR(INDEX(Enrichment!$A$2:$GZ$2000,MATCH($A511,INDEX(Enrichment!$A$2:$GZ$2000,0,MATCH("row_id",Enrichment!$A$1:$GZ$1,0)),0),MATCH("work_email",Enrichment!$A$1:$GZ$1,0))&amp;"",""))</f>
        <v/>
      </c>
      <c r="BD511" s="0" t="str">
        <f aca="false">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P511" s="0" t="str">
        <f aca="false">IF($A511="","",IFERROR(INDEX(Enrichment!$A$2:$GZ$2000,MATCH($A511,INDEX(Enrichment!$A$2:$GZ$2000,0,MATCH("row_id",Enrichment!$A$1:$GZ$1,0)),0),MATCH("backup_work_email",Enrichment!$A$1:$GZ$1,0))&amp;"",""))</f>
        <v/>
      </c>
      <c r="BQ511" s="0" t="str">
        <f aca="false">IF($A511="","",IF(BP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DU511" s="0" t="str">
        <f aca="false">IF($A511="","",IF(R511="Y",10,0))</f>
        <v/>
      </c>
      <c r="EV511" s="0" t="str">
        <f aca="false">IF($A511="","",IF(ISNUMBER(MATCH(U511,{"queued","contacted","replied","call_booked","call_done","yes_in_principle","materials_sent"},0)),"Y","N"))</f>
        <v/>
      </c>
      <c r="EW511" s="0" t="str">
        <f aca="false">IF($A511="","",IF(OR(T511="Y",U511="do_not_contact",AQ511&amp;""&lt;&gt;""),"Y","N"))</f>
        <v/>
      </c>
      <c r="EX511" s="0" t="str">
        <f aca="false">IF($A511="","",IF(AN511&amp;""&lt;&gt;"",AN511&amp;"",$A511))</f>
        <v/>
      </c>
      <c r="EY511" s="0" t="str">
        <f aca="false">IF($A511="","",IF(COUNTIFS($EX$2:$EX$1000,EX511,$EV$2:$EV$1000,"Y")+COUNTIFS($EX$2:$EX$1000,EX511,$EW$2:$EW$1000,"Y")&gt;0,"Y","N"))</f>
        <v/>
      </c>
      <c r="EZ511" s="0" t="str">
        <f aca="false">IF($A511="","",IF(AND(U511="new",T511="N",EW511="N",AR511="Y",EY511="N"),"Y","N"))</f>
        <v/>
      </c>
      <c r="FA511" s="0" t="str">
        <f aca="false">IF($A511="","",IF(EZ511&lt;&gt;"Y","N",IF(COUNTIFS($EX$2:$EX$1000,EX511,$EZ$2:$EZ$1000,"Y",$J$2:$J$1000,"&gt;"&amp;J511)+COUNTIFS($EX$2:$EX$1000,EX511,$EZ$2:$EZ$1000,"Y",$J$2:$J$1000,J511,$FG$2:$FG$1000,"&lt;"&amp;FG511)=0,"Y","N")))</f>
        <v/>
      </c>
      <c r="FB511" s="0" t="str">
        <f aca="false">IF($A511="","",IF(AND(EZ511="Y",FA511="Y",Y511&amp;""&lt;&gt;""),IF(Y511&lt;=10,"Y","N"),"N"))</f>
        <v/>
      </c>
      <c r="FC511" s="0" t="str">
        <f aca="false">IF(FB511="Y",Y511,"")</f>
        <v/>
      </c>
      <c r="FD511" s="0" t="str">
        <f aca="false">IF($A511="","",IF(AND(CK511="pass",AU511="Y",AV511&lt;&gt;"Y",U511="new",EW511="N"),"Y","N"))</f>
        <v/>
      </c>
      <c r="FE511" s="0" t="str">
        <f aca="false">IF(FD511&lt;&gt;"Y","",IF(COUNTIFS($FD$2:$FD$1000,"Y",$J$2:$J$1000,"&gt;"&amp;J511)+COUNTIFS($FD$2:$FD$1000,"Y",$J$2:$J$1000,J511,$FG$2:$FG$1000,"&lt;"&amp;FG511)+1&lt;=30,COUNTIFS($FD$2:$FD$1000,"Y",$J$2:$J$1000,"&gt;"&amp;J511)+COUNTIFS($FD$2:$FD$1000,"Y",$J$2:$J$1000,J511,$FG$2:$FG$1000,"&lt;"&amp;FG511)+1,""))</f>
        <v/>
      </c>
      <c r="FF511" s="0" t="str">
        <f aca="false">IF(AND(_xlfn.ISFORMULA(C511),_xlfn.ISFORMULA(J511)),"Y","N")</f>
        <v>Y</v>
      </c>
      <c r="FG511" s="0" t="n">
        <f aca="false">ROW()-1</f>
        <v>510</v>
      </c>
    </row>
    <row r="512" customFormat="false" ht="15" hidden="false" customHeight="false" outlineLevel="0" collapsed="false">
      <c r="C512" s="0" t="str">
        <f aca="false">IF($A512="","",IF(AT512="Y",BL512&amp;"",AY512&amp;""))</f>
        <v/>
      </c>
      <c r="D512" s="0" t="str">
        <f aca="false">IF($A512="","",IF(AT512="Y",BM512&amp;"",AZ512&amp;""))</f>
        <v/>
      </c>
      <c r="E512" s="0" t="str">
        <f aca="false">IF($A512="","",IF(AT512="Y",BN512&amp;"",BA512&amp;""))</f>
        <v/>
      </c>
      <c r="F512" s="0" t="str">
        <f aca="false">IF($A512="","",IF(AT512="Y",BO512&amp;"",BB512&amp;""))</f>
        <v/>
      </c>
      <c r="G512" s="0" t="str">
        <f aca="false">IF($A512="","",IF(AT512="Y",BP512&amp;"",BC512&amp;""))</f>
        <v/>
      </c>
      <c r="H512" s="0" t="str">
        <f aca="false">IF($A512="","",IF(AT512="Y",BQ512&amp;"",BD512&amp;""))</f>
        <v/>
      </c>
      <c r="I512" s="0" t="str">
        <f aca="false">IF($A512="","",IF(R512="Y","warm-intro",IF(H512="verified","email",IF(C512&lt;&gt;"","linkedin",CA512&amp;""))))</f>
        <v/>
      </c>
      <c r="J512" s="0" t="str">
        <f aca="false">IF($A512="","",IF(CK512="pass",ROUND(N(DO512)+N(DP512)+N(DQ512)+N(DR512)+N(DS512)+N(DT512)+N(DU512)+N(DV512),0),0))</f>
        <v/>
      </c>
      <c r="K512" s="0" t="str">
        <f aca="false">IF($A512="","",IF(CK512&lt;&gt;"pass",BY512&amp;"",BY512&amp;", "&amp;IF(AT512="Y",BX512&amp;"",BK512&amp;"")&amp;BZ512&amp;IF(R512="Y","; known to the founder (+10)","")&amp;"."))</f>
        <v/>
      </c>
      <c r="R512" s="5"/>
      <c r="T512" s="5"/>
      <c r="U512" s="5"/>
      <c r="Y512" s="0" t="str">
        <f aca="false">IF(FA512&lt;&gt;"Y","",COUNTIFS($FA$2:$FA$1000,"Y",$J$2:$J$1000,"&gt;"&amp;J512)+COUNTIFS($FA$2:$FA$1000,"Y",$J$2:$J$1000,J512,$FG$2:$FG$1000,"&lt;"&amp;FG512)+1)</f>
        <v/>
      </c>
      <c r="AB512" s="0" t="str">
        <f aca="false">IF($A512="","",IF(AT512="Y",BW512&amp;"",BJ512&amp;""))</f>
        <v/>
      </c>
      <c r="AC512" s="0" t="str">
        <f aca="false">IF($A512="","",IF(AT512="Y",BR512&amp;"",BE512&amp;""))</f>
        <v/>
      </c>
      <c r="AD512" s="0" t="str">
        <f aca="false">IF($A512="","",IF(AT512="Y",BS512&amp;"",BF512&amp;""))</f>
        <v/>
      </c>
      <c r="AE512" s="0" t="str">
        <f aca="false">IF($A512="","",IF(AT512="Y",BT512&amp;"",BG512&amp;""))</f>
        <v/>
      </c>
      <c r="AF512" s="0" t="str">
        <f aca="false">IF($A512="","",IF(AT512="Y",BU512&amp;"",BH512&amp;""))</f>
        <v/>
      </c>
      <c r="AG512" s="0" t="str">
        <f aca="false">IF($A512="","",IF(AT512="Y",BV512&amp;"",BI512&amp;""))</f>
        <v/>
      </c>
      <c r="AO512" s="5"/>
      <c r="AR512" s="0" t="str">
        <f aca="false">IF($A512="","",IF(AND(CK512="pass",AO512&lt;&gt;"Y",C512&lt;&gt;"",OR(AU512&lt;&gt;"Y",AV512="Y")),"Y","N"))</f>
        <v/>
      </c>
      <c r="AS512" s="0" t="str">
        <f aca="false">IF($A512="","",_xlfn.TEXTJOIN("; ",TRUE(),IF(CK512&lt;&gt;"pass","gated out",""),IF(AO512="Y","on hold: "&amp;AP512,""),IF(C512="","no contact named on an opened page",""),IF(AND(AU512="Y",AV512&lt;&gt;"Y"),"founder review pending (Founder review tab)","")))</f>
        <v/>
      </c>
      <c r="BC512" s="0" t="str">
        <f aca="false">IF($A512="","",IFERROR(INDEX(Enrichment!$A$2:$GZ$2000,MATCH($A512,INDEX(Enrichment!$A$2:$GZ$2000,0,MATCH("row_id",Enrichment!$A$1:$GZ$1,0)),0),MATCH("work_email",Enrichment!$A$1:$GZ$1,0))&amp;"",""))</f>
        <v/>
      </c>
      <c r="BD512" s="0" t="str">
        <f aca="false">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P512" s="0" t="str">
        <f aca="false">IF($A512="","",IFERROR(INDEX(Enrichment!$A$2:$GZ$2000,MATCH($A512,INDEX(Enrichment!$A$2:$GZ$2000,0,MATCH("row_id",Enrichment!$A$1:$GZ$1,0)),0),MATCH("backup_work_email",Enrichment!$A$1:$GZ$1,0))&amp;"",""))</f>
        <v/>
      </c>
      <c r="BQ512" s="0" t="str">
        <f aca="false">IF($A512="","",IF(BP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DU512" s="0" t="str">
        <f aca="false">IF($A512="","",IF(R512="Y",10,0))</f>
        <v/>
      </c>
      <c r="EV512" s="0" t="str">
        <f aca="false">IF($A512="","",IF(ISNUMBER(MATCH(U512,{"queued","contacted","replied","call_booked","call_done","yes_in_principle","materials_sent"},0)),"Y","N"))</f>
        <v/>
      </c>
      <c r="EW512" s="0" t="str">
        <f aca="false">IF($A512="","",IF(OR(T512="Y",U512="do_not_contact",AQ512&amp;""&lt;&gt;""),"Y","N"))</f>
        <v/>
      </c>
      <c r="EX512" s="0" t="str">
        <f aca="false">IF($A512="","",IF(AN512&amp;""&lt;&gt;"",AN512&amp;"",$A512))</f>
        <v/>
      </c>
      <c r="EY512" s="0" t="str">
        <f aca="false">IF($A512="","",IF(COUNTIFS($EX$2:$EX$1000,EX512,$EV$2:$EV$1000,"Y")+COUNTIFS($EX$2:$EX$1000,EX512,$EW$2:$EW$1000,"Y")&gt;0,"Y","N"))</f>
        <v/>
      </c>
      <c r="EZ512" s="0" t="str">
        <f aca="false">IF($A512="","",IF(AND(U512="new",T512="N",EW512="N",AR512="Y",EY512="N"),"Y","N"))</f>
        <v/>
      </c>
      <c r="FA512" s="0" t="str">
        <f aca="false">IF($A512="","",IF(EZ512&lt;&gt;"Y","N",IF(COUNTIFS($EX$2:$EX$1000,EX512,$EZ$2:$EZ$1000,"Y",$J$2:$J$1000,"&gt;"&amp;J512)+COUNTIFS($EX$2:$EX$1000,EX512,$EZ$2:$EZ$1000,"Y",$J$2:$J$1000,J512,$FG$2:$FG$1000,"&lt;"&amp;FG512)=0,"Y","N")))</f>
        <v/>
      </c>
      <c r="FB512" s="0" t="str">
        <f aca="false">IF($A512="","",IF(AND(EZ512="Y",FA512="Y",Y512&amp;""&lt;&gt;""),IF(Y512&lt;=10,"Y","N"),"N"))</f>
        <v/>
      </c>
      <c r="FC512" s="0" t="str">
        <f aca="false">IF(FB512="Y",Y512,"")</f>
        <v/>
      </c>
      <c r="FD512" s="0" t="str">
        <f aca="false">IF($A512="","",IF(AND(CK512="pass",AU512="Y",AV512&lt;&gt;"Y",U512="new",EW512="N"),"Y","N"))</f>
        <v/>
      </c>
      <c r="FE512" s="0" t="str">
        <f aca="false">IF(FD512&lt;&gt;"Y","",IF(COUNTIFS($FD$2:$FD$1000,"Y",$J$2:$J$1000,"&gt;"&amp;J512)+COUNTIFS($FD$2:$FD$1000,"Y",$J$2:$J$1000,J512,$FG$2:$FG$1000,"&lt;"&amp;FG512)+1&lt;=30,COUNTIFS($FD$2:$FD$1000,"Y",$J$2:$J$1000,"&gt;"&amp;J512)+COUNTIFS($FD$2:$FD$1000,"Y",$J$2:$J$1000,J512,$FG$2:$FG$1000,"&lt;"&amp;FG512)+1,""))</f>
        <v/>
      </c>
      <c r="FF512" s="0" t="str">
        <f aca="false">IF(AND(_xlfn.ISFORMULA(C512),_xlfn.ISFORMULA(J512)),"Y","N")</f>
        <v>Y</v>
      </c>
      <c r="FG512" s="0" t="n">
        <f aca="false">ROW()-1</f>
        <v>511</v>
      </c>
    </row>
    <row r="513" customFormat="false" ht="15" hidden="false" customHeight="false" outlineLevel="0" collapsed="false">
      <c r="C513" s="0" t="str">
        <f aca="false">IF($A513="","",IF(AT513="Y",BL513&amp;"",AY513&amp;""))</f>
        <v/>
      </c>
      <c r="D513" s="0" t="str">
        <f aca="false">IF($A513="","",IF(AT513="Y",BM513&amp;"",AZ513&amp;""))</f>
        <v/>
      </c>
      <c r="E513" s="0" t="str">
        <f aca="false">IF($A513="","",IF(AT513="Y",BN513&amp;"",BA513&amp;""))</f>
        <v/>
      </c>
      <c r="F513" s="0" t="str">
        <f aca="false">IF($A513="","",IF(AT513="Y",BO513&amp;"",BB513&amp;""))</f>
        <v/>
      </c>
      <c r="G513" s="0" t="str">
        <f aca="false">IF($A513="","",IF(AT513="Y",BP513&amp;"",BC513&amp;""))</f>
        <v/>
      </c>
      <c r="H513" s="0" t="str">
        <f aca="false">IF($A513="","",IF(AT513="Y",BQ513&amp;"",BD513&amp;""))</f>
        <v/>
      </c>
      <c r="I513" s="0" t="str">
        <f aca="false">IF($A513="","",IF(R513="Y","warm-intro",IF(H513="verified","email",IF(C513&lt;&gt;"","linkedin",CA513&amp;""))))</f>
        <v/>
      </c>
      <c r="J513" s="0" t="str">
        <f aca="false">IF($A513="","",IF(CK513="pass",ROUND(N(DO513)+N(DP513)+N(DQ513)+N(DR513)+N(DS513)+N(DT513)+N(DU513)+N(DV513),0),0))</f>
        <v/>
      </c>
      <c r="K513" s="0" t="str">
        <f aca="false">IF($A513="","",IF(CK513&lt;&gt;"pass",BY513&amp;"",BY513&amp;", "&amp;IF(AT513="Y",BX513&amp;"",BK513&amp;"")&amp;BZ513&amp;IF(R513="Y","; known to the founder (+10)","")&amp;"."))</f>
        <v/>
      </c>
      <c r="R513" s="5"/>
      <c r="T513" s="5"/>
      <c r="U513" s="5"/>
      <c r="Y513" s="0" t="str">
        <f aca="false">IF(FA513&lt;&gt;"Y","",COUNTIFS($FA$2:$FA$1000,"Y",$J$2:$J$1000,"&gt;"&amp;J513)+COUNTIFS($FA$2:$FA$1000,"Y",$J$2:$J$1000,J513,$FG$2:$FG$1000,"&lt;"&amp;FG513)+1)</f>
        <v/>
      </c>
      <c r="AB513" s="0" t="str">
        <f aca="false">IF($A513="","",IF(AT513="Y",BW513&amp;"",BJ513&amp;""))</f>
        <v/>
      </c>
      <c r="AC513" s="0" t="str">
        <f aca="false">IF($A513="","",IF(AT513="Y",BR513&amp;"",BE513&amp;""))</f>
        <v/>
      </c>
      <c r="AD513" s="0" t="str">
        <f aca="false">IF($A513="","",IF(AT513="Y",BS513&amp;"",BF513&amp;""))</f>
        <v/>
      </c>
      <c r="AE513" s="0" t="str">
        <f aca="false">IF($A513="","",IF(AT513="Y",BT513&amp;"",BG513&amp;""))</f>
        <v/>
      </c>
      <c r="AF513" s="0" t="str">
        <f aca="false">IF($A513="","",IF(AT513="Y",BU513&amp;"",BH513&amp;""))</f>
        <v/>
      </c>
      <c r="AG513" s="0" t="str">
        <f aca="false">IF($A513="","",IF(AT513="Y",BV513&amp;"",BI513&amp;""))</f>
        <v/>
      </c>
      <c r="AO513" s="5"/>
      <c r="AR513" s="0" t="str">
        <f aca="false">IF($A513="","",IF(AND(CK513="pass",AO513&lt;&gt;"Y",C513&lt;&gt;"",OR(AU513&lt;&gt;"Y",AV513="Y")),"Y","N"))</f>
        <v/>
      </c>
      <c r="AS513" s="0" t="str">
        <f aca="false">IF($A513="","",_xlfn.TEXTJOIN("; ",TRUE(),IF(CK513&lt;&gt;"pass","gated out",""),IF(AO513="Y","on hold: "&amp;AP513,""),IF(C513="","no contact named on an opened page",""),IF(AND(AU513="Y",AV513&lt;&gt;"Y"),"founder review pending (Founder review tab)","")))</f>
        <v/>
      </c>
      <c r="BC513" s="0" t="str">
        <f aca="false">IF($A513="","",IFERROR(INDEX(Enrichment!$A$2:$GZ$2000,MATCH($A513,INDEX(Enrichment!$A$2:$GZ$2000,0,MATCH("row_id",Enrichment!$A$1:$GZ$1,0)),0),MATCH("work_email",Enrichment!$A$1:$GZ$1,0))&amp;"",""))</f>
        <v/>
      </c>
      <c r="BD513" s="0" t="str">
        <f aca="false">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P513" s="0" t="str">
        <f aca="false">IF($A513="","",IFERROR(INDEX(Enrichment!$A$2:$GZ$2000,MATCH($A513,INDEX(Enrichment!$A$2:$GZ$2000,0,MATCH("row_id",Enrichment!$A$1:$GZ$1,0)),0),MATCH("backup_work_email",Enrichment!$A$1:$GZ$1,0))&amp;"",""))</f>
        <v/>
      </c>
      <c r="BQ513" s="0" t="str">
        <f aca="false">IF($A513="","",IF(BP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DU513" s="0" t="str">
        <f aca="false">IF($A513="","",IF(R513="Y",10,0))</f>
        <v/>
      </c>
      <c r="EV513" s="0" t="str">
        <f aca="false">IF($A513="","",IF(ISNUMBER(MATCH(U513,{"queued","contacted","replied","call_booked","call_done","yes_in_principle","materials_sent"},0)),"Y","N"))</f>
        <v/>
      </c>
      <c r="EW513" s="0" t="str">
        <f aca="false">IF($A513="","",IF(OR(T513="Y",U513="do_not_contact",AQ513&amp;""&lt;&gt;""),"Y","N"))</f>
        <v/>
      </c>
      <c r="EX513" s="0" t="str">
        <f aca="false">IF($A513="","",IF(AN513&amp;""&lt;&gt;"",AN513&amp;"",$A513))</f>
        <v/>
      </c>
      <c r="EY513" s="0" t="str">
        <f aca="false">IF($A513="","",IF(COUNTIFS($EX$2:$EX$1000,EX513,$EV$2:$EV$1000,"Y")+COUNTIFS($EX$2:$EX$1000,EX513,$EW$2:$EW$1000,"Y")&gt;0,"Y","N"))</f>
        <v/>
      </c>
      <c r="EZ513" s="0" t="str">
        <f aca="false">IF($A513="","",IF(AND(U513="new",T513="N",EW513="N",AR513="Y",EY513="N"),"Y","N"))</f>
        <v/>
      </c>
      <c r="FA513" s="0" t="str">
        <f aca="false">IF($A513="","",IF(EZ513&lt;&gt;"Y","N",IF(COUNTIFS($EX$2:$EX$1000,EX513,$EZ$2:$EZ$1000,"Y",$J$2:$J$1000,"&gt;"&amp;J513)+COUNTIFS($EX$2:$EX$1000,EX513,$EZ$2:$EZ$1000,"Y",$J$2:$J$1000,J513,$FG$2:$FG$1000,"&lt;"&amp;FG513)=0,"Y","N")))</f>
        <v/>
      </c>
      <c r="FB513" s="0" t="str">
        <f aca="false">IF($A513="","",IF(AND(EZ513="Y",FA513="Y",Y513&amp;""&lt;&gt;""),IF(Y513&lt;=10,"Y","N"),"N"))</f>
        <v/>
      </c>
      <c r="FC513" s="0" t="str">
        <f aca="false">IF(FB513="Y",Y513,"")</f>
        <v/>
      </c>
      <c r="FD513" s="0" t="str">
        <f aca="false">IF($A513="","",IF(AND(CK513="pass",AU513="Y",AV513&lt;&gt;"Y",U513="new",EW513="N"),"Y","N"))</f>
        <v/>
      </c>
      <c r="FE513" s="0" t="str">
        <f aca="false">IF(FD513&lt;&gt;"Y","",IF(COUNTIFS($FD$2:$FD$1000,"Y",$J$2:$J$1000,"&gt;"&amp;J513)+COUNTIFS($FD$2:$FD$1000,"Y",$J$2:$J$1000,J513,$FG$2:$FG$1000,"&lt;"&amp;FG513)+1&lt;=30,COUNTIFS($FD$2:$FD$1000,"Y",$J$2:$J$1000,"&gt;"&amp;J513)+COUNTIFS($FD$2:$FD$1000,"Y",$J$2:$J$1000,J513,$FG$2:$FG$1000,"&lt;"&amp;FG513)+1,""))</f>
        <v/>
      </c>
      <c r="FF513" s="0" t="str">
        <f aca="false">IF(AND(_xlfn.ISFORMULA(C513),_xlfn.ISFORMULA(J513)),"Y","N")</f>
        <v>Y</v>
      </c>
      <c r="FG513" s="0" t="n">
        <f aca="false">ROW()-1</f>
        <v>512</v>
      </c>
    </row>
    <row r="514" customFormat="false" ht="15" hidden="false" customHeight="false" outlineLevel="0" collapsed="false">
      <c r="C514" s="0" t="str">
        <f aca="false">IF($A514="","",IF(AT514="Y",BL514&amp;"",AY514&amp;""))</f>
        <v/>
      </c>
      <c r="D514" s="0" t="str">
        <f aca="false">IF($A514="","",IF(AT514="Y",BM514&amp;"",AZ514&amp;""))</f>
        <v/>
      </c>
      <c r="E514" s="0" t="str">
        <f aca="false">IF($A514="","",IF(AT514="Y",BN514&amp;"",BA514&amp;""))</f>
        <v/>
      </c>
      <c r="F514" s="0" t="str">
        <f aca="false">IF($A514="","",IF(AT514="Y",BO514&amp;"",BB514&amp;""))</f>
        <v/>
      </c>
      <c r="G514" s="0" t="str">
        <f aca="false">IF($A514="","",IF(AT514="Y",BP514&amp;"",BC514&amp;""))</f>
        <v/>
      </c>
      <c r="H514" s="0" t="str">
        <f aca="false">IF($A514="","",IF(AT514="Y",BQ514&amp;"",BD514&amp;""))</f>
        <v/>
      </c>
      <c r="I514" s="0" t="str">
        <f aca="false">IF($A514="","",IF(R514="Y","warm-intro",IF(H514="verified","email",IF(C514&lt;&gt;"","linkedin",CA514&amp;""))))</f>
        <v/>
      </c>
      <c r="J514" s="0" t="str">
        <f aca="false">IF($A514="","",IF(CK514="pass",ROUND(N(DO514)+N(DP514)+N(DQ514)+N(DR514)+N(DS514)+N(DT514)+N(DU514)+N(DV514),0),0))</f>
        <v/>
      </c>
      <c r="K514" s="0" t="str">
        <f aca="false">IF($A514="","",IF(CK514&lt;&gt;"pass",BY514&amp;"",BY514&amp;", "&amp;IF(AT514="Y",BX514&amp;"",BK514&amp;"")&amp;BZ514&amp;IF(R514="Y","; known to the founder (+10)","")&amp;"."))</f>
        <v/>
      </c>
      <c r="R514" s="5"/>
      <c r="T514" s="5"/>
      <c r="U514" s="5"/>
      <c r="Y514" s="0" t="str">
        <f aca="false">IF(FA514&lt;&gt;"Y","",COUNTIFS($FA$2:$FA$1000,"Y",$J$2:$J$1000,"&gt;"&amp;J514)+COUNTIFS($FA$2:$FA$1000,"Y",$J$2:$J$1000,J514,$FG$2:$FG$1000,"&lt;"&amp;FG514)+1)</f>
        <v/>
      </c>
      <c r="AB514" s="0" t="str">
        <f aca="false">IF($A514="","",IF(AT514="Y",BW514&amp;"",BJ514&amp;""))</f>
        <v/>
      </c>
      <c r="AC514" s="0" t="str">
        <f aca="false">IF($A514="","",IF(AT514="Y",BR514&amp;"",BE514&amp;""))</f>
        <v/>
      </c>
      <c r="AD514" s="0" t="str">
        <f aca="false">IF($A514="","",IF(AT514="Y",BS514&amp;"",BF514&amp;""))</f>
        <v/>
      </c>
      <c r="AE514" s="0" t="str">
        <f aca="false">IF($A514="","",IF(AT514="Y",BT514&amp;"",BG514&amp;""))</f>
        <v/>
      </c>
      <c r="AF514" s="0" t="str">
        <f aca="false">IF($A514="","",IF(AT514="Y",BU514&amp;"",BH514&amp;""))</f>
        <v/>
      </c>
      <c r="AG514" s="0" t="str">
        <f aca="false">IF($A514="","",IF(AT514="Y",BV514&amp;"",BI514&amp;""))</f>
        <v/>
      </c>
      <c r="AO514" s="5"/>
      <c r="AR514" s="0" t="str">
        <f aca="false">IF($A514="","",IF(AND(CK514="pass",AO514&lt;&gt;"Y",C514&lt;&gt;"",OR(AU514&lt;&gt;"Y",AV514="Y")),"Y","N"))</f>
        <v/>
      </c>
      <c r="AS514" s="0" t="str">
        <f aca="false">IF($A514="","",_xlfn.TEXTJOIN("; ",TRUE(),IF(CK514&lt;&gt;"pass","gated out",""),IF(AO514="Y","on hold: "&amp;AP514,""),IF(C514="","no contact named on an opened page",""),IF(AND(AU514="Y",AV514&lt;&gt;"Y"),"founder review pending (Founder review tab)","")))</f>
        <v/>
      </c>
      <c r="BC514" s="0" t="str">
        <f aca="false">IF($A514="","",IFERROR(INDEX(Enrichment!$A$2:$GZ$2000,MATCH($A514,INDEX(Enrichment!$A$2:$GZ$2000,0,MATCH("row_id",Enrichment!$A$1:$GZ$1,0)),0),MATCH("work_email",Enrichment!$A$1:$GZ$1,0))&amp;"",""))</f>
        <v/>
      </c>
      <c r="BD514" s="0" t="str">
        <f aca="false">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P514" s="0" t="str">
        <f aca="false">IF($A514="","",IFERROR(INDEX(Enrichment!$A$2:$GZ$2000,MATCH($A514,INDEX(Enrichment!$A$2:$GZ$2000,0,MATCH("row_id",Enrichment!$A$1:$GZ$1,0)),0),MATCH("backup_work_email",Enrichment!$A$1:$GZ$1,0))&amp;"",""))</f>
        <v/>
      </c>
      <c r="BQ514" s="0" t="str">
        <f aca="false">IF($A514="","",IF(BP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DU514" s="0" t="str">
        <f aca="false">IF($A514="","",IF(R514="Y",10,0))</f>
        <v/>
      </c>
      <c r="EV514" s="0" t="str">
        <f aca="false">IF($A514="","",IF(ISNUMBER(MATCH(U514,{"queued","contacted","replied","call_booked","call_done","yes_in_principle","materials_sent"},0)),"Y","N"))</f>
        <v/>
      </c>
      <c r="EW514" s="0" t="str">
        <f aca="false">IF($A514="","",IF(OR(T514="Y",U514="do_not_contact",AQ514&amp;""&lt;&gt;""),"Y","N"))</f>
        <v/>
      </c>
      <c r="EX514" s="0" t="str">
        <f aca="false">IF($A514="","",IF(AN514&amp;""&lt;&gt;"",AN514&amp;"",$A514))</f>
        <v/>
      </c>
      <c r="EY514" s="0" t="str">
        <f aca="false">IF($A514="","",IF(COUNTIFS($EX$2:$EX$1000,EX514,$EV$2:$EV$1000,"Y")+COUNTIFS($EX$2:$EX$1000,EX514,$EW$2:$EW$1000,"Y")&gt;0,"Y","N"))</f>
        <v/>
      </c>
      <c r="EZ514" s="0" t="str">
        <f aca="false">IF($A514="","",IF(AND(U514="new",T514="N",EW514="N",AR514="Y",EY514="N"),"Y","N"))</f>
        <v/>
      </c>
      <c r="FA514" s="0" t="str">
        <f aca="false">IF($A514="","",IF(EZ514&lt;&gt;"Y","N",IF(COUNTIFS($EX$2:$EX$1000,EX514,$EZ$2:$EZ$1000,"Y",$J$2:$J$1000,"&gt;"&amp;J514)+COUNTIFS($EX$2:$EX$1000,EX514,$EZ$2:$EZ$1000,"Y",$J$2:$J$1000,J514,$FG$2:$FG$1000,"&lt;"&amp;FG514)=0,"Y","N")))</f>
        <v/>
      </c>
      <c r="FB514" s="0" t="str">
        <f aca="false">IF($A514="","",IF(AND(EZ514="Y",FA514="Y",Y514&amp;""&lt;&gt;""),IF(Y514&lt;=10,"Y","N"),"N"))</f>
        <v/>
      </c>
      <c r="FC514" s="0" t="str">
        <f aca="false">IF(FB514="Y",Y514,"")</f>
        <v/>
      </c>
      <c r="FD514" s="0" t="str">
        <f aca="false">IF($A514="","",IF(AND(CK514="pass",AU514="Y",AV514&lt;&gt;"Y",U514="new",EW514="N"),"Y","N"))</f>
        <v/>
      </c>
      <c r="FE514" s="0" t="str">
        <f aca="false">IF(FD514&lt;&gt;"Y","",IF(COUNTIFS($FD$2:$FD$1000,"Y",$J$2:$J$1000,"&gt;"&amp;J514)+COUNTIFS($FD$2:$FD$1000,"Y",$J$2:$J$1000,J514,$FG$2:$FG$1000,"&lt;"&amp;FG514)+1&lt;=30,COUNTIFS($FD$2:$FD$1000,"Y",$J$2:$J$1000,"&gt;"&amp;J514)+COUNTIFS($FD$2:$FD$1000,"Y",$J$2:$J$1000,J514,$FG$2:$FG$1000,"&lt;"&amp;FG514)+1,""))</f>
        <v/>
      </c>
      <c r="FF514" s="0" t="str">
        <f aca="false">IF(AND(_xlfn.ISFORMULA(C514),_xlfn.ISFORMULA(J514)),"Y","N")</f>
        <v>Y</v>
      </c>
      <c r="FG514" s="0" t="n">
        <f aca="false">ROW()-1</f>
        <v>513</v>
      </c>
    </row>
    <row r="515" customFormat="false" ht="15" hidden="false" customHeight="false" outlineLevel="0" collapsed="false">
      <c r="C515" s="0" t="str">
        <f aca="false">IF($A515="","",IF(AT515="Y",BL515&amp;"",AY515&amp;""))</f>
        <v/>
      </c>
      <c r="D515" s="0" t="str">
        <f aca="false">IF($A515="","",IF(AT515="Y",BM515&amp;"",AZ515&amp;""))</f>
        <v/>
      </c>
      <c r="E515" s="0" t="str">
        <f aca="false">IF($A515="","",IF(AT515="Y",BN515&amp;"",BA515&amp;""))</f>
        <v/>
      </c>
      <c r="F515" s="0" t="str">
        <f aca="false">IF($A515="","",IF(AT515="Y",BO515&amp;"",BB515&amp;""))</f>
        <v/>
      </c>
      <c r="G515" s="0" t="str">
        <f aca="false">IF($A515="","",IF(AT515="Y",BP515&amp;"",BC515&amp;""))</f>
        <v/>
      </c>
      <c r="H515" s="0" t="str">
        <f aca="false">IF($A515="","",IF(AT515="Y",BQ515&amp;"",BD515&amp;""))</f>
        <v/>
      </c>
      <c r="I515" s="0" t="str">
        <f aca="false">IF($A515="","",IF(R515="Y","warm-intro",IF(H515="verified","email",IF(C515&lt;&gt;"","linkedin",CA515&amp;""))))</f>
        <v/>
      </c>
      <c r="J515" s="0" t="str">
        <f aca="false">IF($A515="","",IF(CK515="pass",ROUND(N(DO515)+N(DP515)+N(DQ515)+N(DR515)+N(DS515)+N(DT515)+N(DU515)+N(DV515),0),0))</f>
        <v/>
      </c>
      <c r="K515" s="0" t="str">
        <f aca="false">IF($A515="","",IF(CK515&lt;&gt;"pass",BY515&amp;"",BY515&amp;", "&amp;IF(AT515="Y",BX515&amp;"",BK515&amp;"")&amp;BZ515&amp;IF(R515="Y","; known to the founder (+10)","")&amp;"."))</f>
        <v/>
      </c>
      <c r="R515" s="5"/>
      <c r="T515" s="5"/>
      <c r="U515" s="5"/>
      <c r="Y515" s="0" t="str">
        <f aca="false">IF(FA515&lt;&gt;"Y","",COUNTIFS($FA$2:$FA$1000,"Y",$J$2:$J$1000,"&gt;"&amp;J515)+COUNTIFS($FA$2:$FA$1000,"Y",$J$2:$J$1000,J515,$FG$2:$FG$1000,"&lt;"&amp;FG515)+1)</f>
        <v/>
      </c>
      <c r="AB515" s="0" t="str">
        <f aca="false">IF($A515="","",IF(AT515="Y",BW515&amp;"",BJ515&amp;""))</f>
        <v/>
      </c>
      <c r="AC515" s="0" t="str">
        <f aca="false">IF($A515="","",IF(AT515="Y",BR515&amp;"",BE515&amp;""))</f>
        <v/>
      </c>
      <c r="AD515" s="0" t="str">
        <f aca="false">IF($A515="","",IF(AT515="Y",BS515&amp;"",BF515&amp;""))</f>
        <v/>
      </c>
      <c r="AE515" s="0" t="str">
        <f aca="false">IF($A515="","",IF(AT515="Y",BT515&amp;"",BG515&amp;""))</f>
        <v/>
      </c>
      <c r="AF515" s="0" t="str">
        <f aca="false">IF($A515="","",IF(AT515="Y",BU515&amp;"",BH515&amp;""))</f>
        <v/>
      </c>
      <c r="AG515" s="0" t="str">
        <f aca="false">IF($A515="","",IF(AT515="Y",BV515&amp;"",BI515&amp;""))</f>
        <v/>
      </c>
      <c r="AO515" s="5"/>
      <c r="AR515" s="0" t="str">
        <f aca="false">IF($A515="","",IF(AND(CK515="pass",AO515&lt;&gt;"Y",C515&lt;&gt;"",OR(AU515&lt;&gt;"Y",AV515="Y")),"Y","N"))</f>
        <v/>
      </c>
      <c r="AS515" s="0" t="str">
        <f aca="false">IF($A515="","",_xlfn.TEXTJOIN("; ",TRUE(),IF(CK515&lt;&gt;"pass","gated out",""),IF(AO515="Y","on hold: "&amp;AP515,""),IF(C515="","no contact named on an opened page",""),IF(AND(AU515="Y",AV515&lt;&gt;"Y"),"founder review pending (Founder review tab)","")))</f>
        <v/>
      </c>
      <c r="BC515" s="0" t="str">
        <f aca="false">IF($A515="","",IFERROR(INDEX(Enrichment!$A$2:$GZ$2000,MATCH($A515,INDEX(Enrichment!$A$2:$GZ$2000,0,MATCH("row_id",Enrichment!$A$1:$GZ$1,0)),0),MATCH("work_email",Enrichment!$A$1:$GZ$1,0))&amp;"",""))</f>
        <v/>
      </c>
      <c r="BD515" s="0" t="str">
        <f aca="false">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P515" s="0" t="str">
        <f aca="false">IF($A515="","",IFERROR(INDEX(Enrichment!$A$2:$GZ$2000,MATCH($A515,INDEX(Enrichment!$A$2:$GZ$2000,0,MATCH("row_id",Enrichment!$A$1:$GZ$1,0)),0),MATCH("backup_work_email",Enrichment!$A$1:$GZ$1,0))&amp;"",""))</f>
        <v/>
      </c>
      <c r="BQ515" s="0" t="str">
        <f aca="false">IF($A515="","",IF(BP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DU515" s="0" t="str">
        <f aca="false">IF($A515="","",IF(R515="Y",10,0))</f>
        <v/>
      </c>
      <c r="EV515" s="0" t="str">
        <f aca="false">IF($A515="","",IF(ISNUMBER(MATCH(U515,{"queued","contacted","replied","call_booked","call_done","yes_in_principle","materials_sent"},0)),"Y","N"))</f>
        <v/>
      </c>
      <c r="EW515" s="0" t="str">
        <f aca="false">IF($A515="","",IF(OR(T515="Y",U515="do_not_contact",AQ515&amp;""&lt;&gt;""),"Y","N"))</f>
        <v/>
      </c>
      <c r="EX515" s="0" t="str">
        <f aca="false">IF($A515="","",IF(AN515&amp;""&lt;&gt;"",AN515&amp;"",$A515))</f>
        <v/>
      </c>
      <c r="EY515" s="0" t="str">
        <f aca="false">IF($A515="","",IF(COUNTIFS($EX$2:$EX$1000,EX515,$EV$2:$EV$1000,"Y")+COUNTIFS($EX$2:$EX$1000,EX515,$EW$2:$EW$1000,"Y")&gt;0,"Y","N"))</f>
        <v/>
      </c>
      <c r="EZ515" s="0" t="str">
        <f aca="false">IF($A515="","",IF(AND(U515="new",T515="N",EW515="N",AR515="Y",EY515="N"),"Y","N"))</f>
        <v/>
      </c>
      <c r="FA515" s="0" t="str">
        <f aca="false">IF($A515="","",IF(EZ515&lt;&gt;"Y","N",IF(COUNTIFS($EX$2:$EX$1000,EX515,$EZ$2:$EZ$1000,"Y",$J$2:$J$1000,"&gt;"&amp;J515)+COUNTIFS($EX$2:$EX$1000,EX515,$EZ$2:$EZ$1000,"Y",$J$2:$J$1000,J515,$FG$2:$FG$1000,"&lt;"&amp;FG515)=0,"Y","N")))</f>
        <v/>
      </c>
      <c r="FB515" s="0" t="str">
        <f aca="false">IF($A515="","",IF(AND(EZ515="Y",FA515="Y",Y515&amp;""&lt;&gt;""),IF(Y515&lt;=10,"Y","N"),"N"))</f>
        <v/>
      </c>
      <c r="FC515" s="0" t="str">
        <f aca="false">IF(FB515="Y",Y515,"")</f>
        <v/>
      </c>
      <c r="FD515" s="0" t="str">
        <f aca="false">IF($A515="","",IF(AND(CK515="pass",AU515="Y",AV515&lt;&gt;"Y",U515="new",EW515="N"),"Y","N"))</f>
        <v/>
      </c>
      <c r="FE515" s="0" t="str">
        <f aca="false">IF(FD515&lt;&gt;"Y","",IF(COUNTIFS($FD$2:$FD$1000,"Y",$J$2:$J$1000,"&gt;"&amp;J515)+COUNTIFS($FD$2:$FD$1000,"Y",$J$2:$J$1000,J515,$FG$2:$FG$1000,"&lt;"&amp;FG515)+1&lt;=30,COUNTIFS($FD$2:$FD$1000,"Y",$J$2:$J$1000,"&gt;"&amp;J515)+COUNTIFS($FD$2:$FD$1000,"Y",$J$2:$J$1000,J515,$FG$2:$FG$1000,"&lt;"&amp;FG515)+1,""))</f>
        <v/>
      </c>
      <c r="FF515" s="0" t="str">
        <f aca="false">IF(AND(_xlfn.ISFORMULA(C515),_xlfn.ISFORMULA(J515)),"Y","N")</f>
        <v>Y</v>
      </c>
      <c r="FG515" s="0" t="n">
        <f aca="false">ROW()-1</f>
        <v>514</v>
      </c>
    </row>
    <row r="516" customFormat="false" ht="15" hidden="false" customHeight="false" outlineLevel="0" collapsed="false">
      <c r="C516" s="0" t="str">
        <f aca="false">IF($A516="","",IF(AT516="Y",BL516&amp;"",AY516&amp;""))</f>
        <v/>
      </c>
      <c r="D516" s="0" t="str">
        <f aca="false">IF($A516="","",IF(AT516="Y",BM516&amp;"",AZ516&amp;""))</f>
        <v/>
      </c>
      <c r="E516" s="0" t="str">
        <f aca="false">IF($A516="","",IF(AT516="Y",BN516&amp;"",BA516&amp;""))</f>
        <v/>
      </c>
      <c r="F516" s="0" t="str">
        <f aca="false">IF($A516="","",IF(AT516="Y",BO516&amp;"",BB516&amp;""))</f>
        <v/>
      </c>
      <c r="G516" s="0" t="str">
        <f aca="false">IF($A516="","",IF(AT516="Y",BP516&amp;"",BC516&amp;""))</f>
        <v/>
      </c>
      <c r="H516" s="0" t="str">
        <f aca="false">IF($A516="","",IF(AT516="Y",BQ516&amp;"",BD516&amp;""))</f>
        <v/>
      </c>
      <c r="I516" s="0" t="str">
        <f aca="false">IF($A516="","",IF(R516="Y","warm-intro",IF(H516="verified","email",IF(C516&lt;&gt;"","linkedin",CA516&amp;""))))</f>
        <v/>
      </c>
      <c r="J516" s="0" t="str">
        <f aca="false">IF($A516="","",IF(CK516="pass",ROUND(N(DO516)+N(DP516)+N(DQ516)+N(DR516)+N(DS516)+N(DT516)+N(DU516)+N(DV516),0),0))</f>
        <v/>
      </c>
      <c r="K516" s="0" t="str">
        <f aca="false">IF($A516="","",IF(CK516&lt;&gt;"pass",BY516&amp;"",BY516&amp;", "&amp;IF(AT516="Y",BX516&amp;"",BK516&amp;"")&amp;BZ516&amp;IF(R516="Y","; known to the founder (+10)","")&amp;"."))</f>
        <v/>
      </c>
      <c r="R516" s="5"/>
      <c r="T516" s="5"/>
      <c r="U516" s="5"/>
      <c r="Y516" s="0" t="str">
        <f aca="false">IF(FA516&lt;&gt;"Y","",COUNTIFS($FA$2:$FA$1000,"Y",$J$2:$J$1000,"&gt;"&amp;J516)+COUNTIFS($FA$2:$FA$1000,"Y",$J$2:$J$1000,J516,$FG$2:$FG$1000,"&lt;"&amp;FG516)+1)</f>
        <v/>
      </c>
      <c r="AB516" s="0" t="str">
        <f aca="false">IF($A516="","",IF(AT516="Y",BW516&amp;"",BJ516&amp;""))</f>
        <v/>
      </c>
      <c r="AC516" s="0" t="str">
        <f aca="false">IF($A516="","",IF(AT516="Y",BR516&amp;"",BE516&amp;""))</f>
        <v/>
      </c>
      <c r="AD516" s="0" t="str">
        <f aca="false">IF($A516="","",IF(AT516="Y",BS516&amp;"",BF516&amp;""))</f>
        <v/>
      </c>
      <c r="AE516" s="0" t="str">
        <f aca="false">IF($A516="","",IF(AT516="Y",BT516&amp;"",BG516&amp;""))</f>
        <v/>
      </c>
      <c r="AF516" s="0" t="str">
        <f aca="false">IF($A516="","",IF(AT516="Y",BU516&amp;"",BH516&amp;""))</f>
        <v/>
      </c>
      <c r="AG516" s="0" t="str">
        <f aca="false">IF($A516="","",IF(AT516="Y",BV516&amp;"",BI516&amp;""))</f>
        <v/>
      </c>
      <c r="AO516" s="5"/>
      <c r="AR516" s="0" t="str">
        <f aca="false">IF($A516="","",IF(AND(CK516="pass",AO516&lt;&gt;"Y",C516&lt;&gt;"",OR(AU516&lt;&gt;"Y",AV516="Y")),"Y","N"))</f>
        <v/>
      </c>
      <c r="AS516" s="0" t="str">
        <f aca="false">IF($A516="","",_xlfn.TEXTJOIN("; ",TRUE(),IF(CK516&lt;&gt;"pass","gated out",""),IF(AO516="Y","on hold: "&amp;AP516,""),IF(C516="","no contact named on an opened page",""),IF(AND(AU516="Y",AV516&lt;&gt;"Y"),"founder review pending (Founder review tab)","")))</f>
        <v/>
      </c>
      <c r="BC516" s="0" t="str">
        <f aca="false">IF($A516="","",IFERROR(INDEX(Enrichment!$A$2:$GZ$2000,MATCH($A516,INDEX(Enrichment!$A$2:$GZ$2000,0,MATCH("row_id",Enrichment!$A$1:$GZ$1,0)),0),MATCH("work_email",Enrichment!$A$1:$GZ$1,0))&amp;"",""))</f>
        <v/>
      </c>
      <c r="BD516" s="0" t="str">
        <f aca="false">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P516" s="0" t="str">
        <f aca="false">IF($A516="","",IFERROR(INDEX(Enrichment!$A$2:$GZ$2000,MATCH($A516,INDEX(Enrichment!$A$2:$GZ$2000,0,MATCH("row_id",Enrichment!$A$1:$GZ$1,0)),0),MATCH("backup_work_email",Enrichment!$A$1:$GZ$1,0))&amp;"",""))</f>
        <v/>
      </c>
      <c r="BQ516" s="0" t="str">
        <f aca="false">IF($A516="","",IF(BP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DU516" s="0" t="str">
        <f aca="false">IF($A516="","",IF(R516="Y",10,0))</f>
        <v/>
      </c>
      <c r="EV516" s="0" t="str">
        <f aca="false">IF($A516="","",IF(ISNUMBER(MATCH(U516,{"queued","contacted","replied","call_booked","call_done","yes_in_principle","materials_sent"},0)),"Y","N"))</f>
        <v/>
      </c>
      <c r="EW516" s="0" t="str">
        <f aca="false">IF($A516="","",IF(OR(T516="Y",U516="do_not_contact",AQ516&amp;""&lt;&gt;""),"Y","N"))</f>
        <v/>
      </c>
      <c r="EX516" s="0" t="str">
        <f aca="false">IF($A516="","",IF(AN516&amp;""&lt;&gt;"",AN516&amp;"",$A516))</f>
        <v/>
      </c>
      <c r="EY516" s="0" t="str">
        <f aca="false">IF($A516="","",IF(COUNTIFS($EX$2:$EX$1000,EX516,$EV$2:$EV$1000,"Y")+COUNTIFS($EX$2:$EX$1000,EX516,$EW$2:$EW$1000,"Y")&gt;0,"Y","N"))</f>
        <v/>
      </c>
      <c r="EZ516" s="0" t="str">
        <f aca="false">IF($A516="","",IF(AND(U516="new",T516="N",EW516="N",AR516="Y",EY516="N"),"Y","N"))</f>
        <v/>
      </c>
      <c r="FA516" s="0" t="str">
        <f aca="false">IF($A516="","",IF(EZ516&lt;&gt;"Y","N",IF(COUNTIFS($EX$2:$EX$1000,EX516,$EZ$2:$EZ$1000,"Y",$J$2:$J$1000,"&gt;"&amp;J516)+COUNTIFS($EX$2:$EX$1000,EX516,$EZ$2:$EZ$1000,"Y",$J$2:$J$1000,J516,$FG$2:$FG$1000,"&lt;"&amp;FG516)=0,"Y","N")))</f>
        <v/>
      </c>
      <c r="FB516" s="0" t="str">
        <f aca="false">IF($A516="","",IF(AND(EZ516="Y",FA516="Y",Y516&amp;""&lt;&gt;""),IF(Y516&lt;=10,"Y","N"),"N"))</f>
        <v/>
      </c>
      <c r="FC516" s="0" t="str">
        <f aca="false">IF(FB516="Y",Y516,"")</f>
        <v/>
      </c>
      <c r="FD516" s="0" t="str">
        <f aca="false">IF($A516="","",IF(AND(CK516="pass",AU516="Y",AV516&lt;&gt;"Y",U516="new",EW516="N"),"Y","N"))</f>
        <v/>
      </c>
      <c r="FE516" s="0" t="str">
        <f aca="false">IF(FD516&lt;&gt;"Y","",IF(COUNTIFS($FD$2:$FD$1000,"Y",$J$2:$J$1000,"&gt;"&amp;J516)+COUNTIFS($FD$2:$FD$1000,"Y",$J$2:$J$1000,J516,$FG$2:$FG$1000,"&lt;"&amp;FG516)+1&lt;=30,COUNTIFS($FD$2:$FD$1000,"Y",$J$2:$J$1000,"&gt;"&amp;J516)+COUNTIFS($FD$2:$FD$1000,"Y",$J$2:$J$1000,J516,$FG$2:$FG$1000,"&lt;"&amp;FG516)+1,""))</f>
        <v/>
      </c>
      <c r="FF516" s="0" t="str">
        <f aca="false">IF(AND(_xlfn.ISFORMULA(C516),_xlfn.ISFORMULA(J516)),"Y","N")</f>
        <v>Y</v>
      </c>
      <c r="FG516" s="0" t="n">
        <f aca="false">ROW()-1</f>
        <v>515</v>
      </c>
    </row>
    <row r="517" customFormat="false" ht="15" hidden="false" customHeight="false" outlineLevel="0" collapsed="false">
      <c r="C517" s="0" t="str">
        <f aca="false">IF($A517="","",IF(AT517="Y",BL517&amp;"",AY517&amp;""))</f>
        <v/>
      </c>
      <c r="D517" s="0" t="str">
        <f aca="false">IF($A517="","",IF(AT517="Y",BM517&amp;"",AZ517&amp;""))</f>
        <v/>
      </c>
      <c r="E517" s="0" t="str">
        <f aca="false">IF($A517="","",IF(AT517="Y",BN517&amp;"",BA517&amp;""))</f>
        <v/>
      </c>
      <c r="F517" s="0" t="str">
        <f aca="false">IF($A517="","",IF(AT517="Y",BO517&amp;"",BB517&amp;""))</f>
        <v/>
      </c>
      <c r="G517" s="0" t="str">
        <f aca="false">IF($A517="","",IF(AT517="Y",BP517&amp;"",BC517&amp;""))</f>
        <v/>
      </c>
      <c r="H517" s="0" t="str">
        <f aca="false">IF($A517="","",IF(AT517="Y",BQ517&amp;"",BD517&amp;""))</f>
        <v/>
      </c>
      <c r="I517" s="0" t="str">
        <f aca="false">IF($A517="","",IF(R517="Y","warm-intro",IF(H517="verified","email",IF(C517&lt;&gt;"","linkedin",CA517&amp;""))))</f>
        <v/>
      </c>
      <c r="J517" s="0" t="str">
        <f aca="false">IF($A517="","",IF(CK517="pass",ROUND(N(DO517)+N(DP517)+N(DQ517)+N(DR517)+N(DS517)+N(DT517)+N(DU517)+N(DV517),0),0))</f>
        <v/>
      </c>
      <c r="K517" s="0" t="str">
        <f aca="false">IF($A517="","",IF(CK517&lt;&gt;"pass",BY517&amp;"",BY517&amp;", "&amp;IF(AT517="Y",BX517&amp;"",BK517&amp;"")&amp;BZ517&amp;IF(R517="Y","; known to the founder (+10)","")&amp;"."))</f>
        <v/>
      </c>
      <c r="R517" s="5"/>
      <c r="T517" s="5"/>
      <c r="U517" s="5"/>
      <c r="Y517" s="0" t="str">
        <f aca="false">IF(FA517&lt;&gt;"Y","",COUNTIFS($FA$2:$FA$1000,"Y",$J$2:$J$1000,"&gt;"&amp;J517)+COUNTIFS($FA$2:$FA$1000,"Y",$J$2:$J$1000,J517,$FG$2:$FG$1000,"&lt;"&amp;FG517)+1)</f>
        <v/>
      </c>
      <c r="AB517" s="0" t="str">
        <f aca="false">IF($A517="","",IF(AT517="Y",BW517&amp;"",BJ517&amp;""))</f>
        <v/>
      </c>
      <c r="AC517" s="0" t="str">
        <f aca="false">IF($A517="","",IF(AT517="Y",BR517&amp;"",BE517&amp;""))</f>
        <v/>
      </c>
      <c r="AD517" s="0" t="str">
        <f aca="false">IF($A517="","",IF(AT517="Y",BS517&amp;"",BF517&amp;""))</f>
        <v/>
      </c>
      <c r="AE517" s="0" t="str">
        <f aca="false">IF($A517="","",IF(AT517="Y",BT517&amp;"",BG517&amp;""))</f>
        <v/>
      </c>
      <c r="AF517" s="0" t="str">
        <f aca="false">IF($A517="","",IF(AT517="Y",BU517&amp;"",BH517&amp;""))</f>
        <v/>
      </c>
      <c r="AG517" s="0" t="str">
        <f aca="false">IF($A517="","",IF(AT517="Y",BV517&amp;"",BI517&amp;""))</f>
        <v/>
      </c>
      <c r="AO517" s="5"/>
      <c r="AR517" s="0" t="str">
        <f aca="false">IF($A517="","",IF(AND(CK517="pass",AO517&lt;&gt;"Y",C517&lt;&gt;"",OR(AU517&lt;&gt;"Y",AV517="Y")),"Y","N"))</f>
        <v/>
      </c>
      <c r="AS517" s="0" t="str">
        <f aca="false">IF($A517="","",_xlfn.TEXTJOIN("; ",TRUE(),IF(CK517&lt;&gt;"pass","gated out",""),IF(AO517="Y","on hold: "&amp;AP517,""),IF(C517="","no contact named on an opened page",""),IF(AND(AU517="Y",AV517&lt;&gt;"Y"),"founder review pending (Founder review tab)","")))</f>
        <v/>
      </c>
      <c r="BC517" s="0" t="str">
        <f aca="false">IF($A517="","",IFERROR(INDEX(Enrichment!$A$2:$GZ$2000,MATCH($A517,INDEX(Enrichment!$A$2:$GZ$2000,0,MATCH("row_id",Enrichment!$A$1:$GZ$1,0)),0),MATCH("work_email",Enrichment!$A$1:$GZ$1,0))&amp;"",""))</f>
        <v/>
      </c>
      <c r="BD517" s="0" t="str">
        <f aca="false">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P517" s="0" t="str">
        <f aca="false">IF($A517="","",IFERROR(INDEX(Enrichment!$A$2:$GZ$2000,MATCH($A517,INDEX(Enrichment!$A$2:$GZ$2000,0,MATCH("row_id",Enrichment!$A$1:$GZ$1,0)),0),MATCH("backup_work_email",Enrichment!$A$1:$GZ$1,0))&amp;"",""))</f>
        <v/>
      </c>
      <c r="BQ517" s="0" t="str">
        <f aca="false">IF($A517="","",IF(BP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DU517" s="0" t="str">
        <f aca="false">IF($A517="","",IF(R517="Y",10,0))</f>
        <v/>
      </c>
      <c r="EV517" s="0" t="str">
        <f aca="false">IF($A517="","",IF(ISNUMBER(MATCH(U517,{"queued","contacted","replied","call_booked","call_done","yes_in_principle","materials_sent"},0)),"Y","N"))</f>
        <v/>
      </c>
      <c r="EW517" s="0" t="str">
        <f aca="false">IF($A517="","",IF(OR(T517="Y",U517="do_not_contact",AQ517&amp;""&lt;&gt;""),"Y","N"))</f>
        <v/>
      </c>
      <c r="EX517" s="0" t="str">
        <f aca="false">IF($A517="","",IF(AN517&amp;""&lt;&gt;"",AN517&amp;"",$A517))</f>
        <v/>
      </c>
      <c r="EY517" s="0" t="str">
        <f aca="false">IF($A517="","",IF(COUNTIFS($EX$2:$EX$1000,EX517,$EV$2:$EV$1000,"Y")+COUNTIFS($EX$2:$EX$1000,EX517,$EW$2:$EW$1000,"Y")&gt;0,"Y","N"))</f>
        <v/>
      </c>
      <c r="EZ517" s="0" t="str">
        <f aca="false">IF($A517="","",IF(AND(U517="new",T517="N",EW517="N",AR517="Y",EY517="N"),"Y","N"))</f>
        <v/>
      </c>
      <c r="FA517" s="0" t="str">
        <f aca="false">IF($A517="","",IF(EZ517&lt;&gt;"Y","N",IF(COUNTIFS($EX$2:$EX$1000,EX517,$EZ$2:$EZ$1000,"Y",$J$2:$J$1000,"&gt;"&amp;J517)+COUNTIFS($EX$2:$EX$1000,EX517,$EZ$2:$EZ$1000,"Y",$J$2:$J$1000,J517,$FG$2:$FG$1000,"&lt;"&amp;FG517)=0,"Y","N")))</f>
        <v/>
      </c>
      <c r="FB517" s="0" t="str">
        <f aca="false">IF($A517="","",IF(AND(EZ517="Y",FA517="Y",Y517&amp;""&lt;&gt;""),IF(Y517&lt;=10,"Y","N"),"N"))</f>
        <v/>
      </c>
      <c r="FC517" s="0" t="str">
        <f aca="false">IF(FB517="Y",Y517,"")</f>
        <v/>
      </c>
      <c r="FD517" s="0" t="str">
        <f aca="false">IF($A517="","",IF(AND(CK517="pass",AU517="Y",AV517&lt;&gt;"Y",U517="new",EW517="N"),"Y","N"))</f>
        <v/>
      </c>
      <c r="FE517" s="0" t="str">
        <f aca="false">IF(FD517&lt;&gt;"Y","",IF(COUNTIFS($FD$2:$FD$1000,"Y",$J$2:$J$1000,"&gt;"&amp;J517)+COUNTIFS($FD$2:$FD$1000,"Y",$J$2:$J$1000,J517,$FG$2:$FG$1000,"&lt;"&amp;FG517)+1&lt;=30,COUNTIFS($FD$2:$FD$1000,"Y",$J$2:$J$1000,"&gt;"&amp;J517)+COUNTIFS($FD$2:$FD$1000,"Y",$J$2:$J$1000,J517,$FG$2:$FG$1000,"&lt;"&amp;FG517)+1,""))</f>
        <v/>
      </c>
      <c r="FF517" s="0" t="str">
        <f aca="false">IF(AND(_xlfn.ISFORMULA(C517),_xlfn.ISFORMULA(J517)),"Y","N")</f>
        <v>Y</v>
      </c>
      <c r="FG517" s="0" t="n">
        <f aca="false">ROW()-1</f>
        <v>516</v>
      </c>
    </row>
    <row r="518" customFormat="false" ht="15" hidden="false" customHeight="false" outlineLevel="0" collapsed="false">
      <c r="C518" s="0" t="str">
        <f aca="false">IF($A518="","",IF(AT518="Y",BL518&amp;"",AY518&amp;""))</f>
        <v/>
      </c>
      <c r="D518" s="0" t="str">
        <f aca="false">IF($A518="","",IF(AT518="Y",BM518&amp;"",AZ518&amp;""))</f>
        <v/>
      </c>
      <c r="E518" s="0" t="str">
        <f aca="false">IF($A518="","",IF(AT518="Y",BN518&amp;"",BA518&amp;""))</f>
        <v/>
      </c>
      <c r="F518" s="0" t="str">
        <f aca="false">IF($A518="","",IF(AT518="Y",BO518&amp;"",BB518&amp;""))</f>
        <v/>
      </c>
      <c r="G518" s="0" t="str">
        <f aca="false">IF($A518="","",IF(AT518="Y",BP518&amp;"",BC518&amp;""))</f>
        <v/>
      </c>
      <c r="H518" s="0" t="str">
        <f aca="false">IF($A518="","",IF(AT518="Y",BQ518&amp;"",BD518&amp;""))</f>
        <v/>
      </c>
      <c r="I518" s="0" t="str">
        <f aca="false">IF($A518="","",IF(R518="Y","warm-intro",IF(H518="verified","email",IF(C518&lt;&gt;"","linkedin",CA518&amp;""))))</f>
        <v/>
      </c>
      <c r="J518" s="0" t="str">
        <f aca="false">IF($A518="","",IF(CK518="pass",ROUND(N(DO518)+N(DP518)+N(DQ518)+N(DR518)+N(DS518)+N(DT518)+N(DU518)+N(DV518),0),0))</f>
        <v/>
      </c>
      <c r="K518" s="0" t="str">
        <f aca="false">IF($A518="","",IF(CK518&lt;&gt;"pass",BY518&amp;"",BY518&amp;", "&amp;IF(AT518="Y",BX518&amp;"",BK518&amp;"")&amp;BZ518&amp;IF(R518="Y","; known to the founder (+10)","")&amp;"."))</f>
        <v/>
      </c>
      <c r="R518" s="5"/>
      <c r="T518" s="5"/>
      <c r="U518" s="5"/>
      <c r="Y518" s="0" t="str">
        <f aca="false">IF(FA518&lt;&gt;"Y","",COUNTIFS($FA$2:$FA$1000,"Y",$J$2:$J$1000,"&gt;"&amp;J518)+COUNTIFS($FA$2:$FA$1000,"Y",$J$2:$J$1000,J518,$FG$2:$FG$1000,"&lt;"&amp;FG518)+1)</f>
        <v/>
      </c>
      <c r="AB518" s="0" t="str">
        <f aca="false">IF($A518="","",IF(AT518="Y",BW518&amp;"",BJ518&amp;""))</f>
        <v/>
      </c>
      <c r="AC518" s="0" t="str">
        <f aca="false">IF($A518="","",IF(AT518="Y",BR518&amp;"",BE518&amp;""))</f>
        <v/>
      </c>
      <c r="AD518" s="0" t="str">
        <f aca="false">IF($A518="","",IF(AT518="Y",BS518&amp;"",BF518&amp;""))</f>
        <v/>
      </c>
      <c r="AE518" s="0" t="str">
        <f aca="false">IF($A518="","",IF(AT518="Y",BT518&amp;"",BG518&amp;""))</f>
        <v/>
      </c>
      <c r="AF518" s="0" t="str">
        <f aca="false">IF($A518="","",IF(AT518="Y",BU518&amp;"",BH518&amp;""))</f>
        <v/>
      </c>
      <c r="AG518" s="0" t="str">
        <f aca="false">IF($A518="","",IF(AT518="Y",BV518&amp;"",BI518&amp;""))</f>
        <v/>
      </c>
      <c r="AO518" s="5"/>
      <c r="AR518" s="0" t="str">
        <f aca="false">IF($A518="","",IF(AND(CK518="pass",AO518&lt;&gt;"Y",C518&lt;&gt;"",OR(AU518&lt;&gt;"Y",AV518="Y")),"Y","N"))</f>
        <v/>
      </c>
      <c r="AS518" s="0" t="str">
        <f aca="false">IF($A518="","",_xlfn.TEXTJOIN("; ",TRUE(),IF(CK518&lt;&gt;"pass","gated out",""),IF(AO518="Y","on hold: "&amp;AP518,""),IF(C518="","no contact named on an opened page",""),IF(AND(AU518="Y",AV518&lt;&gt;"Y"),"founder review pending (Founder review tab)","")))</f>
        <v/>
      </c>
      <c r="BC518" s="0" t="str">
        <f aca="false">IF($A518="","",IFERROR(INDEX(Enrichment!$A$2:$GZ$2000,MATCH($A518,INDEX(Enrichment!$A$2:$GZ$2000,0,MATCH("row_id",Enrichment!$A$1:$GZ$1,0)),0),MATCH("work_email",Enrichment!$A$1:$GZ$1,0))&amp;"",""))</f>
        <v/>
      </c>
      <c r="BD518" s="0" t="str">
        <f aca="false">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P518" s="0" t="str">
        <f aca="false">IF($A518="","",IFERROR(INDEX(Enrichment!$A$2:$GZ$2000,MATCH($A518,INDEX(Enrichment!$A$2:$GZ$2000,0,MATCH("row_id",Enrichment!$A$1:$GZ$1,0)),0),MATCH("backup_work_email",Enrichment!$A$1:$GZ$1,0))&amp;"",""))</f>
        <v/>
      </c>
      <c r="BQ518" s="0" t="str">
        <f aca="false">IF($A518="","",IF(BP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DU518" s="0" t="str">
        <f aca="false">IF($A518="","",IF(R518="Y",10,0))</f>
        <v/>
      </c>
      <c r="EV518" s="0" t="str">
        <f aca="false">IF($A518="","",IF(ISNUMBER(MATCH(U518,{"queued","contacted","replied","call_booked","call_done","yes_in_principle","materials_sent"},0)),"Y","N"))</f>
        <v/>
      </c>
      <c r="EW518" s="0" t="str">
        <f aca="false">IF($A518="","",IF(OR(T518="Y",U518="do_not_contact",AQ518&amp;""&lt;&gt;""),"Y","N"))</f>
        <v/>
      </c>
      <c r="EX518" s="0" t="str">
        <f aca="false">IF($A518="","",IF(AN518&amp;""&lt;&gt;"",AN518&amp;"",$A518))</f>
        <v/>
      </c>
      <c r="EY518" s="0" t="str">
        <f aca="false">IF($A518="","",IF(COUNTIFS($EX$2:$EX$1000,EX518,$EV$2:$EV$1000,"Y")+COUNTIFS($EX$2:$EX$1000,EX518,$EW$2:$EW$1000,"Y")&gt;0,"Y","N"))</f>
        <v/>
      </c>
      <c r="EZ518" s="0" t="str">
        <f aca="false">IF($A518="","",IF(AND(U518="new",T518="N",EW518="N",AR518="Y",EY518="N"),"Y","N"))</f>
        <v/>
      </c>
      <c r="FA518" s="0" t="str">
        <f aca="false">IF($A518="","",IF(EZ518&lt;&gt;"Y","N",IF(COUNTIFS($EX$2:$EX$1000,EX518,$EZ$2:$EZ$1000,"Y",$J$2:$J$1000,"&gt;"&amp;J518)+COUNTIFS($EX$2:$EX$1000,EX518,$EZ$2:$EZ$1000,"Y",$J$2:$J$1000,J518,$FG$2:$FG$1000,"&lt;"&amp;FG518)=0,"Y","N")))</f>
        <v/>
      </c>
      <c r="FB518" s="0" t="str">
        <f aca="false">IF($A518="","",IF(AND(EZ518="Y",FA518="Y",Y518&amp;""&lt;&gt;""),IF(Y518&lt;=10,"Y","N"),"N"))</f>
        <v/>
      </c>
      <c r="FC518" s="0" t="str">
        <f aca="false">IF(FB518="Y",Y518,"")</f>
        <v/>
      </c>
      <c r="FD518" s="0" t="str">
        <f aca="false">IF($A518="","",IF(AND(CK518="pass",AU518="Y",AV518&lt;&gt;"Y",U518="new",EW518="N"),"Y","N"))</f>
        <v/>
      </c>
      <c r="FE518" s="0" t="str">
        <f aca="false">IF(FD518&lt;&gt;"Y","",IF(COUNTIFS($FD$2:$FD$1000,"Y",$J$2:$J$1000,"&gt;"&amp;J518)+COUNTIFS($FD$2:$FD$1000,"Y",$J$2:$J$1000,J518,$FG$2:$FG$1000,"&lt;"&amp;FG518)+1&lt;=30,COUNTIFS($FD$2:$FD$1000,"Y",$J$2:$J$1000,"&gt;"&amp;J518)+COUNTIFS($FD$2:$FD$1000,"Y",$J$2:$J$1000,J518,$FG$2:$FG$1000,"&lt;"&amp;FG518)+1,""))</f>
        <v/>
      </c>
      <c r="FF518" s="0" t="str">
        <f aca="false">IF(AND(_xlfn.ISFORMULA(C518),_xlfn.ISFORMULA(J518)),"Y","N")</f>
        <v>Y</v>
      </c>
      <c r="FG518" s="0" t="n">
        <f aca="false">ROW()-1</f>
        <v>517</v>
      </c>
    </row>
    <row r="519" customFormat="false" ht="15" hidden="false" customHeight="false" outlineLevel="0" collapsed="false">
      <c r="C519" s="0" t="str">
        <f aca="false">IF($A519="","",IF(AT519="Y",BL519&amp;"",AY519&amp;""))</f>
        <v/>
      </c>
      <c r="D519" s="0" t="str">
        <f aca="false">IF($A519="","",IF(AT519="Y",BM519&amp;"",AZ519&amp;""))</f>
        <v/>
      </c>
      <c r="E519" s="0" t="str">
        <f aca="false">IF($A519="","",IF(AT519="Y",BN519&amp;"",BA519&amp;""))</f>
        <v/>
      </c>
      <c r="F519" s="0" t="str">
        <f aca="false">IF($A519="","",IF(AT519="Y",BO519&amp;"",BB519&amp;""))</f>
        <v/>
      </c>
      <c r="G519" s="0" t="str">
        <f aca="false">IF($A519="","",IF(AT519="Y",BP519&amp;"",BC519&amp;""))</f>
        <v/>
      </c>
      <c r="H519" s="0" t="str">
        <f aca="false">IF($A519="","",IF(AT519="Y",BQ519&amp;"",BD519&amp;""))</f>
        <v/>
      </c>
      <c r="I519" s="0" t="str">
        <f aca="false">IF($A519="","",IF(R519="Y","warm-intro",IF(H519="verified","email",IF(C519&lt;&gt;"","linkedin",CA519&amp;""))))</f>
        <v/>
      </c>
      <c r="J519" s="0" t="str">
        <f aca="false">IF($A519="","",IF(CK519="pass",ROUND(N(DO519)+N(DP519)+N(DQ519)+N(DR519)+N(DS519)+N(DT519)+N(DU519)+N(DV519),0),0))</f>
        <v/>
      </c>
      <c r="K519" s="0" t="str">
        <f aca="false">IF($A519="","",IF(CK519&lt;&gt;"pass",BY519&amp;"",BY519&amp;", "&amp;IF(AT519="Y",BX519&amp;"",BK519&amp;"")&amp;BZ519&amp;IF(R519="Y","; known to the founder (+10)","")&amp;"."))</f>
        <v/>
      </c>
      <c r="R519" s="5"/>
      <c r="T519" s="5"/>
      <c r="U519" s="5"/>
      <c r="Y519" s="0" t="str">
        <f aca="false">IF(FA519&lt;&gt;"Y","",COUNTIFS($FA$2:$FA$1000,"Y",$J$2:$J$1000,"&gt;"&amp;J519)+COUNTIFS($FA$2:$FA$1000,"Y",$J$2:$J$1000,J519,$FG$2:$FG$1000,"&lt;"&amp;FG519)+1)</f>
        <v/>
      </c>
      <c r="AB519" s="0" t="str">
        <f aca="false">IF($A519="","",IF(AT519="Y",BW519&amp;"",BJ519&amp;""))</f>
        <v/>
      </c>
      <c r="AC519" s="0" t="str">
        <f aca="false">IF($A519="","",IF(AT519="Y",BR519&amp;"",BE519&amp;""))</f>
        <v/>
      </c>
      <c r="AD519" s="0" t="str">
        <f aca="false">IF($A519="","",IF(AT519="Y",BS519&amp;"",BF519&amp;""))</f>
        <v/>
      </c>
      <c r="AE519" s="0" t="str">
        <f aca="false">IF($A519="","",IF(AT519="Y",BT519&amp;"",BG519&amp;""))</f>
        <v/>
      </c>
      <c r="AF519" s="0" t="str">
        <f aca="false">IF($A519="","",IF(AT519="Y",BU519&amp;"",BH519&amp;""))</f>
        <v/>
      </c>
      <c r="AG519" s="0" t="str">
        <f aca="false">IF($A519="","",IF(AT519="Y",BV519&amp;"",BI519&amp;""))</f>
        <v/>
      </c>
      <c r="AO519" s="5"/>
      <c r="AR519" s="0" t="str">
        <f aca="false">IF($A519="","",IF(AND(CK519="pass",AO519&lt;&gt;"Y",C519&lt;&gt;"",OR(AU519&lt;&gt;"Y",AV519="Y")),"Y","N"))</f>
        <v/>
      </c>
      <c r="AS519" s="0" t="str">
        <f aca="false">IF($A519="","",_xlfn.TEXTJOIN("; ",TRUE(),IF(CK519&lt;&gt;"pass","gated out",""),IF(AO519="Y","on hold: "&amp;AP519,""),IF(C519="","no contact named on an opened page",""),IF(AND(AU519="Y",AV519&lt;&gt;"Y"),"founder review pending (Founder review tab)","")))</f>
        <v/>
      </c>
      <c r="BC519" s="0" t="str">
        <f aca="false">IF($A519="","",IFERROR(INDEX(Enrichment!$A$2:$GZ$2000,MATCH($A519,INDEX(Enrichment!$A$2:$GZ$2000,0,MATCH("row_id",Enrichment!$A$1:$GZ$1,0)),0),MATCH("work_email",Enrichment!$A$1:$GZ$1,0))&amp;"",""))</f>
        <v/>
      </c>
      <c r="BD519" s="0" t="str">
        <f aca="false">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P519" s="0" t="str">
        <f aca="false">IF($A519="","",IFERROR(INDEX(Enrichment!$A$2:$GZ$2000,MATCH($A519,INDEX(Enrichment!$A$2:$GZ$2000,0,MATCH("row_id",Enrichment!$A$1:$GZ$1,0)),0),MATCH("backup_work_email",Enrichment!$A$1:$GZ$1,0))&amp;"",""))</f>
        <v/>
      </c>
      <c r="BQ519" s="0" t="str">
        <f aca="false">IF($A519="","",IF(BP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DU519" s="0" t="str">
        <f aca="false">IF($A519="","",IF(R519="Y",10,0))</f>
        <v/>
      </c>
      <c r="EV519" s="0" t="str">
        <f aca="false">IF($A519="","",IF(ISNUMBER(MATCH(U519,{"queued","contacted","replied","call_booked","call_done","yes_in_principle","materials_sent"},0)),"Y","N"))</f>
        <v/>
      </c>
      <c r="EW519" s="0" t="str">
        <f aca="false">IF($A519="","",IF(OR(T519="Y",U519="do_not_contact",AQ519&amp;""&lt;&gt;""),"Y","N"))</f>
        <v/>
      </c>
      <c r="EX519" s="0" t="str">
        <f aca="false">IF($A519="","",IF(AN519&amp;""&lt;&gt;"",AN519&amp;"",$A519))</f>
        <v/>
      </c>
      <c r="EY519" s="0" t="str">
        <f aca="false">IF($A519="","",IF(COUNTIFS($EX$2:$EX$1000,EX519,$EV$2:$EV$1000,"Y")+COUNTIFS($EX$2:$EX$1000,EX519,$EW$2:$EW$1000,"Y")&gt;0,"Y","N"))</f>
        <v/>
      </c>
      <c r="EZ519" s="0" t="str">
        <f aca="false">IF($A519="","",IF(AND(U519="new",T519="N",EW519="N",AR519="Y",EY519="N"),"Y","N"))</f>
        <v/>
      </c>
      <c r="FA519" s="0" t="str">
        <f aca="false">IF($A519="","",IF(EZ519&lt;&gt;"Y","N",IF(COUNTIFS($EX$2:$EX$1000,EX519,$EZ$2:$EZ$1000,"Y",$J$2:$J$1000,"&gt;"&amp;J519)+COUNTIFS($EX$2:$EX$1000,EX519,$EZ$2:$EZ$1000,"Y",$J$2:$J$1000,J519,$FG$2:$FG$1000,"&lt;"&amp;FG519)=0,"Y","N")))</f>
        <v/>
      </c>
      <c r="FB519" s="0" t="str">
        <f aca="false">IF($A519="","",IF(AND(EZ519="Y",FA519="Y",Y519&amp;""&lt;&gt;""),IF(Y519&lt;=10,"Y","N"),"N"))</f>
        <v/>
      </c>
      <c r="FC519" s="0" t="str">
        <f aca="false">IF(FB519="Y",Y519,"")</f>
        <v/>
      </c>
      <c r="FD519" s="0" t="str">
        <f aca="false">IF($A519="","",IF(AND(CK519="pass",AU519="Y",AV519&lt;&gt;"Y",U519="new",EW519="N"),"Y","N"))</f>
        <v/>
      </c>
      <c r="FE519" s="0" t="str">
        <f aca="false">IF(FD519&lt;&gt;"Y","",IF(COUNTIFS($FD$2:$FD$1000,"Y",$J$2:$J$1000,"&gt;"&amp;J519)+COUNTIFS($FD$2:$FD$1000,"Y",$J$2:$J$1000,J519,$FG$2:$FG$1000,"&lt;"&amp;FG519)+1&lt;=30,COUNTIFS($FD$2:$FD$1000,"Y",$J$2:$J$1000,"&gt;"&amp;J519)+COUNTIFS($FD$2:$FD$1000,"Y",$J$2:$J$1000,J519,$FG$2:$FG$1000,"&lt;"&amp;FG519)+1,""))</f>
        <v/>
      </c>
      <c r="FF519" s="0" t="str">
        <f aca="false">IF(AND(_xlfn.ISFORMULA(C519),_xlfn.ISFORMULA(J519)),"Y","N")</f>
        <v>Y</v>
      </c>
      <c r="FG519" s="0" t="n">
        <f aca="false">ROW()-1</f>
        <v>518</v>
      </c>
    </row>
    <row r="520" customFormat="false" ht="15" hidden="false" customHeight="false" outlineLevel="0" collapsed="false">
      <c r="C520" s="0" t="str">
        <f aca="false">IF($A520="","",IF(AT520="Y",BL520&amp;"",AY520&amp;""))</f>
        <v/>
      </c>
      <c r="D520" s="0" t="str">
        <f aca="false">IF($A520="","",IF(AT520="Y",BM520&amp;"",AZ520&amp;""))</f>
        <v/>
      </c>
      <c r="E520" s="0" t="str">
        <f aca="false">IF($A520="","",IF(AT520="Y",BN520&amp;"",BA520&amp;""))</f>
        <v/>
      </c>
      <c r="F520" s="0" t="str">
        <f aca="false">IF($A520="","",IF(AT520="Y",BO520&amp;"",BB520&amp;""))</f>
        <v/>
      </c>
      <c r="G520" s="0" t="str">
        <f aca="false">IF($A520="","",IF(AT520="Y",BP520&amp;"",BC520&amp;""))</f>
        <v/>
      </c>
      <c r="H520" s="0" t="str">
        <f aca="false">IF($A520="","",IF(AT520="Y",BQ520&amp;"",BD520&amp;""))</f>
        <v/>
      </c>
      <c r="I520" s="0" t="str">
        <f aca="false">IF($A520="","",IF(R520="Y","warm-intro",IF(H520="verified","email",IF(C520&lt;&gt;"","linkedin",CA520&amp;""))))</f>
        <v/>
      </c>
      <c r="J520" s="0" t="str">
        <f aca="false">IF($A520="","",IF(CK520="pass",ROUND(N(DO520)+N(DP520)+N(DQ520)+N(DR520)+N(DS520)+N(DT520)+N(DU520)+N(DV520),0),0))</f>
        <v/>
      </c>
      <c r="K520" s="0" t="str">
        <f aca="false">IF($A520="","",IF(CK520&lt;&gt;"pass",BY520&amp;"",BY520&amp;", "&amp;IF(AT520="Y",BX520&amp;"",BK520&amp;"")&amp;BZ520&amp;IF(R520="Y","; known to the founder (+10)","")&amp;"."))</f>
        <v/>
      </c>
      <c r="R520" s="5"/>
      <c r="T520" s="5"/>
      <c r="U520" s="5"/>
      <c r="Y520" s="0" t="str">
        <f aca="false">IF(FA520&lt;&gt;"Y","",COUNTIFS($FA$2:$FA$1000,"Y",$J$2:$J$1000,"&gt;"&amp;J520)+COUNTIFS($FA$2:$FA$1000,"Y",$J$2:$J$1000,J520,$FG$2:$FG$1000,"&lt;"&amp;FG520)+1)</f>
        <v/>
      </c>
      <c r="AB520" s="0" t="str">
        <f aca="false">IF($A520="","",IF(AT520="Y",BW520&amp;"",BJ520&amp;""))</f>
        <v/>
      </c>
      <c r="AC520" s="0" t="str">
        <f aca="false">IF($A520="","",IF(AT520="Y",BR520&amp;"",BE520&amp;""))</f>
        <v/>
      </c>
      <c r="AD520" s="0" t="str">
        <f aca="false">IF($A520="","",IF(AT520="Y",BS520&amp;"",BF520&amp;""))</f>
        <v/>
      </c>
      <c r="AE520" s="0" t="str">
        <f aca="false">IF($A520="","",IF(AT520="Y",BT520&amp;"",BG520&amp;""))</f>
        <v/>
      </c>
      <c r="AF520" s="0" t="str">
        <f aca="false">IF($A520="","",IF(AT520="Y",BU520&amp;"",BH520&amp;""))</f>
        <v/>
      </c>
      <c r="AG520" s="0" t="str">
        <f aca="false">IF($A520="","",IF(AT520="Y",BV520&amp;"",BI520&amp;""))</f>
        <v/>
      </c>
      <c r="AO520" s="5"/>
      <c r="AR520" s="0" t="str">
        <f aca="false">IF($A520="","",IF(AND(CK520="pass",AO520&lt;&gt;"Y",C520&lt;&gt;"",OR(AU520&lt;&gt;"Y",AV520="Y")),"Y","N"))</f>
        <v/>
      </c>
      <c r="AS520" s="0" t="str">
        <f aca="false">IF($A520="","",_xlfn.TEXTJOIN("; ",TRUE(),IF(CK520&lt;&gt;"pass","gated out",""),IF(AO520="Y","on hold: "&amp;AP520,""),IF(C520="","no contact named on an opened page",""),IF(AND(AU520="Y",AV520&lt;&gt;"Y"),"founder review pending (Founder review tab)","")))</f>
        <v/>
      </c>
      <c r="BC520" s="0" t="str">
        <f aca="false">IF($A520="","",IFERROR(INDEX(Enrichment!$A$2:$GZ$2000,MATCH($A520,INDEX(Enrichment!$A$2:$GZ$2000,0,MATCH("row_id",Enrichment!$A$1:$GZ$1,0)),0),MATCH("work_email",Enrichment!$A$1:$GZ$1,0))&amp;"",""))</f>
        <v/>
      </c>
      <c r="BD520" s="0" t="str">
        <f aca="false">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P520" s="0" t="str">
        <f aca="false">IF($A520="","",IFERROR(INDEX(Enrichment!$A$2:$GZ$2000,MATCH($A520,INDEX(Enrichment!$A$2:$GZ$2000,0,MATCH("row_id",Enrichment!$A$1:$GZ$1,0)),0),MATCH("backup_work_email",Enrichment!$A$1:$GZ$1,0))&amp;"",""))</f>
        <v/>
      </c>
      <c r="BQ520" s="0" t="str">
        <f aca="false">IF($A520="","",IF(BP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DU520" s="0" t="str">
        <f aca="false">IF($A520="","",IF(R520="Y",10,0))</f>
        <v/>
      </c>
      <c r="EV520" s="0" t="str">
        <f aca="false">IF($A520="","",IF(ISNUMBER(MATCH(U520,{"queued","contacted","replied","call_booked","call_done","yes_in_principle","materials_sent"},0)),"Y","N"))</f>
        <v/>
      </c>
      <c r="EW520" s="0" t="str">
        <f aca="false">IF($A520="","",IF(OR(T520="Y",U520="do_not_contact",AQ520&amp;""&lt;&gt;""),"Y","N"))</f>
        <v/>
      </c>
      <c r="EX520" s="0" t="str">
        <f aca="false">IF($A520="","",IF(AN520&amp;""&lt;&gt;"",AN520&amp;"",$A520))</f>
        <v/>
      </c>
      <c r="EY520" s="0" t="str">
        <f aca="false">IF($A520="","",IF(COUNTIFS($EX$2:$EX$1000,EX520,$EV$2:$EV$1000,"Y")+COUNTIFS($EX$2:$EX$1000,EX520,$EW$2:$EW$1000,"Y")&gt;0,"Y","N"))</f>
        <v/>
      </c>
      <c r="EZ520" s="0" t="str">
        <f aca="false">IF($A520="","",IF(AND(U520="new",T520="N",EW520="N",AR520="Y",EY520="N"),"Y","N"))</f>
        <v/>
      </c>
      <c r="FA520" s="0" t="str">
        <f aca="false">IF($A520="","",IF(EZ520&lt;&gt;"Y","N",IF(COUNTIFS($EX$2:$EX$1000,EX520,$EZ$2:$EZ$1000,"Y",$J$2:$J$1000,"&gt;"&amp;J520)+COUNTIFS($EX$2:$EX$1000,EX520,$EZ$2:$EZ$1000,"Y",$J$2:$J$1000,J520,$FG$2:$FG$1000,"&lt;"&amp;FG520)=0,"Y","N")))</f>
        <v/>
      </c>
      <c r="FB520" s="0" t="str">
        <f aca="false">IF($A520="","",IF(AND(EZ520="Y",FA520="Y",Y520&amp;""&lt;&gt;""),IF(Y520&lt;=10,"Y","N"),"N"))</f>
        <v/>
      </c>
      <c r="FC520" s="0" t="str">
        <f aca="false">IF(FB520="Y",Y520,"")</f>
        <v/>
      </c>
      <c r="FD520" s="0" t="str">
        <f aca="false">IF($A520="","",IF(AND(CK520="pass",AU520="Y",AV520&lt;&gt;"Y",U520="new",EW520="N"),"Y","N"))</f>
        <v/>
      </c>
      <c r="FE520" s="0" t="str">
        <f aca="false">IF(FD520&lt;&gt;"Y","",IF(COUNTIFS($FD$2:$FD$1000,"Y",$J$2:$J$1000,"&gt;"&amp;J520)+COUNTIFS($FD$2:$FD$1000,"Y",$J$2:$J$1000,J520,$FG$2:$FG$1000,"&lt;"&amp;FG520)+1&lt;=30,COUNTIFS($FD$2:$FD$1000,"Y",$J$2:$J$1000,"&gt;"&amp;J520)+COUNTIFS($FD$2:$FD$1000,"Y",$J$2:$J$1000,J520,$FG$2:$FG$1000,"&lt;"&amp;FG520)+1,""))</f>
        <v/>
      </c>
      <c r="FF520" s="0" t="str">
        <f aca="false">IF(AND(_xlfn.ISFORMULA(C520),_xlfn.ISFORMULA(J520)),"Y","N")</f>
        <v>Y</v>
      </c>
      <c r="FG520" s="0" t="n">
        <f aca="false">ROW()-1</f>
        <v>519</v>
      </c>
    </row>
    <row r="521" customFormat="false" ht="15" hidden="false" customHeight="false" outlineLevel="0" collapsed="false">
      <c r="C521" s="0" t="str">
        <f aca="false">IF($A521="","",IF(AT521="Y",BL521&amp;"",AY521&amp;""))</f>
        <v/>
      </c>
      <c r="D521" s="0" t="str">
        <f aca="false">IF($A521="","",IF(AT521="Y",BM521&amp;"",AZ521&amp;""))</f>
        <v/>
      </c>
      <c r="E521" s="0" t="str">
        <f aca="false">IF($A521="","",IF(AT521="Y",BN521&amp;"",BA521&amp;""))</f>
        <v/>
      </c>
      <c r="F521" s="0" t="str">
        <f aca="false">IF($A521="","",IF(AT521="Y",BO521&amp;"",BB521&amp;""))</f>
        <v/>
      </c>
      <c r="G521" s="0" t="str">
        <f aca="false">IF($A521="","",IF(AT521="Y",BP521&amp;"",BC521&amp;""))</f>
        <v/>
      </c>
      <c r="H521" s="0" t="str">
        <f aca="false">IF($A521="","",IF(AT521="Y",BQ521&amp;"",BD521&amp;""))</f>
        <v/>
      </c>
      <c r="I521" s="0" t="str">
        <f aca="false">IF($A521="","",IF(R521="Y","warm-intro",IF(H521="verified","email",IF(C521&lt;&gt;"","linkedin",CA521&amp;""))))</f>
        <v/>
      </c>
      <c r="J521" s="0" t="str">
        <f aca="false">IF($A521="","",IF(CK521="pass",ROUND(N(DO521)+N(DP521)+N(DQ521)+N(DR521)+N(DS521)+N(DT521)+N(DU521)+N(DV521),0),0))</f>
        <v/>
      </c>
      <c r="K521" s="0" t="str">
        <f aca="false">IF($A521="","",IF(CK521&lt;&gt;"pass",BY521&amp;"",BY521&amp;", "&amp;IF(AT521="Y",BX521&amp;"",BK521&amp;"")&amp;BZ521&amp;IF(R521="Y","; known to the founder (+10)","")&amp;"."))</f>
        <v/>
      </c>
      <c r="R521" s="5"/>
      <c r="T521" s="5"/>
      <c r="U521" s="5"/>
      <c r="Y521" s="0" t="str">
        <f aca="false">IF(FA521&lt;&gt;"Y","",COUNTIFS($FA$2:$FA$1000,"Y",$J$2:$J$1000,"&gt;"&amp;J521)+COUNTIFS($FA$2:$FA$1000,"Y",$J$2:$J$1000,J521,$FG$2:$FG$1000,"&lt;"&amp;FG521)+1)</f>
        <v/>
      </c>
      <c r="AB521" s="0" t="str">
        <f aca="false">IF($A521="","",IF(AT521="Y",BW521&amp;"",BJ521&amp;""))</f>
        <v/>
      </c>
      <c r="AC521" s="0" t="str">
        <f aca="false">IF($A521="","",IF(AT521="Y",BR521&amp;"",BE521&amp;""))</f>
        <v/>
      </c>
      <c r="AD521" s="0" t="str">
        <f aca="false">IF($A521="","",IF(AT521="Y",BS521&amp;"",BF521&amp;""))</f>
        <v/>
      </c>
      <c r="AE521" s="0" t="str">
        <f aca="false">IF($A521="","",IF(AT521="Y",BT521&amp;"",BG521&amp;""))</f>
        <v/>
      </c>
      <c r="AF521" s="0" t="str">
        <f aca="false">IF($A521="","",IF(AT521="Y",BU521&amp;"",BH521&amp;""))</f>
        <v/>
      </c>
      <c r="AG521" s="0" t="str">
        <f aca="false">IF($A521="","",IF(AT521="Y",BV521&amp;"",BI521&amp;""))</f>
        <v/>
      </c>
      <c r="AO521" s="5"/>
      <c r="AR521" s="0" t="str">
        <f aca="false">IF($A521="","",IF(AND(CK521="pass",AO521&lt;&gt;"Y",C521&lt;&gt;"",OR(AU521&lt;&gt;"Y",AV521="Y")),"Y","N"))</f>
        <v/>
      </c>
      <c r="AS521" s="0" t="str">
        <f aca="false">IF($A521="","",_xlfn.TEXTJOIN("; ",TRUE(),IF(CK521&lt;&gt;"pass","gated out",""),IF(AO521="Y","on hold: "&amp;AP521,""),IF(C521="","no contact named on an opened page",""),IF(AND(AU521="Y",AV521&lt;&gt;"Y"),"founder review pending (Founder review tab)","")))</f>
        <v/>
      </c>
      <c r="BC521" s="0" t="str">
        <f aca="false">IF($A521="","",IFERROR(INDEX(Enrichment!$A$2:$GZ$2000,MATCH($A521,INDEX(Enrichment!$A$2:$GZ$2000,0,MATCH("row_id",Enrichment!$A$1:$GZ$1,0)),0),MATCH("work_email",Enrichment!$A$1:$GZ$1,0))&amp;"",""))</f>
        <v/>
      </c>
      <c r="BD521" s="0" t="str">
        <f aca="false">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P521" s="0" t="str">
        <f aca="false">IF($A521="","",IFERROR(INDEX(Enrichment!$A$2:$GZ$2000,MATCH($A521,INDEX(Enrichment!$A$2:$GZ$2000,0,MATCH("row_id",Enrichment!$A$1:$GZ$1,0)),0),MATCH("backup_work_email",Enrichment!$A$1:$GZ$1,0))&amp;"",""))</f>
        <v/>
      </c>
      <c r="BQ521" s="0" t="str">
        <f aca="false">IF($A521="","",IF(BP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DU521" s="0" t="str">
        <f aca="false">IF($A521="","",IF(R521="Y",10,0))</f>
        <v/>
      </c>
      <c r="EV521" s="0" t="str">
        <f aca="false">IF($A521="","",IF(ISNUMBER(MATCH(U521,{"queued","contacted","replied","call_booked","call_done","yes_in_principle","materials_sent"},0)),"Y","N"))</f>
        <v/>
      </c>
      <c r="EW521" s="0" t="str">
        <f aca="false">IF($A521="","",IF(OR(T521="Y",U521="do_not_contact",AQ521&amp;""&lt;&gt;""),"Y","N"))</f>
        <v/>
      </c>
      <c r="EX521" s="0" t="str">
        <f aca="false">IF($A521="","",IF(AN521&amp;""&lt;&gt;"",AN521&amp;"",$A521))</f>
        <v/>
      </c>
      <c r="EY521" s="0" t="str">
        <f aca="false">IF($A521="","",IF(COUNTIFS($EX$2:$EX$1000,EX521,$EV$2:$EV$1000,"Y")+COUNTIFS($EX$2:$EX$1000,EX521,$EW$2:$EW$1000,"Y")&gt;0,"Y","N"))</f>
        <v/>
      </c>
      <c r="EZ521" s="0" t="str">
        <f aca="false">IF($A521="","",IF(AND(U521="new",T521="N",EW521="N",AR521="Y",EY521="N"),"Y","N"))</f>
        <v/>
      </c>
      <c r="FA521" s="0" t="str">
        <f aca="false">IF($A521="","",IF(EZ521&lt;&gt;"Y","N",IF(COUNTIFS($EX$2:$EX$1000,EX521,$EZ$2:$EZ$1000,"Y",$J$2:$J$1000,"&gt;"&amp;J521)+COUNTIFS($EX$2:$EX$1000,EX521,$EZ$2:$EZ$1000,"Y",$J$2:$J$1000,J521,$FG$2:$FG$1000,"&lt;"&amp;FG521)=0,"Y","N")))</f>
        <v/>
      </c>
      <c r="FB521" s="0" t="str">
        <f aca="false">IF($A521="","",IF(AND(EZ521="Y",FA521="Y",Y521&amp;""&lt;&gt;""),IF(Y521&lt;=10,"Y","N"),"N"))</f>
        <v/>
      </c>
      <c r="FC521" s="0" t="str">
        <f aca="false">IF(FB521="Y",Y521,"")</f>
        <v/>
      </c>
      <c r="FD521" s="0" t="str">
        <f aca="false">IF($A521="","",IF(AND(CK521="pass",AU521="Y",AV521&lt;&gt;"Y",U521="new",EW521="N"),"Y","N"))</f>
        <v/>
      </c>
      <c r="FE521" s="0" t="str">
        <f aca="false">IF(FD521&lt;&gt;"Y","",IF(COUNTIFS($FD$2:$FD$1000,"Y",$J$2:$J$1000,"&gt;"&amp;J521)+COUNTIFS($FD$2:$FD$1000,"Y",$J$2:$J$1000,J521,$FG$2:$FG$1000,"&lt;"&amp;FG521)+1&lt;=30,COUNTIFS($FD$2:$FD$1000,"Y",$J$2:$J$1000,"&gt;"&amp;J521)+COUNTIFS($FD$2:$FD$1000,"Y",$J$2:$J$1000,J521,$FG$2:$FG$1000,"&lt;"&amp;FG521)+1,""))</f>
        <v/>
      </c>
      <c r="FF521" s="0" t="str">
        <f aca="false">IF(AND(_xlfn.ISFORMULA(C521),_xlfn.ISFORMULA(J521)),"Y","N")</f>
        <v>Y</v>
      </c>
      <c r="FG521" s="0" t="n">
        <f aca="false">ROW()-1</f>
        <v>520</v>
      </c>
    </row>
    <row r="522" customFormat="false" ht="15" hidden="false" customHeight="false" outlineLevel="0" collapsed="false">
      <c r="C522" s="0" t="str">
        <f aca="false">IF($A522="","",IF(AT522="Y",BL522&amp;"",AY522&amp;""))</f>
        <v/>
      </c>
      <c r="D522" s="0" t="str">
        <f aca="false">IF($A522="","",IF(AT522="Y",BM522&amp;"",AZ522&amp;""))</f>
        <v/>
      </c>
      <c r="E522" s="0" t="str">
        <f aca="false">IF($A522="","",IF(AT522="Y",BN522&amp;"",BA522&amp;""))</f>
        <v/>
      </c>
      <c r="F522" s="0" t="str">
        <f aca="false">IF($A522="","",IF(AT522="Y",BO522&amp;"",BB522&amp;""))</f>
        <v/>
      </c>
      <c r="G522" s="0" t="str">
        <f aca="false">IF($A522="","",IF(AT522="Y",BP522&amp;"",BC522&amp;""))</f>
        <v/>
      </c>
      <c r="H522" s="0" t="str">
        <f aca="false">IF($A522="","",IF(AT522="Y",BQ522&amp;"",BD522&amp;""))</f>
        <v/>
      </c>
      <c r="I522" s="0" t="str">
        <f aca="false">IF($A522="","",IF(R522="Y","warm-intro",IF(H522="verified","email",IF(C522&lt;&gt;"","linkedin",CA522&amp;""))))</f>
        <v/>
      </c>
      <c r="J522" s="0" t="str">
        <f aca="false">IF($A522="","",IF(CK522="pass",ROUND(N(DO522)+N(DP522)+N(DQ522)+N(DR522)+N(DS522)+N(DT522)+N(DU522)+N(DV522),0),0))</f>
        <v/>
      </c>
      <c r="K522" s="0" t="str">
        <f aca="false">IF($A522="","",IF(CK522&lt;&gt;"pass",BY522&amp;"",BY522&amp;", "&amp;IF(AT522="Y",BX522&amp;"",BK522&amp;"")&amp;BZ522&amp;IF(R522="Y","; known to the founder (+10)","")&amp;"."))</f>
        <v/>
      </c>
      <c r="R522" s="5"/>
      <c r="T522" s="5"/>
      <c r="U522" s="5"/>
      <c r="Y522" s="0" t="str">
        <f aca="false">IF(FA522&lt;&gt;"Y","",COUNTIFS($FA$2:$FA$1000,"Y",$J$2:$J$1000,"&gt;"&amp;J522)+COUNTIFS($FA$2:$FA$1000,"Y",$J$2:$J$1000,J522,$FG$2:$FG$1000,"&lt;"&amp;FG522)+1)</f>
        <v/>
      </c>
      <c r="AB522" s="0" t="str">
        <f aca="false">IF($A522="","",IF(AT522="Y",BW522&amp;"",BJ522&amp;""))</f>
        <v/>
      </c>
      <c r="AC522" s="0" t="str">
        <f aca="false">IF($A522="","",IF(AT522="Y",BR522&amp;"",BE522&amp;""))</f>
        <v/>
      </c>
      <c r="AD522" s="0" t="str">
        <f aca="false">IF($A522="","",IF(AT522="Y",BS522&amp;"",BF522&amp;""))</f>
        <v/>
      </c>
      <c r="AE522" s="0" t="str">
        <f aca="false">IF($A522="","",IF(AT522="Y",BT522&amp;"",BG522&amp;""))</f>
        <v/>
      </c>
      <c r="AF522" s="0" t="str">
        <f aca="false">IF($A522="","",IF(AT522="Y",BU522&amp;"",BH522&amp;""))</f>
        <v/>
      </c>
      <c r="AG522" s="0" t="str">
        <f aca="false">IF($A522="","",IF(AT522="Y",BV522&amp;"",BI522&amp;""))</f>
        <v/>
      </c>
      <c r="AO522" s="5"/>
      <c r="AR522" s="0" t="str">
        <f aca="false">IF($A522="","",IF(AND(CK522="pass",AO522&lt;&gt;"Y",C522&lt;&gt;"",OR(AU522&lt;&gt;"Y",AV522="Y")),"Y","N"))</f>
        <v/>
      </c>
      <c r="AS522" s="0" t="str">
        <f aca="false">IF($A522="","",_xlfn.TEXTJOIN("; ",TRUE(),IF(CK522&lt;&gt;"pass","gated out",""),IF(AO522="Y","on hold: "&amp;AP522,""),IF(C522="","no contact named on an opened page",""),IF(AND(AU522="Y",AV522&lt;&gt;"Y"),"founder review pending (Founder review tab)","")))</f>
        <v/>
      </c>
      <c r="BC522" s="0" t="str">
        <f aca="false">IF($A522="","",IFERROR(INDEX(Enrichment!$A$2:$GZ$2000,MATCH($A522,INDEX(Enrichment!$A$2:$GZ$2000,0,MATCH("row_id",Enrichment!$A$1:$GZ$1,0)),0),MATCH("work_email",Enrichment!$A$1:$GZ$1,0))&amp;"",""))</f>
        <v/>
      </c>
      <c r="BD522" s="0" t="str">
        <f aca="false">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P522" s="0" t="str">
        <f aca="false">IF($A522="","",IFERROR(INDEX(Enrichment!$A$2:$GZ$2000,MATCH($A522,INDEX(Enrichment!$A$2:$GZ$2000,0,MATCH("row_id",Enrichment!$A$1:$GZ$1,0)),0),MATCH("backup_work_email",Enrichment!$A$1:$GZ$1,0))&amp;"",""))</f>
        <v/>
      </c>
      <c r="BQ522" s="0" t="str">
        <f aca="false">IF($A522="","",IF(BP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DU522" s="0" t="str">
        <f aca="false">IF($A522="","",IF(R522="Y",10,0))</f>
        <v/>
      </c>
      <c r="EV522" s="0" t="str">
        <f aca="false">IF($A522="","",IF(ISNUMBER(MATCH(U522,{"queued","contacted","replied","call_booked","call_done","yes_in_principle","materials_sent"},0)),"Y","N"))</f>
        <v/>
      </c>
      <c r="EW522" s="0" t="str">
        <f aca="false">IF($A522="","",IF(OR(T522="Y",U522="do_not_contact",AQ522&amp;""&lt;&gt;""),"Y","N"))</f>
        <v/>
      </c>
      <c r="EX522" s="0" t="str">
        <f aca="false">IF($A522="","",IF(AN522&amp;""&lt;&gt;"",AN522&amp;"",$A522))</f>
        <v/>
      </c>
      <c r="EY522" s="0" t="str">
        <f aca="false">IF($A522="","",IF(COUNTIFS($EX$2:$EX$1000,EX522,$EV$2:$EV$1000,"Y")+COUNTIFS($EX$2:$EX$1000,EX522,$EW$2:$EW$1000,"Y")&gt;0,"Y","N"))</f>
        <v/>
      </c>
      <c r="EZ522" s="0" t="str">
        <f aca="false">IF($A522="","",IF(AND(U522="new",T522="N",EW522="N",AR522="Y",EY522="N"),"Y","N"))</f>
        <v/>
      </c>
      <c r="FA522" s="0" t="str">
        <f aca="false">IF($A522="","",IF(EZ522&lt;&gt;"Y","N",IF(COUNTIFS($EX$2:$EX$1000,EX522,$EZ$2:$EZ$1000,"Y",$J$2:$J$1000,"&gt;"&amp;J522)+COUNTIFS($EX$2:$EX$1000,EX522,$EZ$2:$EZ$1000,"Y",$J$2:$J$1000,J522,$FG$2:$FG$1000,"&lt;"&amp;FG522)=0,"Y","N")))</f>
        <v/>
      </c>
      <c r="FB522" s="0" t="str">
        <f aca="false">IF($A522="","",IF(AND(EZ522="Y",FA522="Y",Y522&amp;""&lt;&gt;""),IF(Y522&lt;=10,"Y","N"),"N"))</f>
        <v/>
      </c>
      <c r="FC522" s="0" t="str">
        <f aca="false">IF(FB522="Y",Y522,"")</f>
        <v/>
      </c>
      <c r="FD522" s="0" t="str">
        <f aca="false">IF($A522="","",IF(AND(CK522="pass",AU522="Y",AV522&lt;&gt;"Y",U522="new",EW522="N"),"Y","N"))</f>
        <v/>
      </c>
      <c r="FE522" s="0" t="str">
        <f aca="false">IF(FD522&lt;&gt;"Y","",IF(COUNTIFS($FD$2:$FD$1000,"Y",$J$2:$J$1000,"&gt;"&amp;J522)+COUNTIFS($FD$2:$FD$1000,"Y",$J$2:$J$1000,J522,$FG$2:$FG$1000,"&lt;"&amp;FG522)+1&lt;=30,COUNTIFS($FD$2:$FD$1000,"Y",$J$2:$J$1000,"&gt;"&amp;J522)+COUNTIFS($FD$2:$FD$1000,"Y",$J$2:$J$1000,J522,$FG$2:$FG$1000,"&lt;"&amp;FG522)+1,""))</f>
        <v/>
      </c>
      <c r="FF522" s="0" t="str">
        <f aca="false">IF(AND(_xlfn.ISFORMULA(C522),_xlfn.ISFORMULA(J522)),"Y","N")</f>
        <v>Y</v>
      </c>
      <c r="FG522" s="0" t="n">
        <f aca="false">ROW()-1</f>
        <v>521</v>
      </c>
    </row>
    <row r="523" customFormat="false" ht="15" hidden="false" customHeight="false" outlineLevel="0" collapsed="false">
      <c r="C523" s="0" t="str">
        <f aca="false">IF($A523="","",IF(AT523="Y",BL523&amp;"",AY523&amp;""))</f>
        <v/>
      </c>
      <c r="D523" s="0" t="str">
        <f aca="false">IF($A523="","",IF(AT523="Y",BM523&amp;"",AZ523&amp;""))</f>
        <v/>
      </c>
      <c r="E523" s="0" t="str">
        <f aca="false">IF($A523="","",IF(AT523="Y",BN523&amp;"",BA523&amp;""))</f>
        <v/>
      </c>
      <c r="F523" s="0" t="str">
        <f aca="false">IF($A523="","",IF(AT523="Y",BO523&amp;"",BB523&amp;""))</f>
        <v/>
      </c>
      <c r="G523" s="0" t="str">
        <f aca="false">IF($A523="","",IF(AT523="Y",BP523&amp;"",BC523&amp;""))</f>
        <v/>
      </c>
      <c r="H523" s="0" t="str">
        <f aca="false">IF($A523="","",IF(AT523="Y",BQ523&amp;"",BD523&amp;""))</f>
        <v/>
      </c>
      <c r="I523" s="0" t="str">
        <f aca="false">IF($A523="","",IF(R523="Y","warm-intro",IF(H523="verified","email",IF(C523&lt;&gt;"","linkedin",CA523&amp;""))))</f>
        <v/>
      </c>
      <c r="J523" s="0" t="str">
        <f aca="false">IF($A523="","",IF(CK523="pass",ROUND(N(DO523)+N(DP523)+N(DQ523)+N(DR523)+N(DS523)+N(DT523)+N(DU523)+N(DV523),0),0))</f>
        <v/>
      </c>
      <c r="K523" s="0" t="str">
        <f aca="false">IF($A523="","",IF(CK523&lt;&gt;"pass",BY523&amp;"",BY523&amp;", "&amp;IF(AT523="Y",BX523&amp;"",BK523&amp;"")&amp;BZ523&amp;IF(R523="Y","; known to the founder (+10)","")&amp;"."))</f>
        <v/>
      </c>
      <c r="R523" s="5"/>
      <c r="T523" s="5"/>
      <c r="U523" s="5"/>
      <c r="Y523" s="0" t="str">
        <f aca="false">IF(FA523&lt;&gt;"Y","",COUNTIFS($FA$2:$FA$1000,"Y",$J$2:$J$1000,"&gt;"&amp;J523)+COUNTIFS($FA$2:$FA$1000,"Y",$J$2:$J$1000,J523,$FG$2:$FG$1000,"&lt;"&amp;FG523)+1)</f>
        <v/>
      </c>
      <c r="AB523" s="0" t="str">
        <f aca="false">IF($A523="","",IF(AT523="Y",BW523&amp;"",BJ523&amp;""))</f>
        <v/>
      </c>
      <c r="AC523" s="0" t="str">
        <f aca="false">IF($A523="","",IF(AT523="Y",BR523&amp;"",BE523&amp;""))</f>
        <v/>
      </c>
      <c r="AD523" s="0" t="str">
        <f aca="false">IF($A523="","",IF(AT523="Y",BS523&amp;"",BF523&amp;""))</f>
        <v/>
      </c>
      <c r="AE523" s="0" t="str">
        <f aca="false">IF($A523="","",IF(AT523="Y",BT523&amp;"",BG523&amp;""))</f>
        <v/>
      </c>
      <c r="AF523" s="0" t="str">
        <f aca="false">IF($A523="","",IF(AT523="Y",BU523&amp;"",BH523&amp;""))</f>
        <v/>
      </c>
      <c r="AG523" s="0" t="str">
        <f aca="false">IF($A523="","",IF(AT523="Y",BV523&amp;"",BI523&amp;""))</f>
        <v/>
      </c>
      <c r="AO523" s="5"/>
      <c r="AR523" s="0" t="str">
        <f aca="false">IF($A523="","",IF(AND(CK523="pass",AO523&lt;&gt;"Y",C523&lt;&gt;"",OR(AU523&lt;&gt;"Y",AV523="Y")),"Y","N"))</f>
        <v/>
      </c>
      <c r="AS523" s="0" t="str">
        <f aca="false">IF($A523="","",_xlfn.TEXTJOIN("; ",TRUE(),IF(CK523&lt;&gt;"pass","gated out",""),IF(AO523="Y","on hold: "&amp;AP523,""),IF(C523="","no contact named on an opened page",""),IF(AND(AU523="Y",AV523&lt;&gt;"Y"),"founder review pending (Founder review tab)","")))</f>
        <v/>
      </c>
      <c r="BC523" s="0" t="str">
        <f aca="false">IF($A523="","",IFERROR(INDEX(Enrichment!$A$2:$GZ$2000,MATCH($A523,INDEX(Enrichment!$A$2:$GZ$2000,0,MATCH("row_id",Enrichment!$A$1:$GZ$1,0)),0),MATCH("work_email",Enrichment!$A$1:$GZ$1,0))&amp;"",""))</f>
        <v/>
      </c>
      <c r="BD523" s="0" t="str">
        <f aca="false">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P523" s="0" t="str">
        <f aca="false">IF($A523="","",IFERROR(INDEX(Enrichment!$A$2:$GZ$2000,MATCH($A523,INDEX(Enrichment!$A$2:$GZ$2000,0,MATCH("row_id",Enrichment!$A$1:$GZ$1,0)),0),MATCH("backup_work_email",Enrichment!$A$1:$GZ$1,0))&amp;"",""))</f>
        <v/>
      </c>
      <c r="BQ523" s="0" t="str">
        <f aca="false">IF($A523="","",IF(BP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DU523" s="0" t="str">
        <f aca="false">IF($A523="","",IF(R523="Y",10,0))</f>
        <v/>
      </c>
      <c r="EV523" s="0" t="str">
        <f aca="false">IF($A523="","",IF(ISNUMBER(MATCH(U523,{"queued","contacted","replied","call_booked","call_done","yes_in_principle","materials_sent"},0)),"Y","N"))</f>
        <v/>
      </c>
      <c r="EW523" s="0" t="str">
        <f aca="false">IF($A523="","",IF(OR(T523="Y",U523="do_not_contact",AQ523&amp;""&lt;&gt;""),"Y","N"))</f>
        <v/>
      </c>
      <c r="EX523" s="0" t="str">
        <f aca="false">IF($A523="","",IF(AN523&amp;""&lt;&gt;"",AN523&amp;"",$A523))</f>
        <v/>
      </c>
      <c r="EY523" s="0" t="str">
        <f aca="false">IF($A523="","",IF(COUNTIFS($EX$2:$EX$1000,EX523,$EV$2:$EV$1000,"Y")+COUNTIFS($EX$2:$EX$1000,EX523,$EW$2:$EW$1000,"Y")&gt;0,"Y","N"))</f>
        <v/>
      </c>
      <c r="EZ523" s="0" t="str">
        <f aca="false">IF($A523="","",IF(AND(U523="new",T523="N",EW523="N",AR523="Y",EY523="N"),"Y","N"))</f>
        <v/>
      </c>
      <c r="FA523" s="0" t="str">
        <f aca="false">IF($A523="","",IF(EZ523&lt;&gt;"Y","N",IF(COUNTIFS($EX$2:$EX$1000,EX523,$EZ$2:$EZ$1000,"Y",$J$2:$J$1000,"&gt;"&amp;J523)+COUNTIFS($EX$2:$EX$1000,EX523,$EZ$2:$EZ$1000,"Y",$J$2:$J$1000,J523,$FG$2:$FG$1000,"&lt;"&amp;FG523)=0,"Y","N")))</f>
        <v/>
      </c>
      <c r="FB523" s="0" t="str">
        <f aca="false">IF($A523="","",IF(AND(EZ523="Y",FA523="Y",Y523&amp;""&lt;&gt;""),IF(Y523&lt;=10,"Y","N"),"N"))</f>
        <v/>
      </c>
      <c r="FC523" s="0" t="str">
        <f aca="false">IF(FB523="Y",Y523,"")</f>
        <v/>
      </c>
      <c r="FD523" s="0" t="str">
        <f aca="false">IF($A523="","",IF(AND(CK523="pass",AU523="Y",AV523&lt;&gt;"Y",U523="new",EW523="N"),"Y","N"))</f>
        <v/>
      </c>
      <c r="FE523" s="0" t="str">
        <f aca="false">IF(FD523&lt;&gt;"Y","",IF(COUNTIFS($FD$2:$FD$1000,"Y",$J$2:$J$1000,"&gt;"&amp;J523)+COUNTIFS($FD$2:$FD$1000,"Y",$J$2:$J$1000,J523,$FG$2:$FG$1000,"&lt;"&amp;FG523)+1&lt;=30,COUNTIFS($FD$2:$FD$1000,"Y",$J$2:$J$1000,"&gt;"&amp;J523)+COUNTIFS($FD$2:$FD$1000,"Y",$J$2:$J$1000,J523,$FG$2:$FG$1000,"&lt;"&amp;FG523)+1,""))</f>
        <v/>
      </c>
      <c r="FF523" s="0" t="str">
        <f aca="false">IF(AND(_xlfn.ISFORMULA(C523),_xlfn.ISFORMULA(J523)),"Y","N")</f>
        <v>Y</v>
      </c>
      <c r="FG523" s="0" t="n">
        <f aca="false">ROW()-1</f>
        <v>522</v>
      </c>
    </row>
    <row r="524" customFormat="false" ht="15" hidden="false" customHeight="false" outlineLevel="0" collapsed="false">
      <c r="C524" s="0" t="str">
        <f aca="false">IF($A524="","",IF(AT524="Y",BL524&amp;"",AY524&amp;""))</f>
        <v/>
      </c>
      <c r="D524" s="0" t="str">
        <f aca="false">IF($A524="","",IF(AT524="Y",BM524&amp;"",AZ524&amp;""))</f>
        <v/>
      </c>
      <c r="E524" s="0" t="str">
        <f aca="false">IF($A524="","",IF(AT524="Y",BN524&amp;"",BA524&amp;""))</f>
        <v/>
      </c>
      <c r="F524" s="0" t="str">
        <f aca="false">IF($A524="","",IF(AT524="Y",BO524&amp;"",BB524&amp;""))</f>
        <v/>
      </c>
      <c r="G524" s="0" t="str">
        <f aca="false">IF($A524="","",IF(AT524="Y",BP524&amp;"",BC524&amp;""))</f>
        <v/>
      </c>
      <c r="H524" s="0" t="str">
        <f aca="false">IF($A524="","",IF(AT524="Y",BQ524&amp;"",BD524&amp;""))</f>
        <v/>
      </c>
      <c r="I524" s="0" t="str">
        <f aca="false">IF($A524="","",IF(R524="Y","warm-intro",IF(H524="verified","email",IF(C524&lt;&gt;"","linkedin",CA524&amp;""))))</f>
        <v/>
      </c>
      <c r="J524" s="0" t="str">
        <f aca="false">IF($A524="","",IF(CK524="pass",ROUND(N(DO524)+N(DP524)+N(DQ524)+N(DR524)+N(DS524)+N(DT524)+N(DU524)+N(DV524),0),0))</f>
        <v/>
      </c>
      <c r="K524" s="0" t="str">
        <f aca="false">IF($A524="","",IF(CK524&lt;&gt;"pass",BY524&amp;"",BY524&amp;", "&amp;IF(AT524="Y",BX524&amp;"",BK524&amp;"")&amp;BZ524&amp;IF(R524="Y","; known to the founder (+10)","")&amp;"."))</f>
        <v/>
      </c>
      <c r="R524" s="5"/>
      <c r="T524" s="5"/>
      <c r="U524" s="5"/>
      <c r="Y524" s="0" t="str">
        <f aca="false">IF(FA524&lt;&gt;"Y","",COUNTIFS($FA$2:$FA$1000,"Y",$J$2:$J$1000,"&gt;"&amp;J524)+COUNTIFS($FA$2:$FA$1000,"Y",$J$2:$J$1000,J524,$FG$2:$FG$1000,"&lt;"&amp;FG524)+1)</f>
        <v/>
      </c>
      <c r="AB524" s="0" t="str">
        <f aca="false">IF($A524="","",IF(AT524="Y",BW524&amp;"",BJ524&amp;""))</f>
        <v/>
      </c>
      <c r="AC524" s="0" t="str">
        <f aca="false">IF($A524="","",IF(AT524="Y",BR524&amp;"",BE524&amp;""))</f>
        <v/>
      </c>
      <c r="AD524" s="0" t="str">
        <f aca="false">IF($A524="","",IF(AT524="Y",BS524&amp;"",BF524&amp;""))</f>
        <v/>
      </c>
      <c r="AE524" s="0" t="str">
        <f aca="false">IF($A524="","",IF(AT524="Y",BT524&amp;"",BG524&amp;""))</f>
        <v/>
      </c>
      <c r="AF524" s="0" t="str">
        <f aca="false">IF($A524="","",IF(AT524="Y",BU524&amp;"",BH524&amp;""))</f>
        <v/>
      </c>
      <c r="AG524" s="0" t="str">
        <f aca="false">IF($A524="","",IF(AT524="Y",BV524&amp;"",BI524&amp;""))</f>
        <v/>
      </c>
      <c r="AO524" s="5"/>
      <c r="AR524" s="0" t="str">
        <f aca="false">IF($A524="","",IF(AND(CK524="pass",AO524&lt;&gt;"Y",C524&lt;&gt;"",OR(AU524&lt;&gt;"Y",AV524="Y")),"Y","N"))</f>
        <v/>
      </c>
      <c r="AS524" s="0" t="str">
        <f aca="false">IF($A524="","",_xlfn.TEXTJOIN("; ",TRUE(),IF(CK524&lt;&gt;"pass","gated out",""),IF(AO524="Y","on hold: "&amp;AP524,""),IF(C524="","no contact named on an opened page",""),IF(AND(AU524="Y",AV524&lt;&gt;"Y"),"founder review pending (Founder review tab)","")))</f>
        <v/>
      </c>
      <c r="BC524" s="0" t="str">
        <f aca="false">IF($A524="","",IFERROR(INDEX(Enrichment!$A$2:$GZ$2000,MATCH($A524,INDEX(Enrichment!$A$2:$GZ$2000,0,MATCH("row_id",Enrichment!$A$1:$GZ$1,0)),0),MATCH("work_email",Enrichment!$A$1:$GZ$1,0))&amp;"",""))</f>
        <v/>
      </c>
      <c r="BD524" s="0" t="str">
        <f aca="false">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P524" s="0" t="str">
        <f aca="false">IF($A524="","",IFERROR(INDEX(Enrichment!$A$2:$GZ$2000,MATCH($A524,INDEX(Enrichment!$A$2:$GZ$2000,0,MATCH("row_id",Enrichment!$A$1:$GZ$1,0)),0),MATCH("backup_work_email",Enrichment!$A$1:$GZ$1,0))&amp;"",""))</f>
        <v/>
      </c>
      <c r="BQ524" s="0" t="str">
        <f aca="false">IF($A524="","",IF(BP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DU524" s="0" t="str">
        <f aca="false">IF($A524="","",IF(R524="Y",10,0))</f>
        <v/>
      </c>
      <c r="EV524" s="0" t="str">
        <f aca="false">IF($A524="","",IF(ISNUMBER(MATCH(U524,{"queued","contacted","replied","call_booked","call_done","yes_in_principle","materials_sent"},0)),"Y","N"))</f>
        <v/>
      </c>
      <c r="EW524" s="0" t="str">
        <f aca="false">IF($A524="","",IF(OR(T524="Y",U524="do_not_contact",AQ524&amp;""&lt;&gt;""),"Y","N"))</f>
        <v/>
      </c>
      <c r="EX524" s="0" t="str">
        <f aca="false">IF($A524="","",IF(AN524&amp;""&lt;&gt;"",AN524&amp;"",$A524))</f>
        <v/>
      </c>
      <c r="EY524" s="0" t="str">
        <f aca="false">IF($A524="","",IF(COUNTIFS($EX$2:$EX$1000,EX524,$EV$2:$EV$1000,"Y")+COUNTIFS($EX$2:$EX$1000,EX524,$EW$2:$EW$1000,"Y")&gt;0,"Y","N"))</f>
        <v/>
      </c>
      <c r="EZ524" s="0" t="str">
        <f aca="false">IF($A524="","",IF(AND(U524="new",T524="N",EW524="N",AR524="Y",EY524="N"),"Y","N"))</f>
        <v/>
      </c>
      <c r="FA524" s="0" t="str">
        <f aca="false">IF($A524="","",IF(EZ524&lt;&gt;"Y","N",IF(COUNTIFS($EX$2:$EX$1000,EX524,$EZ$2:$EZ$1000,"Y",$J$2:$J$1000,"&gt;"&amp;J524)+COUNTIFS($EX$2:$EX$1000,EX524,$EZ$2:$EZ$1000,"Y",$J$2:$J$1000,J524,$FG$2:$FG$1000,"&lt;"&amp;FG524)=0,"Y","N")))</f>
        <v/>
      </c>
      <c r="FB524" s="0" t="str">
        <f aca="false">IF($A524="","",IF(AND(EZ524="Y",FA524="Y",Y524&amp;""&lt;&gt;""),IF(Y524&lt;=10,"Y","N"),"N"))</f>
        <v/>
      </c>
      <c r="FC524" s="0" t="str">
        <f aca="false">IF(FB524="Y",Y524,"")</f>
        <v/>
      </c>
      <c r="FD524" s="0" t="str">
        <f aca="false">IF($A524="","",IF(AND(CK524="pass",AU524="Y",AV524&lt;&gt;"Y",U524="new",EW524="N"),"Y","N"))</f>
        <v/>
      </c>
      <c r="FE524" s="0" t="str">
        <f aca="false">IF(FD524&lt;&gt;"Y","",IF(COUNTIFS($FD$2:$FD$1000,"Y",$J$2:$J$1000,"&gt;"&amp;J524)+COUNTIFS($FD$2:$FD$1000,"Y",$J$2:$J$1000,J524,$FG$2:$FG$1000,"&lt;"&amp;FG524)+1&lt;=30,COUNTIFS($FD$2:$FD$1000,"Y",$J$2:$J$1000,"&gt;"&amp;J524)+COUNTIFS($FD$2:$FD$1000,"Y",$J$2:$J$1000,J524,$FG$2:$FG$1000,"&lt;"&amp;FG524)+1,""))</f>
        <v/>
      </c>
      <c r="FF524" s="0" t="str">
        <f aca="false">IF(AND(_xlfn.ISFORMULA(C524),_xlfn.ISFORMULA(J524)),"Y","N")</f>
        <v>Y</v>
      </c>
      <c r="FG524" s="0" t="n">
        <f aca="false">ROW()-1</f>
        <v>523</v>
      </c>
    </row>
    <row r="525" customFormat="false" ht="15" hidden="false" customHeight="false" outlineLevel="0" collapsed="false">
      <c r="C525" s="0" t="str">
        <f aca="false">IF($A525="","",IF(AT525="Y",BL525&amp;"",AY525&amp;""))</f>
        <v/>
      </c>
      <c r="D525" s="0" t="str">
        <f aca="false">IF($A525="","",IF(AT525="Y",BM525&amp;"",AZ525&amp;""))</f>
        <v/>
      </c>
      <c r="E525" s="0" t="str">
        <f aca="false">IF($A525="","",IF(AT525="Y",BN525&amp;"",BA525&amp;""))</f>
        <v/>
      </c>
      <c r="F525" s="0" t="str">
        <f aca="false">IF($A525="","",IF(AT525="Y",BO525&amp;"",BB525&amp;""))</f>
        <v/>
      </c>
      <c r="G525" s="0" t="str">
        <f aca="false">IF($A525="","",IF(AT525="Y",BP525&amp;"",BC525&amp;""))</f>
        <v/>
      </c>
      <c r="H525" s="0" t="str">
        <f aca="false">IF($A525="","",IF(AT525="Y",BQ525&amp;"",BD525&amp;""))</f>
        <v/>
      </c>
      <c r="I525" s="0" t="str">
        <f aca="false">IF($A525="","",IF(R525="Y","warm-intro",IF(H525="verified","email",IF(C525&lt;&gt;"","linkedin",CA525&amp;""))))</f>
        <v/>
      </c>
      <c r="J525" s="0" t="str">
        <f aca="false">IF($A525="","",IF(CK525="pass",ROUND(N(DO525)+N(DP525)+N(DQ525)+N(DR525)+N(DS525)+N(DT525)+N(DU525)+N(DV525),0),0))</f>
        <v/>
      </c>
      <c r="K525" s="0" t="str">
        <f aca="false">IF($A525="","",IF(CK525&lt;&gt;"pass",BY525&amp;"",BY525&amp;", "&amp;IF(AT525="Y",BX525&amp;"",BK525&amp;"")&amp;BZ525&amp;IF(R525="Y","; known to the founder (+10)","")&amp;"."))</f>
        <v/>
      </c>
      <c r="R525" s="5"/>
      <c r="T525" s="5"/>
      <c r="U525" s="5"/>
      <c r="Y525" s="0" t="str">
        <f aca="false">IF(FA525&lt;&gt;"Y","",COUNTIFS($FA$2:$FA$1000,"Y",$J$2:$J$1000,"&gt;"&amp;J525)+COUNTIFS($FA$2:$FA$1000,"Y",$J$2:$J$1000,J525,$FG$2:$FG$1000,"&lt;"&amp;FG525)+1)</f>
        <v/>
      </c>
      <c r="AB525" s="0" t="str">
        <f aca="false">IF($A525="","",IF(AT525="Y",BW525&amp;"",BJ525&amp;""))</f>
        <v/>
      </c>
      <c r="AC525" s="0" t="str">
        <f aca="false">IF($A525="","",IF(AT525="Y",BR525&amp;"",BE525&amp;""))</f>
        <v/>
      </c>
      <c r="AD525" s="0" t="str">
        <f aca="false">IF($A525="","",IF(AT525="Y",BS525&amp;"",BF525&amp;""))</f>
        <v/>
      </c>
      <c r="AE525" s="0" t="str">
        <f aca="false">IF($A525="","",IF(AT525="Y",BT525&amp;"",BG525&amp;""))</f>
        <v/>
      </c>
      <c r="AF525" s="0" t="str">
        <f aca="false">IF($A525="","",IF(AT525="Y",BU525&amp;"",BH525&amp;""))</f>
        <v/>
      </c>
      <c r="AG525" s="0" t="str">
        <f aca="false">IF($A525="","",IF(AT525="Y",BV525&amp;"",BI525&amp;""))</f>
        <v/>
      </c>
      <c r="AO525" s="5"/>
      <c r="AR525" s="0" t="str">
        <f aca="false">IF($A525="","",IF(AND(CK525="pass",AO525&lt;&gt;"Y",C525&lt;&gt;"",OR(AU525&lt;&gt;"Y",AV525="Y")),"Y","N"))</f>
        <v/>
      </c>
      <c r="AS525" s="0" t="str">
        <f aca="false">IF($A525="","",_xlfn.TEXTJOIN("; ",TRUE(),IF(CK525&lt;&gt;"pass","gated out",""),IF(AO525="Y","on hold: "&amp;AP525,""),IF(C525="","no contact named on an opened page",""),IF(AND(AU525="Y",AV525&lt;&gt;"Y"),"founder review pending (Founder review tab)","")))</f>
        <v/>
      </c>
      <c r="BC525" s="0" t="str">
        <f aca="false">IF($A525="","",IFERROR(INDEX(Enrichment!$A$2:$GZ$2000,MATCH($A525,INDEX(Enrichment!$A$2:$GZ$2000,0,MATCH("row_id",Enrichment!$A$1:$GZ$1,0)),0),MATCH("work_email",Enrichment!$A$1:$GZ$1,0))&amp;"",""))</f>
        <v/>
      </c>
      <c r="BD525" s="0" t="str">
        <f aca="false">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P525" s="0" t="str">
        <f aca="false">IF($A525="","",IFERROR(INDEX(Enrichment!$A$2:$GZ$2000,MATCH($A525,INDEX(Enrichment!$A$2:$GZ$2000,0,MATCH("row_id",Enrichment!$A$1:$GZ$1,0)),0),MATCH("backup_work_email",Enrichment!$A$1:$GZ$1,0))&amp;"",""))</f>
        <v/>
      </c>
      <c r="BQ525" s="0" t="str">
        <f aca="false">IF($A525="","",IF(BP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DU525" s="0" t="str">
        <f aca="false">IF($A525="","",IF(R525="Y",10,0))</f>
        <v/>
      </c>
      <c r="EV525" s="0" t="str">
        <f aca="false">IF($A525="","",IF(ISNUMBER(MATCH(U525,{"queued","contacted","replied","call_booked","call_done","yes_in_principle","materials_sent"},0)),"Y","N"))</f>
        <v/>
      </c>
      <c r="EW525" s="0" t="str">
        <f aca="false">IF($A525="","",IF(OR(T525="Y",U525="do_not_contact",AQ525&amp;""&lt;&gt;""),"Y","N"))</f>
        <v/>
      </c>
      <c r="EX525" s="0" t="str">
        <f aca="false">IF($A525="","",IF(AN525&amp;""&lt;&gt;"",AN525&amp;"",$A525))</f>
        <v/>
      </c>
      <c r="EY525" s="0" t="str">
        <f aca="false">IF($A525="","",IF(COUNTIFS($EX$2:$EX$1000,EX525,$EV$2:$EV$1000,"Y")+COUNTIFS($EX$2:$EX$1000,EX525,$EW$2:$EW$1000,"Y")&gt;0,"Y","N"))</f>
        <v/>
      </c>
      <c r="EZ525" s="0" t="str">
        <f aca="false">IF($A525="","",IF(AND(U525="new",T525="N",EW525="N",AR525="Y",EY525="N"),"Y","N"))</f>
        <v/>
      </c>
      <c r="FA525" s="0" t="str">
        <f aca="false">IF($A525="","",IF(EZ525&lt;&gt;"Y","N",IF(COUNTIFS($EX$2:$EX$1000,EX525,$EZ$2:$EZ$1000,"Y",$J$2:$J$1000,"&gt;"&amp;J525)+COUNTIFS($EX$2:$EX$1000,EX525,$EZ$2:$EZ$1000,"Y",$J$2:$J$1000,J525,$FG$2:$FG$1000,"&lt;"&amp;FG525)=0,"Y","N")))</f>
        <v/>
      </c>
      <c r="FB525" s="0" t="str">
        <f aca="false">IF($A525="","",IF(AND(EZ525="Y",FA525="Y",Y525&amp;""&lt;&gt;""),IF(Y525&lt;=10,"Y","N"),"N"))</f>
        <v/>
      </c>
      <c r="FC525" s="0" t="str">
        <f aca="false">IF(FB525="Y",Y525,"")</f>
        <v/>
      </c>
      <c r="FD525" s="0" t="str">
        <f aca="false">IF($A525="","",IF(AND(CK525="pass",AU525="Y",AV525&lt;&gt;"Y",U525="new",EW525="N"),"Y","N"))</f>
        <v/>
      </c>
      <c r="FE525" s="0" t="str">
        <f aca="false">IF(FD525&lt;&gt;"Y","",IF(COUNTIFS($FD$2:$FD$1000,"Y",$J$2:$J$1000,"&gt;"&amp;J525)+COUNTIFS($FD$2:$FD$1000,"Y",$J$2:$J$1000,J525,$FG$2:$FG$1000,"&lt;"&amp;FG525)+1&lt;=30,COUNTIFS($FD$2:$FD$1000,"Y",$J$2:$J$1000,"&gt;"&amp;J525)+COUNTIFS($FD$2:$FD$1000,"Y",$J$2:$J$1000,J525,$FG$2:$FG$1000,"&lt;"&amp;FG525)+1,""))</f>
        <v/>
      </c>
      <c r="FF525" s="0" t="str">
        <f aca="false">IF(AND(_xlfn.ISFORMULA(C525),_xlfn.ISFORMULA(J525)),"Y","N")</f>
        <v>Y</v>
      </c>
      <c r="FG525" s="0" t="n">
        <f aca="false">ROW()-1</f>
        <v>524</v>
      </c>
    </row>
    <row r="526" customFormat="false" ht="15" hidden="false" customHeight="false" outlineLevel="0" collapsed="false">
      <c r="C526" s="0" t="str">
        <f aca="false">IF($A526="","",IF(AT526="Y",BL526&amp;"",AY526&amp;""))</f>
        <v/>
      </c>
      <c r="D526" s="0" t="str">
        <f aca="false">IF($A526="","",IF(AT526="Y",BM526&amp;"",AZ526&amp;""))</f>
        <v/>
      </c>
      <c r="E526" s="0" t="str">
        <f aca="false">IF($A526="","",IF(AT526="Y",BN526&amp;"",BA526&amp;""))</f>
        <v/>
      </c>
      <c r="F526" s="0" t="str">
        <f aca="false">IF($A526="","",IF(AT526="Y",BO526&amp;"",BB526&amp;""))</f>
        <v/>
      </c>
      <c r="G526" s="0" t="str">
        <f aca="false">IF($A526="","",IF(AT526="Y",BP526&amp;"",BC526&amp;""))</f>
        <v/>
      </c>
      <c r="H526" s="0" t="str">
        <f aca="false">IF($A526="","",IF(AT526="Y",BQ526&amp;"",BD526&amp;""))</f>
        <v/>
      </c>
      <c r="I526" s="0" t="str">
        <f aca="false">IF($A526="","",IF(R526="Y","warm-intro",IF(H526="verified","email",IF(C526&lt;&gt;"","linkedin",CA526&amp;""))))</f>
        <v/>
      </c>
      <c r="J526" s="0" t="str">
        <f aca="false">IF($A526="","",IF(CK526="pass",ROUND(N(DO526)+N(DP526)+N(DQ526)+N(DR526)+N(DS526)+N(DT526)+N(DU526)+N(DV526),0),0))</f>
        <v/>
      </c>
      <c r="K526" s="0" t="str">
        <f aca="false">IF($A526="","",IF(CK526&lt;&gt;"pass",BY526&amp;"",BY526&amp;", "&amp;IF(AT526="Y",BX526&amp;"",BK526&amp;"")&amp;BZ526&amp;IF(R526="Y","; known to the founder (+10)","")&amp;"."))</f>
        <v/>
      </c>
      <c r="R526" s="5"/>
      <c r="T526" s="5"/>
      <c r="U526" s="5"/>
      <c r="Y526" s="0" t="str">
        <f aca="false">IF(FA526&lt;&gt;"Y","",COUNTIFS($FA$2:$FA$1000,"Y",$J$2:$J$1000,"&gt;"&amp;J526)+COUNTIFS($FA$2:$FA$1000,"Y",$J$2:$J$1000,J526,$FG$2:$FG$1000,"&lt;"&amp;FG526)+1)</f>
        <v/>
      </c>
      <c r="AB526" s="0" t="str">
        <f aca="false">IF($A526="","",IF(AT526="Y",BW526&amp;"",BJ526&amp;""))</f>
        <v/>
      </c>
      <c r="AC526" s="0" t="str">
        <f aca="false">IF($A526="","",IF(AT526="Y",BR526&amp;"",BE526&amp;""))</f>
        <v/>
      </c>
      <c r="AD526" s="0" t="str">
        <f aca="false">IF($A526="","",IF(AT526="Y",BS526&amp;"",BF526&amp;""))</f>
        <v/>
      </c>
      <c r="AE526" s="0" t="str">
        <f aca="false">IF($A526="","",IF(AT526="Y",BT526&amp;"",BG526&amp;""))</f>
        <v/>
      </c>
      <c r="AF526" s="0" t="str">
        <f aca="false">IF($A526="","",IF(AT526="Y",BU526&amp;"",BH526&amp;""))</f>
        <v/>
      </c>
      <c r="AG526" s="0" t="str">
        <f aca="false">IF($A526="","",IF(AT526="Y",BV526&amp;"",BI526&amp;""))</f>
        <v/>
      </c>
      <c r="AO526" s="5"/>
      <c r="AR526" s="0" t="str">
        <f aca="false">IF($A526="","",IF(AND(CK526="pass",AO526&lt;&gt;"Y",C526&lt;&gt;"",OR(AU526&lt;&gt;"Y",AV526="Y")),"Y","N"))</f>
        <v/>
      </c>
      <c r="AS526" s="0" t="str">
        <f aca="false">IF($A526="","",_xlfn.TEXTJOIN("; ",TRUE(),IF(CK526&lt;&gt;"pass","gated out",""),IF(AO526="Y","on hold: "&amp;AP526,""),IF(C526="","no contact named on an opened page",""),IF(AND(AU526="Y",AV526&lt;&gt;"Y"),"founder review pending (Founder review tab)","")))</f>
        <v/>
      </c>
      <c r="BC526" s="0" t="str">
        <f aca="false">IF($A526="","",IFERROR(INDEX(Enrichment!$A$2:$GZ$2000,MATCH($A526,INDEX(Enrichment!$A$2:$GZ$2000,0,MATCH("row_id",Enrichment!$A$1:$GZ$1,0)),0),MATCH("work_email",Enrichment!$A$1:$GZ$1,0))&amp;"",""))</f>
        <v/>
      </c>
      <c r="BD526" s="0" t="str">
        <f aca="false">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P526" s="0" t="str">
        <f aca="false">IF($A526="","",IFERROR(INDEX(Enrichment!$A$2:$GZ$2000,MATCH($A526,INDEX(Enrichment!$A$2:$GZ$2000,0,MATCH("row_id",Enrichment!$A$1:$GZ$1,0)),0),MATCH("backup_work_email",Enrichment!$A$1:$GZ$1,0))&amp;"",""))</f>
        <v/>
      </c>
      <c r="BQ526" s="0" t="str">
        <f aca="false">IF($A526="","",IF(BP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DU526" s="0" t="str">
        <f aca="false">IF($A526="","",IF(R526="Y",10,0))</f>
        <v/>
      </c>
      <c r="EV526" s="0" t="str">
        <f aca="false">IF($A526="","",IF(ISNUMBER(MATCH(U526,{"queued","contacted","replied","call_booked","call_done","yes_in_principle","materials_sent"},0)),"Y","N"))</f>
        <v/>
      </c>
      <c r="EW526" s="0" t="str">
        <f aca="false">IF($A526="","",IF(OR(T526="Y",U526="do_not_contact",AQ526&amp;""&lt;&gt;""),"Y","N"))</f>
        <v/>
      </c>
      <c r="EX526" s="0" t="str">
        <f aca="false">IF($A526="","",IF(AN526&amp;""&lt;&gt;"",AN526&amp;"",$A526))</f>
        <v/>
      </c>
      <c r="EY526" s="0" t="str">
        <f aca="false">IF($A526="","",IF(COUNTIFS($EX$2:$EX$1000,EX526,$EV$2:$EV$1000,"Y")+COUNTIFS($EX$2:$EX$1000,EX526,$EW$2:$EW$1000,"Y")&gt;0,"Y","N"))</f>
        <v/>
      </c>
      <c r="EZ526" s="0" t="str">
        <f aca="false">IF($A526="","",IF(AND(U526="new",T526="N",EW526="N",AR526="Y",EY526="N"),"Y","N"))</f>
        <v/>
      </c>
      <c r="FA526" s="0" t="str">
        <f aca="false">IF($A526="","",IF(EZ526&lt;&gt;"Y","N",IF(COUNTIFS($EX$2:$EX$1000,EX526,$EZ$2:$EZ$1000,"Y",$J$2:$J$1000,"&gt;"&amp;J526)+COUNTIFS($EX$2:$EX$1000,EX526,$EZ$2:$EZ$1000,"Y",$J$2:$J$1000,J526,$FG$2:$FG$1000,"&lt;"&amp;FG526)=0,"Y","N")))</f>
        <v/>
      </c>
      <c r="FB526" s="0" t="str">
        <f aca="false">IF($A526="","",IF(AND(EZ526="Y",FA526="Y",Y526&amp;""&lt;&gt;""),IF(Y526&lt;=10,"Y","N"),"N"))</f>
        <v/>
      </c>
      <c r="FC526" s="0" t="str">
        <f aca="false">IF(FB526="Y",Y526,"")</f>
        <v/>
      </c>
      <c r="FD526" s="0" t="str">
        <f aca="false">IF($A526="","",IF(AND(CK526="pass",AU526="Y",AV526&lt;&gt;"Y",U526="new",EW526="N"),"Y","N"))</f>
        <v/>
      </c>
      <c r="FE526" s="0" t="str">
        <f aca="false">IF(FD526&lt;&gt;"Y","",IF(COUNTIFS($FD$2:$FD$1000,"Y",$J$2:$J$1000,"&gt;"&amp;J526)+COUNTIFS($FD$2:$FD$1000,"Y",$J$2:$J$1000,J526,$FG$2:$FG$1000,"&lt;"&amp;FG526)+1&lt;=30,COUNTIFS($FD$2:$FD$1000,"Y",$J$2:$J$1000,"&gt;"&amp;J526)+COUNTIFS($FD$2:$FD$1000,"Y",$J$2:$J$1000,J526,$FG$2:$FG$1000,"&lt;"&amp;FG526)+1,""))</f>
        <v/>
      </c>
      <c r="FF526" s="0" t="str">
        <f aca="false">IF(AND(_xlfn.ISFORMULA(C526),_xlfn.ISFORMULA(J526)),"Y","N")</f>
        <v>Y</v>
      </c>
      <c r="FG526" s="0" t="n">
        <f aca="false">ROW()-1</f>
        <v>525</v>
      </c>
    </row>
    <row r="527" customFormat="false" ht="15" hidden="false" customHeight="false" outlineLevel="0" collapsed="false">
      <c r="C527" s="0" t="str">
        <f aca="false">IF($A527="","",IF(AT527="Y",BL527&amp;"",AY527&amp;""))</f>
        <v/>
      </c>
      <c r="D527" s="0" t="str">
        <f aca="false">IF($A527="","",IF(AT527="Y",BM527&amp;"",AZ527&amp;""))</f>
        <v/>
      </c>
      <c r="E527" s="0" t="str">
        <f aca="false">IF($A527="","",IF(AT527="Y",BN527&amp;"",BA527&amp;""))</f>
        <v/>
      </c>
      <c r="F527" s="0" t="str">
        <f aca="false">IF($A527="","",IF(AT527="Y",BO527&amp;"",BB527&amp;""))</f>
        <v/>
      </c>
      <c r="G527" s="0" t="str">
        <f aca="false">IF($A527="","",IF(AT527="Y",BP527&amp;"",BC527&amp;""))</f>
        <v/>
      </c>
      <c r="H527" s="0" t="str">
        <f aca="false">IF($A527="","",IF(AT527="Y",BQ527&amp;"",BD527&amp;""))</f>
        <v/>
      </c>
      <c r="I527" s="0" t="str">
        <f aca="false">IF($A527="","",IF(R527="Y","warm-intro",IF(H527="verified","email",IF(C527&lt;&gt;"","linkedin",CA527&amp;""))))</f>
        <v/>
      </c>
      <c r="J527" s="0" t="str">
        <f aca="false">IF($A527="","",IF(CK527="pass",ROUND(N(DO527)+N(DP527)+N(DQ527)+N(DR527)+N(DS527)+N(DT527)+N(DU527)+N(DV527),0),0))</f>
        <v/>
      </c>
      <c r="K527" s="0" t="str">
        <f aca="false">IF($A527="","",IF(CK527&lt;&gt;"pass",BY527&amp;"",BY527&amp;", "&amp;IF(AT527="Y",BX527&amp;"",BK527&amp;"")&amp;BZ527&amp;IF(R527="Y","; known to the founder (+10)","")&amp;"."))</f>
        <v/>
      </c>
      <c r="R527" s="5"/>
      <c r="T527" s="5"/>
      <c r="U527" s="5"/>
      <c r="Y527" s="0" t="str">
        <f aca="false">IF(FA527&lt;&gt;"Y","",COUNTIFS($FA$2:$FA$1000,"Y",$J$2:$J$1000,"&gt;"&amp;J527)+COUNTIFS($FA$2:$FA$1000,"Y",$J$2:$J$1000,J527,$FG$2:$FG$1000,"&lt;"&amp;FG527)+1)</f>
        <v/>
      </c>
      <c r="AB527" s="0" t="str">
        <f aca="false">IF($A527="","",IF(AT527="Y",BW527&amp;"",BJ527&amp;""))</f>
        <v/>
      </c>
      <c r="AC527" s="0" t="str">
        <f aca="false">IF($A527="","",IF(AT527="Y",BR527&amp;"",BE527&amp;""))</f>
        <v/>
      </c>
      <c r="AD527" s="0" t="str">
        <f aca="false">IF($A527="","",IF(AT527="Y",BS527&amp;"",BF527&amp;""))</f>
        <v/>
      </c>
      <c r="AE527" s="0" t="str">
        <f aca="false">IF($A527="","",IF(AT527="Y",BT527&amp;"",BG527&amp;""))</f>
        <v/>
      </c>
      <c r="AF527" s="0" t="str">
        <f aca="false">IF($A527="","",IF(AT527="Y",BU527&amp;"",BH527&amp;""))</f>
        <v/>
      </c>
      <c r="AG527" s="0" t="str">
        <f aca="false">IF($A527="","",IF(AT527="Y",BV527&amp;"",BI527&amp;""))</f>
        <v/>
      </c>
      <c r="AO527" s="5"/>
      <c r="AR527" s="0" t="str">
        <f aca="false">IF($A527="","",IF(AND(CK527="pass",AO527&lt;&gt;"Y",C527&lt;&gt;"",OR(AU527&lt;&gt;"Y",AV527="Y")),"Y","N"))</f>
        <v/>
      </c>
      <c r="AS527" s="0" t="str">
        <f aca="false">IF($A527="","",_xlfn.TEXTJOIN("; ",TRUE(),IF(CK527&lt;&gt;"pass","gated out",""),IF(AO527="Y","on hold: "&amp;AP527,""),IF(C527="","no contact named on an opened page",""),IF(AND(AU527="Y",AV527&lt;&gt;"Y"),"founder review pending (Founder review tab)","")))</f>
        <v/>
      </c>
      <c r="BC527" s="0" t="str">
        <f aca="false">IF($A527="","",IFERROR(INDEX(Enrichment!$A$2:$GZ$2000,MATCH($A527,INDEX(Enrichment!$A$2:$GZ$2000,0,MATCH("row_id",Enrichment!$A$1:$GZ$1,0)),0),MATCH("work_email",Enrichment!$A$1:$GZ$1,0))&amp;"",""))</f>
        <v/>
      </c>
      <c r="BD527" s="0" t="str">
        <f aca="false">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P527" s="0" t="str">
        <f aca="false">IF($A527="","",IFERROR(INDEX(Enrichment!$A$2:$GZ$2000,MATCH($A527,INDEX(Enrichment!$A$2:$GZ$2000,0,MATCH("row_id",Enrichment!$A$1:$GZ$1,0)),0),MATCH("backup_work_email",Enrichment!$A$1:$GZ$1,0))&amp;"",""))</f>
        <v/>
      </c>
      <c r="BQ527" s="0" t="str">
        <f aca="false">IF($A527="","",IF(BP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DU527" s="0" t="str">
        <f aca="false">IF($A527="","",IF(R527="Y",10,0))</f>
        <v/>
      </c>
      <c r="EV527" s="0" t="str">
        <f aca="false">IF($A527="","",IF(ISNUMBER(MATCH(U527,{"queued","contacted","replied","call_booked","call_done","yes_in_principle","materials_sent"},0)),"Y","N"))</f>
        <v/>
      </c>
      <c r="EW527" s="0" t="str">
        <f aca="false">IF($A527="","",IF(OR(T527="Y",U527="do_not_contact",AQ527&amp;""&lt;&gt;""),"Y","N"))</f>
        <v/>
      </c>
      <c r="EX527" s="0" t="str">
        <f aca="false">IF($A527="","",IF(AN527&amp;""&lt;&gt;"",AN527&amp;"",$A527))</f>
        <v/>
      </c>
      <c r="EY527" s="0" t="str">
        <f aca="false">IF($A527="","",IF(COUNTIFS($EX$2:$EX$1000,EX527,$EV$2:$EV$1000,"Y")+COUNTIFS($EX$2:$EX$1000,EX527,$EW$2:$EW$1000,"Y")&gt;0,"Y","N"))</f>
        <v/>
      </c>
      <c r="EZ527" s="0" t="str">
        <f aca="false">IF($A527="","",IF(AND(U527="new",T527="N",EW527="N",AR527="Y",EY527="N"),"Y","N"))</f>
        <v/>
      </c>
      <c r="FA527" s="0" t="str">
        <f aca="false">IF($A527="","",IF(EZ527&lt;&gt;"Y","N",IF(COUNTIFS($EX$2:$EX$1000,EX527,$EZ$2:$EZ$1000,"Y",$J$2:$J$1000,"&gt;"&amp;J527)+COUNTIFS($EX$2:$EX$1000,EX527,$EZ$2:$EZ$1000,"Y",$J$2:$J$1000,J527,$FG$2:$FG$1000,"&lt;"&amp;FG527)=0,"Y","N")))</f>
        <v/>
      </c>
      <c r="FB527" s="0" t="str">
        <f aca="false">IF($A527="","",IF(AND(EZ527="Y",FA527="Y",Y527&amp;""&lt;&gt;""),IF(Y527&lt;=10,"Y","N"),"N"))</f>
        <v/>
      </c>
      <c r="FC527" s="0" t="str">
        <f aca="false">IF(FB527="Y",Y527,"")</f>
        <v/>
      </c>
      <c r="FD527" s="0" t="str">
        <f aca="false">IF($A527="","",IF(AND(CK527="pass",AU527="Y",AV527&lt;&gt;"Y",U527="new",EW527="N"),"Y","N"))</f>
        <v/>
      </c>
      <c r="FE527" s="0" t="str">
        <f aca="false">IF(FD527&lt;&gt;"Y","",IF(COUNTIFS($FD$2:$FD$1000,"Y",$J$2:$J$1000,"&gt;"&amp;J527)+COUNTIFS($FD$2:$FD$1000,"Y",$J$2:$J$1000,J527,$FG$2:$FG$1000,"&lt;"&amp;FG527)+1&lt;=30,COUNTIFS($FD$2:$FD$1000,"Y",$J$2:$J$1000,"&gt;"&amp;J527)+COUNTIFS($FD$2:$FD$1000,"Y",$J$2:$J$1000,J527,$FG$2:$FG$1000,"&lt;"&amp;FG527)+1,""))</f>
        <v/>
      </c>
      <c r="FF527" s="0" t="str">
        <f aca="false">IF(AND(_xlfn.ISFORMULA(C527),_xlfn.ISFORMULA(J527)),"Y","N")</f>
        <v>Y</v>
      </c>
      <c r="FG527" s="0" t="n">
        <f aca="false">ROW()-1</f>
        <v>526</v>
      </c>
    </row>
    <row r="528" customFormat="false" ht="15" hidden="false" customHeight="false" outlineLevel="0" collapsed="false">
      <c r="C528" s="0" t="str">
        <f aca="false">IF($A528="","",IF(AT528="Y",BL528&amp;"",AY528&amp;""))</f>
        <v/>
      </c>
      <c r="D528" s="0" t="str">
        <f aca="false">IF($A528="","",IF(AT528="Y",BM528&amp;"",AZ528&amp;""))</f>
        <v/>
      </c>
      <c r="E528" s="0" t="str">
        <f aca="false">IF($A528="","",IF(AT528="Y",BN528&amp;"",BA528&amp;""))</f>
        <v/>
      </c>
      <c r="F528" s="0" t="str">
        <f aca="false">IF($A528="","",IF(AT528="Y",BO528&amp;"",BB528&amp;""))</f>
        <v/>
      </c>
      <c r="G528" s="0" t="str">
        <f aca="false">IF($A528="","",IF(AT528="Y",BP528&amp;"",BC528&amp;""))</f>
        <v/>
      </c>
      <c r="H528" s="0" t="str">
        <f aca="false">IF($A528="","",IF(AT528="Y",BQ528&amp;"",BD528&amp;""))</f>
        <v/>
      </c>
      <c r="I528" s="0" t="str">
        <f aca="false">IF($A528="","",IF(R528="Y","warm-intro",IF(H528="verified","email",IF(C528&lt;&gt;"","linkedin",CA528&amp;""))))</f>
        <v/>
      </c>
      <c r="J528" s="0" t="str">
        <f aca="false">IF($A528="","",IF(CK528="pass",ROUND(N(DO528)+N(DP528)+N(DQ528)+N(DR528)+N(DS528)+N(DT528)+N(DU528)+N(DV528),0),0))</f>
        <v/>
      </c>
      <c r="K528" s="0" t="str">
        <f aca="false">IF($A528="","",IF(CK528&lt;&gt;"pass",BY528&amp;"",BY528&amp;", "&amp;IF(AT528="Y",BX528&amp;"",BK528&amp;"")&amp;BZ528&amp;IF(R528="Y","; known to the founder (+10)","")&amp;"."))</f>
        <v/>
      </c>
      <c r="R528" s="5"/>
      <c r="T528" s="5"/>
      <c r="U528" s="5"/>
      <c r="Y528" s="0" t="str">
        <f aca="false">IF(FA528&lt;&gt;"Y","",COUNTIFS($FA$2:$FA$1000,"Y",$J$2:$J$1000,"&gt;"&amp;J528)+COUNTIFS($FA$2:$FA$1000,"Y",$J$2:$J$1000,J528,$FG$2:$FG$1000,"&lt;"&amp;FG528)+1)</f>
        <v/>
      </c>
      <c r="AB528" s="0" t="str">
        <f aca="false">IF($A528="","",IF(AT528="Y",BW528&amp;"",BJ528&amp;""))</f>
        <v/>
      </c>
      <c r="AC528" s="0" t="str">
        <f aca="false">IF($A528="","",IF(AT528="Y",BR528&amp;"",BE528&amp;""))</f>
        <v/>
      </c>
      <c r="AD528" s="0" t="str">
        <f aca="false">IF($A528="","",IF(AT528="Y",BS528&amp;"",BF528&amp;""))</f>
        <v/>
      </c>
      <c r="AE528" s="0" t="str">
        <f aca="false">IF($A528="","",IF(AT528="Y",BT528&amp;"",BG528&amp;""))</f>
        <v/>
      </c>
      <c r="AF528" s="0" t="str">
        <f aca="false">IF($A528="","",IF(AT528="Y",BU528&amp;"",BH528&amp;""))</f>
        <v/>
      </c>
      <c r="AG528" s="0" t="str">
        <f aca="false">IF($A528="","",IF(AT528="Y",BV528&amp;"",BI528&amp;""))</f>
        <v/>
      </c>
      <c r="AO528" s="5"/>
      <c r="AR528" s="0" t="str">
        <f aca="false">IF($A528="","",IF(AND(CK528="pass",AO528&lt;&gt;"Y",C528&lt;&gt;"",OR(AU528&lt;&gt;"Y",AV528="Y")),"Y","N"))</f>
        <v/>
      </c>
      <c r="AS528" s="0" t="str">
        <f aca="false">IF($A528="","",_xlfn.TEXTJOIN("; ",TRUE(),IF(CK528&lt;&gt;"pass","gated out",""),IF(AO528="Y","on hold: "&amp;AP528,""),IF(C528="","no contact named on an opened page",""),IF(AND(AU528="Y",AV528&lt;&gt;"Y"),"founder review pending (Founder review tab)","")))</f>
        <v/>
      </c>
      <c r="BC528" s="0" t="str">
        <f aca="false">IF($A528="","",IFERROR(INDEX(Enrichment!$A$2:$GZ$2000,MATCH($A528,INDEX(Enrichment!$A$2:$GZ$2000,0,MATCH("row_id",Enrichment!$A$1:$GZ$1,0)),0),MATCH("work_email",Enrichment!$A$1:$GZ$1,0))&amp;"",""))</f>
        <v/>
      </c>
      <c r="BD528" s="0" t="str">
        <f aca="false">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P528" s="0" t="str">
        <f aca="false">IF($A528="","",IFERROR(INDEX(Enrichment!$A$2:$GZ$2000,MATCH($A528,INDEX(Enrichment!$A$2:$GZ$2000,0,MATCH("row_id",Enrichment!$A$1:$GZ$1,0)),0),MATCH("backup_work_email",Enrichment!$A$1:$GZ$1,0))&amp;"",""))</f>
        <v/>
      </c>
      <c r="BQ528" s="0" t="str">
        <f aca="false">IF($A528="","",IF(BP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DU528" s="0" t="str">
        <f aca="false">IF($A528="","",IF(R528="Y",10,0))</f>
        <v/>
      </c>
      <c r="EV528" s="0" t="str">
        <f aca="false">IF($A528="","",IF(ISNUMBER(MATCH(U528,{"queued","contacted","replied","call_booked","call_done","yes_in_principle","materials_sent"},0)),"Y","N"))</f>
        <v/>
      </c>
      <c r="EW528" s="0" t="str">
        <f aca="false">IF($A528="","",IF(OR(T528="Y",U528="do_not_contact",AQ528&amp;""&lt;&gt;""),"Y","N"))</f>
        <v/>
      </c>
      <c r="EX528" s="0" t="str">
        <f aca="false">IF($A528="","",IF(AN528&amp;""&lt;&gt;"",AN528&amp;"",$A528))</f>
        <v/>
      </c>
      <c r="EY528" s="0" t="str">
        <f aca="false">IF($A528="","",IF(COUNTIFS($EX$2:$EX$1000,EX528,$EV$2:$EV$1000,"Y")+COUNTIFS($EX$2:$EX$1000,EX528,$EW$2:$EW$1000,"Y")&gt;0,"Y","N"))</f>
        <v/>
      </c>
      <c r="EZ528" s="0" t="str">
        <f aca="false">IF($A528="","",IF(AND(U528="new",T528="N",EW528="N",AR528="Y",EY528="N"),"Y","N"))</f>
        <v/>
      </c>
      <c r="FA528" s="0" t="str">
        <f aca="false">IF($A528="","",IF(EZ528&lt;&gt;"Y","N",IF(COUNTIFS($EX$2:$EX$1000,EX528,$EZ$2:$EZ$1000,"Y",$J$2:$J$1000,"&gt;"&amp;J528)+COUNTIFS($EX$2:$EX$1000,EX528,$EZ$2:$EZ$1000,"Y",$J$2:$J$1000,J528,$FG$2:$FG$1000,"&lt;"&amp;FG528)=0,"Y","N")))</f>
        <v/>
      </c>
      <c r="FB528" s="0" t="str">
        <f aca="false">IF($A528="","",IF(AND(EZ528="Y",FA528="Y",Y528&amp;""&lt;&gt;""),IF(Y528&lt;=10,"Y","N"),"N"))</f>
        <v/>
      </c>
      <c r="FC528" s="0" t="str">
        <f aca="false">IF(FB528="Y",Y528,"")</f>
        <v/>
      </c>
      <c r="FD528" s="0" t="str">
        <f aca="false">IF($A528="","",IF(AND(CK528="pass",AU528="Y",AV528&lt;&gt;"Y",U528="new",EW528="N"),"Y","N"))</f>
        <v/>
      </c>
      <c r="FE528" s="0" t="str">
        <f aca="false">IF(FD528&lt;&gt;"Y","",IF(COUNTIFS($FD$2:$FD$1000,"Y",$J$2:$J$1000,"&gt;"&amp;J528)+COUNTIFS($FD$2:$FD$1000,"Y",$J$2:$J$1000,J528,$FG$2:$FG$1000,"&lt;"&amp;FG528)+1&lt;=30,COUNTIFS($FD$2:$FD$1000,"Y",$J$2:$J$1000,"&gt;"&amp;J528)+COUNTIFS($FD$2:$FD$1000,"Y",$J$2:$J$1000,J528,$FG$2:$FG$1000,"&lt;"&amp;FG528)+1,""))</f>
        <v/>
      </c>
      <c r="FF528" s="0" t="str">
        <f aca="false">IF(AND(_xlfn.ISFORMULA(C528),_xlfn.ISFORMULA(J528)),"Y","N")</f>
        <v>Y</v>
      </c>
      <c r="FG528" s="0" t="n">
        <f aca="false">ROW()-1</f>
        <v>527</v>
      </c>
    </row>
    <row r="529" customFormat="false" ht="15" hidden="false" customHeight="false" outlineLevel="0" collapsed="false">
      <c r="C529" s="0" t="str">
        <f aca="false">IF($A529="","",IF(AT529="Y",BL529&amp;"",AY529&amp;""))</f>
        <v/>
      </c>
      <c r="D529" s="0" t="str">
        <f aca="false">IF($A529="","",IF(AT529="Y",BM529&amp;"",AZ529&amp;""))</f>
        <v/>
      </c>
      <c r="E529" s="0" t="str">
        <f aca="false">IF($A529="","",IF(AT529="Y",BN529&amp;"",BA529&amp;""))</f>
        <v/>
      </c>
      <c r="F529" s="0" t="str">
        <f aca="false">IF($A529="","",IF(AT529="Y",BO529&amp;"",BB529&amp;""))</f>
        <v/>
      </c>
      <c r="G529" s="0" t="str">
        <f aca="false">IF($A529="","",IF(AT529="Y",BP529&amp;"",BC529&amp;""))</f>
        <v/>
      </c>
      <c r="H529" s="0" t="str">
        <f aca="false">IF($A529="","",IF(AT529="Y",BQ529&amp;"",BD529&amp;""))</f>
        <v/>
      </c>
      <c r="I529" s="0" t="str">
        <f aca="false">IF($A529="","",IF(R529="Y","warm-intro",IF(H529="verified","email",IF(C529&lt;&gt;"","linkedin",CA529&amp;""))))</f>
        <v/>
      </c>
      <c r="J529" s="0" t="str">
        <f aca="false">IF($A529="","",IF(CK529="pass",ROUND(N(DO529)+N(DP529)+N(DQ529)+N(DR529)+N(DS529)+N(DT529)+N(DU529)+N(DV529),0),0))</f>
        <v/>
      </c>
      <c r="K529" s="0" t="str">
        <f aca="false">IF($A529="","",IF(CK529&lt;&gt;"pass",BY529&amp;"",BY529&amp;", "&amp;IF(AT529="Y",BX529&amp;"",BK529&amp;"")&amp;BZ529&amp;IF(R529="Y","; known to the founder (+10)","")&amp;"."))</f>
        <v/>
      </c>
      <c r="R529" s="5"/>
      <c r="T529" s="5"/>
      <c r="U529" s="5"/>
      <c r="Y529" s="0" t="str">
        <f aca="false">IF(FA529&lt;&gt;"Y","",COUNTIFS($FA$2:$FA$1000,"Y",$J$2:$J$1000,"&gt;"&amp;J529)+COUNTIFS($FA$2:$FA$1000,"Y",$J$2:$J$1000,J529,$FG$2:$FG$1000,"&lt;"&amp;FG529)+1)</f>
        <v/>
      </c>
      <c r="AB529" s="0" t="str">
        <f aca="false">IF($A529="","",IF(AT529="Y",BW529&amp;"",BJ529&amp;""))</f>
        <v/>
      </c>
      <c r="AC529" s="0" t="str">
        <f aca="false">IF($A529="","",IF(AT529="Y",BR529&amp;"",BE529&amp;""))</f>
        <v/>
      </c>
      <c r="AD529" s="0" t="str">
        <f aca="false">IF($A529="","",IF(AT529="Y",BS529&amp;"",BF529&amp;""))</f>
        <v/>
      </c>
      <c r="AE529" s="0" t="str">
        <f aca="false">IF($A529="","",IF(AT529="Y",BT529&amp;"",BG529&amp;""))</f>
        <v/>
      </c>
      <c r="AF529" s="0" t="str">
        <f aca="false">IF($A529="","",IF(AT529="Y",BU529&amp;"",BH529&amp;""))</f>
        <v/>
      </c>
      <c r="AG529" s="0" t="str">
        <f aca="false">IF($A529="","",IF(AT529="Y",BV529&amp;"",BI529&amp;""))</f>
        <v/>
      </c>
      <c r="AO529" s="5"/>
      <c r="AR529" s="0" t="str">
        <f aca="false">IF($A529="","",IF(AND(CK529="pass",AO529&lt;&gt;"Y",C529&lt;&gt;"",OR(AU529&lt;&gt;"Y",AV529="Y")),"Y","N"))</f>
        <v/>
      </c>
      <c r="AS529" s="0" t="str">
        <f aca="false">IF($A529="","",_xlfn.TEXTJOIN("; ",TRUE(),IF(CK529&lt;&gt;"pass","gated out",""),IF(AO529="Y","on hold: "&amp;AP529,""),IF(C529="","no contact named on an opened page",""),IF(AND(AU529="Y",AV529&lt;&gt;"Y"),"founder review pending (Founder review tab)","")))</f>
        <v/>
      </c>
      <c r="BC529" s="0" t="str">
        <f aca="false">IF($A529="","",IFERROR(INDEX(Enrichment!$A$2:$GZ$2000,MATCH($A529,INDEX(Enrichment!$A$2:$GZ$2000,0,MATCH("row_id",Enrichment!$A$1:$GZ$1,0)),0),MATCH("work_email",Enrichment!$A$1:$GZ$1,0))&amp;"",""))</f>
        <v/>
      </c>
      <c r="BD529" s="0" t="str">
        <f aca="false">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P529" s="0" t="str">
        <f aca="false">IF($A529="","",IFERROR(INDEX(Enrichment!$A$2:$GZ$2000,MATCH($A529,INDEX(Enrichment!$A$2:$GZ$2000,0,MATCH("row_id",Enrichment!$A$1:$GZ$1,0)),0),MATCH("backup_work_email",Enrichment!$A$1:$GZ$1,0))&amp;"",""))</f>
        <v/>
      </c>
      <c r="BQ529" s="0" t="str">
        <f aca="false">IF($A529="","",IF(BP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DU529" s="0" t="str">
        <f aca="false">IF($A529="","",IF(R529="Y",10,0))</f>
        <v/>
      </c>
      <c r="EV529" s="0" t="str">
        <f aca="false">IF($A529="","",IF(ISNUMBER(MATCH(U529,{"queued","contacted","replied","call_booked","call_done","yes_in_principle","materials_sent"},0)),"Y","N"))</f>
        <v/>
      </c>
      <c r="EW529" s="0" t="str">
        <f aca="false">IF($A529="","",IF(OR(T529="Y",U529="do_not_contact",AQ529&amp;""&lt;&gt;""),"Y","N"))</f>
        <v/>
      </c>
      <c r="EX529" s="0" t="str">
        <f aca="false">IF($A529="","",IF(AN529&amp;""&lt;&gt;"",AN529&amp;"",$A529))</f>
        <v/>
      </c>
      <c r="EY529" s="0" t="str">
        <f aca="false">IF($A529="","",IF(COUNTIFS($EX$2:$EX$1000,EX529,$EV$2:$EV$1000,"Y")+COUNTIFS($EX$2:$EX$1000,EX529,$EW$2:$EW$1000,"Y")&gt;0,"Y","N"))</f>
        <v/>
      </c>
      <c r="EZ529" s="0" t="str">
        <f aca="false">IF($A529="","",IF(AND(U529="new",T529="N",EW529="N",AR529="Y",EY529="N"),"Y","N"))</f>
        <v/>
      </c>
      <c r="FA529" s="0" t="str">
        <f aca="false">IF($A529="","",IF(EZ529&lt;&gt;"Y","N",IF(COUNTIFS($EX$2:$EX$1000,EX529,$EZ$2:$EZ$1000,"Y",$J$2:$J$1000,"&gt;"&amp;J529)+COUNTIFS($EX$2:$EX$1000,EX529,$EZ$2:$EZ$1000,"Y",$J$2:$J$1000,J529,$FG$2:$FG$1000,"&lt;"&amp;FG529)=0,"Y","N")))</f>
        <v/>
      </c>
      <c r="FB529" s="0" t="str">
        <f aca="false">IF($A529="","",IF(AND(EZ529="Y",FA529="Y",Y529&amp;""&lt;&gt;""),IF(Y529&lt;=10,"Y","N"),"N"))</f>
        <v/>
      </c>
      <c r="FC529" s="0" t="str">
        <f aca="false">IF(FB529="Y",Y529,"")</f>
        <v/>
      </c>
      <c r="FD529" s="0" t="str">
        <f aca="false">IF($A529="","",IF(AND(CK529="pass",AU529="Y",AV529&lt;&gt;"Y",U529="new",EW529="N"),"Y","N"))</f>
        <v/>
      </c>
      <c r="FE529" s="0" t="str">
        <f aca="false">IF(FD529&lt;&gt;"Y","",IF(COUNTIFS($FD$2:$FD$1000,"Y",$J$2:$J$1000,"&gt;"&amp;J529)+COUNTIFS($FD$2:$FD$1000,"Y",$J$2:$J$1000,J529,$FG$2:$FG$1000,"&lt;"&amp;FG529)+1&lt;=30,COUNTIFS($FD$2:$FD$1000,"Y",$J$2:$J$1000,"&gt;"&amp;J529)+COUNTIFS($FD$2:$FD$1000,"Y",$J$2:$J$1000,J529,$FG$2:$FG$1000,"&lt;"&amp;FG529)+1,""))</f>
        <v/>
      </c>
      <c r="FF529" s="0" t="str">
        <f aca="false">IF(AND(_xlfn.ISFORMULA(C529),_xlfn.ISFORMULA(J529)),"Y","N")</f>
        <v>Y</v>
      </c>
      <c r="FG529" s="0" t="n">
        <f aca="false">ROW()-1</f>
        <v>528</v>
      </c>
    </row>
    <row r="530" customFormat="false" ht="15" hidden="false" customHeight="false" outlineLevel="0" collapsed="false">
      <c r="C530" s="0" t="str">
        <f aca="false">IF($A530="","",IF(AT530="Y",BL530&amp;"",AY530&amp;""))</f>
        <v/>
      </c>
      <c r="D530" s="0" t="str">
        <f aca="false">IF($A530="","",IF(AT530="Y",BM530&amp;"",AZ530&amp;""))</f>
        <v/>
      </c>
      <c r="E530" s="0" t="str">
        <f aca="false">IF($A530="","",IF(AT530="Y",BN530&amp;"",BA530&amp;""))</f>
        <v/>
      </c>
      <c r="F530" s="0" t="str">
        <f aca="false">IF($A530="","",IF(AT530="Y",BO530&amp;"",BB530&amp;""))</f>
        <v/>
      </c>
      <c r="G530" s="0" t="str">
        <f aca="false">IF($A530="","",IF(AT530="Y",BP530&amp;"",BC530&amp;""))</f>
        <v/>
      </c>
      <c r="H530" s="0" t="str">
        <f aca="false">IF($A530="","",IF(AT530="Y",BQ530&amp;"",BD530&amp;""))</f>
        <v/>
      </c>
      <c r="I530" s="0" t="str">
        <f aca="false">IF($A530="","",IF(R530="Y","warm-intro",IF(H530="verified","email",IF(C530&lt;&gt;"","linkedin",CA530&amp;""))))</f>
        <v/>
      </c>
      <c r="J530" s="0" t="str">
        <f aca="false">IF($A530="","",IF(CK530="pass",ROUND(N(DO530)+N(DP530)+N(DQ530)+N(DR530)+N(DS530)+N(DT530)+N(DU530)+N(DV530),0),0))</f>
        <v/>
      </c>
      <c r="K530" s="0" t="str">
        <f aca="false">IF($A530="","",IF(CK530&lt;&gt;"pass",BY530&amp;"",BY530&amp;", "&amp;IF(AT530="Y",BX530&amp;"",BK530&amp;"")&amp;BZ530&amp;IF(R530="Y","; known to the founder (+10)","")&amp;"."))</f>
        <v/>
      </c>
      <c r="R530" s="5"/>
      <c r="T530" s="5"/>
      <c r="U530" s="5"/>
      <c r="Y530" s="0" t="str">
        <f aca="false">IF(FA530&lt;&gt;"Y","",COUNTIFS($FA$2:$FA$1000,"Y",$J$2:$J$1000,"&gt;"&amp;J530)+COUNTIFS($FA$2:$FA$1000,"Y",$J$2:$J$1000,J530,$FG$2:$FG$1000,"&lt;"&amp;FG530)+1)</f>
        <v/>
      </c>
      <c r="AB530" s="0" t="str">
        <f aca="false">IF($A530="","",IF(AT530="Y",BW530&amp;"",BJ530&amp;""))</f>
        <v/>
      </c>
      <c r="AC530" s="0" t="str">
        <f aca="false">IF($A530="","",IF(AT530="Y",BR530&amp;"",BE530&amp;""))</f>
        <v/>
      </c>
      <c r="AD530" s="0" t="str">
        <f aca="false">IF($A530="","",IF(AT530="Y",BS530&amp;"",BF530&amp;""))</f>
        <v/>
      </c>
      <c r="AE530" s="0" t="str">
        <f aca="false">IF($A530="","",IF(AT530="Y",BT530&amp;"",BG530&amp;""))</f>
        <v/>
      </c>
      <c r="AF530" s="0" t="str">
        <f aca="false">IF($A530="","",IF(AT530="Y",BU530&amp;"",BH530&amp;""))</f>
        <v/>
      </c>
      <c r="AG530" s="0" t="str">
        <f aca="false">IF($A530="","",IF(AT530="Y",BV530&amp;"",BI530&amp;""))</f>
        <v/>
      </c>
      <c r="AO530" s="5"/>
      <c r="AR530" s="0" t="str">
        <f aca="false">IF($A530="","",IF(AND(CK530="pass",AO530&lt;&gt;"Y",C530&lt;&gt;"",OR(AU530&lt;&gt;"Y",AV530="Y")),"Y","N"))</f>
        <v/>
      </c>
      <c r="AS530" s="0" t="str">
        <f aca="false">IF($A530="","",_xlfn.TEXTJOIN("; ",TRUE(),IF(CK530&lt;&gt;"pass","gated out",""),IF(AO530="Y","on hold: "&amp;AP530,""),IF(C530="","no contact named on an opened page",""),IF(AND(AU530="Y",AV530&lt;&gt;"Y"),"founder review pending (Founder review tab)","")))</f>
        <v/>
      </c>
      <c r="BC530" s="0" t="str">
        <f aca="false">IF($A530="","",IFERROR(INDEX(Enrichment!$A$2:$GZ$2000,MATCH($A530,INDEX(Enrichment!$A$2:$GZ$2000,0,MATCH("row_id",Enrichment!$A$1:$GZ$1,0)),0),MATCH("work_email",Enrichment!$A$1:$GZ$1,0))&amp;"",""))</f>
        <v/>
      </c>
      <c r="BD530" s="0" t="str">
        <f aca="false">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P530" s="0" t="str">
        <f aca="false">IF($A530="","",IFERROR(INDEX(Enrichment!$A$2:$GZ$2000,MATCH($A530,INDEX(Enrichment!$A$2:$GZ$2000,0,MATCH("row_id",Enrichment!$A$1:$GZ$1,0)),0),MATCH("backup_work_email",Enrichment!$A$1:$GZ$1,0))&amp;"",""))</f>
        <v/>
      </c>
      <c r="BQ530" s="0" t="str">
        <f aca="false">IF($A530="","",IF(BP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DU530" s="0" t="str">
        <f aca="false">IF($A530="","",IF(R530="Y",10,0))</f>
        <v/>
      </c>
      <c r="EV530" s="0" t="str">
        <f aca="false">IF($A530="","",IF(ISNUMBER(MATCH(U530,{"queued","contacted","replied","call_booked","call_done","yes_in_principle","materials_sent"},0)),"Y","N"))</f>
        <v/>
      </c>
      <c r="EW530" s="0" t="str">
        <f aca="false">IF($A530="","",IF(OR(T530="Y",U530="do_not_contact",AQ530&amp;""&lt;&gt;""),"Y","N"))</f>
        <v/>
      </c>
      <c r="EX530" s="0" t="str">
        <f aca="false">IF($A530="","",IF(AN530&amp;""&lt;&gt;"",AN530&amp;"",$A530))</f>
        <v/>
      </c>
      <c r="EY530" s="0" t="str">
        <f aca="false">IF($A530="","",IF(COUNTIFS($EX$2:$EX$1000,EX530,$EV$2:$EV$1000,"Y")+COUNTIFS($EX$2:$EX$1000,EX530,$EW$2:$EW$1000,"Y")&gt;0,"Y","N"))</f>
        <v/>
      </c>
      <c r="EZ530" s="0" t="str">
        <f aca="false">IF($A530="","",IF(AND(U530="new",T530="N",EW530="N",AR530="Y",EY530="N"),"Y","N"))</f>
        <v/>
      </c>
      <c r="FA530" s="0" t="str">
        <f aca="false">IF($A530="","",IF(EZ530&lt;&gt;"Y","N",IF(COUNTIFS($EX$2:$EX$1000,EX530,$EZ$2:$EZ$1000,"Y",$J$2:$J$1000,"&gt;"&amp;J530)+COUNTIFS($EX$2:$EX$1000,EX530,$EZ$2:$EZ$1000,"Y",$J$2:$J$1000,J530,$FG$2:$FG$1000,"&lt;"&amp;FG530)=0,"Y","N")))</f>
        <v/>
      </c>
      <c r="FB530" s="0" t="str">
        <f aca="false">IF($A530="","",IF(AND(EZ530="Y",FA530="Y",Y530&amp;""&lt;&gt;""),IF(Y530&lt;=10,"Y","N"),"N"))</f>
        <v/>
      </c>
      <c r="FC530" s="0" t="str">
        <f aca="false">IF(FB530="Y",Y530,"")</f>
        <v/>
      </c>
      <c r="FD530" s="0" t="str">
        <f aca="false">IF($A530="","",IF(AND(CK530="pass",AU530="Y",AV530&lt;&gt;"Y",U530="new",EW530="N"),"Y","N"))</f>
        <v/>
      </c>
      <c r="FE530" s="0" t="str">
        <f aca="false">IF(FD530&lt;&gt;"Y","",IF(COUNTIFS($FD$2:$FD$1000,"Y",$J$2:$J$1000,"&gt;"&amp;J530)+COUNTIFS($FD$2:$FD$1000,"Y",$J$2:$J$1000,J530,$FG$2:$FG$1000,"&lt;"&amp;FG530)+1&lt;=30,COUNTIFS($FD$2:$FD$1000,"Y",$J$2:$J$1000,"&gt;"&amp;J530)+COUNTIFS($FD$2:$FD$1000,"Y",$J$2:$J$1000,J530,$FG$2:$FG$1000,"&lt;"&amp;FG530)+1,""))</f>
        <v/>
      </c>
      <c r="FF530" s="0" t="str">
        <f aca="false">IF(AND(_xlfn.ISFORMULA(C530),_xlfn.ISFORMULA(J530)),"Y","N")</f>
        <v>Y</v>
      </c>
      <c r="FG530" s="0" t="n">
        <f aca="false">ROW()-1</f>
        <v>529</v>
      </c>
    </row>
    <row r="531" customFormat="false" ht="15" hidden="false" customHeight="false" outlineLevel="0" collapsed="false">
      <c r="C531" s="0" t="str">
        <f aca="false">IF($A531="","",IF(AT531="Y",BL531&amp;"",AY531&amp;""))</f>
        <v/>
      </c>
      <c r="D531" s="0" t="str">
        <f aca="false">IF($A531="","",IF(AT531="Y",BM531&amp;"",AZ531&amp;""))</f>
        <v/>
      </c>
      <c r="E531" s="0" t="str">
        <f aca="false">IF($A531="","",IF(AT531="Y",BN531&amp;"",BA531&amp;""))</f>
        <v/>
      </c>
      <c r="F531" s="0" t="str">
        <f aca="false">IF($A531="","",IF(AT531="Y",BO531&amp;"",BB531&amp;""))</f>
        <v/>
      </c>
      <c r="G531" s="0" t="str">
        <f aca="false">IF($A531="","",IF(AT531="Y",BP531&amp;"",BC531&amp;""))</f>
        <v/>
      </c>
      <c r="H531" s="0" t="str">
        <f aca="false">IF($A531="","",IF(AT531="Y",BQ531&amp;"",BD531&amp;""))</f>
        <v/>
      </c>
      <c r="I531" s="0" t="str">
        <f aca="false">IF($A531="","",IF(R531="Y","warm-intro",IF(H531="verified","email",IF(C531&lt;&gt;"","linkedin",CA531&amp;""))))</f>
        <v/>
      </c>
      <c r="J531" s="0" t="str">
        <f aca="false">IF($A531="","",IF(CK531="pass",ROUND(N(DO531)+N(DP531)+N(DQ531)+N(DR531)+N(DS531)+N(DT531)+N(DU531)+N(DV531),0),0))</f>
        <v/>
      </c>
      <c r="K531" s="0" t="str">
        <f aca="false">IF($A531="","",IF(CK531&lt;&gt;"pass",BY531&amp;"",BY531&amp;", "&amp;IF(AT531="Y",BX531&amp;"",BK531&amp;"")&amp;BZ531&amp;IF(R531="Y","; known to the founder (+10)","")&amp;"."))</f>
        <v/>
      </c>
      <c r="R531" s="5"/>
      <c r="T531" s="5"/>
      <c r="U531" s="5"/>
      <c r="Y531" s="0" t="str">
        <f aca="false">IF(FA531&lt;&gt;"Y","",COUNTIFS($FA$2:$FA$1000,"Y",$J$2:$J$1000,"&gt;"&amp;J531)+COUNTIFS($FA$2:$FA$1000,"Y",$J$2:$J$1000,J531,$FG$2:$FG$1000,"&lt;"&amp;FG531)+1)</f>
        <v/>
      </c>
      <c r="AB531" s="0" t="str">
        <f aca="false">IF($A531="","",IF(AT531="Y",BW531&amp;"",BJ531&amp;""))</f>
        <v/>
      </c>
      <c r="AC531" s="0" t="str">
        <f aca="false">IF($A531="","",IF(AT531="Y",BR531&amp;"",BE531&amp;""))</f>
        <v/>
      </c>
      <c r="AD531" s="0" t="str">
        <f aca="false">IF($A531="","",IF(AT531="Y",BS531&amp;"",BF531&amp;""))</f>
        <v/>
      </c>
      <c r="AE531" s="0" t="str">
        <f aca="false">IF($A531="","",IF(AT531="Y",BT531&amp;"",BG531&amp;""))</f>
        <v/>
      </c>
      <c r="AF531" s="0" t="str">
        <f aca="false">IF($A531="","",IF(AT531="Y",BU531&amp;"",BH531&amp;""))</f>
        <v/>
      </c>
      <c r="AG531" s="0" t="str">
        <f aca="false">IF($A531="","",IF(AT531="Y",BV531&amp;"",BI531&amp;""))</f>
        <v/>
      </c>
      <c r="AO531" s="5"/>
      <c r="AR531" s="0" t="str">
        <f aca="false">IF($A531="","",IF(AND(CK531="pass",AO531&lt;&gt;"Y",C531&lt;&gt;"",OR(AU531&lt;&gt;"Y",AV531="Y")),"Y","N"))</f>
        <v/>
      </c>
      <c r="AS531" s="0" t="str">
        <f aca="false">IF($A531="","",_xlfn.TEXTJOIN("; ",TRUE(),IF(CK531&lt;&gt;"pass","gated out",""),IF(AO531="Y","on hold: "&amp;AP531,""),IF(C531="","no contact named on an opened page",""),IF(AND(AU531="Y",AV531&lt;&gt;"Y"),"founder review pending (Founder review tab)","")))</f>
        <v/>
      </c>
      <c r="BC531" s="0" t="str">
        <f aca="false">IF($A531="","",IFERROR(INDEX(Enrichment!$A$2:$GZ$2000,MATCH($A531,INDEX(Enrichment!$A$2:$GZ$2000,0,MATCH("row_id",Enrichment!$A$1:$GZ$1,0)),0),MATCH("work_email",Enrichment!$A$1:$GZ$1,0))&amp;"",""))</f>
        <v/>
      </c>
      <c r="BD531" s="0" t="str">
        <f aca="false">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P531" s="0" t="str">
        <f aca="false">IF($A531="","",IFERROR(INDEX(Enrichment!$A$2:$GZ$2000,MATCH($A531,INDEX(Enrichment!$A$2:$GZ$2000,0,MATCH("row_id",Enrichment!$A$1:$GZ$1,0)),0),MATCH("backup_work_email",Enrichment!$A$1:$GZ$1,0))&amp;"",""))</f>
        <v/>
      </c>
      <c r="BQ531" s="0" t="str">
        <f aca="false">IF($A531="","",IF(BP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DU531" s="0" t="str">
        <f aca="false">IF($A531="","",IF(R531="Y",10,0))</f>
        <v/>
      </c>
      <c r="EV531" s="0" t="str">
        <f aca="false">IF($A531="","",IF(ISNUMBER(MATCH(U531,{"queued","contacted","replied","call_booked","call_done","yes_in_principle","materials_sent"},0)),"Y","N"))</f>
        <v/>
      </c>
      <c r="EW531" s="0" t="str">
        <f aca="false">IF($A531="","",IF(OR(T531="Y",U531="do_not_contact",AQ531&amp;""&lt;&gt;""),"Y","N"))</f>
        <v/>
      </c>
      <c r="EX531" s="0" t="str">
        <f aca="false">IF($A531="","",IF(AN531&amp;""&lt;&gt;"",AN531&amp;"",$A531))</f>
        <v/>
      </c>
      <c r="EY531" s="0" t="str">
        <f aca="false">IF($A531="","",IF(COUNTIFS($EX$2:$EX$1000,EX531,$EV$2:$EV$1000,"Y")+COUNTIFS($EX$2:$EX$1000,EX531,$EW$2:$EW$1000,"Y")&gt;0,"Y","N"))</f>
        <v/>
      </c>
      <c r="EZ531" s="0" t="str">
        <f aca="false">IF($A531="","",IF(AND(U531="new",T531="N",EW531="N",AR531="Y",EY531="N"),"Y","N"))</f>
        <v/>
      </c>
      <c r="FA531" s="0" t="str">
        <f aca="false">IF($A531="","",IF(EZ531&lt;&gt;"Y","N",IF(COUNTIFS($EX$2:$EX$1000,EX531,$EZ$2:$EZ$1000,"Y",$J$2:$J$1000,"&gt;"&amp;J531)+COUNTIFS($EX$2:$EX$1000,EX531,$EZ$2:$EZ$1000,"Y",$J$2:$J$1000,J531,$FG$2:$FG$1000,"&lt;"&amp;FG531)=0,"Y","N")))</f>
        <v/>
      </c>
      <c r="FB531" s="0" t="str">
        <f aca="false">IF($A531="","",IF(AND(EZ531="Y",FA531="Y",Y531&amp;""&lt;&gt;""),IF(Y531&lt;=10,"Y","N"),"N"))</f>
        <v/>
      </c>
      <c r="FC531" s="0" t="str">
        <f aca="false">IF(FB531="Y",Y531,"")</f>
        <v/>
      </c>
      <c r="FD531" s="0" t="str">
        <f aca="false">IF($A531="","",IF(AND(CK531="pass",AU531="Y",AV531&lt;&gt;"Y",U531="new",EW531="N"),"Y","N"))</f>
        <v/>
      </c>
      <c r="FE531" s="0" t="str">
        <f aca="false">IF(FD531&lt;&gt;"Y","",IF(COUNTIFS($FD$2:$FD$1000,"Y",$J$2:$J$1000,"&gt;"&amp;J531)+COUNTIFS($FD$2:$FD$1000,"Y",$J$2:$J$1000,J531,$FG$2:$FG$1000,"&lt;"&amp;FG531)+1&lt;=30,COUNTIFS($FD$2:$FD$1000,"Y",$J$2:$J$1000,"&gt;"&amp;J531)+COUNTIFS($FD$2:$FD$1000,"Y",$J$2:$J$1000,J531,$FG$2:$FG$1000,"&lt;"&amp;FG531)+1,""))</f>
        <v/>
      </c>
      <c r="FF531" s="0" t="str">
        <f aca="false">IF(AND(_xlfn.ISFORMULA(C531),_xlfn.ISFORMULA(J531)),"Y","N")</f>
        <v>Y</v>
      </c>
      <c r="FG531" s="0" t="n">
        <f aca="false">ROW()-1</f>
        <v>530</v>
      </c>
    </row>
    <row r="532" customFormat="false" ht="15" hidden="false" customHeight="false" outlineLevel="0" collapsed="false">
      <c r="C532" s="0" t="str">
        <f aca="false">IF($A532="","",IF(AT532="Y",BL532&amp;"",AY532&amp;""))</f>
        <v/>
      </c>
      <c r="D532" s="0" t="str">
        <f aca="false">IF($A532="","",IF(AT532="Y",BM532&amp;"",AZ532&amp;""))</f>
        <v/>
      </c>
      <c r="E532" s="0" t="str">
        <f aca="false">IF($A532="","",IF(AT532="Y",BN532&amp;"",BA532&amp;""))</f>
        <v/>
      </c>
      <c r="F532" s="0" t="str">
        <f aca="false">IF($A532="","",IF(AT532="Y",BO532&amp;"",BB532&amp;""))</f>
        <v/>
      </c>
      <c r="G532" s="0" t="str">
        <f aca="false">IF($A532="","",IF(AT532="Y",BP532&amp;"",BC532&amp;""))</f>
        <v/>
      </c>
      <c r="H532" s="0" t="str">
        <f aca="false">IF($A532="","",IF(AT532="Y",BQ532&amp;"",BD532&amp;""))</f>
        <v/>
      </c>
      <c r="I532" s="0" t="str">
        <f aca="false">IF($A532="","",IF(R532="Y","warm-intro",IF(H532="verified","email",IF(C532&lt;&gt;"","linkedin",CA532&amp;""))))</f>
        <v/>
      </c>
      <c r="J532" s="0" t="str">
        <f aca="false">IF($A532="","",IF(CK532="pass",ROUND(N(DO532)+N(DP532)+N(DQ532)+N(DR532)+N(DS532)+N(DT532)+N(DU532)+N(DV532),0),0))</f>
        <v/>
      </c>
      <c r="K532" s="0" t="str">
        <f aca="false">IF($A532="","",IF(CK532&lt;&gt;"pass",BY532&amp;"",BY532&amp;", "&amp;IF(AT532="Y",BX532&amp;"",BK532&amp;"")&amp;BZ532&amp;IF(R532="Y","; known to the founder (+10)","")&amp;"."))</f>
        <v/>
      </c>
      <c r="R532" s="5"/>
      <c r="T532" s="5"/>
      <c r="U532" s="5"/>
      <c r="Y532" s="0" t="str">
        <f aca="false">IF(FA532&lt;&gt;"Y","",COUNTIFS($FA$2:$FA$1000,"Y",$J$2:$J$1000,"&gt;"&amp;J532)+COUNTIFS($FA$2:$FA$1000,"Y",$J$2:$J$1000,J532,$FG$2:$FG$1000,"&lt;"&amp;FG532)+1)</f>
        <v/>
      </c>
      <c r="AB532" s="0" t="str">
        <f aca="false">IF($A532="","",IF(AT532="Y",BW532&amp;"",BJ532&amp;""))</f>
        <v/>
      </c>
      <c r="AC532" s="0" t="str">
        <f aca="false">IF($A532="","",IF(AT532="Y",BR532&amp;"",BE532&amp;""))</f>
        <v/>
      </c>
      <c r="AD532" s="0" t="str">
        <f aca="false">IF($A532="","",IF(AT532="Y",BS532&amp;"",BF532&amp;""))</f>
        <v/>
      </c>
      <c r="AE532" s="0" t="str">
        <f aca="false">IF($A532="","",IF(AT532="Y",BT532&amp;"",BG532&amp;""))</f>
        <v/>
      </c>
      <c r="AF532" s="0" t="str">
        <f aca="false">IF($A532="","",IF(AT532="Y",BU532&amp;"",BH532&amp;""))</f>
        <v/>
      </c>
      <c r="AG532" s="0" t="str">
        <f aca="false">IF($A532="","",IF(AT532="Y",BV532&amp;"",BI532&amp;""))</f>
        <v/>
      </c>
      <c r="AO532" s="5"/>
      <c r="AR532" s="0" t="str">
        <f aca="false">IF($A532="","",IF(AND(CK532="pass",AO532&lt;&gt;"Y",C532&lt;&gt;"",OR(AU532&lt;&gt;"Y",AV532="Y")),"Y","N"))</f>
        <v/>
      </c>
      <c r="AS532" s="0" t="str">
        <f aca="false">IF($A532="","",_xlfn.TEXTJOIN("; ",TRUE(),IF(CK532&lt;&gt;"pass","gated out",""),IF(AO532="Y","on hold: "&amp;AP532,""),IF(C532="","no contact named on an opened page",""),IF(AND(AU532="Y",AV532&lt;&gt;"Y"),"founder review pending (Founder review tab)","")))</f>
        <v/>
      </c>
      <c r="BC532" s="0" t="str">
        <f aca="false">IF($A532="","",IFERROR(INDEX(Enrichment!$A$2:$GZ$2000,MATCH($A532,INDEX(Enrichment!$A$2:$GZ$2000,0,MATCH("row_id",Enrichment!$A$1:$GZ$1,0)),0),MATCH("work_email",Enrichment!$A$1:$GZ$1,0))&amp;"",""))</f>
        <v/>
      </c>
      <c r="BD532" s="0" t="str">
        <f aca="false">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P532" s="0" t="str">
        <f aca="false">IF($A532="","",IFERROR(INDEX(Enrichment!$A$2:$GZ$2000,MATCH($A532,INDEX(Enrichment!$A$2:$GZ$2000,0,MATCH("row_id",Enrichment!$A$1:$GZ$1,0)),0),MATCH("backup_work_email",Enrichment!$A$1:$GZ$1,0))&amp;"",""))</f>
        <v/>
      </c>
      <c r="BQ532" s="0" t="str">
        <f aca="false">IF($A532="","",IF(BP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DU532" s="0" t="str">
        <f aca="false">IF($A532="","",IF(R532="Y",10,0))</f>
        <v/>
      </c>
      <c r="EV532" s="0" t="str">
        <f aca="false">IF($A532="","",IF(ISNUMBER(MATCH(U532,{"queued","contacted","replied","call_booked","call_done","yes_in_principle","materials_sent"},0)),"Y","N"))</f>
        <v/>
      </c>
      <c r="EW532" s="0" t="str">
        <f aca="false">IF($A532="","",IF(OR(T532="Y",U532="do_not_contact",AQ532&amp;""&lt;&gt;""),"Y","N"))</f>
        <v/>
      </c>
      <c r="EX532" s="0" t="str">
        <f aca="false">IF($A532="","",IF(AN532&amp;""&lt;&gt;"",AN532&amp;"",$A532))</f>
        <v/>
      </c>
      <c r="EY532" s="0" t="str">
        <f aca="false">IF($A532="","",IF(COUNTIFS($EX$2:$EX$1000,EX532,$EV$2:$EV$1000,"Y")+COUNTIFS($EX$2:$EX$1000,EX532,$EW$2:$EW$1000,"Y")&gt;0,"Y","N"))</f>
        <v/>
      </c>
      <c r="EZ532" s="0" t="str">
        <f aca="false">IF($A532="","",IF(AND(U532="new",T532="N",EW532="N",AR532="Y",EY532="N"),"Y","N"))</f>
        <v/>
      </c>
      <c r="FA532" s="0" t="str">
        <f aca="false">IF($A532="","",IF(EZ532&lt;&gt;"Y","N",IF(COUNTIFS($EX$2:$EX$1000,EX532,$EZ$2:$EZ$1000,"Y",$J$2:$J$1000,"&gt;"&amp;J532)+COUNTIFS($EX$2:$EX$1000,EX532,$EZ$2:$EZ$1000,"Y",$J$2:$J$1000,J532,$FG$2:$FG$1000,"&lt;"&amp;FG532)=0,"Y","N")))</f>
        <v/>
      </c>
      <c r="FB532" s="0" t="str">
        <f aca="false">IF($A532="","",IF(AND(EZ532="Y",FA532="Y",Y532&amp;""&lt;&gt;""),IF(Y532&lt;=10,"Y","N"),"N"))</f>
        <v/>
      </c>
      <c r="FC532" s="0" t="str">
        <f aca="false">IF(FB532="Y",Y532,"")</f>
        <v/>
      </c>
      <c r="FD532" s="0" t="str">
        <f aca="false">IF($A532="","",IF(AND(CK532="pass",AU532="Y",AV532&lt;&gt;"Y",U532="new",EW532="N"),"Y","N"))</f>
        <v/>
      </c>
      <c r="FE532" s="0" t="str">
        <f aca="false">IF(FD532&lt;&gt;"Y","",IF(COUNTIFS($FD$2:$FD$1000,"Y",$J$2:$J$1000,"&gt;"&amp;J532)+COUNTIFS($FD$2:$FD$1000,"Y",$J$2:$J$1000,J532,$FG$2:$FG$1000,"&lt;"&amp;FG532)+1&lt;=30,COUNTIFS($FD$2:$FD$1000,"Y",$J$2:$J$1000,"&gt;"&amp;J532)+COUNTIFS($FD$2:$FD$1000,"Y",$J$2:$J$1000,J532,$FG$2:$FG$1000,"&lt;"&amp;FG532)+1,""))</f>
        <v/>
      </c>
      <c r="FF532" s="0" t="str">
        <f aca="false">IF(AND(_xlfn.ISFORMULA(C532),_xlfn.ISFORMULA(J532)),"Y","N")</f>
        <v>Y</v>
      </c>
      <c r="FG532" s="0" t="n">
        <f aca="false">ROW()-1</f>
        <v>531</v>
      </c>
    </row>
    <row r="533" customFormat="false" ht="15" hidden="false" customHeight="false" outlineLevel="0" collapsed="false">
      <c r="C533" s="0" t="str">
        <f aca="false">IF($A533="","",IF(AT533="Y",BL533&amp;"",AY533&amp;""))</f>
        <v/>
      </c>
      <c r="D533" s="0" t="str">
        <f aca="false">IF($A533="","",IF(AT533="Y",BM533&amp;"",AZ533&amp;""))</f>
        <v/>
      </c>
      <c r="E533" s="0" t="str">
        <f aca="false">IF($A533="","",IF(AT533="Y",BN533&amp;"",BA533&amp;""))</f>
        <v/>
      </c>
      <c r="F533" s="0" t="str">
        <f aca="false">IF($A533="","",IF(AT533="Y",BO533&amp;"",BB533&amp;""))</f>
        <v/>
      </c>
      <c r="G533" s="0" t="str">
        <f aca="false">IF($A533="","",IF(AT533="Y",BP533&amp;"",BC533&amp;""))</f>
        <v/>
      </c>
      <c r="H533" s="0" t="str">
        <f aca="false">IF($A533="","",IF(AT533="Y",BQ533&amp;"",BD533&amp;""))</f>
        <v/>
      </c>
      <c r="I533" s="0" t="str">
        <f aca="false">IF($A533="","",IF(R533="Y","warm-intro",IF(H533="verified","email",IF(C533&lt;&gt;"","linkedin",CA533&amp;""))))</f>
        <v/>
      </c>
      <c r="J533" s="0" t="str">
        <f aca="false">IF($A533="","",IF(CK533="pass",ROUND(N(DO533)+N(DP533)+N(DQ533)+N(DR533)+N(DS533)+N(DT533)+N(DU533)+N(DV533),0),0))</f>
        <v/>
      </c>
      <c r="K533" s="0" t="str">
        <f aca="false">IF($A533="","",IF(CK533&lt;&gt;"pass",BY533&amp;"",BY533&amp;", "&amp;IF(AT533="Y",BX533&amp;"",BK533&amp;"")&amp;BZ533&amp;IF(R533="Y","; known to the founder (+10)","")&amp;"."))</f>
        <v/>
      </c>
      <c r="R533" s="5"/>
      <c r="T533" s="5"/>
      <c r="U533" s="5"/>
      <c r="Y533" s="0" t="str">
        <f aca="false">IF(FA533&lt;&gt;"Y","",COUNTIFS($FA$2:$FA$1000,"Y",$J$2:$J$1000,"&gt;"&amp;J533)+COUNTIFS($FA$2:$FA$1000,"Y",$J$2:$J$1000,J533,$FG$2:$FG$1000,"&lt;"&amp;FG533)+1)</f>
        <v/>
      </c>
      <c r="AB533" s="0" t="str">
        <f aca="false">IF($A533="","",IF(AT533="Y",BW533&amp;"",BJ533&amp;""))</f>
        <v/>
      </c>
      <c r="AC533" s="0" t="str">
        <f aca="false">IF($A533="","",IF(AT533="Y",BR533&amp;"",BE533&amp;""))</f>
        <v/>
      </c>
      <c r="AD533" s="0" t="str">
        <f aca="false">IF($A533="","",IF(AT533="Y",BS533&amp;"",BF533&amp;""))</f>
        <v/>
      </c>
      <c r="AE533" s="0" t="str">
        <f aca="false">IF($A533="","",IF(AT533="Y",BT533&amp;"",BG533&amp;""))</f>
        <v/>
      </c>
      <c r="AF533" s="0" t="str">
        <f aca="false">IF($A533="","",IF(AT533="Y",BU533&amp;"",BH533&amp;""))</f>
        <v/>
      </c>
      <c r="AG533" s="0" t="str">
        <f aca="false">IF($A533="","",IF(AT533="Y",BV533&amp;"",BI533&amp;""))</f>
        <v/>
      </c>
      <c r="AO533" s="5"/>
      <c r="AR533" s="0" t="str">
        <f aca="false">IF($A533="","",IF(AND(CK533="pass",AO533&lt;&gt;"Y",C533&lt;&gt;"",OR(AU533&lt;&gt;"Y",AV533="Y")),"Y","N"))</f>
        <v/>
      </c>
      <c r="AS533" s="0" t="str">
        <f aca="false">IF($A533="","",_xlfn.TEXTJOIN("; ",TRUE(),IF(CK533&lt;&gt;"pass","gated out",""),IF(AO533="Y","on hold: "&amp;AP533,""),IF(C533="","no contact named on an opened page",""),IF(AND(AU533="Y",AV533&lt;&gt;"Y"),"founder review pending (Founder review tab)","")))</f>
        <v/>
      </c>
      <c r="BC533" s="0" t="str">
        <f aca="false">IF($A533="","",IFERROR(INDEX(Enrichment!$A$2:$GZ$2000,MATCH($A533,INDEX(Enrichment!$A$2:$GZ$2000,0,MATCH("row_id",Enrichment!$A$1:$GZ$1,0)),0),MATCH("work_email",Enrichment!$A$1:$GZ$1,0))&amp;"",""))</f>
        <v/>
      </c>
      <c r="BD533" s="0" t="str">
        <f aca="false">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P533" s="0" t="str">
        <f aca="false">IF($A533="","",IFERROR(INDEX(Enrichment!$A$2:$GZ$2000,MATCH($A533,INDEX(Enrichment!$A$2:$GZ$2000,0,MATCH("row_id",Enrichment!$A$1:$GZ$1,0)),0),MATCH("backup_work_email",Enrichment!$A$1:$GZ$1,0))&amp;"",""))</f>
        <v/>
      </c>
      <c r="BQ533" s="0" t="str">
        <f aca="false">IF($A533="","",IF(BP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DU533" s="0" t="str">
        <f aca="false">IF($A533="","",IF(R533="Y",10,0))</f>
        <v/>
      </c>
      <c r="EV533" s="0" t="str">
        <f aca="false">IF($A533="","",IF(ISNUMBER(MATCH(U533,{"queued","contacted","replied","call_booked","call_done","yes_in_principle","materials_sent"},0)),"Y","N"))</f>
        <v/>
      </c>
      <c r="EW533" s="0" t="str">
        <f aca="false">IF($A533="","",IF(OR(T533="Y",U533="do_not_contact",AQ533&amp;""&lt;&gt;""),"Y","N"))</f>
        <v/>
      </c>
      <c r="EX533" s="0" t="str">
        <f aca="false">IF($A533="","",IF(AN533&amp;""&lt;&gt;"",AN533&amp;"",$A533))</f>
        <v/>
      </c>
      <c r="EY533" s="0" t="str">
        <f aca="false">IF($A533="","",IF(COUNTIFS($EX$2:$EX$1000,EX533,$EV$2:$EV$1000,"Y")+COUNTIFS($EX$2:$EX$1000,EX533,$EW$2:$EW$1000,"Y")&gt;0,"Y","N"))</f>
        <v/>
      </c>
      <c r="EZ533" s="0" t="str">
        <f aca="false">IF($A533="","",IF(AND(U533="new",T533="N",EW533="N",AR533="Y",EY533="N"),"Y","N"))</f>
        <v/>
      </c>
      <c r="FA533" s="0" t="str">
        <f aca="false">IF($A533="","",IF(EZ533&lt;&gt;"Y","N",IF(COUNTIFS($EX$2:$EX$1000,EX533,$EZ$2:$EZ$1000,"Y",$J$2:$J$1000,"&gt;"&amp;J533)+COUNTIFS($EX$2:$EX$1000,EX533,$EZ$2:$EZ$1000,"Y",$J$2:$J$1000,J533,$FG$2:$FG$1000,"&lt;"&amp;FG533)=0,"Y","N")))</f>
        <v/>
      </c>
      <c r="FB533" s="0" t="str">
        <f aca="false">IF($A533="","",IF(AND(EZ533="Y",FA533="Y",Y533&amp;""&lt;&gt;""),IF(Y533&lt;=10,"Y","N"),"N"))</f>
        <v/>
      </c>
      <c r="FC533" s="0" t="str">
        <f aca="false">IF(FB533="Y",Y533,"")</f>
        <v/>
      </c>
      <c r="FD533" s="0" t="str">
        <f aca="false">IF($A533="","",IF(AND(CK533="pass",AU533="Y",AV533&lt;&gt;"Y",U533="new",EW533="N"),"Y","N"))</f>
        <v/>
      </c>
      <c r="FE533" s="0" t="str">
        <f aca="false">IF(FD533&lt;&gt;"Y","",IF(COUNTIFS($FD$2:$FD$1000,"Y",$J$2:$J$1000,"&gt;"&amp;J533)+COUNTIFS($FD$2:$FD$1000,"Y",$J$2:$J$1000,J533,$FG$2:$FG$1000,"&lt;"&amp;FG533)+1&lt;=30,COUNTIFS($FD$2:$FD$1000,"Y",$J$2:$J$1000,"&gt;"&amp;J533)+COUNTIFS($FD$2:$FD$1000,"Y",$J$2:$J$1000,J533,$FG$2:$FG$1000,"&lt;"&amp;FG533)+1,""))</f>
        <v/>
      </c>
      <c r="FF533" s="0" t="str">
        <f aca="false">IF(AND(_xlfn.ISFORMULA(C533),_xlfn.ISFORMULA(J533)),"Y","N")</f>
        <v>Y</v>
      </c>
      <c r="FG533" s="0" t="n">
        <f aca="false">ROW()-1</f>
        <v>532</v>
      </c>
    </row>
    <row r="534" customFormat="false" ht="15" hidden="false" customHeight="false" outlineLevel="0" collapsed="false">
      <c r="C534" s="0" t="str">
        <f aca="false">IF($A534="","",IF(AT534="Y",BL534&amp;"",AY534&amp;""))</f>
        <v/>
      </c>
      <c r="D534" s="0" t="str">
        <f aca="false">IF($A534="","",IF(AT534="Y",BM534&amp;"",AZ534&amp;""))</f>
        <v/>
      </c>
      <c r="E534" s="0" t="str">
        <f aca="false">IF($A534="","",IF(AT534="Y",BN534&amp;"",BA534&amp;""))</f>
        <v/>
      </c>
      <c r="F534" s="0" t="str">
        <f aca="false">IF($A534="","",IF(AT534="Y",BO534&amp;"",BB534&amp;""))</f>
        <v/>
      </c>
      <c r="G534" s="0" t="str">
        <f aca="false">IF($A534="","",IF(AT534="Y",BP534&amp;"",BC534&amp;""))</f>
        <v/>
      </c>
      <c r="H534" s="0" t="str">
        <f aca="false">IF($A534="","",IF(AT534="Y",BQ534&amp;"",BD534&amp;""))</f>
        <v/>
      </c>
      <c r="I534" s="0" t="str">
        <f aca="false">IF($A534="","",IF(R534="Y","warm-intro",IF(H534="verified","email",IF(C534&lt;&gt;"","linkedin",CA534&amp;""))))</f>
        <v/>
      </c>
      <c r="J534" s="0" t="str">
        <f aca="false">IF($A534="","",IF(CK534="pass",ROUND(N(DO534)+N(DP534)+N(DQ534)+N(DR534)+N(DS534)+N(DT534)+N(DU534)+N(DV534),0),0))</f>
        <v/>
      </c>
      <c r="K534" s="0" t="str">
        <f aca="false">IF($A534="","",IF(CK534&lt;&gt;"pass",BY534&amp;"",BY534&amp;", "&amp;IF(AT534="Y",BX534&amp;"",BK534&amp;"")&amp;BZ534&amp;IF(R534="Y","; known to the founder (+10)","")&amp;"."))</f>
        <v/>
      </c>
      <c r="R534" s="5"/>
      <c r="T534" s="5"/>
      <c r="U534" s="5"/>
      <c r="Y534" s="0" t="str">
        <f aca="false">IF(FA534&lt;&gt;"Y","",COUNTIFS($FA$2:$FA$1000,"Y",$J$2:$J$1000,"&gt;"&amp;J534)+COUNTIFS($FA$2:$FA$1000,"Y",$J$2:$J$1000,J534,$FG$2:$FG$1000,"&lt;"&amp;FG534)+1)</f>
        <v/>
      </c>
      <c r="AB534" s="0" t="str">
        <f aca="false">IF($A534="","",IF(AT534="Y",BW534&amp;"",BJ534&amp;""))</f>
        <v/>
      </c>
      <c r="AC534" s="0" t="str">
        <f aca="false">IF($A534="","",IF(AT534="Y",BR534&amp;"",BE534&amp;""))</f>
        <v/>
      </c>
      <c r="AD534" s="0" t="str">
        <f aca="false">IF($A534="","",IF(AT534="Y",BS534&amp;"",BF534&amp;""))</f>
        <v/>
      </c>
      <c r="AE534" s="0" t="str">
        <f aca="false">IF($A534="","",IF(AT534="Y",BT534&amp;"",BG534&amp;""))</f>
        <v/>
      </c>
      <c r="AF534" s="0" t="str">
        <f aca="false">IF($A534="","",IF(AT534="Y",BU534&amp;"",BH534&amp;""))</f>
        <v/>
      </c>
      <c r="AG534" s="0" t="str">
        <f aca="false">IF($A534="","",IF(AT534="Y",BV534&amp;"",BI534&amp;""))</f>
        <v/>
      </c>
      <c r="AO534" s="5"/>
      <c r="AR534" s="0" t="str">
        <f aca="false">IF($A534="","",IF(AND(CK534="pass",AO534&lt;&gt;"Y",C534&lt;&gt;"",OR(AU534&lt;&gt;"Y",AV534="Y")),"Y","N"))</f>
        <v/>
      </c>
      <c r="AS534" s="0" t="str">
        <f aca="false">IF($A534="","",_xlfn.TEXTJOIN("; ",TRUE(),IF(CK534&lt;&gt;"pass","gated out",""),IF(AO534="Y","on hold: "&amp;AP534,""),IF(C534="","no contact named on an opened page",""),IF(AND(AU534="Y",AV534&lt;&gt;"Y"),"founder review pending (Founder review tab)","")))</f>
        <v/>
      </c>
      <c r="BC534" s="0" t="str">
        <f aca="false">IF($A534="","",IFERROR(INDEX(Enrichment!$A$2:$GZ$2000,MATCH($A534,INDEX(Enrichment!$A$2:$GZ$2000,0,MATCH("row_id",Enrichment!$A$1:$GZ$1,0)),0),MATCH("work_email",Enrichment!$A$1:$GZ$1,0))&amp;"",""))</f>
        <v/>
      </c>
      <c r="BD534" s="0" t="str">
        <f aca="false">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P534" s="0" t="str">
        <f aca="false">IF($A534="","",IFERROR(INDEX(Enrichment!$A$2:$GZ$2000,MATCH($A534,INDEX(Enrichment!$A$2:$GZ$2000,0,MATCH("row_id",Enrichment!$A$1:$GZ$1,0)),0),MATCH("backup_work_email",Enrichment!$A$1:$GZ$1,0))&amp;"",""))</f>
        <v/>
      </c>
      <c r="BQ534" s="0" t="str">
        <f aca="false">IF($A534="","",IF(BP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DU534" s="0" t="str">
        <f aca="false">IF($A534="","",IF(R534="Y",10,0))</f>
        <v/>
      </c>
      <c r="EV534" s="0" t="str">
        <f aca="false">IF($A534="","",IF(ISNUMBER(MATCH(U534,{"queued","contacted","replied","call_booked","call_done","yes_in_principle","materials_sent"},0)),"Y","N"))</f>
        <v/>
      </c>
      <c r="EW534" s="0" t="str">
        <f aca="false">IF($A534="","",IF(OR(T534="Y",U534="do_not_contact",AQ534&amp;""&lt;&gt;""),"Y","N"))</f>
        <v/>
      </c>
      <c r="EX534" s="0" t="str">
        <f aca="false">IF($A534="","",IF(AN534&amp;""&lt;&gt;"",AN534&amp;"",$A534))</f>
        <v/>
      </c>
      <c r="EY534" s="0" t="str">
        <f aca="false">IF($A534="","",IF(COUNTIFS($EX$2:$EX$1000,EX534,$EV$2:$EV$1000,"Y")+COUNTIFS($EX$2:$EX$1000,EX534,$EW$2:$EW$1000,"Y")&gt;0,"Y","N"))</f>
        <v/>
      </c>
      <c r="EZ534" s="0" t="str">
        <f aca="false">IF($A534="","",IF(AND(U534="new",T534="N",EW534="N",AR534="Y",EY534="N"),"Y","N"))</f>
        <v/>
      </c>
      <c r="FA534" s="0" t="str">
        <f aca="false">IF($A534="","",IF(EZ534&lt;&gt;"Y","N",IF(COUNTIFS($EX$2:$EX$1000,EX534,$EZ$2:$EZ$1000,"Y",$J$2:$J$1000,"&gt;"&amp;J534)+COUNTIFS($EX$2:$EX$1000,EX534,$EZ$2:$EZ$1000,"Y",$J$2:$J$1000,J534,$FG$2:$FG$1000,"&lt;"&amp;FG534)=0,"Y","N")))</f>
        <v/>
      </c>
      <c r="FB534" s="0" t="str">
        <f aca="false">IF($A534="","",IF(AND(EZ534="Y",FA534="Y",Y534&amp;""&lt;&gt;""),IF(Y534&lt;=10,"Y","N"),"N"))</f>
        <v/>
      </c>
      <c r="FC534" s="0" t="str">
        <f aca="false">IF(FB534="Y",Y534,"")</f>
        <v/>
      </c>
      <c r="FD534" s="0" t="str">
        <f aca="false">IF($A534="","",IF(AND(CK534="pass",AU534="Y",AV534&lt;&gt;"Y",U534="new",EW534="N"),"Y","N"))</f>
        <v/>
      </c>
      <c r="FE534" s="0" t="str">
        <f aca="false">IF(FD534&lt;&gt;"Y","",IF(COUNTIFS($FD$2:$FD$1000,"Y",$J$2:$J$1000,"&gt;"&amp;J534)+COUNTIFS($FD$2:$FD$1000,"Y",$J$2:$J$1000,J534,$FG$2:$FG$1000,"&lt;"&amp;FG534)+1&lt;=30,COUNTIFS($FD$2:$FD$1000,"Y",$J$2:$J$1000,"&gt;"&amp;J534)+COUNTIFS($FD$2:$FD$1000,"Y",$J$2:$J$1000,J534,$FG$2:$FG$1000,"&lt;"&amp;FG534)+1,""))</f>
        <v/>
      </c>
      <c r="FF534" s="0" t="str">
        <f aca="false">IF(AND(_xlfn.ISFORMULA(C534),_xlfn.ISFORMULA(J534)),"Y","N")</f>
        <v>Y</v>
      </c>
      <c r="FG534" s="0" t="n">
        <f aca="false">ROW()-1</f>
        <v>533</v>
      </c>
    </row>
    <row r="535" customFormat="false" ht="15" hidden="false" customHeight="false" outlineLevel="0" collapsed="false">
      <c r="C535" s="0" t="str">
        <f aca="false">IF($A535="","",IF(AT535="Y",BL535&amp;"",AY535&amp;""))</f>
        <v/>
      </c>
      <c r="D535" s="0" t="str">
        <f aca="false">IF($A535="","",IF(AT535="Y",BM535&amp;"",AZ535&amp;""))</f>
        <v/>
      </c>
      <c r="E535" s="0" t="str">
        <f aca="false">IF($A535="","",IF(AT535="Y",BN535&amp;"",BA535&amp;""))</f>
        <v/>
      </c>
      <c r="F535" s="0" t="str">
        <f aca="false">IF($A535="","",IF(AT535="Y",BO535&amp;"",BB535&amp;""))</f>
        <v/>
      </c>
      <c r="G535" s="0" t="str">
        <f aca="false">IF($A535="","",IF(AT535="Y",BP535&amp;"",BC535&amp;""))</f>
        <v/>
      </c>
      <c r="H535" s="0" t="str">
        <f aca="false">IF($A535="","",IF(AT535="Y",BQ535&amp;"",BD535&amp;""))</f>
        <v/>
      </c>
      <c r="I535" s="0" t="str">
        <f aca="false">IF($A535="","",IF(R535="Y","warm-intro",IF(H535="verified","email",IF(C535&lt;&gt;"","linkedin",CA535&amp;""))))</f>
        <v/>
      </c>
      <c r="J535" s="0" t="str">
        <f aca="false">IF($A535="","",IF(CK535="pass",ROUND(N(DO535)+N(DP535)+N(DQ535)+N(DR535)+N(DS535)+N(DT535)+N(DU535)+N(DV535),0),0))</f>
        <v/>
      </c>
      <c r="K535" s="0" t="str">
        <f aca="false">IF($A535="","",IF(CK535&lt;&gt;"pass",BY535&amp;"",BY535&amp;", "&amp;IF(AT535="Y",BX535&amp;"",BK535&amp;"")&amp;BZ535&amp;IF(R535="Y","; known to the founder (+10)","")&amp;"."))</f>
        <v/>
      </c>
      <c r="R535" s="5"/>
      <c r="T535" s="5"/>
      <c r="U535" s="5"/>
      <c r="Y535" s="0" t="str">
        <f aca="false">IF(FA535&lt;&gt;"Y","",COUNTIFS($FA$2:$FA$1000,"Y",$J$2:$J$1000,"&gt;"&amp;J535)+COUNTIFS($FA$2:$FA$1000,"Y",$J$2:$J$1000,J535,$FG$2:$FG$1000,"&lt;"&amp;FG535)+1)</f>
        <v/>
      </c>
      <c r="AB535" s="0" t="str">
        <f aca="false">IF($A535="","",IF(AT535="Y",BW535&amp;"",BJ535&amp;""))</f>
        <v/>
      </c>
      <c r="AC535" s="0" t="str">
        <f aca="false">IF($A535="","",IF(AT535="Y",BR535&amp;"",BE535&amp;""))</f>
        <v/>
      </c>
      <c r="AD535" s="0" t="str">
        <f aca="false">IF($A535="","",IF(AT535="Y",BS535&amp;"",BF535&amp;""))</f>
        <v/>
      </c>
      <c r="AE535" s="0" t="str">
        <f aca="false">IF($A535="","",IF(AT535="Y",BT535&amp;"",BG535&amp;""))</f>
        <v/>
      </c>
      <c r="AF535" s="0" t="str">
        <f aca="false">IF($A535="","",IF(AT535="Y",BU535&amp;"",BH535&amp;""))</f>
        <v/>
      </c>
      <c r="AG535" s="0" t="str">
        <f aca="false">IF($A535="","",IF(AT535="Y",BV535&amp;"",BI535&amp;""))</f>
        <v/>
      </c>
      <c r="AO535" s="5"/>
      <c r="AR535" s="0" t="str">
        <f aca="false">IF($A535="","",IF(AND(CK535="pass",AO535&lt;&gt;"Y",C535&lt;&gt;"",OR(AU535&lt;&gt;"Y",AV535="Y")),"Y","N"))</f>
        <v/>
      </c>
      <c r="AS535" s="0" t="str">
        <f aca="false">IF($A535="","",_xlfn.TEXTJOIN("; ",TRUE(),IF(CK535&lt;&gt;"pass","gated out",""),IF(AO535="Y","on hold: "&amp;AP535,""),IF(C535="","no contact named on an opened page",""),IF(AND(AU535="Y",AV535&lt;&gt;"Y"),"founder review pending (Founder review tab)","")))</f>
        <v/>
      </c>
      <c r="BC535" s="0" t="str">
        <f aca="false">IF($A535="","",IFERROR(INDEX(Enrichment!$A$2:$GZ$2000,MATCH($A535,INDEX(Enrichment!$A$2:$GZ$2000,0,MATCH("row_id",Enrichment!$A$1:$GZ$1,0)),0),MATCH("work_email",Enrichment!$A$1:$GZ$1,0))&amp;"",""))</f>
        <v/>
      </c>
      <c r="BD535" s="0" t="str">
        <f aca="false">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P535" s="0" t="str">
        <f aca="false">IF($A535="","",IFERROR(INDEX(Enrichment!$A$2:$GZ$2000,MATCH($A535,INDEX(Enrichment!$A$2:$GZ$2000,0,MATCH("row_id",Enrichment!$A$1:$GZ$1,0)),0),MATCH("backup_work_email",Enrichment!$A$1:$GZ$1,0))&amp;"",""))</f>
        <v/>
      </c>
      <c r="BQ535" s="0" t="str">
        <f aca="false">IF($A535="","",IF(BP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DU535" s="0" t="str">
        <f aca="false">IF($A535="","",IF(R535="Y",10,0))</f>
        <v/>
      </c>
      <c r="EV535" s="0" t="str">
        <f aca="false">IF($A535="","",IF(ISNUMBER(MATCH(U535,{"queued","contacted","replied","call_booked","call_done","yes_in_principle","materials_sent"},0)),"Y","N"))</f>
        <v/>
      </c>
      <c r="EW535" s="0" t="str">
        <f aca="false">IF($A535="","",IF(OR(T535="Y",U535="do_not_contact",AQ535&amp;""&lt;&gt;""),"Y","N"))</f>
        <v/>
      </c>
      <c r="EX535" s="0" t="str">
        <f aca="false">IF($A535="","",IF(AN535&amp;""&lt;&gt;"",AN535&amp;"",$A535))</f>
        <v/>
      </c>
      <c r="EY535" s="0" t="str">
        <f aca="false">IF($A535="","",IF(COUNTIFS($EX$2:$EX$1000,EX535,$EV$2:$EV$1000,"Y")+COUNTIFS($EX$2:$EX$1000,EX535,$EW$2:$EW$1000,"Y")&gt;0,"Y","N"))</f>
        <v/>
      </c>
      <c r="EZ535" s="0" t="str">
        <f aca="false">IF($A535="","",IF(AND(U535="new",T535="N",EW535="N",AR535="Y",EY535="N"),"Y","N"))</f>
        <v/>
      </c>
      <c r="FA535" s="0" t="str">
        <f aca="false">IF($A535="","",IF(EZ535&lt;&gt;"Y","N",IF(COUNTIFS($EX$2:$EX$1000,EX535,$EZ$2:$EZ$1000,"Y",$J$2:$J$1000,"&gt;"&amp;J535)+COUNTIFS($EX$2:$EX$1000,EX535,$EZ$2:$EZ$1000,"Y",$J$2:$J$1000,J535,$FG$2:$FG$1000,"&lt;"&amp;FG535)=0,"Y","N")))</f>
        <v/>
      </c>
      <c r="FB535" s="0" t="str">
        <f aca="false">IF($A535="","",IF(AND(EZ535="Y",FA535="Y",Y535&amp;""&lt;&gt;""),IF(Y535&lt;=10,"Y","N"),"N"))</f>
        <v/>
      </c>
      <c r="FC535" s="0" t="str">
        <f aca="false">IF(FB535="Y",Y535,"")</f>
        <v/>
      </c>
      <c r="FD535" s="0" t="str">
        <f aca="false">IF($A535="","",IF(AND(CK535="pass",AU535="Y",AV535&lt;&gt;"Y",U535="new",EW535="N"),"Y","N"))</f>
        <v/>
      </c>
      <c r="FE535" s="0" t="str">
        <f aca="false">IF(FD535&lt;&gt;"Y","",IF(COUNTIFS($FD$2:$FD$1000,"Y",$J$2:$J$1000,"&gt;"&amp;J535)+COUNTIFS($FD$2:$FD$1000,"Y",$J$2:$J$1000,J535,$FG$2:$FG$1000,"&lt;"&amp;FG535)+1&lt;=30,COUNTIFS($FD$2:$FD$1000,"Y",$J$2:$J$1000,"&gt;"&amp;J535)+COUNTIFS($FD$2:$FD$1000,"Y",$J$2:$J$1000,J535,$FG$2:$FG$1000,"&lt;"&amp;FG535)+1,""))</f>
        <v/>
      </c>
      <c r="FF535" s="0" t="str">
        <f aca="false">IF(AND(_xlfn.ISFORMULA(C535),_xlfn.ISFORMULA(J535)),"Y","N")</f>
        <v>Y</v>
      </c>
      <c r="FG535" s="0" t="n">
        <f aca="false">ROW()-1</f>
        <v>534</v>
      </c>
    </row>
    <row r="536" customFormat="false" ht="15" hidden="false" customHeight="false" outlineLevel="0" collapsed="false">
      <c r="C536" s="0" t="str">
        <f aca="false">IF($A536="","",IF(AT536="Y",BL536&amp;"",AY536&amp;""))</f>
        <v/>
      </c>
      <c r="D536" s="0" t="str">
        <f aca="false">IF($A536="","",IF(AT536="Y",BM536&amp;"",AZ536&amp;""))</f>
        <v/>
      </c>
      <c r="E536" s="0" t="str">
        <f aca="false">IF($A536="","",IF(AT536="Y",BN536&amp;"",BA536&amp;""))</f>
        <v/>
      </c>
      <c r="F536" s="0" t="str">
        <f aca="false">IF($A536="","",IF(AT536="Y",BO536&amp;"",BB536&amp;""))</f>
        <v/>
      </c>
      <c r="G536" s="0" t="str">
        <f aca="false">IF($A536="","",IF(AT536="Y",BP536&amp;"",BC536&amp;""))</f>
        <v/>
      </c>
      <c r="H536" s="0" t="str">
        <f aca="false">IF($A536="","",IF(AT536="Y",BQ536&amp;"",BD536&amp;""))</f>
        <v/>
      </c>
      <c r="I536" s="0" t="str">
        <f aca="false">IF($A536="","",IF(R536="Y","warm-intro",IF(H536="verified","email",IF(C536&lt;&gt;"","linkedin",CA536&amp;""))))</f>
        <v/>
      </c>
      <c r="J536" s="0" t="str">
        <f aca="false">IF($A536="","",IF(CK536="pass",ROUND(N(DO536)+N(DP536)+N(DQ536)+N(DR536)+N(DS536)+N(DT536)+N(DU536)+N(DV536),0),0))</f>
        <v/>
      </c>
      <c r="K536" s="0" t="str">
        <f aca="false">IF($A536="","",IF(CK536&lt;&gt;"pass",BY536&amp;"",BY536&amp;", "&amp;IF(AT536="Y",BX536&amp;"",BK536&amp;"")&amp;BZ536&amp;IF(R536="Y","; known to the founder (+10)","")&amp;"."))</f>
        <v/>
      </c>
      <c r="R536" s="5"/>
      <c r="T536" s="5"/>
      <c r="U536" s="5"/>
      <c r="Y536" s="0" t="str">
        <f aca="false">IF(FA536&lt;&gt;"Y","",COUNTIFS($FA$2:$FA$1000,"Y",$J$2:$J$1000,"&gt;"&amp;J536)+COUNTIFS($FA$2:$FA$1000,"Y",$J$2:$J$1000,J536,$FG$2:$FG$1000,"&lt;"&amp;FG536)+1)</f>
        <v/>
      </c>
      <c r="AB536" s="0" t="str">
        <f aca="false">IF($A536="","",IF(AT536="Y",BW536&amp;"",BJ536&amp;""))</f>
        <v/>
      </c>
      <c r="AC536" s="0" t="str">
        <f aca="false">IF($A536="","",IF(AT536="Y",BR536&amp;"",BE536&amp;""))</f>
        <v/>
      </c>
      <c r="AD536" s="0" t="str">
        <f aca="false">IF($A536="","",IF(AT536="Y",BS536&amp;"",BF536&amp;""))</f>
        <v/>
      </c>
      <c r="AE536" s="0" t="str">
        <f aca="false">IF($A536="","",IF(AT536="Y",BT536&amp;"",BG536&amp;""))</f>
        <v/>
      </c>
      <c r="AF536" s="0" t="str">
        <f aca="false">IF($A536="","",IF(AT536="Y",BU536&amp;"",BH536&amp;""))</f>
        <v/>
      </c>
      <c r="AG536" s="0" t="str">
        <f aca="false">IF($A536="","",IF(AT536="Y",BV536&amp;"",BI536&amp;""))</f>
        <v/>
      </c>
      <c r="AO536" s="5"/>
      <c r="AR536" s="0" t="str">
        <f aca="false">IF($A536="","",IF(AND(CK536="pass",AO536&lt;&gt;"Y",C536&lt;&gt;"",OR(AU536&lt;&gt;"Y",AV536="Y")),"Y","N"))</f>
        <v/>
      </c>
      <c r="AS536" s="0" t="str">
        <f aca="false">IF($A536="","",_xlfn.TEXTJOIN("; ",TRUE(),IF(CK536&lt;&gt;"pass","gated out",""),IF(AO536="Y","on hold: "&amp;AP536,""),IF(C536="","no contact named on an opened page",""),IF(AND(AU536="Y",AV536&lt;&gt;"Y"),"founder review pending (Founder review tab)","")))</f>
        <v/>
      </c>
      <c r="BC536" s="0" t="str">
        <f aca="false">IF($A536="","",IFERROR(INDEX(Enrichment!$A$2:$GZ$2000,MATCH($A536,INDEX(Enrichment!$A$2:$GZ$2000,0,MATCH("row_id",Enrichment!$A$1:$GZ$1,0)),0),MATCH("work_email",Enrichment!$A$1:$GZ$1,0))&amp;"",""))</f>
        <v/>
      </c>
      <c r="BD536" s="0" t="str">
        <f aca="false">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P536" s="0" t="str">
        <f aca="false">IF($A536="","",IFERROR(INDEX(Enrichment!$A$2:$GZ$2000,MATCH($A536,INDEX(Enrichment!$A$2:$GZ$2000,0,MATCH("row_id",Enrichment!$A$1:$GZ$1,0)),0),MATCH("backup_work_email",Enrichment!$A$1:$GZ$1,0))&amp;"",""))</f>
        <v/>
      </c>
      <c r="BQ536" s="0" t="str">
        <f aca="false">IF($A536="","",IF(BP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DU536" s="0" t="str">
        <f aca="false">IF($A536="","",IF(R536="Y",10,0))</f>
        <v/>
      </c>
      <c r="EV536" s="0" t="str">
        <f aca="false">IF($A536="","",IF(ISNUMBER(MATCH(U536,{"queued","contacted","replied","call_booked","call_done","yes_in_principle","materials_sent"},0)),"Y","N"))</f>
        <v/>
      </c>
      <c r="EW536" s="0" t="str">
        <f aca="false">IF($A536="","",IF(OR(T536="Y",U536="do_not_contact",AQ536&amp;""&lt;&gt;""),"Y","N"))</f>
        <v/>
      </c>
      <c r="EX536" s="0" t="str">
        <f aca="false">IF($A536="","",IF(AN536&amp;""&lt;&gt;"",AN536&amp;"",$A536))</f>
        <v/>
      </c>
      <c r="EY536" s="0" t="str">
        <f aca="false">IF($A536="","",IF(COUNTIFS($EX$2:$EX$1000,EX536,$EV$2:$EV$1000,"Y")+COUNTIFS($EX$2:$EX$1000,EX536,$EW$2:$EW$1000,"Y")&gt;0,"Y","N"))</f>
        <v/>
      </c>
      <c r="EZ536" s="0" t="str">
        <f aca="false">IF($A536="","",IF(AND(U536="new",T536="N",EW536="N",AR536="Y",EY536="N"),"Y","N"))</f>
        <v/>
      </c>
      <c r="FA536" s="0" t="str">
        <f aca="false">IF($A536="","",IF(EZ536&lt;&gt;"Y","N",IF(COUNTIFS($EX$2:$EX$1000,EX536,$EZ$2:$EZ$1000,"Y",$J$2:$J$1000,"&gt;"&amp;J536)+COUNTIFS($EX$2:$EX$1000,EX536,$EZ$2:$EZ$1000,"Y",$J$2:$J$1000,J536,$FG$2:$FG$1000,"&lt;"&amp;FG536)=0,"Y","N")))</f>
        <v/>
      </c>
      <c r="FB536" s="0" t="str">
        <f aca="false">IF($A536="","",IF(AND(EZ536="Y",FA536="Y",Y536&amp;""&lt;&gt;""),IF(Y536&lt;=10,"Y","N"),"N"))</f>
        <v/>
      </c>
      <c r="FC536" s="0" t="str">
        <f aca="false">IF(FB536="Y",Y536,"")</f>
        <v/>
      </c>
      <c r="FD536" s="0" t="str">
        <f aca="false">IF($A536="","",IF(AND(CK536="pass",AU536="Y",AV536&lt;&gt;"Y",U536="new",EW536="N"),"Y","N"))</f>
        <v/>
      </c>
      <c r="FE536" s="0" t="str">
        <f aca="false">IF(FD536&lt;&gt;"Y","",IF(COUNTIFS($FD$2:$FD$1000,"Y",$J$2:$J$1000,"&gt;"&amp;J536)+COUNTIFS($FD$2:$FD$1000,"Y",$J$2:$J$1000,J536,$FG$2:$FG$1000,"&lt;"&amp;FG536)+1&lt;=30,COUNTIFS($FD$2:$FD$1000,"Y",$J$2:$J$1000,"&gt;"&amp;J536)+COUNTIFS($FD$2:$FD$1000,"Y",$J$2:$J$1000,J536,$FG$2:$FG$1000,"&lt;"&amp;FG536)+1,""))</f>
        <v/>
      </c>
      <c r="FF536" s="0" t="str">
        <f aca="false">IF(AND(_xlfn.ISFORMULA(C536),_xlfn.ISFORMULA(J536)),"Y","N")</f>
        <v>Y</v>
      </c>
      <c r="FG536" s="0" t="n">
        <f aca="false">ROW()-1</f>
        <v>535</v>
      </c>
    </row>
    <row r="537" customFormat="false" ht="15" hidden="false" customHeight="false" outlineLevel="0" collapsed="false">
      <c r="C537" s="0" t="str">
        <f aca="false">IF($A537="","",IF(AT537="Y",BL537&amp;"",AY537&amp;""))</f>
        <v/>
      </c>
      <c r="D537" s="0" t="str">
        <f aca="false">IF($A537="","",IF(AT537="Y",BM537&amp;"",AZ537&amp;""))</f>
        <v/>
      </c>
      <c r="E537" s="0" t="str">
        <f aca="false">IF($A537="","",IF(AT537="Y",BN537&amp;"",BA537&amp;""))</f>
        <v/>
      </c>
      <c r="F537" s="0" t="str">
        <f aca="false">IF($A537="","",IF(AT537="Y",BO537&amp;"",BB537&amp;""))</f>
        <v/>
      </c>
      <c r="G537" s="0" t="str">
        <f aca="false">IF($A537="","",IF(AT537="Y",BP537&amp;"",BC537&amp;""))</f>
        <v/>
      </c>
      <c r="H537" s="0" t="str">
        <f aca="false">IF($A537="","",IF(AT537="Y",BQ537&amp;"",BD537&amp;""))</f>
        <v/>
      </c>
      <c r="I537" s="0" t="str">
        <f aca="false">IF($A537="","",IF(R537="Y","warm-intro",IF(H537="verified","email",IF(C537&lt;&gt;"","linkedin",CA537&amp;""))))</f>
        <v/>
      </c>
      <c r="J537" s="0" t="str">
        <f aca="false">IF($A537="","",IF(CK537="pass",ROUND(N(DO537)+N(DP537)+N(DQ537)+N(DR537)+N(DS537)+N(DT537)+N(DU537)+N(DV537),0),0))</f>
        <v/>
      </c>
      <c r="K537" s="0" t="str">
        <f aca="false">IF($A537="","",IF(CK537&lt;&gt;"pass",BY537&amp;"",BY537&amp;", "&amp;IF(AT537="Y",BX537&amp;"",BK537&amp;"")&amp;BZ537&amp;IF(R537="Y","; known to the founder (+10)","")&amp;"."))</f>
        <v/>
      </c>
      <c r="R537" s="5"/>
      <c r="T537" s="5"/>
      <c r="U537" s="5"/>
      <c r="Y537" s="0" t="str">
        <f aca="false">IF(FA537&lt;&gt;"Y","",COUNTIFS($FA$2:$FA$1000,"Y",$J$2:$J$1000,"&gt;"&amp;J537)+COUNTIFS($FA$2:$FA$1000,"Y",$J$2:$J$1000,J537,$FG$2:$FG$1000,"&lt;"&amp;FG537)+1)</f>
        <v/>
      </c>
      <c r="AB537" s="0" t="str">
        <f aca="false">IF($A537="","",IF(AT537="Y",BW537&amp;"",BJ537&amp;""))</f>
        <v/>
      </c>
      <c r="AC537" s="0" t="str">
        <f aca="false">IF($A537="","",IF(AT537="Y",BR537&amp;"",BE537&amp;""))</f>
        <v/>
      </c>
      <c r="AD537" s="0" t="str">
        <f aca="false">IF($A537="","",IF(AT537="Y",BS537&amp;"",BF537&amp;""))</f>
        <v/>
      </c>
      <c r="AE537" s="0" t="str">
        <f aca="false">IF($A537="","",IF(AT537="Y",BT537&amp;"",BG537&amp;""))</f>
        <v/>
      </c>
      <c r="AF537" s="0" t="str">
        <f aca="false">IF($A537="","",IF(AT537="Y",BU537&amp;"",BH537&amp;""))</f>
        <v/>
      </c>
      <c r="AG537" s="0" t="str">
        <f aca="false">IF($A537="","",IF(AT537="Y",BV537&amp;"",BI537&amp;""))</f>
        <v/>
      </c>
      <c r="AO537" s="5"/>
      <c r="AR537" s="0" t="str">
        <f aca="false">IF($A537="","",IF(AND(CK537="pass",AO537&lt;&gt;"Y",C537&lt;&gt;"",OR(AU537&lt;&gt;"Y",AV537="Y")),"Y","N"))</f>
        <v/>
      </c>
      <c r="AS537" s="0" t="str">
        <f aca="false">IF($A537="","",_xlfn.TEXTJOIN("; ",TRUE(),IF(CK537&lt;&gt;"pass","gated out",""),IF(AO537="Y","on hold: "&amp;AP537,""),IF(C537="","no contact named on an opened page",""),IF(AND(AU537="Y",AV537&lt;&gt;"Y"),"founder review pending (Founder review tab)","")))</f>
        <v/>
      </c>
      <c r="BC537" s="0" t="str">
        <f aca="false">IF($A537="","",IFERROR(INDEX(Enrichment!$A$2:$GZ$2000,MATCH($A537,INDEX(Enrichment!$A$2:$GZ$2000,0,MATCH("row_id",Enrichment!$A$1:$GZ$1,0)),0),MATCH("work_email",Enrichment!$A$1:$GZ$1,0))&amp;"",""))</f>
        <v/>
      </c>
      <c r="BD537" s="0" t="str">
        <f aca="false">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P537" s="0" t="str">
        <f aca="false">IF($A537="","",IFERROR(INDEX(Enrichment!$A$2:$GZ$2000,MATCH($A537,INDEX(Enrichment!$A$2:$GZ$2000,0,MATCH("row_id",Enrichment!$A$1:$GZ$1,0)),0),MATCH("backup_work_email",Enrichment!$A$1:$GZ$1,0))&amp;"",""))</f>
        <v/>
      </c>
      <c r="BQ537" s="0" t="str">
        <f aca="false">IF($A537="","",IF(BP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DU537" s="0" t="str">
        <f aca="false">IF($A537="","",IF(R537="Y",10,0))</f>
        <v/>
      </c>
      <c r="EV537" s="0" t="str">
        <f aca="false">IF($A537="","",IF(ISNUMBER(MATCH(U537,{"queued","contacted","replied","call_booked","call_done","yes_in_principle","materials_sent"},0)),"Y","N"))</f>
        <v/>
      </c>
      <c r="EW537" s="0" t="str">
        <f aca="false">IF($A537="","",IF(OR(T537="Y",U537="do_not_contact",AQ537&amp;""&lt;&gt;""),"Y","N"))</f>
        <v/>
      </c>
      <c r="EX537" s="0" t="str">
        <f aca="false">IF($A537="","",IF(AN537&amp;""&lt;&gt;"",AN537&amp;"",$A537))</f>
        <v/>
      </c>
      <c r="EY537" s="0" t="str">
        <f aca="false">IF($A537="","",IF(COUNTIFS($EX$2:$EX$1000,EX537,$EV$2:$EV$1000,"Y")+COUNTIFS($EX$2:$EX$1000,EX537,$EW$2:$EW$1000,"Y")&gt;0,"Y","N"))</f>
        <v/>
      </c>
      <c r="EZ537" s="0" t="str">
        <f aca="false">IF($A537="","",IF(AND(U537="new",T537="N",EW537="N",AR537="Y",EY537="N"),"Y","N"))</f>
        <v/>
      </c>
      <c r="FA537" s="0" t="str">
        <f aca="false">IF($A537="","",IF(EZ537&lt;&gt;"Y","N",IF(COUNTIFS($EX$2:$EX$1000,EX537,$EZ$2:$EZ$1000,"Y",$J$2:$J$1000,"&gt;"&amp;J537)+COUNTIFS($EX$2:$EX$1000,EX537,$EZ$2:$EZ$1000,"Y",$J$2:$J$1000,J537,$FG$2:$FG$1000,"&lt;"&amp;FG537)=0,"Y","N")))</f>
        <v/>
      </c>
      <c r="FB537" s="0" t="str">
        <f aca="false">IF($A537="","",IF(AND(EZ537="Y",FA537="Y",Y537&amp;""&lt;&gt;""),IF(Y537&lt;=10,"Y","N"),"N"))</f>
        <v/>
      </c>
      <c r="FC537" s="0" t="str">
        <f aca="false">IF(FB537="Y",Y537,"")</f>
        <v/>
      </c>
      <c r="FD537" s="0" t="str">
        <f aca="false">IF($A537="","",IF(AND(CK537="pass",AU537="Y",AV537&lt;&gt;"Y",U537="new",EW537="N"),"Y","N"))</f>
        <v/>
      </c>
      <c r="FE537" s="0" t="str">
        <f aca="false">IF(FD537&lt;&gt;"Y","",IF(COUNTIFS($FD$2:$FD$1000,"Y",$J$2:$J$1000,"&gt;"&amp;J537)+COUNTIFS($FD$2:$FD$1000,"Y",$J$2:$J$1000,J537,$FG$2:$FG$1000,"&lt;"&amp;FG537)+1&lt;=30,COUNTIFS($FD$2:$FD$1000,"Y",$J$2:$J$1000,"&gt;"&amp;J537)+COUNTIFS($FD$2:$FD$1000,"Y",$J$2:$J$1000,J537,$FG$2:$FG$1000,"&lt;"&amp;FG537)+1,""))</f>
        <v/>
      </c>
      <c r="FF537" s="0" t="str">
        <f aca="false">IF(AND(_xlfn.ISFORMULA(C537),_xlfn.ISFORMULA(J537)),"Y","N")</f>
        <v>Y</v>
      </c>
      <c r="FG537" s="0" t="n">
        <f aca="false">ROW()-1</f>
        <v>536</v>
      </c>
    </row>
    <row r="538" customFormat="false" ht="15" hidden="false" customHeight="false" outlineLevel="0" collapsed="false">
      <c r="C538" s="0" t="str">
        <f aca="false">IF($A538="","",IF(AT538="Y",BL538&amp;"",AY538&amp;""))</f>
        <v/>
      </c>
      <c r="D538" s="0" t="str">
        <f aca="false">IF($A538="","",IF(AT538="Y",BM538&amp;"",AZ538&amp;""))</f>
        <v/>
      </c>
      <c r="E538" s="0" t="str">
        <f aca="false">IF($A538="","",IF(AT538="Y",BN538&amp;"",BA538&amp;""))</f>
        <v/>
      </c>
      <c r="F538" s="0" t="str">
        <f aca="false">IF($A538="","",IF(AT538="Y",BO538&amp;"",BB538&amp;""))</f>
        <v/>
      </c>
      <c r="G538" s="0" t="str">
        <f aca="false">IF($A538="","",IF(AT538="Y",BP538&amp;"",BC538&amp;""))</f>
        <v/>
      </c>
      <c r="H538" s="0" t="str">
        <f aca="false">IF($A538="","",IF(AT538="Y",BQ538&amp;"",BD538&amp;""))</f>
        <v/>
      </c>
      <c r="I538" s="0" t="str">
        <f aca="false">IF($A538="","",IF(R538="Y","warm-intro",IF(H538="verified","email",IF(C538&lt;&gt;"","linkedin",CA538&amp;""))))</f>
        <v/>
      </c>
      <c r="J538" s="0" t="str">
        <f aca="false">IF($A538="","",IF(CK538="pass",ROUND(N(DO538)+N(DP538)+N(DQ538)+N(DR538)+N(DS538)+N(DT538)+N(DU538)+N(DV538),0),0))</f>
        <v/>
      </c>
      <c r="K538" s="0" t="str">
        <f aca="false">IF($A538="","",IF(CK538&lt;&gt;"pass",BY538&amp;"",BY538&amp;", "&amp;IF(AT538="Y",BX538&amp;"",BK538&amp;"")&amp;BZ538&amp;IF(R538="Y","; known to the founder (+10)","")&amp;"."))</f>
        <v/>
      </c>
      <c r="R538" s="5"/>
      <c r="T538" s="5"/>
      <c r="U538" s="5"/>
      <c r="Y538" s="0" t="str">
        <f aca="false">IF(FA538&lt;&gt;"Y","",COUNTIFS($FA$2:$FA$1000,"Y",$J$2:$J$1000,"&gt;"&amp;J538)+COUNTIFS($FA$2:$FA$1000,"Y",$J$2:$J$1000,J538,$FG$2:$FG$1000,"&lt;"&amp;FG538)+1)</f>
        <v/>
      </c>
      <c r="AB538" s="0" t="str">
        <f aca="false">IF($A538="","",IF(AT538="Y",BW538&amp;"",BJ538&amp;""))</f>
        <v/>
      </c>
      <c r="AC538" s="0" t="str">
        <f aca="false">IF($A538="","",IF(AT538="Y",BR538&amp;"",BE538&amp;""))</f>
        <v/>
      </c>
      <c r="AD538" s="0" t="str">
        <f aca="false">IF($A538="","",IF(AT538="Y",BS538&amp;"",BF538&amp;""))</f>
        <v/>
      </c>
      <c r="AE538" s="0" t="str">
        <f aca="false">IF($A538="","",IF(AT538="Y",BT538&amp;"",BG538&amp;""))</f>
        <v/>
      </c>
      <c r="AF538" s="0" t="str">
        <f aca="false">IF($A538="","",IF(AT538="Y",BU538&amp;"",BH538&amp;""))</f>
        <v/>
      </c>
      <c r="AG538" s="0" t="str">
        <f aca="false">IF($A538="","",IF(AT538="Y",BV538&amp;"",BI538&amp;""))</f>
        <v/>
      </c>
      <c r="AO538" s="5"/>
      <c r="AR538" s="0" t="str">
        <f aca="false">IF($A538="","",IF(AND(CK538="pass",AO538&lt;&gt;"Y",C538&lt;&gt;"",OR(AU538&lt;&gt;"Y",AV538="Y")),"Y","N"))</f>
        <v/>
      </c>
      <c r="AS538" s="0" t="str">
        <f aca="false">IF($A538="","",_xlfn.TEXTJOIN("; ",TRUE(),IF(CK538&lt;&gt;"pass","gated out",""),IF(AO538="Y","on hold: "&amp;AP538,""),IF(C538="","no contact named on an opened page",""),IF(AND(AU538="Y",AV538&lt;&gt;"Y"),"founder review pending (Founder review tab)","")))</f>
        <v/>
      </c>
      <c r="BC538" s="0" t="str">
        <f aca="false">IF($A538="","",IFERROR(INDEX(Enrichment!$A$2:$GZ$2000,MATCH($A538,INDEX(Enrichment!$A$2:$GZ$2000,0,MATCH("row_id",Enrichment!$A$1:$GZ$1,0)),0),MATCH("work_email",Enrichment!$A$1:$GZ$1,0))&amp;"",""))</f>
        <v/>
      </c>
      <c r="BD538" s="0" t="str">
        <f aca="false">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P538" s="0" t="str">
        <f aca="false">IF($A538="","",IFERROR(INDEX(Enrichment!$A$2:$GZ$2000,MATCH($A538,INDEX(Enrichment!$A$2:$GZ$2000,0,MATCH("row_id",Enrichment!$A$1:$GZ$1,0)),0),MATCH("backup_work_email",Enrichment!$A$1:$GZ$1,0))&amp;"",""))</f>
        <v/>
      </c>
      <c r="BQ538" s="0" t="str">
        <f aca="false">IF($A538="","",IF(BP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DU538" s="0" t="str">
        <f aca="false">IF($A538="","",IF(R538="Y",10,0))</f>
        <v/>
      </c>
      <c r="EV538" s="0" t="str">
        <f aca="false">IF($A538="","",IF(ISNUMBER(MATCH(U538,{"queued","contacted","replied","call_booked","call_done","yes_in_principle","materials_sent"},0)),"Y","N"))</f>
        <v/>
      </c>
      <c r="EW538" s="0" t="str">
        <f aca="false">IF($A538="","",IF(OR(T538="Y",U538="do_not_contact",AQ538&amp;""&lt;&gt;""),"Y","N"))</f>
        <v/>
      </c>
      <c r="EX538" s="0" t="str">
        <f aca="false">IF($A538="","",IF(AN538&amp;""&lt;&gt;"",AN538&amp;"",$A538))</f>
        <v/>
      </c>
      <c r="EY538" s="0" t="str">
        <f aca="false">IF($A538="","",IF(COUNTIFS($EX$2:$EX$1000,EX538,$EV$2:$EV$1000,"Y")+COUNTIFS($EX$2:$EX$1000,EX538,$EW$2:$EW$1000,"Y")&gt;0,"Y","N"))</f>
        <v/>
      </c>
      <c r="EZ538" s="0" t="str">
        <f aca="false">IF($A538="","",IF(AND(U538="new",T538="N",EW538="N",AR538="Y",EY538="N"),"Y","N"))</f>
        <v/>
      </c>
      <c r="FA538" s="0" t="str">
        <f aca="false">IF($A538="","",IF(EZ538&lt;&gt;"Y","N",IF(COUNTIFS($EX$2:$EX$1000,EX538,$EZ$2:$EZ$1000,"Y",$J$2:$J$1000,"&gt;"&amp;J538)+COUNTIFS($EX$2:$EX$1000,EX538,$EZ$2:$EZ$1000,"Y",$J$2:$J$1000,J538,$FG$2:$FG$1000,"&lt;"&amp;FG538)=0,"Y","N")))</f>
        <v/>
      </c>
      <c r="FB538" s="0" t="str">
        <f aca="false">IF($A538="","",IF(AND(EZ538="Y",FA538="Y",Y538&amp;""&lt;&gt;""),IF(Y538&lt;=10,"Y","N"),"N"))</f>
        <v/>
      </c>
      <c r="FC538" s="0" t="str">
        <f aca="false">IF(FB538="Y",Y538,"")</f>
        <v/>
      </c>
      <c r="FD538" s="0" t="str">
        <f aca="false">IF($A538="","",IF(AND(CK538="pass",AU538="Y",AV538&lt;&gt;"Y",U538="new",EW538="N"),"Y","N"))</f>
        <v/>
      </c>
      <c r="FE538" s="0" t="str">
        <f aca="false">IF(FD538&lt;&gt;"Y","",IF(COUNTIFS($FD$2:$FD$1000,"Y",$J$2:$J$1000,"&gt;"&amp;J538)+COUNTIFS($FD$2:$FD$1000,"Y",$J$2:$J$1000,J538,$FG$2:$FG$1000,"&lt;"&amp;FG538)+1&lt;=30,COUNTIFS($FD$2:$FD$1000,"Y",$J$2:$J$1000,"&gt;"&amp;J538)+COUNTIFS($FD$2:$FD$1000,"Y",$J$2:$J$1000,J538,$FG$2:$FG$1000,"&lt;"&amp;FG538)+1,""))</f>
        <v/>
      </c>
      <c r="FF538" s="0" t="str">
        <f aca="false">IF(AND(_xlfn.ISFORMULA(C538),_xlfn.ISFORMULA(J538)),"Y","N")</f>
        <v>Y</v>
      </c>
      <c r="FG538" s="0" t="n">
        <f aca="false">ROW()-1</f>
        <v>537</v>
      </c>
    </row>
    <row r="539" customFormat="false" ht="15" hidden="false" customHeight="false" outlineLevel="0" collapsed="false">
      <c r="C539" s="0" t="str">
        <f aca="false">IF($A539="","",IF(AT539="Y",BL539&amp;"",AY539&amp;""))</f>
        <v/>
      </c>
      <c r="D539" s="0" t="str">
        <f aca="false">IF($A539="","",IF(AT539="Y",BM539&amp;"",AZ539&amp;""))</f>
        <v/>
      </c>
      <c r="E539" s="0" t="str">
        <f aca="false">IF($A539="","",IF(AT539="Y",BN539&amp;"",BA539&amp;""))</f>
        <v/>
      </c>
      <c r="F539" s="0" t="str">
        <f aca="false">IF($A539="","",IF(AT539="Y",BO539&amp;"",BB539&amp;""))</f>
        <v/>
      </c>
      <c r="G539" s="0" t="str">
        <f aca="false">IF($A539="","",IF(AT539="Y",BP539&amp;"",BC539&amp;""))</f>
        <v/>
      </c>
      <c r="H539" s="0" t="str">
        <f aca="false">IF($A539="","",IF(AT539="Y",BQ539&amp;"",BD539&amp;""))</f>
        <v/>
      </c>
      <c r="I539" s="0" t="str">
        <f aca="false">IF($A539="","",IF(R539="Y","warm-intro",IF(H539="verified","email",IF(C539&lt;&gt;"","linkedin",CA539&amp;""))))</f>
        <v/>
      </c>
      <c r="J539" s="0" t="str">
        <f aca="false">IF($A539="","",IF(CK539="pass",ROUND(N(DO539)+N(DP539)+N(DQ539)+N(DR539)+N(DS539)+N(DT539)+N(DU539)+N(DV539),0),0))</f>
        <v/>
      </c>
      <c r="K539" s="0" t="str">
        <f aca="false">IF($A539="","",IF(CK539&lt;&gt;"pass",BY539&amp;"",BY539&amp;", "&amp;IF(AT539="Y",BX539&amp;"",BK539&amp;"")&amp;BZ539&amp;IF(R539="Y","; known to the founder (+10)","")&amp;"."))</f>
        <v/>
      </c>
      <c r="R539" s="5"/>
      <c r="T539" s="5"/>
      <c r="U539" s="5"/>
      <c r="Y539" s="0" t="str">
        <f aca="false">IF(FA539&lt;&gt;"Y","",COUNTIFS($FA$2:$FA$1000,"Y",$J$2:$J$1000,"&gt;"&amp;J539)+COUNTIFS($FA$2:$FA$1000,"Y",$J$2:$J$1000,J539,$FG$2:$FG$1000,"&lt;"&amp;FG539)+1)</f>
        <v/>
      </c>
      <c r="AB539" s="0" t="str">
        <f aca="false">IF($A539="","",IF(AT539="Y",BW539&amp;"",BJ539&amp;""))</f>
        <v/>
      </c>
      <c r="AC539" s="0" t="str">
        <f aca="false">IF($A539="","",IF(AT539="Y",BR539&amp;"",BE539&amp;""))</f>
        <v/>
      </c>
      <c r="AD539" s="0" t="str">
        <f aca="false">IF($A539="","",IF(AT539="Y",BS539&amp;"",BF539&amp;""))</f>
        <v/>
      </c>
      <c r="AE539" s="0" t="str">
        <f aca="false">IF($A539="","",IF(AT539="Y",BT539&amp;"",BG539&amp;""))</f>
        <v/>
      </c>
      <c r="AF539" s="0" t="str">
        <f aca="false">IF($A539="","",IF(AT539="Y",BU539&amp;"",BH539&amp;""))</f>
        <v/>
      </c>
      <c r="AG539" s="0" t="str">
        <f aca="false">IF($A539="","",IF(AT539="Y",BV539&amp;"",BI539&amp;""))</f>
        <v/>
      </c>
      <c r="AO539" s="5"/>
      <c r="AR539" s="0" t="str">
        <f aca="false">IF($A539="","",IF(AND(CK539="pass",AO539&lt;&gt;"Y",C539&lt;&gt;"",OR(AU539&lt;&gt;"Y",AV539="Y")),"Y","N"))</f>
        <v/>
      </c>
      <c r="AS539" s="0" t="str">
        <f aca="false">IF($A539="","",_xlfn.TEXTJOIN("; ",TRUE(),IF(CK539&lt;&gt;"pass","gated out",""),IF(AO539="Y","on hold: "&amp;AP539,""),IF(C539="","no contact named on an opened page",""),IF(AND(AU539="Y",AV539&lt;&gt;"Y"),"founder review pending (Founder review tab)","")))</f>
        <v/>
      </c>
      <c r="BC539" s="0" t="str">
        <f aca="false">IF($A539="","",IFERROR(INDEX(Enrichment!$A$2:$GZ$2000,MATCH($A539,INDEX(Enrichment!$A$2:$GZ$2000,0,MATCH("row_id",Enrichment!$A$1:$GZ$1,0)),0),MATCH("work_email",Enrichment!$A$1:$GZ$1,0))&amp;"",""))</f>
        <v/>
      </c>
      <c r="BD539" s="0" t="str">
        <f aca="false">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P539" s="0" t="str">
        <f aca="false">IF($A539="","",IFERROR(INDEX(Enrichment!$A$2:$GZ$2000,MATCH($A539,INDEX(Enrichment!$A$2:$GZ$2000,0,MATCH("row_id",Enrichment!$A$1:$GZ$1,0)),0),MATCH("backup_work_email",Enrichment!$A$1:$GZ$1,0))&amp;"",""))</f>
        <v/>
      </c>
      <c r="BQ539" s="0" t="str">
        <f aca="false">IF($A539="","",IF(BP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DU539" s="0" t="str">
        <f aca="false">IF($A539="","",IF(R539="Y",10,0))</f>
        <v/>
      </c>
      <c r="EV539" s="0" t="str">
        <f aca="false">IF($A539="","",IF(ISNUMBER(MATCH(U539,{"queued","contacted","replied","call_booked","call_done","yes_in_principle","materials_sent"},0)),"Y","N"))</f>
        <v/>
      </c>
      <c r="EW539" s="0" t="str">
        <f aca="false">IF($A539="","",IF(OR(T539="Y",U539="do_not_contact",AQ539&amp;""&lt;&gt;""),"Y","N"))</f>
        <v/>
      </c>
      <c r="EX539" s="0" t="str">
        <f aca="false">IF($A539="","",IF(AN539&amp;""&lt;&gt;"",AN539&amp;"",$A539))</f>
        <v/>
      </c>
      <c r="EY539" s="0" t="str">
        <f aca="false">IF($A539="","",IF(COUNTIFS($EX$2:$EX$1000,EX539,$EV$2:$EV$1000,"Y")+COUNTIFS($EX$2:$EX$1000,EX539,$EW$2:$EW$1000,"Y")&gt;0,"Y","N"))</f>
        <v/>
      </c>
      <c r="EZ539" s="0" t="str">
        <f aca="false">IF($A539="","",IF(AND(U539="new",T539="N",EW539="N",AR539="Y",EY539="N"),"Y","N"))</f>
        <v/>
      </c>
      <c r="FA539" s="0" t="str">
        <f aca="false">IF($A539="","",IF(EZ539&lt;&gt;"Y","N",IF(COUNTIFS($EX$2:$EX$1000,EX539,$EZ$2:$EZ$1000,"Y",$J$2:$J$1000,"&gt;"&amp;J539)+COUNTIFS($EX$2:$EX$1000,EX539,$EZ$2:$EZ$1000,"Y",$J$2:$J$1000,J539,$FG$2:$FG$1000,"&lt;"&amp;FG539)=0,"Y","N")))</f>
        <v/>
      </c>
      <c r="FB539" s="0" t="str">
        <f aca="false">IF($A539="","",IF(AND(EZ539="Y",FA539="Y",Y539&amp;""&lt;&gt;""),IF(Y539&lt;=10,"Y","N"),"N"))</f>
        <v/>
      </c>
      <c r="FC539" s="0" t="str">
        <f aca="false">IF(FB539="Y",Y539,"")</f>
        <v/>
      </c>
      <c r="FD539" s="0" t="str">
        <f aca="false">IF($A539="","",IF(AND(CK539="pass",AU539="Y",AV539&lt;&gt;"Y",U539="new",EW539="N"),"Y","N"))</f>
        <v/>
      </c>
      <c r="FE539" s="0" t="str">
        <f aca="false">IF(FD539&lt;&gt;"Y","",IF(COUNTIFS($FD$2:$FD$1000,"Y",$J$2:$J$1000,"&gt;"&amp;J539)+COUNTIFS($FD$2:$FD$1000,"Y",$J$2:$J$1000,J539,$FG$2:$FG$1000,"&lt;"&amp;FG539)+1&lt;=30,COUNTIFS($FD$2:$FD$1000,"Y",$J$2:$J$1000,"&gt;"&amp;J539)+COUNTIFS($FD$2:$FD$1000,"Y",$J$2:$J$1000,J539,$FG$2:$FG$1000,"&lt;"&amp;FG539)+1,""))</f>
        <v/>
      </c>
      <c r="FF539" s="0" t="str">
        <f aca="false">IF(AND(_xlfn.ISFORMULA(C539),_xlfn.ISFORMULA(J539)),"Y","N")</f>
        <v>Y</v>
      </c>
      <c r="FG539" s="0" t="n">
        <f aca="false">ROW()-1</f>
        <v>538</v>
      </c>
    </row>
    <row r="540" customFormat="false" ht="15" hidden="false" customHeight="false" outlineLevel="0" collapsed="false">
      <c r="C540" s="0" t="str">
        <f aca="false">IF($A540="","",IF(AT540="Y",BL540&amp;"",AY540&amp;""))</f>
        <v/>
      </c>
      <c r="D540" s="0" t="str">
        <f aca="false">IF($A540="","",IF(AT540="Y",BM540&amp;"",AZ540&amp;""))</f>
        <v/>
      </c>
      <c r="E540" s="0" t="str">
        <f aca="false">IF($A540="","",IF(AT540="Y",BN540&amp;"",BA540&amp;""))</f>
        <v/>
      </c>
      <c r="F540" s="0" t="str">
        <f aca="false">IF($A540="","",IF(AT540="Y",BO540&amp;"",BB540&amp;""))</f>
        <v/>
      </c>
      <c r="G540" s="0" t="str">
        <f aca="false">IF($A540="","",IF(AT540="Y",BP540&amp;"",BC540&amp;""))</f>
        <v/>
      </c>
      <c r="H540" s="0" t="str">
        <f aca="false">IF($A540="","",IF(AT540="Y",BQ540&amp;"",BD540&amp;""))</f>
        <v/>
      </c>
      <c r="I540" s="0" t="str">
        <f aca="false">IF($A540="","",IF(R540="Y","warm-intro",IF(H540="verified","email",IF(C540&lt;&gt;"","linkedin",CA540&amp;""))))</f>
        <v/>
      </c>
      <c r="J540" s="0" t="str">
        <f aca="false">IF($A540="","",IF(CK540="pass",ROUND(N(DO540)+N(DP540)+N(DQ540)+N(DR540)+N(DS540)+N(DT540)+N(DU540)+N(DV540),0),0))</f>
        <v/>
      </c>
      <c r="K540" s="0" t="str">
        <f aca="false">IF($A540="","",IF(CK540&lt;&gt;"pass",BY540&amp;"",BY540&amp;", "&amp;IF(AT540="Y",BX540&amp;"",BK540&amp;"")&amp;BZ540&amp;IF(R540="Y","; known to the founder (+10)","")&amp;"."))</f>
        <v/>
      </c>
      <c r="R540" s="5"/>
      <c r="T540" s="5"/>
      <c r="U540" s="5"/>
      <c r="Y540" s="0" t="str">
        <f aca="false">IF(FA540&lt;&gt;"Y","",COUNTIFS($FA$2:$FA$1000,"Y",$J$2:$J$1000,"&gt;"&amp;J540)+COUNTIFS($FA$2:$FA$1000,"Y",$J$2:$J$1000,J540,$FG$2:$FG$1000,"&lt;"&amp;FG540)+1)</f>
        <v/>
      </c>
      <c r="AB540" s="0" t="str">
        <f aca="false">IF($A540="","",IF(AT540="Y",BW540&amp;"",BJ540&amp;""))</f>
        <v/>
      </c>
      <c r="AC540" s="0" t="str">
        <f aca="false">IF($A540="","",IF(AT540="Y",BR540&amp;"",BE540&amp;""))</f>
        <v/>
      </c>
      <c r="AD540" s="0" t="str">
        <f aca="false">IF($A540="","",IF(AT540="Y",BS540&amp;"",BF540&amp;""))</f>
        <v/>
      </c>
      <c r="AE540" s="0" t="str">
        <f aca="false">IF($A540="","",IF(AT540="Y",BT540&amp;"",BG540&amp;""))</f>
        <v/>
      </c>
      <c r="AF540" s="0" t="str">
        <f aca="false">IF($A540="","",IF(AT540="Y",BU540&amp;"",BH540&amp;""))</f>
        <v/>
      </c>
      <c r="AG540" s="0" t="str">
        <f aca="false">IF($A540="","",IF(AT540="Y",BV540&amp;"",BI540&amp;""))</f>
        <v/>
      </c>
      <c r="AO540" s="5"/>
      <c r="AR540" s="0" t="str">
        <f aca="false">IF($A540="","",IF(AND(CK540="pass",AO540&lt;&gt;"Y",C540&lt;&gt;"",OR(AU540&lt;&gt;"Y",AV540="Y")),"Y","N"))</f>
        <v/>
      </c>
      <c r="AS540" s="0" t="str">
        <f aca="false">IF($A540="","",_xlfn.TEXTJOIN("; ",TRUE(),IF(CK540&lt;&gt;"pass","gated out",""),IF(AO540="Y","on hold: "&amp;AP540,""),IF(C540="","no contact named on an opened page",""),IF(AND(AU540="Y",AV540&lt;&gt;"Y"),"founder review pending (Founder review tab)","")))</f>
        <v/>
      </c>
      <c r="BC540" s="0" t="str">
        <f aca="false">IF($A540="","",IFERROR(INDEX(Enrichment!$A$2:$GZ$2000,MATCH($A540,INDEX(Enrichment!$A$2:$GZ$2000,0,MATCH("row_id",Enrichment!$A$1:$GZ$1,0)),0),MATCH("work_email",Enrichment!$A$1:$GZ$1,0))&amp;"",""))</f>
        <v/>
      </c>
      <c r="BD540" s="0" t="str">
        <f aca="false">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P540" s="0" t="str">
        <f aca="false">IF($A540="","",IFERROR(INDEX(Enrichment!$A$2:$GZ$2000,MATCH($A540,INDEX(Enrichment!$A$2:$GZ$2000,0,MATCH("row_id",Enrichment!$A$1:$GZ$1,0)),0),MATCH("backup_work_email",Enrichment!$A$1:$GZ$1,0))&amp;"",""))</f>
        <v/>
      </c>
      <c r="BQ540" s="0" t="str">
        <f aca="false">IF($A540="","",IF(BP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DU540" s="0" t="str">
        <f aca="false">IF($A540="","",IF(R540="Y",10,0))</f>
        <v/>
      </c>
      <c r="EV540" s="0" t="str">
        <f aca="false">IF($A540="","",IF(ISNUMBER(MATCH(U540,{"queued","contacted","replied","call_booked","call_done","yes_in_principle","materials_sent"},0)),"Y","N"))</f>
        <v/>
      </c>
      <c r="EW540" s="0" t="str">
        <f aca="false">IF($A540="","",IF(OR(T540="Y",U540="do_not_contact",AQ540&amp;""&lt;&gt;""),"Y","N"))</f>
        <v/>
      </c>
      <c r="EX540" s="0" t="str">
        <f aca="false">IF($A540="","",IF(AN540&amp;""&lt;&gt;"",AN540&amp;"",$A540))</f>
        <v/>
      </c>
      <c r="EY540" s="0" t="str">
        <f aca="false">IF($A540="","",IF(COUNTIFS($EX$2:$EX$1000,EX540,$EV$2:$EV$1000,"Y")+COUNTIFS($EX$2:$EX$1000,EX540,$EW$2:$EW$1000,"Y")&gt;0,"Y","N"))</f>
        <v/>
      </c>
      <c r="EZ540" s="0" t="str">
        <f aca="false">IF($A540="","",IF(AND(U540="new",T540="N",EW540="N",AR540="Y",EY540="N"),"Y","N"))</f>
        <v/>
      </c>
      <c r="FA540" s="0" t="str">
        <f aca="false">IF($A540="","",IF(EZ540&lt;&gt;"Y","N",IF(COUNTIFS($EX$2:$EX$1000,EX540,$EZ$2:$EZ$1000,"Y",$J$2:$J$1000,"&gt;"&amp;J540)+COUNTIFS($EX$2:$EX$1000,EX540,$EZ$2:$EZ$1000,"Y",$J$2:$J$1000,J540,$FG$2:$FG$1000,"&lt;"&amp;FG540)=0,"Y","N")))</f>
        <v/>
      </c>
      <c r="FB540" s="0" t="str">
        <f aca="false">IF($A540="","",IF(AND(EZ540="Y",FA540="Y",Y540&amp;""&lt;&gt;""),IF(Y540&lt;=10,"Y","N"),"N"))</f>
        <v/>
      </c>
      <c r="FC540" s="0" t="str">
        <f aca="false">IF(FB540="Y",Y540,"")</f>
        <v/>
      </c>
      <c r="FD540" s="0" t="str">
        <f aca="false">IF($A540="","",IF(AND(CK540="pass",AU540="Y",AV540&lt;&gt;"Y",U540="new",EW540="N"),"Y","N"))</f>
        <v/>
      </c>
      <c r="FE540" s="0" t="str">
        <f aca="false">IF(FD540&lt;&gt;"Y","",IF(COUNTIFS($FD$2:$FD$1000,"Y",$J$2:$J$1000,"&gt;"&amp;J540)+COUNTIFS($FD$2:$FD$1000,"Y",$J$2:$J$1000,J540,$FG$2:$FG$1000,"&lt;"&amp;FG540)+1&lt;=30,COUNTIFS($FD$2:$FD$1000,"Y",$J$2:$J$1000,"&gt;"&amp;J540)+COUNTIFS($FD$2:$FD$1000,"Y",$J$2:$J$1000,J540,$FG$2:$FG$1000,"&lt;"&amp;FG540)+1,""))</f>
        <v/>
      </c>
      <c r="FF540" s="0" t="str">
        <f aca="false">IF(AND(_xlfn.ISFORMULA(C540),_xlfn.ISFORMULA(J540)),"Y","N")</f>
        <v>Y</v>
      </c>
      <c r="FG540" s="0" t="n">
        <f aca="false">ROW()-1</f>
        <v>539</v>
      </c>
    </row>
    <row r="541" customFormat="false" ht="15" hidden="false" customHeight="false" outlineLevel="0" collapsed="false">
      <c r="C541" s="0" t="str">
        <f aca="false">IF($A541="","",IF(AT541="Y",BL541&amp;"",AY541&amp;""))</f>
        <v/>
      </c>
      <c r="D541" s="0" t="str">
        <f aca="false">IF($A541="","",IF(AT541="Y",BM541&amp;"",AZ541&amp;""))</f>
        <v/>
      </c>
      <c r="E541" s="0" t="str">
        <f aca="false">IF($A541="","",IF(AT541="Y",BN541&amp;"",BA541&amp;""))</f>
        <v/>
      </c>
      <c r="F541" s="0" t="str">
        <f aca="false">IF($A541="","",IF(AT541="Y",BO541&amp;"",BB541&amp;""))</f>
        <v/>
      </c>
      <c r="G541" s="0" t="str">
        <f aca="false">IF($A541="","",IF(AT541="Y",BP541&amp;"",BC541&amp;""))</f>
        <v/>
      </c>
      <c r="H541" s="0" t="str">
        <f aca="false">IF($A541="","",IF(AT541="Y",BQ541&amp;"",BD541&amp;""))</f>
        <v/>
      </c>
      <c r="I541" s="0" t="str">
        <f aca="false">IF($A541="","",IF(R541="Y","warm-intro",IF(H541="verified","email",IF(C541&lt;&gt;"","linkedin",CA541&amp;""))))</f>
        <v/>
      </c>
      <c r="J541" s="0" t="str">
        <f aca="false">IF($A541="","",IF(CK541="pass",ROUND(N(DO541)+N(DP541)+N(DQ541)+N(DR541)+N(DS541)+N(DT541)+N(DU541)+N(DV541),0),0))</f>
        <v/>
      </c>
      <c r="K541" s="0" t="str">
        <f aca="false">IF($A541="","",IF(CK541&lt;&gt;"pass",BY541&amp;"",BY541&amp;", "&amp;IF(AT541="Y",BX541&amp;"",BK541&amp;"")&amp;BZ541&amp;IF(R541="Y","; known to the founder (+10)","")&amp;"."))</f>
        <v/>
      </c>
      <c r="R541" s="5"/>
      <c r="T541" s="5"/>
      <c r="U541" s="5"/>
      <c r="Y541" s="0" t="str">
        <f aca="false">IF(FA541&lt;&gt;"Y","",COUNTIFS($FA$2:$FA$1000,"Y",$J$2:$J$1000,"&gt;"&amp;J541)+COUNTIFS($FA$2:$FA$1000,"Y",$J$2:$J$1000,J541,$FG$2:$FG$1000,"&lt;"&amp;FG541)+1)</f>
        <v/>
      </c>
      <c r="AB541" s="0" t="str">
        <f aca="false">IF($A541="","",IF(AT541="Y",BW541&amp;"",BJ541&amp;""))</f>
        <v/>
      </c>
      <c r="AC541" s="0" t="str">
        <f aca="false">IF($A541="","",IF(AT541="Y",BR541&amp;"",BE541&amp;""))</f>
        <v/>
      </c>
      <c r="AD541" s="0" t="str">
        <f aca="false">IF($A541="","",IF(AT541="Y",BS541&amp;"",BF541&amp;""))</f>
        <v/>
      </c>
      <c r="AE541" s="0" t="str">
        <f aca="false">IF($A541="","",IF(AT541="Y",BT541&amp;"",BG541&amp;""))</f>
        <v/>
      </c>
      <c r="AF541" s="0" t="str">
        <f aca="false">IF($A541="","",IF(AT541="Y",BU541&amp;"",BH541&amp;""))</f>
        <v/>
      </c>
      <c r="AG541" s="0" t="str">
        <f aca="false">IF($A541="","",IF(AT541="Y",BV541&amp;"",BI541&amp;""))</f>
        <v/>
      </c>
      <c r="AO541" s="5"/>
      <c r="AR541" s="0" t="str">
        <f aca="false">IF($A541="","",IF(AND(CK541="pass",AO541&lt;&gt;"Y",C541&lt;&gt;"",OR(AU541&lt;&gt;"Y",AV541="Y")),"Y","N"))</f>
        <v/>
      </c>
      <c r="AS541" s="0" t="str">
        <f aca="false">IF($A541="","",_xlfn.TEXTJOIN("; ",TRUE(),IF(CK541&lt;&gt;"pass","gated out",""),IF(AO541="Y","on hold: "&amp;AP541,""),IF(C541="","no contact named on an opened page",""),IF(AND(AU541="Y",AV541&lt;&gt;"Y"),"founder review pending (Founder review tab)","")))</f>
        <v/>
      </c>
      <c r="BC541" s="0" t="str">
        <f aca="false">IF($A541="","",IFERROR(INDEX(Enrichment!$A$2:$GZ$2000,MATCH($A541,INDEX(Enrichment!$A$2:$GZ$2000,0,MATCH("row_id",Enrichment!$A$1:$GZ$1,0)),0),MATCH("work_email",Enrichment!$A$1:$GZ$1,0))&amp;"",""))</f>
        <v/>
      </c>
      <c r="BD541" s="0" t="str">
        <f aca="false">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P541" s="0" t="str">
        <f aca="false">IF($A541="","",IFERROR(INDEX(Enrichment!$A$2:$GZ$2000,MATCH($A541,INDEX(Enrichment!$A$2:$GZ$2000,0,MATCH("row_id",Enrichment!$A$1:$GZ$1,0)),0),MATCH("backup_work_email",Enrichment!$A$1:$GZ$1,0))&amp;"",""))</f>
        <v/>
      </c>
      <c r="BQ541" s="0" t="str">
        <f aca="false">IF($A541="","",IF(BP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DU541" s="0" t="str">
        <f aca="false">IF($A541="","",IF(R541="Y",10,0))</f>
        <v/>
      </c>
      <c r="EV541" s="0" t="str">
        <f aca="false">IF($A541="","",IF(ISNUMBER(MATCH(U541,{"queued","contacted","replied","call_booked","call_done","yes_in_principle","materials_sent"},0)),"Y","N"))</f>
        <v/>
      </c>
      <c r="EW541" s="0" t="str">
        <f aca="false">IF($A541="","",IF(OR(T541="Y",U541="do_not_contact",AQ541&amp;""&lt;&gt;""),"Y","N"))</f>
        <v/>
      </c>
      <c r="EX541" s="0" t="str">
        <f aca="false">IF($A541="","",IF(AN541&amp;""&lt;&gt;"",AN541&amp;"",$A541))</f>
        <v/>
      </c>
      <c r="EY541" s="0" t="str">
        <f aca="false">IF($A541="","",IF(COUNTIFS($EX$2:$EX$1000,EX541,$EV$2:$EV$1000,"Y")+COUNTIFS($EX$2:$EX$1000,EX541,$EW$2:$EW$1000,"Y")&gt;0,"Y","N"))</f>
        <v/>
      </c>
      <c r="EZ541" s="0" t="str">
        <f aca="false">IF($A541="","",IF(AND(U541="new",T541="N",EW541="N",AR541="Y",EY541="N"),"Y","N"))</f>
        <v/>
      </c>
      <c r="FA541" s="0" t="str">
        <f aca="false">IF($A541="","",IF(EZ541&lt;&gt;"Y","N",IF(COUNTIFS($EX$2:$EX$1000,EX541,$EZ$2:$EZ$1000,"Y",$J$2:$J$1000,"&gt;"&amp;J541)+COUNTIFS($EX$2:$EX$1000,EX541,$EZ$2:$EZ$1000,"Y",$J$2:$J$1000,J541,$FG$2:$FG$1000,"&lt;"&amp;FG541)=0,"Y","N")))</f>
        <v/>
      </c>
      <c r="FB541" s="0" t="str">
        <f aca="false">IF($A541="","",IF(AND(EZ541="Y",FA541="Y",Y541&amp;""&lt;&gt;""),IF(Y541&lt;=10,"Y","N"),"N"))</f>
        <v/>
      </c>
      <c r="FC541" s="0" t="str">
        <f aca="false">IF(FB541="Y",Y541,"")</f>
        <v/>
      </c>
      <c r="FD541" s="0" t="str">
        <f aca="false">IF($A541="","",IF(AND(CK541="pass",AU541="Y",AV541&lt;&gt;"Y",U541="new",EW541="N"),"Y","N"))</f>
        <v/>
      </c>
      <c r="FE541" s="0" t="str">
        <f aca="false">IF(FD541&lt;&gt;"Y","",IF(COUNTIFS($FD$2:$FD$1000,"Y",$J$2:$J$1000,"&gt;"&amp;J541)+COUNTIFS($FD$2:$FD$1000,"Y",$J$2:$J$1000,J541,$FG$2:$FG$1000,"&lt;"&amp;FG541)+1&lt;=30,COUNTIFS($FD$2:$FD$1000,"Y",$J$2:$J$1000,"&gt;"&amp;J541)+COUNTIFS($FD$2:$FD$1000,"Y",$J$2:$J$1000,J541,$FG$2:$FG$1000,"&lt;"&amp;FG541)+1,""))</f>
        <v/>
      </c>
      <c r="FF541" s="0" t="str">
        <f aca="false">IF(AND(_xlfn.ISFORMULA(C541),_xlfn.ISFORMULA(J541)),"Y","N")</f>
        <v>Y</v>
      </c>
      <c r="FG541" s="0" t="n">
        <f aca="false">ROW()-1</f>
        <v>540</v>
      </c>
    </row>
    <row r="542" customFormat="false" ht="15" hidden="false" customHeight="false" outlineLevel="0" collapsed="false">
      <c r="C542" s="0" t="str">
        <f aca="false">IF($A542="","",IF(AT542="Y",BL542&amp;"",AY542&amp;""))</f>
        <v/>
      </c>
      <c r="D542" s="0" t="str">
        <f aca="false">IF($A542="","",IF(AT542="Y",BM542&amp;"",AZ542&amp;""))</f>
        <v/>
      </c>
      <c r="E542" s="0" t="str">
        <f aca="false">IF($A542="","",IF(AT542="Y",BN542&amp;"",BA542&amp;""))</f>
        <v/>
      </c>
      <c r="F542" s="0" t="str">
        <f aca="false">IF($A542="","",IF(AT542="Y",BO542&amp;"",BB542&amp;""))</f>
        <v/>
      </c>
      <c r="G542" s="0" t="str">
        <f aca="false">IF($A542="","",IF(AT542="Y",BP542&amp;"",BC542&amp;""))</f>
        <v/>
      </c>
      <c r="H542" s="0" t="str">
        <f aca="false">IF($A542="","",IF(AT542="Y",BQ542&amp;"",BD542&amp;""))</f>
        <v/>
      </c>
      <c r="I542" s="0" t="str">
        <f aca="false">IF($A542="","",IF(R542="Y","warm-intro",IF(H542="verified","email",IF(C542&lt;&gt;"","linkedin",CA542&amp;""))))</f>
        <v/>
      </c>
      <c r="J542" s="0" t="str">
        <f aca="false">IF($A542="","",IF(CK542="pass",ROUND(N(DO542)+N(DP542)+N(DQ542)+N(DR542)+N(DS542)+N(DT542)+N(DU542)+N(DV542),0),0))</f>
        <v/>
      </c>
      <c r="K542" s="0" t="str">
        <f aca="false">IF($A542="","",IF(CK542&lt;&gt;"pass",BY542&amp;"",BY542&amp;", "&amp;IF(AT542="Y",BX542&amp;"",BK542&amp;"")&amp;BZ542&amp;IF(R542="Y","; known to the founder (+10)","")&amp;"."))</f>
        <v/>
      </c>
      <c r="R542" s="5"/>
      <c r="T542" s="5"/>
      <c r="U542" s="5"/>
      <c r="Y542" s="0" t="str">
        <f aca="false">IF(FA542&lt;&gt;"Y","",COUNTIFS($FA$2:$FA$1000,"Y",$J$2:$J$1000,"&gt;"&amp;J542)+COUNTIFS($FA$2:$FA$1000,"Y",$J$2:$J$1000,J542,$FG$2:$FG$1000,"&lt;"&amp;FG542)+1)</f>
        <v/>
      </c>
      <c r="AB542" s="0" t="str">
        <f aca="false">IF($A542="","",IF(AT542="Y",BW542&amp;"",BJ542&amp;""))</f>
        <v/>
      </c>
      <c r="AC542" s="0" t="str">
        <f aca="false">IF($A542="","",IF(AT542="Y",BR542&amp;"",BE542&amp;""))</f>
        <v/>
      </c>
      <c r="AD542" s="0" t="str">
        <f aca="false">IF($A542="","",IF(AT542="Y",BS542&amp;"",BF542&amp;""))</f>
        <v/>
      </c>
      <c r="AE542" s="0" t="str">
        <f aca="false">IF($A542="","",IF(AT542="Y",BT542&amp;"",BG542&amp;""))</f>
        <v/>
      </c>
      <c r="AF542" s="0" t="str">
        <f aca="false">IF($A542="","",IF(AT542="Y",BU542&amp;"",BH542&amp;""))</f>
        <v/>
      </c>
      <c r="AG542" s="0" t="str">
        <f aca="false">IF($A542="","",IF(AT542="Y",BV542&amp;"",BI542&amp;""))</f>
        <v/>
      </c>
      <c r="AO542" s="5"/>
      <c r="AR542" s="0" t="str">
        <f aca="false">IF($A542="","",IF(AND(CK542="pass",AO542&lt;&gt;"Y",C542&lt;&gt;"",OR(AU542&lt;&gt;"Y",AV542="Y")),"Y","N"))</f>
        <v/>
      </c>
      <c r="AS542" s="0" t="str">
        <f aca="false">IF($A542="","",_xlfn.TEXTJOIN("; ",TRUE(),IF(CK542&lt;&gt;"pass","gated out",""),IF(AO542="Y","on hold: "&amp;AP542,""),IF(C542="","no contact named on an opened page",""),IF(AND(AU542="Y",AV542&lt;&gt;"Y"),"founder review pending (Founder review tab)","")))</f>
        <v/>
      </c>
      <c r="BC542" s="0" t="str">
        <f aca="false">IF($A542="","",IFERROR(INDEX(Enrichment!$A$2:$GZ$2000,MATCH($A542,INDEX(Enrichment!$A$2:$GZ$2000,0,MATCH("row_id",Enrichment!$A$1:$GZ$1,0)),0),MATCH("work_email",Enrichment!$A$1:$GZ$1,0))&amp;"",""))</f>
        <v/>
      </c>
      <c r="BD542" s="0" t="str">
        <f aca="false">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P542" s="0" t="str">
        <f aca="false">IF($A542="","",IFERROR(INDEX(Enrichment!$A$2:$GZ$2000,MATCH($A542,INDEX(Enrichment!$A$2:$GZ$2000,0,MATCH("row_id",Enrichment!$A$1:$GZ$1,0)),0),MATCH("backup_work_email",Enrichment!$A$1:$GZ$1,0))&amp;"",""))</f>
        <v/>
      </c>
      <c r="BQ542" s="0" t="str">
        <f aca="false">IF($A542="","",IF(BP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DU542" s="0" t="str">
        <f aca="false">IF($A542="","",IF(R542="Y",10,0))</f>
        <v/>
      </c>
      <c r="EV542" s="0" t="str">
        <f aca="false">IF($A542="","",IF(ISNUMBER(MATCH(U542,{"queued","contacted","replied","call_booked","call_done","yes_in_principle","materials_sent"},0)),"Y","N"))</f>
        <v/>
      </c>
      <c r="EW542" s="0" t="str">
        <f aca="false">IF($A542="","",IF(OR(T542="Y",U542="do_not_contact",AQ542&amp;""&lt;&gt;""),"Y","N"))</f>
        <v/>
      </c>
      <c r="EX542" s="0" t="str">
        <f aca="false">IF($A542="","",IF(AN542&amp;""&lt;&gt;"",AN542&amp;"",$A542))</f>
        <v/>
      </c>
      <c r="EY542" s="0" t="str">
        <f aca="false">IF($A542="","",IF(COUNTIFS($EX$2:$EX$1000,EX542,$EV$2:$EV$1000,"Y")+COUNTIFS($EX$2:$EX$1000,EX542,$EW$2:$EW$1000,"Y")&gt;0,"Y","N"))</f>
        <v/>
      </c>
      <c r="EZ542" s="0" t="str">
        <f aca="false">IF($A542="","",IF(AND(U542="new",T542="N",EW542="N",AR542="Y",EY542="N"),"Y","N"))</f>
        <v/>
      </c>
      <c r="FA542" s="0" t="str">
        <f aca="false">IF($A542="","",IF(EZ542&lt;&gt;"Y","N",IF(COUNTIFS($EX$2:$EX$1000,EX542,$EZ$2:$EZ$1000,"Y",$J$2:$J$1000,"&gt;"&amp;J542)+COUNTIFS($EX$2:$EX$1000,EX542,$EZ$2:$EZ$1000,"Y",$J$2:$J$1000,J542,$FG$2:$FG$1000,"&lt;"&amp;FG542)=0,"Y","N")))</f>
        <v/>
      </c>
      <c r="FB542" s="0" t="str">
        <f aca="false">IF($A542="","",IF(AND(EZ542="Y",FA542="Y",Y542&amp;""&lt;&gt;""),IF(Y542&lt;=10,"Y","N"),"N"))</f>
        <v/>
      </c>
      <c r="FC542" s="0" t="str">
        <f aca="false">IF(FB542="Y",Y542,"")</f>
        <v/>
      </c>
      <c r="FD542" s="0" t="str">
        <f aca="false">IF($A542="","",IF(AND(CK542="pass",AU542="Y",AV542&lt;&gt;"Y",U542="new",EW542="N"),"Y","N"))</f>
        <v/>
      </c>
      <c r="FE542" s="0" t="str">
        <f aca="false">IF(FD542&lt;&gt;"Y","",IF(COUNTIFS($FD$2:$FD$1000,"Y",$J$2:$J$1000,"&gt;"&amp;J542)+COUNTIFS($FD$2:$FD$1000,"Y",$J$2:$J$1000,J542,$FG$2:$FG$1000,"&lt;"&amp;FG542)+1&lt;=30,COUNTIFS($FD$2:$FD$1000,"Y",$J$2:$J$1000,"&gt;"&amp;J542)+COUNTIFS($FD$2:$FD$1000,"Y",$J$2:$J$1000,J542,$FG$2:$FG$1000,"&lt;"&amp;FG542)+1,""))</f>
        <v/>
      </c>
      <c r="FF542" s="0" t="str">
        <f aca="false">IF(AND(_xlfn.ISFORMULA(C542),_xlfn.ISFORMULA(J542)),"Y","N")</f>
        <v>Y</v>
      </c>
      <c r="FG542" s="0" t="n">
        <f aca="false">ROW()-1</f>
        <v>541</v>
      </c>
    </row>
    <row r="543" customFormat="false" ht="15" hidden="false" customHeight="false" outlineLevel="0" collapsed="false">
      <c r="C543" s="0" t="str">
        <f aca="false">IF($A543="","",IF(AT543="Y",BL543&amp;"",AY543&amp;""))</f>
        <v/>
      </c>
      <c r="D543" s="0" t="str">
        <f aca="false">IF($A543="","",IF(AT543="Y",BM543&amp;"",AZ543&amp;""))</f>
        <v/>
      </c>
      <c r="E543" s="0" t="str">
        <f aca="false">IF($A543="","",IF(AT543="Y",BN543&amp;"",BA543&amp;""))</f>
        <v/>
      </c>
      <c r="F543" s="0" t="str">
        <f aca="false">IF($A543="","",IF(AT543="Y",BO543&amp;"",BB543&amp;""))</f>
        <v/>
      </c>
      <c r="G543" s="0" t="str">
        <f aca="false">IF($A543="","",IF(AT543="Y",BP543&amp;"",BC543&amp;""))</f>
        <v/>
      </c>
      <c r="H543" s="0" t="str">
        <f aca="false">IF($A543="","",IF(AT543="Y",BQ543&amp;"",BD543&amp;""))</f>
        <v/>
      </c>
      <c r="I543" s="0" t="str">
        <f aca="false">IF($A543="","",IF(R543="Y","warm-intro",IF(H543="verified","email",IF(C543&lt;&gt;"","linkedin",CA543&amp;""))))</f>
        <v/>
      </c>
      <c r="J543" s="0" t="str">
        <f aca="false">IF($A543="","",IF(CK543="pass",ROUND(N(DO543)+N(DP543)+N(DQ543)+N(DR543)+N(DS543)+N(DT543)+N(DU543)+N(DV543),0),0))</f>
        <v/>
      </c>
      <c r="K543" s="0" t="str">
        <f aca="false">IF($A543="","",IF(CK543&lt;&gt;"pass",BY543&amp;"",BY543&amp;", "&amp;IF(AT543="Y",BX543&amp;"",BK543&amp;"")&amp;BZ543&amp;IF(R543="Y","; known to the founder (+10)","")&amp;"."))</f>
        <v/>
      </c>
      <c r="R543" s="5"/>
      <c r="T543" s="5"/>
      <c r="U543" s="5"/>
      <c r="Y543" s="0" t="str">
        <f aca="false">IF(FA543&lt;&gt;"Y","",COUNTIFS($FA$2:$FA$1000,"Y",$J$2:$J$1000,"&gt;"&amp;J543)+COUNTIFS($FA$2:$FA$1000,"Y",$J$2:$J$1000,J543,$FG$2:$FG$1000,"&lt;"&amp;FG543)+1)</f>
        <v/>
      </c>
      <c r="AB543" s="0" t="str">
        <f aca="false">IF($A543="","",IF(AT543="Y",BW543&amp;"",BJ543&amp;""))</f>
        <v/>
      </c>
      <c r="AC543" s="0" t="str">
        <f aca="false">IF($A543="","",IF(AT543="Y",BR543&amp;"",BE543&amp;""))</f>
        <v/>
      </c>
      <c r="AD543" s="0" t="str">
        <f aca="false">IF($A543="","",IF(AT543="Y",BS543&amp;"",BF543&amp;""))</f>
        <v/>
      </c>
      <c r="AE543" s="0" t="str">
        <f aca="false">IF($A543="","",IF(AT543="Y",BT543&amp;"",BG543&amp;""))</f>
        <v/>
      </c>
      <c r="AF543" s="0" t="str">
        <f aca="false">IF($A543="","",IF(AT543="Y",BU543&amp;"",BH543&amp;""))</f>
        <v/>
      </c>
      <c r="AG543" s="0" t="str">
        <f aca="false">IF($A543="","",IF(AT543="Y",BV543&amp;"",BI543&amp;""))</f>
        <v/>
      </c>
      <c r="AO543" s="5"/>
      <c r="AR543" s="0" t="str">
        <f aca="false">IF($A543="","",IF(AND(CK543="pass",AO543&lt;&gt;"Y",C543&lt;&gt;"",OR(AU543&lt;&gt;"Y",AV543="Y")),"Y","N"))</f>
        <v/>
      </c>
      <c r="AS543" s="0" t="str">
        <f aca="false">IF($A543="","",_xlfn.TEXTJOIN("; ",TRUE(),IF(CK543&lt;&gt;"pass","gated out",""),IF(AO543="Y","on hold: "&amp;AP543,""),IF(C543="","no contact named on an opened page",""),IF(AND(AU543="Y",AV543&lt;&gt;"Y"),"founder review pending (Founder review tab)","")))</f>
        <v/>
      </c>
      <c r="BC543" s="0" t="str">
        <f aca="false">IF($A543="","",IFERROR(INDEX(Enrichment!$A$2:$GZ$2000,MATCH($A543,INDEX(Enrichment!$A$2:$GZ$2000,0,MATCH("row_id",Enrichment!$A$1:$GZ$1,0)),0),MATCH("work_email",Enrichment!$A$1:$GZ$1,0))&amp;"",""))</f>
        <v/>
      </c>
      <c r="BD543" s="0" t="str">
        <f aca="false">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P543" s="0" t="str">
        <f aca="false">IF($A543="","",IFERROR(INDEX(Enrichment!$A$2:$GZ$2000,MATCH($A543,INDEX(Enrichment!$A$2:$GZ$2000,0,MATCH("row_id",Enrichment!$A$1:$GZ$1,0)),0),MATCH("backup_work_email",Enrichment!$A$1:$GZ$1,0))&amp;"",""))</f>
        <v/>
      </c>
      <c r="BQ543" s="0" t="str">
        <f aca="false">IF($A543="","",IF(BP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DU543" s="0" t="str">
        <f aca="false">IF($A543="","",IF(R543="Y",10,0))</f>
        <v/>
      </c>
      <c r="EV543" s="0" t="str">
        <f aca="false">IF($A543="","",IF(ISNUMBER(MATCH(U543,{"queued","contacted","replied","call_booked","call_done","yes_in_principle","materials_sent"},0)),"Y","N"))</f>
        <v/>
      </c>
      <c r="EW543" s="0" t="str">
        <f aca="false">IF($A543="","",IF(OR(T543="Y",U543="do_not_contact",AQ543&amp;""&lt;&gt;""),"Y","N"))</f>
        <v/>
      </c>
      <c r="EX543" s="0" t="str">
        <f aca="false">IF($A543="","",IF(AN543&amp;""&lt;&gt;"",AN543&amp;"",$A543))</f>
        <v/>
      </c>
      <c r="EY543" s="0" t="str">
        <f aca="false">IF($A543="","",IF(COUNTIFS($EX$2:$EX$1000,EX543,$EV$2:$EV$1000,"Y")+COUNTIFS($EX$2:$EX$1000,EX543,$EW$2:$EW$1000,"Y")&gt;0,"Y","N"))</f>
        <v/>
      </c>
      <c r="EZ543" s="0" t="str">
        <f aca="false">IF($A543="","",IF(AND(U543="new",T543="N",EW543="N",AR543="Y",EY543="N"),"Y","N"))</f>
        <v/>
      </c>
      <c r="FA543" s="0" t="str">
        <f aca="false">IF($A543="","",IF(EZ543&lt;&gt;"Y","N",IF(COUNTIFS($EX$2:$EX$1000,EX543,$EZ$2:$EZ$1000,"Y",$J$2:$J$1000,"&gt;"&amp;J543)+COUNTIFS($EX$2:$EX$1000,EX543,$EZ$2:$EZ$1000,"Y",$J$2:$J$1000,J543,$FG$2:$FG$1000,"&lt;"&amp;FG543)=0,"Y","N")))</f>
        <v/>
      </c>
      <c r="FB543" s="0" t="str">
        <f aca="false">IF($A543="","",IF(AND(EZ543="Y",FA543="Y",Y543&amp;""&lt;&gt;""),IF(Y543&lt;=10,"Y","N"),"N"))</f>
        <v/>
      </c>
      <c r="FC543" s="0" t="str">
        <f aca="false">IF(FB543="Y",Y543,"")</f>
        <v/>
      </c>
      <c r="FD543" s="0" t="str">
        <f aca="false">IF($A543="","",IF(AND(CK543="pass",AU543="Y",AV543&lt;&gt;"Y",U543="new",EW543="N"),"Y","N"))</f>
        <v/>
      </c>
      <c r="FE543" s="0" t="str">
        <f aca="false">IF(FD543&lt;&gt;"Y","",IF(COUNTIFS($FD$2:$FD$1000,"Y",$J$2:$J$1000,"&gt;"&amp;J543)+COUNTIFS($FD$2:$FD$1000,"Y",$J$2:$J$1000,J543,$FG$2:$FG$1000,"&lt;"&amp;FG543)+1&lt;=30,COUNTIFS($FD$2:$FD$1000,"Y",$J$2:$J$1000,"&gt;"&amp;J543)+COUNTIFS($FD$2:$FD$1000,"Y",$J$2:$J$1000,J543,$FG$2:$FG$1000,"&lt;"&amp;FG543)+1,""))</f>
        <v/>
      </c>
      <c r="FF543" s="0" t="str">
        <f aca="false">IF(AND(_xlfn.ISFORMULA(C543),_xlfn.ISFORMULA(J543)),"Y","N")</f>
        <v>Y</v>
      </c>
      <c r="FG543" s="0" t="n">
        <f aca="false">ROW()-1</f>
        <v>542</v>
      </c>
    </row>
    <row r="544" customFormat="false" ht="15" hidden="false" customHeight="false" outlineLevel="0" collapsed="false">
      <c r="C544" s="0" t="str">
        <f aca="false">IF($A544="","",IF(AT544="Y",BL544&amp;"",AY544&amp;""))</f>
        <v/>
      </c>
      <c r="D544" s="0" t="str">
        <f aca="false">IF($A544="","",IF(AT544="Y",BM544&amp;"",AZ544&amp;""))</f>
        <v/>
      </c>
      <c r="E544" s="0" t="str">
        <f aca="false">IF($A544="","",IF(AT544="Y",BN544&amp;"",BA544&amp;""))</f>
        <v/>
      </c>
      <c r="F544" s="0" t="str">
        <f aca="false">IF($A544="","",IF(AT544="Y",BO544&amp;"",BB544&amp;""))</f>
        <v/>
      </c>
      <c r="G544" s="0" t="str">
        <f aca="false">IF($A544="","",IF(AT544="Y",BP544&amp;"",BC544&amp;""))</f>
        <v/>
      </c>
      <c r="H544" s="0" t="str">
        <f aca="false">IF($A544="","",IF(AT544="Y",BQ544&amp;"",BD544&amp;""))</f>
        <v/>
      </c>
      <c r="I544" s="0" t="str">
        <f aca="false">IF($A544="","",IF(R544="Y","warm-intro",IF(H544="verified","email",IF(C544&lt;&gt;"","linkedin",CA544&amp;""))))</f>
        <v/>
      </c>
      <c r="J544" s="0" t="str">
        <f aca="false">IF($A544="","",IF(CK544="pass",ROUND(N(DO544)+N(DP544)+N(DQ544)+N(DR544)+N(DS544)+N(DT544)+N(DU544)+N(DV544),0),0))</f>
        <v/>
      </c>
      <c r="K544" s="0" t="str">
        <f aca="false">IF($A544="","",IF(CK544&lt;&gt;"pass",BY544&amp;"",BY544&amp;", "&amp;IF(AT544="Y",BX544&amp;"",BK544&amp;"")&amp;BZ544&amp;IF(R544="Y","; known to the founder (+10)","")&amp;"."))</f>
        <v/>
      </c>
      <c r="R544" s="5"/>
      <c r="T544" s="5"/>
      <c r="U544" s="5"/>
      <c r="Y544" s="0" t="str">
        <f aca="false">IF(FA544&lt;&gt;"Y","",COUNTIFS($FA$2:$FA$1000,"Y",$J$2:$J$1000,"&gt;"&amp;J544)+COUNTIFS($FA$2:$FA$1000,"Y",$J$2:$J$1000,J544,$FG$2:$FG$1000,"&lt;"&amp;FG544)+1)</f>
        <v/>
      </c>
      <c r="AB544" s="0" t="str">
        <f aca="false">IF($A544="","",IF(AT544="Y",BW544&amp;"",BJ544&amp;""))</f>
        <v/>
      </c>
      <c r="AC544" s="0" t="str">
        <f aca="false">IF($A544="","",IF(AT544="Y",BR544&amp;"",BE544&amp;""))</f>
        <v/>
      </c>
      <c r="AD544" s="0" t="str">
        <f aca="false">IF($A544="","",IF(AT544="Y",BS544&amp;"",BF544&amp;""))</f>
        <v/>
      </c>
      <c r="AE544" s="0" t="str">
        <f aca="false">IF($A544="","",IF(AT544="Y",BT544&amp;"",BG544&amp;""))</f>
        <v/>
      </c>
      <c r="AF544" s="0" t="str">
        <f aca="false">IF($A544="","",IF(AT544="Y",BU544&amp;"",BH544&amp;""))</f>
        <v/>
      </c>
      <c r="AG544" s="0" t="str">
        <f aca="false">IF($A544="","",IF(AT544="Y",BV544&amp;"",BI544&amp;""))</f>
        <v/>
      </c>
      <c r="AO544" s="5"/>
      <c r="AR544" s="0" t="str">
        <f aca="false">IF($A544="","",IF(AND(CK544="pass",AO544&lt;&gt;"Y",C544&lt;&gt;"",OR(AU544&lt;&gt;"Y",AV544="Y")),"Y","N"))</f>
        <v/>
      </c>
      <c r="AS544" s="0" t="str">
        <f aca="false">IF($A544="","",_xlfn.TEXTJOIN("; ",TRUE(),IF(CK544&lt;&gt;"pass","gated out",""),IF(AO544="Y","on hold: "&amp;AP544,""),IF(C544="","no contact named on an opened page",""),IF(AND(AU544="Y",AV544&lt;&gt;"Y"),"founder review pending (Founder review tab)","")))</f>
        <v/>
      </c>
      <c r="BC544" s="0" t="str">
        <f aca="false">IF($A544="","",IFERROR(INDEX(Enrichment!$A$2:$GZ$2000,MATCH($A544,INDEX(Enrichment!$A$2:$GZ$2000,0,MATCH("row_id",Enrichment!$A$1:$GZ$1,0)),0),MATCH("work_email",Enrichment!$A$1:$GZ$1,0))&amp;"",""))</f>
        <v/>
      </c>
      <c r="BD544" s="0" t="str">
        <f aca="false">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P544" s="0" t="str">
        <f aca="false">IF($A544="","",IFERROR(INDEX(Enrichment!$A$2:$GZ$2000,MATCH($A544,INDEX(Enrichment!$A$2:$GZ$2000,0,MATCH("row_id",Enrichment!$A$1:$GZ$1,0)),0),MATCH("backup_work_email",Enrichment!$A$1:$GZ$1,0))&amp;"",""))</f>
        <v/>
      </c>
      <c r="BQ544" s="0" t="str">
        <f aca="false">IF($A544="","",IF(BP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DU544" s="0" t="str">
        <f aca="false">IF($A544="","",IF(R544="Y",10,0))</f>
        <v/>
      </c>
      <c r="EV544" s="0" t="str">
        <f aca="false">IF($A544="","",IF(ISNUMBER(MATCH(U544,{"queued","contacted","replied","call_booked","call_done","yes_in_principle","materials_sent"},0)),"Y","N"))</f>
        <v/>
      </c>
      <c r="EW544" s="0" t="str">
        <f aca="false">IF($A544="","",IF(OR(T544="Y",U544="do_not_contact",AQ544&amp;""&lt;&gt;""),"Y","N"))</f>
        <v/>
      </c>
      <c r="EX544" s="0" t="str">
        <f aca="false">IF($A544="","",IF(AN544&amp;""&lt;&gt;"",AN544&amp;"",$A544))</f>
        <v/>
      </c>
      <c r="EY544" s="0" t="str">
        <f aca="false">IF($A544="","",IF(COUNTIFS($EX$2:$EX$1000,EX544,$EV$2:$EV$1000,"Y")+COUNTIFS($EX$2:$EX$1000,EX544,$EW$2:$EW$1000,"Y")&gt;0,"Y","N"))</f>
        <v/>
      </c>
      <c r="EZ544" s="0" t="str">
        <f aca="false">IF($A544="","",IF(AND(U544="new",T544="N",EW544="N",AR544="Y",EY544="N"),"Y","N"))</f>
        <v/>
      </c>
      <c r="FA544" s="0" t="str">
        <f aca="false">IF($A544="","",IF(EZ544&lt;&gt;"Y","N",IF(COUNTIFS($EX$2:$EX$1000,EX544,$EZ$2:$EZ$1000,"Y",$J$2:$J$1000,"&gt;"&amp;J544)+COUNTIFS($EX$2:$EX$1000,EX544,$EZ$2:$EZ$1000,"Y",$J$2:$J$1000,J544,$FG$2:$FG$1000,"&lt;"&amp;FG544)=0,"Y","N")))</f>
        <v/>
      </c>
      <c r="FB544" s="0" t="str">
        <f aca="false">IF($A544="","",IF(AND(EZ544="Y",FA544="Y",Y544&amp;""&lt;&gt;""),IF(Y544&lt;=10,"Y","N"),"N"))</f>
        <v/>
      </c>
      <c r="FC544" s="0" t="str">
        <f aca="false">IF(FB544="Y",Y544,"")</f>
        <v/>
      </c>
      <c r="FD544" s="0" t="str">
        <f aca="false">IF($A544="","",IF(AND(CK544="pass",AU544="Y",AV544&lt;&gt;"Y",U544="new",EW544="N"),"Y","N"))</f>
        <v/>
      </c>
      <c r="FE544" s="0" t="str">
        <f aca="false">IF(FD544&lt;&gt;"Y","",IF(COUNTIFS($FD$2:$FD$1000,"Y",$J$2:$J$1000,"&gt;"&amp;J544)+COUNTIFS($FD$2:$FD$1000,"Y",$J$2:$J$1000,J544,$FG$2:$FG$1000,"&lt;"&amp;FG544)+1&lt;=30,COUNTIFS($FD$2:$FD$1000,"Y",$J$2:$J$1000,"&gt;"&amp;J544)+COUNTIFS($FD$2:$FD$1000,"Y",$J$2:$J$1000,J544,$FG$2:$FG$1000,"&lt;"&amp;FG544)+1,""))</f>
        <v/>
      </c>
      <c r="FF544" s="0" t="str">
        <f aca="false">IF(AND(_xlfn.ISFORMULA(C544),_xlfn.ISFORMULA(J544)),"Y","N")</f>
        <v>Y</v>
      </c>
      <c r="FG544" s="0" t="n">
        <f aca="false">ROW()-1</f>
        <v>543</v>
      </c>
    </row>
    <row r="545" customFormat="false" ht="15" hidden="false" customHeight="false" outlineLevel="0" collapsed="false">
      <c r="C545" s="0" t="str">
        <f aca="false">IF($A545="","",IF(AT545="Y",BL545&amp;"",AY545&amp;""))</f>
        <v/>
      </c>
      <c r="D545" s="0" t="str">
        <f aca="false">IF($A545="","",IF(AT545="Y",BM545&amp;"",AZ545&amp;""))</f>
        <v/>
      </c>
      <c r="E545" s="0" t="str">
        <f aca="false">IF($A545="","",IF(AT545="Y",BN545&amp;"",BA545&amp;""))</f>
        <v/>
      </c>
      <c r="F545" s="0" t="str">
        <f aca="false">IF($A545="","",IF(AT545="Y",BO545&amp;"",BB545&amp;""))</f>
        <v/>
      </c>
      <c r="G545" s="0" t="str">
        <f aca="false">IF($A545="","",IF(AT545="Y",BP545&amp;"",BC545&amp;""))</f>
        <v/>
      </c>
      <c r="H545" s="0" t="str">
        <f aca="false">IF($A545="","",IF(AT545="Y",BQ545&amp;"",BD545&amp;""))</f>
        <v/>
      </c>
      <c r="I545" s="0" t="str">
        <f aca="false">IF($A545="","",IF(R545="Y","warm-intro",IF(H545="verified","email",IF(C545&lt;&gt;"","linkedin",CA545&amp;""))))</f>
        <v/>
      </c>
      <c r="J545" s="0" t="str">
        <f aca="false">IF($A545="","",IF(CK545="pass",ROUND(N(DO545)+N(DP545)+N(DQ545)+N(DR545)+N(DS545)+N(DT545)+N(DU545)+N(DV545),0),0))</f>
        <v/>
      </c>
      <c r="K545" s="0" t="str">
        <f aca="false">IF($A545="","",IF(CK545&lt;&gt;"pass",BY545&amp;"",BY545&amp;", "&amp;IF(AT545="Y",BX545&amp;"",BK545&amp;"")&amp;BZ545&amp;IF(R545="Y","; known to the founder (+10)","")&amp;"."))</f>
        <v/>
      </c>
      <c r="R545" s="5"/>
      <c r="T545" s="5"/>
      <c r="U545" s="5"/>
      <c r="Y545" s="0" t="str">
        <f aca="false">IF(FA545&lt;&gt;"Y","",COUNTIFS($FA$2:$FA$1000,"Y",$J$2:$J$1000,"&gt;"&amp;J545)+COUNTIFS($FA$2:$FA$1000,"Y",$J$2:$J$1000,J545,$FG$2:$FG$1000,"&lt;"&amp;FG545)+1)</f>
        <v/>
      </c>
      <c r="AB545" s="0" t="str">
        <f aca="false">IF($A545="","",IF(AT545="Y",BW545&amp;"",BJ545&amp;""))</f>
        <v/>
      </c>
      <c r="AC545" s="0" t="str">
        <f aca="false">IF($A545="","",IF(AT545="Y",BR545&amp;"",BE545&amp;""))</f>
        <v/>
      </c>
      <c r="AD545" s="0" t="str">
        <f aca="false">IF($A545="","",IF(AT545="Y",BS545&amp;"",BF545&amp;""))</f>
        <v/>
      </c>
      <c r="AE545" s="0" t="str">
        <f aca="false">IF($A545="","",IF(AT545="Y",BT545&amp;"",BG545&amp;""))</f>
        <v/>
      </c>
      <c r="AF545" s="0" t="str">
        <f aca="false">IF($A545="","",IF(AT545="Y",BU545&amp;"",BH545&amp;""))</f>
        <v/>
      </c>
      <c r="AG545" s="0" t="str">
        <f aca="false">IF($A545="","",IF(AT545="Y",BV545&amp;"",BI545&amp;""))</f>
        <v/>
      </c>
      <c r="AO545" s="5"/>
      <c r="AR545" s="0" t="str">
        <f aca="false">IF($A545="","",IF(AND(CK545="pass",AO545&lt;&gt;"Y",C545&lt;&gt;"",OR(AU545&lt;&gt;"Y",AV545="Y")),"Y","N"))</f>
        <v/>
      </c>
      <c r="AS545" s="0" t="str">
        <f aca="false">IF($A545="","",_xlfn.TEXTJOIN("; ",TRUE(),IF(CK545&lt;&gt;"pass","gated out",""),IF(AO545="Y","on hold: "&amp;AP545,""),IF(C545="","no contact named on an opened page",""),IF(AND(AU545="Y",AV545&lt;&gt;"Y"),"founder review pending (Founder review tab)","")))</f>
        <v/>
      </c>
      <c r="BC545" s="0" t="str">
        <f aca="false">IF($A545="","",IFERROR(INDEX(Enrichment!$A$2:$GZ$2000,MATCH($A545,INDEX(Enrichment!$A$2:$GZ$2000,0,MATCH("row_id",Enrichment!$A$1:$GZ$1,0)),0),MATCH("work_email",Enrichment!$A$1:$GZ$1,0))&amp;"",""))</f>
        <v/>
      </c>
      <c r="BD545" s="0" t="str">
        <f aca="false">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P545" s="0" t="str">
        <f aca="false">IF($A545="","",IFERROR(INDEX(Enrichment!$A$2:$GZ$2000,MATCH($A545,INDEX(Enrichment!$A$2:$GZ$2000,0,MATCH("row_id",Enrichment!$A$1:$GZ$1,0)),0),MATCH("backup_work_email",Enrichment!$A$1:$GZ$1,0))&amp;"",""))</f>
        <v/>
      </c>
      <c r="BQ545" s="0" t="str">
        <f aca="false">IF($A545="","",IF(BP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DU545" s="0" t="str">
        <f aca="false">IF($A545="","",IF(R545="Y",10,0))</f>
        <v/>
      </c>
      <c r="EV545" s="0" t="str">
        <f aca="false">IF($A545="","",IF(ISNUMBER(MATCH(U545,{"queued","contacted","replied","call_booked","call_done","yes_in_principle","materials_sent"},0)),"Y","N"))</f>
        <v/>
      </c>
      <c r="EW545" s="0" t="str">
        <f aca="false">IF($A545="","",IF(OR(T545="Y",U545="do_not_contact",AQ545&amp;""&lt;&gt;""),"Y","N"))</f>
        <v/>
      </c>
      <c r="EX545" s="0" t="str">
        <f aca="false">IF($A545="","",IF(AN545&amp;""&lt;&gt;"",AN545&amp;"",$A545))</f>
        <v/>
      </c>
      <c r="EY545" s="0" t="str">
        <f aca="false">IF($A545="","",IF(COUNTIFS($EX$2:$EX$1000,EX545,$EV$2:$EV$1000,"Y")+COUNTIFS($EX$2:$EX$1000,EX545,$EW$2:$EW$1000,"Y")&gt;0,"Y","N"))</f>
        <v/>
      </c>
      <c r="EZ545" s="0" t="str">
        <f aca="false">IF($A545="","",IF(AND(U545="new",T545="N",EW545="N",AR545="Y",EY545="N"),"Y","N"))</f>
        <v/>
      </c>
      <c r="FA545" s="0" t="str">
        <f aca="false">IF($A545="","",IF(EZ545&lt;&gt;"Y","N",IF(COUNTIFS($EX$2:$EX$1000,EX545,$EZ$2:$EZ$1000,"Y",$J$2:$J$1000,"&gt;"&amp;J545)+COUNTIFS($EX$2:$EX$1000,EX545,$EZ$2:$EZ$1000,"Y",$J$2:$J$1000,J545,$FG$2:$FG$1000,"&lt;"&amp;FG545)=0,"Y","N")))</f>
        <v/>
      </c>
      <c r="FB545" s="0" t="str">
        <f aca="false">IF($A545="","",IF(AND(EZ545="Y",FA545="Y",Y545&amp;""&lt;&gt;""),IF(Y545&lt;=10,"Y","N"),"N"))</f>
        <v/>
      </c>
      <c r="FC545" s="0" t="str">
        <f aca="false">IF(FB545="Y",Y545,"")</f>
        <v/>
      </c>
      <c r="FD545" s="0" t="str">
        <f aca="false">IF($A545="","",IF(AND(CK545="pass",AU545="Y",AV545&lt;&gt;"Y",U545="new",EW545="N"),"Y","N"))</f>
        <v/>
      </c>
      <c r="FE545" s="0" t="str">
        <f aca="false">IF(FD545&lt;&gt;"Y","",IF(COUNTIFS($FD$2:$FD$1000,"Y",$J$2:$J$1000,"&gt;"&amp;J545)+COUNTIFS($FD$2:$FD$1000,"Y",$J$2:$J$1000,J545,$FG$2:$FG$1000,"&lt;"&amp;FG545)+1&lt;=30,COUNTIFS($FD$2:$FD$1000,"Y",$J$2:$J$1000,"&gt;"&amp;J545)+COUNTIFS($FD$2:$FD$1000,"Y",$J$2:$J$1000,J545,$FG$2:$FG$1000,"&lt;"&amp;FG545)+1,""))</f>
        <v/>
      </c>
      <c r="FF545" s="0" t="str">
        <f aca="false">IF(AND(_xlfn.ISFORMULA(C545),_xlfn.ISFORMULA(J545)),"Y","N")</f>
        <v>Y</v>
      </c>
      <c r="FG545" s="0" t="n">
        <f aca="false">ROW()-1</f>
        <v>544</v>
      </c>
    </row>
    <row r="546" customFormat="false" ht="15" hidden="false" customHeight="false" outlineLevel="0" collapsed="false">
      <c r="C546" s="0" t="str">
        <f aca="false">IF($A546="","",IF(AT546="Y",BL546&amp;"",AY546&amp;""))</f>
        <v/>
      </c>
      <c r="D546" s="0" t="str">
        <f aca="false">IF($A546="","",IF(AT546="Y",BM546&amp;"",AZ546&amp;""))</f>
        <v/>
      </c>
      <c r="E546" s="0" t="str">
        <f aca="false">IF($A546="","",IF(AT546="Y",BN546&amp;"",BA546&amp;""))</f>
        <v/>
      </c>
      <c r="F546" s="0" t="str">
        <f aca="false">IF($A546="","",IF(AT546="Y",BO546&amp;"",BB546&amp;""))</f>
        <v/>
      </c>
      <c r="G546" s="0" t="str">
        <f aca="false">IF($A546="","",IF(AT546="Y",BP546&amp;"",BC546&amp;""))</f>
        <v/>
      </c>
      <c r="H546" s="0" t="str">
        <f aca="false">IF($A546="","",IF(AT546="Y",BQ546&amp;"",BD546&amp;""))</f>
        <v/>
      </c>
      <c r="I546" s="0" t="str">
        <f aca="false">IF($A546="","",IF(R546="Y","warm-intro",IF(H546="verified","email",IF(C546&lt;&gt;"","linkedin",CA546&amp;""))))</f>
        <v/>
      </c>
      <c r="J546" s="0" t="str">
        <f aca="false">IF($A546="","",IF(CK546="pass",ROUND(N(DO546)+N(DP546)+N(DQ546)+N(DR546)+N(DS546)+N(DT546)+N(DU546)+N(DV546),0),0))</f>
        <v/>
      </c>
      <c r="K546" s="0" t="str">
        <f aca="false">IF($A546="","",IF(CK546&lt;&gt;"pass",BY546&amp;"",BY546&amp;", "&amp;IF(AT546="Y",BX546&amp;"",BK546&amp;"")&amp;BZ546&amp;IF(R546="Y","; known to the founder (+10)","")&amp;"."))</f>
        <v/>
      </c>
      <c r="R546" s="5"/>
      <c r="T546" s="5"/>
      <c r="U546" s="5"/>
      <c r="Y546" s="0" t="str">
        <f aca="false">IF(FA546&lt;&gt;"Y","",COUNTIFS($FA$2:$FA$1000,"Y",$J$2:$J$1000,"&gt;"&amp;J546)+COUNTIFS($FA$2:$FA$1000,"Y",$J$2:$J$1000,J546,$FG$2:$FG$1000,"&lt;"&amp;FG546)+1)</f>
        <v/>
      </c>
      <c r="AB546" s="0" t="str">
        <f aca="false">IF($A546="","",IF(AT546="Y",BW546&amp;"",BJ546&amp;""))</f>
        <v/>
      </c>
      <c r="AC546" s="0" t="str">
        <f aca="false">IF($A546="","",IF(AT546="Y",BR546&amp;"",BE546&amp;""))</f>
        <v/>
      </c>
      <c r="AD546" s="0" t="str">
        <f aca="false">IF($A546="","",IF(AT546="Y",BS546&amp;"",BF546&amp;""))</f>
        <v/>
      </c>
      <c r="AE546" s="0" t="str">
        <f aca="false">IF($A546="","",IF(AT546="Y",BT546&amp;"",BG546&amp;""))</f>
        <v/>
      </c>
      <c r="AF546" s="0" t="str">
        <f aca="false">IF($A546="","",IF(AT546="Y",BU546&amp;"",BH546&amp;""))</f>
        <v/>
      </c>
      <c r="AG546" s="0" t="str">
        <f aca="false">IF($A546="","",IF(AT546="Y",BV546&amp;"",BI546&amp;""))</f>
        <v/>
      </c>
      <c r="AO546" s="5"/>
      <c r="AR546" s="0" t="str">
        <f aca="false">IF($A546="","",IF(AND(CK546="pass",AO546&lt;&gt;"Y",C546&lt;&gt;"",OR(AU546&lt;&gt;"Y",AV546="Y")),"Y","N"))</f>
        <v/>
      </c>
      <c r="AS546" s="0" t="str">
        <f aca="false">IF($A546="","",_xlfn.TEXTJOIN("; ",TRUE(),IF(CK546&lt;&gt;"pass","gated out",""),IF(AO546="Y","on hold: "&amp;AP546,""),IF(C546="","no contact named on an opened page",""),IF(AND(AU546="Y",AV546&lt;&gt;"Y"),"founder review pending (Founder review tab)","")))</f>
        <v/>
      </c>
      <c r="BC546" s="0" t="str">
        <f aca="false">IF($A546="","",IFERROR(INDEX(Enrichment!$A$2:$GZ$2000,MATCH($A546,INDEX(Enrichment!$A$2:$GZ$2000,0,MATCH("row_id",Enrichment!$A$1:$GZ$1,0)),0),MATCH("work_email",Enrichment!$A$1:$GZ$1,0))&amp;"",""))</f>
        <v/>
      </c>
      <c r="BD546" s="0" t="str">
        <f aca="false">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P546" s="0" t="str">
        <f aca="false">IF($A546="","",IFERROR(INDEX(Enrichment!$A$2:$GZ$2000,MATCH($A546,INDEX(Enrichment!$A$2:$GZ$2000,0,MATCH("row_id",Enrichment!$A$1:$GZ$1,0)),0),MATCH("backup_work_email",Enrichment!$A$1:$GZ$1,0))&amp;"",""))</f>
        <v/>
      </c>
      <c r="BQ546" s="0" t="str">
        <f aca="false">IF($A546="","",IF(BP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DU546" s="0" t="str">
        <f aca="false">IF($A546="","",IF(R546="Y",10,0))</f>
        <v/>
      </c>
      <c r="EV546" s="0" t="str">
        <f aca="false">IF($A546="","",IF(ISNUMBER(MATCH(U546,{"queued","contacted","replied","call_booked","call_done","yes_in_principle","materials_sent"},0)),"Y","N"))</f>
        <v/>
      </c>
      <c r="EW546" s="0" t="str">
        <f aca="false">IF($A546="","",IF(OR(T546="Y",U546="do_not_contact",AQ546&amp;""&lt;&gt;""),"Y","N"))</f>
        <v/>
      </c>
      <c r="EX546" s="0" t="str">
        <f aca="false">IF($A546="","",IF(AN546&amp;""&lt;&gt;"",AN546&amp;"",$A546))</f>
        <v/>
      </c>
      <c r="EY546" s="0" t="str">
        <f aca="false">IF($A546="","",IF(COUNTIFS($EX$2:$EX$1000,EX546,$EV$2:$EV$1000,"Y")+COUNTIFS($EX$2:$EX$1000,EX546,$EW$2:$EW$1000,"Y")&gt;0,"Y","N"))</f>
        <v/>
      </c>
      <c r="EZ546" s="0" t="str">
        <f aca="false">IF($A546="","",IF(AND(U546="new",T546="N",EW546="N",AR546="Y",EY546="N"),"Y","N"))</f>
        <v/>
      </c>
      <c r="FA546" s="0" t="str">
        <f aca="false">IF($A546="","",IF(EZ546&lt;&gt;"Y","N",IF(COUNTIFS($EX$2:$EX$1000,EX546,$EZ$2:$EZ$1000,"Y",$J$2:$J$1000,"&gt;"&amp;J546)+COUNTIFS($EX$2:$EX$1000,EX546,$EZ$2:$EZ$1000,"Y",$J$2:$J$1000,J546,$FG$2:$FG$1000,"&lt;"&amp;FG546)=0,"Y","N")))</f>
        <v/>
      </c>
      <c r="FB546" s="0" t="str">
        <f aca="false">IF($A546="","",IF(AND(EZ546="Y",FA546="Y",Y546&amp;""&lt;&gt;""),IF(Y546&lt;=10,"Y","N"),"N"))</f>
        <v/>
      </c>
      <c r="FC546" s="0" t="str">
        <f aca="false">IF(FB546="Y",Y546,"")</f>
        <v/>
      </c>
      <c r="FD546" s="0" t="str">
        <f aca="false">IF($A546="","",IF(AND(CK546="pass",AU546="Y",AV546&lt;&gt;"Y",U546="new",EW546="N"),"Y","N"))</f>
        <v/>
      </c>
      <c r="FE546" s="0" t="str">
        <f aca="false">IF(FD546&lt;&gt;"Y","",IF(COUNTIFS($FD$2:$FD$1000,"Y",$J$2:$J$1000,"&gt;"&amp;J546)+COUNTIFS($FD$2:$FD$1000,"Y",$J$2:$J$1000,J546,$FG$2:$FG$1000,"&lt;"&amp;FG546)+1&lt;=30,COUNTIFS($FD$2:$FD$1000,"Y",$J$2:$J$1000,"&gt;"&amp;J546)+COUNTIFS($FD$2:$FD$1000,"Y",$J$2:$J$1000,J546,$FG$2:$FG$1000,"&lt;"&amp;FG546)+1,""))</f>
        <v/>
      </c>
      <c r="FF546" s="0" t="str">
        <f aca="false">IF(AND(_xlfn.ISFORMULA(C546),_xlfn.ISFORMULA(J546)),"Y","N")</f>
        <v>Y</v>
      </c>
      <c r="FG546" s="0" t="n">
        <f aca="false">ROW()-1</f>
        <v>545</v>
      </c>
    </row>
    <row r="547" customFormat="false" ht="15" hidden="false" customHeight="false" outlineLevel="0" collapsed="false">
      <c r="C547" s="0" t="str">
        <f aca="false">IF($A547="","",IF(AT547="Y",BL547&amp;"",AY547&amp;""))</f>
        <v/>
      </c>
      <c r="D547" s="0" t="str">
        <f aca="false">IF($A547="","",IF(AT547="Y",BM547&amp;"",AZ547&amp;""))</f>
        <v/>
      </c>
      <c r="E547" s="0" t="str">
        <f aca="false">IF($A547="","",IF(AT547="Y",BN547&amp;"",BA547&amp;""))</f>
        <v/>
      </c>
      <c r="F547" s="0" t="str">
        <f aca="false">IF($A547="","",IF(AT547="Y",BO547&amp;"",BB547&amp;""))</f>
        <v/>
      </c>
      <c r="G547" s="0" t="str">
        <f aca="false">IF($A547="","",IF(AT547="Y",BP547&amp;"",BC547&amp;""))</f>
        <v/>
      </c>
      <c r="H547" s="0" t="str">
        <f aca="false">IF($A547="","",IF(AT547="Y",BQ547&amp;"",BD547&amp;""))</f>
        <v/>
      </c>
      <c r="I547" s="0" t="str">
        <f aca="false">IF($A547="","",IF(R547="Y","warm-intro",IF(H547="verified","email",IF(C547&lt;&gt;"","linkedin",CA547&amp;""))))</f>
        <v/>
      </c>
      <c r="J547" s="0" t="str">
        <f aca="false">IF($A547="","",IF(CK547="pass",ROUND(N(DO547)+N(DP547)+N(DQ547)+N(DR547)+N(DS547)+N(DT547)+N(DU547)+N(DV547),0),0))</f>
        <v/>
      </c>
      <c r="K547" s="0" t="str">
        <f aca="false">IF($A547="","",IF(CK547&lt;&gt;"pass",BY547&amp;"",BY547&amp;", "&amp;IF(AT547="Y",BX547&amp;"",BK547&amp;"")&amp;BZ547&amp;IF(R547="Y","; known to the founder (+10)","")&amp;"."))</f>
        <v/>
      </c>
      <c r="R547" s="5"/>
      <c r="T547" s="5"/>
      <c r="U547" s="5"/>
      <c r="Y547" s="0" t="str">
        <f aca="false">IF(FA547&lt;&gt;"Y","",COUNTIFS($FA$2:$FA$1000,"Y",$J$2:$J$1000,"&gt;"&amp;J547)+COUNTIFS($FA$2:$FA$1000,"Y",$J$2:$J$1000,J547,$FG$2:$FG$1000,"&lt;"&amp;FG547)+1)</f>
        <v/>
      </c>
      <c r="AB547" s="0" t="str">
        <f aca="false">IF($A547="","",IF(AT547="Y",BW547&amp;"",BJ547&amp;""))</f>
        <v/>
      </c>
      <c r="AC547" s="0" t="str">
        <f aca="false">IF($A547="","",IF(AT547="Y",BR547&amp;"",BE547&amp;""))</f>
        <v/>
      </c>
      <c r="AD547" s="0" t="str">
        <f aca="false">IF($A547="","",IF(AT547="Y",BS547&amp;"",BF547&amp;""))</f>
        <v/>
      </c>
      <c r="AE547" s="0" t="str">
        <f aca="false">IF($A547="","",IF(AT547="Y",BT547&amp;"",BG547&amp;""))</f>
        <v/>
      </c>
      <c r="AF547" s="0" t="str">
        <f aca="false">IF($A547="","",IF(AT547="Y",BU547&amp;"",BH547&amp;""))</f>
        <v/>
      </c>
      <c r="AG547" s="0" t="str">
        <f aca="false">IF($A547="","",IF(AT547="Y",BV547&amp;"",BI547&amp;""))</f>
        <v/>
      </c>
      <c r="AO547" s="5"/>
      <c r="AR547" s="0" t="str">
        <f aca="false">IF($A547="","",IF(AND(CK547="pass",AO547&lt;&gt;"Y",C547&lt;&gt;"",OR(AU547&lt;&gt;"Y",AV547="Y")),"Y","N"))</f>
        <v/>
      </c>
      <c r="AS547" s="0" t="str">
        <f aca="false">IF($A547="","",_xlfn.TEXTJOIN("; ",TRUE(),IF(CK547&lt;&gt;"pass","gated out",""),IF(AO547="Y","on hold: "&amp;AP547,""),IF(C547="","no contact named on an opened page",""),IF(AND(AU547="Y",AV547&lt;&gt;"Y"),"founder review pending (Founder review tab)","")))</f>
        <v/>
      </c>
      <c r="BC547" s="0" t="str">
        <f aca="false">IF($A547="","",IFERROR(INDEX(Enrichment!$A$2:$GZ$2000,MATCH($A547,INDEX(Enrichment!$A$2:$GZ$2000,0,MATCH("row_id",Enrichment!$A$1:$GZ$1,0)),0),MATCH("work_email",Enrichment!$A$1:$GZ$1,0))&amp;"",""))</f>
        <v/>
      </c>
      <c r="BD547" s="0" t="str">
        <f aca="false">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P547" s="0" t="str">
        <f aca="false">IF($A547="","",IFERROR(INDEX(Enrichment!$A$2:$GZ$2000,MATCH($A547,INDEX(Enrichment!$A$2:$GZ$2000,0,MATCH("row_id",Enrichment!$A$1:$GZ$1,0)),0),MATCH("backup_work_email",Enrichment!$A$1:$GZ$1,0))&amp;"",""))</f>
        <v/>
      </c>
      <c r="BQ547" s="0" t="str">
        <f aca="false">IF($A547="","",IF(BP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DU547" s="0" t="str">
        <f aca="false">IF($A547="","",IF(R547="Y",10,0))</f>
        <v/>
      </c>
      <c r="EV547" s="0" t="str">
        <f aca="false">IF($A547="","",IF(ISNUMBER(MATCH(U547,{"queued","contacted","replied","call_booked","call_done","yes_in_principle","materials_sent"},0)),"Y","N"))</f>
        <v/>
      </c>
      <c r="EW547" s="0" t="str">
        <f aca="false">IF($A547="","",IF(OR(T547="Y",U547="do_not_contact",AQ547&amp;""&lt;&gt;""),"Y","N"))</f>
        <v/>
      </c>
      <c r="EX547" s="0" t="str">
        <f aca="false">IF($A547="","",IF(AN547&amp;""&lt;&gt;"",AN547&amp;"",$A547))</f>
        <v/>
      </c>
      <c r="EY547" s="0" t="str">
        <f aca="false">IF($A547="","",IF(COUNTIFS($EX$2:$EX$1000,EX547,$EV$2:$EV$1000,"Y")+COUNTIFS($EX$2:$EX$1000,EX547,$EW$2:$EW$1000,"Y")&gt;0,"Y","N"))</f>
        <v/>
      </c>
      <c r="EZ547" s="0" t="str">
        <f aca="false">IF($A547="","",IF(AND(U547="new",T547="N",EW547="N",AR547="Y",EY547="N"),"Y","N"))</f>
        <v/>
      </c>
      <c r="FA547" s="0" t="str">
        <f aca="false">IF($A547="","",IF(EZ547&lt;&gt;"Y","N",IF(COUNTIFS($EX$2:$EX$1000,EX547,$EZ$2:$EZ$1000,"Y",$J$2:$J$1000,"&gt;"&amp;J547)+COUNTIFS($EX$2:$EX$1000,EX547,$EZ$2:$EZ$1000,"Y",$J$2:$J$1000,J547,$FG$2:$FG$1000,"&lt;"&amp;FG547)=0,"Y","N")))</f>
        <v/>
      </c>
      <c r="FB547" s="0" t="str">
        <f aca="false">IF($A547="","",IF(AND(EZ547="Y",FA547="Y",Y547&amp;""&lt;&gt;""),IF(Y547&lt;=10,"Y","N"),"N"))</f>
        <v/>
      </c>
      <c r="FC547" s="0" t="str">
        <f aca="false">IF(FB547="Y",Y547,"")</f>
        <v/>
      </c>
      <c r="FD547" s="0" t="str">
        <f aca="false">IF($A547="","",IF(AND(CK547="pass",AU547="Y",AV547&lt;&gt;"Y",U547="new",EW547="N"),"Y","N"))</f>
        <v/>
      </c>
      <c r="FE547" s="0" t="str">
        <f aca="false">IF(FD547&lt;&gt;"Y","",IF(COUNTIFS($FD$2:$FD$1000,"Y",$J$2:$J$1000,"&gt;"&amp;J547)+COUNTIFS($FD$2:$FD$1000,"Y",$J$2:$J$1000,J547,$FG$2:$FG$1000,"&lt;"&amp;FG547)+1&lt;=30,COUNTIFS($FD$2:$FD$1000,"Y",$J$2:$J$1000,"&gt;"&amp;J547)+COUNTIFS($FD$2:$FD$1000,"Y",$J$2:$J$1000,J547,$FG$2:$FG$1000,"&lt;"&amp;FG547)+1,""))</f>
        <v/>
      </c>
      <c r="FF547" s="0" t="str">
        <f aca="false">IF(AND(_xlfn.ISFORMULA(C547),_xlfn.ISFORMULA(J547)),"Y","N")</f>
        <v>Y</v>
      </c>
      <c r="FG547" s="0" t="n">
        <f aca="false">ROW()-1</f>
        <v>546</v>
      </c>
    </row>
    <row r="548" customFormat="false" ht="15" hidden="false" customHeight="false" outlineLevel="0" collapsed="false">
      <c r="C548" s="0" t="str">
        <f aca="false">IF($A548="","",IF(AT548="Y",BL548&amp;"",AY548&amp;""))</f>
        <v/>
      </c>
      <c r="D548" s="0" t="str">
        <f aca="false">IF($A548="","",IF(AT548="Y",BM548&amp;"",AZ548&amp;""))</f>
        <v/>
      </c>
      <c r="E548" s="0" t="str">
        <f aca="false">IF($A548="","",IF(AT548="Y",BN548&amp;"",BA548&amp;""))</f>
        <v/>
      </c>
      <c r="F548" s="0" t="str">
        <f aca="false">IF($A548="","",IF(AT548="Y",BO548&amp;"",BB548&amp;""))</f>
        <v/>
      </c>
      <c r="G548" s="0" t="str">
        <f aca="false">IF($A548="","",IF(AT548="Y",BP548&amp;"",BC548&amp;""))</f>
        <v/>
      </c>
      <c r="H548" s="0" t="str">
        <f aca="false">IF($A548="","",IF(AT548="Y",BQ548&amp;"",BD548&amp;""))</f>
        <v/>
      </c>
      <c r="I548" s="0" t="str">
        <f aca="false">IF($A548="","",IF(R548="Y","warm-intro",IF(H548="verified","email",IF(C548&lt;&gt;"","linkedin",CA548&amp;""))))</f>
        <v/>
      </c>
      <c r="J548" s="0" t="str">
        <f aca="false">IF($A548="","",IF(CK548="pass",ROUND(N(DO548)+N(DP548)+N(DQ548)+N(DR548)+N(DS548)+N(DT548)+N(DU548)+N(DV548),0),0))</f>
        <v/>
      </c>
      <c r="K548" s="0" t="str">
        <f aca="false">IF($A548="","",IF(CK548&lt;&gt;"pass",BY548&amp;"",BY548&amp;", "&amp;IF(AT548="Y",BX548&amp;"",BK548&amp;"")&amp;BZ548&amp;IF(R548="Y","; known to the founder (+10)","")&amp;"."))</f>
        <v/>
      </c>
      <c r="R548" s="5"/>
      <c r="T548" s="5"/>
      <c r="U548" s="5"/>
      <c r="Y548" s="0" t="str">
        <f aca="false">IF(FA548&lt;&gt;"Y","",COUNTIFS($FA$2:$FA$1000,"Y",$J$2:$J$1000,"&gt;"&amp;J548)+COUNTIFS($FA$2:$FA$1000,"Y",$J$2:$J$1000,J548,$FG$2:$FG$1000,"&lt;"&amp;FG548)+1)</f>
        <v/>
      </c>
      <c r="AB548" s="0" t="str">
        <f aca="false">IF($A548="","",IF(AT548="Y",BW548&amp;"",BJ548&amp;""))</f>
        <v/>
      </c>
      <c r="AC548" s="0" t="str">
        <f aca="false">IF($A548="","",IF(AT548="Y",BR548&amp;"",BE548&amp;""))</f>
        <v/>
      </c>
      <c r="AD548" s="0" t="str">
        <f aca="false">IF($A548="","",IF(AT548="Y",BS548&amp;"",BF548&amp;""))</f>
        <v/>
      </c>
      <c r="AE548" s="0" t="str">
        <f aca="false">IF($A548="","",IF(AT548="Y",BT548&amp;"",BG548&amp;""))</f>
        <v/>
      </c>
      <c r="AF548" s="0" t="str">
        <f aca="false">IF($A548="","",IF(AT548="Y",BU548&amp;"",BH548&amp;""))</f>
        <v/>
      </c>
      <c r="AG548" s="0" t="str">
        <f aca="false">IF($A548="","",IF(AT548="Y",BV548&amp;"",BI548&amp;""))</f>
        <v/>
      </c>
      <c r="AO548" s="5"/>
      <c r="AR548" s="0" t="str">
        <f aca="false">IF($A548="","",IF(AND(CK548="pass",AO548&lt;&gt;"Y",C548&lt;&gt;"",OR(AU548&lt;&gt;"Y",AV548="Y")),"Y","N"))</f>
        <v/>
      </c>
      <c r="AS548" s="0" t="str">
        <f aca="false">IF($A548="","",_xlfn.TEXTJOIN("; ",TRUE(),IF(CK548&lt;&gt;"pass","gated out",""),IF(AO548="Y","on hold: "&amp;AP548,""),IF(C548="","no contact named on an opened page",""),IF(AND(AU548="Y",AV548&lt;&gt;"Y"),"founder review pending (Founder review tab)","")))</f>
        <v/>
      </c>
      <c r="BC548" s="0" t="str">
        <f aca="false">IF($A548="","",IFERROR(INDEX(Enrichment!$A$2:$GZ$2000,MATCH($A548,INDEX(Enrichment!$A$2:$GZ$2000,0,MATCH("row_id",Enrichment!$A$1:$GZ$1,0)),0),MATCH("work_email",Enrichment!$A$1:$GZ$1,0))&amp;"",""))</f>
        <v/>
      </c>
      <c r="BD548" s="0" t="str">
        <f aca="false">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P548" s="0" t="str">
        <f aca="false">IF($A548="","",IFERROR(INDEX(Enrichment!$A$2:$GZ$2000,MATCH($A548,INDEX(Enrichment!$A$2:$GZ$2000,0,MATCH("row_id",Enrichment!$A$1:$GZ$1,0)),0),MATCH("backup_work_email",Enrichment!$A$1:$GZ$1,0))&amp;"",""))</f>
        <v/>
      </c>
      <c r="BQ548" s="0" t="str">
        <f aca="false">IF($A548="","",IF(BP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DU548" s="0" t="str">
        <f aca="false">IF($A548="","",IF(R548="Y",10,0))</f>
        <v/>
      </c>
      <c r="EV548" s="0" t="str">
        <f aca="false">IF($A548="","",IF(ISNUMBER(MATCH(U548,{"queued","contacted","replied","call_booked","call_done","yes_in_principle","materials_sent"},0)),"Y","N"))</f>
        <v/>
      </c>
      <c r="EW548" s="0" t="str">
        <f aca="false">IF($A548="","",IF(OR(T548="Y",U548="do_not_contact",AQ548&amp;""&lt;&gt;""),"Y","N"))</f>
        <v/>
      </c>
      <c r="EX548" s="0" t="str">
        <f aca="false">IF($A548="","",IF(AN548&amp;""&lt;&gt;"",AN548&amp;"",$A548))</f>
        <v/>
      </c>
      <c r="EY548" s="0" t="str">
        <f aca="false">IF($A548="","",IF(COUNTIFS($EX$2:$EX$1000,EX548,$EV$2:$EV$1000,"Y")+COUNTIFS($EX$2:$EX$1000,EX548,$EW$2:$EW$1000,"Y")&gt;0,"Y","N"))</f>
        <v/>
      </c>
      <c r="EZ548" s="0" t="str">
        <f aca="false">IF($A548="","",IF(AND(U548="new",T548="N",EW548="N",AR548="Y",EY548="N"),"Y","N"))</f>
        <v/>
      </c>
      <c r="FA548" s="0" t="str">
        <f aca="false">IF($A548="","",IF(EZ548&lt;&gt;"Y","N",IF(COUNTIFS($EX$2:$EX$1000,EX548,$EZ$2:$EZ$1000,"Y",$J$2:$J$1000,"&gt;"&amp;J548)+COUNTIFS($EX$2:$EX$1000,EX548,$EZ$2:$EZ$1000,"Y",$J$2:$J$1000,J548,$FG$2:$FG$1000,"&lt;"&amp;FG548)=0,"Y","N")))</f>
        <v/>
      </c>
      <c r="FB548" s="0" t="str">
        <f aca="false">IF($A548="","",IF(AND(EZ548="Y",FA548="Y",Y548&amp;""&lt;&gt;""),IF(Y548&lt;=10,"Y","N"),"N"))</f>
        <v/>
      </c>
      <c r="FC548" s="0" t="str">
        <f aca="false">IF(FB548="Y",Y548,"")</f>
        <v/>
      </c>
      <c r="FD548" s="0" t="str">
        <f aca="false">IF($A548="","",IF(AND(CK548="pass",AU548="Y",AV548&lt;&gt;"Y",U548="new",EW548="N"),"Y","N"))</f>
        <v/>
      </c>
      <c r="FE548" s="0" t="str">
        <f aca="false">IF(FD548&lt;&gt;"Y","",IF(COUNTIFS($FD$2:$FD$1000,"Y",$J$2:$J$1000,"&gt;"&amp;J548)+COUNTIFS($FD$2:$FD$1000,"Y",$J$2:$J$1000,J548,$FG$2:$FG$1000,"&lt;"&amp;FG548)+1&lt;=30,COUNTIFS($FD$2:$FD$1000,"Y",$J$2:$J$1000,"&gt;"&amp;J548)+COUNTIFS($FD$2:$FD$1000,"Y",$J$2:$J$1000,J548,$FG$2:$FG$1000,"&lt;"&amp;FG548)+1,""))</f>
        <v/>
      </c>
      <c r="FF548" s="0" t="str">
        <f aca="false">IF(AND(_xlfn.ISFORMULA(C548),_xlfn.ISFORMULA(J548)),"Y","N")</f>
        <v>Y</v>
      </c>
      <c r="FG548" s="0" t="n">
        <f aca="false">ROW()-1</f>
        <v>547</v>
      </c>
    </row>
    <row r="549" customFormat="false" ht="15" hidden="false" customHeight="false" outlineLevel="0" collapsed="false">
      <c r="C549" s="0" t="str">
        <f aca="false">IF($A549="","",IF(AT549="Y",BL549&amp;"",AY549&amp;""))</f>
        <v/>
      </c>
      <c r="D549" s="0" t="str">
        <f aca="false">IF($A549="","",IF(AT549="Y",BM549&amp;"",AZ549&amp;""))</f>
        <v/>
      </c>
      <c r="E549" s="0" t="str">
        <f aca="false">IF($A549="","",IF(AT549="Y",BN549&amp;"",BA549&amp;""))</f>
        <v/>
      </c>
      <c r="F549" s="0" t="str">
        <f aca="false">IF($A549="","",IF(AT549="Y",BO549&amp;"",BB549&amp;""))</f>
        <v/>
      </c>
      <c r="G549" s="0" t="str">
        <f aca="false">IF($A549="","",IF(AT549="Y",BP549&amp;"",BC549&amp;""))</f>
        <v/>
      </c>
      <c r="H549" s="0" t="str">
        <f aca="false">IF($A549="","",IF(AT549="Y",BQ549&amp;"",BD549&amp;""))</f>
        <v/>
      </c>
      <c r="I549" s="0" t="str">
        <f aca="false">IF($A549="","",IF(R549="Y","warm-intro",IF(H549="verified","email",IF(C549&lt;&gt;"","linkedin",CA549&amp;""))))</f>
        <v/>
      </c>
      <c r="J549" s="0" t="str">
        <f aca="false">IF($A549="","",IF(CK549="pass",ROUND(N(DO549)+N(DP549)+N(DQ549)+N(DR549)+N(DS549)+N(DT549)+N(DU549)+N(DV549),0),0))</f>
        <v/>
      </c>
      <c r="K549" s="0" t="str">
        <f aca="false">IF($A549="","",IF(CK549&lt;&gt;"pass",BY549&amp;"",BY549&amp;", "&amp;IF(AT549="Y",BX549&amp;"",BK549&amp;"")&amp;BZ549&amp;IF(R549="Y","; known to the founder (+10)","")&amp;"."))</f>
        <v/>
      </c>
      <c r="R549" s="5"/>
      <c r="T549" s="5"/>
      <c r="U549" s="5"/>
      <c r="Y549" s="0" t="str">
        <f aca="false">IF(FA549&lt;&gt;"Y","",COUNTIFS($FA$2:$FA$1000,"Y",$J$2:$J$1000,"&gt;"&amp;J549)+COUNTIFS($FA$2:$FA$1000,"Y",$J$2:$J$1000,J549,$FG$2:$FG$1000,"&lt;"&amp;FG549)+1)</f>
        <v/>
      </c>
      <c r="AB549" s="0" t="str">
        <f aca="false">IF($A549="","",IF(AT549="Y",BW549&amp;"",BJ549&amp;""))</f>
        <v/>
      </c>
      <c r="AC549" s="0" t="str">
        <f aca="false">IF($A549="","",IF(AT549="Y",BR549&amp;"",BE549&amp;""))</f>
        <v/>
      </c>
      <c r="AD549" s="0" t="str">
        <f aca="false">IF($A549="","",IF(AT549="Y",BS549&amp;"",BF549&amp;""))</f>
        <v/>
      </c>
      <c r="AE549" s="0" t="str">
        <f aca="false">IF($A549="","",IF(AT549="Y",BT549&amp;"",BG549&amp;""))</f>
        <v/>
      </c>
      <c r="AF549" s="0" t="str">
        <f aca="false">IF($A549="","",IF(AT549="Y",BU549&amp;"",BH549&amp;""))</f>
        <v/>
      </c>
      <c r="AG549" s="0" t="str">
        <f aca="false">IF($A549="","",IF(AT549="Y",BV549&amp;"",BI549&amp;""))</f>
        <v/>
      </c>
      <c r="AO549" s="5"/>
      <c r="AR549" s="0" t="str">
        <f aca="false">IF($A549="","",IF(AND(CK549="pass",AO549&lt;&gt;"Y",C549&lt;&gt;"",OR(AU549&lt;&gt;"Y",AV549="Y")),"Y","N"))</f>
        <v/>
      </c>
      <c r="AS549" s="0" t="str">
        <f aca="false">IF($A549="","",_xlfn.TEXTJOIN("; ",TRUE(),IF(CK549&lt;&gt;"pass","gated out",""),IF(AO549="Y","on hold: "&amp;AP549,""),IF(C549="","no contact named on an opened page",""),IF(AND(AU549="Y",AV549&lt;&gt;"Y"),"founder review pending (Founder review tab)","")))</f>
        <v/>
      </c>
      <c r="BC549" s="0" t="str">
        <f aca="false">IF($A549="","",IFERROR(INDEX(Enrichment!$A$2:$GZ$2000,MATCH($A549,INDEX(Enrichment!$A$2:$GZ$2000,0,MATCH("row_id",Enrichment!$A$1:$GZ$1,0)),0),MATCH("work_email",Enrichment!$A$1:$GZ$1,0))&amp;"",""))</f>
        <v/>
      </c>
      <c r="BD549" s="0" t="str">
        <f aca="false">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P549" s="0" t="str">
        <f aca="false">IF($A549="","",IFERROR(INDEX(Enrichment!$A$2:$GZ$2000,MATCH($A549,INDEX(Enrichment!$A$2:$GZ$2000,0,MATCH("row_id",Enrichment!$A$1:$GZ$1,0)),0),MATCH("backup_work_email",Enrichment!$A$1:$GZ$1,0))&amp;"",""))</f>
        <v/>
      </c>
      <c r="BQ549" s="0" t="str">
        <f aca="false">IF($A549="","",IF(BP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DU549" s="0" t="str">
        <f aca="false">IF($A549="","",IF(R549="Y",10,0))</f>
        <v/>
      </c>
      <c r="EV549" s="0" t="str">
        <f aca="false">IF($A549="","",IF(ISNUMBER(MATCH(U549,{"queued","contacted","replied","call_booked","call_done","yes_in_principle","materials_sent"},0)),"Y","N"))</f>
        <v/>
      </c>
      <c r="EW549" s="0" t="str">
        <f aca="false">IF($A549="","",IF(OR(T549="Y",U549="do_not_contact",AQ549&amp;""&lt;&gt;""),"Y","N"))</f>
        <v/>
      </c>
      <c r="EX549" s="0" t="str">
        <f aca="false">IF($A549="","",IF(AN549&amp;""&lt;&gt;"",AN549&amp;"",$A549))</f>
        <v/>
      </c>
      <c r="EY549" s="0" t="str">
        <f aca="false">IF($A549="","",IF(COUNTIFS($EX$2:$EX$1000,EX549,$EV$2:$EV$1000,"Y")+COUNTIFS($EX$2:$EX$1000,EX549,$EW$2:$EW$1000,"Y")&gt;0,"Y","N"))</f>
        <v/>
      </c>
      <c r="EZ549" s="0" t="str">
        <f aca="false">IF($A549="","",IF(AND(U549="new",T549="N",EW549="N",AR549="Y",EY549="N"),"Y","N"))</f>
        <v/>
      </c>
      <c r="FA549" s="0" t="str">
        <f aca="false">IF($A549="","",IF(EZ549&lt;&gt;"Y","N",IF(COUNTIFS($EX$2:$EX$1000,EX549,$EZ$2:$EZ$1000,"Y",$J$2:$J$1000,"&gt;"&amp;J549)+COUNTIFS($EX$2:$EX$1000,EX549,$EZ$2:$EZ$1000,"Y",$J$2:$J$1000,J549,$FG$2:$FG$1000,"&lt;"&amp;FG549)=0,"Y","N")))</f>
        <v/>
      </c>
      <c r="FB549" s="0" t="str">
        <f aca="false">IF($A549="","",IF(AND(EZ549="Y",FA549="Y",Y549&amp;""&lt;&gt;""),IF(Y549&lt;=10,"Y","N"),"N"))</f>
        <v/>
      </c>
      <c r="FC549" s="0" t="str">
        <f aca="false">IF(FB549="Y",Y549,"")</f>
        <v/>
      </c>
      <c r="FD549" s="0" t="str">
        <f aca="false">IF($A549="","",IF(AND(CK549="pass",AU549="Y",AV549&lt;&gt;"Y",U549="new",EW549="N"),"Y","N"))</f>
        <v/>
      </c>
      <c r="FE549" s="0" t="str">
        <f aca="false">IF(FD549&lt;&gt;"Y","",IF(COUNTIFS($FD$2:$FD$1000,"Y",$J$2:$J$1000,"&gt;"&amp;J549)+COUNTIFS($FD$2:$FD$1000,"Y",$J$2:$J$1000,J549,$FG$2:$FG$1000,"&lt;"&amp;FG549)+1&lt;=30,COUNTIFS($FD$2:$FD$1000,"Y",$J$2:$J$1000,"&gt;"&amp;J549)+COUNTIFS($FD$2:$FD$1000,"Y",$J$2:$J$1000,J549,$FG$2:$FG$1000,"&lt;"&amp;FG549)+1,""))</f>
        <v/>
      </c>
      <c r="FF549" s="0" t="str">
        <f aca="false">IF(AND(_xlfn.ISFORMULA(C549),_xlfn.ISFORMULA(J549)),"Y","N")</f>
        <v>Y</v>
      </c>
      <c r="FG549" s="0" t="n">
        <f aca="false">ROW()-1</f>
        <v>548</v>
      </c>
    </row>
    <row r="550" customFormat="false" ht="15" hidden="false" customHeight="false" outlineLevel="0" collapsed="false">
      <c r="C550" s="0" t="str">
        <f aca="false">IF($A550="","",IF(AT550="Y",BL550&amp;"",AY550&amp;""))</f>
        <v/>
      </c>
      <c r="D550" s="0" t="str">
        <f aca="false">IF($A550="","",IF(AT550="Y",BM550&amp;"",AZ550&amp;""))</f>
        <v/>
      </c>
      <c r="E550" s="0" t="str">
        <f aca="false">IF($A550="","",IF(AT550="Y",BN550&amp;"",BA550&amp;""))</f>
        <v/>
      </c>
      <c r="F550" s="0" t="str">
        <f aca="false">IF($A550="","",IF(AT550="Y",BO550&amp;"",BB550&amp;""))</f>
        <v/>
      </c>
      <c r="G550" s="0" t="str">
        <f aca="false">IF($A550="","",IF(AT550="Y",BP550&amp;"",BC550&amp;""))</f>
        <v/>
      </c>
      <c r="H550" s="0" t="str">
        <f aca="false">IF($A550="","",IF(AT550="Y",BQ550&amp;"",BD550&amp;""))</f>
        <v/>
      </c>
      <c r="I550" s="0" t="str">
        <f aca="false">IF($A550="","",IF(R550="Y","warm-intro",IF(H550="verified","email",IF(C550&lt;&gt;"","linkedin",CA550&amp;""))))</f>
        <v/>
      </c>
      <c r="J550" s="0" t="str">
        <f aca="false">IF($A550="","",IF(CK550="pass",ROUND(N(DO550)+N(DP550)+N(DQ550)+N(DR550)+N(DS550)+N(DT550)+N(DU550)+N(DV550),0),0))</f>
        <v/>
      </c>
      <c r="K550" s="0" t="str">
        <f aca="false">IF($A550="","",IF(CK550&lt;&gt;"pass",BY550&amp;"",BY550&amp;", "&amp;IF(AT550="Y",BX550&amp;"",BK550&amp;"")&amp;BZ550&amp;IF(R550="Y","; known to the founder (+10)","")&amp;"."))</f>
        <v/>
      </c>
      <c r="R550" s="5"/>
      <c r="T550" s="5"/>
      <c r="U550" s="5"/>
      <c r="Y550" s="0" t="str">
        <f aca="false">IF(FA550&lt;&gt;"Y","",COUNTIFS($FA$2:$FA$1000,"Y",$J$2:$J$1000,"&gt;"&amp;J550)+COUNTIFS($FA$2:$FA$1000,"Y",$J$2:$J$1000,J550,$FG$2:$FG$1000,"&lt;"&amp;FG550)+1)</f>
        <v/>
      </c>
      <c r="AB550" s="0" t="str">
        <f aca="false">IF($A550="","",IF(AT550="Y",BW550&amp;"",BJ550&amp;""))</f>
        <v/>
      </c>
      <c r="AC550" s="0" t="str">
        <f aca="false">IF($A550="","",IF(AT550="Y",BR550&amp;"",BE550&amp;""))</f>
        <v/>
      </c>
      <c r="AD550" s="0" t="str">
        <f aca="false">IF($A550="","",IF(AT550="Y",BS550&amp;"",BF550&amp;""))</f>
        <v/>
      </c>
      <c r="AE550" s="0" t="str">
        <f aca="false">IF($A550="","",IF(AT550="Y",BT550&amp;"",BG550&amp;""))</f>
        <v/>
      </c>
      <c r="AF550" s="0" t="str">
        <f aca="false">IF($A550="","",IF(AT550="Y",BU550&amp;"",BH550&amp;""))</f>
        <v/>
      </c>
      <c r="AG550" s="0" t="str">
        <f aca="false">IF($A550="","",IF(AT550="Y",BV550&amp;"",BI550&amp;""))</f>
        <v/>
      </c>
      <c r="AO550" s="5"/>
      <c r="AR550" s="0" t="str">
        <f aca="false">IF($A550="","",IF(AND(CK550="pass",AO550&lt;&gt;"Y",C550&lt;&gt;"",OR(AU550&lt;&gt;"Y",AV550="Y")),"Y","N"))</f>
        <v/>
      </c>
      <c r="AS550" s="0" t="str">
        <f aca="false">IF($A550="","",_xlfn.TEXTJOIN("; ",TRUE(),IF(CK550&lt;&gt;"pass","gated out",""),IF(AO550="Y","on hold: "&amp;AP550,""),IF(C550="","no contact named on an opened page",""),IF(AND(AU550="Y",AV550&lt;&gt;"Y"),"founder review pending (Founder review tab)","")))</f>
        <v/>
      </c>
      <c r="BC550" s="0" t="str">
        <f aca="false">IF($A550="","",IFERROR(INDEX(Enrichment!$A$2:$GZ$2000,MATCH($A550,INDEX(Enrichment!$A$2:$GZ$2000,0,MATCH("row_id",Enrichment!$A$1:$GZ$1,0)),0),MATCH("work_email",Enrichment!$A$1:$GZ$1,0))&amp;"",""))</f>
        <v/>
      </c>
      <c r="BD550" s="0" t="str">
        <f aca="false">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P550" s="0" t="str">
        <f aca="false">IF($A550="","",IFERROR(INDEX(Enrichment!$A$2:$GZ$2000,MATCH($A550,INDEX(Enrichment!$A$2:$GZ$2000,0,MATCH("row_id",Enrichment!$A$1:$GZ$1,0)),0),MATCH("backup_work_email",Enrichment!$A$1:$GZ$1,0))&amp;"",""))</f>
        <v/>
      </c>
      <c r="BQ550" s="0" t="str">
        <f aca="false">IF($A550="","",IF(BP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DU550" s="0" t="str">
        <f aca="false">IF($A550="","",IF(R550="Y",10,0))</f>
        <v/>
      </c>
      <c r="EV550" s="0" t="str">
        <f aca="false">IF($A550="","",IF(ISNUMBER(MATCH(U550,{"queued","contacted","replied","call_booked","call_done","yes_in_principle","materials_sent"},0)),"Y","N"))</f>
        <v/>
      </c>
      <c r="EW550" s="0" t="str">
        <f aca="false">IF($A550="","",IF(OR(T550="Y",U550="do_not_contact",AQ550&amp;""&lt;&gt;""),"Y","N"))</f>
        <v/>
      </c>
      <c r="EX550" s="0" t="str">
        <f aca="false">IF($A550="","",IF(AN550&amp;""&lt;&gt;"",AN550&amp;"",$A550))</f>
        <v/>
      </c>
      <c r="EY550" s="0" t="str">
        <f aca="false">IF($A550="","",IF(COUNTIFS($EX$2:$EX$1000,EX550,$EV$2:$EV$1000,"Y")+COUNTIFS($EX$2:$EX$1000,EX550,$EW$2:$EW$1000,"Y")&gt;0,"Y","N"))</f>
        <v/>
      </c>
      <c r="EZ550" s="0" t="str">
        <f aca="false">IF($A550="","",IF(AND(U550="new",T550="N",EW550="N",AR550="Y",EY550="N"),"Y","N"))</f>
        <v/>
      </c>
      <c r="FA550" s="0" t="str">
        <f aca="false">IF($A550="","",IF(EZ550&lt;&gt;"Y","N",IF(COUNTIFS($EX$2:$EX$1000,EX550,$EZ$2:$EZ$1000,"Y",$J$2:$J$1000,"&gt;"&amp;J550)+COUNTIFS($EX$2:$EX$1000,EX550,$EZ$2:$EZ$1000,"Y",$J$2:$J$1000,J550,$FG$2:$FG$1000,"&lt;"&amp;FG550)=0,"Y","N")))</f>
        <v/>
      </c>
      <c r="FB550" s="0" t="str">
        <f aca="false">IF($A550="","",IF(AND(EZ550="Y",FA550="Y",Y550&amp;""&lt;&gt;""),IF(Y550&lt;=10,"Y","N"),"N"))</f>
        <v/>
      </c>
      <c r="FC550" s="0" t="str">
        <f aca="false">IF(FB550="Y",Y550,"")</f>
        <v/>
      </c>
      <c r="FD550" s="0" t="str">
        <f aca="false">IF($A550="","",IF(AND(CK550="pass",AU550="Y",AV550&lt;&gt;"Y",U550="new",EW550="N"),"Y","N"))</f>
        <v/>
      </c>
      <c r="FE550" s="0" t="str">
        <f aca="false">IF(FD550&lt;&gt;"Y","",IF(COUNTIFS($FD$2:$FD$1000,"Y",$J$2:$J$1000,"&gt;"&amp;J550)+COUNTIFS($FD$2:$FD$1000,"Y",$J$2:$J$1000,J550,$FG$2:$FG$1000,"&lt;"&amp;FG550)+1&lt;=30,COUNTIFS($FD$2:$FD$1000,"Y",$J$2:$J$1000,"&gt;"&amp;J550)+COUNTIFS($FD$2:$FD$1000,"Y",$J$2:$J$1000,J550,$FG$2:$FG$1000,"&lt;"&amp;FG550)+1,""))</f>
        <v/>
      </c>
      <c r="FF550" s="0" t="str">
        <f aca="false">IF(AND(_xlfn.ISFORMULA(C550),_xlfn.ISFORMULA(J550)),"Y","N")</f>
        <v>Y</v>
      </c>
      <c r="FG550" s="0" t="n">
        <f aca="false">ROW()-1</f>
        <v>549</v>
      </c>
    </row>
    <row r="551" customFormat="false" ht="15" hidden="false" customHeight="false" outlineLevel="0" collapsed="false">
      <c r="C551" s="0" t="str">
        <f aca="false">IF($A551="","",IF(AT551="Y",BL551&amp;"",AY551&amp;""))</f>
        <v/>
      </c>
      <c r="D551" s="0" t="str">
        <f aca="false">IF($A551="","",IF(AT551="Y",BM551&amp;"",AZ551&amp;""))</f>
        <v/>
      </c>
      <c r="E551" s="0" t="str">
        <f aca="false">IF($A551="","",IF(AT551="Y",BN551&amp;"",BA551&amp;""))</f>
        <v/>
      </c>
      <c r="F551" s="0" t="str">
        <f aca="false">IF($A551="","",IF(AT551="Y",BO551&amp;"",BB551&amp;""))</f>
        <v/>
      </c>
      <c r="G551" s="0" t="str">
        <f aca="false">IF($A551="","",IF(AT551="Y",BP551&amp;"",BC551&amp;""))</f>
        <v/>
      </c>
      <c r="H551" s="0" t="str">
        <f aca="false">IF($A551="","",IF(AT551="Y",BQ551&amp;"",BD551&amp;""))</f>
        <v/>
      </c>
      <c r="I551" s="0" t="str">
        <f aca="false">IF($A551="","",IF(R551="Y","warm-intro",IF(H551="verified","email",IF(C551&lt;&gt;"","linkedin",CA551&amp;""))))</f>
        <v/>
      </c>
      <c r="J551" s="0" t="str">
        <f aca="false">IF($A551="","",IF(CK551="pass",ROUND(N(DO551)+N(DP551)+N(DQ551)+N(DR551)+N(DS551)+N(DT551)+N(DU551)+N(DV551),0),0))</f>
        <v/>
      </c>
      <c r="K551" s="0" t="str">
        <f aca="false">IF($A551="","",IF(CK551&lt;&gt;"pass",BY551&amp;"",BY551&amp;", "&amp;IF(AT551="Y",BX551&amp;"",BK551&amp;"")&amp;BZ551&amp;IF(R551="Y","; known to the founder (+10)","")&amp;"."))</f>
        <v/>
      </c>
      <c r="R551" s="5"/>
      <c r="T551" s="5"/>
      <c r="U551" s="5"/>
      <c r="Y551" s="0" t="str">
        <f aca="false">IF(FA551&lt;&gt;"Y","",COUNTIFS($FA$2:$FA$1000,"Y",$J$2:$J$1000,"&gt;"&amp;J551)+COUNTIFS($FA$2:$FA$1000,"Y",$J$2:$J$1000,J551,$FG$2:$FG$1000,"&lt;"&amp;FG551)+1)</f>
        <v/>
      </c>
      <c r="AB551" s="0" t="str">
        <f aca="false">IF($A551="","",IF(AT551="Y",BW551&amp;"",BJ551&amp;""))</f>
        <v/>
      </c>
      <c r="AC551" s="0" t="str">
        <f aca="false">IF($A551="","",IF(AT551="Y",BR551&amp;"",BE551&amp;""))</f>
        <v/>
      </c>
      <c r="AD551" s="0" t="str">
        <f aca="false">IF($A551="","",IF(AT551="Y",BS551&amp;"",BF551&amp;""))</f>
        <v/>
      </c>
      <c r="AE551" s="0" t="str">
        <f aca="false">IF($A551="","",IF(AT551="Y",BT551&amp;"",BG551&amp;""))</f>
        <v/>
      </c>
      <c r="AF551" s="0" t="str">
        <f aca="false">IF($A551="","",IF(AT551="Y",BU551&amp;"",BH551&amp;""))</f>
        <v/>
      </c>
      <c r="AG551" s="0" t="str">
        <f aca="false">IF($A551="","",IF(AT551="Y",BV551&amp;"",BI551&amp;""))</f>
        <v/>
      </c>
      <c r="AO551" s="5"/>
      <c r="AR551" s="0" t="str">
        <f aca="false">IF($A551="","",IF(AND(CK551="pass",AO551&lt;&gt;"Y",C551&lt;&gt;"",OR(AU551&lt;&gt;"Y",AV551="Y")),"Y","N"))</f>
        <v/>
      </c>
      <c r="AS551" s="0" t="str">
        <f aca="false">IF($A551="","",_xlfn.TEXTJOIN("; ",TRUE(),IF(CK551&lt;&gt;"pass","gated out",""),IF(AO551="Y","on hold: "&amp;AP551,""),IF(C551="","no contact named on an opened page",""),IF(AND(AU551="Y",AV551&lt;&gt;"Y"),"founder review pending (Founder review tab)","")))</f>
        <v/>
      </c>
      <c r="BC551" s="0" t="str">
        <f aca="false">IF($A551="","",IFERROR(INDEX(Enrichment!$A$2:$GZ$2000,MATCH($A551,INDEX(Enrichment!$A$2:$GZ$2000,0,MATCH("row_id",Enrichment!$A$1:$GZ$1,0)),0),MATCH("work_email",Enrichment!$A$1:$GZ$1,0))&amp;"",""))</f>
        <v/>
      </c>
      <c r="BD551" s="0" t="str">
        <f aca="false">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P551" s="0" t="str">
        <f aca="false">IF($A551="","",IFERROR(INDEX(Enrichment!$A$2:$GZ$2000,MATCH($A551,INDEX(Enrichment!$A$2:$GZ$2000,0,MATCH("row_id",Enrichment!$A$1:$GZ$1,0)),0),MATCH("backup_work_email",Enrichment!$A$1:$GZ$1,0))&amp;"",""))</f>
        <v/>
      </c>
      <c r="BQ551" s="0" t="str">
        <f aca="false">IF($A551="","",IF(BP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DU551" s="0" t="str">
        <f aca="false">IF($A551="","",IF(R551="Y",10,0))</f>
        <v/>
      </c>
      <c r="EV551" s="0" t="str">
        <f aca="false">IF($A551="","",IF(ISNUMBER(MATCH(U551,{"queued","contacted","replied","call_booked","call_done","yes_in_principle","materials_sent"},0)),"Y","N"))</f>
        <v/>
      </c>
      <c r="EW551" s="0" t="str">
        <f aca="false">IF($A551="","",IF(OR(T551="Y",U551="do_not_contact",AQ551&amp;""&lt;&gt;""),"Y","N"))</f>
        <v/>
      </c>
      <c r="EX551" s="0" t="str">
        <f aca="false">IF($A551="","",IF(AN551&amp;""&lt;&gt;"",AN551&amp;"",$A551))</f>
        <v/>
      </c>
      <c r="EY551" s="0" t="str">
        <f aca="false">IF($A551="","",IF(COUNTIFS($EX$2:$EX$1000,EX551,$EV$2:$EV$1000,"Y")+COUNTIFS($EX$2:$EX$1000,EX551,$EW$2:$EW$1000,"Y")&gt;0,"Y","N"))</f>
        <v/>
      </c>
      <c r="EZ551" s="0" t="str">
        <f aca="false">IF($A551="","",IF(AND(U551="new",T551="N",EW551="N",AR551="Y",EY551="N"),"Y","N"))</f>
        <v/>
      </c>
      <c r="FA551" s="0" t="str">
        <f aca="false">IF($A551="","",IF(EZ551&lt;&gt;"Y","N",IF(COUNTIFS($EX$2:$EX$1000,EX551,$EZ$2:$EZ$1000,"Y",$J$2:$J$1000,"&gt;"&amp;J551)+COUNTIFS($EX$2:$EX$1000,EX551,$EZ$2:$EZ$1000,"Y",$J$2:$J$1000,J551,$FG$2:$FG$1000,"&lt;"&amp;FG551)=0,"Y","N")))</f>
        <v/>
      </c>
      <c r="FB551" s="0" t="str">
        <f aca="false">IF($A551="","",IF(AND(EZ551="Y",FA551="Y",Y551&amp;""&lt;&gt;""),IF(Y551&lt;=10,"Y","N"),"N"))</f>
        <v/>
      </c>
      <c r="FC551" s="0" t="str">
        <f aca="false">IF(FB551="Y",Y551,"")</f>
        <v/>
      </c>
      <c r="FD551" s="0" t="str">
        <f aca="false">IF($A551="","",IF(AND(CK551="pass",AU551="Y",AV551&lt;&gt;"Y",U551="new",EW551="N"),"Y","N"))</f>
        <v/>
      </c>
      <c r="FE551" s="0" t="str">
        <f aca="false">IF(FD551&lt;&gt;"Y","",IF(COUNTIFS($FD$2:$FD$1000,"Y",$J$2:$J$1000,"&gt;"&amp;J551)+COUNTIFS($FD$2:$FD$1000,"Y",$J$2:$J$1000,J551,$FG$2:$FG$1000,"&lt;"&amp;FG551)+1&lt;=30,COUNTIFS($FD$2:$FD$1000,"Y",$J$2:$J$1000,"&gt;"&amp;J551)+COUNTIFS($FD$2:$FD$1000,"Y",$J$2:$J$1000,J551,$FG$2:$FG$1000,"&lt;"&amp;FG551)+1,""))</f>
        <v/>
      </c>
      <c r="FF551" s="0" t="str">
        <f aca="false">IF(AND(_xlfn.ISFORMULA(C551),_xlfn.ISFORMULA(J551)),"Y","N")</f>
        <v>Y</v>
      </c>
      <c r="FG551" s="0" t="n">
        <f aca="false">ROW()-1</f>
        <v>550</v>
      </c>
    </row>
    <row r="552" customFormat="false" ht="15" hidden="false" customHeight="false" outlineLevel="0" collapsed="false">
      <c r="C552" s="0" t="str">
        <f aca="false">IF($A552="","",IF(AT552="Y",BL552&amp;"",AY552&amp;""))</f>
        <v/>
      </c>
      <c r="D552" s="0" t="str">
        <f aca="false">IF($A552="","",IF(AT552="Y",BM552&amp;"",AZ552&amp;""))</f>
        <v/>
      </c>
      <c r="E552" s="0" t="str">
        <f aca="false">IF($A552="","",IF(AT552="Y",BN552&amp;"",BA552&amp;""))</f>
        <v/>
      </c>
      <c r="F552" s="0" t="str">
        <f aca="false">IF($A552="","",IF(AT552="Y",BO552&amp;"",BB552&amp;""))</f>
        <v/>
      </c>
      <c r="G552" s="0" t="str">
        <f aca="false">IF($A552="","",IF(AT552="Y",BP552&amp;"",BC552&amp;""))</f>
        <v/>
      </c>
      <c r="H552" s="0" t="str">
        <f aca="false">IF($A552="","",IF(AT552="Y",BQ552&amp;"",BD552&amp;""))</f>
        <v/>
      </c>
      <c r="I552" s="0" t="str">
        <f aca="false">IF($A552="","",IF(R552="Y","warm-intro",IF(H552="verified","email",IF(C552&lt;&gt;"","linkedin",CA552&amp;""))))</f>
        <v/>
      </c>
      <c r="J552" s="0" t="str">
        <f aca="false">IF($A552="","",IF(CK552="pass",ROUND(N(DO552)+N(DP552)+N(DQ552)+N(DR552)+N(DS552)+N(DT552)+N(DU552)+N(DV552),0),0))</f>
        <v/>
      </c>
      <c r="K552" s="0" t="str">
        <f aca="false">IF($A552="","",IF(CK552&lt;&gt;"pass",BY552&amp;"",BY552&amp;", "&amp;IF(AT552="Y",BX552&amp;"",BK552&amp;"")&amp;BZ552&amp;IF(R552="Y","; known to the founder (+10)","")&amp;"."))</f>
        <v/>
      </c>
      <c r="R552" s="5"/>
      <c r="T552" s="5"/>
      <c r="U552" s="5"/>
      <c r="Y552" s="0" t="str">
        <f aca="false">IF(FA552&lt;&gt;"Y","",COUNTIFS($FA$2:$FA$1000,"Y",$J$2:$J$1000,"&gt;"&amp;J552)+COUNTIFS($FA$2:$FA$1000,"Y",$J$2:$J$1000,J552,$FG$2:$FG$1000,"&lt;"&amp;FG552)+1)</f>
        <v/>
      </c>
      <c r="AB552" s="0" t="str">
        <f aca="false">IF($A552="","",IF(AT552="Y",BW552&amp;"",BJ552&amp;""))</f>
        <v/>
      </c>
      <c r="AC552" s="0" t="str">
        <f aca="false">IF($A552="","",IF(AT552="Y",BR552&amp;"",BE552&amp;""))</f>
        <v/>
      </c>
      <c r="AD552" s="0" t="str">
        <f aca="false">IF($A552="","",IF(AT552="Y",BS552&amp;"",BF552&amp;""))</f>
        <v/>
      </c>
      <c r="AE552" s="0" t="str">
        <f aca="false">IF($A552="","",IF(AT552="Y",BT552&amp;"",BG552&amp;""))</f>
        <v/>
      </c>
      <c r="AF552" s="0" t="str">
        <f aca="false">IF($A552="","",IF(AT552="Y",BU552&amp;"",BH552&amp;""))</f>
        <v/>
      </c>
      <c r="AG552" s="0" t="str">
        <f aca="false">IF($A552="","",IF(AT552="Y",BV552&amp;"",BI552&amp;""))</f>
        <v/>
      </c>
      <c r="AO552" s="5"/>
      <c r="AR552" s="0" t="str">
        <f aca="false">IF($A552="","",IF(AND(CK552="pass",AO552&lt;&gt;"Y",C552&lt;&gt;"",OR(AU552&lt;&gt;"Y",AV552="Y")),"Y","N"))</f>
        <v/>
      </c>
      <c r="AS552" s="0" t="str">
        <f aca="false">IF($A552="","",_xlfn.TEXTJOIN("; ",TRUE(),IF(CK552&lt;&gt;"pass","gated out",""),IF(AO552="Y","on hold: "&amp;AP552,""),IF(C552="","no contact named on an opened page",""),IF(AND(AU552="Y",AV552&lt;&gt;"Y"),"founder review pending (Founder review tab)","")))</f>
        <v/>
      </c>
      <c r="BC552" s="0" t="str">
        <f aca="false">IF($A552="","",IFERROR(INDEX(Enrichment!$A$2:$GZ$2000,MATCH($A552,INDEX(Enrichment!$A$2:$GZ$2000,0,MATCH("row_id",Enrichment!$A$1:$GZ$1,0)),0),MATCH("work_email",Enrichment!$A$1:$GZ$1,0))&amp;"",""))</f>
        <v/>
      </c>
      <c r="BD552" s="0" t="str">
        <f aca="false">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P552" s="0" t="str">
        <f aca="false">IF($A552="","",IFERROR(INDEX(Enrichment!$A$2:$GZ$2000,MATCH($A552,INDEX(Enrichment!$A$2:$GZ$2000,0,MATCH("row_id",Enrichment!$A$1:$GZ$1,0)),0),MATCH("backup_work_email",Enrichment!$A$1:$GZ$1,0))&amp;"",""))</f>
        <v/>
      </c>
      <c r="BQ552" s="0" t="str">
        <f aca="false">IF($A552="","",IF(BP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DU552" s="0" t="str">
        <f aca="false">IF($A552="","",IF(R552="Y",10,0))</f>
        <v/>
      </c>
      <c r="EV552" s="0" t="str">
        <f aca="false">IF($A552="","",IF(ISNUMBER(MATCH(U552,{"queued","contacted","replied","call_booked","call_done","yes_in_principle","materials_sent"},0)),"Y","N"))</f>
        <v/>
      </c>
      <c r="EW552" s="0" t="str">
        <f aca="false">IF($A552="","",IF(OR(T552="Y",U552="do_not_contact",AQ552&amp;""&lt;&gt;""),"Y","N"))</f>
        <v/>
      </c>
      <c r="EX552" s="0" t="str">
        <f aca="false">IF($A552="","",IF(AN552&amp;""&lt;&gt;"",AN552&amp;"",$A552))</f>
        <v/>
      </c>
      <c r="EY552" s="0" t="str">
        <f aca="false">IF($A552="","",IF(COUNTIFS($EX$2:$EX$1000,EX552,$EV$2:$EV$1000,"Y")+COUNTIFS($EX$2:$EX$1000,EX552,$EW$2:$EW$1000,"Y")&gt;0,"Y","N"))</f>
        <v/>
      </c>
      <c r="EZ552" s="0" t="str">
        <f aca="false">IF($A552="","",IF(AND(U552="new",T552="N",EW552="N",AR552="Y",EY552="N"),"Y","N"))</f>
        <v/>
      </c>
      <c r="FA552" s="0" t="str">
        <f aca="false">IF($A552="","",IF(EZ552&lt;&gt;"Y","N",IF(COUNTIFS($EX$2:$EX$1000,EX552,$EZ$2:$EZ$1000,"Y",$J$2:$J$1000,"&gt;"&amp;J552)+COUNTIFS($EX$2:$EX$1000,EX552,$EZ$2:$EZ$1000,"Y",$J$2:$J$1000,J552,$FG$2:$FG$1000,"&lt;"&amp;FG552)=0,"Y","N")))</f>
        <v/>
      </c>
      <c r="FB552" s="0" t="str">
        <f aca="false">IF($A552="","",IF(AND(EZ552="Y",FA552="Y",Y552&amp;""&lt;&gt;""),IF(Y552&lt;=10,"Y","N"),"N"))</f>
        <v/>
      </c>
      <c r="FC552" s="0" t="str">
        <f aca="false">IF(FB552="Y",Y552,"")</f>
        <v/>
      </c>
      <c r="FD552" s="0" t="str">
        <f aca="false">IF($A552="","",IF(AND(CK552="pass",AU552="Y",AV552&lt;&gt;"Y",U552="new",EW552="N"),"Y","N"))</f>
        <v/>
      </c>
      <c r="FE552" s="0" t="str">
        <f aca="false">IF(FD552&lt;&gt;"Y","",IF(COUNTIFS($FD$2:$FD$1000,"Y",$J$2:$J$1000,"&gt;"&amp;J552)+COUNTIFS($FD$2:$FD$1000,"Y",$J$2:$J$1000,J552,$FG$2:$FG$1000,"&lt;"&amp;FG552)+1&lt;=30,COUNTIFS($FD$2:$FD$1000,"Y",$J$2:$J$1000,"&gt;"&amp;J552)+COUNTIFS($FD$2:$FD$1000,"Y",$J$2:$J$1000,J552,$FG$2:$FG$1000,"&lt;"&amp;FG552)+1,""))</f>
        <v/>
      </c>
      <c r="FF552" s="0" t="str">
        <f aca="false">IF(AND(_xlfn.ISFORMULA(C552),_xlfn.ISFORMULA(J552)),"Y","N")</f>
        <v>Y</v>
      </c>
      <c r="FG552" s="0" t="n">
        <f aca="false">ROW()-1</f>
        <v>551</v>
      </c>
    </row>
    <row r="553" customFormat="false" ht="15" hidden="false" customHeight="false" outlineLevel="0" collapsed="false">
      <c r="C553" s="0" t="str">
        <f aca="false">IF($A553="","",IF(AT553="Y",BL553&amp;"",AY553&amp;""))</f>
        <v/>
      </c>
      <c r="D553" s="0" t="str">
        <f aca="false">IF($A553="","",IF(AT553="Y",BM553&amp;"",AZ553&amp;""))</f>
        <v/>
      </c>
      <c r="E553" s="0" t="str">
        <f aca="false">IF($A553="","",IF(AT553="Y",BN553&amp;"",BA553&amp;""))</f>
        <v/>
      </c>
      <c r="F553" s="0" t="str">
        <f aca="false">IF($A553="","",IF(AT553="Y",BO553&amp;"",BB553&amp;""))</f>
        <v/>
      </c>
      <c r="G553" s="0" t="str">
        <f aca="false">IF($A553="","",IF(AT553="Y",BP553&amp;"",BC553&amp;""))</f>
        <v/>
      </c>
      <c r="H553" s="0" t="str">
        <f aca="false">IF($A553="","",IF(AT553="Y",BQ553&amp;"",BD553&amp;""))</f>
        <v/>
      </c>
      <c r="I553" s="0" t="str">
        <f aca="false">IF($A553="","",IF(R553="Y","warm-intro",IF(H553="verified","email",IF(C553&lt;&gt;"","linkedin",CA553&amp;""))))</f>
        <v/>
      </c>
      <c r="J553" s="0" t="str">
        <f aca="false">IF($A553="","",IF(CK553="pass",ROUND(N(DO553)+N(DP553)+N(DQ553)+N(DR553)+N(DS553)+N(DT553)+N(DU553)+N(DV553),0),0))</f>
        <v/>
      </c>
      <c r="K553" s="0" t="str">
        <f aca="false">IF($A553="","",IF(CK553&lt;&gt;"pass",BY553&amp;"",BY553&amp;", "&amp;IF(AT553="Y",BX553&amp;"",BK553&amp;"")&amp;BZ553&amp;IF(R553="Y","; known to the founder (+10)","")&amp;"."))</f>
        <v/>
      </c>
      <c r="R553" s="5"/>
      <c r="T553" s="5"/>
      <c r="U553" s="5"/>
      <c r="Y553" s="0" t="str">
        <f aca="false">IF(FA553&lt;&gt;"Y","",COUNTIFS($FA$2:$FA$1000,"Y",$J$2:$J$1000,"&gt;"&amp;J553)+COUNTIFS($FA$2:$FA$1000,"Y",$J$2:$J$1000,J553,$FG$2:$FG$1000,"&lt;"&amp;FG553)+1)</f>
        <v/>
      </c>
      <c r="AB553" s="0" t="str">
        <f aca="false">IF($A553="","",IF(AT553="Y",BW553&amp;"",BJ553&amp;""))</f>
        <v/>
      </c>
      <c r="AC553" s="0" t="str">
        <f aca="false">IF($A553="","",IF(AT553="Y",BR553&amp;"",BE553&amp;""))</f>
        <v/>
      </c>
      <c r="AD553" s="0" t="str">
        <f aca="false">IF($A553="","",IF(AT553="Y",BS553&amp;"",BF553&amp;""))</f>
        <v/>
      </c>
      <c r="AE553" s="0" t="str">
        <f aca="false">IF($A553="","",IF(AT553="Y",BT553&amp;"",BG553&amp;""))</f>
        <v/>
      </c>
      <c r="AF553" s="0" t="str">
        <f aca="false">IF($A553="","",IF(AT553="Y",BU553&amp;"",BH553&amp;""))</f>
        <v/>
      </c>
      <c r="AG553" s="0" t="str">
        <f aca="false">IF($A553="","",IF(AT553="Y",BV553&amp;"",BI553&amp;""))</f>
        <v/>
      </c>
      <c r="AO553" s="5"/>
      <c r="AR553" s="0" t="str">
        <f aca="false">IF($A553="","",IF(AND(CK553="pass",AO553&lt;&gt;"Y",C553&lt;&gt;"",OR(AU553&lt;&gt;"Y",AV553="Y")),"Y","N"))</f>
        <v/>
      </c>
      <c r="AS553" s="0" t="str">
        <f aca="false">IF($A553="","",_xlfn.TEXTJOIN("; ",TRUE(),IF(CK553&lt;&gt;"pass","gated out",""),IF(AO553="Y","on hold: "&amp;AP553,""),IF(C553="","no contact named on an opened page",""),IF(AND(AU553="Y",AV553&lt;&gt;"Y"),"founder review pending (Founder review tab)","")))</f>
        <v/>
      </c>
      <c r="BC553" s="0" t="str">
        <f aca="false">IF($A553="","",IFERROR(INDEX(Enrichment!$A$2:$GZ$2000,MATCH($A553,INDEX(Enrichment!$A$2:$GZ$2000,0,MATCH("row_id",Enrichment!$A$1:$GZ$1,0)),0),MATCH("work_email",Enrichment!$A$1:$GZ$1,0))&amp;"",""))</f>
        <v/>
      </c>
      <c r="BD553" s="0" t="str">
        <f aca="false">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P553" s="0" t="str">
        <f aca="false">IF($A553="","",IFERROR(INDEX(Enrichment!$A$2:$GZ$2000,MATCH($A553,INDEX(Enrichment!$A$2:$GZ$2000,0,MATCH("row_id",Enrichment!$A$1:$GZ$1,0)),0),MATCH("backup_work_email",Enrichment!$A$1:$GZ$1,0))&amp;"",""))</f>
        <v/>
      </c>
      <c r="BQ553" s="0" t="str">
        <f aca="false">IF($A553="","",IF(BP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DU553" s="0" t="str">
        <f aca="false">IF($A553="","",IF(R553="Y",10,0))</f>
        <v/>
      </c>
      <c r="EV553" s="0" t="str">
        <f aca="false">IF($A553="","",IF(ISNUMBER(MATCH(U553,{"queued","contacted","replied","call_booked","call_done","yes_in_principle","materials_sent"},0)),"Y","N"))</f>
        <v/>
      </c>
      <c r="EW553" s="0" t="str">
        <f aca="false">IF($A553="","",IF(OR(T553="Y",U553="do_not_contact",AQ553&amp;""&lt;&gt;""),"Y","N"))</f>
        <v/>
      </c>
      <c r="EX553" s="0" t="str">
        <f aca="false">IF($A553="","",IF(AN553&amp;""&lt;&gt;"",AN553&amp;"",$A553))</f>
        <v/>
      </c>
      <c r="EY553" s="0" t="str">
        <f aca="false">IF($A553="","",IF(COUNTIFS($EX$2:$EX$1000,EX553,$EV$2:$EV$1000,"Y")+COUNTIFS($EX$2:$EX$1000,EX553,$EW$2:$EW$1000,"Y")&gt;0,"Y","N"))</f>
        <v/>
      </c>
      <c r="EZ553" s="0" t="str">
        <f aca="false">IF($A553="","",IF(AND(U553="new",T553="N",EW553="N",AR553="Y",EY553="N"),"Y","N"))</f>
        <v/>
      </c>
      <c r="FA553" s="0" t="str">
        <f aca="false">IF($A553="","",IF(EZ553&lt;&gt;"Y","N",IF(COUNTIFS($EX$2:$EX$1000,EX553,$EZ$2:$EZ$1000,"Y",$J$2:$J$1000,"&gt;"&amp;J553)+COUNTIFS($EX$2:$EX$1000,EX553,$EZ$2:$EZ$1000,"Y",$J$2:$J$1000,J553,$FG$2:$FG$1000,"&lt;"&amp;FG553)=0,"Y","N")))</f>
        <v/>
      </c>
      <c r="FB553" s="0" t="str">
        <f aca="false">IF($A553="","",IF(AND(EZ553="Y",FA553="Y",Y553&amp;""&lt;&gt;""),IF(Y553&lt;=10,"Y","N"),"N"))</f>
        <v/>
      </c>
      <c r="FC553" s="0" t="str">
        <f aca="false">IF(FB553="Y",Y553,"")</f>
        <v/>
      </c>
      <c r="FD553" s="0" t="str">
        <f aca="false">IF($A553="","",IF(AND(CK553="pass",AU553="Y",AV553&lt;&gt;"Y",U553="new",EW553="N"),"Y","N"))</f>
        <v/>
      </c>
      <c r="FE553" s="0" t="str">
        <f aca="false">IF(FD553&lt;&gt;"Y","",IF(COUNTIFS($FD$2:$FD$1000,"Y",$J$2:$J$1000,"&gt;"&amp;J553)+COUNTIFS($FD$2:$FD$1000,"Y",$J$2:$J$1000,J553,$FG$2:$FG$1000,"&lt;"&amp;FG553)+1&lt;=30,COUNTIFS($FD$2:$FD$1000,"Y",$J$2:$J$1000,"&gt;"&amp;J553)+COUNTIFS($FD$2:$FD$1000,"Y",$J$2:$J$1000,J553,$FG$2:$FG$1000,"&lt;"&amp;FG553)+1,""))</f>
        <v/>
      </c>
      <c r="FF553" s="0" t="str">
        <f aca="false">IF(AND(_xlfn.ISFORMULA(C553),_xlfn.ISFORMULA(J553)),"Y","N")</f>
        <v>Y</v>
      </c>
      <c r="FG553" s="0" t="n">
        <f aca="false">ROW()-1</f>
        <v>552</v>
      </c>
    </row>
    <row r="554" customFormat="false" ht="15" hidden="false" customHeight="false" outlineLevel="0" collapsed="false">
      <c r="C554" s="0" t="str">
        <f aca="false">IF($A554="","",IF(AT554="Y",BL554&amp;"",AY554&amp;""))</f>
        <v/>
      </c>
      <c r="D554" s="0" t="str">
        <f aca="false">IF($A554="","",IF(AT554="Y",BM554&amp;"",AZ554&amp;""))</f>
        <v/>
      </c>
      <c r="E554" s="0" t="str">
        <f aca="false">IF($A554="","",IF(AT554="Y",BN554&amp;"",BA554&amp;""))</f>
        <v/>
      </c>
      <c r="F554" s="0" t="str">
        <f aca="false">IF($A554="","",IF(AT554="Y",BO554&amp;"",BB554&amp;""))</f>
        <v/>
      </c>
      <c r="G554" s="0" t="str">
        <f aca="false">IF($A554="","",IF(AT554="Y",BP554&amp;"",BC554&amp;""))</f>
        <v/>
      </c>
      <c r="H554" s="0" t="str">
        <f aca="false">IF($A554="","",IF(AT554="Y",BQ554&amp;"",BD554&amp;""))</f>
        <v/>
      </c>
      <c r="I554" s="0" t="str">
        <f aca="false">IF($A554="","",IF(R554="Y","warm-intro",IF(H554="verified","email",IF(C554&lt;&gt;"","linkedin",CA554&amp;""))))</f>
        <v/>
      </c>
      <c r="J554" s="0" t="str">
        <f aca="false">IF($A554="","",IF(CK554="pass",ROUND(N(DO554)+N(DP554)+N(DQ554)+N(DR554)+N(DS554)+N(DT554)+N(DU554)+N(DV554),0),0))</f>
        <v/>
      </c>
      <c r="K554" s="0" t="str">
        <f aca="false">IF($A554="","",IF(CK554&lt;&gt;"pass",BY554&amp;"",BY554&amp;", "&amp;IF(AT554="Y",BX554&amp;"",BK554&amp;"")&amp;BZ554&amp;IF(R554="Y","; known to the founder (+10)","")&amp;"."))</f>
        <v/>
      </c>
      <c r="R554" s="5"/>
      <c r="T554" s="5"/>
      <c r="U554" s="5"/>
      <c r="Y554" s="0" t="str">
        <f aca="false">IF(FA554&lt;&gt;"Y","",COUNTIFS($FA$2:$FA$1000,"Y",$J$2:$J$1000,"&gt;"&amp;J554)+COUNTIFS($FA$2:$FA$1000,"Y",$J$2:$J$1000,J554,$FG$2:$FG$1000,"&lt;"&amp;FG554)+1)</f>
        <v/>
      </c>
      <c r="AB554" s="0" t="str">
        <f aca="false">IF($A554="","",IF(AT554="Y",BW554&amp;"",BJ554&amp;""))</f>
        <v/>
      </c>
      <c r="AC554" s="0" t="str">
        <f aca="false">IF($A554="","",IF(AT554="Y",BR554&amp;"",BE554&amp;""))</f>
        <v/>
      </c>
      <c r="AD554" s="0" t="str">
        <f aca="false">IF($A554="","",IF(AT554="Y",BS554&amp;"",BF554&amp;""))</f>
        <v/>
      </c>
      <c r="AE554" s="0" t="str">
        <f aca="false">IF($A554="","",IF(AT554="Y",BT554&amp;"",BG554&amp;""))</f>
        <v/>
      </c>
      <c r="AF554" s="0" t="str">
        <f aca="false">IF($A554="","",IF(AT554="Y",BU554&amp;"",BH554&amp;""))</f>
        <v/>
      </c>
      <c r="AG554" s="0" t="str">
        <f aca="false">IF($A554="","",IF(AT554="Y",BV554&amp;"",BI554&amp;""))</f>
        <v/>
      </c>
      <c r="AO554" s="5"/>
      <c r="AR554" s="0" t="str">
        <f aca="false">IF($A554="","",IF(AND(CK554="pass",AO554&lt;&gt;"Y",C554&lt;&gt;"",OR(AU554&lt;&gt;"Y",AV554="Y")),"Y","N"))</f>
        <v/>
      </c>
      <c r="AS554" s="0" t="str">
        <f aca="false">IF($A554="","",_xlfn.TEXTJOIN("; ",TRUE(),IF(CK554&lt;&gt;"pass","gated out",""),IF(AO554="Y","on hold: "&amp;AP554,""),IF(C554="","no contact named on an opened page",""),IF(AND(AU554="Y",AV554&lt;&gt;"Y"),"founder review pending (Founder review tab)","")))</f>
        <v/>
      </c>
      <c r="BC554" s="0" t="str">
        <f aca="false">IF($A554="","",IFERROR(INDEX(Enrichment!$A$2:$GZ$2000,MATCH($A554,INDEX(Enrichment!$A$2:$GZ$2000,0,MATCH("row_id",Enrichment!$A$1:$GZ$1,0)),0),MATCH("work_email",Enrichment!$A$1:$GZ$1,0))&amp;"",""))</f>
        <v/>
      </c>
      <c r="BD554" s="0" t="str">
        <f aca="false">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P554" s="0" t="str">
        <f aca="false">IF($A554="","",IFERROR(INDEX(Enrichment!$A$2:$GZ$2000,MATCH($A554,INDEX(Enrichment!$A$2:$GZ$2000,0,MATCH("row_id",Enrichment!$A$1:$GZ$1,0)),0),MATCH("backup_work_email",Enrichment!$A$1:$GZ$1,0))&amp;"",""))</f>
        <v/>
      </c>
      <c r="BQ554" s="0" t="str">
        <f aca="false">IF($A554="","",IF(BP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DU554" s="0" t="str">
        <f aca="false">IF($A554="","",IF(R554="Y",10,0))</f>
        <v/>
      </c>
      <c r="EV554" s="0" t="str">
        <f aca="false">IF($A554="","",IF(ISNUMBER(MATCH(U554,{"queued","contacted","replied","call_booked","call_done","yes_in_principle","materials_sent"},0)),"Y","N"))</f>
        <v/>
      </c>
      <c r="EW554" s="0" t="str">
        <f aca="false">IF($A554="","",IF(OR(T554="Y",U554="do_not_contact",AQ554&amp;""&lt;&gt;""),"Y","N"))</f>
        <v/>
      </c>
      <c r="EX554" s="0" t="str">
        <f aca="false">IF($A554="","",IF(AN554&amp;""&lt;&gt;"",AN554&amp;"",$A554))</f>
        <v/>
      </c>
      <c r="EY554" s="0" t="str">
        <f aca="false">IF($A554="","",IF(COUNTIFS($EX$2:$EX$1000,EX554,$EV$2:$EV$1000,"Y")+COUNTIFS($EX$2:$EX$1000,EX554,$EW$2:$EW$1000,"Y")&gt;0,"Y","N"))</f>
        <v/>
      </c>
      <c r="EZ554" s="0" t="str">
        <f aca="false">IF($A554="","",IF(AND(U554="new",T554="N",EW554="N",AR554="Y",EY554="N"),"Y","N"))</f>
        <v/>
      </c>
      <c r="FA554" s="0" t="str">
        <f aca="false">IF($A554="","",IF(EZ554&lt;&gt;"Y","N",IF(COUNTIFS($EX$2:$EX$1000,EX554,$EZ$2:$EZ$1000,"Y",$J$2:$J$1000,"&gt;"&amp;J554)+COUNTIFS($EX$2:$EX$1000,EX554,$EZ$2:$EZ$1000,"Y",$J$2:$J$1000,J554,$FG$2:$FG$1000,"&lt;"&amp;FG554)=0,"Y","N")))</f>
        <v/>
      </c>
      <c r="FB554" s="0" t="str">
        <f aca="false">IF($A554="","",IF(AND(EZ554="Y",FA554="Y",Y554&amp;""&lt;&gt;""),IF(Y554&lt;=10,"Y","N"),"N"))</f>
        <v/>
      </c>
      <c r="FC554" s="0" t="str">
        <f aca="false">IF(FB554="Y",Y554,"")</f>
        <v/>
      </c>
      <c r="FD554" s="0" t="str">
        <f aca="false">IF($A554="","",IF(AND(CK554="pass",AU554="Y",AV554&lt;&gt;"Y",U554="new",EW554="N"),"Y","N"))</f>
        <v/>
      </c>
      <c r="FE554" s="0" t="str">
        <f aca="false">IF(FD554&lt;&gt;"Y","",IF(COUNTIFS($FD$2:$FD$1000,"Y",$J$2:$J$1000,"&gt;"&amp;J554)+COUNTIFS($FD$2:$FD$1000,"Y",$J$2:$J$1000,J554,$FG$2:$FG$1000,"&lt;"&amp;FG554)+1&lt;=30,COUNTIFS($FD$2:$FD$1000,"Y",$J$2:$J$1000,"&gt;"&amp;J554)+COUNTIFS($FD$2:$FD$1000,"Y",$J$2:$J$1000,J554,$FG$2:$FG$1000,"&lt;"&amp;FG554)+1,""))</f>
        <v/>
      </c>
      <c r="FF554" s="0" t="str">
        <f aca="false">IF(AND(_xlfn.ISFORMULA(C554),_xlfn.ISFORMULA(J554)),"Y","N")</f>
        <v>Y</v>
      </c>
      <c r="FG554" s="0" t="n">
        <f aca="false">ROW()-1</f>
        <v>553</v>
      </c>
    </row>
    <row r="555" customFormat="false" ht="15" hidden="false" customHeight="false" outlineLevel="0" collapsed="false">
      <c r="C555" s="0" t="str">
        <f aca="false">IF($A555="","",IF(AT555="Y",BL555&amp;"",AY555&amp;""))</f>
        <v/>
      </c>
      <c r="D555" s="0" t="str">
        <f aca="false">IF($A555="","",IF(AT555="Y",BM555&amp;"",AZ555&amp;""))</f>
        <v/>
      </c>
      <c r="E555" s="0" t="str">
        <f aca="false">IF($A555="","",IF(AT555="Y",BN555&amp;"",BA555&amp;""))</f>
        <v/>
      </c>
      <c r="F555" s="0" t="str">
        <f aca="false">IF($A555="","",IF(AT555="Y",BO555&amp;"",BB555&amp;""))</f>
        <v/>
      </c>
      <c r="G555" s="0" t="str">
        <f aca="false">IF($A555="","",IF(AT555="Y",BP555&amp;"",BC555&amp;""))</f>
        <v/>
      </c>
      <c r="H555" s="0" t="str">
        <f aca="false">IF($A555="","",IF(AT555="Y",BQ555&amp;"",BD555&amp;""))</f>
        <v/>
      </c>
      <c r="I555" s="0" t="str">
        <f aca="false">IF($A555="","",IF(R555="Y","warm-intro",IF(H555="verified","email",IF(C555&lt;&gt;"","linkedin",CA555&amp;""))))</f>
        <v/>
      </c>
      <c r="J555" s="0" t="str">
        <f aca="false">IF($A555="","",IF(CK555="pass",ROUND(N(DO555)+N(DP555)+N(DQ555)+N(DR555)+N(DS555)+N(DT555)+N(DU555)+N(DV555),0),0))</f>
        <v/>
      </c>
      <c r="K555" s="0" t="str">
        <f aca="false">IF($A555="","",IF(CK555&lt;&gt;"pass",BY555&amp;"",BY555&amp;", "&amp;IF(AT555="Y",BX555&amp;"",BK555&amp;"")&amp;BZ555&amp;IF(R555="Y","; known to the founder (+10)","")&amp;"."))</f>
        <v/>
      </c>
      <c r="R555" s="5"/>
      <c r="T555" s="5"/>
      <c r="U555" s="5"/>
      <c r="Y555" s="0" t="str">
        <f aca="false">IF(FA555&lt;&gt;"Y","",COUNTIFS($FA$2:$FA$1000,"Y",$J$2:$J$1000,"&gt;"&amp;J555)+COUNTIFS($FA$2:$FA$1000,"Y",$J$2:$J$1000,J555,$FG$2:$FG$1000,"&lt;"&amp;FG555)+1)</f>
        <v/>
      </c>
      <c r="AB555" s="0" t="str">
        <f aca="false">IF($A555="","",IF(AT555="Y",BW555&amp;"",BJ555&amp;""))</f>
        <v/>
      </c>
      <c r="AC555" s="0" t="str">
        <f aca="false">IF($A555="","",IF(AT555="Y",BR555&amp;"",BE555&amp;""))</f>
        <v/>
      </c>
      <c r="AD555" s="0" t="str">
        <f aca="false">IF($A555="","",IF(AT555="Y",BS555&amp;"",BF555&amp;""))</f>
        <v/>
      </c>
      <c r="AE555" s="0" t="str">
        <f aca="false">IF($A555="","",IF(AT555="Y",BT555&amp;"",BG555&amp;""))</f>
        <v/>
      </c>
      <c r="AF555" s="0" t="str">
        <f aca="false">IF($A555="","",IF(AT555="Y",BU555&amp;"",BH555&amp;""))</f>
        <v/>
      </c>
      <c r="AG555" s="0" t="str">
        <f aca="false">IF($A555="","",IF(AT555="Y",BV555&amp;"",BI555&amp;""))</f>
        <v/>
      </c>
      <c r="AO555" s="5"/>
      <c r="AR555" s="0" t="str">
        <f aca="false">IF($A555="","",IF(AND(CK555="pass",AO555&lt;&gt;"Y",C555&lt;&gt;"",OR(AU555&lt;&gt;"Y",AV555="Y")),"Y","N"))</f>
        <v/>
      </c>
      <c r="AS555" s="0" t="str">
        <f aca="false">IF($A555="","",_xlfn.TEXTJOIN("; ",TRUE(),IF(CK555&lt;&gt;"pass","gated out",""),IF(AO555="Y","on hold: "&amp;AP555,""),IF(C555="","no contact named on an opened page",""),IF(AND(AU555="Y",AV555&lt;&gt;"Y"),"founder review pending (Founder review tab)","")))</f>
        <v/>
      </c>
      <c r="BC555" s="0" t="str">
        <f aca="false">IF($A555="","",IFERROR(INDEX(Enrichment!$A$2:$GZ$2000,MATCH($A555,INDEX(Enrichment!$A$2:$GZ$2000,0,MATCH("row_id",Enrichment!$A$1:$GZ$1,0)),0),MATCH("work_email",Enrichment!$A$1:$GZ$1,0))&amp;"",""))</f>
        <v/>
      </c>
      <c r="BD555" s="0" t="str">
        <f aca="false">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P555" s="0" t="str">
        <f aca="false">IF($A555="","",IFERROR(INDEX(Enrichment!$A$2:$GZ$2000,MATCH($A555,INDEX(Enrichment!$A$2:$GZ$2000,0,MATCH("row_id",Enrichment!$A$1:$GZ$1,0)),0),MATCH("backup_work_email",Enrichment!$A$1:$GZ$1,0))&amp;"",""))</f>
        <v/>
      </c>
      <c r="BQ555" s="0" t="str">
        <f aca="false">IF($A555="","",IF(BP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DU555" s="0" t="str">
        <f aca="false">IF($A555="","",IF(R555="Y",10,0))</f>
        <v/>
      </c>
      <c r="EV555" s="0" t="str">
        <f aca="false">IF($A555="","",IF(ISNUMBER(MATCH(U555,{"queued","contacted","replied","call_booked","call_done","yes_in_principle","materials_sent"},0)),"Y","N"))</f>
        <v/>
      </c>
      <c r="EW555" s="0" t="str">
        <f aca="false">IF($A555="","",IF(OR(T555="Y",U555="do_not_contact",AQ555&amp;""&lt;&gt;""),"Y","N"))</f>
        <v/>
      </c>
      <c r="EX555" s="0" t="str">
        <f aca="false">IF($A555="","",IF(AN555&amp;""&lt;&gt;"",AN555&amp;"",$A555))</f>
        <v/>
      </c>
      <c r="EY555" s="0" t="str">
        <f aca="false">IF($A555="","",IF(COUNTIFS($EX$2:$EX$1000,EX555,$EV$2:$EV$1000,"Y")+COUNTIFS($EX$2:$EX$1000,EX555,$EW$2:$EW$1000,"Y")&gt;0,"Y","N"))</f>
        <v/>
      </c>
      <c r="EZ555" s="0" t="str">
        <f aca="false">IF($A555="","",IF(AND(U555="new",T555="N",EW555="N",AR555="Y",EY555="N"),"Y","N"))</f>
        <v/>
      </c>
      <c r="FA555" s="0" t="str">
        <f aca="false">IF($A555="","",IF(EZ555&lt;&gt;"Y","N",IF(COUNTIFS($EX$2:$EX$1000,EX555,$EZ$2:$EZ$1000,"Y",$J$2:$J$1000,"&gt;"&amp;J555)+COUNTIFS($EX$2:$EX$1000,EX555,$EZ$2:$EZ$1000,"Y",$J$2:$J$1000,J555,$FG$2:$FG$1000,"&lt;"&amp;FG555)=0,"Y","N")))</f>
        <v/>
      </c>
      <c r="FB555" s="0" t="str">
        <f aca="false">IF($A555="","",IF(AND(EZ555="Y",FA555="Y",Y555&amp;""&lt;&gt;""),IF(Y555&lt;=10,"Y","N"),"N"))</f>
        <v/>
      </c>
      <c r="FC555" s="0" t="str">
        <f aca="false">IF(FB555="Y",Y555,"")</f>
        <v/>
      </c>
      <c r="FD555" s="0" t="str">
        <f aca="false">IF($A555="","",IF(AND(CK555="pass",AU555="Y",AV555&lt;&gt;"Y",U555="new",EW555="N"),"Y","N"))</f>
        <v/>
      </c>
      <c r="FE555" s="0" t="str">
        <f aca="false">IF(FD555&lt;&gt;"Y","",IF(COUNTIFS($FD$2:$FD$1000,"Y",$J$2:$J$1000,"&gt;"&amp;J555)+COUNTIFS($FD$2:$FD$1000,"Y",$J$2:$J$1000,J555,$FG$2:$FG$1000,"&lt;"&amp;FG555)+1&lt;=30,COUNTIFS($FD$2:$FD$1000,"Y",$J$2:$J$1000,"&gt;"&amp;J555)+COUNTIFS($FD$2:$FD$1000,"Y",$J$2:$J$1000,J555,$FG$2:$FG$1000,"&lt;"&amp;FG555)+1,""))</f>
        <v/>
      </c>
      <c r="FF555" s="0" t="str">
        <f aca="false">IF(AND(_xlfn.ISFORMULA(C555),_xlfn.ISFORMULA(J555)),"Y","N")</f>
        <v>Y</v>
      </c>
      <c r="FG555" s="0" t="n">
        <f aca="false">ROW()-1</f>
        <v>554</v>
      </c>
    </row>
    <row r="556" customFormat="false" ht="15" hidden="false" customHeight="false" outlineLevel="0" collapsed="false">
      <c r="C556" s="0" t="str">
        <f aca="false">IF($A556="","",IF(AT556="Y",BL556&amp;"",AY556&amp;""))</f>
        <v/>
      </c>
      <c r="D556" s="0" t="str">
        <f aca="false">IF($A556="","",IF(AT556="Y",BM556&amp;"",AZ556&amp;""))</f>
        <v/>
      </c>
      <c r="E556" s="0" t="str">
        <f aca="false">IF($A556="","",IF(AT556="Y",BN556&amp;"",BA556&amp;""))</f>
        <v/>
      </c>
      <c r="F556" s="0" t="str">
        <f aca="false">IF($A556="","",IF(AT556="Y",BO556&amp;"",BB556&amp;""))</f>
        <v/>
      </c>
      <c r="G556" s="0" t="str">
        <f aca="false">IF($A556="","",IF(AT556="Y",BP556&amp;"",BC556&amp;""))</f>
        <v/>
      </c>
      <c r="H556" s="0" t="str">
        <f aca="false">IF($A556="","",IF(AT556="Y",BQ556&amp;"",BD556&amp;""))</f>
        <v/>
      </c>
      <c r="I556" s="0" t="str">
        <f aca="false">IF($A556="","",IF(R556="Y","warm-intro",IF(H556="verified","email",IF(C556&lt;&gt;"","linkedin",CA556&amp;""))))</f>
        <v/>
      </c>
      <c r="J556" s="0" t="str">
        <f aca="false">IF($A556="","",IF(CK556="pass",ROUND(N(DO556)+N(DP556)+N(DQ556)+N(DR556)+N(DS556)+N(DT556)+N(DU556)+N(DV556),0),0))</f>
        <v/>
      </c>
      <c r="K556" s="0" t="str">
        <f aca="false">IF($A556="","",IF(CK556&lt;&gt;"pass",BY556&amp;"",BY556&amp;", "&amp;IF(AT556="Y",BX556&amp;"",BK556&amp;"")&amp;BZ556&amp;IF(R556="Y","; known to the founder (+10)","")&amp;"."))</f>
        <v/>
      </c>
      <c r="R556" s="5"/>
      <c r="T556" s="5"/>
      <c r="U556" s="5"/>
      <c r="Y556" s="0" t="str">
        <f aca="false">IF(FA556&lt;&gt;"Y","",COUNTIFS($FA$2:$FA$1000,"Y",$J$2:$J$1000,"&gt;"&amp;J556)+COUNTIFS($FA$2:$FA$1000,"Y",$J$2:$J$1000,J556,$FG$2:$FG$1000,"&lt;"&amp;FG556)+1)</f>
        <v/>
      </c>
      <c r="AB556" s="0" t="str">
        <f aca="false">IF($A556="","",IF(AT556="Y",BW556&amp;"",BJ556&amp;""))</f>
        <v/>
      </c>
      <c r="AC556" s="0" t="str">
        <f aca="false">IF($A556="","",IF(AT556="Y",BR556&amp;"",BE556&amp;""))</f>
        <v/>
      </c>
      <c r="AD556" s="0" t="str">
        <f aca="false">IF($A556="","",IF(AT556="Y",BS556&amp;"",BF556&amp;""))</f>
        <v/>
      </c>
      <c r="AE556" s="0" t="str">
        <f aca="false">IF($A556="","",IF(AT556="Y",BT556&amp;"",BG556&amp;""))</f>
        <v/>
      </c>
      <c r="AF556" s="0" t="str">
        <f aca="false">IF($A556="","",IF(AT556="Y",BU556&amp;"",BH556&amp;""))</f>
        <v/>
      </c>
      <c r="AG556" s="0" t="str">
        <f aca="false">IF($A556="","",IF(AT556="Y",BV556&amp;"",BI556&amp;""))</f>
        <v/>
      </c>
      <c r="AO556" s="5"/>
      <c r="AR556" s="0" t="str">
        <f aca="false">IF($A556="","",IF(AND(CK556="pass",AO556&lt;&gt;"Y",C556&lt;&gt;"",OR(AU556&lt;&gt;"Y",AV556="Y")),"Y","N"))</f>
        <v/>
      </c>
      <c r="AS556" s="0" t="str">
        <f aca="false">IF($A556="","",_xlfn.TEXTJOIN("; ",TRUE(),IF(CK556&lt;&gt;"pass","gated out",""),IF(AO556="Y","on hold: "&amp;AP556,""),IF(C556="","no contact named on an opened page",""),IF(AND(AU556="Y",AV556&lt;&gt;"Y"),"founder review pending (Founder review tab)","")))</f>
        <v/>
      </c>
      <c r="BC556" s="0" t="str">
        <f aca="false">IF($A556="","",IFERROR(INDEX(Enrichment!$A$2:$GZ$2000,MATCH($A556,INDEX(Enrichment!$A$2:$GZ$2000,0,MATCH("row_id",Enrichment!$A$1:$GZ$1,0)),0),MATCH("work_email",Enrichment!$A$1:$GZ$1,0))&amp;"",""))</f>
        <v/>
      </c>
      <c r="BD556" s="0" t="str">
        <f aca="false">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P556" s="0" t="str">
        <f aca="false">IF($A556="","",IFERROR(INDEX(Enrichment!$A$2:$GZ$2000,MATCH($A556,INDEX(Enrichment!$A$2:$GZ$2000,0,MATCH("row_id",Enrichment!$A$1:$GZ$1,0)),0),MATCH("backup_work_email",Enrichment!$A$1:$GZ$1,0))&amp;"",""))</f>
        <v/>
      </c>
      <c r="BQ556" s="0" t="str">
        <f aca="false">IF($A556="","",IF(BP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DU556" s="0" t="str">
        <f aca="false">IF($A556="","",IF(R556="Y",10,0))</f>
        <v/>
      </c>
      <c r="EV556" s="0" t="str">
        <f aca="false">IF($A556="","",IF(ISNUMBER(MATCH(U556,{"queued","contacted","replied","call_booked","call_done","yes_in_principle","materials_sent"},0)),"Y","N"))</f>
        <v/>
      </c>
      <c r="EW556" s="0" t="str">
        <f aca="false">IF($A556="","",IF(OR(T556="Y",U556="do_not_contact",AQ556&amp;""&lt;&gt;""),"Y","N"))</f>
        <v/>
      </c>
      <c r="EX556" s="0" t="str">
        <f aca="false">IF($A556="","",IF(AN556&amp;""&lt;&gt;"",AN556&amp;"",$A556))</f>
        <v/>
      </c>
      <c r="EY556" s="0" t="str">
        <f aca="false">IF($A556="","",IF(COUNTIFS($EX$2:$EX$1000,EX556,$EV$2:$EV$1000,"Y")+COUNTIFS($EX$2:$EX$1000,EX556,$EW$2:$EW$1000,"Y")&gt;0,"Y","N"))</f>
        <v/>
      </c>
      <c r="EZ556" s="0" t="str">
        <f aca="false">IF($A556="","",IF(AND(U556="new",T556="N",EW556="N",AR556="Y",EY556="N"),"Y","N"))</f>
        <v/>
      </c>
      <c r="FA556" s="0" t="str">
        <f aca="false">IF($A556="","",IF(EZ556&lt;&gt;"Y","N",IF(COUNTIFS($EX$2:$EX$1000,EX556,$EZ$2:$EZ$1000,"Y",$J$2:$J$1000,"&gt;"&amp;J556)+COUNTIFS($EX$2:$EX$1000,EX556,$EZ$2:$EZ$1000,"Y",$J$2:$J$1000,J556,$FG$2:$FG$1000,"&lt;"&amp;FG556)=0,"Y","N")))</f>
        <v/>
      </c>
      <c r="FB556" s="0" t="str">
        <f aca="false">IF($A556="","",IF(AND(EZ556="Y",FA556="Y",Y556&amp;""&lt;&gt;""),IF(Y556&lt;=10,"Y","N"),"N"))</f>
        <v/>
      </c>
      <c r="FC556" s="0" t="str">
        <f aca="false">IF(FB556="Y",Y556,"")</f>
        <v/>
      </c>
      <c r="FD556" s="0" t="str">
        <f aca="false">IF($A556="","",IF(AND(CK556="pass",AU556="Y",AV556&lt;&gt;"Y",U556="new",EW556="N"),"Y","N"))</f>
        <v/>
      </c>
      <c r="FE556" s="0" t="str">
        <f aca="false">IF(FD556&lt;&gt;"Y","",IF(COUNTIFS($FD$2:$FD$1000,"Y",$J$2:$J$1000,"&gt;"&amp;J556)+COUNTIFS($FD$2:$FD$1000,"Y",$J$2:$J$1000,J556,$FG$2:$FG$1000,"&lt;"&amp;FG556)+1&lt;=30,COUNTIFS($FD$2:$FD$1000,"Y",$J$2:$J$1000,"&gt;"&amp;J556)+COUNTIFS($FD$2:$FD$1000,"Y",$J$2:$J$1000,J556,$FG$2:$FG$1000,"&lt;"&amp;FG556)+1,""))</f>
        <v/>
      </c>
      <c r="FF556" s="0" t="str">
        <f aca="false">IF(AND(_xlfn.ISFORMULA(C556),_xlfn.ISFORMULA(J556)),"Y","N")</f>
        <v>Y</v>
      </c>
      <c r="FG556" s="0" t="n">
        <f aca="false">ROW()-1</f>
        <v>555</v>
      </c>
    </row>
    <row r="557" customFormat="false" ht="15" hidden="false" customHeight="false" outlineLevel="0" collapsed="false">
      <c r="C557" s="0" t="str">
        <f aca="false">IF($A557="","",IF(AT557="Y",BL557&amp;"",AY557&amp;""))</f>
        <v/>
      </c>
      <c r="D557" s="0" t="str">
        <f aca="false">IF($A557="","",IF(AT557="Y",BM557&amp;"",AZ557&amp;""))</f>
        <v/>
      </c>
      <c r="E557" s="0" t="str">
        <f aca="false">IF($A557="","",IF(AT557="Y",BN557&amp;"",BA557&amp;""))</f>
        <v/>
      </c>
      <c r="F557" s="0" t="str">
        <f aca="false">IF($A557="","",IF(AT557="Y",BO557&amp;"",BB557&amp;""))</f>
        <v/>
      </c>
      <c r="G557" s="0" t="str">
        <f aca="false">IF($A557="","",IF(AT557="Y",BP557&amp;"",BC557&amp;""))</f>
        <v/>
      </c>
      <c r="H557" s="0" t="str">
        <f aca="false">IF($A557="","",IF(AT557="Y",BQ557&amp;"",BD557&amp;""))</f>
        <v/>
      </c>
      <c r="I557" s="0" t="str">
        <f aca="false">IF($A557="","",IF(R557="Y","warm-intro",IF(H557="verified","email",IF(C557&lt;&gt;"","linkedin",CA557&amp;""))))</f>
        <v/>
      </c>
      <c r="J557" s="0" t="str">
        <f aca="false">IF($A557="","",IF(CK557="pass",ROUND(N(DO557)+N(DP557)+N(DQ557)+N(DR557)+N(DS557)+N(DT557)+N(DU557)+N(DV557),0),0))</f>
        <v/>
      </c>
      <c r="K557" s="0" t="str">
        <f aca="false">IF($A557="","",IF(CK557&lt;&gt;"pass",BY557&amp;"",BY557&amp;", "&amp;IF(AT557="Y",BX557&amp;"",BK557&amp;"")&amp;BZ557&amp;IF(R557="Y","; known to the founder (+10)","")&amp;"."))</f>
        <v/>
      </c>
      <c r="R557" s="5"/>
      <c r="T557" s="5"/>
      <c r="U557" s="5"/>
      <c r="Y557" s="0" t="str">
        <f aca="false">IF(FA557&lt;&gt;"Y","",COUNTIFS($FA$2:$FA$1000,"Y",$J$2:$J$1000,"&gt;"&amp;J557)+COUNTIFS($FA$2:$FA$1000,"Y",$J$2:$J$1000,J557,$FG$2:$FG$1000,"&lt;"&amp;FG557)+1)</f>
        <v/>
      </c>
      <c r="AB557" s="0" t="str">
        <f aca="false">IF($A557="","",IF(AT557="Y",BW557&amp;"",BJ557&amp;""))</f>
        <v/>
      </c>
      <c r="AC557" s="0" t="str">
        <f aca="false">IF($A557="","",IF(AT557="Y",BR557&amp;"",BE557&amp;""))</f>
        <v/>
      </c>
      <c r="AD557" s="0" t="str">
        <f aca="false">IF($A557="","",IF(AT557="Y",BS557&amp;"",BF557&amp;""))</f>
        <v/>
      </c>
      <c r="AE557" s="0" t="str">
        <f aca="false">IF($A557="","",IF(AT557="Y",BT557&amp;"",BG557&amp;""))</f>
        <v/>
      </c>
      <c r="AF557" s="0" t="str">
        <f aca="false">IF($A557="","",IF(AT557="Y",BU557&amp;"",BH557&amp;""))</f>
        <v/>
      </c>
      <c r="AG557" s="0" t="str">
        <f aca="false">IF($A557="","",IF(AT557="Y",BV557&amp;"",BI557&amp;""))</f>
        <v/>
      </c>
      <c r="AO557" s="5"/>
      <c r="AR557" s="0" t="str">
        <f aca="false">IF($A557="","",IF(AND(CK557="pass",AO557&lt;&gt;"Y",C557&lt;&gt;"",OR(AU557&lt;&gt;"Y",AV557="Y")),"Y","N"))</f>
        <v/>
      </c>
      <c r="AS557" s="0" t="str">
        <f aca="false">IF($A557="","",_xlfn.TEXTJOIN("; ",TRUE(),IF(CK557&lt;&gt;"pass","gated out",""),IF(AO557="Y","on hold: "&amp;AP557,""),IF(C557="","no contact named on an opened page",""),IF(AND(AU557="Y",AV557&lt;&gt;"Y"),"founder review pending (Founder review tab)","")))</f>
        <v/>
      </c>
      <c r="BC557" s="0" t="str">
        <f aca="false">IF($A557="","",IFERROR(INDEX(Enrichment!$A$2:$GZ$2000,MATCH($A557,INDEX(Enrichment!$A$2:$GZ$2000,0,MATCH("row_id",Enrichment!$A$1:$GZ$1,0)),0),MATCH("work_email",Enrichment!$A$1:$GZ$1,0))&amp;"",""))</f>
        <v/>
      </c>
      <c r="BD557" s="0" t="str">
        <f aca="false">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P557" s="0" t="str">
        <f aca="false">IF($A557="","",IFERROR(INDEX(Enrichment!$A$2:$GZ$2000,MATCH($A557,INDEX(Enrichment!$A$2:$GZ$2000,0,MATCH("row_id",Enrichment!$A$1:$GZ$1,0)),0),MATCH("backup_work_email",Enrichment!$A$1:$GZ$1,0))&amp;"",""))</f>
        <v/>
      </c>
      <c r="BQ557" s="0" t="str">
        <f aca="false">IF($A557="","",IF(BP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DU557" s="0" t="str">
        <f aca="false">IF($A557="","",IF(R557="Y",10,0))</f>
        <v/>
      </c>
      <c r="EV557" s="0" t="str">
        <f aca="false">IF($A557="","",IF(ISNUMBER(MATCH(U557,{"queued","contacted","replied","call_booked","call_done","yes_in_principle","materials_sent"},0)),"Y","N"))</f>
        <v/>
      </c>
      <c r="EW557" s="0" t="str">
        <f aca="false">IF($A557="","",IF(OR(T557="Y",U557="do_not_contact",AQ557&amp;""&lt;&gt;""),"Y","N"))</f>
        <v/>
      </c>
      <c r="EX557" s="0" t="str">
        <f aca="false">IF($A557="","",IF(AN557&amp;""&lt;&gt;"",AN557&amp;"",$A557))</f>
        <v/>
      </c>
      <c r="EY557" s="0" t="str">
        <f aca="false">IF($A557="","",IF(COUNTIFS($EX$2:$EX$1000,EX557,$EV$2:$EV$1000,"Y")+COUNTIFS($EX$2:$EX$1000,EX557,$EW$2:$EW$1000,"Y")&gt;0,"Y","N"))</f>
        <v/>
      </c>
      <c r="EZ557" s="0" t="str">
        <f aca="false">IF($A557="","",IF(AND(U557="new",T557="N",EW557="N",AR557="Y",EY557="N"),"Y","N"))</f>
        <v/>
      </c>
      <c r="FA557" s="0" t="str">
        <f aca="false">IF($A557="","",IF(EZ557&lt;&gt;"Y","N",IF(COUNTIFS($EX$2:$EX$1000,EX557,$EZ$2:$EZ$1000,"Y",$J$2:$J$1000,"&gt;"&amp;J557)+COUNTIFS($EX$2:$EX$1000,EX557,$EZ$2:$EZ$1000,"Y",$J$2:$J$1000,J557,$FG$2:$FG$1000,"&lt;"&amp;FG557)=0,"Y","N")))</f>
        <v/>
      </c>
      <c r="FB557" s="0" t="str">
        <f aca="false">IF($A557="","",IF(AND(EZ557="Y",FA557="Y",Y557&amp;""&lt;&gt;""),IF(Y557&lt;=10,"Y","N"),"N"))</f>
        <v/>
      </c>
      <c r="FC557" s="0" t="str">
        <f aca="false">IF(FB557="Y",Y557,"")</f>
        <v/>
      </c>
      <c r="FD557" s="0" t="str">
        <f aca="false">IF($A557="","",IF(AND(CK557="pass",AU557="Y",AV557&lt;&gt;"Y",U557="new",EW557="N"),"Y","N"))</f>
        <v/>
      </c>
      <c r="FE557" s="0" t="str">
        <f aca="false">IF(FD557&lt;&gt;"Y","",IF(COUNTIFS($FD$2:$FD$1000,"Y",$J$2:$J$1000,"&gt;"&amp;J557)+COUNTIFS($FD$2:$FD$1000,"Y",$J$2:$J$1000,J557,$FG$2:$FG$1000,"&lt;"&amp;FG557)+1&lt;=30,COUNTIFS($FD$2:$FD$1000,"Y",$J$2:$J$1000,"&gt;"&amp;J557)+COUNTIFS($FD$2:$FD$1000,"Y",$J$2:$J$1000,J557,$FG$2:$FG$1000,"&lt;"&amp;FG557)+1,""))</f>
        <v/>
      </c>
      <c r="FF557" s="0" t="str">
        <f aca="false">IF(AND(_xlfn.ISFORMULA(C557),_xlfn.ISFORMULA(J557)),"Y","N")</f>
        <v>Y</v>
      </c>
      <c r="FG557" s="0" t="n">
        <f aca="false">ROW()-1</f>
        <v>556</v>
      </c>
    </row>
    <row r="558" customFormat="false" ht="15" hidden="false" customHeight="false" outlineLevel="0" collapsed="false">
      <c r="C558" s="0" t="str">
        <f aca="false">IF($A558="","",IF(AT558="Y",BL558&amp;"",AY558&amp;""))</f>
        <v/>
      </c>
      <c r="D558" s="0" t="str">
        <f aca="false">IF($A558="","",IF(AT558="Y",BM558&amp;"",AZ558&amp;""))</f>
        <v/>
      </c>
      <c r="E558" s="0" t="str">
        <f aca="false">IF($A558="","",IF(AT558="Y",BN558&amp;"",BA558&amp;""))</f>
        <v/>
      </c>
      <c r="F558" s="0" t="str">
        <f aca="false">IF($A558="","",IF(AT558="Y",BO558&amp;"",BB558&amp;""))</f>
        <v/>
      </c>
      <c r="G558" s="0" t="str">
        <f aca="false">IF($A558="","",IF(AT558="Y",BP558&amp;"",BC558&amp;""))</f>
        <v/>
      </c>
      <c r="H558" s="0" t="str">
        <f aca="false">IF($A558="","",IF(AT558="Y",BQ558&amp;"",BD558&amp;""))</f>
        <v/>
      </c>
      <c r="I558" s="0" t="str">
        <f aca="false">IF($A558="","",IF(R558="Y","warm-intro",IF(H558="verified","email",IF(C558&lt;&gt;"","linkedin",CA558&amp;""))))</f>
        <v/>
      </c>
      <c r="J558" s="0" t="str">
        <f aca="false">IF($A558="","",IF(CK558="pass",ROUND(N(DO558)+N(DP558)+N(DQ558)+N(DR558)+N(DS558)+N(DT558)+N(DU558)+N(DV558),0),0))</f>
        <v/>
      </c>
      <c r="K558" s="0" t="str">
        <f aca="false">IF($A558="","",IF(CK558&lt;&gt;"pass",BY558&amp;"",BY558&amp;", "&amp;IF(AT558="Y",BX558&amp;"",BK558&amp;"")&amp;BZ558&amp;IF(R558="Y","; known to the founder (+10)","")&amp;"."))</f>
        <v/>
      </c>
      <c r="R558" s="5"/>
      <c r="T558" s="5"/>
      <c r="U558" s="5"/>
      <c r="Y558" s="0" t="str">
        <f aca="false">IF(FA558&lt;&gt;"Y","",COUNTIFS($FA$2:$FA$1000,"Y",$J$2:$J$1000,"&gt;"&amp;J558)+COUNTIFS($FA$2:$FA$1000,"Y",$J$2:$J$1000,J558,$FG$2:$FG$1000,"&lt;"&amp;FG558)+1)</f>
        <v/>
      </c>
      <c r="AB558" s="0" t="str">
        <f aca="false">IF($A558="","",IF(AT558="Y",BW558&amp;"",BJ558&amp;""))</f>
        <v/>
      </c>
      <c r="AC558" s="0" t="str">
        <f aca="false">IF($A558="","",IF(AT558="Y",BR558&amp;"",BE558&amp;""))</f>
        <v/>
      </c>
      <c r="AD558" s="0" t="str">
        <f aca="false">IF($A558="","",IF(AT558="Y",BS558&amp;"",BF558&amp;""))</f>
        <v/>
      </c>
      <c r="AE558" s="0" t="str">
        <f aca="false">IF($A558="","",IF(AT558="Y",BT558&amp;"",BG558&amp;""))</f>
        <v/>
      </c>
      <c r="AF558" s="0" t="str">
        <f aca="false">IF($A558="","",IF(AT558="Y",BU558&amp;"",BH558&amp;""))</f>
        <v/>
      </c>
      <c r="AG558" s="0" t="str">
        <f aca="false">IF($A558="","",IF(AT558="Y",BV558&amp;"",BI558&amp;""))</f>
        <v/>
      </c>
      <c r="AO558" s="5"/>
      <c r="AR558" s="0" t="str">
        <f aca="false">IF($A558="","",IF(AND(CK558="pass",AO558&lt;&gt;"Y",C558&lt;&gt;"",OR(AU558&lt;&gt;"Y",AV558="Y")),"Y","N"))</f>
        <v/>
      </c>
      <c r="AS558" s="0" t="str">
        <f aca="false">IF($A558="","",_xlfn.TEXTJOIN("; ",TRUE(),IF(CK558&lt;&gt;"pass","gated out",""),IF(AO558="Y","on hold: "&amp;AP558,""),IF(C558="","no contact named on an opened page",""),IF(AND(AU558="Y",AV558&lt;&gt;"Y"),"founder review pending (Founder review tab)","")))</f>
        <v/>
      </c>
      <c r="BC558" s="0" t="str">
        <f aca="false">IF($A558="","",IFERROR(INDEX(Enrichment!$A$2:$GZ$2000,MATCH($A558,INDEX(Enrichment!$A$2:$GZ$2000,0,MATCH("row_id",Enrichment!$A$1:$GZ$1,0)),0),MATCH("work_email",Enrichment!$A$1:$GZ$1,0))&amp;"",""))</f>
        <v/>
      </c>
      <c r="BD558" s="0" t="str">
        <f aca="false">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P558" s="0" t="str">
        <f aca="false">IF($A558="","",IFERROR(INDEX(Enrichment!$A$2:$GZ$2000,MATCH($A558,INDEX(Enrichment!$A$2:$GZ$2000,0,MATCH("row_id",Enrichment!$A$1:$GZ$1,0)),0),MATCH("backup_work_email",Enrichment!$A$1:$GZ$1,0))&amp;"",""))</f>
        <v/>
      </c>
      <c r="BQ558" s="0" t="str">
        <f aca="false">IF($A558="","",IF(BP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DU558" s="0" t="str">
        <f aca="false">IF($A558="","",IF(R558="Y",10,0))</f>
        <v/>
      </c>
      <c r="EV558" s="0" t="str">
        <f aca="false">IF($A558="","",IF(ISNUMBER(MATCH(U558,{"queued","contacted","replied","call_booked","call_done","yes_in_principle","materials_sent"},0)),"Y","N"))</f>
        <v/>
      </c>
      <c r="EW558" s="0" t="str">
        <f aca="false">IF($A558="","",IF(OR(T558="Y",U558="do_not_contact",AQ558&amp;""&lt;&gt;""),"Y","N"))</f>
        <v/>
      </c>
      <c r="EX558" s="0" t="str">
        <f aca="false">IF($A558="","",IF(AN558&amp;""&lt;&gt;"",AN558&amp;"",$A558))</f>
        <v/>
      </c>
      <c r="EY558" s="0" t="str">
        <f aca="false">IF($A558="","",IF(COUNTIFS($EX$2:$EX$1000,EX558,$EV$2:$EV$1000,"Y")+COUNTIFS($EX$2:$EX$1000,EX558,$EW$2:$EW$1000,"Y")&gt;0,"Y","N"))</f>
        <v/>
      </c>
      <c r="EZ558" s="0" t="str">
        <f aca="false">IF($A558="","",IF(AND(U558="new",T558="N",EW558="N",AR558="Y",EY558="N"),"Y","N"))</f>
        <v/>
      </c>
      <c r="FA558" s="0" t="str">
        <f aca="false">IF($A558="","",IF(EZ558&lt;&gt;"Y","N",IF(COUNTIFS($EX$2:$EX$1000,EX558,$EZ$2:$EZ$1000,"Y",$J$2:$J$1000,"&gt;"&amp;J558)+COUNTIFS($EX$2:$EX$1000,EX558,$EZ$2:$EZ$1000,"Y",$J$2:$J$1000,J558,$FG$2:$FG$1000,"&lt;"&amp;FG558)=0,"Y","N")))</f>
        <v/>
      </c>
      <c r="FB558" s="0" t="str">
        <f aca="false">IF($A558="","",IF(AND(EZ558="Y",FA558="Y",Y558&amp;""&lt;&gt;""),IF(Y558&lt;=10,"Y","N"),"N"))</f>
        <v/>
      </c>
      <c r="FC558" s="0" t="str">
        <f aca="false">IF(FB558="Y",Y558,"")</f>
        <v/>
      </c>
      <c r="FD558" s="0" t="str">
        <f aca="false">IF($A558="","",IF(AND(CK558="pass",AU558="Y",AV558&lt;&gt;"Y",U558="new",EW558="N"),"Y","N"))</f>
        <v/>
      </c>
      <c r="FE558" s="0" t="str">
        <f aca="false">IF(FD558&lt;&gt;"Y","",IF(COUNTIFS($FD$2:$FD$1000,"Y",$J$2:$J$1000,"&gt;"&amp;J558)+COUNTIFS($FD$2:$FD$1000,"Y",$J$2:$J$1000,J558,$FG$2:$FG$1000,"&lt;"&amp;FG558)+1&lt;=30,COUNTIFS($FD$2:$FD$1000,"Y",$J$2:$J$1000,"&gt;"&amp;J558)+COUNTIFS($FD$2:$FD$1000,"Y",$J$2:$J$1000,J558,$FG$2:$FG$1000,"&lt;"&amp;FG558)+1,""))</f>
        <v/>
      </c>
      <c r="FF558" s="0" t="str">
        <f aca="false">IF(AND(_xlfn.ISFORMULA(C558),_xlfn.ISFORMULA(J558)),"Y","N")</f>
        <v>Y</v>
      </c>
      <c r="FG558" s="0" t="n">
        <f aca="false">ROW()-1</f>
        <v>557</v>
      </c>
    </row>
    <row r="559" customFormat="false" ht="15" hidden="false" customHeight="false" outlineLevel="0" collapsed="false">
      <c r="C559" s="0" t="str">
        <f aca="false">IF($A559="","",IF(AT559="Y",BL559&amp;"",AY559&amp;""))</f>
        <v/>
      </c>
      <c r="D559" s="0" t="str">
        <f aca="false">IF($A559="","",IF(AT559="Y",BM559&amp;"",AZ559&amp;""))</f>
        <v/>
      </c>
      <c r="E559" s="0" t="str">
        <f aca="false">IF($A559="","",IF(AT559="Y",BN559&amp;"",BA559&amp;""))</f>
        <v/>
      </c>
      <c r="F559" s="0" t="str">
        <f aca="false">IF($A559="","",IF(AT559="Y",BO559&amp;"",BB559&amp;""))</f>
        <v/>
      </c>
      <c r="G559" s="0" t="str">
        <f aca="false">IF($A559="","",IF(AT559="Y",BP559&amp;"",BC559&amp;""))</f>
        <v/>
      </c>
      <c r="H559" s="0" t="str">
        <f aca="false">IF($A559="","",IF(AT559="Y",BQ559&amp;"",BD559&amp;""))</f>
        <v/>
      </c>
      <c r="I559" s="0" t="str">
        <f aca="false">IF($A559="","",IF(R559="Y","warm-intro",IF(H559="verified","email",IF(C559&lt;&gt;"","linkedin",CA559&amp;""))))</f>
        <v/>
      </c>
      <c r="J559" s="0" t="str">
        <f aca="false">IF($A559="","",IF(CK559="pass",ROUND(N(DO559)+N(DP559)+N(DQ559)+N(DR559)+N(DS559)+N(DT559)+N(DU559)+N(DV559),0),0))</f>
        <v/>
      </c>
      <c r="K559" s="0" t="str">
        <f aca="false">IF($A559="","",IF(CK559&lt;&gt;"pass",BY559&amp;"",BY559&amp;", "&amp;IF(AT559="Y",BX559&amp;"",BK559&amp;"")&amp;BZ559&amp;IF(R559="Y","; known to the founder (+10)","")&amp;"."))</f>
        <v/>
      </c>
      <c r="R559" s="5"/>
      <c r="T559" s="5"/>
      <c r="U559" s="5"/>
      <c r="Y559" s="0" t="str">
        <f aca="false">IF(FA559&lt;&gt;"Y","",COUNTIFS($FA$2:$FA$1000,"Y",$J$2:$J$1000,"&gt;"&amp;J559)+COUNTIFS($FA$2:$FA$1000,"Y",$J$2:$J$1000,J559,$FG$2:$FG$1000,"&lt;"&amp;FG559)+1)</f>
        <v/>
      </c>
      <c r="AB559" s="0" t="str">
        <f aca="false">IF($A559="","",IF(AT559="Y",BW559&amp;"",BJ559&amp;""))</f>
        <v/>
      </c>
      <c r="AC559" s="0" t="str">
        <f aca="false">IF($A559="","",IF(AT559="Y",BR559&amp;"",BE559&amp;""))</f>
        <v/>
      </c>
      <c r="AD559" s="0" t="str">
        <f aca="false">IF($A559="","",IF(AT559="Y",BS559&amp;"",BF559&amp;""))</f>
        <v/>
      </c>
      <c r="AE559" s="0" t="str">
        <f aca="false">IF($A559="","",IF(AT559="Y",BT559&amp;"",BG559&amp;""))</f>
        <v/>
      </c>
      <c r="AF559" s="0" t="str">
        <f aca="false">IF($A559="","",IF(AT559="Y",BU559&amp;"",BH559&amp;""))</f>
        <v/>
      </c>
      <c r="AG559" s="0" t="str">
        <f aca="false">IF($A559="","",IF(AT559="Y",BV559&amp;"",BI559&amp;""))</f>
        <v/>
      </c>
      <c r="AO559" s="5"/>
      <c r="AR559" s="0" t="str">
        <f aca="false">IF($A559="","",IF(AND(CK559="pass",AO559&lt;&gt;"Y",C559&lt;&gt;"",OR(AU559&lt;&gt;"Y",AV559="Y")),"Y","N"))</f>
        <v/>
      </c>
      <c r="AS559" s="0" t="str">
        <f aca="false">IF($A559="","",_xlfn.TEXTJOIN("; ",TRUE(),IF(CK559&lt;&gt;"pass","gated out",""),IF(AO559="Y","on hold: "&amp;AP559,""),IF(C559="","no contact named on an opened page",""),IF(AND(AU559="Y",AV559&lt;&gt;"Y"),"founder review pending (Founder review tab)","")))</f>
        <v/>
      </c>
      <c r="BC559" s="0" t="str">
        <f aca="false">IF($A559="","",IFERROR(INDEX(Enrichment!$A$2:$GZ$2000,MATCH($A559,INDEX(Enrichment!$A$2:$GZ$2000,0,MATCH("row_id",Enrichment!$A$1:$GZ$1,0)),0),MATCH("work_email",Enrichment!$A$1:$GZ$1,0))&amp;"",""))</f>
        <v/>
      </c>
      <c r="BD559" s="0" t="str">
        <f aca="false">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P559" s="0" t="str">
        <f aca="false">IF($A559="","",IFERROR(INDEX(Enrichment!$A$2:$GZ$2000,MATCH($A559,INDEX(Enrichment!$A$2:$GZ$2000,0,MATCH("row_id",Enrichment!$A$1:$GZ$1,0)),0),MATCH("backup_work_email",Enrichment!$A$1:$GZ$1,0))&amp;"",""))</f>
        <v/>
      </c>
      <c r="BQ559" s="0" t="str">
        <f aca="false">IF($A559="","",IF(BP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DU559" s="0" t="str">
        <f aca="false">IF($A559="","",IF(R559="Y",10,0))</f>
        <v/>
      </c>
      <c r="EV559" s="0" t="str">
        <f aca="false">IF($A559="","",IF(ISNUMBER(MATCH(U559,{"queued","contacted","replied","call_booked","call_done","yes_in_principle","materials_sent"},0)),"Y","N"))</f>
        <v/>
      </c>
      <c r="EW559" s="0" t="str">
        <f aca="false">IF($A559="","",IF(OR(T559="Y",U559="do_not_contact",AQ559&amp;""&lt;&gt;""),"Y","N"))</f>
        <v/>
      </c>
      <c r="EX559" s="0" t="str">
        <f aca="false">IF($A559="","",IF(AN559&amp;""&lt;&gt;"",AN559&amp;"",$A559))</f>
        <v/>
      </c>
      <c r="EY559" s="0" t="str">
        <f aca="false">IF($A559="","",IF(COUNTIFS($EX$2:$EX$1000,EX559,$EV$2:$EV$1000,"Y")+COUNTIFS($EX$2:$EX$1000,EX559,$EW$2:$EW$1000,"Y")&gt;0,"Y","N"))</f>
        <v/>
      </c>
      <c r="EZ559" s="0" t="str">
        <f aca="false">IF($A559="","",IF(AND(U559="new",T559="N",EW559="N",AR559="Y",EY559="N"),"Y","N"))</f>
        <v/>
      </c>
      <c r="FA559" s="0" t="str">
        <f aca="false">IF($A559="","",IF(EZ559&lt;&gt;"Y","N",IF(COUNTIFS($EX$2:$EX$1000,EX559,$EZ$2:$EZ$1000,"Y",$J$2:$J$1000,"&gt;"&amp;J559)+COUNTIFS($EX$2:$EX$1000,EX559,$EZ$2:$EZ$1000,"Y",$J$2:$J$1000,J559,$FG$2:$FG$1000,"&lt;"&amp;FG559)=0,"Y","N")))</f>
        <v/>
      </c>
      <c r="FB559" s="0" t="str">
        <f aca="false">IF($A559="","",IF(AND(EZ559="Y",FA559="Y",Y559&amp;""&lt;&gt;""),IF(Y559&lt;=10,"Y","N"),"N"))</f>
        <v/>
      </c>
      <c r="FC559" s="0" t="str">
        <f aca="false">IF(FB559="Y",Y559,"")</f>
        <v/>
      </c>
      <c r="FD559" s="0" t="str">
        <f aca="false">IF($A559="","",IF(AND(CK559="pass",AU559="Y",AV559&lt;&gt;"Y",U559="new",EW559="N"),"Y","N"))</f>
        <v/>
      </c>
      <c r="FE559" s="0" t="str">
        <f aca="false">IF(FD559&lt;&gt;"Y","",IF(COUNTIFS($FD$2:$FD$1000,"Y",$J$2:$J$1000,"&gt;"&amp;J559)+COUNTIFS($FD$2:$FD$1000,"Y",$J$2:$J$1000,J559,$FG$2:$FG$1000,"&lt;"&amp;FG559)+1&lt;=30,COUNTIFS($FD$2:$FD$1000,"Y",$J$2:$J$1000,"&gt;"&amp;J559)+COUNTIFS($FD$2:$FD$1000,"Y",$J$2:$J$1000,J559,$FG$2:$FG$1000,"&lt;"&amp;FG559)+1,""))</f>
        <v/>
      </c>
      <c r="FF559" s="0" t="str">
        <f aca="false">IF(AND(_xlfn.ISFORMULA(C559),_xlfn.ISFORMULA(J559)),"Y","N")</f>
        <v>Y</v>
      </c>
      <c r="FG559" s="0" t="n">
        <f aca="false">ROW()-1</f>
        <v>558</v>
      </c>
    </row>
    <row r="560" customFormat="false" ht="15" hidden="false" customHeight="false" outlineLevel="0" collapsed="false">
      <c r="C560" s="0" t="str">
        <f aca="false">IF($A560="","",IF(AT560="Y",BL560&amp;"",AY560&amp;""))</f>
        <v/>
      </c>
      <c r="D560" s="0" t="str">
        <f aca="false">IF($A560="","",IF(AT560="Y",BM560&amp;"",AZ560&amp;""))</f>
        <v/>
      </c>
      <c r="E560" s="0" t="str">
        <f aca="false">IF($A560="","",IF(AT560="Y",BN560&amp;"",BA560&amp;""))</f>
        <v/>
      </c>
      <c r="F560" s="0" t="str">
        <f aca="false">IF($A560="","",IF(AT560="Y",BO560&amp;"",BB560&amp;""))</f>
        <v/>
      </c>
      <c r="G560" s="0" t="str">
        <f aca="false">IF($A560="","",IF(AT560="Y",BP560&amp;"",BC560&amp;""))</f>
        <v/>
      </c>
      <c r="H560" s="0" t="str">
        <f aca="false">IF($A560="","",IF(AT560="Y",BQ560&amp;"",BD560&amp;""))</f>
        <v/>
      </c>
      <c r="I560" s="0" t="str">
        <f aca="false">IF($A560="","",IF(R560="Y","warm-intro",IF(H560="verified","email",IF(C560&lt;&gt;"","linkedin",CA560&amp;""))))</f>
        <v/>
      </c>
      <c r="J560" s="0" t="str">
        <f aca="false">IF($A560="","",IF(CK560="pass",ROUND(N(DO560)+N(DP560)+N(DQ560)+N(DR560)+N(DS560)+N(DT560)+N(DU560)+N(DV560),0),0))</f>
        <v/>
      </c>
      <c r="K560" s="0" t="str">
        <f aca="false">IF($A560="","",IF(CK560&lt;&gt;"pass",BY560&amp;"",BY560&amp;", "&amp;IF(AT560="Y",BX560&amp;"",BK560&amp;"")&amp;BZ560&amp;IF(R560="Y","; known to the founder (+10)","")&amp;"."))</f>
        <v/>
      </c>
      <c r="R560" s="5"/>
      <c r="T560" s="5"/>
      <c r="U560" s="5"/>
      <c r="Y560" s="0" t="str">
        <f aca="false">IF(FA560&lt;&gt;"Y","",COUNTIFS($FA$2:$FA$1000,"Y",$J$2:$J$1000,"&gt;"&amp;J560)+COUNTIFS($FA$2:$FA$1000,"Y",$J$2:$J$1000,J560,$FG$2:$FG$1000,"&lt;"&amp;FG560)+1)</f>
        <v/>
      </c>
      <c r="AB560" s="0" t="str">
        <f aca="false">IF($A560="","",IF(AT560="Y",BW560&amp;"",BJ560&amp;""))</f>
        <v/>
      </c>
      <c r="AC560" s="0" t="str">
        <f aca="false">IF($A560="","",IF(AT560="Y",BR560&amp;"",BE560&amp;""))</f>
        <v/>
      </c>
      <c r="AD560" s="0" t="str">
        <f aca="false">IF($A560="","",IF(AT560="Y",BS560&amp;"",BF560&amp;""))</f>
        <v/>
      </c>
      <c r="AE560" s="0" t="str">
        <f aca="false">IF($A560="","",IF(AT560="Y",BT560&amp;"",BG560&amp;""))</f>
        <v/>
      </c>
      <c r="AF560" s="0" t="str">
        <f aca="false">IF($A560="","",IF(AT560="Y",BU560&amp;"",BH560&amp;""))</f>
        <v/>
      </c>
      <c r="AG560" s="0" t="str">
        <f aca="false">IF($A560="","",IF(AT560="Y",BV560&amp;"",BI560&amp;""))</f>
        <v/>
      </c>
      <c r="AO560" s="5"/>
      <c r="AR560" s="0" t="str">
        <f aca="false">IF($A560="","",IF(AND(CK560="pass",AO560&lt;&gt;"Y",C560&lt;&gt;"",OR(AU560&lt;&gt;"Y",AV560="Y")),"Y","N"))</f>
        <v/>
      </c>
      <c r="AS560" s="0" t="str">
        <f aca="false">IF($A560="","",_xlfn.TEXTJOIN("; ",TRUE(),IF(CK560&lt;&gt;"pass","gated out",""),IF(AO560="Y","on hold: "&amp;AP560,""),IF(C560="","no contact named on an opened page",""),IF(AND(AU560="Y",AV560&lt;&gt;"Y"),"founder review pending (Founder review tab)","")))</f>
        <v/>
      </c>
      <c r="BC560" s="0" t="str">
        <f aca="false">IF($A560="","",IFERROR(INDEX(Enrichment!$A$2:$GZ$2000,MATCH($A560,INDEX(Enrichment!$A$2:$GZ$2000,0,MATCH("row_id",Enrichment!$A$1:$GZ$1,0)),0),MATCH("work_email",Enrichment!$A$1:$GZ$1,0))&amp;"",""))</f>
        <v/>
      </c>
      <c r="BD560" s="0" t="str">
        <f aca="false">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P560" s="0" t="str">
        <f aca="false">IF($A560="","",IFERROR(INDEX(Enrichment!$A$2:$GZ$2000,MATCH($A560,INDEX(Enrichment!$A$2:$GZ$2000,0,MATCH("row_id",Enrichment!$A$1:$GZ$1,0)),0),MATCH("backup_work_email",Enrichment!$A$1:$GZ$1,0))&amp;"",""))</f>
        <v/>
      </c>
      <c r="BQ560" s="0" t="str">
        <f aca="false">IF($A560="","",IF(BP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DU560" s="0" t="str">
        <f aca="false">IF($A560="","",IF(R560="Y",10,0))</f>
        <v/>
      </c>
      <c r="EV560" s="0" t="str">
        <f aca="false">IF($A560="","",IF(ISNUMBER(MATCH(U560,{"queued","contacted","replied","call_booked","call_done","yes_in_principle","materials_sent"},0)),"Y","N"))</f>
        <v/>
      </c>
      <c r="EW560" s="0" t="str">
        <f aca="false">IF($A560="","",IF(OR(T560="Y",U560="do_not_contact",AQ560&amp;""&lt;&gt;""),"Y","N"))</f>
        <v/>
      </c>
      <c r="EX560" s="0" t="str">
        <f aca="false">IF($A560="","",IF(AN560&amp;""&lt;&gt;"",AN560&amp;"",$A560))</f>
        <v/>
      </c>
      <c r="EY560" s="0" t="str">
        <f aca="false">IF($A560="","",IF(COUNTIFS($EX$2:$EX$1000,EX560,$EV$2:$EV$1000,"Y")+COUNTIFS($EX$2:$EX$1000,EX560,$EW$2:$EW$1000,"Y")&gt;0,"Y","N"))</f>
        <v/>
      </c>
      <c r="EZ560" s="0" t="str">
        <f aca="false">IF($A560="","",IF(AND(U560="new",T560="N",EW560="N",AR560="Y",EY560="N"),"Y","N"))</f>
        <v/>
      </c>
      <c r="FA560" s="0" t="str">
        <f aca="false">IF($A560="","",IF(EZ560&lt;&gt;"Y","N",IF(COUNTIFS($EX$2:$EX$1000,EX560,$EZ$2:$EZ$1000,"Y",$J$2:$J$1000,"&gt;"&amp;J560)+COUNTIFS($EX$2:$EX$1000,EX560,$EZ$2:$EZ$1000,"Y",$J$2:$J$1000,J560,$FG$2:$FG$1000,"&lt;"&amp;FG560)=0,"Y","N")))</f>
        <v/>
      </c>
      <c r="FB560" s="0" t="str">
        <f aca="false">IF($A560="","",IF(AND(EZ560="Y",FA560="Y",Y560&amp;""&lt;&gt;""),IF(Y560&lt;=10,"Y","N"),"N"))</f>
        <v/>
      </c>
      <c r="FC560" s="0" t="str">
        <f aca="false">IF(FB560="Y",Y560,"")</f>
        <v/>
      </c>
      <c r="FD560" s="0" t="str">
        <f aca="false">IF($A560="","",IF(AND(CK560="pass",AU560="Y",AV560&lt;&gt;"Y",U560="new",EW560="N"),"Y","N"))</f>
        <v/>
      </c>
      <c r="FE560" s="0" t="str">
        <f aca="false">IF(FD560&lt;&gt;"Y","",IF(COUNTIFS($FD$2:$FD$1000,"Y",$J$2:$J$1000,"&gt;"&amp;J560)+COUNTIFS($FD$2:$FD$1000,"Y",$J$2:$J$1000,J560,$FG$2:$FG$1000,"&lt;"&amp;FG560)+1&lt;=30,COUNTIFS($FD$2:$FD$1000,"Y",$J$2:$J$1000,"&gt;"&amp;J560)+COUNTIFS($FD$2:$FD$1000,"Y",$J$2:$J$1000,J560,$FG$2:$FG$1000,"&lt;"&amp;FG560)+1,""))</f>
        <v/>
      </c>
      <c r="FF560" s="0" t="str">
        <f aca="false">IF(AND(_xlfn.ISFORMULA(C560),_xlfn.ISFORMULA(J560)),"Y","N")</f>
        <v>Y</v>
      </c>
      <c r="FG560" s="0" t="n">
        <f aca="false">ROW()-1</f>
        <v>559</v>
      </c>
    </row>
    <row r="561" customFormat="false" ht="15" hidden="false" customHeight="false" outlineLevel="0" collapsed="false">
      <c r="C561" s="0" t="str">
        <f aca="false">IF($A561="","",IF(AT561="Y",BL561&amp;"",AY561&amp;""))</f>
        <v/>
      </c>
      <c r="D561" s="0" t="str">
        <f aca="false">IF($A561="","",IF(AT561="Y",BM561&amp;"",AZ561&amp;""))</f>
        <v/>
      </c>
      <c r="E561" s="0" t="str">
        <f aca="false">IF($A561="","",IF(AT561="Y",BN561&amp;"",BA561&amp;""))</f>
        <v/>
      </c>
      <c r="F561" s="0" t="str">
        <f aca="false">IF($A561="","",IF(AT561="Y",BO561&amp;"",BB561&amp;""))</f>
        <v/>
      </c>
      <c r="G561" s="0" t="str">
        <f aca="false">IF($A561="","",IF(AT561="Y",BP561&amp;"",BC561&amp;""))</f>
        <v/>
      </c>
      <c r="H561" s="0" t="str">
        <f aca="false">IF($A561="","",IF(AT561="Y",BQ561&amp;"",BD561&amp;""))</f>
        <v/>
      </c>
      <c r="I561" s="0" t="str">
        <f aca="false">IF($A561="","",IF(R561="Y","warm-intro",IF(H561="verified","email",IF(C561&lt;&gt;"","linkedin",CA561&amp;""))))</f>
        <v/>
      </c>
      <c r="J561" s="0" t="str">
        <f aca="false">IF($A561="","",IF(CK561="pass",ROUND(N(DO561)+N(DP561)+N(DQ561)+N(DR561)+N(DS561)+N(DT561)+N(DU561)+N(DV561),0),0))</f>
        <v/>
      </c>
      <c r="K561" s="0" t="str">
        <f aca="false">IF($A561="","",IF(CK561&lt;&gt;"pass",BY561&amp;"",BY561&amp;", "&amp;IF(AT561="Y",BX561&amp;"",BK561&amp;"")&amp;BZ561&amp;IF(R561="Y","; known to the founder (+10)","")&amp;"."))</f>
        <v/>
      </c>
      <c r="R561" s="5"/>
      <c r="T561" s="5"/>
      <c r="U561" s="5"/>
      <c r="Y561" s="0" t="str">
        <f aca="false">IF(FA561&lt;&gt;"Y","",COUNTIFS($FA$2:$FA$1000,"Y",$J$2:$J$1000,"&gt;"&amp;J561)+COUNTIFS($FA$2:$FA$1000,"Y",$J$2:$J$1000,J561,$FG$2:$FG$1000,"&lt;"&amp;FG561)+1)</f>
        <v/>
      </c>
      <c r="AB561" s="0" t="str">
        <f aca="false">IF($A561="","",IF(AT561="Y",BW561&amp;"",BJ561&amp;""))</f>
        <v/>
      </c>
      <c r="AC561" s="0" t="str">
        <f aca="false">IF($A561="","",IF(AT561="Y",BR561&amp;"",BE561&amp;""))</f>
        <v/>
      </c>
      <c r="AD561" s="0" t="str">
        <f aca="false">IF($A561="","",IF(AT561="Y",BS561&amp;"",BF561&amp;""))</f>
        <v/>
      </c>
      <c r="AE561" s="0" t="str">
        <f aca="false">IF($A561="","",IF(AT561="Y",BT561&amp;"",BG561&amp;""))</f>
        <v/>
      </c>
      <c r="AF561" s="0" t="str">
        <f aca="false">IF($A561="","",IF(AT561="Y",BU561&amp;"",BH561&amp;""))</f>
        <v/>
      </c>
      <c r="AG561" s="0" t="str">
        <f aca="false">IF($A561="","",IF(AT561="Y",BV561&amp;"",BI561&amp;""))</f>
        <v/>
      </c>
      <c r="AO561" s="5"/>
      <c r="AR561" s="0" t="str">
        <f aca="false">IF($A561="","",IF(AND(CK561="pass",AO561&lt;&gt;"Y",C561&lt;&gt;"",OR(AU561&lt;&gt;"Y",AV561="Y")),"Y","N"))</f>
        <v/>
      </c>
      <c r="AS561" s="0" t="str">
        <f aca="false">IF($A561="","",_xlfn.TEXTJOIN("; ",TRUE(),IF(CK561&lt;&gt;"pass","gated out",""),IF(AO561="Y","on hold: "&amp;AP561,""),IF(C561="","no contact named on an opened page",""),IF(AND(AU561="Y",AV561&lt;&gt;"Y"),"founder review pending (Founder review tab)","")))</f>
        <v/>
      </c>
      <c r="BC561" s="0" t="str">
        <f aca="false">IF($A561="","",IFERROR(INDEX(Enrichment!$A$2:$GZ$2000,MATCH($A561,INDEX(Enrichment!$A$2:$GZ$2000,0,MATCH("row_id",Enrichment!$A$1:$GZ$1,0)),0),MATCH("work_email",Enrichment!$A$1:$GZ$1,0))&amp;"",""))</f>
        <v/>
      </c>
      <c r="BD561" s="0" t="str">
        <f aca="false">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P561" s="0" t="str">
        <f aca="false">IF($A561="","",IFERROR(INDEX(Enrichment!$A$2:$GZ$2000,MATCH($A561,INDEX(Enrichment!$A$2:$GZ$2000,0,MATCH("row_id",Enrichment!$A$1:$GZ$1,0)),0),MATCH("backup_work_email",Enrichment!$A$1:$GZ$1,0))&amp;"",""))</f>
        <v/>
      </c>
      <c r="BQ561" s="0" t="str">
        <f aca="false">IF($A561="","",IF(BP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DU561" s="0" t="str">
        <f aca="false">IF($A561="","",IF(R561="Y",10,0))</f>
        <v/>
      </c>
      <c r="EV561" s="0" t="str">
        <f aca="false">IF($A561="","",IF(ISNUMBER(MATCH(U561,{"queued","contacted","replied","call_booked","call_done","yes_in_principle","materials_sent"},0)),"Y","N"))</f>
        <v/>
      </c>
      <c r="EW561" s="0" t="str">
        <f aca="false">IF($A561="","",IF(OR(T561="Y",U561="do_not_contact",AQ561&amp;""&lt;&gt;""),"Y","N"))</f>
        <v/>
      </c>
      <c r="EX561" s="0" t="str">
        <f aca="false">IF($A561="","",IF(AN561&amp;""&lt;&gt;"",AN561&amp;"",$A561))</f>
        <v/>
      </c>
      <c r="EY561" s="0" t="str">
        <f aca="false">IF($A561="","",IF(COUNTIFS($EX$2:$EX$1000,EX561,$EV$2:$EV$1000,"Y")+COUNTIFS($EX$2:$EX$1000,EX561,$EW$2:$EW$1000,"Y")&gt;0,"Y","N"))</f>
        <v/>
      </c>
      <c r="EZ561" s="0" t="str">
        <f aca="false">IF($A561="","",IF(AND(U561="new",T561="N",EW561="N",AR561="Y",EY561="N"),"Y","N"))</f>
        <v/>
      </c>
      <c r="FA561" s="0" t="str">
        <f aca="false">IF($A561="","",IF(EZ561&lt;&gt;"Y","N",IF(COUNTIFS($EX$2:$EX$1000,EX561,$EZ$2:$EZ$1000,"Y",$J$2:$J$1000,"&gt;"&amp;J561)+COUNTIFS($EX$2:$EX$1000,EX561,$EZ$2:$EZ$1000,"Y",$J$2:$J$1000,J561,$FG$2:$FG$1000,"&lt;"&amp;FG561)=0,"Y","N")))</f>
        <v/>
      </c>
      <c r="FB561" s="0" t="str">
        <f aca="false">IF($A561="","",IF(AND(EZ561="Y",FA561="Y",Y561&amp;""&lt;&gt;""),IF(Y561&lt;=10,"Y","N"),"N"))</f>
        <v/>
      </c>
      <c r="FC561" s="0" t="str">
        <f aca="false">IF(FB561="Y",Y561,"")</f>
        <v/>
      </c>
      <c r="FD561" s="0" t="str">
        <f aca="false">IF($A561="","",IF(AND(CK561="pass",AU561="Y",AV561&lt;&gt;"Y",U561="new",EW561="N"),"Y","N"))</f>
        <v/>
      </c>
      <c r="FE561" s="0" t="str">
        <f aca="false">IF(FD561&lt;&gt;"Y","",IF(COUNTIFS($FD$2:$FD$1000,"Y",$J$2:$J$1000,"&gt;"&amp;J561)+COUNTIFS($FD$2:$FD$1000,"Y",$J$2:$J$1000,J561,$FG$2:$FG$1000,"&lt;"&amp;FG561)+1&lt;=30,COUNTIFS($FD$2:$FD$1000,"Y",$J$2:$J$1000,"&gt;"&amp;J561)+COUNTIFS($FD$2:$FD$1000,"Y",$J$2:$J$1000,J561,$FG$2:$FG$1000,"&lt;"&amp;FG561)+1,""))</f>
        <v/>
      </c>
      <c r="FF561" s="0" t="str">
        <f aca="false">IF(AND(_xlfn.ISFORMULA(C561),_xlfn.ISFORMULA(J561)),"Y","N")</f>
        <v>Y</v>
      </c>
      <c r="FG561" s="0" t="n">
        <f aca="false">ROW()-1</f>
        <v>560</v>
      </c>
    </row>
    <row r="562" customFormat="false" ht="15" hidden="false" customHeight="false" outlineLevel="0" collapsed="false">
      <c r="C562" s="0" t="str">
        <f aca="false">IF($A562="","",IF(AT562="Y",BL562&amp;"",AY562&amp;""))</f>
        <v/>
      </c>
      <c r="D562" s="0" t="str">
        <f aca="false">IF($A562="","",IF(AT562="Y",BM562&amp;"",AZ562&amp;""))</f>
        <v/>
      </c>
      <c r="E562" s="0" t="str">
        <f aca="false">IF($A562="","",IF(AT562="Y",BN562&amp;"",BA562&amp;""))</f>
        <v/>
      </c>
      <c r="F562" s="0" t="str">
        <f aca="false">IF($A562="","",IF(AT562="Y",BO562&amp;"",BB562&amp;""))</f>
        <v/>
      </c>
      <c r="G562" s="0" t="str">
        <f aca="false">IF($A562="","",IF(AT562="Y",BP562&amp;"",BC562&amp;""))</f>
        <v/>
      </c>
      <c r="H562" s="0" t="str">
        <f aca="false">IF($A562="","",IF(AT562="Y",BQ562&amp;"",BD562&amp;""))</f>
        <v/>
      </c>
      <c r="I562" s="0" t="str">
        <f aca="false">IF($A562="","",IF(R562="Y","warm-intro",IF(H562="verified","email",IF(C562&lt;&gt;"","linkedin",CA562&amp;""))))</f>
        <v/>
      </c>
      <c r="J562" s="0" t="str">
        <f aca="false">IF($A562="","",IF(CK562="pass",ROUND(N(DO562)+N(DP562)+N(DQ562)+N(DR562)+N(DS562)+N(DT562)+N(DU562)+N(DV562),0),0))</f>
        <v/>
      </c>
      <c r="K562" s="0" t="str">
        <f aca="false">IF($A562="","",IF(CK562&lt;&gt;"pass",BY562&amp;"",BY562&amp;", "&amp;IF(AT562="Y",BX562&amp;"",BK562&amp;"")&amp;BZ562&amp;IF(R562="Y","; known to the founder (+10)","")&amp;"."))</f>
        <v/>
      </c>
      <c r="R562" s="5"/>
      <c r="T562" s="5"/>
      <c r="U562" s="5"/>
      <c r="Y562" s="0" t="str">
        <f aca="false">IF(FA562&lt;&gt;"Y","",COUNTIFS($FA$2:$FA$1000,"Y",$J$2:$J$1000,"&gt;"&amp;J562)+COUNTIFS($FA$2:$FA$1000,"Y",$J$2:$J$1000,J562,$FG$2:$FG$1000,"&lt;"&amp;FG562)+1)</f>
        <v/>
      </c>
      <c r="AB562" s="0" t="str">
        <f aca="false">IF($A562="","",IF(AT562="Y",BW562&amp;"",BJ562&amp;""))</f>
        <v/>
      </c>
      <c r="AC562" s="0" t="str">
        <f aca="false">IF($A562="","",IF(AT562="Y",BR562&amp;"",BE562&amp;""))</f>
        <v/>
      </c>
      <c r="AD562" s="0" t="str">
        <f aca="false">IF($A562="","",IF(AT562="Y",BS562&amp;"",BF562&amp;""))</f>
        <v/>
      </c>
      <c r="AE562" s="0" t="str">
        <f aca="false">IF($A562="","",IF(AT562="Y",BT562&amp;"",BG562&amp;""))</f>
        <v/>
      </c>
      <c r="AF562" s="0" t="str">
        <f aca="false">IF($A562="","",IF(AT562="Y",BU562&amp;"",BH562&amp;""))</f>
        <v/>
      </c>
      <c r="AG562" s="0" t="str">
        <f aca="false">IF($A562="","",IF(AT562="Y",BV562&amp;"",BI562&amp;""))</f>
        <v/>
      </c>
      <c r="AO562" s="5"/>
      <c r="AR562" s="0" t="str">
        <f aca="false">IF($A562="","",IF(AND(CK562="pass",AO562&lt;&gt;"Y",C562&lt;&gt;"",OR(AU562&lt;&gt;"Y",AV562="Y")),"Y","N"))</f>
        <v/>
      </c>
      <c r="AS562" s="0" t="str">
        <f aca="false">IF($A562="","",_xlfn.TEXTJOIN("; ",TRUE(),IF(CK562&lt;&gt;"pass","gated out",""),IF(AO562="Y","on hold: "&amp;AP562,""),IF(C562="","no contact named on an opened page",""),IF(AND(AU562="Y",AV562&lt;&gt;"Y"),"founder review pending (Founder review tab)","")))</f>
        <v/>
      </c>
      <c r="BC562" s="0" t="str">
        <f aca="false">IF($A562="","",IFERROR(INDEX(Enrichment!$A$2:$GZ$2000,MATCH($A562,INDEX(Enrichment!$A$2:$GZ$2000,0,MATCH("row_id",Enrichment!$A$1:$GZ$1,0)),0),MATCH("work_email",Enrichment!$A$1:$GZ$1,0))&amp;"",""))</f>
        <v/>
      </c>
      <c r="BD562" s="0" t="str">
        <f aca="false">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P562" s="0" t="str">
        <f aca="false">IF($A562="","",IFERROR(INDEX(Enrichment!$A$2:$GZ$2000,MATCH($A562,INDEX(Enrichment!$A$2:$GZ$2000,0,MATCH("row_id",Enrichment!$A$1:$GZ$1,0)),0),MATCH("backup_work_email",Enrichment!$A$1:$GZ$1,0))&amp;"",""))</f>
        <v/>
      </c>
      <c r="BQ562" s="0" t="str">
        <f aca="false">IF($A562="","",IF(BP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DU562" s="0" t="str">
        <f aca="false">IF($A562="","",IF(R562="Y",10,0))</f>
        <v/>
      </c>
      <c r="EV562" s="0" t="str">
        <f aca="false">IF($A562="","",IF(ISNUMBER(MATCH(U562,{"queued","contacted","replied","call_booked","call_done","yes_in_principle","materials_sent"},0)),"Y","N"))</f>
        <v/>
      </c>
      <c r="EW562" s="0" t="str">
        <f aca="false">IF($A562="","",IF(OR(T562="Y",U562="do_not_contact",AQ562&amp;""&lt;&gt;""),"Y","N"))</f>
        <v/>
      </c>
      <c r="EX562" s="0" t="str">
        <f aca="false">IF($A562="","",IF(AN562&amp;""&lt;&gt;"",AN562&amp;"",$A562))</f>
        <v/>
      </c>
      <c r="EY562" s="0" t="str">
        <f aca="false">IF($A562="","",IF(COUNTIFS($EX$2:$EX$1000,EX562,$EV$2:$EV$1000,"Y")+COUNTIFS($EX$2:$EX$1000,EX562,$EW$2:$EW$1000,"Y")&gt;0,"Y","N"))</f>
        <v/>
      </c>
      <c r="EZ562" s="0" t="str">
        <f aca="false">IF($A562="","",IF(AND(U562="new",T562="N",EW562="N",AR562="Y",EY562="N"),"Y","N"))</f>
        <v/>
      </c>
      <c r="FA562" s="0" t="str">
        <f aca="false">IF($A562="","",IF(EZ562&lt;&gt;"Y","N",IF(COUNTIFS($EX$2:$EX$1000,EX562,$EZ$2:$EZ$1000,"Y",$J$2:$J$1000,"&gt;"&amp;J562)+COUNTIFS($EX$2:$EX$1000,EX562,$EZ$2:$EZ$1000,"Y",$J$2:$J$1000,J562,$FG$2:$FG$1000,"&lt;"&amp;FG562)=0,"Y","N")))</f>
        <v/>
      </c>
      <c r="FB562" s="0" t="str">
        <f aca="false">IF($A562="","",IF(AND(EZ562="Y",FA562="Y",Y562&amp;""&lt;&gt;""),IF(Y562&lt;=10,"Y","N"),"N"))</f>
        <v/>
      </c>
      <c r="FC562" s="0" t="str">
        <f aca="false">IF(FB562="Y",Y562,"")</f>
        <v/>
      </c>
      <c r="FD562" s="0" t="str">
        <f aca="false">IF($A562="","",IF(AND(CK562="pass",AU562="Y",AV562&lt;&gt;"Y",U562="new",EW562="N"),"Y","N"))</f>
        <v/>
      </c>
      <c r="FE562" s="0" t="str">
        <f aca="false">IF(FD562&lt;&gt;"Y","",IF(COUNTIFS($FD$2:$FD$1000,"Y",$J$2:$J$1000,"&gt;"&amp;J562)+COUNTIFS($FD$2:$FD$1000,"Y",$J$2:$J$1000,J562,$FG$2:$FG$1000,"&lt;"&amp;FG562)+1&lt;=30,COUNTIFS($FD$2:$FD$1000,"Y",$J$2:$J$1000,"&gt;"&amp;J562)+COUNTIFS($FD$2:$FD$1000,"Y",$J$2:$J$1000,J562,$FG$2:$FG$1000,"&lt;"&amp;FG562)+1,""))</f>
        <v/>
      </c>
      <c r="FF562" s="0" t="str">
        <f aca="false">IF(AND(_xlfn.ISFORMULA(C562),_xlfn.ISFORMULA(J562)),"Y","N")</f>
        <v>Y</v>
      </c>
      <c r="FG562" s="0" t="n">
        <f aca="false">ROW()-1</f>
        <v>561</v>
      </c>
    </row>
    <row r="563" customFormat="false" ht="15" hidden="false" customHeight="false" outlineLevel="0" collapsed="false">
      <c r="C563" s="0" t="str">
        <f aca="false">IF($A563="","",IF(AT563="Y",BL563&amp;"",AY563&amp;""))</f>
        <v/>
      </c>
      <c r="D563" s="0" t="str">
        <f aca="false">IF($A563="","",IF(AT563="Y",BM563&amp;"",AZ563&amp;""))</f>
        <v/>
      </c>
      <c r="E563" s="0" t="str">
        <f aca="false">IF($A563="","",IF(AT563="Y",BN563&amp;"",BA563&amp;""))</f>
        <v/>
      </c>
      <c r="F563" s="0" t="str">
        <f aca="false">IF($A563="","",IF(AT563="Y",BO563&amp;"",BB563&amp;""))</f>
        <v/>
      </c>
      <c r="G563" s="0" t="str">
        <f aca="false">IF($A563="","",IF(AT563="Y",BP563&amp;"",BC563&amp;""))</f>
        <v/>
      </c>
      <c r="H563" s="0" t="str">
        <f aca="false">IF($A563="","",IF(AT563="Y",BQ563&amp;"",BD563&amp;""))</f>
        <v/>
      </c>
      <c r="I563" s="0" t="str">
        <f aca="false">IF($A563="","",IF(R563="Y","warm-intro",IF(H563="verified","email",IF(C563&lt;&gt;"","linkedin",CA563&amp;""))))</f>
        <v/>
      </c>
      <c r="J563" s="0" t="str">
        <f aca="false">IF($A563="","",IF(CK563="pass",ROUND(N(DO563)+N(DP563)+N(DQ563)+N(DR563)+N(DS563)+N(DT563)+N(DU563)+N(DV563),0),0))</f>
        <v/>
      </c>
      <c r="K563" s="0" t="str">
        <f aca="false">IF($A563="","",IF(CK563&lt;&gt;"pass",BY563&amp;"",BY563&amp;", "&amp;IF(AT563="Y",BX563&amp;"",BK563&amp;"")&amp;BZ563&amp;IF(R563="Y","; known to the founder (+10)","")&amp;"."))</f>
        <v/>
      </c>
      <c r="R563" s="5"/>
      <c r="T563" s="5"/>
      <c r="U563" s="5"/>
      <c r="Y563" s="0" t="str">
        <f aca="false">IF(FA563&lt;&gt;"Y","",COUNTIFS($FA$2:$FA$1000,"Y",$J$2:$J$1000,"&gt;"&amp;J563)+COUNTIFS($FA$2:$FA$1000,"Y",$J$2:$J$1000,J563,$FG$2:$FG$1000,"&lt;"&amp;FG563)+1)</f>
        <v/>
      </c>
      <c r="AB563" s="0" t="str">
        <f aca="false">IF($A563="","",IF(AT563="Y",BW563&amp;"",BJ563&amp;""))</f>
        <v/>
      </c>
      <c r="AC563" s="0" t="str">
        <f aca="false">IF($A563="","",IF(AT563="Y",BR563&amp;"",BE563&amp;""))</f>
        <v/>
      </c>
      <c r="AD563" s="0" t="str">
        <f aca="false">IF($A563="","",IF(AT563="Y",BS563&amp;"",BF563&amp;""))</f>
        <v/>
      </c>
      <c r="AE563" s="0" t="str">
        <f aca="false">IF($A563="","",IF(AT563="Y",BT563&amp;"",BG563&amp;""))</f>
        <v/>
      </c>
      <c r="AF563" s="0" t="str">
        <f aca="false">IF($A563="","",IF(AT563="Y",BU563&amp;"",BH563&amp;""))</f>
        <v/>
      </c>
      <c r="AG563" s="0" t="str">
        <f aca="false">IF($A563="","",IF(AT563="Y",BV563&amp;"",BI563&amp;""))</f>
        <v/>
      </c>
      <c r="AO563" s="5"/>
      <c r="AR563" s="0" t="str">
        <f aca="false">IF($A563="","",IF(AND(CK563="pass",AO563&lt;&gt;"Y",C563&lt;&gt;"",OR(AU563&lt;&gt;"Y",AV563="Y")),"Y","N"))</f>
        <v/>
      </c>
      <c r="AS563" s="0" t="str">
        <f aca="false">IF($A563="","",_xlfn.TEXTJOIN("; ",TRUE(),IF(CK563&lt;&gt;"pass","gated out",""),IF(AO563="Y","on hold: "&amp;AP563,""),IF(C563="","no contact named on an opened page",""),IF(AND(AU563="Y",AV563&lt;&gt;"Y"),"founder review pending (Founder review tab)","")))</f>
        <v/>
      </c>
      <c r="BC563" s="0" t="str">
        <f aca="false">IF($A563="","",IFERROR(INDEX(Enrichment!$A$2:$GZ$2000,MATCH($A563,INDEX(Enrichment!$A$2:$GZ$2000,0,MATCH("row_id",Enrichment!$A$1:$GZ$1,0)),0),MATCH("work_email",Enrichment!$A$1:$GZ$1,0))&amp;"",""))</f>
        <v/>
      </c>
      <c r="BD563" s="0" t="str">
        <f aca="false">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P563" s="0" t="str">
        <f aca="false">IF($A563="","",IFERROR(INDEX(Enrichment!$A$2:$GZ$2000,MATCH($A563,INDEX(Enrichment!$A$2:$GZ$2000,0,MATCH("row_id",Enrichment!$A$1:$GZ$1,0)),0),MATCH("backup_work_email",Enrichment!$A$1:$GZ$1,0))&amp;"",""))</f>
        <v/>
      </c>
      <c r="BQ563" s="0" t="str">
        <f aca="false">IF($A563="","",IF(BP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DU563" s="0" t="str">
        <f aca="false">IF($A563="","",IF(R563="Y",10,0))</f>
        <v/>
      </c>
      <c r="EV563" s="0" t="str">
        <f aca="false">IF($A563="","",IF(ISNUMBER(MATCH(U563,{"queued","contacted","replied","call_booked","call_done","yes_in_principle","materials_sent"},0)),"Y","N"))</f>
        <v/>
      </c>
      <c r="EW563" s="0" t="str">
        <f aca="false">IF($A563="","",IF(OR(T563="Y",U563="do_not_contact",AQ563&amp;""&lt;&gt;""),"Y","N"))</f>
        <v/>
      </c>
      <c r="EX563" s="0" t="str">
        <f aca="false">IF($A563="","",IF(AN563&amp;""&lt;&gt;"",AN563&amp;"",$A563))</f>
        <v/>
      </c>
      <c r="EY563" s="0" t="str">
        <f aca="false">IF($A563="","",IF(COUNTIFS($EX$2:$EX$1000,EX563,$EV$2:$EV$1000,"Y")+COUNTIFS($EX$2:$EX$1000,EX563,$EW$2:$EW$1000,"Y")&gt;0,"Y","N"))</f>
        <v/>
      </c>
      <c r="EZ563" s="0" t="str">
        <f aca="false">IF($A563="","",IF(AND(U563="new",T563="N",EW563="N",AR563="Y",EY563="N"),"Y","N"))</f>
        <v/>
      </c>
      <c r="FA563" s="0" t="str">
        <f aca="false">IF($A563="","",IF(EZ563&lt;&gt;"Y","N",IF(COUNTIFS($EX$2:$EX$1000,EX563,$EZ$2:$EZ$1000,"Y",$J$2:$J$1000,"&gt;"&amp;J563)+COUNTIFS($EX$2:$EX$1000,EX563,$EZ$2:$EZ$1000,"Y",$J$2:$J$1000,J563,$FG$2:$FG$1000,"&lt;"&amp;FG563)=0,"Y","N")))</f>
        <v/>
      </c>
      <c r="FB563" s="0" t="str">
        <f aca="false">IF($A563="","",IF(AND(EZ563="Y",FA563="Y",Y563&amp;""&lt;&gt;""),IF(Y563&lt;=10,"Y","N"),"N"))</f>
        <v/>
      </c>
      <c r="FC563" s="0" t="str">
        <f aca="false">IF(FB563="Y",Y563,"")</f>
        <v/>
      </c>
      <c r="FD563" s="0" t="str">
        <f aca="false">IF($A563="","",IF(AND(CK563="pass",AU563="Y",AV563&lt;&gt;"Y",U563="new",EW563="N"),"Y","N"))</f>
        <v/>
      </c>
      <c r="FE563" s="0" t="str">
        <f aca="false">IF(FD563&lt;&gt;"Y","",IF(COUNTIFS($FD$2:$FD$1000,"Y",$J$2:$J$1000,"&gt;"&amp;J563)+COUNTIFS($FD$2:$FD$1000,"Y",$J$2:$J$1000,J563,$FG$2:$FG$1000,"&lt;"&amp;FG563)+1&lt;=30,COUNTIFS($FD$2:$FD$1000,"Y",$J$2:$J$1000,"&gt;"&amp;J563)+COUNTIFS($FD$2:$FD$1000,"Y",$J$2:$J$1000,J563,$FG$2:$FG$1000,"&lt;"&amp;FG563)+1,""))</f>
        <v/>
      </c>
      <c r="FF563" s="0" t="str">
        <f aca="false">IF(AND(_xlfn.ISFORMULA(C563),_xlfn.ISFORMULA(J563)),"Y","N")</f>
        <v>Y</v>
      </c>
      <c r="FG563" s="0" t="n">
        <f aca="false">ROW()-1</f>
        <v>562</v>
      </c>
    </row>
    <row r="564" customFormat="false" ht="15" hidden="false" customHeight="false" outlineLevel="0" collapsed="false">
      <c r="C564" s="0" t="str">
        <f aca="false">IF($A564="","",IF(AT564="Y",BL564&amp;"",AY564&amp;""))</f>
        <v/>
      </c>
      <c r="D564" s="0" t="str">
        <f aca="false">IF($A564="","",IF(AT564="Y",BM564&amp;"",AZ564&amp;""))</f>
        <v/>
      </c>
      <c r="E564" s="0" t="str">
        <f aca="false">IF($A564="","",IF(AT564="Y",BN564&amp;"",BA564&amp;""))</f>
        <v/>
      </c>
      <c r="F564" s="0" t="str">
        <f aca="false">IF($A564="","",IF(AT564="Y",BO564&amp;"",BB564&amp;""))</f>
        <v/>
      </c>
      <c r="G564" s="0" t="str">
        <f aca="false">IF($A564="","",IF(AT564="Y",BP564&amp;"",BC564&amp;""))</f>
        <v/>
      </c>
      <c r="H564" s="0" t="str">
        <f aca="false">IF($A564="","",IF(AT564="Y",BQ564&amp;"",BD564&amp;""))</f>
        <v/>
      </c>
      <c r="I564" s="0" t="str">
        <f aca="false">IF($A564="","",IF(R564="Y","warm-intro",IF(H564="verified","email",IF(C564&lt;&gt;"","linkedin",CA564&amp;""))))</f>
        <v/>
      </c>
      <c r="J564" s="0" t="str">
        <f aca="false">IF($A564="","",IF(CK564="pass",ROUND(N(DO564)+N(DP564)+N(DQ564)+N(DR564)+N(DS564)+N(DT564)+N(DU564)+N(DV564),0),0))</f>
        <v/>
      </c>
      <c r="K564" s="0" t="str">
        <f aca="false">IF($A564="","",IF(CK564&lt;&gt;"pass",BY564&amp;"",BY564&amp;", "&amp;IF(AT564="Y",BX564&amp;"",BK564&amp;"")&amp;BZ564&amp;IF(R564="Y","; known to the founder (+10)","")&amp;"."))</f>
        <v/>
      </c>
      <c r="R564" s="5"/>
      <c r="T564" s="5"/>
      <c r="U564" s="5"/>
      <c r="Y564" s="0" t="str">
        <f aca="false">IF(FA564&lt;&gt;"Y","",COUNTIFS($FA$2:$FA$1000,"Y",$J$2:$J$1000,"&gt;"&amp;J564)+COUNTIFS($FA$2:$FA$1000,"Y",$J$2:$J$1000,J564,$FG$2:$FG$1000,"&lt;"&amp;FG564)+1)</f>
        <v/>
      </c>
      <c r="AB564" s="0" t="str">
        <f aca="false">IF($A564="","",IF(AT564="Y",BW564&amp;"",BJ564&amp;""))</f>
        <v/>
      </c>
      <c r="AC564" s="0" t="str">
        <f aca="false">IF($A564="","",IF(AT564="Y",BR564&amp;"",BE564&amp;""))</f>
        <v/>
      </c>
      <c r="AD564" s="0" t="str">
        <f aca="false">IF($A564="","",IF(AT564="Y",BS564&amp;"",BF564&amp;""))</f>
        <v/>
      </c>
      <c r="AE564" s="0" t="str">
        <f aca="false">IF($A564="","",IF(AT564="Y",BT564&amp;"",BG564&amp;""))</f>
        <v/>
      </c>
      <c r="AF564" s="0" t="str">
        <f aca="false">IF($A564="","",IF(AT564="Y",BU564&amp;"",BH564&amp;""))</f>
        <v/>
      </c>
      <c r="AG564" s="0" t="str">
        <f aca="false">IF($A564="","",IF(AT564="Y",BV564&amp;"",BI564&amp;""))</f>
        <v/>
      </c>
      <c r="AO564" s="5"/>
      <c r="AR564" s="0" t="str">
        <f aca="false">IF($A564="","",IF(AND(CK564="pass",AO564&lt;&gt;"Y",C564&lt;&gt;"",OR(AU564&lt;&gt;"Y",AV564="Y")),"Y","N"))</f>
        <v/>
      </c>
      <c r="AS564" s="0" t="str">
        <f aca="false">IF($A564="","",_xlfn.TEXTJOIN("; ",TRUE(),IF(CK564&lt;&gt;"pass","gated out",""),IF(AO564="Y","on hold: "&amp;AP564,""),IF(C564="","no contact named on an opened page",""),IF(AND(AU564="Y",AV564&lt;&gt;"Y"),"founder review pending (Founder review tab)","")))</f>
        <v/>
      </c>
      <c r="BC564" s="0" t="str">
        <f aca="false">IF($A564="","",IFERROR(INDEX(Enrichment!$A$2:$GZ$2000,MATCH($A564,INDEX(Enrichment!$A$2:$GZ$2000,0,MATCH("row_id",Enrichment!$A$1:$GZ$1,0)),0),MATCH("work_email",Enrichment!$A$1:$GZ$1,0))&amp;"",""))</f>
        <v/>
      </c>
      <c r="BD564" s="0" t="str">
        <f aca="false">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P564" s="0" t="str">
        <f aca="false">IF($A564="","",IFERROR(INDEX(Enrichment!$A$2:$GZ$2000,MATCH($A564,INDEX(Enrichment!$A$2:$GZ$2000,0,MATCH("row_id",Enrichment!$A$1:$GZ$1,0)),0),MATCH("backup_work_email",Enrichment!$A$1:$GZ$1,0))&amp;"",""))</f>
        <v/>
      </c>
      <c r="BQ564" s="0" t="str">
        <f aca="false">IF($A564="","",IF(BP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DU564" s="0" t="str">
        <f aca="false">IF($A564="","",IF(R564="Y",10,0))</f>
        <v/>
      </c>
      <c r="EV564" s="0" t="str">
        <f aca="false">IF($A564="","",IF(ISNUMBER(MATCH(U564,{"queued","contacted","replied","call_booked","call_done","yes_in_principle","materials_sent"},0)),"Y","N"))</f>
        <v/>
      </c>
      <c r="EW564" s="0" t="str">
        <f aca="false">IF($A564="","",IF(OR(T564="Y",U564="do_not_contact",AQ564&amp;""&lt;&gt;""),"Y","N"))</f>
        <v/>
      </c>
      <c r="EX564" s="0" t="str">
        <f aca="false">IF($A564="","",IF(AN564&amp;""&lt;&gt;"",AN564&amp;"",$A564))</f>
        <v/>
      </c>
      <c r="EY564" s="0" t="str">
        <f aca="false">IF($A564="","",IF(COUNTIFS($EX$2:$EX$1000,EX564,$EV$2:$EV$1000,"Y")+COUNTIFS($EX$2:$EX$1000,EX564,$EW$2:$EW$1000,"Y")&gt;0,"Y","N"))</f>
        <v/>
      </c>
      <c r="EZ564" s="0" t="str">
        <f aca="false">IF($A564="","",IF(AND(U564="new",T564="N",EW564="N",AR564="Y",EY564="N"),"Y","N"))</f>
        <v/>
      </c>
      <c r="FA564" s="0" t="str">
        <f aca="false">IF($A564="","",IF(EZ564&lt;&gt;"Y","N",IF(COUNTIFS($EX$2:$EX$1000,EX564,$EZ$2:$EZ$1000,"Y",$J$2:$J$1000,"&gt;"&amp;J564)+COUNTIFS($EX$2:$EX$1000,EX564,$EZ$2:$EZ$1000,"Y",$J$2:$J$1000,J564,$FG$2:$FG$1000,"&lt;"&amp;FG564)=0,"Y","N")))</f>
        <v/>
      </c>
      <c r="FB564" s="0" t="str">
        <f aca="false">IF($A564="","",IF(AND(EZ564="Y",FA564="Y",Y564&amp;""&lt;&gt;""),IF(Y564&lt;=10,"Y","N"),"N"))</f>
        <v/>
      </c>
      <c r="FC564" s="0" t="str">
        <f aca="false">IF(FB564="Y",Y564,"")</f>
        <v/>
      </c>
      <c r="FD564" s="0" t="str">
        <f aca="false">IF($A564="","",IF(AND(CK564="pass",AU564="Y",AV564&lt;&gt;"Y",U564="new",EW564="N"),"Y","N"))</f>
        <v/>
      </c>
      <c r="FE564" s="0" t="str">
        <f aca="false">IF(FD564&lt;&gt;"Y","",IF(COUNTIFS($FD$2:$FD$1000,"Y",$J$2:$J$1000,"&gt;"&amp;J564)+COUNTIFS($FD$2:$FD$1000,"Y",$J$2:$J$1000,J564,$FG$2:$FG$1000,"&lt;"&amp;FG564)+1&lt;=30,COUNTIFS($FD$2:$FD$1000,"Y",$J$2:$J$1000,"&gt;"&amp;J564)+COUNTIFS($FD$2:$FD$1000,"Y",$J$2:$J$1000,J564,$FG$2:$FG$1000,"&lt;"&amp;FG564)+1,""))</f>
        <v/>
      </c>
      <c r="FF564" s="0" t="str">
        <f aca="false">IF(AND(_xlfn.ISFORMULA(C564),_xlfn.ISFORMULA(J564)),"Y","N")</f>
        <v>Y</v>
      </c>
      <c r="FG564" s="0" t="n">
        <f aca="false">ROW()-1</f>
        <v>563</v>
      </c>
    </row>
    <row r="565" customFormat="false" ht="15" hidden="false" customHeight="false" outlineLevel="0" collapsed="false">
      <c r="C565" s="0" t="str">
        <f aca="false">IF($A565="","",IF(AT565="Y",BL565&amp;"",AY565&amp;""))</f>
        <v/>
      </c>
      <c r="D565" s="0" t="str">
        <f aca="false">IF($A565="","",IF(AT565="Y",BM565&amp;"",AZ565&amp;""))</f>
        <v/>
      </c>
      <c r="E565" s="0" t="str">
        <f aca="false">IF($A565="","",IF(AT565="Y",BN565&amp;"",BA565&amp;""))</f>
        <v/>
      </c>
      <c r="F565" s="0" t="str">
        <f aca="false">IF($A565="","",IF(AT565="Y",BO565&amp;"",BB565&amp;""))</f>
        <v/>
      </c>
      <c r="G565" s="0" t="str">
        <f aca="false">IF($A565="","",IF(AT565="Y",BP565&amp;"",BC565&amp;""))</f>
        <v/>
      </c>
      <c r="H565" s="0" t="str">
        <f aca="false">IF($A565="","",IF(AT565="Y",BQ565&amp;"",BD565&amp;""))</f>
        <v/>
      </c>
      <c r="I565" s="0" t="str">
        <f aca="false">IF($A565="","",IF(R565="Y","warm-intro",IF(H565="verified","email",IF(C565&lt;&gt;"","linkedin",CA565&amp;""))))</f>
        <v/>
      </c>
      <c r="J565" s="0" t="str">
        <f aca="false">IF($A565="","",IF(CK565="pass",ROUND(N(DO565)+N(DP565)+N(DQ565)+N(DR565)+N(DS565)+N(DT565)+N(DU565)+N(DV565),0),0))</f>
        <v/>
      </c>
      <c r="K565" s="0" t="str">
        <f aca="false">IF($A565="","",IF(CK565&lt;&gt;"pass",BY565&amp;"",BY565&amp;", "&amp;IF(AT565="Y",BX565&amp;"",BK565&amp;"")&amp;BZ565&amp;IF(R565="Y","; known to the founder (+10)","")&amp;"."))</f>
        <v/>
      </c>
      <c r="R565" s="5"/>
      <c r="T565" s="5"/>
      <c r="U565" s="5"/>
      <c r="Y565" s="0" t="str">
        <f aca="false">IF(FA565&lt;&gt;"Y","",COUNTIFS($FA$2:$FA$1000,"Y",$J$2:$J$1000,"&gt;"&amp;J565)+COUNTIFS($FA$2:$FA$1000,"Y",$J$2:$J$1000,J565,$FG$2:$FG$1000,"&lt;"&amp;FG565)+1)</f>
        <v/>
      </c>
      <c r="AB565" s="0" t="str">
        <f aca="false">IF($A565="","",IF(AT565="Y",BW565&amp;"",BJ565&amp;""))</f>
        <v/>
      </c>
      <c r="AC565" s="0" t="str">
        <f aca="false">IF($A565="","",IF(AT565="Y",BR565&amp;"",BE565&amp;""))</f>
        <v/>
      </c>
      <c r="AD565" s="0" t="str">
        <f aca="false">IF($A565="","",IF(AT565="Y",BS565&amp;"",BF565&amp;""))</f>
        <v/>
      </c>
      <c r="AE565" s="0" t="str">
        <f aca="false">IF($A565="","",IF(AT565="Y",BT565&amp;"",BG565&amp;""))</f>
        <v/>
      </c>
      <c r="AF565" s="0" t="str">
        <f aca="false">IF($A565="","",IF(AT565="Y",BU565&amp;"",BH565&amp;""))</f>
        <v/>
      </c>
      <c r="AG565" s="0" t="str">
        <f aca="false">IF($A565="","",IF(AT565="Y",BV565&amp;"",BI565&amp;""))</f>
        <v/>
      </c>
      <c r="AO565" s="5"/>
      <c r="AR565" s="0" t="str">
        <f aca="false">IF($A565="","",IF(AND(CK565="pass",AO565&lt;&gt;"Y",C565&lt;&gt;"",OR(AU565&lt;&gt;"Y",AV565="Y")),"Y","N"))</f>
        <v/>
      </c>
      <c r="AS565" s="0" t="str">
        <f aca="false">IF($A565="","",_xlfn.TEXTJOIN("; ",TRUE(),IF(CK565&lt;&gt;"pass","gated out",""),IF(AO565="Y","on hold: "&amp;AP565,""),IF(C565="","no contact named on an opened page",""),IF(AND(AU565="Y",AV565&lt;&gt;"Y"),"founder review pending (Founder review tab)","")))</f>
        <v/>
      </c>
      <c r="BC565" s="0" t="str">
        <f aca="false">IF($A565="","",IFERROR(INDEX(Enrichment!$A$2:$GZ$2000,MATCH($A565,INDEX(Enrichment!$A$2:$GZ$2000,0,MATCH("row_id",Enrichment!$A$1:$GZ$1,0)),0),MATCH("work_email",Enrichment!$A$1:$GZ$1,0))&amp;"",""))</f>
        <v/>
      </c>
      <c r="BD565" s="0" t="str">
        <f aca="false">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P565" s="0" t="str">
        <f aca="false">IF($A565="","",IFERROR(INDEX(Enrichment!$A$2:$GZ$2000,MATCH($A565,INDEX(Enrichment!$A$2:$GZ$2000,0,MATCH("row_id",Enrichment!$A$1:$GZ$1,0)),0),MATCH("backup_work_email",Enrichment!$A$1:$GZ$1,0))&amp;"",""))</f>
        <v/>
      </c>
      <c r="BQ565" s="0" t="str">
        <f aca="false">IF($A565="","",IF(BP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DU565" s="0" t="str">
        <f aca="false">IF($A565="","",IF(R565="Y",10,0))</f>
        <v/>
      </c>
      <c r="EV565" s="0" t="str">
        <f aca="false">IF($A565="","",IF(ISNUMBER(MATCH(U565,{"queued","contacted","replied","call_booked","call_done","yes_in_principle","materials_sent"},0)),"Y","N"))</f>
        <v/>
      </c>
      <c r="EW565" s="0" t="str">
        <f aca="false">IF($A565="","",IF(OR(T565="Y",U565="do_not_contact",AQ565&amp;""&lt;&gt;""),"Y","N"))</f>
        <v/>
      </c>
      <c r="EX565" s="0" t="str">
        <f aca="false">IF($A565="","",IF(AN565&amp;""&lt;&gt;"",AN565&amp;"",$A565))</f>
        <v/>
      </c>
      <c r="EY565" s="0" t="str">
        <f aca="false">IF($A565="","",IF(COUNTIFS($EX$2:$EX$1000,EX565,$EV$2:$EV$1000,"Y")+COUNTIFS($EX$2:$EX$1000,EX565,$EW$2:$EW$1000,"Y")&gt;0,"Y","N"))</f>
        <v/>
      </c>
      <c r="EZ565" s="0" t="str">
        <f aca="false">IF($A565="","",IF(AND(U565="new",T565="N",EW565="N",AR565="Y",EY565="N"),"Y","N"))</f>
        <v/>
      </c>
      <c r="FA565" s="0" t="str">
        <f aca="false">IF($A565="","",IF(EZ565&lt;&gt;"Y","N",IF(COUNTIFS($EX$2:$EX$1000,EX565,$EZ$2:$EZ$1000,"Y",$J$2:$J$1000,"&gt;"&amp;J565)+COUNTIFS($EX$2:$EX$1000,EX565,$EZ$2:$EZ$1000,"Y",$J$2:$J$1000,J565,$FG$2:$FG$1000,"&lt;"&amp;FG565)=0,"Y","N")))</f>
        <v/>
      </c>
      <c r="FB565" s="0" t="str">
        <f aca="false">IF($A565="","",IF(AND(EZ565="Y",FA565="Y",Y565&amp;""&lt;&gt;""),IF(Y565&lt;=10,"Y","N"),"N"))</f>
        <v/>
      </c>
      <c r="FC565" s="0" t="str">
        <f aca="false">IF(FB565="Y",Y565,"")</f>
        <v/>
      </c>
      <c r="FD565" s="0" t="str">
        <f aca="false">IF($A565="","",IF(AND(CK565="pass",AU565="Y",AV565&lt;&gt;"Y",U565="new",EW565="N"),"Y","N"))</f>
        <v/>
      </c>
      <c r="FE565" s="0" t="str">
        <f aca="false">IF(FD565&lt;&gt;"Y","",IF(COUNTIFS($FD$2:$FD$1000,"Y",$J$2:$J$1000,"&gt;"&amp;J565)+COUNTIFS($FD$2:$FD$1000,"Y",$J$2:$J$1000,J565,$FG$2:$FG$1000,"&lt;"&amp;FG565)+1&lt;=30,COUNTIFS($FD$2:$FD$1000,"Y",$J$2:$J$1000,"&gt;"&amp;J565)+COUNTIFS($FD$2:$FD$1000,"Y",$J$2:$J$1000,J565,$FG$2:$FG$1000,"&lt;"&amp;FG565)+1,""))</f>
        <v/>
      </c>
      <c r="FF565" s="0" t="str">
        <f aca="false">IF(AND(_xlfn.ISFORMULA(C565),_xlfn.ISFORMULA(J565)),"Y","N")</f>
        <v>Y</v>
      </c>
      <c r="FG565" s="0" t="n">
        <f aca="false">ROW()-1</f>
        <v>564</v>
      </c>
    </row>
    <row r="566" customFormat="false" ht="15" hidden="false" customHeight="false" outlineLevel="0" collapsed="false">
      <c r="C566" s="0" t="str">
        <f aca="false">IF($A566="","",IF(AT566="Y",BL566&amp;"",AY566&amp;""))</f>
        <v/>
      </c>
      <c r="D566" s="0" t="str">
        <f aca="false">IF($A566="","",IF(AT566="Y",BM566&amp;"",AZ566&amp;""))</f>
        <v/>
      </c>
      <c r="E566" s="0" t="str">
        <f aca="false">IF($A566="","",IF(AT566="Y",BN566&amp;"",BA566&amp;""))</f>
        <v/>
      </c>
      <c r="F566" s="0" t="str">
        <f aca="false">IF($A566="","",IF(AT566="Y",BO566&amp;"",BB566&amp;""))</f>
        <v/>
      </c>
      <c r="G566" s="0" t="str">
        <f aca="false">IF($A566="","",IF(AT566="Y",BP566&amp;"",BC566&amp;""))</f>
        <v/>
      </c>
      <c r="H566" s="0" t="str">
        <f aca="false">IF($A566="","",IF(AT566="Y",BQ566&amp;"",BD566&amp;""))</f>
        <v/>
      </c>
      <c r="I566" s="0" t="str">
        <f aca="false">IF($A566="","",IF(R566="Y","warm-intro",IF(H566="verified","email",IF(C566&lt;&gt;"","linkedin",CA566&amp;""))))</f>
        <v/>
      </c>
      <c r="J566" s="0" t="str">
        <f aca="false">IF($A566="","",IF(CK566="pass",ROUND(N(DO566)+N(DP566)+N(DQ566)+N(DR566)+N(DS566)+N(DT566)+N(DU566)+N(DV566),0),0))</f>
        <v/>
      </c>
      <c r="K566" s="0" t="str">
        <f aca="false">IF($A566="","",IF(CK566&lt;&gt;"pass",BY566&amp;"",BY566&amp;", "&amp;IF(AT566="Y",BX566&amp;"",BK566&amp;"")&amp;BZ566&amp;IF(R566="Y","; known to the founder (+10)","")&amp;"."))</f>
        <v/>
      </c>
      <c r="R566" s="5"/>
      <c r="T566" s="5"/>
      <c r="U566" s="5"/>
      <c r="Y566" s="0" t="str">
        <f aca="false">IF(FA566&lt;&gt;"Y","",COUNTIFS($FA$2:$FA$1000,"Y",$J$2:$J$1000,"&gt;"&amp;J566)+COUNTIFS($FA$2:$FA$1000,"Y",$J$2:$J$1000,J566,$FG$2:$FG$1000,"&lt;"&amp;FG566)+1)</f>
        <v/>
      </c>
      <c r="AB566" s="0" t="str">
        <f aca="false">IF($A566="","",IF(AT566="Y",BW566&amp;"",BJ566&amp;""))</f>
        <v/>
      </c>
      <c r="AC566" s="0" t="str">
        <f aca="false">IF($A566="","",IF(AT566="Y",BR566&amp;"",BE566&amp;""))</f>
        <v/>
      </c>
      <c r="AD566" s="0" t="str">
        <f aca="false">IF($A566="","",IF(AT566="Y",BS566&amp;"",BF566&amp;""))</f>
        <v/>
      </c>
      <c r="AE566" s="0" t="str">
        <f aca="false">IF($A566="","",IF(AT566="Y",BT566&amp;"",BG566&amp;""))</f>
        <v/>
      </c>
      <c r="AF566" s="0" t="str">
        <f aca="false">IF($A566="","",IF(AT566="Y",BU566&amp;"",BH566&amp;""))</f>
        <v/>
      </c>
      <c r="AG566" s="0" t="str">
        <f aca="false">IF($A566="","",IF(AT566="Y",BV566&amp;"",BI566&amp;""))</f>
        <v/>
      </c>
      <c r="AO566" s="5"/>
      <c r="AR566" s="0" t="str">
        <f aca="false">IF($A566="","",IF(AND(CK566="pass",AO566&lt;&gt;"Y",C566&lt;&gt;"",OR(AU566&lt;&gt;"Y",AV566="Y")),"Y","N"))</f>
        <v/>
      </c>
      <c r="AS566" s="0" t="str">
        <f aca="false">IF($A566="","",_xlfn.TEXTJOIN("; ",TRUE(),IF(CK566&lt;&gt;"pass","gated out",""),IF(AO566="Y","on hold: "&amp;AP566,""),IF(C566="","no contact named on an opened page",""),IF(AND(AU566="Y",AV566&lt;&gt;"Y"),"founder review pending (Founder review tab)","")))</f>
        <v/>
      </c>
      <c r="BC566" s="0" t="str">
        <f aca="false">IF($A566="","",IFERROR(INDEX(Enrichment!$A$2:$GZ$2000,MATCH($A566,INDEX(Enrichment!$A$2:$GZ$2000,0,MATCH("row_id",Enrichment!$A$1:$GZ$1,0)),0),MATCH("work_email",Enrichment!$A$1:$GZ$1,0))&amp;"",""))</f>
        <v/>
      </c>
      <c r="BD566" s="0" t="str">
        <f aca="false">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P566" s="0" t="str">
        <f aca="false">IF($A566="","",IFERROR(INDEX(Enrichment!$A$2:$GZ$2000,MATCH($A566,INDEX(Enrichment!$A$2:$GZ$2000,0,MATCH("row_id",Enrichment!$A$1:$GZ$1,0)),0),MATCH("backup_work_email",Enrichment!$A$1:$GZ$1,0))&amp;"",""))</f>
        <v/>
      </c>
      <c r="BQ566" s="0" t="str">
        <f aca="false">IF($A566="","",IF(BP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DU566" s="0" t="str">
        <f aca="false">IF($A566="","",IF(R566="Y",10,0))</f>
        <v/>
      </c>
      <c r="EV566" s="0" t="str">
        <f aca="false">IF($A566="","",IF(ISNUMBER(MATCH(U566,{"queued","contacted","replied","call_booked","call_done","yes_in_principle","materials_sent"},0)),"Y","N"))</f>
        <v/>
      </c>
      <c r="EW566" s="0" t="str">
        <f aca="false">IF($A566="","",IF(OR(T566="Y",U566="do_not_contact",AQ566&amp;""&lt;&gt;""),"Y","N"))</f>
        <v/>
      </c>
      <c r="EX566" s="0" t="str">
        <f aca="false">IF($A566="","",IF(AN566&amp;""&lt;&gt;"",AN566&amp;"",$A566))</f>
        <v/>
      </c>
      <c r="EY566" s="0" t="str">
        <f aca="false">IF($A566="","",IF(COUNTIFS($EX$2:$EX$1000,EX566,$EV$2:$EV$1000,"Y")+COUNTIFS($EX$2:$EX$1000,EX566,$EW$2:$EW$1000,"Y")&gt;0,"Y","N"))</f>
        <v/>
      </c>
      <c r="EZ566" s="0" t="str">
        <f aca="false">IF($A566="","",IF(AND(U566="new",T566="N",EW566="N",AR566="Y",EY566="N"),"Y","N"))</f>
        <v/>
      </c>
      <c r="FA566" s="0" t="str">
        <f aca="false">IF($A566="","",IF(EZ566&lt;&gt;"Y","N",IF(COUNTIFS($EX$2:$EX$1000,EX566,$EZ$2:$EZ$1000,"Y",$J$2:$J$1000,"&gt;"&amp;J566)+COUNTIFS($EX$2:$EX$1000,EX566,$EZ$2:$EZ$1000,"Y",$J$2:$J$1000,J566,$FG$2:$FG$1000,"&lt;"&amp;FG566)=0,"Y","N")))</f>
        <v/>
      </c>
      <c r="FB566" s="0" t="str">
        <f aca="false">IF($A566="","",IF(AND(EZ566="Y",FA566="Y",Y566&amp;""&lt;&gt;""),IF(Y566&lt;=10,"Y","N"),"N"))</f>
        <v/>
      </c>
      <c r="FC566" s="0" t="str">
        <f aca="false">IF(FB566="Y",Y566,"")</f>
        <v/>
      </c>
      <c r="FD566" s="0" t="str">
        <f aca="false">IF($A566="","",IF(AND(CK566="pass",AU566="Y",AV566&lt;&gt;"Y",U566="new",EW566="N"),"Y","N"))</f>
        <v/>
      </c>
      <c r="FE566" s="0" t="str">
        <f aca="false">IF(FD566&lt;&gt;"Y","",IF(COUNTIFS($FD$2:$FD$1000,"Y",$J$2:$J$1000,"&gt;"&amp;J566)+COUNTIFS($FD$2:$FD$1000,"Y",$J$2:$J$1000,J566,$FG$2:$FG$1000,"&lt;"&amp;FG566)+1&lt;=30,COUNTIFS($FD$2:$FD$1000,"Y",$J$2:$J$1000,"&gt;"&amp;J566)+COUNTIFS($FD$2:$FD$1000,"Y",$J$2:$J$1000,J566,$FG$2:$FG$1000,"&lt;"&amp;FG566)+1,""))</f>
        <v/>
      </c>
      <c r="FF566" s="0" t="str">
        <f aca="false">IF(AND(_xlfn.ISFORMULA(C566),_xlfn.ISFORMULA(J566)),"Y","N")</f>
        <v>Y</v>
      </c>
      <c r="FG566" s="0" t="n">
        <f aca="false">ROW()-1</f>
        <v>565</v>
      </c>
    </row>
    <row r="567" customFormat="false" ht="15" hidden="false" customHeight="false" outlineLevel="0" collapsed="false">
      <c r="C567" s="0" t="str">
        <f aca="false">IF($A567="","",IF(AT567="Y",BL567&amp;"",AY567&amp;""))</f>
        <v/>
      </c>
      <c r="D567" s="0" t="str">
        <f aca="false">IF($A567="","",IF(AT567="Y",BM567&amp;"",AZ567&amp;""))</f>
        <v/>
      </c>
      <c r="E567" s="0" t="str">
        <f aca="false">IF($A567="","",IF(AT567="Y",BN567&amp;"",BA567&amp;""))</f>
        <v/>
      </c>
      <c r="F567" s="0" t="str">
        <f aca="false">IF($A567="","",IF(AT567="Y",BO567&amp;"",BB567&amp;""))</f>
        <v/>
      </c>
      <c r="G567" s="0" t="str">
        <f aca="false">IF($A567="","",IF(AT567="Y",BP567&amp;"",BC567&amp;""))</f>
        <v/>
      </c>
      <c r="H567" s="0" t="str">
        <f aca="false">IF($A567="","",IF(AT567="Y",BQ567&amp;"",BD567&amp;""))</f>
        <v/>
      </c>
      <c r="I567" s="0" t="str">
        <f aca="false">IF($A567="","",IF(R567="Y","warm-intro",IF(H567="verified","email",IF(C567&lt;&gt;"","linkedin",CA567&amp;""))))</f>
        <v/>
      </c>
      <c r="J567" s="0" t="str">
        <f aca="false">IF($A567="","",IF(CK567="pass",ROUND(N(DO567)+N(DP567)+N(DQ567)+N(DR567)+N(DS567)+N(DT567)+N(DU567)+N(DV567),0),0))</f>
        <v/>
      </c>
      <c r="K567" s="0" t="str">
        <f aca="false">IF($A567="","",IF(CK567&lt;&gt;"pass",BY567&amp;"",BY567&amp;", "&amp;IF(AT567="Y",BX567&amp;"",BK567&amp;"")&amp;BZ567&amp;IF(R567="Y","; known to the founder (+10)","")&amp;"."))</f>
        <v/>
      </c>
      <c r="R567" s="5"/>
      <c r="T567" s="5"/>
      <c r="U567" s="5"/>
      <c r="Y567" s="0" t="str">
        <f aca="false">IF(FA567&lt;&gt;"Y","",COUNTIFS($FA$2:$FA$1000,"Y",$J$2:$J$1000,"&gt;"&amp;J567)+COUNTIFS($FA$2:$FA$1000,"Y",$J$2:$J$1000,J567,$FG$2:$FG$1000,"&lt;"&amp;FG567)+1)</f>
        <v/>
      </c>
      <c r="AB567" s="0" t="str">
        <f aca="false">IF($A567="","",IF(AT567="Y",BW567&amp;"",BJ567&amp;""))</f>
        <v/>
      </c>
      <c r="AC567" s="0" t="str">
        <f aca="false">IF($A567="","",IF(AT567="Y",BR567&amp;"",BE567&amp;""))</f>
        <v/>
      </c>
      <c r="AD567" s="0" t="str">
        <f aca="false">IF($A567="","",IF(AT567="Y",BS567&amp;"",BF567&amp;""))</f>
        <v/>
      </c>
      <c r="AE567" s="0" t="str">
        <f aca="false">IF($A567="","",IF(AT567="Y",BT567&amp;"",BG567&amp;""))</f>
        <v/>
      </c>
      <c r="AF567" s="0" t="str">
        <f aca="false">IF($A567="","",IF(AT567="Y",BU567&amp;"",BH567&amp;""))</f>
        <v/>
      </c>
      <c r="AG567" s="0" t="str">
        <f aca="false">IF($A567="","",IF(AT567="Y",BV567&amp;"",BI567&amp;""))</f>
        <v/>
      </c>
      <c r="AO567" s="5"/>
      <c r="AR567" s="0" t="str">
        <f aca="false">IF($A567="","",IF(AND(CK567="pass",AO567&lt;&gt;"Y",C567&lt;&gt;"",OR(AU567&lt;&gt;"Y",AV567="Y")),"Y","N"))</f>
        <v/>
      </c>
      <c r="AS567" s="0" t="str">
        <f aca="false">IF($A567="","",_xlfn.TEXTJOIN("; ",TRUE(),IF(CK567&lt;&gt;"pass","gated out",""),IF(AO567="Y","on hold: "&amp;AP567,""),IF(C567="","no contact named on an opened page",""),IF(AND(AU567="Y",AV567&lt;&gt;"Y"),"founder review pending (Founder review tab)","")))</f>
        <v/>
      </c>
      <c r="BC567" s="0" t="str">
        <f aca="false">IF($A567="","",IFERROR(INDEX(Enrichment!$A$2:$GZ$2000,MATCH($A567,INDEX(Enrichment!$A$2:$GZ$2000,0,MATCH("row_id",Enrichment!$A$1:$GZ$1,0)),0),MATCH("work_email",Enrichment!$A$1:$GZ$1,0))&amp;"",""))</f>
        <v/>
      </c>
      <c r="BD567" s="0" t="str">
        <f aca="false">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P567" s="0" t="str">
        <f aca="false">IF($A567="","",IFERROR(INDEX(Enrichment!$A$2:$GZ$2000,MATCH($A567,INDEX(Enrichment!$A$2:$GZ$2000,0,MATCH("row_id",Enrichment!$A$1:$GZ$1,0)),0),MATCH("backup_work_email",Enrichment!$A$1:$GZ$1,0))&amp;"",""))</f>
        <v/>
      </c>
      <c r="BQ567" s="0" t="str">
        <f aca="false">IF($A567="","",IF(BP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DU567" s="0" t="str">
        <f aca="false">IF($A567="","",IF(R567="Y",10,0))</f>
        <v/>
      </c>
      <c r="EV567" s="0" t="str">
        <f aca="false">IF($A567="","",IF(ISNUMBER(MATCH(U567,{"queued","contacted","replied","call_booked","call_done","yes_in_principle","materials_sent"},0)),"Y","N"))</f>
        <v/>
      </c>
      <c r="EW567" s="0" t="str">
        <f aca="false">IF($A567="","",IF(OR(T567="Y",U567="do_not_contact",AQ567&amp;""&lt;&gt;""),"Y","N"))</f>
        <v/>
      </c>
      <c r="EX567" s="0" t="str">
        <f aca="false">IF($A567="","",IF(AN567&amp;""&lt;&gt;"",AN567&amp;"",$A567))</f>
        <v/>
      </c>
      <c r="EY567" s="0" t="str">
        <f aca="false">IF($A567="","",IF(COUNTIFS($EX$2:$EX$1000,EX567,$EV$2:$EV$1000,"Y")+COUNTIFS($EX$2:$EX$1000,EX567,$EW$2:$EW$1000,"Y")&gt;0,"Y","N"))</f>
        <v/>
      </c>
      <c r="EZ567" s="0" t="str">
        <f aca="false">IF($A567="","",IF(AND(U567="new",T567="N",EW567="N",AR567="Y",EY567="N"),"Y","N"))</f>
        <v/>
      </c>
      <c r="FA567" s="0" t="str">
        <f aca="false">IF($A567="","",IF(EZ567&lt;&gt;"Y","N",IF(COUNTIFS($EX$2:$EX$1000,EX567,$EZ$2:$EZ$1000,"Y",$J$2:$J$1000,"&gt;"&amp;J567)+COUNTIFS($EX$2:$EX$1000,EX567,$EZ$2:$EZ$1000,"Y",$J$2:$J$1000,J567,$FG$2:$FG$1000,"&lt;"&amp;FG567)=0,"Y","N")))</f>
        <v/>
      </c>
      <c r="FB567" s="0" t="str">
        <f aca="false">IF($A567="","",IF(AND(EZ567="Y",FA567="Y",Y567&amp;""&lt;&gt;""),IF(Y567&lt;=10,"Y","N"),"N"))</f>
        <v/>
      </c>
      <c r="FC567" s="0" t="str">
        <f aca="false">IF(FB567="Y",Y567,"")</f>
        <v/>
      </c>
      <c r="FD567" s="0" t="str">
        <f aca="false">IF($A567="","",IF(AND(CK567="pass",AU567="Y",AV567&lt;&gt;"Y",U567="new",EW567="N"),"Y","N"))</f>
        <v/>
      </c>
      <c r="FE567" s="0" t="str">
        <f aca="false">IF(FD567&lt;&gt;"Y","",IF(COUNTIFS($FD$2:$FD$1000,"Y",$J$2:$J$1000,"&gt;"&amp;J567)+COUNTIFS($FD$2:$FD$1000,"Y",$J$2:$J$1000,J567,$FG$2:$FG$1000,"&lt;"&amp;FG567)+1&lt;=30,COUNTIFS($FD$2:$FD$1000,"Y",$J$2:$J$1000,"&gt;"&amp;J567)+COUNTIFS($FD$2:$FD$1000,"Y",$J$2:$J$1000,J567,$FG$2:$FG$1000,"&lt;"&amp;FG567)+1,""))</f>
        <v/>
      </c>
      <c r="FF567" s="0" t="str">
        <f aca="false">IF(AND(_xlfn.ISFORMULA(C567),_xlfn.ISFORMULA(J567)),"Y","N")</f>
        <v>Y</v>
      </c>
      <c r="FG567" s="0" t="n">
        <f aca="false">ROW()-1</f>
        <v>566</v>
      </c>
    </row>
    <row r="568" customFormat="false" ht="15" hidden="false" customHeight="false" outlineLevel="0" collapsed="false">
      <c r="C568" s="0" t="str">
        <f aca="false">IF($A568="","",IF(AT568="Y",BL568&amp;"",AY568&amp;""))</f>
        <v/>
      </c>
      <c r="D568" s="0" t="str">
        <f aca="false">IF($A568="","",IF(AT568="Y",BM568&amp;"",AZ568&amp;""))</f>
        <v/>
      </c>
      <c r="E568" s="0" t="str">
        <f aca="false">IF($A568="","",IF(AT568="Y",BN568&amp;"",BA568&amp;""))</f>
        <v/>
      </c>
      <c r="F568" s="0" t="str">
        <f aca="false">IF($A568="","",IF(AT568="Y",BO568&amp;"",BB568&amp;""))</f>
        <v/>
      </c>
      <c r="G568" s="0" t="str">
        <f aca="false">IF($A568="","",IF(AT568="Y",BP568&amp;"",BC568&amp;""))</f>
        <v/>
      </c>
      <c r="H568" s="0" t="str">
        <f aca="false">IF($A568="","",IF(AT568="Y",BQ568&amp;"",BD568&amp;""))</f>
        <v/>
      </c>
      <c r="I568" s="0" t="str">
        <f aca="false">IF($A568="","",IF(R568="Y","warm-intro",IF(H568="verified","email",IF(C568&lt;&gt;"","linkedin",CA568&amp;""))))</f>
        <v/>
      </c>
      <c r="J568" s="0" t="str">
        <f aca="false">IF($A568="","",IF(CK568="pass",ROUND(N(DO568)+N(DP568)+N(DQ568)+N(DR568)+N(DS568)+N(DT568)+N(DU568)+N(DV568),0),0))</f>
        <v/>
      </c>
      <c r="K568" s="0" t="str">
        <f aca="false">IF($A568="","",IF(CK568&lt;&gt;"pass",BY568&amp;"",BY568&amp;", "&amp;IF(AT568="Y",BX568&amp;"",BK568&amp;"")&amp;BZ568&amp;IF(R568="Y","; known to the founder (+10)","")&amp;"."))</f>
        <v/>
      </c>
      <c r="R568" s="5"/>
      <c r="T568" s="5"/>
      <c r="U568" s="5"/>
      <c r="Y568" s="0" t="str">
        <f aca="false">IF(FA568&lt;&gt;"Y","",COUNTIFS($FA$2:$FA$1000,"Y",$J$2:$J$1000,"&gt;"&amp;J568)+COUNTIFS($FA$2:$FA$1000,"Y",$J$2:$J$1000,J568,$FG$2:$FG$1000,"&lt;"&amp;FG568)+1)</f>
        <v/>
      </c>
      <c r="AB568" s="0" t="str">
        <f aca="false">IF($A568="","",IF(AT568="Y",BW568&amp;"",BJ568&amp;""))</f>
        <v/>
      </c>
      <c r="AC568" s="0" t="str">
        <f aca="false">IF($A568="","",IF(AT568="Y",BR568&amp;"",BE568&amp;""))</f>
        <v/>
      </c>
      <c r="AD568" s="0" t="str">
        <f aca="false">IF($A568="","",IF(AT568="Y",BS568&amp;"",BF568&amp;""))</f>
        <v/>
      </c>
      <c r="AE568" s="0" t="str">
        <f aca="false">IF($A568="","",IF(AT568="Y",BT568&amp;"",BG568&amp;""))</f>
        <v/>
      </c>
      <c r="AF568" s="0" t="str">
        <f aca="false">IF($A568="","",IF(AT568="Y",BU568&amp;"",BH568&amp;""))</f>
        <v/>
      </c>
      <c r="AG568" s="0" t="str">
        <f aca="false">IF($A568="","",IF(AT568="Y",BV568&amp;"",BI568&amp;""))</f>
        <v/>
      </c>
      <c r="AO568" s="5"/>
      <c r="AR568" s="0" t="str">
        <f aca="false">IF($A568="","",IF(AND(CK568="pass",AO568&lt;&gt;"Y",C568&lt;&gt;"",OR(AU568&lt;&gt;"Y",AV568="Y")),"Y","N"))</f>
        <v/>
      </c>
      <c r="AS568" s="0" t="str">
        <f aca="false">IF($A568="","",_xlfn.TEXTJOIN("; ",TRUE(),IF(CK568&lt;&gt;"pass","gated out",""),IF(AO568="Y","on hold: "&amp;AP568,""),IF(C568="","no contact named on an opened page",""),IF(AND(AU568="Y",AV568&lt;&gt;"Y"),"founder review pending (Founder review tab)","")))</f>
        <v/>
      </c>
      <c r="BC568" s="0" t="str">
        <f aca="false">IF($A568="","",IFERROR(INDEX(Enrichment!$A$2:$GZ$2000,MATCH($A568,INDEX(Enrichment!$A$2:$GZ$2000,0,MATCH("row_id",Enrichment!$A$1:$GZ$1,0)),0),MATCH("work_email",Enrichment!$A$1:$GZ$1,0))&amp;"",""))</f>
        <v/>
      </c>
      <c r="BD568" s="0" t="str">
        <f aca="false">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P568" s="0" t="str">
        <f aca="false">IF($A568="","",IFERROR(INDEX(Enrichment!$A$2:$GZ$2000,MATCH($A568,INDEX(Enrichment!$A$2:$GZ$2000,0,MATCH("row_id",Enrichment!$A$1:$GZ$1,0)),0),MATCH("backup_work_email",Enrichment!$A$1:$GZ$1,0))&amp;"",""))</f>
        <v/>
      </c>
      <c r="BQ568" s="0" t="str">
        <f aca="false">IF($A568="","",IF(BP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DU568" s="0" t="str">
        <f aca="false">IF($A568="","",IF(R568="Y",10,0))</f>
        <v/>
      </c>
      <c r="EV568" s="0" t="str">
        <f aca="false">IF($A568="","",IF(ISNUMBER(MATCH(U568,{"queued","contacted","replied","call_booked","call_done","yes_in_principle","materials_sent"},0)),"Y","N"))</f>
        <v/>
      </c>
      <c r="EW568" s="0" t="str">
        <f aca="false">IF($A568="","",IF(OR(T568="Y",U568="do_not_contact",AQ568&amp;""&lt;&gt;""),"Y","N"))</f>
        <v/>
      </c>
      <c r="EX568" s="0" t="str">
        <f aca="false">IF($A568="","",IF(AN568&amp;""&lt;&gt;"",AN568&amp;"",$A568))</f>
        <v/>
      </c>
      <c r="EY568" s="0" t="str">
        <f aca="false">IF($A568="","",IF(COUNTIFS($EX$2:$EX$1000,EX568,$EV$2:$EV$1000,"Y")+COUNTIFS($EX$2:$EX$1000,EX568,$EW$2:$EW$1000,"Y")&gt;0,"Y","N"))</f>
        <v/>
      </c>
      <c r="EZ568" s="0" t="str">
        <f aca="false">IF($A568="","",IF(AND(U568="new",T568="N",EW568="N",AR568="Y",EY568="N"),"Y","N"))</f>
        <v/>
      </c>
      <c r="FA568" s="0" t="str">
        <f aca="false">IF($A568="","",IF(EZ568&lt;&gt;"Y","N",IF(COUNTIFS($EX$2:$EX$1000,EX568,$EZ$2:$EZ$1000,"Y",$J$2:$J$1000,"&gt;"&amp;J568)+COUNTIFS($EX$2:$EX$1000,EX568,$EZ$2:$EZ$1000,"Y",$J$2:$J$1000,J568,$FG$2:$FG$1000,"&lt;"&amp;FG568)=0,"Y","N")))</f>
        <v/>
      </c>
      <c r="FB568" s="0" t="str">
        <f aca="false">IF($A568="","",IF(AND(EZ568="Y",FA568="Y",Y568&amp;""&lt;&gt;""),IF(Y568&lt;=10,"Y","N"),"N"))</f>
        <v/>
      </c>
      <c r="FC568" s="0" t="str">
        <f aca="false">IF(FB568="Y",Y568,"")</f>
        <v/>
      </c>
      <c r="FD568" s="0" t="str">
        <f aca="false">IF($A568="","",IF(AND(CK568="pass",AU568="Y",AV568&lt;&gt;"Y",U568="new",EW568="N"),"Y","N"))</f>
        <v/>
      </c>
      <c r="FE568" s="0" t="str">
        <f aca="false">IF(FD568&lt;&gt;"Y","",IF(COUNTIFS($FD$2:$FD$1000,"Y",$J$2:$J$1000,"&gt;"&amp;J568)+COUNTIFS($FD$2:$FD$1000,"Y",$J$2:$J$1000,J568,$FG$2:$FG$1000,"&lt;"&amp;FG568)+1&lt;=30,COUNTIFS($FD$2:$FD$1000,"Y",$J$2:$J$1000,"&gt;"&amp;J568)+COUNTIFS($FD$2:$FD$1000,"Y",$J$2:$J$1000,J568,$FG$2:$FG$1000,"&lt;"&amp;FG568)+1,""))</f>
        <v/>
      </c>
      <c r="FF568" s="0" t="str">
        <f aca="false">IF(AND(_xlfn.ISFORMULA(C568),_xlfn.ISFORMULA(J568)),"Y","N")</f>
        <v>Y</v>
      </c>
      <c r="FG568" s="0" t="n">
        <f aca="false">ROW()-1</f>
        <v>567</v>
      </c>
    </row>
    <row r="569" customFormat="false" ht="15" hidden="false" customHeight="false" outlineLevel="0" collapsed="false">
      <c r="C569" s="0" t="str">
        <f aca="false">IF($A569="","",IF(AT569="Y",BL569&amp;"",AY569&amp;""))</f>
        <v/>
      </c>
      <c r="D569" s="0" t="str">
        <f aca="false">IF($A569="","",IF(AT569="Y",BM569&amp;"",AZ569&amp;""))</f>
        <v/>
      </c>
      <c r="E569" s="0" t="str">
        <f aca="false">IF($A569="","",IF(AT569="Y",BN569&amp;"",BA569&amp;""))</f>
        <v/>
      </c>
      <c r="F569" s="0" t="str">
        <f aca="false">IF($A569="","",IF(AT569="Y",BO569&amp;"",BB569&amp;""))</f>
        <v/>
      </c>
      <c r="G569" s="0" t="str">
        <f aca="false">IF($A569="","",IF(AT569="Y",BP569&amp;"",BC569&amp;""))</f>
        <v/>
      </c>
      <c r="H569" s="0" t="str">
        <f aca="false">IF($A569="","",IF(AT569="Y",BQ569&amp;"",BD569&amp;""))</f>
        <v/>
      </c>
      <c r="I569" s="0" t="str">
        <f aca="false">IF($A569="","",IF(R569="Y","warm-intro",IF(H569="verified","email",IF(C569&lt;&gt;"","linkedin",CA569&amp;""))))</f>
        <v/>
      </c>
      <c r="J569" s="0" t="str">
        <f aca="false">IF($A569="","",IF(CK569="pass",ROUND(N(DO569)+N(DP569)+N(DQ569)+N(DR569)+N(DS569)+N(DT569)+N(DU569)+N(DV569),0),0))</f>
        <v/>
      </c>
      <c r="K569" s="0" t="str">
        <f aca="false">IF($A569="","",IF(CK569&lt;&gt;"pass",BY569&amp;"",BY569&amp;", "&amp;IF(AT569="Y",BX569&amp;"",BK569&amp;"")&amp;BZ569&amp;IF(R569="Y","; known to the founder (+10)","")&amp;"."))</f>
        <v/>
      </c>
      <c r="R569" s="5"/>
      <c r="T569" s="5"/>
      <c r="U569" s="5"/>
      <c r="Y569" s="0" t="str">
        <f aca="false">IF(FA569&lt;&gt;"Y","",COUNTIFS($FA$2:$FA$1000,"Y",$J$2:$J$1000,"&gt;"&amp;J569)+COUNTIFS($FA$2:$FA$1000,"Y",$J$2:$J$1000,J569,$FG$2:$FG$1000,"&lt;"&amp;FG569)+1)</f>
        <v/>
      </c>
      <c r="AB569" s="0" t="str">
        <f aca="false">IF($A569="","",IF(AT569="Y",BW569&amp;"",BJ569&amp;""))</f>
        <v/>
      </c>
      <c r="AC569" s="0" t="str">
        <f aca="false">IF($A569="","",IF(AT569="Y",BR569&amp;"",BE569&amp;""))</f>
        <v/>
      </c>
      <c r="AD569" s="0" t="str">
        <f aca="false">IF($A569="","",IF(AT569="Y",BS569&amp;"",BF569&amp;""))</f>
        <v/>
      </c>
      <c r="AE569" s="0" t="str">
        <f aca="false">IF($A569="","",IF(AT569="Y",BT569&amp;"",BG569&amp;""))</f>
        <v/>
      </c>
      <c r="AF569" s="0" t="str">
        <f aca="false">IF($A569="","",IF(AT569="Y",BU569&amp;"",BH569&amp;""))</f>
        <v/>
      </c>
      <c r="AG569" s="0" t="str">
        <f aca="false">IF($A569="","",IF(AT569="Y",BV569&amp;"",BI569&amp;""))</f>
        <v/>
      </c>
      <c r="AO569" s="5"/>
      <c r="AR569" s="0" t="str">
        <f aca="false">IF($A569="","",IF(AND(CK569="pass",AO569&lt;&gt;"Y",C569&lt;&gt;"",OR(AU569&lt;&gt;"Y",AV569="Y")),"Y","N"))</f>
        <v/>
      </c>
      <c r="AS569" s="0" t="str">
        <f aca="false">IF($A569="","",_xlfn.TEXTJOIN("; ",TRUE(),IF(CK569&lt;&gt;"pass","gated out",""),IF(AO569="Y","on hold: "&amp;AP569,""),IF(C569="","no contact named on an opened page",""),IF(AND(AU569="Y",AV569&lt;&gt;"Y"),"founder review pending (Founder review tab)","")))</f>
        <v/>
      </c>
      <c r="BC569" s="0" t="str">
        <f aca="false">IF($A569="","",IFERROR(INDEX(Enrichment!$A$2:$GZ$2000,MATCH($A569,INDEX(Enrichment!$A$2:$GZ$2000,0,MATCH("row_id",Enrichment!$A$1:$GZ$1,0)),0),MATCH("work_email",Enrichment!$A$1:$GZ$1,0))&amp;"",""))</f>
        <v/>
      </c>
      <c r="BD569" s="0" t="str">
        <f aca="false">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P569" s="0" t="str">
        <f aca="false">IF($A569="","",IFERROR(INDEX(Enrichment!$A$2:$GZ$2000,MATCH($A569,INDEX(Enrichment!$A$2:$GZ$2000,0,MATCH("row_id",Enrichment!$A$1:$GZ$1,0)),0),MATCH("backup_work_email",Enrichment!$A$1:$GZ$1,0))&amp;"",""))</f>
        <v/>
      </c>
      <c r="BQ569" s="0" t="str">
        <f aca="false">IF($A569="","",IF(BP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DU569" s="0" t="str">
        <f aca="false">IF($A569="","",IF(R569="Y",10,0))</f>
        <v/>
      </c>
      <c r="EV569" s="0" t="str">
        <f aca="false">IF($A569="","",IF(ISNUMBER(MATCH(U569,{"queued","contacted","replied","call_booked","call_done","yes_in_principle","materials_sent"},0)),"Y","N"))</f>
        <v/>
      </c>
      <c r="EW569" s="0" t="str">
        <f aca="false">IF($A569="","",IF(OR(T569="Y",U569="do_not_contact",AQ569&amp;""&lt;&gt;""),"Y","N"))</f>
        <v/>
      </c>
      <c r="EX569" s="0" t="str">
        <f aca="false">IF($A569="","",IF(AN569&amp;""&lt;&gt;"",AN569&amp;"",$A569))</f>
        <v/>
      </c>
      <c r="EY569" s="0" t="str">
        <f aca="false">IF($A569="","",IF(COUNTIFS($EX$2:$EX$1000,EX569,$EV$2:$EV$1000,"Y")+COUNTIFS($EX$2:$EX$1000,EX569,$EW$2:$EW$1000,"Y")&gt;0,"Y","N"))</f>
        <v/>
      </c>
      <c r="EZ569" s="0" t="str">
        <f aca="false">IF($A569="","",IF(AND(U569="new",T569="N",EW569="N",AR569="Y",EY569="N"),"Y","N"))</f>
        <v/>
      </c>
      <c r="FA569" s="0" t="str">
        <f aca="false">IF($A569="","",IF(EZ569&lt;&gt;"Y","N",IF(COUNTIFS($EX$2:$EX$1000,EX569,$EZ$2:$EZ$1000,"Y",$J$2:$J$1000,"&gt;"&amp;J569)+COUNTIFS($EX$2:$EX$1000,EX569,$EZ$2:$EZ$1000,"Y",$J$2:$J$1000,J569,$FG$2:$FG$1000,"&lt;"&amp;FG569)=0,"Y","N")))</f>
        <v/>
      </c>
      <c r="FB569" s="0" t="str">
        <f aca="false">IF($A569="","",IF(AND(EZ569="Y",FA569="Y",Y569&amp;""&lt;&gt;""),IF(Y569&lt;=10,"Y","N"),"N"))</f>
        <v/>
      </c>
      <c r="FC569" s="0" t="str">
        <f aca="false">IF(FB569="Y",Y569,"")</f>
        <v/>
      </c>
      <c r="FD569" s="0" t="str">
        <f aca="false">IF($A569="","",IF(AND(CK569="pass",AU569="Y",AV569&lt;&gt;"Y",U569="new",EW569="N"),"Y","N"))</f>
        <v/>
      </c>
      <c r="FE569" s="0" t="str">
        <f aca="false">IF(FD569&lt;&gt;"Y","",IF(COUNTIFS($FD$2:$FD$1000,"Y",$J$2:$J$1000,"&gt;"&amp;J569)+COUNTIFS($FD$2:$FD$1000,"Y",$J$2:$J$1000,J569,$FG$2:$FG$1000,"&lt;"&amp;FG569)+1&lt;=30,COUNTIFS($FD$2:$FD$1000,"Y",$J$2:$J$1000,"&gt;"&amp;J569)+COUNTIFS($FD$2:$FD$1000,"Y",$J$2:$J$1000,J569,$FG$2:$FG$1000,"&lt;"&amp;FG569)+1,""))</f>
        <v/>
      </c>
      <c r="FF569" s="0" t="str">
        <f aca="false">IF(AND(_xlfn.ISFORMULA(C569),_xlfn.ISFORMULA(J569)),"Y","N")</f>
        <v>Y</v>
      </c>
      <c r="FG569" s="0" t="n">
        <f aca="false">ROW()-1</f>
        <v>568</v>
      </c>
    </row>
    <row r="570" customFormat="false" ht="15" hidden="false" customHeight="false" outlineLevel="0" collapsed="false">
      <c r="C570" s="0" t="str">
        <f aca="false">IF($A570="","",IF(AT570="Y",BL570&amp;"",AY570&amp;""))</f>
        <v/>
      </c>
      <c r="D570" s="0" t="str">
        <f aca="false">IF($A570="","",IF(AT570="Y",BM570&amp;"",AZ570&amp;""))</f>
        <v/>
      </c>
      <c r="E570" s="0" t="str">
        <f aca="false">IF($A570="","",IF(AT570="Y",BN570&amp;"",BA570&amp;""))</f>
        <v/>
      </c>
      <c r="F570" s="0" t="str">
        <f aca="false">IF($A570="","",IF(AT570="Y",BO570&amp;"",BB570&amp;""))</f>
        <v/>
      </c>
      <c r="G570" s="0" t="str">
        <f aca="false">IF($A570="","",IF(AT570="Y",BP570&amp;"",BC570&amp;""))</f>
        <v/>
      </c>
      <c r="H570" s="0" t="str">
        <f aca="false">IF($A570="","",IF(AT570="Y",BQ570&amp;"",BD570&amp;""))</f>
        <v/>
      </c>
      <c r="I570" s="0" t="str">
        <f aca="false">IF($A570="","",IF(R570="Y","warm-intro",IF(H570="verified","email",IF(C570&lt;&gt;"","linkedin",CA570&amp;""))))</f>
        <v/>
      </c>
      <c r="J570" s="0" t="str">
        <f aca="false">IF($A570="","",IF(CK570="pass",ROUND(N(DO570)+N(DP570)+N(DQ570)+N(DR570)+N(DS570)+N(DT570)+N(DU570)+N(DV570),0),0))</f>
        <v/>
      </c>
      <c r="K570" s="0" t="str">
        <f aca="false">IF($A570="","",IF(CK570&lt;&gt;"pass",BY570&amp;"",BY570&amp;", "&amp;IF(AT570="Y",BX570&amp;"",BK570&amp;"")&amp;BZ570&amp;IF(R570="Y","; known to the founder (+10)","")&amp;"."))</f>
        <v/>
      </c>
      <c r="R570" s="5"/>
      <c r="T570" s="5"/>
      <c r="U570" s="5"/>
      <c r="Y570" s="0" t="str">
        <f aca="false">IF(FA570&lt;&gt;"Y","",COUNTIFS($FA$2:$FA$1000,"Y",$J$2:$J$1000,"&gt;"&amp;J570)+COUNTIFS($FA$2:$FA$1000,"Y",$J$2:$J$1000,J570,$FG$2:$FG$1000,"&lt;"&amp;FG570)+1)</f>
        <v/>
      </c>
      <c r="AB570" s="0" t="str">
        <f aca="false">IF($A570="","",IF(AT570="Y",BW570&amp;"",BJ570&amp;""))</f>
        <v/>
      </c>
      <c r="AC570" s="0" t="str">
        <f aca="false">IF($A570="","",IF(AT570="Y",BR570&amp;"",BE570&amp;""))</f>
        <v/>
      </c>
      <c r="AD570" s="0" t="str">
        <f aca="false">IF($A570="","",IF(AT570="Y",BS570&amp;"",BF570&amp;""))</f>
        <v/>
      </c>
      <c r="AE570" s="0" t="str">
        <f aca="false">IF($A570="","",IF(AT570="Y",BT570&amp;"",BG570&amp;""))</f>
        <v/>
      </c>
      <c r="AF570" s="0" t="str">
        <f aca="false">IF($A570="","",IF(AT570="Y",BU570&amp;"",BH570&amp;""))</f>
        <v/>
      </c>
      <c r="AG570" s="0" t="str">
        <f aca="false">IF($A570="","",IF(AT570="Y",BV570&amp;"",BI570&amp;""))</f>
        <v/>
      </c>
      <c r="AO570" s="5"/>
      <c r="AR570" s="0" t="str">
        <f aca="false">IF($A570="","",IF(AND(CK570="pass",AO570&lt;&gt;"Y",C570&lt;&gt;"",OR(AU570&lt;&gt;"Y",AV570="Y")),"Y","N"))</f>
        <v/>
      </c>
      <c r="AS570" s="0" t="str">
        <f aca="false">IF($A570="","",_xlfn.TEXTJOIN("; ",TRUE(),IF(CK570&lt;&gt;"pass","gated out",""),IF(AO570="Y","on hold: "&amp;AP570,""),IF(C570="","no contact named on an opened page",""),IF(AND(AU570="Y",AV570&lt;&gt;"Y"),"founder review pending (Founder review tab)","")))</f>
        <v/>
      </c>
      <c r="BC570" s="0" t="str">
        <f aca="false">IF($A570="","",IFERROR(INDEX(Enrichment!$A$2:$GZ$2000,MATCH($A570,INDEX(Enrichment!$A$2:$GZ$2000,0,MATCH("row_id",Enrichment!$A$1:$GZ$1,0)),0),MATCH("work_email",Enrichment!$A$1:$GZ$1,0))&amp;"",""))</f>
        <v/>
      </c>
      <c r="BD570" s="0" t="str">
        <f aca="false">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P570" s="0" t="str">
        <f aca="false">IF($A570="","",IFERROR(INDEX(Enrichment!$A$2:$GZ$2000,MATCH($A570,INDEX(Enrichment!$A$2:$GZ$2000,0,MATCH("row_id",Enrichment!$A$1:$GZ$1,0)),0),MATCH("backup_work_email",Enrichment!$A$1:$GZ$1,0))&amp;"",""))</f>
        <v/>
      </c>
      <c r="BQ570" s="0" t="str">
        <f aca="false">IF($A570="","",IF(BP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DU570" s="0" t="str">
        <f aca="false">IF($A570="","",IF(R570="Y",10,0))</f>
        <v/>
      </c>
      <c r="EV570" s="0" t="str">
        <f aca="false">IF($A570="","",IF(ISNUMBER(MATCH(U570,{"queued","contacted","replied","call_booked","call_done","yes_in_principle","materials_sent"},0)),"Y","N"))</f>
        <v/>
      </c>
      <c r="EW570" s="0" t="str">
        <f aca="false">IF($A570="","",IF(OR(T570="Y",U570="do_not_contact",AQ570&amp;""&lt;&gt;""),"Y","N"))</f>
        <v/>
      </c>
      <c r="EX570" s="0" t="str">
        <f aca="false">IF($A570="","",IF(AN570&amp;""&lt;&gt;"",AN570&amp;"",$A570))</f>
        <v/>
      </c>
      <c r="EY570" s="0" t="str">
        <f aca="false">IF($A570="","",IF(COUNTIFS($EX$2:$EX$1000,EX570,$EV$2:$EV$1000,"Y")+COUNTIFS($EX$2:$EX$1000,EX570,$EW$2:$EW$1000,"Y")&gt;0,"Y","N"))</f>
        <v/>
      </c>
      <c r="EZ570" s="0" t="str">
        <f aca="false">IF($A570="","",IF(AND(U570="new",T570="N",EW570="N",AR570="Y",EY570="N"),"Y","N"))</f>
        <v/>
      </c>
      <c r="FA570" s="0" t="str">
        <f aca="false">IF($A570="","",IF(EZ570&lt;&gt;"Y","N",IF(COUNTIFS($EX$2:$EX$1000,EX570,$EZ$2:$EZ$1000,"Y",$J$2:$J$1000,"&gt;"&amp;J570)+COUNTIFS($EX$2:$EX$1000,EX570,$EZ$2:$EZ$1000,"Y",$J$2:$J$1000,J570,$FG$2:$FG$1000,"&lt;"&amp;FG570)=0,"Y","N")))</f>
        <v/>
      </c>
      <c r="FB570" s="0" t="str">
        <f aca="false">IF($A570="","",IF(AND(EZ570="Y",FA570="Y",Y570&amp;""&lt;&gt;""),IF(Y570&lt;=10,"Y","N"),"N"))</f>
        <v/>
      </c>
      <c r="FC570" s="0" t="str">
        <f aca="false">IF(FB570="Y",Y570,"")</f>
        <v/>
      </c>
      <c r="FD570" s="0" t="str">
        <f aca="false">IF($A570="","",IF(AND(CK570="pass",AU570="Y",AV570&lt;&gt;"Y",U570="new",EW570="N"),"Y","N"))</f>
        <v/>
      </c>
      <c r="FE570" s="0" t="str">
        <f aca="false">IF(FD570&lt;&gt;"Y","",IF(COUNTIFS($FD$2:$FD$1000,"Y",$J$2:$J$1000,"&gt;"&amp;J570)+COUNTIFS($FD$2:$FD$1000,"Y",$J$2:$J$1000,J570,$FG$2:$FG$1000,"&lt;"&amp;FG570)+1&lt;=30,COUNTIFS($FD$2:$FD$1000,"Y",$J$2:$J$1000,"&gt;"&amp;J570)+COUNTIFS($FD$2:$FD$1000,"Y",$J$2:$J$1000,J570,$FG$2:$FG$1000,"&lt;"&amp;FG570)+1,""))</f>
        <v/>
      </c>
      <c r="FF570" s="0" t="str">
        <f aca="false">IF(AND(_xlfn.ISFORMULA(C570),_xlfn.ISFORMULA(J570)),"Y","N")</f>
        <v>Y</v>
      </c>
      <c r="FG570" s="0" t="n">
        <f aca="false">ROW()-1</f>
        <v>569</v>
      </c>
    </row>
    <row r="571" customFormat="false" ht="15" hidden="false" customHeight="false" outlineLevel="0" collapsed="false">
      <c r="C571" s="0" t="str">
        <f aca="false">IF($A571="","",IF(AT571="Y",BL571&amp;"",AY571&amp;""))</f>
        <v/>
      </c>
      <c r="D571" s="0" t="str">
        <f aca="false">IF($A571="","",IF(AT571="Y",BM571&amp;"",AZ571&amp;""))</f>
        <v/>
      </c>
      <c r="E571" s="0" t="str">
        <f aca="false">IF($A571="","",IF(AT571="Y",BN571&amp;"",BA571&amp;""))</f>
        <v/>
      </c>
      <c r="F571" s="0" t="str">
        <f aca="false">IF($A571="","",IF(AT571="Y",BO571&amp;"",BB571&amp;""))</f>
        <v/>
      </c>
      <c r="G571" s="0" t="str">
        <f aca="false">IF($A571="","",IF(AT571="Y",BP571&amp;"",BC571&amp;""))</f>
        <v/>
      </c>
      <c r="H571" s="0" t="str">
        <f aca="false">IF($A571="","",IF(AT571="Y",BQ571&amp;"",BD571&amp;""))</f>
        <v/>
      </c>
      <c r="I571" s="0" t="str">
        <f aca="false">IF($A571="","",IF(R571="Y","warm-intro",IF(H571="verified","email",IF(C571&lt;&gt;"","linkedin",CA571&amp;""))))</f>
        <v/>
      </c>
      <c r="J571" s="0" t="str">
        <f aca="false">IF($A571="","",IF(CK571="pass",ROUND(N(DO571)+N(DP571)+N(DQ571)+N(DR571)+N(DS571)+N(DT571)+N(DU571)+N(DV571),0),0))</f>
        <v/>
      </c>
      <c r="K571" s="0" t="str">
        <f aca="false">IF($A571="","",IF(CK571&lt;&gt;"pass",BY571&amp;"",BY571&amp;", "&amp;IF(AT571="Y",BX571&amp;"",BK571&amp;"")&amp;BZ571&amp;IF(R571="Y","; known to the founder (+10)","")&amp;"."))</f>
        <v/>
      </c>
      <c r="R571" s="5"/>
      <c r="T571" s="5"/>
      <c r="U571" s="5"/>
      <c r="Y571" s="0" t="str">
        <f aca="false">IF(FA571&lt;&gt;"Y","",COUNTIFS($FA$2:$FA$1000,"Y",$J$2:$J$1000,"&gt;"&amp;J571)+COUNTIFS($FA$2:$FA$1000,"Y",$J$2:$J$1000,J571,$FG$2:$FG$1000,"&lt;"&amp;FG571)+1)</f>
        <v/>
      </c>
      <c r="AB571" s="0" t="str">
        <f aca="false">IF($A571="","",IF(AT571="Y",BW571&amp;"",BJ571&amp;""))</f>
        <v/>
      </c>
      <c r="AC571" s="0" t="str">
        <f aca="false">IF($A571="","",IF(AT571="Y",BR571&amp;"",BE571&amp;""))</f>
        <v/>
      </c>
      <c r="AD571" s="0" t="str">
        <f aca="false">IF($A571="","",IF(AT571="Y",BS571&amp;"",BF571&amp;""))</f>
        <v/>
      </c>
      <c r="AE571" s="0" t="str">
        <f aca="false">IF($A571="","",IF(AT571="Y",BT571&amp;"",BG571&amp;""))</f>
        <v/>
      </c>
      <c r="AF571" s="0" t="str">
        <f aca="false">IF($A571="","",IF(AT571="Y",BU571&amp;"",BH571&amp;""))</f>
        <v/>
      </c>
      <c r="AG571" s="0" t="str">
        <f aca="false">IF($A571="","",IF(AT571="Y",BV571&amp;"",BI571&amp;""))</f>
        <v/>
      </c>
      <c r="AO571" s="5"/>
      <c r="AR571" s="0" t="str">
        <f aca="false">IF($A571="","",IF(AND(CK571="pass",AO571&lt;&gt;"Y",C571&lt;&gt;"",OR(AU571&lt;&gt;"Y",AV571="Y")),"Y","N"))</f>
        <v/>
      </c>
      <c r="AS571" s="0" t="str">
        <f aca="false">IF($A571="","",_xlfn.TEXTJOIN("; ",TRUE(),IF(CK571&lt;&gt;"pass","gated out",""),IF(AO571="Y","on hold: "&amp;AP571,""),IF(C571="","no contact named on an opened page",""),IF(AND(AU571="Y",AV571&lt;&gt;"Y"),"founder review pending (Founder review tab)","")))</f>
        <v/>
      </c>
      <c r="BC571" s="0" t="str">
        <f aca="false">IF($A571="","",IFERROR(INDEX(Enrichment!$A$2:$GZ$2000,MATCH($A571,INDEX(Enrichment!$A$2:$GZ$2000,0,MATCH("row_id",Enrichment!$A$1:$GZ$1,0)),0),MATCH("work_email",Enrichment!$A$1:$GZ$1,0))&amp;"",""))</f>
        <v/>
      </c>
      <c r="BD571" s="0" t="str">
        <f aca="false">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P571" s="0" t="str">
        <f aca="false">IF($A571="","",IFERROR(INDEX(Enrichment!$A$2:$GZ$2000,MATCH($A571,INDEX(Enrichment!$A$2:$GZ$2000,0,MATCH("row_id",Enrichment!$A$1:$GZ$1,0)),0),MATCH("backup_work_email",Enrichment!$A$1:$GZ$1,0))&amp;"",""))</f>
        <v/>
      </c>
      <c r="BQ571" s="0" t="str">
        <f aca="false">IF($A571="","",IF(BP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DU571" s="0" t="str">
        <f aca="false">IF($A571="","",IF(R571="Y",10,0))</f>
        <v/>
      </c>
      <c r="EV571" s="0" t="str">
        <f aca="false">IF($A571="","",IF(ISNUMBER(MATCH(U571,{"queued","contacted","replied","call_booked","call_done","yes_in_principle","materials_sent"},0)),"Y","N"))</f>
        <v/>
      </c>
      <c r="EW571" s="0" t="str">
        <f aca="false">IF($A571="","",IF(OR(T571="Y",U571="do_not_contact",AQ571&amp;""&lt;&gt;""),"Y","N"))</f>
        <v/>
      </c>
      <c r="EX571" s="0" t="str">
        <f aca="false">IF($A571="","",IF(AN571&amp;""&lt;&gt;"",AN571&amp;"",$A571))</f>
        <v/>
      </c>
      <c r="EY571" s="0" t="str">
        <f aca="false">IF($A571="","",IF(COUNTIFS($EX$2:$EX$1000,EX571,$EV$2:$EV$1000,"Y")+COUNTIFS($EX$2:$EX$1000,EX571,$EW$2:$EW$1000,"Y")&gt;0,"Y","N"))</f>
        <v/>
      </c>
      <c r="EZ571" s="0" t="str">
        <f aca="false">IF($A571="","",IF(AND(U571="new",T571="N",EW571="N",AR571="Y",EY571="N"),"Y","N"))</f>
        <v/>
      </c>
      <c r="FA571" s="0" t="str">
        <f aca="false">IF($A571="","",IF(EZ571&lt;&gt;"Y","N",IF(COUNTIFS($EX$2:$EX$1000,EX571,$EZ$2:$EZ$1000,"Y",$J$2:$J$1000,"&gt;"&amp;J571)+COUNTIFS($EX$2:$EX$1000,EX571,$EZ$2:$EZ$1000,"Y",$J$2:$J$1000,J571,$FG$2:$FG$1000,"&lt;"&amp;FG571)=0,"Y","N")))</f>
        <v/>
      </c>
      <c r="FB571" s="0" t="str">
        <f aca="false">IF($A571="","",IF(AND(EZ571="Y",FA571="Y",Y571&amp;""&lt;&gt;""),IF(Y571&lt;=10,"Y","N"),"N"))</f>
        <v/>
      </c>
      <c r="FC571" s="0" t="str">
        <f aca="false">IF(FB571="Y",Y571,"")</f>
        <v/>
      </c>
      <c r="FD571" s="0" t="str">
        <f aca="false">IF($A571="","",IF(AND(CK571="pass",AU571="Y",AV571&lt;&gt;"Y",U571="new",EW571="N"),"Y","N"))</f>
        <v/>
      </c>
      <c r="FE571" s="0" t="str">
        <f aca="false">IF(FD571&lt;&gt;"Y","",IF(COUNTIFS($FD$2:$FD$1000,"Y",$J$2:$J$1000,"&gt;"&amp;J571)+COUNTIFS($FD$2:$FD$1000,"Y",$J$2:$J$1000,J571,$FG$2:$FG$1000,"&lt;"&amp;FG571)+1&lt;=30,COUNTIFS($FD$2:$FD$1000,"Y",$J$2:$J$1000,"&gt;"&amp;J571)+COUNTIFS($FD$2:$FD$1000,"Y",$J$2:$J$1000,J571,$FG$2:$FG$1000,"&lt;"&amp;FG571)+1,""))</f>
        <v/>
      </c>
      <c r="FF571" s="0" t="str">
        <f aca="false">IF(AND(_xlfn.ISFORMULA(C571),_xlfn.ISFORMULA(J571)),"Y","N")</f>
        <v>Y</v>
      </c>
      <c r="FG571" s="0" t="n">
        <f aca="false">ROW()-1</f>
        <v>570</v>
      </c>
    </row>
    <row r="572" customFormat="false" ht="15" hidden="false" customHeight="false" outlineLevel="0" collapsed="false">
      <c r="C572" s="0" t="str">
        <f aca="false">IF($A572="","",IF(AT572="Y",BL572&amp;"",AY572&amp;""))</f>
        <v/>
      </c>
      <c r="D572" s="0" t="str">
        <f aca="false">IF($A572="","",IF(AT572="Y",BM572&amp;"",AZ572&amp;""))</f>
        <v/>
      </c>
      <c r="E572" s="0" t="str">
        <f aca="false">IF($A572="","",IF(AT572="Y",BN572&amp;"",BA572&amp;""))</f>
        <v/>
      </c>
      <c r="F572" s="0" t="str">
        <f aca="false">IF($A572="","",IF(AT572="Y",BO572&amp;"",BB572&amp;""))</f>
        <v/>
      </c>
      <c r="G572" s="0" t="str">
        <f aca="false">IF($A572="","",IF(AT572="Y",BP572&amp;"",BC572&amp;""))</f>
        <v/>
      </c>
      <c r="H572" s="0" t="str">
        <f aca="false">IF($A572="","",IF(AT572="Y",BQ572&amp;"",BD572&amp;""))</f>
        <v/>
      </c>
      <c r="I572" s="0" t="str">
        <f aca="false">IF($A572="","",IF(R572="Y","warm-intro",IF(H572="verified","email",IF(C572&lt;&gt;"","linkedin",CA572&amp;""))))</f>
        <v/>
      </c>
      <c r="J572" s="0" t="str">
        <f aca="false">IF($A572="","",IF(CK572="pass",ROUND(N(DO572)+N(DP572)+N(DQ572)+N(DR572)+N(DS572)+N(DT572)+N(DU572)+N(DV572),0),0))</f>
        <v/>
      </c>
      <c r="K572" s="0" t="str">
        <f aca="false">IF($A572="","",IF(CK572&lt;&gt;"pass",BY572&amp;"",BY572&amp;", "&amp;IF(AT572="Y",BX572&amp;"",BK572&amp;"")&amp;BZ572&amp;IF(R572="Y","; known to the founder (+10)","")&amp;"."))</f>
        <v/>
      </c>
      <c r="R572" s="5"/>
      <c r="T572" s="5"/>
      <c r="U572" s="5"/>
      <c r="Y572" s="0" t="str">
        <f aca="false">IF(FA572&lt;&gt;"Y","",COUNTIFS($FA$2:$FA$1000,"Y",$J$2:$J$1000,"&gt;"&amp;J572)+COUNTIFS($FA$2:$FA$1000,"Y",$J$2:$J$1000,J572,$FG$2:$FG$1000,"&lt;"&amp;FG572)+1)</f>
        <v/>
      </c>
      <c r="AB572" s="0" t="str">
        <f aca="false">IF($A572="","",IF(AT572="Y",BW572&amp;"",BJ572&amp;""))</f>
        <v/>
      </c>
      <c r="AC572" s="0" t="str">
        <f aca="false">IF($A572="","",IF(AT572="Y",BR572&amp;"",BE572&amp;""))</f>
        <v/>
      </c>
      <c r="AD572" s="0" t="str">
        <f aca="false">IF($A572="","",IF(AT572="Y",BS572&amp;"",BF572&amp;""))</f>
        <v/>
      </c>
      <c r="AE572" s="0" t="str">
        <f aca="false">IF($A572="","",IF(AT572="Y",BT572&amp;"",BG572&amp;""))</f>
        <v/>
      </c>
      <c r="AF572" s="0" t="str">
        <f aca="false">IF($A572="","",IF(AT572="Y",BU572&amp;"",BH572&amp;""))</f>
        <v/>
      </c>
      <c r="AG572" s="0" t="str">
        <f aca="false">IF($A572="","",IF(AT572="Y",BV572&amp;"",BI572&amp;""))</f>
        <v/>
      </c>
      <c r="AO572" s="5"/>
      <c r="AR572" s="0" t="str">
        <f aca="false">IF($A572="","",IF(AND(CK572="pass",AO572&lt;&gt;"Y",C572&lt;&gt;"",OR(AU572&lt;&gt;"Y",AV572="Y")),"Y","N"))</f>
        <v/>
      </c>
      <c r="AS572" s="0" t="str">
        <f aca="false">IF($A572="","",_xlfn.TEXTJOIN("; ",TRUE(),IF(CK572&lt;&gt;"pass","gated out",""),IF(AO572="Y","on hold: "&amp;AP572,""),IF(C572="","no contact named on an opened page",""),IF(AND(AU572="Y",AV572&lt;&gt;"Y"),"founder review pending (Founder review tab)","")))</f>
        <v/>
      </c>
      <c r="BC572" s="0" t="str">
        <f aca="false">IF($A572="","",IFERROR(INDEX(Enrichment!$A$2:$GZ$2000,MATCH($A572,INDEX(Enrichment!$A$2:$GZ$2000,0,MATCH("row_id",Enrichment!$A$1:$GZ$1,0)),0),MATCH("work_email",Enrichment!$A$1:$GZ$1,0))&amp;"",""))</f>
        <v/>
      </c>
      <c r="BD572" s="0" t="str">
        <f aca="false">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P572" s="0" t="str">
        <f aca="false">IF($A572="","",IFERROR(INDEX(Enrichment!$A$2:$GZ$2000,MATCH($A572,INDEX(Enrichment!$A$2:$GZ$2000,0,MATCH("row_id",Enrichment!$A$1:$GZ$1,0)),0),MATCH("backup_work_email",Enrichment!$A$1:$GZ$1,0))&amp;"",""))</f>
        <v/>
      </c>
      <c r="BQ572" s="0" t="str">
        <f aca="false">IF($A572="","",IF(BP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DU572" s="0" t="str">
        <f aca="false">IF($A572="","",IF(R572="Y",10,0))</f>
        <v/>
      </c>
      <c r="EV572" s="0" t="str">
        <f aca="false">IF($A572="","",IF(ISNUMBER(MATCH(U572,{"queued","contacted","replied","call_booked","call_done","yes_in_principle","materials_sent"},0)),"Y","N"))</f>
        <v/>
      </c>
      <c r="EW572" s="0" t="str">
        <f aca="false">IF($A572="","",IF(OR(T572="Y",U572="do_not_contact",AQ572&amp;""&lt;&gt;""),"Y","N"))</f>
        <v/>
      </c>
      <c r="EX572" s="0" t="str">
        <f aca="false">IF($A572="","",IF(AN572&amp;""&lt;&gt;"",AN572&amp;"",$A572))</f>
        <v/>
      </c>
      <c r="EY572" s="0" t="str">
        <f aca="false">IF($A572="","",IF(COUNTIFS($EX$2:$EX$1000,EX572,$EV$2:$EV$1000,"Y")+COUNTIFS($EX$2:$EX$1000,EX572,$EW$2:$EW$1000,"Y")&gt;0,"Y","N"))</f>
        <v/>
      </c>
      <c r="EZ572" s="0" t="str">
        <f aca="false">IF($A572="","",IF(AND(U572="new",T572="N",EW572="N",AR572="Y",EY572="N"),"Y","N"))</f>
        <v/>
      </c>
      <c r="FA572" s="0" t="str">
        <f aca="false">IF($A572="","",IF(EZ572&lt;&gt;"Y","N",IF(COUNTIFS($EX$2:$EX$1000,EX572,$EZ$2:$EZ$1000,"Y",$J$2:$J$1000,"&gt;"&amp;J572)+COUNTIFS($EX$2:$EX$1000,EX572,$EZ$2:$EZ$1000,"Y",$J$2:$J$1000,J572,$FG$2:$FG$1000,"&lt;"&amp;FG572)=0,"Y","N")))</f>
        <v/>
      </c>
      <c r="FB572" s="0" t="str">
        <f aca="false">IF($A572="","",IF(AND(EZ572="Y",FA572="Y",Y572&amp;""&lt;&gt;""),IF(Y572&lt;=10,"Y","N"),"N"))</f>
        <v/>
      </c>
      <c r="FC572" s="0" t="str">
        <f aca="false">IF(FB572="Y",Y572,"")</f>
        <v/>
      </c>
      <c r="FD572" s="0" t="str">
        <f aca="false">IF($A572="","",IF(AND(CK572="pass",AU572="Y",AV572&lt;&gt;"Y",U572="new",EW572="N"),"Y","N"))</f>
        <v/>
      </c>
      <c r="FE572" s="0" t="str">
        <f aca="false">IF(FD572&lt;&gt;"Y","",IF(COUNTIFS($FD$2:$FD$1000,"Y",$J$2:$J$1000,"&gt;"&amp;J572)+COUNTIFS($FD$2:$FD$1000,"Y",$J$2:$J$1000,J572,$FG$2:$FG$1000,"&lt;"&amp;FG572)+1&lt;=30,COUNTIFS($FD$2:$FD$1000,"Y",$J$2:$J$1000,"&gt;"&amp;J572)+COUNTIFS($FD$2:$FD$1000,"Y",$J$2:$J$1000,J572,$FG$2:$FG$1000,"&lt;"&amp;FG572)+1,""))</f>
        <v/>
      </c>
      <c r="FF572" s="0" t="str">
        <f aca="false">IF(AND(_xlfn.ISFORMULA(C572),_xlfn.ISFORMULA(J572)),"Y","N")</f>
        <v>Y</v>
      </c>
      <c r="FG572" s="0" t="n">
        <f aca="false">ROW()-1</f>
        <v>571</v>
      </c>
    </row>
    <row r="573" customFormat="false" ht="15" hidden="false" customHeight="false" outlineLevel="0" collapsed="false">
      <c r="C573" s="0" t="str">
        <f aca="false">IF($A573="","",IF(AT573="Y",BL573&amp;"",AY573&amp;""))</f>
        <v/>
      </c>
      <c r="D573" s="0" t="str">
        <f aca="false">IF($A573="","",IF(AT573="Y",BM573&amp;"",AZ573&amp;""))</f>
        <v/>
      </c>
      <c r="E573" s="0" t="str">
        <f aca="false">IF($A573="","",IF(AT573="Y",BN573&amp;"",BA573&amp;""))</f>
        <v/>
      </c>
      <c r="F573" s="0" t="str">
        <f aca="false">IF($A573="","",IF(AT573="Y",BO573&amp;"",BB573&amp;""))</f>
        <v/>
      </c>
      <c r="G573" s="0" t="str">
        <f aca="false">IF($A573="","",IF(AT573="Y",BP573&amp;"",BC573&amp;""))</f>
        <v/>
      </c>
      <c r="H573" s="0" t="str">
        <f aca="false">IF($A573="","",IF(AT573="Y",BQ573&amp;"",BD573&amp;""))</f>
        <v/>
      </c>
      <c r="I573" s="0" t="str">
        <f aca="false">IF($A573="","",IF(R573="Y","warm-intro",IF(H573="verified","email",IF(C573&lt;&gt;"","linkedin",CA573&amp;""))))</f>
        <v/>
      </c>
      <c r="J573" s="0" t="str">
        <f aca="false">IF($A573="","",IF(CK573="pass",ROUND(N(DO573)+N(DP573)+N(DQ573)+N(DR573)+N(DS573)+N(DT573)+N(DU573)+N(DV573),0),0))</f>
        <v/>
      </c>
      <c r="K573" s="0" t="str">
        <f aca="false">IF($A573="","",IF(CK573&lt;&gt;"pass",BY573&amp;"",BY573&amp;", "&amp;IF(AT573="Y",BX573&amp;"",BK573&amp;"")&amp;BZ573&amp;IF(R573="Y","; known to the founder (+10)","")&amp;"."))</f>
        <v/>
      </c>
      <c r="R573" s="5"/>
      <c r="T573" s="5"/>
      <c r="U573" s="5"/>
      <c r="Y573" s="0" t="str">
        <f aca="false">IF(FA573&lt;&gt;"Y","",COUNTIFS($FA$2:$FA$1000,"Y",$J$2:$J$1000,"&gt;"&amp;J573)+COUNTIFS($FA$2:$FA$1000,"Y",$J$2:$J$1000,J573,$FG$2:$FG$1000,"&lt;"&amp;FG573)+1)</f>
        <v/>
      </c>
      <c r="AB573" s="0" t="str">
        <f aca="false">IF($A573="","",IF(AT573="Y",BW573&amp;"",BJ573&amp;""))</f>
        <v/>
      </c>
      <c r="AC573" s="0" t="str">
        <f aca="false">IF($A573="","",IF(AT573="Y",BR573&amp;"",BE573&amp;""))</f>
        <v/>
      </c>
      <c r="AD573" s="0" t="str">
        <f aca="false">IF($A573="","",IF(AT573="Y",BS573&amp;"",BF573&amp;""))</f>
        <v/>
      </c>
      <c r="AE573" s="0" t="str">
        <f aca="false">IF($A573="","",IF(AT573="Y",BT573&amp;"",BG573&amp;""))</f>
        <v/>
      </c>
      <c r="AF573" s="0" t="str">
        <f aca="false">IF($A573="","",IF(AT573="Y",BU573&amp;"",BH573&amp;""))</f>
        <v/>
      </c>
      <c r="AG573" s="0" t="str">
        <f aca="false">IF($A573="","",IF(AT573="Y",BV573&amp;"",BI573&amp;""))</f>
        <v/>
      </c>
      <c r="AO573" s="5"/>
      <c r="AR573" s="0" t="str">
        <f aca="false">IF($A573="","",IF(AND(CK573="pass",AO573&lt;&gt;"Y",C573&lt;&gt;"",OR(AU573&lt;&gt;"Y",AV573="Y")),"Y","N"))</f>
        <v/>
      </c>
      <c r="AS573" s="0" t="str">
        <f aca="false">IF($A573="","",_xlfn.TEXTJOIN("; ",TRUE(),IF(CK573&lt;&gt;"pass","gated out",""),IF(AO573="Y","on hold: "&amp;AP573,""),IF(C573="","no contact named on an opened page",""),IF(AND(AU573="Y",AV573&lt;&gt;"Y"),"founder review pending (Founder review tab)","")))</f>
        <v/>
      </c>
      <c r="BC573" s="0" t="str">
        <f aca="false">IF($A573="","",IFERROR(INDEX(Enrichment!$A$2:$GZ$2000,MATCH($A573,INDEX(Enrichment!$A$2:$GZ$2000,0,MATCH("row_id",Enrichment!$A$1:$GZ$1,0)),0),MATCH("work_email",Enrichment!$A$1:$GZ$1,0))&amp;"",""))</f>
        <v/>
      </c>
      <c r="BD573" s="0" t="str">
        <f aca="false">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P573" s="0" t="str">
        <f aca="false">IF($A573="","",IFERROR(INDEX(Enrichment!$A$2:$GZ$2000,MATCH($A573,INDEX(Enrichment!$A$2:$GZ$2000,0,MATCH("row_id",Enrichment!$A$1:$GZ$1,0)),0),MATCH("backup_work_email",Enrichment!$A$1:$GZ$1,0))&amp;"",""))</f>
        <v/>
      </c>
      <c r="BQ573" s="0" t="str">
        <f aca="false">IF($A573="","",IF(BP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DU573" s="0" t="str">
        <f aca="false">IF($A573="","",IF(R573="Y",10,0))</f>
        <v/>
      </c>
      <c r="EV573" s="0" t="str">
        <f aca="false">IF($A573="","",IF(ISNUMBER(MATCH(U573,{"queued","contacted","replied","call_booked","call_done","yes_in_principle","materials_sent"},0)),"Y","N"))</f>
        <v/>
      </c>
      <c r="EW573" s="0" t="str">
        <f aca="false">IF($A573="","",IF(OR(T573="Y",U573="do_not_contact",AQ573&amp;""&lt;&gt;""),"Y","N"))</f>
        <v/>
      </c>
      <c r="EX573" s="0" t="str">
        <f aca="false">IF($A573="","",IF(AN573&amp;""&lt;&gt;"",AN573&amp;"",$A573))</f>
        <v/>
      </c>
      <c r="EY573" s="0" t="str">
        <f aca="false">IF($A573="","",IF(COUNTIFS($EX$2:$EX$1000,EX573,$EV$2:$EV$1000,"Y")+COUNTIFS($EX$2:$EX$1000,EX573,$EW$2:$EW$1000,"Y")&gt;0,"Y","N"))</f>
        <v/>
      </c>
      <c r="EZ573" s="0" t="str">
        <f aca="false">IF($A573="","",IF(AND(U573="new",T573="N",EW573="N",AR573="Y",EY573="N"),"Y","N"))</f>
        <v/>
      </c>
      <c r="FA573" s="0" t="str">
        <f aca="false">IF($A573="","",IF(EZ573&lt;&gt;"Y","N",IF(COUNTIFS($EX$2:$EX$1000,EX573,$EZ$2:$EZ$1000,"Y",$J$2:$J$1000,"&gt;"&amp;J573)+COUNTIFS($EX$2:$EX$1000,EX573,$EZ$2:$EZ$1000,"Y",$J$2:$J$1000,J573,$FG$2:$FG$1000,"&lt;"&amp;FG573)=0,"Y","N")))</f>
        <v/>
      </c>
      <c r="FB573" s="0" t="str">
        <f aca="false">IF($A573="","",IF(AND(EZ573="Y",FA573="Y",Y573&amp;""&lt;&gt;""),IF(Y573&lt;=10,"Y","N"),"N"))</f>
        <v/>
      </c>
      <c r="FC573" s="0" t="str">
        <f aca="false">IF(FB573="Y",Y573,"")</f>
        <v/>
      </c>
      <c r="FD573" s="0" t="str">
        <f aca="false">IF($A573="","",IF(AND(CK573="pass",AU573="Y",AV573&lt;&gt;"Y",U573="new",EW573="N"),"Y","N"))</f>
        <v/>
      </c>
      <c r="FE573" s="0" t="str">
        <f aca="false">IF(FD573&lt;&gt;"Y","",IF(COUNTIFS($FD$2:$FD$1000,"Y",$J$2:$J$1000,"&gt;"&amp;J573)+COUNTIFS($FD$2:$FD$1000,"Y",$J$2:$J$1000,J573,$FG$2:$FG$1000,"&lt;"&amp;FG573)+1&lt;=30,COUNTIFS($FD$2:$FD$1000,"Y",$J$2:$J$1000,"&gt;"&amp;J573)+COUNTIFS($FD$2:$FD$1000,"Y",$J$2:$J$1000,J573,$FG$2:$FG$1000,"&lt;"&amp;FG573)+1,""))</f>
        <v/>
      </c>
      <c r="FF573" s="0" t="str">
        <f aca="false">IF(AND(_xlfn.ISFORMULA(C573),_xlfn.ISFORMULA(J573)),"Y","N")</f>
        <v>Y</v>
      </c>
      <c r="FG573" s="0" t="n">
        <f aca="false">ROW()-1</f>
        <v>572</v>
      </c>
    </row>
    <row r="574" customFormat="false" ht="15" hidden="false" customHeight="false" outlineLevel="0" collapsed="false">
      <c r="C574" s="0" t="str">
        <f aca="false">IF($A574="","",IF(AT574="Y",BL574&amp;"",AY574&amp;""))</f>
        <v/>
      </c>
      <c r="D574" s="0" t="str">
        <f aca="false">IF($A574="","",IF(AT574="Y",BM574&amp;"",AZ574&amp;""))</f>
        <v/>
      </c>
      <c r="E574" s="0" t="str">
        <f aca="false">IF($A574="","",IF(AT574="Y",BN574&amp;"",BA574&amp;""))</f>
        <v/>
      </c>
      <c r="F574" s="0" t="str">
        <f aca="false">IF($A574="","",IF(AT574="Y",BO574&amp;"",BB574&amp;""))</f>
        <v/>
      </c>
      <c r="G574" s="0" t="str">
        <f aca="false">IF($A574="","",IF(AT574="Y",BP574&amp;"",BC574&amp;""))</f>
        <v/>
      </c>
      <c r="H574" s="0" t="str">
        <f aca="false">IF($A574="","",IF(AT574="Y",BQ574&amp;"",BD574&amp;""))</f>
        <v/>
      </c>
      <c r="I574" s="0" t="str">
        <f aca="false">IF($A574="","",IF(R574="Y","warm-intro",IF(H574="verified","email",IF(C574&lt;&gt;"","linkedin",CA574&amp;""))))</f>
        <v/>
      </c>
      <c r="J574" s="0" t="str">
        <f aca="false">IF($A574="","",IF(CK574="pass",ROUND(N(DO574)+N(DP574)+N(DQ574)+N(DR574)+N(DS574)+N(DT574)+N(DU574)+N(DV574),0),0))</f>
        <v/>
      </c>
      <c r="K574" s="0" t="str">
        <f aca="false">IF($A574="","",IF(CK574&lt;&gt;"pass",BY574&amp;"",BY574&amp;", "&amp;IF(AT574="Y",BX574&amp;"",BK574&amp;"")&amp;BZ574&amp;IF(R574="Y","; known to the founder (+10)","")&amp;"."))</f>
        <v/>
      </c>
      <c r="R574" s="5"/>
      <c r="T574" s="5"/>
      <c r="U574" s="5"/>
      <c r="Y574" s="0" t="str">
        <f aca="false">IF(FA574&lt;&gt;"Y","",COUNTIFS($FA$2:$FA$1000,"Y",$J$2:$J$1000,"&gt;"&amp;J574)+COUNTIFS($FA$2:$FA$1000,"Y",$J$2:$J$1000,J574,$FG$2:$FG$1000,"&lt;"&amp;FG574)+1)</f>
        <v/>
      </c>
      <c r="AB574" s="0" t="str">
        <f aca="false">IF($A574="","",IF(AT574="Y",BW574&amp;"",BJ574&amp;""))</f>
        <v/>
      </c>
      <c r="AC574" s="0" t="str">
        <f aca="false">IF($A574="","",IF(AT574="Y",BR574&amp;"",BE574&amp;""))</f>
        <v/>
      </c>
      <c r="AD574" s="0" t="str">
        <f aca="false">IF($A574="","",IF(AT574="Y",BS574&amp;"",BF574&amp;""))</f>
        <v/>
      </c>
      <c r="AE574" s="0" t="str">
        <f aca="false">IF($A574="","",IF(AT574="Y",BT574&amp;"",BG574&amp;""))</f>
        <v/>
      </c>
      <c r="AF574" s="0" t="str">
        <f aca="false">IF($A574="","",IF(AT574="Y",BU574&amp;"",BH574&amp;""))</f>
        <v/>
      </c>
      <c r="AG574" s="0" t="str">
        <f aca="false">IF($A574="","",IF(AT574="Y",BV574&amp;"",BI574&amp;""))</f>
        <v/>
      </c>
      <c r="AO574" s="5"/>
      <c r="AR574" s="0" t="str">
        <f aca="false">IF($A574="","",IF(AND(CK574="pass",AO574&lt;&gt;"Y",C574&lt;&gt;"",OR(AU574&lt;&gt;"Y",AV574="Y")),"Y","N"))</f>
        <v/>
      </c>
      <c r="AS574" s="0" t="str">
        <f aca="false">IF($A574="","",_xlfn.TEXTJOIN("; ",TRUE(),IF(CK574&lt;&gt;"pass","gated out",""),IF(AO574="Y","on hold: "&amp;AP574,""),IF(C574="","no contact named on an opened page",""),IF(AND(AU574="Y",AV574&lt;&gt;"Y"),"founder review pending (Founder review tab)","")))</f>
        <v/>
      </c>
      <c r="BC574" s="0" t="str">
        <f aca="false">IF($A574="","",IFERROR(INDEX(Enrichment!$A$2:$GZ$2000,MATCH($A574,INDEX(Enrichment!$A$2:$GZ$2000,0,MATCH("row_id",Enrichment!$A$1:$GZ$1,0)),0),MATCH("work_email",Enrichment!$A$1:$GZ$1,0))&amp;"",""))</f>
        <v/>
      </c>
      <c r="BD574" s="0" t="str">
        <f aca="false">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P574" s="0" t="str">
        <f aca="false">IF($A574="","",IFERROR(INDEX(Enrichment!$A$2:$GZ$2000,MATCH($A574,INDEX(Enrichment!$A$2:$GZ$2000,0,MATCH("row_id",Enrichment!$A$1:$GZ$1,0)),0),MATCH("backup_work_email",Enrichment!$A$1:$GZ$1,0))&amp;"",""))</f>
        <v/>
      </c>
      <c r="BQ574" s="0" t="str">
        <f aca="false">IF($A574="","",IF(BP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DU574" s="0" t="str">
        <f aca="false">IF($A574="","",IF(R574="Y",10,0))</f>
        <v/>
      </c>
      <c r="EV574" s="0" t="str">
        <f aca="false">IF($A574="","",IF(ISNUMBER(MATCH(U574,{"queued","contacted","replied","call_booked","call_done","yes_in_principle","materials_sent"},0)),"Y","N"))</f>
        <v/>
      </c>
      <c r="EW574" s="0" t="str">
        <f aca="false">IF($A574="","",IF(OR(T574="Y",U574="do_not_contact",AQ574&amp;""&lt;&gt;""),"Y","N"))</f>
        <v/>
      </c>
      <c r="EX574" s="0" t="str">
        <f aca="false">IF($A574="","",IF(AN574&amp;""&lt;&gt;"",AN574&amp;"",$A574))</f>
        <v/>
      </c>
      <c r="EY574" s="0" t="str">
        <f aca="false">IF($A574="","",IF(COUNTIFS($EX$2:$EX$1000,EX574,$EV$2:$EV$1000,"Y")+COUNTIFS($EX$2:$EX$1000,EX574,$EW$2:$EW$1000,"Y")&gt;0,"Y","N"))</f>
        <v/>
      </c>
      <c r="EZ574" s="0" t="str">
        <f aca="false">IF($A574="","",IF(AND(U574="new",T574="N",EW574="N",AR574="Y",EY574="N"),"Y","N"))</f>
        <v/>
      </c>
      <c r="FA574" s="0" t="str">
        <f aca="false">IF($A574="","",IF(EZ574&lt;&gt;"Y","N",IF(COUNTIFS($EX$2:$EX$1000,EX574,$EZ$2:$EZ$1000,"Y",$J$2:$J$1000,"&gt;"&amp;J574)+COUNTIFS($EX$2:$EX$1000,EX574,$EZ$2:$EZ$1000,"Y",$J$2:$J$1000,J574,$FG$2:$FG$1000,"&lt;"&amp;FG574)=0,"Y","N")))</f>
        <v/>
      </c>
      <c r="FB574" s="0" t="str">
        <f aca="false">IF($A574="","",IF(AND(EZ574="Y",FA574="Y",Y574&amp;""&lt;&gt;""),IF(Y574&lt;=10,"Y","N"),"N"))</f>
        <v/>
      </c>
      <c r="FC574" s="0" t="str">
        <f aca="false">IF(FB574="Y",Y574,"")</f>
        <v/>
      </c>
      <c r="FD574" s="0" t="str">
        <f aca="false">IF($A574="","",IF(AND(CK574="pass",AU574="Y",AV574&lt;&gt;"Y",U574="new",EW574="N"),"Y","N"))</f>
        <v/>
      </c>
      <c r="FE574" s="0" t="str">
        <f aca="false">IF(FD574&lt;&gt;"Y","",IF(COUNTIFS($FD$2:$FD$1000,"Y",$J$2:$J$1000,"&gt;"&amp;J574)+COUNTIFS($FD$2:$FD$1000,"Y",$J$2:$J$1000,J574,$FG$2:$FG$1000,"&lt;"&amp;FG574)+1&lt;=30,COUNTIFS($FD$2:$FD$1000,"Y",$J$2:$J$1000,"&gt;"&amp;J574)+COUNTIFS($FD$2:$FD$1000,"Y",$J$2:$J$1000,J574,$FG$2:$FG$1000,"&lt;"&amp;FG574)+1,""))</f>
        <v/>
      </c>
      <c r="FF574" s="0" t="str">
        <f aca="false">IF(AND(_xlfn.ISFORMULA(C574),_xlfn.ISFORMULA(J574)),"Y","N")</f>
        <v>Y</v>
      </c>
      <c r="FG574" s="0" t="n">
        <f aca="false">ROW()-1</f>
        <v>573</v>
      </c>
    </row>
    <row r="575" customFormat="false" ht="15" hidden="false" customHeight="false" outlineLevel="0" collapsed="false">
      <c r="C575" s="0" t="str">
        <f aca="false">IF($A575="","",IF(AT575="Y",BL575&amp;"",AY575&amp;""))</f>
        <v/>
      </c>
      <c r="D575" s="0" t="str">
        <f aca="false">IF($A575="","",IF(AT575="Y",BM575&amp;"",AZ575&amp;""))</f>
        <v/>
      </c>
      <c r="E575" s="0" t="str">
        <f aca="false">IF($A575="","",IF(AT575="Y",BN575&amp;"",BA575&amp;""))</f>
        <v/>
      </c>
      <c r="F575" s="0" t="str">
        <f aca="false">IF($A575="","",IF(AT575="Y",BO575&amp;"",BB575&amp;""))</f>
        <v/>
      </c>
      <c r="G575" s="0" t="str">
        <f aca="false">IF($A575="","",IF(AT575="Y",BP575&amp;"",BC575&amp;""))</f>
        <v/>
      </c>
      <c r="H575" s="0" t="str">
        <f aca="false">IF($A575="","",IF(AT575="Y",BQ575&amp;"",BD575&amp;""))</f>
        <v/>
      </c>
      <c r="I575" s="0" t="str">
        <f aca="false">IF($A575="","",IF(R575="Y","warm-intro",IF(H575="verified","email",IF(C575&lt;&gt;"","linkedin",CA575&amp;""))))</f>
        <v/>
      </c>
      <c r="J575" s="0" t="str">
        <f aca="false">IF($A575="","",IF(CK575="pass",ROUND(N(DO575)+N(DP575)+N(DQ575)+N(DR575)+N(DS575)+N(DT575)+N(DU575)+N(DV575),0),0))</f>
        <v/>
      </c>
      <c r="K575" s="0" t="str">
        <f aca="false">IF($A575="","",IF(CK575&lt;&gt;"pass",BY575&amp;"",BY575&amp;", "&amp;IF(AT575="Y",BX575&amp;"",BK575&amp;"")&amp;BZ575&amp;IF(R575="Y","; known to the founder (+10)","")&amp;"."))</f>
        <v/>
      </c>
      <c r="R575" s="5"/>
      <c r="T575" s="5"/>
      <c r="U575" s="5"/>
      <c r="Y575" s="0" t="str">
        <f aca="false">IF(FA575&lt;&gt;"Y","",COUNTIFS($FA$2:$FA$1000,"Y",$J$2:$J$1000,"&gt;"&amp;J575)+COUNTIFS($FA$2:$FA$1000,"Y",$J$2:$J$1000,J575,$FG$2:$FG$1000,"&lt;"&amp;FG575)+1)</f>
        <v/>
      </c>
      <c r="AB575" s="0" t="str">
        <f aca="false">IF($A575="","",IF(AT575="Y",BW575&amp;"",BJ575&amp;""))</f>
        <v/>
      </c>
      <c r="AC575" s="0" t="str">
        <f aca="false">IF($A575="","",IF(AT575="Y",BR575&amp;"",BE575&amp;""))</f>
        <v/>
      </c>
      <c r="AD575" s="0" t="str">
        <f aca="false">IF($A575="","",IF(AT575="Y",BS575&amp;"",BF575&amp;""))</f>
        <v/>
      </c>
      <c r="AE575" s="0" t="str">
        <f aca="false">IF($A575="","",IF(AT575="Y",BT575&amp;"",BG575&amp;""))</f>
        <v/>
      </c>
      <c r="AF575" s="0" t="str">
        <f aca="false">IF($A575="","",IF(AT575="Y",BU575&amp;"",BH575&amp;""))</f>
        <v/>
      </c>
      <c r="AG575" s="0" t="str">
        <f aca="false">IF($A575="","",IF(AT575="Y",BV575&amp;"",BI575&amp;""))</f>
        <v/>
      </c>
      <c r="AO575" s="5"/>
      <c r="AR575" s="0" t="str">
        <f aca="false">IF($A575="","",IF(AND(CK575="pass",AO575&lt;&gt;"Y",C575&lt;&gt;"",OR(AU575&lt;&gt;"Y",AV575="Y")),"Y","N"))</f>
        <v/>
      </c>
      <c r="AS575" s="0" t="str">
        <f aca="false">IF($A575="","",_xlfn.TEXTJOIN("; ",TRUE(),IF(CK575&lt;&gt;"pass","gated out",""),IF(AO575="Y","on hold: "&amp;AP575,""),IF(C575="","no contact named on an opened page",""),IF(AND(AU575="Y",AV575&lt;&gt;"Y"),"founder review pending (Founder review tab)","")))</f>
        <v/>
      </c>
      <c r="BC575" s="0" t="str">
        <f aca="false">IF($A575="","",IFERROR(INDEX(Enrichment!$A$2:$GZ$2000,MATCH($A575,INDEX(Enrichment!$A$2:$GZ$2000,0,MATCH("row_id",Enrichment!$A$1:$GZ$1,0)),0),MATCH("work_email",Enrichment!$A$1:$GZ$1,0))&amp;"",""))</f>
        <v/>
      </c>
      <c r="BD575" s="0" t="str">
        <f aca="false">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P575" s="0" t="str">
        <f aca="false">IF($A575="","",IFERROR(INDEX(Enrichment!$A$2:$GZ$2000,MATCH($A575,INDEX(Enrichment!$A$2:$GZ$2000,0,MATCH("row_id",Enrichment!$A$1:$GZ$1,0)),0),MATCH("backup_work_email",Enrichment!$A$1:$GZ$1,0))&amp;"",""))</f>
        <v/>
      </c>
      <c r="BQ575" s="0" t="str">
        <f aca="false">IF($A575="","",IF(BP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DU575" s="0" t="str">
        <f aca="false">IF($A575="","",IF(R575="Y",10,0))</f>
        <v/>
      </c>
      <c r="EV575" s="0" t="str">
        <f aca="false">IF($A575="","",IF(ISNUMBER(MATCH(U575,{"queued","contacted","replied","call_booked","call_done","yes_in_principle","materials_sent"},0)),"Y","N"))</f>
        <v/>
      </c>
      <c r="EW575" s="0" t="str">
        <f aca="false">IF($A575="","",IF(OR(T575="Y",U575="do_not_contact",AQ575&amp;""&lt;&gt;""),"Y","N"))</f>
        <v/>
      </c>
      <c r="EX575" s="0" t="str">
        <f aca="false">IF($A575="","",IF(AN575&amp;""&lt;&gt;"",AN575&amp;"",$A575))</f>
        <v/>
      </c>
      <c r="EY575" s="0" t="str">
        <f aca="false">IF($A575="","",IF(COUNTIFS($EX$2:$EX$1000,EX575,$EV$2:$EV$1000,"Y")+COUNTIFS($EX$2:$EX$1000,EX575,$EW$2:$EW$1000,"Y")&gt;0,"Y","N"))</f>
        <v/>
      </c>
      <c r="EZ575" s="0" t="str">
        <f aca="false">IF($A575="","",IF(AND(U575="new",T575="N",EW575="N",AR575="Y",EY575="N"),"Y","N"))</f>
        <v/>
      </c>
      <c r="FA575" s="0" t="str">
        <f aca="false">IF($A575="","",IF(EZ575&lt;&gt;"Y","N",IF(COUNTIFS($EX$2:$EX$1000,EX575,$EZ$2:$EZ$1000,"Y",$J$2:$J$1000,"&gt;"&amp;J575)+COUNTIFS($EX$2:$EX$1000,EX575,$EZ$2:$EZ$1000,"Y",$J$2:$J$1000,J575,$FG$2:$FG$1000,"&lt;"&amp;FG575)=0,"Y","N")))</f>
        <v/>
      </c>
      <c r="FB575" s="0" t="str">
        <f aca="false">IF($A575="","",IF(AND(EZ575="Y",FA575="Y",Y575&amp;""&lt;&gt;""),IF(Y575&lt;=10,"Y","N"),"N"))</f>
        <v/>
      </c>
      <c r="FC575" s="0" t="str">
        <f aca="false">IF(FB575="Y",Y575,"")</f>
        <v/>
      </c>
      <c r="FD575" s="0" t="str">
        <f aca="false">IF($A575="","",IF(AND(CK575="pass",AU575="Y",AV575&lt;&gt;"Y",U575="new",EW575="N"),"Y","N"))</f>
        <v/>
      </c>
      <c r="FE575" s="0" t="str">
        <f aca="false">IF(FD575&lt;&gt;"Y","",IF(COUNTIFS($FD$2:$FD$1000,"Y",$J$2:$J$1000,"&gt;"&amp;J575)+COUNTIFS($FD$2:$FD$1000,"Y",$J$2:$J$1000,J575,$FG$2:$FG$1000,"&lt;"&amp;FG575)+1&lt;=30,COUNTIFS($FD$2:$FD$1000,"Y",$J$2:$J$1000,"&gt;"&amp;J575)+COUNTIFS($FD$2:$FD$1000,"Y",$J$2:$J$1000,J575,$FG$2:$FG$1000,"&lt;"&amp;FG575)+1,""))</f>
        <v/>
      </c>
      <c r="FF575" s="0" t="str">
        <f aca="false">IF(AND(_xlfn.ISFORMULA(C575),_xlfn.ISFORMULA(J575)),"Y","N")</f>
        <v>Y</v>
      </c>
      <c r="FG575" s="0" t="n">
        <f aca="false">ROW()-1</f>
        <v>574</v>
      </c>
    </row>
    <row r="576" customFormat="false" ht="15" hidden="false" customHeight="false" outlineLevel="0" collapsed="false">
      <c r="C576" s="0" t="str">
        <f aca="false">IF($A576="","",IF(AT576="Y",BL576&amp;"",AY576&amp;""))</f>
        <v/>
      </c>
      <c r="D576" s="0" t="str">
        <f aca="false">IF($A576="","",IF(AT576="Y",BM576&amp;"",AZ576&amp;""))</f>
        <v/>
      </c>
      <c r="E576" s="0" t="str">
        <f aca="false">IF($A576="","",IF(AT576="Y",BN576&amp;"",BA576&amp;""))</f>
        <v/>
      </c>
      <c r="F576" s="0" t="str">
        <f aca="false">IF($A576="","",IF(AT576="Y",BO576&amp;"",BB576&amp;""))</f>
        <v/>
      </c>
      <c r="G576" s="0" t="str">
        <f aca="false">IF($A576="","",IF(AT576="Y",BP576&amp;"",BC576&amp;""))</f>
        <v/>
      </c>
      <c r="H576" s="0" t="str">
        <f aca="false">IF($A576="","",IF(AT576="Y",BQ576&amp;"",BD576&amp;""))</f>
        <v/>
      </c>
      <c r="I576" s="0" t="str">
        <f aca="false">IF($A576="","",IF(R576="Y","warm-intro",IF(H576="verified","email",IF(C576&lt;&gt;"","linkedin",CA576&amp;""))))</f>
        <v/>
      </c>
      <c r="J576" s="0" t="str">
        <f aca="false">IF($A576="","",IF(CK576="pass",ROUND(N(DO576)+N(DP576)+N(DQ576)+N(DR576)+N(DS576)+N(DT576)+N(DU576)+N(DV576),0),0))</f>
        <v/>
      </c>
      <c r="K576" s="0" t="str">
        <f aca="false">IF($A576="","",IF(CK576&lt;&gt;"pass",BY576&amp;"",BY576&amp;", "&amp;IF(AT576="Y",BX576&amp;"",BK576&amp;"")&amp;BZ576&amp;IF(R576="Y","; known to the founder (+10)","")&amp;"."))</f>
        <v/>
      </c>
      <c r="R576" s="5"/>
      <c r="T576" s="5"/>
      <c r="U576" s="5"/>
      <c r="Y576" s="0" t="str">
        <f aca="false">IF(FA576&lt;&gt;"Y","",COUNTIFS($FA$2:$FA$1000,"Y",$J$2:$J$1000,"&gt;"&amp;J576)+COUNTIFS($FA$2:$FA$1000,"Y",$J$2:$J$1000,J576,$FG$2:$FG$1000,"&lt;"&amp;FG576)+1)</f>
        <v/>
      </c>
      <c r="AB576" s="0" t="str">
        <f aca="false">IF($A576="","",IF(AT576="Y",BW576&amp;"",BJ576&amp;""))</f>
        <v/>
      </c>
      <c r="AC576" s="0" t="str">
        <f aca="false">IF($A576="","",IF(AT576="Y",BR576&amp;"",BE576&amp;""))</f>
        <v/>
      </c>
      <c r="AD576" s="0" t="str">
        <f aca="false">IF($A576="","",IF(AT576="Y",BS576&amp;"",BF576&amp;""))</f>
        <v/>
      </c>
      <c r="AE576" s="0" t="str">
        <f aca="false">IF($A576="","",IF(AT576="Y",BT576&amp;"",BG576&amp;""))</f>
        <v/>
      </c>
      <c r="AF576" s="0" t="str">
        <f aca="false">IF($A576="","",IF(AT576="Y",BU576&amp;"",BH576&amp;""))</f>
        <v/>
      </c>
      <c r="AG576" s="0" t="str">
        <f aca="false">IF($A576="","",IF(AT576="Y",BV576&amp;"",BI576&amp;""))</f>
        <v/>
      </c>
      <c r="AO576" s="5"/>
      <c r="AR576" s="0" t="str">
        <f aca="false">IF($A576="","",IF(AND(CK576="pass",AO576&lt;&gt;"Y",C576&lt;&gt;"",OR(AU576&lt;&gt;"Y",AV576="Y")),"Y","N"))</f>
        <v/>
      </c>
      <c r="AS576" s="0" t="str">
        <f aca="false">IF($A576="","",_xlfn.TEXTJOIN("; ",TRUE(),IF(CK576&lt;&gt;"pass","gated out",""),IF(AO576="Y","on hold: "&amp;AP576,""),IF(C576="","no contact named on an opened page",""),IF(AND(AU576="Y",AV576&lt;&gt;"Y"),"founder review pending (Founder review tab)","")))</f>
        <v/>
      </c>
      <c r="BC576" s="0" t="str">
        <f aca="false">IF($A576="","",IFERROR(INDEX(Enrichment!$A$2:$GZ$2000,MATCH($A576,INDEX(Enrichment!$A$2:$GZ$2000,0,MATCH("row_id",Enrichment!$A$1:$GZ$1,0)),0),MATCH("work_email",Enrichment!$A$1:$GZ$1,0))&amp;"",""))</f>
        <v/>
      </c>
      <c r="BD576" s="0" t="str">
        <f aca="false">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P576" s="0" t="str">
        <f aca="false">IF($A576="","",IFERROR(INDEX(Enrichment!$A$2:$GZ$2000,MATCH($A576,INDEX(Enrichment!$A$2:$GZ$2000,0,MATCH("row_id",Enrichment!$A$1:$GZ$1,0)),0),MATCH("backup_work_email",Enrichment!$A$1:$GZ$1,0))&amp;"",""))</f>
        <v/>
      </c>
      <c r="BQ576" s="0" t="str">
        <f aca="false">IF($A576="","",IF(BP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DU576" s="0" t="str">
        <f aca="false">IF($A576="","",IF(R576="Y",10,0))</f>
        <v/>
      </c>
      <c r="EV576" s="0" t="str">
        <f aca="false">IF($A576="","",IF(ISNUMBER(MATCH(U576,{"queued","contacted","replied","call_booked","call_done","yes_in_principle","materials_sent"},0)),"Y","N"))</f>
        <v/>
      </c>
      <c r="EW576" s="0" t="str">
        <f aca="false">IF($A576="","",IF(OR(T576="Y",U576="do_not_contact",AQ576&amp;""&lt;&gt;""),"Y","N"))</f>
        <v/>
      </c>
      <c r="EX576" s="0" t="str">
        <f aca="false">IF($A576="","",IF(AN576&amp;""&lt;&gt;"",AN576&amp;"",$A576))</f>
        <v/>
      </c>
      <c r="EY576" s="0" t="str">
        <f aca="false">IF($A576="","",IF(COUNTIFS($EX$2:$EX$1000,EX576,$EV$2:$EV$1000,"Y")+COUNTIFS($EX$2:$EX$1000,EX576,$EW$2:$EW$1000,"Y")&gt;0,"Y","N"))</f>
        <v/>
      </c>
      <c r="EZ576" s="0" t="str">
        <f aca="false">IF($A576="","",IF(AND(U576="new",T576="N",EW576="N",AR576="Y",EY576="N"),"Y","N"))</f>
        <v/>
      </c>
      <c r="FA576" s="0" t="str">
        <f aca="false">IF($A576="","",IF(EZ576&lt;&gt;"Y","N",IF(COUNTIFS($EX$2:$EX$1000,EX576,$EZ$2:$EZ$1000,"Y",$J$2:$J$1000,"&gt;"&amp;J576)+COUNTIFS($EX$2:$EX$1000,EX576,$EZ$2:$EZ$1000,"Y",$J$2:$J$1000,J576,$FG$2:$FG$1000,"&lt;"&amp;FG576)=0,"Y","N")))</f>
        <v/>
      </c>
      <c r="FB576" s="0" t="str">
        <f aca="false">IF($A576="","",IF(AND(EZ576="Y",FA576="Y",Y576&amp;""&lt;&gt;""),IF(Y576&lt;=10,"Y","N"),"N"))</f>
        <v/>
      </c>
      <c r="FC576" s="0" t="str">
        <f aca="false">IF(FB576="Y",Y576,"")</f>
        <v/>
      </c>
      <c r="FD576" s="0" t="str">
        <f aca="false">IF($A576="","",IF(AND(CK576="pass",AU576="Y",AV576&lt;&gt;"Y",U576="new",EW576="N"),"Y","N"))</f>
        <v/>
      </c>
      <c r="FE576" s="0" t="str">
        <f aca="false">IF(FD576&lt;&gt;"Y","",IF(COUNTIFS($FD$2:$FD$1000,"Y",$J$2:$J$1000,"&gt;"&amp;J576)+COUNTIFS($FD$2:$FD$1000,"Y",$J$2:$J$1000,J576,$FG$2:$FG$1000,"&lt;"&amp;FG576)+1&lt;=30,COUNTIFS($FD$2:$FD$1000,"Y",$J$2:$J$1000,"&gt;"&amp;J576)+COUNTIFS($FD$2:$FD$1000,"Y",$J$2:$J$1000,J576,$FG$2:$FG$1000,"&lt;"&amp;FG576)+1,""))</f>
        <v/>
      </c>
      <c r="FF576" s="0" t="str">
        <f aca="false">IF(AND(_xlfn.ISFORMULA(C576),_xlfn.ISFORMULA(J576)),"Y","N")</f>
        <v>Y</v>
      </c>
      <c r="FG576" s="0" t="n">
        <f aca="false">ROW()-1</f>
        <v>575</v>
      </c>
    </row>
    <row r="577" customFormat="false" ht="15" hidden="false" customHeight="false" outlineLevel="0" collapsed="false">
      <c r="C577" s="0" t="str">
        <f aca="false">IF($A577="","",IF(AT577="Y",BL577&amp;"",AY577&amp;""))</f>
        <v/>
      </c>
      <c r="D577" s="0" t="str">
        <f aca="false">IF($A577="","",IF(AT577="Y",BM577&amp;"",AZ577&amp;""))</f>
        <v/>
      </c>
      <c r="E577" s="0" t="str">
        <f aca="false">IF($A577="","",IF(AT577="Y",BN577&amp;"",BA577&amp;""))</f>
        <v/>
      </c>
      <c r="F577" s="0" t="str">
        <f aca="false">IF($A577="","",IF(AT577="Y",BO577&amp;"",BB577&amp;""))</f>
        <v/>
      </c>
      <c r="G577" s="0" t="str">
        <f aca="false">IF($A577="","",IF(AT577="Y",BP577&amp;"",BC577&amp;""))</f>
        <v/>
      </c>
      <c r="H577" s="0" t="str">
        <f aca="false">IF($A577="","",IF(AT577="Y",BQ577&amp;"",BD577&amp;""))</f>
        <v/>
      </c>
      <c r="I577" s="0" t="str">
        <f aca="false">IF($A577="","",IF(R577="Y","warm-intro",IF(H577="verified","email",IF(C577&lt;&gt;"","linkedin",CA577&amp;""))))</f>
        <v/>
      </c>
      <c r="J577" s="0" t="str">
        <f aca="false">IF($A577="","",IF(CK577="pass",ROUND(N(DO577)+N(DP577)+N(DQ577)+N(DR577)+N(DS577)+N(DT577)+N(DU577)+N(DV577),0),0))</f>
        <v/>
      </c>
      <c r="K577" s="0" t="str">
        <f aca="false">IF($A577="","",IF(CK577&lt;&gt;"pass",BY577&amp;"",BY577&amp;", "&amp;IF(AT577="Y",BX577&amp;"",BK577&amp;"")&amp;BZ577&amp;IF(R577="Y","; known to the founder (+10)","")&amp;"."))</f>
        <v/>
      </c>
      <c r="R577" s="5"/>
      <c r="T577" s="5"/>
      <c r="U577" s="5"/>
      <c r="Y577" s="0" t="str">
        <f aca="false">IF(FA577&lt;&gt;"Y","",COUNTIFS($FA$2:$FA$1000,"Y",$J$2:$J$1000,"&gt;"&amp;J577)+COUNTIFS($FA$2:$FA$1000,"Y",$J$2:$J$1000,J577,$FG$2:$FG$1000,"&lt;"&amp;FG577)+1)</f>
        <v/>
      </c>
      <c r="AB577" s="0" t="str">
        <f aca="false">IF($A577="","",IF(AT577="Y",BW577&amp;"",BJ577&amp;""))</f>
        <v/>
      </c>
      <c r="AC577" s="0" t="str">
        <f aca="false">IF($A577="","",IF(AT577="Y",BR577&amp;"",BE577&amp;""))</f>
        <v/>
      </c>
      <c r="AD577" s="0" t="str">
        <f aca="false">IF($A577="","",IF(AT577="Y",BS577&amp;"",BF577&amp;""))</f>
        <v/>
      </c>
      <c r="AE577" s="0" t="str">
        <f aca="false">IF($A577="","",IF(AT577="Y",BT577&amp;"",BG577&amp;""))</f>
        <v/>
      </c>
      <c r="AF577" s="0" t="str">
        <f aca="false">IF($A577="","",IF(AT577="Y",BU577&amp;"",BH577&amp;""))</f>
        <v/>
      </c>
      <c r="AG577" s="0" t="str">
        <f aca="false">IF($A577="","",IF(AT577="Y",BV577&amp;"",BI577&amp;""))</f>
        <v/>
      </c>
      <c r="AO577" s="5"/>
      <c r="AR577" s="0" t="str">
        <f aca="false">IF($A577="","",IF(AND(CK577="pass",AO577&lt;&gt;"Y",C577&lt;&gt;"",OR(AU577&lt;&gt;"Y",AV577="Y")),"Y","N"))</f>
        <v/>
      </c>
      <c r="AS577" s="0" t="str">
        <f aca="false">IF($A577="","",_xlfn.TEXTJOIN("; ",TRUE(),IF(CK577&lt;&gt;"pass","gated out",""),IF(AO577="Y","on hold: "&amp;AP577,""),IF(C577="","no contact named on an opened page",""),IF(AND(AU577="Y",AV577&lt;&gt;"Y"),"founder review pending (Founder review tab)","")))</f>
        <v/>
      </c>
      <c r="BC577" s="0" t="str">
        <f aca="false">IF($A577="","",IFERROR(INDEX(Enrichment!$A$2:$GZ$2000,MATCH($A577,INDEX(Enrichment!$A$2:$GZ$2000,0,MATCH("row_id",Enrichment!$A$1:$GZ$1,0)),0),MATCH("work_email",Enrichment!$A$1:$GZ$1,0))&amp;"",""))</f>
        <v/>
      </c>
      <c r="BD577" s="0" t="str">
        <f aca="false">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P577" s="0" t="str">
        <f aca="false">IF($A577="","",IFERROR(INDEX(Enrichment!$A$2:$GZ$2000,MATCH($A577,INDEX(Enrichment!$A$2:$GZ$2000,0,MATCH("row_id",Enrichment!$A$1:$GZ$1,0)),0),MATCH("backup_work_email",Enrichment!$A$1:$GZ$1,0))&amp;"",""))</f>
        <v/>
      </c>
      <c r="BQ577" s="0" t="str">
        <f aca="false">IF($A577="","",IF(BP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DU577" s="0" t="str">
        <f aca="false">IF($A577="","",IF(R577="Y",10,0))</f>
        <v/>
      </c>
      <c r="EV577" s="0" t="str">
        <f aca="false">IF($A577="","",IF(ISNUMBER(MATCH(U577,{"queued","contacted","replied","call_booked","call_done","yes_in_principle","materials_sent"},0)),"Y","N"))</f>
        <v/>
      </c>
      <c r="EW577" s="0" t="str">
        <f aca="false">IF($A577="","",IF(OR(T577="Y",U577="do_not_contact",AQ577&amp;""&lt;&gt;""),"Y","N"))</f>
        <v/>
      </c>
      <c r="EX577" s="0" t="str">
        <f aca="false">IF($A577="","",IF(AN577&amp;""&lt;&gt;"",AN577&amp;"",$A577))</f>
        <v/>
      </c>
      <c r="EY577" s="0" t="str">
        <f aca="false">IF($A577="","",IF(COUNTIFS($EX$2:$EX$1000,EX577,$EV$2:$EV$1000,"Y")+COUNTIFS($EX$2:$EX$1000,EX577,$EW$2:$EW$1000,"Y")&gt;0,"Y","N"))</f>
        <v/>
      </c>
      <c r="EZ577" s="0" t="str">
        <f aca="false">IF($A577="","",IF(AND(U577="new",T577="N",EW577="N",AR577="Y",EY577="N"),"Y","N"))</f>
        <v/>
      </c>
      <c r="FA577" s="0" t="str">
        <f aca="false">IF($A577="","",IF(EZ577&lt;&gt;"Y","N",IF(COUNTIFS($EX$2:$EX$1000,EX577,$EZ$2:$EZ$1000,"Y",$J$2:$J$1000,"&gt;"&amp;J577)+COUNTIFS($EX$2:$EX$1000,EX577,$EZ$2:$EZ$1000,"Y",$J$2:$J$1000,J577,$FG$2:$FG$1000,"&lt;"&amp;FG577)=0,"Y","N")))</f>
        <v/>
      </c>
      <c r="FB577" s="0" t="str">
        <f aca="false">IF($A577="","",IF(AND(EZ577="Y",FA577="Y",Y577&amp;""&lt;&gt;""),IF(Y577&lt;=10,"Y","N"),"N"))</f>
        <v/>
      </c>
      <c r="FC577" s="0" t="str">
        <f aca="false">IF(FB577="Y",Y577,"")</f>
        <v/>
      </c>
      <c r="FD577" s="0" t="str">
        <f aca="false">IF($A577="","",IF(AND(CK577="pass",AU577="Y",AV577&lt;&gt;"Y",U577="new",EW577="N"),"Y","N"))</f>
        <v/>
      </c>
      <c r="FE577" s="0" t="str">
        <f aca="false">IF(FD577&lt;&gt;"Y","",IF(COUNTIFS($FD$2:$FD$1000,"Y",$J$2:$J$1000,"&gt;"&amp;J577)+COUNTIFS($FD$2:$FD$1000,"Y",$J$2:$J$1000,J577,$FG$2:$FG$1000,"&lt;"&amp;FG577)+1&lt;=30,COUNTIFS($FD$2:$FD$1000,"Y",$J$2:$J$1000,"&gt;"&amp;J577)+COUNTIFS($FD$2:$FD$1000,"Y",$J$2:$J$1000,J577,$FG$2:$FG$1000,"&lt;"&amp;FG577)+1,""))</f>
        <v/>
      </c>
      <c r="FF577" s="0" t="str">
        <f aca="false">IF(AND(_xlfn.ISFORMULA(C577),_xlfn.ISFORMULA(J577)),"Y","N")</f>
        <v>Y</v>
      </c>
      <c r="FG577" s="0" t="n">
        <f aca="false">ROW()-1</f>
        <v>576</v>
      </c>
    </row>
    <row r="578" customFormat="false" ht="15" hidden="false" customHeight="false" outlineLevel="0" collapsed="false">
      <c r="C578" s="0" t="str">
        <f aca="false">IF($A578="","",IF(AT578="Y",BL578&amp;"",AY578&amp;""))</f>
        <v/>
      </c>
      <c r="D578" s="0" t="str">
        <f aca="false">IF($A578="","",IF(AT578="Y",BM578&amp;"",AZ578&amp;""))</f>
        <v/>
      </c>
      <c r="E578" s="0" t="str">
        <f aca="false">IF($A578="","",IF(AT578="Y",BN578&amp;"",BA578&amp;""))</f>
        <v/>
      </c>
      <c r="F578" s="0" t="str">
        <f aca="false">IF($A578="","",IF(AT578="Y",BO578&amp;"",BB578&amp;""))</f>
        <v/>
      </c>
      <c r="G578" s="0" t="str">
        <f aca="false">IF($A578="","",IF(AT578="Y",BP578&amp;"",BC578&amp;""))</f>
        <v/>
      </c>
      <c r="H578" s="0" t="str">
        <f aca="false">IF($A578="","",IF(AT578="Y",BQ578&amp;"",BD578&amp;""))</f>
        <v/>
      </c>
      <c r="I578" s="0" t="str">
        <f aca="false">IF($A578="","",IF(R578="Y","warm-intro",IF(H578="verified","email",IF(C578&lt;&gt;"","linkedin",CA578&amp;""))))</f>
        <v/>
      </c>
      <c r="J578" s="0" t="str">
        <f aca="false">IF($A578="","",IF(CK578="pass",ROUND(N(DO578)+N(DP578)+N(DQ578)+N(DR578)+N(DS578)+N(DT578)+N(DU578)+N(DV578),0),0))</f>
        <v/>
      </c>
      <c r="K578" s="0" t="str">
        <f aca="false">IF($A578="","",IF(CK578&lt;&gt;"pass",BY578&amp;"",BY578&amp;", "&amp;IF(AT578="Y",BX578&amp;"",BK578&amp;"")&amp;BZ578&amp;IF(R578="Y","; known to the founder (+10)","")&amp;"."))</f>
        <v/>
      </c>
      <c r="R578" s="5"/>
      <c r="T578" s="5"/>
      <c r="U578" s="5"/>
      <c r="Y578" s="0" t="str">
        <f aca="false">IF(FA578&lt;&gt;"Y","",COUNTIFS($FA$2:$FA$1000,"Y",$J$2:$J$1000,"&gt;"&amp;J578)+COUNTIFS($FA$2:$FA$1000,"Y",$J$2:$J$1000,J578,$FG$2:$FG$1000,"&lt;"&amp;FG578)+1)</f>
        <v/>
      </c>
      <c r="AB578" s="0" t="str">
        <f aca="false">IF($A578="","",IF(AT578="Y",BW578&amp;"",BJ578&amp;""))</f>
        <v/>
      </c>
      <c r="AC578" s="0" t="str">
        <f aca="false">IF($A578="","",IF(AT578="Y",BR578&amp;"",BE578&amp;""))</f>
        <v/>
      </c>
      <c r="AD578" s="0" t="str">
        <f aca="false">IF($A578="","",IF(AT578="Y",BS578&amp;"",BF578&amp;""))</f>
        <v/>
      </c>
      <c r="AE578" s="0" t="str">
        <f aca="false">IF($A578="","",IF(AT578="Y",BT578&amp;"",BG578&amp;""))</f>
        <v/>
      </c>
      <c r="AF578" s="0" t="str">
        <f aca="false">IF($A578="","",IF(AT578="Y",BU578&amp;"",BH578&amp;""))</f>
        <v/>
      </c>
      <c r="AG578" s="0" t="str">
        <f aca="false">IF($A578="","",IF(AT578="Y",BV578&amp;"",BI578&amp;""))</f>
        <v/>
      </c>
      <c r="AO578" s="5"/>
      <c r="AR578" s="0" t="str">
        <f aca="false">IF($A578="","",IF(AND(CK578="pass",AO578&lt;&gt;"Y",C578&lt;&gt;"",OR(AU578&lt;&gt;"Y",AV578="Y")),"Y","N"))</f>
        <v/>
      </c>
      <c r="AS578" s="0" t="str">
        <f aca="false">IF($A578="","",_xlfn.TEXTJOIN("; ",TRUE(),IF(CK578&lt;&gt;"pass","gated out",""),IF(AO578="Y","on hold: "&amp;AP578,""),IF(C578="","no contact named on an opened page",""),IF(AND(AU578="Y",AV578&lt;&gt;"Y"),"founder review pending (Founder review tab)","")))</f>
        <v/>
      </c>
      <c r="BC578" s="0" t="str">
        <f aca="false">IF($A578="","",IFERROR(INDEX(Enrichment!$A$2:$GZ$2000,MATCH($A578,INDEX(Enrichment!$A$2:$GZ$2000,0,MATCH("row_id",Enrichment!$A$1:$GZ$1,0)),0),MATCH("work_email",Enrichment!$A$1:$GZ$1,0))&amp;"",""))</f>
        <v/>
      </c>
      <c r="BD578" s="0" t="str">
        <f aca="false">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P578" s="0" t="str">
        <f aca="false">IF($A578="","",IFERROR(INDEX(Enrichment!$A$2:$GZ$2000,MATCH($A578,INDEX(Enrichment!$A$2:$GZ$2000,0,MATCH("row_id",Enrichment!$A$1:$GZ$1,0)),0),MATCH("backup_work_email",Enrichment!$A$1:$GZ$1,0))&amp;"",""))</f>
        <v/>
      </c>
      <c r="BQ578" s="0" t="str">
        <f aca="false">IF($A578="","",IF(BP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DU578" s="0" t="str">
        <f aca="false">IF($A578="","",IF(R578="Y",10,0))</f>
        <v/>
      </c>
      <c r="EV578" s="0" t="str">
        <f aca="false">IF($A578="","",IF(ISNUMBER(MATCH(U578,{"queued","contacted","replied","call_booked","call_done","yes_in_principle","materials_sent"},0)),"Y","N"))</f>
        <v/>
      </c>
      <c r="EW578" s="0" t="str">
        <f aca="false">IF($A578="","",IF(OR(T578="Y",U578="do_not_contact",AQ578&amp;""&lt;&gt;""),"Y","N"))</f>
        <v/>
      </c>
      <c r="EX578" s="0" t="str">
        <f aca="false">IF($A578="","",IF(AN578&amp;""&lt;&gt;"",AN578&amp;"",$A578))</f>
        <v/>
      </c>
      <c r="EY578" s="0" t="str">
        <f aca="false">IF($A578="","",IF(COUNTIFS($EX$2:$EX$1000,EX578,$EV$2:$EV$1000,"Y")+COUNTIFS($EX$2:$EX$1000,EX578,$EW$2:$EW$1000,"Y")&gt;0,"Y","N"))</f>
        <v/>
      </c>
      <c r="EZ578" s="0" t="str">
        <f aca="false">IF($A578="","",IF(AND(U578="new",T578="N",EW578="N",AR578="Y",EY578="N"),"Y","N"))</f>
        <v/>
      </c>
      <c r="FA578" s="0" t="str">
        <f aca="false">IF($A578="","",IF(EZ578&lt;&gt;"Y","N",IF(COUNTIFS($EX$2:$EX$1000,EX578,$EZ$2:$EZ$1000,"Y",$J$2:$J$1000,"&gt;"&amp;J578)+COUNTIFS($EX$2:$EX$1000,EX578,$EZ$2:$EZ$1000,"Y",$J$2:$J$1000,J578,$FG$2:$FG$1000,"&lt;"&amp;FG578)=0,"Y","N")))</f>
        <v/>
      </c>
      <c r="FB578" s="0" t="str">
        <f aca="false">IF($A578="","",IF(AND(EZ578="Y",FA578="Y",Y578&amp;""&lt;&gt;""),IF(Y578&lt;=10,"Y","N"),"N"))</f>
        <v/>
      </c>
      <c r="FC578" s="0" t="str">
        <f aca="false">IF(FB578="Y",Y578,"")</f>
        <v/>
      </c>
      <c r="FD578" s="0" t="str">
        <f aca="false">IF($A578="","",IF(AND(CK578="pass",AU578="Y",AV578&lt;&gt;"Y",U578="new",EW578="N"),"Y","N"))</f>
        <v/>
      </c>
      <c r="FE578" s="0" t="str">
        <f aca="false">IF(FD578&lt;&gt;"Y","",IF(COUNTIFS($FD$2:$FD$1000,"Y",$J$2:$J$1000,"&gt;"&amp;J578)+COUNTIFS($FD$2:$FD$1000,"Y",$J$2:$J$1000,J578,$FG$2:$FG$1000,"&lt;"&amp;FG578)+1&lt;=30,COUNTIFS($FD$2:$FD$1000,"Y",$J$2:$J$1000,"&gt;"&amp;J578)+COUNTIFS($FD$2:$FD$1000,"Y",$J$2:$J$1000,J578,$FG$2:$FG$1000,"&lt;"&amp;FG578)+1,""))</f>
        <v/>
      </c>
      <c r="FF578" s="0" t="str">
        <f aca="false">IF(AND(_xlfn.ISFORMULA(C578),_xlfn.ISFORMULA(J578)),"Y","N")</f>
        <v>Y</v>
      </c>
      <c r="FG578" s="0" t="n">
        <f aca="false">ROW()-1</f>
        <v>577</v>
      </c>
    </row>
    <row r="579" customFormat="false" ht="15" hidden="false" customHeight="false" outlineLevel="0" collapsed="false">
      <c r="C579" s="0" t="str">
        <f aca="false">IF($A579="","",IF(AT579="Y",BL579&amp;"",AY579&amp;""))</f>
        <v/>
      </c>
      <c r="D579" s="0" t="str">
        <f aca="false">IF($A579="","",IF(AT579="Y",BM579&amp;"",AZ579&amp;""))</f>
        <v/>
      </c>
      <c r="E579" s="0" t="str">
        <f aca="false">IF($A579="","",IF(AT579="Y",BN579&amp;"",BA579&amp;""))</f>
        <v/>
      </c>
      <c r="F579" s="0" t="str">
        <f aca="false">IF($A579="","",IF(AT579="Y",BO579&amp;"",BB579&amp;""))</f>
        <v/>
      </c>
      <c r="G579" s="0" t="str">
        <f aca="false">IF($A579="","",IF(AT579="Y",BP579&amp;"",BC579&amp;""))</f>
        <v/>
      </c>
      <c r="H579" s="0" t="str">
        <f aca="false">IF($A579="","",IF(AT579="Y",BQ579&amp;"",BD579&amp;""))</f>
        <v/>
      </c>
      <c r="I579" s="0" t="str">
        <f aca="false">IF($A579="","",IF(R579="Y","warm-intro",IF(H579="verified","email",IF(C579&lt;&gt;"","linkedin",CA579&amp;""))))</f>
        <v/>
      </c>
      <c r="J579" s="0" t="str">
        <f aca="false">IF($A579="","",IF(CK579="pass",ROUND(N(DO579)+N(DP579)+N(DQ579)+N(DR579)+N(DS579)+N(DT579)+N(DU579)+N(DV579),0),0))</f>
        <v/>
      </c>
      <c r="K579" s="0" t="str">
        <f aca="false">IF($A579="","",IF(CK579&lt;&gt;"pass",BY579&amp;"",BY579&amp;", "&amp;IF(AT579="Y",BX579&amp;"",BK579&amp;"")&amp;BZ579&amp;IF(R579="Y","; known to the founder (+10)","")&amp;"."))</f>
        <v/>
      </c>
      <c r="R579" s="5"/>
      <c r="T579" s="5"/>
      <c r="U579" s="5"/>
      <c r="Y579" s="0" t="str">
        <f aca="false">IF(FA579&lt;&gt;"Y","",COUNTIFS($FA$2:$FA$1000,"Y",$J$2:$J$1000,"&gt;"&amp;J579)+COUNTIFS($FA$2:$FA$1000,"Y",$J$2:$J$1000,J579,$FG$2:$FG$1000,"&lt;"&amp;FG579)+1)</f>
        <v/>
      </c>
      <c r="AB579" s="0" t="str">
        <f aca="false">IF($A579="","",IF(AT579="Y",BW579&amp;"",BJ579&amp;""))</f>
        <v/>
      </c>
      <c r="AC579" s="0" t="str">
        <f aca="false">IF($A579="","",IF(AT579="Y",BR579&amp;"",BE579&amp;""))</f>
        <v/>
      </c>
      <c r="AD579" s="0" t="str">
        <f aca="false">IF($A579="","",IF(AT579="Y",BS579&amp;"",BF579&amp;""))</f>
        <v/>
      </c>
      <c r="AE579" s="0" t="str">
        <f aca="false">IF($A579="","",IF(AT579="Y",BT579&amp;"",BG579&amp;""))</f>
        <v/>
      </c>
      <c r="AF579" s="0" t="str">
        <f aca="false">IF($A579="","",IF(AT579="Y",BU579&amp;"",BH579&amp;""))</f>
        <v/>
      </c>
      <c r="AG579" s="0" t="str">
        <f aca="false">IF($A579="","",IF(AT579="Y",BV579&amp;"",BI579&amp;""))</f>
        <v/>
      </c>
      <c r="AO579" s="5"/>
      <c r="AR579" s="0" t="str">
        <f aca="false">IF($A579="","",IF(AND(CK579="pass",AO579&lt;&gt;"Y",C579&lt;&gt;"",OR(AU579&lt;&gt;"Y",AV579="Y")),"Y","N"))</f>
        <v/>
      </c>
      <c r="AS579" s="0" t="str">
        <f aca="false">IF($A579="","",_xlfn.TEXTJOIN("; ",TRUE(),IF(CK579&lt;&gt;"pass","gated out",""),IF(AO579="Y","on hold: "&amp;AP579,""),IF(C579="","no contact named on an opened page",""),IF(AND(AU579="Y",AV579&lt;&gt;"Y"),"founder review pending (Founder review tab)","")))</f>
        <v/>
      </c>
      <c r="BC579" s="0" t="str">
        <f aca="false">IF($A579="","",IFERROR(INDEX(Enrichment!$A$2:$GZ$2000,MATCH($A579,INDEX(Enrichment!$A$2:$GZ$2000,0,MATCH("row_id",Enrichment!$A$1:$GZ$1,0)),0),MATCH("work_email",Enrichment!$A$1:$GZ$1,0))&amp;"",""))</f>
        <v/>
      </c>
      <c r="BD579" s="0" t="str">
        <f aca="false">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P579" s="0" t="str">
        <f aca="false">IF($A579="","",IFERROR(INDEX(Enrichment!$A$2:$GZ$2000,MATCH($A579,INDEX(Enrichment!$A$2:$GZ$2000,0,MATCH("row_id",Enrichment!$A$1:$GZ$1,0)),0),MATCH("backup_work_email",Enrichment!$A$1:$GZ$1,0))&amp;"",""))</f>
        <v/>
      </c>
      <c r="BQ579" s="0" t="str">
        <f aca="false">IF($A579="","",IF(BP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DU579" s="0" t="str">
        <f aca="false">IF($A579="","",IF(R579="Y",10,0))</f>
        <v/>
      </c>
      <c r="EV579" s="0" t="str">
        <f aca="false">IF($A579="","",IF(ISNUMBER(MATCH(U579,{"queued","contacted","replied","call_booked","call_done","yes_in_principle","materials_sent"},0)),"Y","N"))</f>
        <v/>
      </c>
      <c r="EW579" s="0" t="str">
        <f aca="false">IF($A579="","",IF(OR(T579="Y",U579="do_not_contact",AQ579&amp;""&lt;&gt;""),"Y","N"))</f>
        <v/>
      </c>
      <c r="EX579" s="0" t="str">
        <f aca="false">IF($A579="","",IF(AN579&amp;""&lt;&gt;"",AN579&amp;"",$A579))</f>
        <v/>
      </c>
      <c r="EY579" s="0" t="str">
        <f aca="false">IF($A579="","",IF(COUNTIFS($EX$2:$EX$1000,EX579,$EV$2:$EV$1000,"Y")+COUNTIFS($EX$2:$EX$1000,EX579,$EW$2:$EW$1000,"Y")&gt;0,"Y","N"))</f>
        <v/>
      </c>
      <c r="EZ579" s="0" t="str">
        <f aca="false">IF($A579="","",IF(AND(U579="new",T579="N",EW579="N",AR579="Y",EY579="N"),"Y","N"))</f>
        <v/>
      </c>
      <c r="FA579" s="0" t="str">
        <f aca="false">IF($A579="","",IF(EZ579&lt;&gt;"Y","N",IF(COUNTIFS($EX$2:$EX$1000,EX579,$EZ$2:$EZ$1000,"Y",$J$2:$J$1000,"&gt;"&amp;J579)+COUNTIFS($EX$2:$EX$1000,EX579,$EZ$2:$EZ$1000,"Y",$J$2:$J$1000,J579,$FG$2:$FG$1000,"&lt;"&amp;FG579)=0,"Y","N")))</f>
        <v/>
      </c>
      <c r="FB579" s="0" t="str">
        <f aca="false">IF($A579="","",IF(AND(EZ579="Y",FA579="Y",Y579&amp;""&lt;&gt;""),IF(Y579&lt;=10,"Y","N"),"N"))</f>
        <v/>
      </c>
      <c r="FC579" s="0" t="str">
        <f aca="false">IF(FB579="Y",Y579,"")</f>
        <v/>
      </c>
      <c r="FD579" s="0" t="str">
        <f aca="false">IF($A579="","",IF(AND(CK579="pass",AU579="Y",AV579&lt;&gt;"Y",U579="new",EW579="N"),"Y","N"))</f>
        <v/>
      </c>
      <c r="FE579" s="0" t="str">
        <f aca="false">IF(FD579&lt;&gt;"Y","",IF(COUNTIFS($FD$2:$FD$1000,"Y",$J$2:$J$1000,"&gt;"&amp;J579)+COUNTIFS($FD$2:$FD$1000,"Y",$J$2:$J$1000,J579,$FG$2:$FG$1000,"&lt;"&amp;FG579)+1&lt;=30,COUNTIFS($FD$2:$FD$1000,"Y",$J$2:$J$1000,"&gt;"&amp;J579)+COUNTIFS($FD$2:$FD$1000,"Y",$J$2:$J$1000,J579,$FG$2:$FG$1000,"&lt;"&amp;FG579)+1,""))</f>
        <v/>
      </c>
      <c r="FF579" s="0" t="str">
        <f aca="false">IF(AND(_xlfn.ISFORMULA(C579),_xlfn.ISFORMULA(J579)),"Y","N")</f>
        <v>Y</v>
      </c>
      <c r="FG579" s="0" t="n">
        <f aca="false">ROW()-1</f>
        <v>578</v>
      </c>
    </row>
    <row r="580" customFormat="false" ht="15" hidden="false" customHeight="false" outlineLevel="0" collapsed="false">
      <c r="C580" s="0" t="str">
        <f aca="false">IF($A580="","",IF(AT580="Y",BL580&amp;"",AY580&amp;""))</f>
        <v/>
      </c>
      <c r="D580" s="0" t="str">
        <f aca="false">IF($A580="","",IF(AT580="Y",BM580&amp;"",AZ580&amp;""))</f>
        <v/>
      </c>
      <c r="E580" s="0" t="str">
        <f aca="false">IF($A580="","",IF(AT580="Y",BN580&amp;"",BA580&amp;""))</f>
        <v/>
      </c>
      <c r="F580" s="0" t="str">
        <f aca="false">IF($A580="","",IF(AT580="Y",BO580&amp;"",BB580&amp;""))</f>
        <v/>
      </c>
      <c r="G580" s="0" t="str">
        <f aca="false">IF($A580="","",IF(AT580="Y",BP580&amp;"",BC580&amp;""))</f>
        <v/>
      </c>
      <c r="H580" s="0" t="str">
        <f aca="false">IF($A580="","",IF(AT580="Y",BQ580&amp;"",BD580&amp;""))</f>
        <v/>
      </c>
      <c r="I580" s="0" t="str">
        <f aca="false">IF($A580="","",IF(R580="Y","warm-intro",IF(H580="verified","email",IF(C580&lt;&gt;"","linkedin",CA580&amp;""))))</f>
        <v/>
      </c>
      <c r="J580" s="0" t="str">
        <f aca="false">IF($A580="","",IF(CK580="pass",ROUND(N(DO580)+N(DP580)+N(DQ580)+N(DR580)+N(DS580)+N(DT580)+N(DU580)+N(DV580),0),0))</f>
        <v/>
      </c>
      <c r="K580" s="0" t="str">
        <f aca="false">IF($A580="","",IF(CK580&lt;&gt;"pass",BY580&amp;"",BY580&amp;", "&amp;IF(AT580="Y",BX580&amp;"",BK580&amp;"")&amp;BZ580&amp;IF(R580="Y","; known to the founder (+10)","")&amp;"."))</f>
        <v/>
      </c>
      <c r="R580" s="5"/>
      <c r="T580" s="5"/>
      <c r="U580" s="5"/>
      <c r="Y580" s="0" t="str">
        <f aca="false">IF(FA580&lt;&gt;"Y","",COUNTIFS($FA$2:$FA$1000,"Y",$J$2:$J$1000,"&gt;"&amp;J580)+COUNTIFS($FA$2:$FA$1000,"Y",$J$2:$J$1000,J580,$FG$2:$FG$1000,"&lt;"&amp;FG580)+1)</f>
        <v/>
      </c>
      <c r="AB580" s="0" t="str">
        <f aca="false">IF($A580="","",IF(AT580="Y",BW580&amp;"",BJ580&amp;""))</f>
        <v/>
      </c>
      <c r="AC580" s="0" t="str">
        <f aca="false">IF($A580="","",IF(AT580="Y",BR580&amp;"",BE580&amp;""))</f>
        <v/>
      </c>
      <c r="AD580" s="0" t="str">
        <f aca="false">IF($A580="","",IF(AT580="Y",BS580&amp;"",BF580&amp;""))</f>
        <v/>
      </c>
      <c r="AE580" s="0" t="str">
        <f aca="false">IF($A580="","",IF(AT580="Y",BT580&amp;"",BG580&amp;""))</f>
        <v/>
      </c>
      <c r="AF580" s="0" t="str">
        <f aca="false">IF($A580="","",IF(AT580="Y",BU580&amp;"",BH580&amp;""))</f>
        <v/>
      </c>
      <c r="AG580" s="0" t="str">
        <f aca="false">IF($A580="","",IF(AT580="Y",BV580&amp;"",BI580&amp;""))</f>
        <v/>
      </c>
      <c r="AO580" s="5"/>
      <c r="AR580" s="0" t="str">
        <f aca="false">IF($A580="","",IF(AND(CK580="pass",AO580&lt;&gt;"Y",C580&lt;&gt;"",OR(AU580&lt;&gt;"Y",AV580="Y")),"Y","N"))</f>
        <v/>
      </c>
      <c r="AS580" s="0" t="str">
        <f aca="false">IF($A580="","",_xlfn.TEXTJOIN("; ",TRUE(),IF(CK580&lt;&gt;"pass","gated out",""),IF(AO580="Y","on hold: "&amp;AP580,""),IF(C580="","no contact named on an opened page",""),IF(AND(AU580="Y",AV580&lt;&gt;"Y"),"founder review pending (Founder review tab)","")))</f>
        <v/>
      </c>
      <c r="BC580" s="0" t="str">
        <f aca="false">IF($A580="","",IFERROR(INDEX(Enrichment!$A$2:$GZ$2000,MATCH($A580,INDEX(Enrichment!$A$2:$GZ$2000,0,MATCH("row_id",Enrichment!$A$1:$GZ$1,0)),0),MATCH("work_email",Enrichment!$A$1:$GZ$1,0))&amp;"",""))</f>
        <v/>
      </c>
      <c r="BD580" s="0" t="str">
        <f aca="false">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P580" s="0" t="str">
        <f aca="false">IF($A580="","",IFERROR(INDEX(Enrichment!$A$2:$GZ$2000,MATCH($A580,INDEX(Enrichment!$A$2:$GZ$2000,0,MATCH("row_id",Enrichment!$A$1:$GZ$1,0)),0),MATCH("backup_work_email",Enrichment!$A$1:$GZ$1,0))&amp;"",""))</f>
        <v/>
      </c>
      <c r="BQ580" s="0" t="str">
        <f aca="false">IF($A580="","",IF(BP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DU580" s="0" t="str">
        <f aca="false">IF($A580="","",IF(R580="Y",10,0))</f>
        <v/>
      </c>
      <c r="EV580" s="0" t="str">
        <f aca="false">IF($A580="","",IF(ISNUMBER(MATCH(U580,{"queued","contacted","replied","call_booked","call_done","yes_in_principle","materials_sent"},0)),"Y","N"))</f>
        <v/>
      </c>
      <c r="EW580" s="0" t="str">
        <f aca="false">IF($A580="","",IF(OR(T580="Y",U580="do_not_contact",AQ580&amp;""&lt;&gt;""),"Y","N"))</f>
        <v/>
      </c>
      <c r="EX580" s="0" t="str">
        <f aca="false">IF($A580="","",IF(AN580&amp;""&lt;&gt;"",AN580&amp;"",$A580))</f>
        <v/>
      </c>
      <c r="EY580" s="0" t="str">
        <f aca="false">IF($A580="","",IF(COUNTIFS($EX$2:$EX$1000,EX580,$EV$2:$EV$1000,"Y")+COUNTIFS($EX$2:$EX$1000,EX580,$EW$2:$EW$1000,"Y")&gt;0,"Y","N"))</f>
        <v/>
      </c>
      <c r="EZ580" s="0" t="str">
        <f aca="false">IF($A580="","",IF(AND(U580="new",T580="N",EW580="N",AR580="Y",EY580="N"),"Y","N"))</f>
        <v/>
      </c>
      <c r="FA580" s="0" t="str">
        <f aca="false">IF($A580="","",IF(EZ580&lt;&gt;"Y","N",IF(COUNTIFS($EX$2:$EX$1000,EX580,$EZ$2:$EZ$1000,"Y",$J$2:$J$1000,"&gt;"&amp;J580)+COUNTIFS($EX$2:$EX$1000,EX580,$EZ$2:$EZ$1000,"Y",$J$2:$J$1000,J580,$FG$2:$FG$1000,"&lt;"&amp;FG580)=0,"Y","N")))</f>
        <v/>
      </c>
      <c r="FB580" s="0" t="str">
        <f aca="false">IF($A580="","",IF(AND(EZ580="Y",FA580="Y",Y580&amp;""&lt;&gt;""),IF(Y580&lt;=10,"Y","N"),"N"))</f>
        <v/>
      </c>
      <c r="FC580" s="0" t="str">
        <f aca="false">IF(FB580="Y",Y580,"")</f>
        <v/>
      </c>
      <c r="FD580" s="0" t="str">
        <f aca="false">IF($A580="","",IF(AND(CK580="pass",AU580="Y",AV580&lt;&gt;"Y",U580="new",EW580="N"),"Y","N"))</f>
        <v/>
      </c>
      <c r="FE580" s="0" t="str">
        <f aca="false">IF(FD580&lt;&gt;"Y","",IF(COUNTIFS($FD$2:$FD$1000,"Y",$J$2:$J$1000,"&gt;"&amp;J580)+COUNTIFS($FD$2:$FD$1000,"Y",$J$2:$J$1000,J580,$FG$2:$FG$1000,"&lt;"&amp;FG580)+1&lt;=30,COUNTIFS($FD$2:$FD$1000,"Y",$J$2:$J$1000,"&gt;"&amp;J580)+COUNTIFS($FD$2:$FD$1000,"Y",$J$2:$J$1000,J580,$FG$2:$FG$1000,"&lt;"&amp;FG580)+1,""))</f>
        <v/>
      </c>
      <c r="FF580" s="0" t="str">
        <f aca="false">IF(AND(_xlfn.ISFORMULA(C580),_xlfn.ISFORMULA(J580)),"Y","N")</f>
        <v>Y</v>
      </c>
      <c r="FG580" s="0" t="n">
        <f aca="false">ROW()-1</f>
        <v>579</v>
      </c>
    </row>
    <row r="581" customFormat="false" ht="15" hidden="false" customHeight="false" outlineLevel="0" collapsed="false">
      <c r="C581" s="0" t="str">
        <f aca="false">IF($A581="","",IF(AT581="Y",BL581&amp;"",AY581&amp;""))</f>
        <v/>
      </c>
      <c r="D581" s="0" t="str">
        <f aca="false">IF($A581="","",IF(AT581="Y",BM581&amp;"",AZ581&amp;""))</f>
        <v/>
      </c>
      <c r="E581" s="0" t="str">
        <f aca="false">IF($A581="","",IF(AT581="Y",BN581&amp;"",BA581&amp;""))</f>
        <v/>
      </c>
      <c r="F581" s="0" t="str">
        <f aca="false">IF($A581="","",IF(AT581="Y",BO581&amp;"",BB581&amp;""))</f>
        <v/>
      </c>
      <c r="G581" s="0" t="str">
        <f aca="false">IF($A581="","",IF(AT581="Y",BP581&amp;"",BC581&amp;""))</f>
        <v/>
      </c>
      <c r="H581" s="0" t="str">
        <f aca="false">IF($A581="","",IF(AT581="Y",BQ581&amp;"",BD581&amp;""))</f>
        <v/>
      </c>
      <c r="I581" s="0" t="str">
        <f aca="false">IF($A581="","",IF(R581="Y","warm-intro",IF(H581="verified","email",IF(C581&lt;&gt;"","linkedin",CA581&amp;""))))</f>
        <v/>
      </c>
      <c r="J581" s="0" t="str">
        <f aca="false">IF($A581="","",IF(CK581="pass",ROUND(N(DO581)+N(DP581)+N(DQ581)+N(DR581)+N(DS581)+N(DT581)+N(DU581)+N(DV581),0),0))</f>
        <v/>
      </c>
      <c r="K581" s="0" t="str">
        <f aca="false">IF($A581="","",IF(CK581&lt;&gt;"pass",BY581&amp;"",BY581&amp;", "&amp;IF(AT581="Y",BX581&amp;"",BK581&amp;"")&amp;BZ581&amp;IF(R581="Y","; known to the founder (+10)","")&amp;"."))</f>
        <v/>
      </c>
      <c r="R581" s="5"/>
      <c r="T581" s="5"/>
      <c r="U581" s="5"/>
      <c r="Y581" s="0" t="str">
        <f aca="false">IF(FA581&lt;&gt;"Y","",COUNTIFS($FA$2:$FA$1000,"Y",$J$2:$J$1000,"&gt;"&amp;J581)+COUNTIFS($FA$2:$FA$1000,"Y",$J$2:$J$1000,J581,$FG$2:$FG$1000,"&lt;"&amp;FG581)+1)</f>
        <v/>
      </c>
      <c r="AB581" s="0" t="str">
        <f aca="false">IF($A581="","",IF(AT581="Y",BW581&amp;"",BJ581&amp;""))</f>
        <v/>
      </c>
      <c r="AC581" s="0" t="str">
        <f aca="false">IF($A581="","",IF(AT581="Y",BR581&amp;"",BE581&amp;""))</f>
        <v/>
      </c>
      <c r="AD581" s="0" t="str">
        <f aca="false">IF($A581="","",IF(AT581="Y",BS581&amp;"",BF581&amp;""))</f>
        <v/>
      </c>
      <c r="AE581" s="0" t="str">
        <f aca="false">IF($A581="","",IF(AT581="Y",BT581&amp;"",BG581&amp;""))</f>
        <v/>
      </c>
      <c r="AF581" s="0" t="str">
        <f aca="false">IF($A581="","",IF(AT581="Y",BU581&amp;"",BH581&amp;""))</f>
        <v/>
      </c>
      <c r="AG581" s="0" t="str">
        <f aca="false">IF($A581="","",IF(AT581="Y",BV581&amp;"",BI581&amp;""))</f>
        <v/>
      </c>
      <c r="AO581" s="5"/>
      <c r="AR581" s="0" t="str">
        <f aca="false">IF($A581="","",IF(AND(CK581="pass",AO581&lt;&gt;"Y",C581&lt;&gt;"",OR(AU581&lt;&gt;"Y",AV581="Y")),"Y","N"))</f>
        <v/>
      </c>
      <c r="AS581" s="0" t="str">
        <f aca="false">IF($A581="","",_xlfn.TEXTJOIN("; ",TRUE(),IF(CK581&lt;&gt;"pass","gated out",""),IF(AO581="Y","on hold: "&amp;AP581,""),IF(C581="","no contact named on an opened page",""),IF(AND(AU581="Y",AV581&lt;&gt;"Y"),"founder review pending (Founder review tab)","")))</f>
        <v/>
      </c>
      <c r="BC581" s="0" t="str">
        <f aca="false">IF($A581="","",IFERROR(INDEX(Enrichment!$A$2:$GZ$2000,MATCH($A581,INDEX(Enrichment!$A$2:$GZ$2000,0,MATCH("row_id",Enrichment!$A$1:$GZ$1,0)),0),MATCH("work_email",Enrichment!$A$1:$GZ$1,0))&amp;"",""))</f>
        <v/>
      </c>
      <c r="BD581" s="0" t="str">
        <f aca="false">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P581" s="0" t="str">
        <f aca="false">IF($A581="","",IFERROR(INDEX(Enrichment!$A$2:$GZ$2000,MATCH($A581,INDEX(Enrichment!$A$2:$GZ$2000,0,MATCH("row_id",Enrichment!$A$1:$GZ$1,0)),0),MATCH("backup_work_email",Enrichment!$A$1:$GZ$1,0))&amp;"",""))</f>
        <v/>
      </c>
      <c r="BQ581" s="0" t="str">
        <f aca="false">IF($A581="","",IF(BP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DU581" s="0" t="str">
        <f aca="false">IF($A581="","",IF(R581="Y",10,0))</f>
        <v/>
      </c>
      <c r="EV581" s="0" t="str">
        <f aca="false">IF($A581="","",IF(ISNUMBER(MATCH(U581,{"queued","contacted","replied","call_booked","call_done","yes_in_principle","materials_sent"},0)),"Y","N"))</f>
        <v/>
      </c>
      <c r="EW581" s="0" t="str">
        <f aca="false">IF($A581="","",IF(OR(T581="Y",U581="do_not_contact",AQ581&amp;""&lt;&gt;""),"Y","N"))</f>
        <v/>
      </c>
      <c r="EX581" s="0" t="str">
        <f aca="false">IF($A581="","",IF(AN581&amp;""&lt;&gt;"",AN581&amp;"",$A581))</f>
        <v/>
      </c>
      <c r="EY581" s="0" t="str">
        <f aca="false">IF($A581="","",IF(COUNTIFS($EX$2:$EX$1000,EX581,$EV$2:$EV$1000,"Y")+COUNTIFS($EX$2:$EX$1000,EX581,$EW$2:$EW$1000,"Y")&gt;0,"Y","N"))</f>
        <v/>
      </c>
      <c r="EZ581" s="0" t="str">
        <f aca="false">IF($A581="","",IF(AND(U581="new",T581="N",EW581="N",AR581="Y",EY581="N"),"Y","N"))</f>
        <v/>
      </c>
      <c r="FA581" s="0" t="str">
        <f aca="false">IF($A581="","",IF(EZ581&lt;&gt;"Y","N",IF(COUNTIFS($EX$2:$EX$1000,EX581,$EZ$2:$EZ$1000,"Y",$J$2:$J$1000,"&gt;"&amp;J581)+COUNTIFS($EX$2:$EX$1000,EX581,$EZ$2:$EZ$1000,"Y",$J$2:$J$1000,J581,$FG$2:$FG$1000,"&lt;"&amp;FG581)=0,"Y","N")))</f>
        <v/>
      </c>
      <c r="FB581" s="0" t="str">
        <f aca="false">IF($A581="","",IF(AND(EZ581="Y",FA581="Y",Y581&amp;""&lt;&gt;""),IF(Y581&lt;=10,"Y","N"),"N"))</f>
        <v/>
      </c>
      <c r="FC581" s="0" t="str">
        <f aca="false">IF(FB581="Y",Y581,"")</f>
        <v/>
      </c>
      <c r="FD581" s="0" t="str">
        <f aca="false">IF($A581="","",IF(AND(CK581="pass",AU581="Y",AV581&lt;&gt;"Y",U581="new",EW581="N"),"Y","N"))</f>
        <v/>
      </c>
      <c r="FE581" s="0" t="str">
        <f aca="false">IF(FD581&lt;&gt;"Y","",IF(COUNTIFS($FD$2:$FD$1000,"Y",$J$2:$J$1000,"&gt;"&amp;J581)+COUNTIFS($FD$2:$FD$1000,"Y",$J$2:$J$1000,J581,$FG$2:$FG$1000,"&lt;"&amp;FG581)+1&lt;=30,COUNTIFS($FD$2:$FD$1000,"Y",$J$2:$J$1000,"&gt;"&amp;J581)+COUNTIFS($FD$2:$FD$1000,"Y",$J$2:$J$1000,J581,$FG$2:$FG$1000,"&lt;"&amp;FG581)+1,""))</f>
        <v/>
      </c>
      <c r="FF581" s="0" t="str">
        <f aca="false">IF(AND(_xlfn.ISFORMULA(C581),_xlfn.ISFORMULA(J581)),"Y","N")</f>
        <v>Y</v>
      </c>
      <c r="FG581" s="0" t="n">
        <f aca="false">ROW()-1</f>
        <v>580</v>
      </c>
    </row>
    <row r="582" customFormat="false" ht="15" hidden="false" customHeight="false" outlineLevel="0" collapsed="false">
      <c r="C582" s="0" t="str">
        <f aca="false">IF($A582="","",IF(AT582="Y",BL582&amp;"",AY582&amp;""))</f>
        <v/>
      </c>
      <c r="D582" s="0" t="str">
        <f aca="false">IF($A582="","",IF(AT582="Y",BM582&amp;"",AZ582&amp;""))</f>
        <v/>
      </c>
      <c r="E582" s="0" t="str">
        <f aca="false">IF($A582="","",IF(AT582="Y",BN582&amp;"",BA582&amp;""))</f>
        <v/>
      </c>
      <c r="F582" s="0" t="str">
        <f aca="false">IF($A582="","",IF(AT582="Y",BO582&amp;"",BB582&amp;""))</f>
        <v/>
      </c>
      <c r="G582" s="0" t="str">
        <f aca="false">IF($A582="","",IF(AT582="Y",BP582&amp;"",BC582&amp;""))</f>
        <v/>
      </c>
      <c r="H582" s="0" t="str">
        <f aca="false">IF($A582="","",IF(AT582="Y",BQ582&amp;"",BD582&amp;""))</f>
        <v/>
      </c>
      <c r="I582" s="0" t="str">
        <f aca="false">IF($A582="","",IF(R582="Y","warm-intro",IF(H582="verified","email",IF(C582&lt;&gt;"","linkedin",CA582&amp;""))))</f>
        <v/>
      </c>
      <c r="J582" s="0" t="str">
        <f aca="false">IF($A582="","",IF(CK582="pass",ROUND(N(DO582)+N(DP582)+N(DQ582)+N(DR582)+N(DS582)+N(DT582)+N(DU582)+N(DV582),0),0))</f>
        <v/>
      </c>
      <c r="K582" s="0" t="str">
        <f aca="false">IF($A582="","",IF(CK582&lt;&gt;"pass",BY582&amp;"",BY582&amp;", "&amp;IF(AT582="Y",BX582&amp;"",BK582&amp;"")&amp;BZ582&amp;IF(R582="Y","; known to the founder (+10)","")&amp;"."))</f>
        <v/>
      </c>
      <c r="R582" s="5"/>
      <c r="T582" s="5"/>
      <c r="U582" s="5"/>
      <c r="Y582" s="0" t="str">
        <f aca="false">IF(FA582&lt;&gt;"Y","",COUNTIFS($FA$2:$FA$1000,"Y",$J$2:$J$1000,"&gt;"&amp;J582)+COUNTIFS($FA$2:$FA$1000,"Y",$J$2:$J$1000,J582,$FG$2:$FG$1000,"&lt;"&amp;FG582)+1)</f>
        <v/>
      </c>
      <c r="AB582" s="0" t="str">
        <f aca="false">IF($A582="","",IF(AT582="Y",BW582&amp;"",BJ582&amp;""))</f>
        <v/>
      </c>
      <c r="AC582" s="0" t="str">
        <f aca="false">IF($A582="","",IF(AT582="Y",BR582&amp;"",BE582&amp;""))</f>
        <v/>
      </c>
      <c r="AD582" s="0" t="str">
        <f aca="false">IF($A582="","",IF(AT582="Y",BS582&amp;"",BF582&amp;""))</f>
        <v/>
      </c>
      <c r="AE582" s="0" t="str">
        <f aca="false">IF($A582="","",IF(AT582="Y",BT582&amp;"",BG582&amp;""))</f>
        <v/>
      </c>
      <c r="AF582" s="0" t="str">
        <f aca="false">IF($A582="","",IF(AT582="Y",BU582&amp;"",BH582&amp;""))</f>
        <v/>
      </c>
      <c r="AG582" s="0" t="str">
        <f aca="false">IF($A582="","",IF(AT582="Y",BV582&amp;"",BI582&amp;""))</f>
        <v/>
      </c>
      <c r="AO582" s="5"/>
      <c r="AR582" s="0" t="str">
        <f aca="false">IF($A582="","",IF(AND(CK582="pass",AO582&lt;&gt;"Y",C582&lt;&gt;"",OR(AU582&lt;&gt;"Y",AV582="Y")),"Y","N"))</f>
        <v/>
      </c>
      <c r="AS582" s="0" t="str">
        <f aca="false">IF($A582="","",_xlfn.TEXTJOIN("; ",TRUE(),IF(CK582&lt;&gt;"pass","gated out",""),IF(AO582="Y","on hold: "&amp;AP582,""),IF(C582="","no contact named on an opened page",""),IF(AND(AU582="Y",AV582&lt;&gt;"Y"),"founder review pending (Founder review tab)","")))</f>
        <v/>
      </c>
      <c r="BC582" s="0" t="str">
        <f aca="false">IF($A582="","",IFERROR(INDEX(Enrichment!$A$2:$GZ$2000,MATCH($A582,INDEX(Enrichment!$A$2:$GZ$2000,0,MATCH("row_id",Enrichment!$A$1:$GZ$1,0)),0),MATCH("work_email",Enrichment!$A$1:$GZ$1,0))&amp;"",""))</f>
        <v/>
      </c>
      <c r="BD582" s="0" t="str">
        <f aca="false">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P582" s="0" t="str">
        <f aca="false">IF($A582="","",IFERROR(INDEX(Enrichment!$A$2:$GZ$2000,MATCH($A582,INDEX(Enrichment!$A$2:$GZ$2000,0,MATCH("row_id",Enrichment!$A$1:$GZ$1,0)),0),MATCH("backup_work_email",Enrichment!$A$1:$GZ$1,0))&amp;"",""))</f>
        <v/>
      </c>
      <c r="BQ582" s="0" t="str">
        <f aca="false">IF($A582="","",IF(BP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DU582" s="0" t="str">
        <f aca="false">IF($A582="","",IF(R582="Y",10,0))</f>
        <v/>
      </c>
      <c r="EV582" s="0" t="str">
        <f aca="false">IF($A582="","",IF(ISNUMBER(MATCH(U582,{"queued","contacted","replied","call_booked","call_done","yes_in_principle","materials_sent"},0)),"Y","N"))</f>
        <v/>
      </c>
      <c r="EW582" s="0" t="str">
        <f aca="false">IF($A582="","",IF(OR(T582="Y",U582="do_not_contact",AQ582&amp;""&lt;&gt;""),"Y","N"))</f>
        <v/>
      </c>
      <c r="EX582" s="0" t="str">
        <f aca="false">IF($A582="","",IF(AN582&amp;""&lt;&gt;"",AN582&amp;"",$A582))</f>
        <v/>
      </c>
      <c r="EY582" s="0" t="str">
        <f aca="false">IF($A582="","",IF(COUNTIFS($EX$2:$EX$1000,EX582,$EV$2:$EV$1000,"Y")+COUNTIFS($EX$2:$EX$1000,EX582,$EW$2:$EW$1000,"Y")&gt;0,"Y","N"))</f>
        <v/>
      </c>
      <c r="EZ582" s="0" t="str">
        <f aca="false">IF($A582="","",IF(AND(U582="new",T582="N",EW582="N",AR582="Y",EY582="N"),"Y","N"))</f>
        <v/>
      </c>
      <c r="FA582" s="0" t="str">
        <f aca="false">IF($A582="","",IF(EZ582&lt;&gt;"Y","N",IF(COUNTIFS($EX$2:$EX$1000,EX582,$EZ$2:$EZ$1000,"Y",$J$2:$J$1000,"&gt;"&amp;J582)+COUNTIFS($EX$2:$EX$1000,EX582,$EZ$2:$EZ$1000,"Y",$J$2:$J$1000,J582,$FG$2:$FG$1000,"&lt;"&amp;FG582)=0,"Y","N")))</f>
        <v/>
      </c>
      <c r="FB582" s="0" t="str">
        <f aca="false">IF($A582="","",IF(AND(EZ582="Y",FA582="Y",Y582&amp;""&lt;&gt;""),IF(Y582&lt;=10,"Y","N"),"N"))</f>
        <v/>
      </c>
      <c r="FC582" s="0" t="str">
        <f aca="false">IF(FB582="Y",Y582,"")</f>
        <v/>
      </c>
      <c r="FD582" s="0" t="str">
        <f aca="false">IF($A582="","",IF(AND(CK582="pass",AU582="Y",AV582&lt;&gt;"Y",U582="new",EW582="N"),"Y","N"))</f>
        <v/>
      </c>
      <c r="FE582" s="0" t="str">
        <f aca="false">IF(FD582&lt;&gt;"Y","",IF(COUNTIFS($FD$2:$FD$1000,"Y",$J$2:$J$1000,"&gt;"&amp;J582)+COUNTIFS($FD$2:$FD$1000,"Y",$J$2:$J$1000,J582,$FG$2:$FG$1000,"&lt;"&amp;FG582)+1&lt;=30,COUNTIFS($FD$2:$FD$1000,"Y",$J$2:$J$1000,"&gt;"&amp;J582)+COUNTIFS($FD$2:$FD$1000,"Y",$J$2:$J$1000,J582,$FG$2:$FG$1000,"&lt;"&amp;FG582)+1,""))</f>
        <v/>
      </c>
      <c r="FF582" s="0" t="str">
        <f aca="false">IF(AND(_xlfn.ISFORMULA(C582),_xlfn.ISFORMULA(J582)),"Y","N")</f>
        <v>Y</v>
      </c>
      <c r="FG582" s="0" t="n">
        <f aca="false">ROW()-1</f>
        <v>581</v>
      </c>
    </row>
    <row r="583" customFormat="false" ht="15" hidden="false" customHeight="false" outlineLevel="0" collapsed="false">
      <c r="C583" s="0" t="str">
        <f aca="false">IF($A583="","",IF(AT583="Y",BL583&amp;"",AY583&amp;""))</f>
        <v/>
      </c>
      <c r="D583" s="0" t="str">
        <f aca="false">IF($A583="","",IF(AT583="Y",BM583&amp;"",AZ583&amp;""))</f>
        <v/>
      </c>
      <c r="E583" s="0" t="str">
        <f aca="false">IF($A583="","",IF(AT583="Y",BN583&amp;"",BA583&amp;""))</f>
        <v/>
      </c>
      <c r="F583" s="0" t="str">
        <f aca="false">IF($A583="","",IF(AT583="Y",BO583&amp;"",BB583&amp;""))</f>
        <v/>
      </c>
      <c r="G583" s="0" t="str">
        <f aca="false">IF($A583="","",IF(AT583="Y",BP583&amp;"",BC583&amp;""))</f>
        <v/>
      </c>
      <c r="H583" s="0" t="str">
        <f aca="false">IF($A583="","",IF(AT583="Y",BQ583&amp;"",BD583&amp;""))</f>
        <v/>
      </c>
      <c r="I583" s="0" t="str">
        <f aca="false">IF($A583="","",IF(R583="Y","warm-intro",IF(H583="verified","email",IF(C583&lt;&gt;"","linkedin",CA583&amp;""))))</f>
        <v/>
      </c>
      <c r="J583" s="0" t="str">
        <f aca="false">IF($A583="","",IF(CK583="pass",ROUND(N(DO583)+N(DP583)+N(DQ583)+N(DR583)+N(DS583)+N(DT583)+N(DU583)+N(DV583),0),0))</f>
        <v/>
      </c>
      <c r="K583" s="0" t="str">
        <f aca="false">IF($A583="","",IF(CK583&lt;&gt;"pass",BY583&amp;"",BY583&amp;", "&amp;IF(AT583="Y",BX583&amp;"",BK583&amp;"")&amp;BZ583&amp;IF(R583="Y","; known to the founder (+10)","")&amp;"."))</f>
        <v/>
      </c>
      <c r="R583" s="5"/>
      <c r="T583" s="5"/>
      <c r="U583" s="5"/>
      <c r="Y583" s="0" t="str">
        <f aca="false">IF(FA583&lt;&gt;"Y","",COUNTIFS($FA$2:$FA$1000,"Y",$J$2:$J$1000,"&gt;"&amp;J583)+COUNTIFS($FA$2:$FA$1000,"Y",$J$2:$J$1000,J583,$FG$2:$FG$1000,"&lt;"&amp;FG583)+1)</f>
        <v/>
      </c>
      <c r="AB583" s="0" t="str">
        <f aca="false">IF($A583="","",IF(AT583="Y",BW583&amp;"",BJ583&amp;""))</f>
        <v/>
      </c>
      <c r="AC583" s="0" t="str">
        <f aca="false">IF($A583="","",IF(AT583="Y",BR583&amp;"",BE583&amp;""))</f>
        <v/>
      </c>
      <c r="AD583" s="0" t="str">
        <f aca="false">IF($A583="","",IF(AT583="Y",BS583&amp;"",BF583&amp;""))</f>
        <v/>
      </c>
      <c r="AE583" s="0" t="str">
        <f aca="false">IF($A583="","",IF(AT583="Y",BT583&amp;"",BG583&amp;""))</f>
        <v/>
      </c>
      <c r="AF583" s="0" t="str">
        <f aca="false">IF($A583="","",IF(AT583="Y",BU583&amp;"",BH583&amp;""))</f>
        <v/>
      </c>
      <c r="AG583" s="0" t="str">
        <f aca="false">IF($A583="","",IF(AT583="Y",BV583&amp;"",BI583&amp;""))</f>
        <v/>
      </c>
      <c r="AO583" s="5"/>
      <c r="AR583" s="0" t="str">
        <f aca="false">IF($A583="","",IF(AND(CK583="pass",AO583&lt;&gt;"Y",C583&lt;&gt;"",OR(AU583&lt;&gt;"Y",AV583="Y")),"Y","N"))</f>
        <v/>
      </c>
      <c r="AS583" s="0" t="str">
        <f aca="false">IF($A583="","",_xlfn.TEXTJOIN("; ",TRUE(),IF(CK583&lt;&gt;"pass","gated out",""),IF(AO583="Y","on hold: "&amp;AP583,""),IF(C583="","no contact named on an opened page",""),IF(AND(AU583="Y",AV583&lt;&gt;"Y"),"founder review pending (Founder review tab)","")))</f>
        <v/>
      </c>
      <c r="BC583" s="0" t="str">
        <f aca="false">IF($A583="","",IFERROR(INDEX(Enrichment!$A$2:$GZ$2000,MATCH($A583,INDEX(Enrichment!$A$2:$GZ$2000,0,MATCH("row_id",Enrichment!$A$1:$GZ$1,0)),0),MATCH("work_email",Enrichment!$A$1:$GZ$1,0))&amp;"",""))</f>
        <v/>
      </c>
      <c r="BD583" s="0" t="str">
        <f aca="false">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P583" s="0" t="str">
        <f aca="false">IF($A583="","",IFERROR(INDEX(Enrichment!$A$2:$GZ$2000,MATCH($A583,INDEX(Enrichment!$A$2:$GZ$2000,0,MATCH("row_id",Enrichment!$A$1:$GZ$1,0)),0),MATCH("backup_work_email",Enrichment!$A$1:$GZ$1,0))&amp;"",""))</f>
        <v/>
      </c>
      <c r="BQ583" s="0" t="str">
        <f aca="false">IF($A583="","",IF(BP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DU583" s="0" t="str">
        <f aca="false">IF($A583="","",IF(R583="Y",10,0))</f>
        <v/>
      </c>
      <c r="EV583" s="0" t="str">
        <f aca="false">IF($A583="","",IF(ISNUMBER(MATCH(U583,{"queued","contacted","replied","call_booked","call_done","yes_in_principle","materials_sent"},0)),"Y","N"))</f>
        <v/>
      </c>
      <c r="EW583" s="0" t="str">
        <f aca="false">IF($A583="","",IF(OR(T583="Y",U583="do_not_contact",AQ583&amp;""&lt;&gt;""),"Y","N"))</f>
        <v/>
      </c>
      <c r="EX583" s="0" t="str">
        <f aca="false">IF($A583="","",IF(AN583&amp;""&lt;&gt;"",AN583&amp;"",$A583))</f>
        <v/>
      </c>
      <c r="EY583" s="0" t="str">
        <f aca="false">IF($A583="","",IF(COUNTIFS($EX$2:$EX$1000,EX583,$EV$2:$EV$1000,"Y")+COUNTIFS($EX$2:$EX$1000,EX583,$EW$2:$EW$1000,"Y")&gt;0,"Y","N"))</f>
        <v/>
      </c>
      <c r="EZ583" s="0" t="str">
        <f aca="false">IF($A583="","",IF(AND(U583="new",T583="N",EW583="N",AR583="Y",EY583="N"),"Y","N"))</f>
        <v/>
      </c>
      <c r="FA583" s="0" t="str">
        <f aca="false">IF($A583="","",IF(EZ583&lt;&gt;"Y","N",IF(COUNTIFS($EX$2:$EX$1000,EX583,$EZ$2:$EZ$1000,"Y",$J$2:$J$1000,"&gt;"&amp;J583)+COUNTIFS($EX$2:$EX$1000,EX583,$EZ$2:$EZ$1000,"Y",$J$2:$J$1000,J583,$FG$2:$FG$1000,"&lt;"&amp;FG583)=0,"Y","N")))</f>
        <v/>
      </c>
      <c r="FB583" s="0" t="str">
        <f aca="false">IF($A583="","",IF(AND(EZ583="Y",FA583="Y",Y583&amp;""&lt;&gt;""),IF(Y583&lt;=10,"Y","N"),"N"))</f>
        <v/>
      </c>
      <c r="FC583" s="0" t="str">
        <f aca="false">IF(FB583="Y",Y583,"")</f>
        <v/>
      </c>
      <c r="FD583" s="0" t="str">
        <f aca="false">IF($A583="","",IF(AND(CK583="pass",AU583="Y",AV583&lt;&gt;"Y",U583="new",EW583="N"),"Y","N"))</f>
        <v/>
      </c>
      <c r="FE583" s="0" t="str">
        <f aca="false">IF(FD583&lt;&gt;"Y","",IF(COUNTIFS($FD$2:$FD$1000,"Y",$J$2:$J$1000,"&gt;"&amp;J583)+COUNTIFS($FD$2:$FD$1000,"Y",$J$2:$J$1000,J583,$FG$2:$FG$1000,"&lt;"&amp;FG583)+1&lt;=30,COUNTIFS($FD$2:$FD$1000,"Y",$J$2:$J$1000,"&gt;"&amp;J583)+COUNTIFS($FD$2:$FD$1000,"Y",$J$2:$J$1000,J583,$FG$2:$FG$1000,"&lt;"&amp;FG583)+1,""))</f>
        <v/>
      </c>
      <c r="FF583" s="0" t="str">
        <f aca="false">IF(AND(_xlfn.ISFORMULA(C583),_xlfn.ISFORMULA(J583)),"Y","N")</f>
        <v>Y</v>
      </c>
      <c r="FG583" s="0" t="n">
        <f aca="false">ROW()-1</f>
        <v>582</v>
      </c>
    </row>
    <row r="584" customFormat="false" ht="15" hidden="false" customHeight="false" outlineLevel="0" collapsed="false">
      <c r="C584" s="0" t="str">
        <f aca="false">IF($A584="","",IF(AT584="Y",BL584&amp;"",AY584&amp;""))</f>
        <v/>
      </c>
      <c r="D584" s="0" t="str">
        <f aca="false">IF($A584="","",IF(AT584="Y",BM584&amp;"",AZ584&amp;""))</f>
        <v/>
      </c>
      <c r="E584" s="0" t="str">
        <f aca="false">IF($A584="","",IF(AT584="Y",BN584&amp;"",BA584&amp;""))</f>
        <v/>
      </c>
      <c r="F584" s="0" t="str">
        <f aca="false">IF($A584="","",IF(AT584="Y",BO584&amp;"",BB584&amp;""))</f>
        <v/>
      </c>
      <c r="G584" s="0" t="str">
        <f aca="false">IF($A584="","",IF(AT584="Y",BP584&amp;"",BC584&amp;""))</f>
        <v/>
      </c>
      <c r="H584" s="0" t="str">
        <f aca="false">IF($A584="","",IF(AT584="Y",BQ584&amp;"",BD584&amp;""))</f>
        <v/>
      </c>
      <c r="I584" s="0" t="str">
        <f aca="false">IF($A584="","",IF(R584="Y","warm-intro",IF(H584="verified","email",IF(C584&lt;&gt;"","linkedin",CA584&amp;""))))</f>
        <v/>
      </c>
      <c r="J584" s="0" t="str">
        <f aca="false">IF($A584="","",IF(CK584="pass",ROUND(N(DO584)+N(DP584)+N(DQ584)+N(DR584)+N(DS584)+N(DT584)+N(DU584)+N(DV584),0),0))</f>
        <v/>
      </c>
      <c r="K584" s="0" t="str">
        <f aca="false">IF($A584="","",IF(CK584&lt;&gt;"pass",BY584&amp;"",BY584&amp;", "&amp;IF(AT584="Y",BX584&amp;"",BK584&amp;"")&amp;BZ584&amp;IF(R584="Y","; known to the founder (+10)","")&amp;"."))</f>
        <v/>
      </c>
      <c r="R584" s="5"/>
      <c r="T584" s="5"/>
      <c r="U584" s="5"/>
      <c r="Y584" s="0" t="str">
        <f aca="false">IF(FA584&lt;&gt;"Y","",COUNTIFS($FA$2:$FA$1000,"Y",$J$2:$J$1000,"&gt;"&amp;J584)+COUNTIFS($FA$2:$FA$1000,"Y",$J$2:$J$1000,J584,$FG$2:$FG$1000,"&lt;"&amp;FG584)+1)</f>
        <v/>
      </c>
      <c r="AB584" s="0" t="str">
        <f aca="false">IF($A584="","",IF(AT584="Y",BW584&amp;"",BJ584&amp;""))</f>
        <v/>
      </c>
      <c r="AC584" s="0" t="str">
        <f aca="false">IF($A584="","",IF(AT584="Y",BR584&amp;"",BE584&amp;""))</f>
        <v/>
      </c>
      <c r="AD584" s="0" t="str">
        <f aca="false">IF($A584="","",IF(AT584="Y",BS584&amp;"",BF584&amp;""))</f>
        <v/>
      </c>
      <c r="AE584" s="0" t="str">
        <f aca="false">IF($A584="","",IF(AT584="Y",BT584&amp;"",BG584&amp;""))</f>
        <v/>
      </c>
      <c r="AF584" s="0" t="str">
        <f aca="false">IF($A584="","",IF(AT584="Y",BU584&amp;"",BH584&amp;""))</f>
        <v/>
      </c>
      <c r="AG584" s="0" t="str">
        <f aca="false">IF($A584="","",IF(AT584="Y",BV584&amp;"",BI584&amp;""))</f>
        <v/>
      </c>
      <c r="AO584" s="5"/>
      <c r="AR584" s="0" t="str">
        <f aca="false">IF($A584="","",IF(AND(CK584="pass",AO584&lt;&gt;"Y",C584&lt;&gt;"",OR(AU584&lt;&gt;"Y",AV584="Y")),"Y","N"))</f>
        <v/>
      </c>
      <c r="AS584" s="0" t="str">
        <f aca="false">IF($A584="","",_xlfn.TEXTJOIN("; ",TRUE(),IF(CK584&lt;&gt;"pass","gated out",""),IF(AO584="Y","on hold: "&amp;AP584,""),IF(C584="","no contact named on an opened page",""),IF(AND(AU584="Y",AV584&lt;&gt;"Y"),"founder review pending (Founder review tab)","")))</f>
        <v/>
      </c>
      <c r="BC584" s="0" t="str">
        <f aca="false">IF($A584="","",IFERROR(INDEX(Enrichment!$A$2:$GZ$2000,MATCH($A584,INDEX(Enrichment!$A$2:$GZ$2000,0,MATCH("row_id",Enrichment!$A$1:$GZ$1,0)),0),MATCH("work_email",Enrichment!$A$1:$GZ$1,0))&amp;"",""))</f>
        <v/>
      </c>
      <c r="BD584" s="0" t="str">
        <f aca="false">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P584" s="0" t="str">
        <f aca="false">IF($A584="","",IFERROR(INDEX(Enrichment!$A$2:$GZ$2000,MATCH($A584,INDEX(Enrichment!$A$2:$GZ$2000,0,MATCH("row_id",Enrichment!$A$1:$GZ$1,0)),0),MATCH("backup_work_email",Enrichment!$A$1:$GZ$1,0))&amp;"",""))</f>
        <v/>
      </c>
      <c r="BQ584" s="0" t="str">
        <f aca="false">IF($A584="","",IF(BP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DU584" s="0" t="str">
        <f aca="false">IF($A584="","",IF(R584="Y",10,0))</f>
        <v/>
      </c>
      <c r="EV584" s="0" t="str">
        <f aca="false">IF($A584="","",IF(ISNUMBER(MATCH(U584,{"queued","contacted","replied","call_booked","call_done","yes_in_principle","materials_sent"},0)),"Y","N"))</f>
        <v/>
      </c>
      <c r="EW584" s="0" t="str">
        <f aca="false">IF($A584="","",IF(OR(T584="Y",U584="do_not_contact",AQ584&amp;""&lt;&gt;""),"Y","N"))</f>
        <v/>
      </c>
      <c r="EX584" s="0" t="str">
        <f aca="false">IF($A584="","",IF(AN584&amp;""&lt;&gt;"",AN584&amp;"",$A584))</f>
        <v/>
      </c>
      <c r="EY584" s="0" t="str">
        <f aca="false">IF($A584="","",IF(COUNTIFS($EX$2:$EX$1000,EX584,$EV$2:$EV$1000,"Y")+COUNTIFS($EX$2:$EX$1000,EX584,$EW$2:$EW$1000,"Y")&gt;0,"Y","N"))</f>
        <v/>
      </c>
      <c r="EZ584" s="0" t="str">
        <f aca="false">IF($A584="","",IF(AND(U584="new",T584="N",EW584="N",AR584="Y",EY584="N"),"Y","N"))</f>
        <v/>
      </c>
      <c r="FA584" s="0" t="str">
        <f aca="false">IF($A584="","",IF(EZ584&lt;&gt;"Y","N",IF(COUNTIFS($EX$2:$EX$1000,EX584,$EZ$2:$EZ$1000,"Y",$J$2:$J$1000,"&gt;"&amp;J584)+COUNTIFS($EX$2:$EX$1000,EX584,$EZ$2:$EZ$1000,"Y",$J$2:$J$1000,J584,$FG$2:$FG$1000,"&lt;"&amp;FG584)=0,"Y","N")))</f>
        <v/>
      </c>
      <c r="FB584" s="0" t="str">
        <f aca="false">IF($A584="","",IF(AND(EZ584="Y",FA584="Y",Y584&amp;""&lt;&gt;""),IF(Y584&lt;=10,"Y","N"),"N"))</f>
        <v/>
      </c>
      <c r="FC584" s="0" t="str">
        <f aca="false">IF(FB584="Y",Y584,"")</f>
        <v/>
      </c>
      <c r="FD584" s="0" t="str">
        <f aca="false">IF($A584="","",IF(AND(CK584="pass",AU584="Y",AV584&lt;&gt;"Y",U584="new",EW584="N"),"Y","N"))</f>
        <v/>
      </c>
      <c r="FE584" s="0" t="str">
        <f aca="false">IF(FD584&lt;&gt;"Y","",IF(COUNTIFS($FD$2:$FD$1000,"Y",$J$2:$J$1000,"&gt;"&amp;J584)+COUNTIFS($FD$2:$FD$1000,"Y",$J$2:$J$1000,J584,$FG$2:$FG$1000,"&lt;"&amp;FG584)+1&lt;=30,COUNTIFS($FD$2:$FD$1000,"Y",$J$2:$J$1000,"&gt;"&amp;J584)+COUNTIFS($FD$2:$FD$1000,"Y",$J$2:$J$1000,J584,$FG$2:$FG$1000,"&lt;"&amp;FG584)+1,""))</f>
        <v/>
      </c>
      <c r="FF584" s="0" t="str">
        <f aca="false">IF(AND(_xlfn.ISFORMULA(C584),_xlfn.ISFORMULA(J584)),"Y","N")</f>
        <v>Y</v>
      </c>
      <c r="FG584" s="0" t="n">
        <f aca="false">ROW()-1</f>
        <v>583</v>
      </c>
    </row>
    <row r="585" customFormat="false" ht="15" hidden="false" customHeight="false" outlineLevel="0" collapsed="false">
      <c r="C585" s="0" t="str">
        <f aca="false">IF($A585="","",IF(AT585="Y",BL585&amp;"",AY585&amp;""))</f>
        <v/>
      </c>
      <c r="D585" s="0" t="str">
        <f aca="false">IF($A585="","",IF(AT585="Y",BM585&amp;"",AZ585&amp;""))</f>
        <v/>
      </c>
      <c r="E585" s="0" t="str">
        <f aca="false">IF($A585="","",IF(AT585="Y",BN585&amp;"",BA585&amp;""))</f>
        <v/>
      </c>
      <c r="F585" s="0" t="str">
        <f aca="false">IF($A585="","",IF(AT585="Y",BO585&amp;"",BB585&amp;""))</f>
        <v/>
      </c>
      <c r="G585" s="0" t="str">
        <f aca="false">IF($A585="","",IF(AT585="Y",BP585&amp;"",BC585&amp;""))</f>
        <v/>
      </c>
      <c r="H585" s="0" t="str">
        <f aca="false">IF($A585="","",IF(AT585="Y",BQ585&amp;"",BD585&amp;""))</f>
        <v/>
      </c>
      <c r="I585" s="0" t="str">
        <f aca="false">IF($A585="","",IF(R585="Y","warm-intro",IF(H585="verified","email",IF(C585&lt;&gt;"","linkedin",CA585&amp;""))))</f>
        <v/>
      </c>
      <c r="J585" s="0" t="str">
        <f aca="false">IF($A585="","",IF(CK585="pass",ROUND(N(DO585)+N(DP585)+N(DQ585)+N(DR585)+N(DS585)+N(DT585)+N(DU585)+N(DV585),0),0))</f>
        <v/>
      </c>
      <c r="K585" s="0" t="str">
        <f aca="false">IF($A585="","",IF(CK585&lt;&gt;"pass",BY585&amp;"",BY585&amp;", "&amp;IF(AT585="Y",BX585&amp;"",BK585&amp;"")&amp;BZ585&amp;IF(R585="Y","; known to the founder (+10)","")&amp;"."))</f>
        <v/>
      </c>
      <c r="R585" s="5"/>
      <c r="T585" s="5"/>
      <c r="U585" s="5"/>
      <c r="Y585" s="0" t="str">
        <f aca="false">IF(FA585&lt;&gt;"Y","",COUNTIFS($FA$2:$FA$1000,"Y",$J$2:$J$1000,"&gt;"&amp;J585)+COUNTIFS($FA$2:$FA$1000,"Y",$J$2:$J$1000,J585,$FG$2:$FG$1000,"&lt;"&amp;FG585)+1)</f>
        <v/>
      </c>
      <c r="AB585" s="0" t="str">
        <f aca="false">IF($A585="","",IF(AT585="Y",BW585&amp;"",BJ585&amp;""))</f>
        <v/>
      </c>
      <c r="AC585" s="0" t="str">
        <f aca="false">IF($A585="","",IF(AT585="Y",BR585&amp;"",BE585&amp;""))</f>
        <v/>
      </c>
      <c r="AD585" s="0" t="str">
        <f aca="false">IF($A585="","",IF(AT585="Y",BS585&amp;"",BF585&amp;""))</f>
        <v/>
      </c>
      <c r="AE585" s="0" t="str">
        <f aca="false">IF($A585="","",IF(AT585="Y",BT585&amp;"",BG585&amp;""))</f>
        <v/>
      </c>
      <c r="AF585" s="0" t="str">
        <f aca="false">IF($A585="","",IF(AT585="Y",BU585&amp;"",BH585&amp;""))</f>
        <v/>
      </c>
      <c r="AG585" s="0" t="str">
        <f aca="false">IF($A585="","",IF(AT585="Y",BV585&amp;"",BI585&amp;""))</f>
        <v/>
      </c>
      <c r="AO585" s="5"/>
      <c r="AR585" s="0" t="str">
        <f aca="false">IF($A585="","",IF(AND(CK585="pass",AO585&lt;&gt;"Y",C585&lt;&gt;"",OR(AU585&lt;&gt;"Y",AV585="Y")),"Y","N"))</f>
        <v/>
      </c>
      <c r="AS585" s="0" t="str">
        <f aca="false">IF($A585="","",_xlfn.TEXTJOIN("; ",TRUE(),IF(CK585&lt;&gt;"pass","gated out",""),IF(AO585="Y","on hold: "&amp;AP585,""),IF(C585="","no contact named on an opened page",""),IF(AND(AU585="Y",AV585&lt;&gt;"Y"),"founder review pending (Founder review tab)","")))</f>
        <v/>
      </c>
      <c r="BC585" s="0" t="str">
        <f aca="false">IF($A585="","",IFERROR(INDEX(Enrichment!$A$2:$GZ$2000,MATCH($A585,INDEX(Enrichment!$A$2:$GZ$2000,0,MATCH("row_id",Enrichment!$A$1:$GZ$1,0)),0),MATCH("work_email",Enrichment!$A$1:$GZ$1,0))&amp;"",""))</f>
        <v/>
      </c>
      <c r="BD585" s="0" t="str">
        <f aca="false">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P585" s="0" t="str">
        <f aca="false">IF($A585="","",IFERROR(INDEX(Enrichment!$A$2:$GZ$2000,MATCH($A585,INDEX(Enrichment!$A$2:$GZ$2000,0,MATCH("row_id",Enrichment!$A$1:$GZ$1,0)),0),MATCH("backup_work_email",Enrichment!$A$1:$GZ$1,0))&amp;"",""))</f>
        <v/>
      </c>
      <c r="BQ585" s="0" t="str">
        <f aca="false">IF($A585="","",IF(BP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DU585" s="0" t="str">
        <f aca="false">IF($A585="","",IF(R585="Y",10,0))</f>
        <v/>
      </c>
      <c r="EV585" s="0" t="str">
        <f aca="false">IF($A585="","",IF(ISNUMBER(MATCH(U585,{"queued","contacted","replied","call_booked","call_done","yes_in_principle","materials_sent"},0)),"Y","N"))</f>
        <v/>
      </c>
      <c r="EW585" s="0" t="str">
        <f aca="false">IF($A585="","",IF(OR(T585="Y",U585="do_not_contact",AQ585&amp;""&lt;&gt;""),"Y","N"))</f>
        <v/>
      </c>
      <c r="EX585" s="0" t="str">
        <f aca="false">IF($A585="","",IF(AN585&amp;""&lt;&gt;"",AN585&amp;"",$A585))</f>
        <v/>
      </c>
      <c r="EY585" s="0" t="str">
        <f aca="false">IF($A585="","",IF(COUNTIFS($EX$2:$EX$1000,EX585,$EV$2:$EV$1000,"Y")+COUNTIFS($EX$2:$EX$1000,EX585,$EW$2:$EW$1000,"Y")&gt;0,"Y","N"))</f>
        <v/>
      </c>
      <c r="EZ585" s="0" t="str">
        <f aca="false">IF($A585="","",IF(AND(U585="new",T585="N",EW585="N",AR585="Y",EY585="N"),"Y","N"))</f>
        <v/>
      </c>
      <c r="FA585" s="0" t="str">
        <f aca="false">IF($A585="","",IF(EZ585&lt;&gt;"Y","N",IF(COUNTIFS($EX$2:$EX$1000,EX585,$EZ$2:$EZ$1000,"Y",$J$2:$J$1000,"&gt;"&amp;J585)+COUNTIFS($EX$2:$EX$1000,EX585,$EZ$2:$EZ$1000,"Y",$J$2:$J$1000,J585,$FG$2:$FG$1000,"&lt;"&amp;FG585)=0,"Y","N")))</f>
        <v/>
      </c>
      <c r="FB585" s="0" t="str">
        <f aca="false">IF($A585="","",IF(AND(EZ585="Y",FA585="Y",Y585&amp;""&lt;&gt;""),IF(Y585&lt;=10,"Y","N"),"N"))</f>
        <v/>
      </c>
      <c r="FC585" s="0" t="str">
        <f aca="false">IF(FB585="Y",Y585,"")</f>
        <v/>
      </c>
      <c r="FD585" s="0" t="str">
        <f aca="false">IF($A585="","",IF(AND(CK585="pass",AU585="Y",AV585&lt;&gt;"Y",U585="new",EW585="N"),"Y","N"))</f>
        <v/>
      </c>
      <c r="FE585" s="0" t="str">
        <f aca="false">IF(FD585&lt;&gt;"Y","",IF(COUNTIFS($FD$2:$FD$1000,"Y",$J$2:$J$1000,"&gt;"&amp;J585)+COUNTIFS($FD$2:$FD$1000,"Y",$J$2:$J$1000,J585,$FG$2:$FG$1000,"&lt;"&amp;FG585)+1&lt;=30,COUNTIFS($FD$2:$FD$1000,"Y",$J$2:$J$1000,"&gt;"&amp;J585)+COUNTIFS($FD$2:$FD$1000,"Y",$J$2:$J$1000,J585,$FG$2:$FG$1000,"&lt;"&amp;FG585)+1,""))</f>
        <v/>
      </c>
      <c r="FF585" s="0" t="str">
        <f aca="false">IF(AND(_xlfn.ISFORMULA(C585),_xlfn.ISFORMULA(J585)),"Y","N")</f>
        <v>Y</v>
      </c>
      <c r="FG585" s="0" t="n">
        <f aca="false">ROW()-1</f>
        <v>584</v>
      </c>
    </row>
    <row r="586" customFormat="false" ht="15" hidden="false" customHeight="false" outlineLevel="0" collapsed="false">
      <c r="C586" s="0" t="str">
        <f aca="false">IF($A586="","",IF(AT586="Y",BL586&amp;"",AY586&amp;""))</f>
        <v/>
      </c>
      <c r="D586" s="0" t="str">
        <f aca="false">IF($A586="","",IF(AT586="Y",BM586&amp;"",AZ586&amp;""))</f>
        <v/>
      </c>
      <c r="E586" s="0" t="str">
        <f aca="false">IF($A586="","",IF(AT586="Y",BN586&amp;"",BA586&amp;""))</f>
        <v/>
      </c>
      <c r="F586" s="0" t="str">
        <f aca="false">IF($A586="","",IF(AT586="Y",BO586&amp;"",BB586&amp;""))</f>
        <v/>
      </c>
      <c r="G586" s="0" t="str">
        <f aca="false">IF($A586="","",IF(AT586="Y",BP586&amp;"",BC586&amp;""))</f>
        <v/>
      </c>
      <c r="H586" s="0" t="str">
        <f aca="false">IF($A586="","",IF(AT586="Y",BQ586&amp;"",BD586&amp;""))</f>
        <v/>
      </c>
      <c r="I586" s="0" t="str">
        <f aca="false">IF($A586="","",IF(R586="Y","warm-intro",IF(H586="verified","email",IF(C586&lt;&gt;"","linkedin",CA586&amp;""))))</f>
        <v/>
      </c>
      <c r="J586" s="0" t="str">
        <f aca="false">IF($A586="","",IF(CK586="pass",ROUND(N(DO586)+N(DP586)+N(DQ586)+N(DR586)+N(DS586)+N(DT586)+N(DU586)+N(DV586),0),0))</f>
        <v/>
      </c>
      <c r="K586" s="0" t="str">
        <f aca="false">IF($A586="","",IF(CK586&lt;&gt;"pass",BY586&amp;"",BY586&amp;", "&amp;IF(AT586="Y",BX586&amp;"",BK586&amp;"")&amp;BZ586&amp;IF(R586="Y","; known to the founder (+10)","")&amp;"."))</f>
        <v/>
      </c>
      <c r="R586" s="5"/>
      <c r="T586" s="5"/>
      <c r="U586" s="5"/>
      <c r="Y586" s="0" t="str">
        <f aca="false">IF(FA586&lt;&gt;"Y","",COUNTIFS($FA$2:$FA$1000,"Y",$J$2:$J$1000,"&gt;"&amp;J586)+COUNTIFS($FA$2:$FA$1000,"Y",$J$2:$J$1000,J586,$FG$2:$FG$1000,"&lt;"&amp;FG586)+1)</f>
        <v/>
      </c>
      <c r="AB586" s="0" t="str">
        <f aca="false">IF($A586="","",IF(AT586="Y",BW586&amp;"",BJ586&amp;""))</f>
        <v/>
      </c>
      <c r="AC586" s="0" t="str">
        <f aca="false">IF($A586="","",IF(AT586="Y",BR586&amp;"",BE586&amp;""))</f>
        <v/>
      </c>
      <c r="AD586" s="0" t="str">
        <f aca="false">IF($A586="","",IF(AT586="Y",BS586&amp;"",BF586&amp;""))</f>
        <v/>
      </c>
      <c r="AE586" s="0" t="str">
        <f aca="false">IF($A586="","",IF(AT586="Y",BT586&amp;"",BG586&amp;""))</f>
        <v/>
      </c>
      <c r="AF586" s="0" t="str">
        <f aca="false">IF($A586="","",IF(AT586="Y",BU586&amp;"",BH586&amp;""))</f>
        <v/>
      </c>
      <c r="AG586" s="0" t="str">
        <f aca="false">IF($A586="","",IF(AT586="Y",BV586&amp;"",BI586&amp;""))</f>
        <v/>
      </c>
      <c r="AO586" s="5"/>
      <c r="AR586" s="0" t="str">
        <f aca="false">IF($A586="","",IF(AND(CK586="pass",AO586&lt;&gt;"Y",C586&lt;&gt;"",OR(AU586&lt;&gt;"Y",AV586="Y")),"Y","N"))</f>
        <v/>
      </c>
      <c r="AS586" s="0" t="str">
        <f aca="false">IF($A586="","",_xlfn.TEXTJOIN("; ",TRUE(),IF(CK586&lt;&gt;"pass","gated out",""),IF(AO586="Y","on hold: "&amp;AP586,""),IF(C586="","no contact named on an opened page",""),IF(AND(AU586="Y",AV586&lt;&gt;"Y"),"founder review pending (Founder review tab)","")))</f>
        <v/>
      </c>
      <c r="BC586" s="0" t="str">
        <f aca="false">IF($A586="","",IFERROR(INDEX(Enrichment!$A$2:$GZ$2000,MATCH($A586,INDEX(Enrichment!$A$2:$GZ$2000,0,MATCH("row_id",Enrichment!$A$1:$GZ$1,0)),0),MATCH("work_email",Enrichment!$A$1:$GZ$1,0))&amp;"",""))</f>
        <v/>
      </c>
      <c r="BD586" s="0" t="str">
        <f aca="false">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P586" s="0" t="str">
        <f aca="false">IF($A586="","",IFERROR(INDEX(Enrichment!$A$2:$GZ$2000,MATCH($A586,INDEX(Enrichment!$A$2:$GZ$2000,0,MATCH("row_id",Enrichment!$A$1:$GZ$1,0)),0),MATCH("backup_work_email",Enrichment!$A$1:$GZ$1,0))&amp;"",""))</f>
        <v/>
      </c>
      <c r="BQ586" s="0" t="str">
        <f aca="false">IF($A586="","",IF(BP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DU586" s="0" t="str">
        <f aca="false">IF($A586="","",IF(R586="Y",10,0))</f>
        <v/>
      </c>
      <c r="EV586" s="0" t="str">
        <f aca="false">IF($A586="","",IF(ISNUMBER(MATCH(U586,{"queued","contacted","replied","call_booked","call_done","yes_in_principle","materials_sent"},0)),"Y","N"))</f>
        <v/>
      </c>
      <c r="EW586" s="0" t="str">
        <f aca="false">IF($A586="","",IF(OR(T586="Y",U586="do_not_contact",AQ586&amp;""&lt;&gt;""),"Y","N"))</f>
        <v/>
      </c>
      <c r="EX586" s="0" t="str">
        <f aca="false">IF($A586="","",IF(AN586&amp;""&lt;&gt;"",AN586&amp;"",$A586))</f>
        <v/>
      </c>
      <c r="EY586" s="0" t="str">
        <f aca="false">IF($A586="","",IF(COUNTIFS($EX$2:$EX$1000,EX586,$EV$2:$EV$1000,"Y")+COUNTIFS($EX$2:$EX$1000,EX586,$EW$2:$EW$1000,"Y")&gt;0,"Y","N"))</f>
        <v/>
      </c>
      <c r="EZ586" s="0" t="str">
        <f aca="false">IF($A586="","",IF(AND(U586="new",T586="N",EW586="N",AR586="Y",EY586="N"),"Y","N"))</f>
        <v/>
      </c>
      <c r="FA586" s="0" t="str">
        <f aca="false">IF($A586="","",IF(EZ586&lt;&gt;"Y","N",IF(COUNTIFS($EX$2:$EX$1000,EX586,$EZ$2:$EZ$1000,"Y",$J$2:$J$1000,"&gt;"&amp;J586)+COUNTIFS($EX$2:$EX$1000,EX586,$EZ$2:$EZ$1000,"Y",$J$2:$J$1000,J586,$FG$2:$FG$1000,"&lt;"&amp;FG586)=0,"Y","N")))</f>
        <v/>
      </c>
      <c r="FB586" s="0" t="str">
        <f aca="false">IF($A586="","",IF(AND(EZ586="Y",FA586="Y",Y586&amp;""&lt;&gt;""),IF(Y586&lt;=10,"Y","N"),"N"))</f>
        <v/>
      </c>
      <c r="FC586" s="0" t="str">
        <f aca="false">IF(FB586="Y",Y586,"")</f>
        <v/>
      </c>
      <c r="FD586" s="0" t="str">
        <f aca="false">IF($A586="","",IF(AND(CK586="pass",AU586="Y",AV586&lt;&gt;"Y",U586="new",EW586="N"),"Y","N"))</f>
        <v/>
      </c>
      <c r="FE586" s="0" t="str">
        <f aca="false">IF(FD586&lt;&gt;"Y","",IF(COUNTIFS($FD$2:$FD$1000,"Y",$J$2:$J$1000,"&gt;"&amp;J586)+COUNTIFS($FD$2:$FD$1000,"Y",$J$2:$J$1000,J586,$FG$2:$FG$1000,"&lt;"&amp;FG586)+1&lt;=30,COUNTIFS($FD$2:$FD$1000,"Y",$J$2:$J$1000,"&gt;"&amp;J586)+COUNTIFS($FD$2:$FD$1000,"Y",$J$2:$J$1000,J586,$FG$2:$FG$1000,"&lt;"&amp;FG586)+1,""))</f>
        <v/>
      </c>
      <c r="FF586" s="0" t="str">
        <f aca="false">IF(AND(_xlfn.ISFORMULA(C586),_xlfn.ISFORMULA(J586)),"Y","N")</f>
        <v>Y</v>
      </c>
      <c r="FG586" s="0" t="n">
        <f aca="false">ROW()-1</f>
        <v>585</v>
      </c>
    </row>
    <row r="587" customFormat="false" ht="15" hidden="false" customHeight="false" outlineLevel="0" collapsed="false">
      <c r="C587" s="0" t="str">
        <f aca="false">IF($A587="","",IF(AT587="Y",BL587&amp;"",AY587&amp;""))</f>
        <v/>
      </c>
      <c r="D587" s="0" t="str">
        <f aca="false">IF($A587="","",IF(AT587="Y",BM587&amp;"",AZ587&amp;""))</f>
        <v/>
      </c>
      <c r="E587" s="0" t="str">
        <f aca="false">IF($A587="","",IF(AT587="Y",BN587&amp;"",BA587&amp;""))</f>
        <v/>
      </c>
      <c r="F587" s="0" t="str">
        <f aca="false">IF($A587="","",IF(AT587="Y",BO587&amp;"",BB587&amp;""))</f>
        <v/>
      </c>
      <c r="G587" s="0" t="str">
        <f aca="false">IF($A587="","",IF(AT587="Y",BP587&amp;"",BC587&amp;""))</f>
        <v/>
      </c>
      <c r="H587" s="0" t="str">
        <f aca="false">IF($A587="","",IF(AT587="Y",BQ587&amp;"",BD587&amp;""))</f>
        <v/>
      </c>
      <c r="I587" s="0" t="str">
        <f aca="false">IF($A587="","",IF(R587="Y","warm-intro",IF(H587="verified","email",IF(C587&lt;&gt;"","linkedin",CA587&amp;""))))</f>
        <v/>
      </c>
      <c r="J587" s="0" t="str">
        <f aca="false">IF($A587="","",IF(CK587="pass",ROUND(N(DO587)+N(DP587)+N(DQ587)+N(DR587)+N(DS587)+N(DT587)+N(DU587)+N(DV587),0),0))</f>
        <v/>
      </c>
      <c r="K587" s="0" t="str">
        <f aca="false">IF($A587="","",IF(CK587&lt;&gt;"pass",BY587&amp;"",BY587&amp;", "&amp;IF(AT587="Y",BX587&amp;"",BK587&amp;"")&amp;BZ587&amp;IF(R587="Y","; known to the founder (+10)","")&amp;"."))</f>
        <v/>
      </c>
      <c r="R587" s="5"/>
      <c r="T587" s="5"/>
      <c r="U587" s="5"/>
      <c r="Y587" s="0" t="str">
        <f aca="false">IF(FA587&lt;&gt;"Y","",COUNTIFS($FA$2:$FA$1000,"Y",$J$2:$J$1000,"&gt;"&amp;J587)+COUNTIFS($FA$2:$FA$1000,"Y",$J$2:$J$1000,J587,$FG$2:$FG$1000,"&lt;"&amp;FG587)+1)</f>
        <v/>
      </c>
      <c r="AB587" s="0" t="str">
        <f aca="false">IF($A587="","",IF(AT587="Y",BW587&amp;"",BJ587&amp;""))</f>
        <v/>
      </c>
      <c r="AC587" s="0" t="str">
        <f aca="false">IF($A587="","",IF(AT587="Y",BR587&amp;"",BE587&amp;""))</f>
        <v/>
      </c>
      <c r="AD587" s="0" t="str">
        <f aca="false">IF($A587="","",IF(AT587="Y",BS587&amp;"",BF587&amp;""))</f>
        <v/>
      </c>
      <c r="AE587" s="0" t="str">
        <f aca="false">IF($A587="","",IF(AT587="Y",BT587&amp;"",BG587&amp;""))</f>
        <v/>
      </c>
      <c r="AF587" s="0" t="str">
        <f aca="false">IF($A587="","",IF(AT587="Y",BU587&amp;"",BH587&amp;""))</f>
        <v/>
      </c>
      <c r="AG587" s="0" t="str">
        <f aca="false">IF($A587="","",IF(AT587="Y",BV587&amp;"",BI587&amp;""))</f>
        <v/>
      </c>
      <c r="AO587" s="5"/>
      <c r="AR587" s="0" t="str">
        <f aca="false">IF($A587="","",IF(AND(CK587="pass",AO587&lt;&gt;"Y",C587&lt;&gt;"",OR(AU587&lt;&gt;"Y",AV587="Y")),"Y","N"))</f>
        <v/>
      </c>
      <c r="AS587" s="0" t="str">
        <f aca="false">IF($A587="","",_xlfn.TEXTJOIN("; ",TRUE(),IF(CK587&lt;&gt;"pass","gated out",""),IF(AO587="Y","on hold: "&amp;AP587,""),IF(C587="","no contact named on an opened page",""),IF(AND(AU587="Y",AV587&lt;&gt;"Y"),"founder review pending (Founder review tab)","")))</f>
        <v/>
      </c>
      <c r="BC587" s="0" t="str">
        <f aca="false">IF($A587="","",IFERROR(INDEX(Enrichment!$A$2:$GZ$2000,MATCH($A587,INDEX(Enrichment!$A$2:$GZ$2000,0,MATCH("row_id",Enrichment!$A$1:$GZ$1,0)),0),MATCH("work_email",Enrichment!$A$1:$GZ$1,0))&amp;"",""))</f>
        <v/>
      </c>
      <c r="BD587" s="0" t="str">
        <f aca="false">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P587" s="0" t="str">
        <f aca="false">IF($A587="","",IFERROR(INDEX(Enrichment!$A$2:$GZ$2000,MATCH($A587,INDEX(Enrichment!$A$2:$GZ$2000,0,MATCH("row_id",Enrichment!$A$1:$GZ$1,0)),0),MATCH("backup_work_email",Enrichment!$A$1:$GZ$1,0))&amp;"",""))</f>
        <v/>
      </c>
      <c r="BQ587" s="0" t="str">
        <f aca="false">IF($A587="","",IF(BP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DU587" s="0" t="str">
        <f aca="false">IF($A587="","",IF(R587="Y",10,0))</f>
        <v/>
      </c>
      <c r="EV587" s="0" t="str">
        <f aca="false">IF($A587="","",IF(ISNUMBER(MATCH(U587,{"queued","contacted","replied","call_booked","call_done","yes_in_principle","materials_sent"},0)),"Y","N"))</f>
        <v/>
      </c>
      <c r="EW587" s="0" t="str">
        <f aca="false">IF($A587="","",IF(OR(T587="Y",U587="do_not_contact",AQ587&amp;""&lt;&gt;""),"Y","N"))</f>
        <v/>
      </c>
      <c r="EX587" s="0" t="str">
        <f aca="false">IF($A587="","",IF(AN587&amp;""&lt;&gt;"",AN587&amp;"",$A587))</f>
        <v/>
      </c>
      <c r="EY587" s="0" t="str">
        <f aca="false">IF($A587="","",IF(COUNTIFS($EX$2:$EX$1000,EX587,$EV$2:$EV$1000,"Y")+COUNTIFS($EX$2:$EX$1000,EX587,$EW$2:$EW$1000,"Y")&gt;0,"Y","N"))</f>
        <v/>
      </c>
      <c r="EZ587" s="0" t="str">
        <f aca="false">IF($A587="","",IF(AND(U587="new",T587="N",EW587="N",AR587="Y",EY587="N"),"Y","N"))</f>
        <v/>
      </c>
      <c r="FA587" s="0" t="str">
        <f aca="false">IF($A587="","",IF(EZ587&lt;&gt;"Y","N",IF(COUNTIFS($EX$2:$EX$1000,EX587,$EZ$2:$EZ$1000,"Y",$J$2:$J$1000,"&gt;"&amp;J587)+COUNTIFS($EX$2:$EX$1000,EX587,$EZ$2:$EZ$1000,"Y",$J$2:$J$1000,J587,$FG$2:$FG$1000,"&lt;"&amp;FG587)=0,"Y","N")))</f>
        <v/>
      </c>
      <c r="FB587" s="0" t="str">
        <f aca="false">IF($A587="","",IF(AND(EZ587="Y",FA587="Y",Y587&amp;""&lt;&gt;""),IF(Y587&lt;=10,"Y","N"),"N"))</f>
        <v/>
      </c>
      <c r="FC587" s="0" t="str">
        <f aca="false">IF(FB587="Y",Y587,"")</f>
        <v/>
      </c>
      <c r="FD587" s="0" t="str">
        <f aca="false">IF($A587="","",IF(AND(CK587="pass",AU587="Y",AV587&lt;&gt;"Y",U587="new",EW587="N"),"Y","N"))</f>
        <v/>
      </c>
      <c r="FE587" s="0" t="str">
        <f aca="false">IF(FD587&lt;&gt;"Y","",IF(COUNTIFS($FD$2:$FD$1000,"Y",$J$2:$J$1000,"&gt;"&amp;J587)+COUNTIFS($FD$2:$FD$1000,"Y",$J$2:$J$1000,J587,$FG$2:$FG$1000,"&lt;"&amp;FG587)+1&lt;=30,COUNTIFS($FD$2:$FD$1000,"Y",$J$2:$J$1000,"&gt;"&amp;J587)+COUNTIFS($FD$2:$FD$1000,"Y",$J$2:$J$1000,J587,$FG$2:$FG$1000,"&lt;"&amp;FG587)+1,""))</f>
        <v/>
      </c>
      <c r="FF587" s="0" t="str">
        <f aca="false">IF(AND(_xlfn.ISFORMULA(C587),_xlfn.ISFORMULA(J587)),"Y","N")</f>
        <v>Y</v>
      </c>
      <c r="FG587" s="0" t="n">
        <f aca="false">ROW()-1</f>
        <v>586</v>
      </c>
    </row>
    <row r="588" customFormat="false" ht="15" hidden="false" customHeight="false" outlineLevel="0" collapsed="false">
      <c r="C588" s="0" t="str">
        <f aca="false">IF($A588="","",IF(AT588="Y",BL588&amp;"",AY588&amp;""))</f>
        <v/>
      </c>
      <c r="D588" s="0" t="str">
        <f aca="false">IF($A588="","",IF(AT588="Y",BM588&amp;"",AZ588&amp;""))</f>
        <v/>
      </c>
      <c r="E588" s="0" t="str">
        <f aca="false">IF($A588="","",IF(AT588="Y",BN588&amp;"",BA588&amp;""))</f>
        <v/>
      </c>
      <c r="F588" s="0" t="str">
        <f aca="false">IF($A588="","",IF(AT588="Y",BO588&amp;"",BB588&amp;""))</f>
        <v/>
      </c>
      <c r="G588" s="0" t="str">
        <f aca="false">IF($A588="","",IF(AT588="Y",BP588&amp;"",BC588&amp;""))</f>
        <v/>
      </c>
      <c r="H588" s="0" t="str">
        <f aca="false">IF($A588="","",IF(AT588="Y",BQ588&amp;"",BD588&amp;""))</f>
        <v/>
      </c>
      <c r="I588" s="0" t="str">
        <f aca="false">IF($A588="","",IF(R588="Y","warm-intro",IF(H588="verified","email",IF(C588&lt;&gt;"","linkedin",CA588&amp;""))))</f>
        <v/>
      </c>
      <c r="J588" s="0" t="str">
        <f aca="false">IF($A588="","",IF(CK588="pass",ROUND(N(DO588)+N(DP588)+N(DQ588)+N(DR588)+N(DS588)+N(DT588)+N(DU588)+N(DV588),0),0))</f>
        <v/>
      </c>
      <c r="K588" s="0" t="str">
        <f aca="false">IF($A588="","",IF(CK588&lt;&gt;"pass",BY588&amp;"",BY588&amp;", "&amp;IF(AT588="Y",BX588&amp;"",BK588&amp;"")&amp;BZ588&amp;IF(R588="Y","; known to the founder (+10)","")&amp;"."))</f>
        <v/>
      </c>
      <c r="R588" s="5"/>
      <c r="T588" s="5"/>
      <c r="U588" s="5"/>
      <c r="Y588" s="0" t="str">
        <f aca="false">IF(FA588&lt;&gt;"Y","",COUNTIFS($FA$2:$FA$1000,"Y",$J$2:$J$1000,"&gt;"&amp;J588)+COUNTIFS($FA$2:$FA$1000,"Y",$J$2:$J$1000,J588,$FG$2:$FG$1000,"&lt;"&amp;FG588)+1)</f>
        <v/>
      </c>
      <c r="AB588" s="0" t="str">
        <f aca="false">IF($A588="","",IF(AT588="Y",BW588&amp;"",BJ588&amp;""))</f>
        <v/>
      </c>
      <c r="AC588" s="0" t="str">
        <f aca="false">IF($A588="","",IF(AT588="Y",BR588&amp;"",BE588&amp;""))</f>
        <v/>
      </c>
      <c r="AD588" s="0" t="str">
        <f aca="false">IF($A588="","",IF(AT588="Y",BS588&amp;"",BF588&amp;""))</f>
        <v/>
      </c>
      <c r="AE588" s="0" t="str">
        <f aca="false">IF($A588="","",IF(AT588="Y",BT588&amp;"",BG588&amp;""))</f>
        <v/>
      </c>
      <c r="AF588" s="0" t="str">
        <f aca="false">IF($A588="","",IF(AT588="Y",BU588&amp;"",BH588&amp;""))</f>
        <v/>
      </c>
      <c r="AG588" s="0" t="str">
        <f aca="false">IF($A588="","",IF(AT588="Y",BV588&amp;"",BI588&amp;""))</f>
        <v/>
      </c>
      <c r="AO588" s="5"/>
      <c r="AR588" s="0" t="str">
        <f aca="false">IF($A588="","",IF(AND(CK588="pass",AO588&lt;&gt;"Y",C588&lt;&gt;"",OR(AU588&lt;&gt;"Y",AV588="Y")),"Y","N"))</f>
        <v/>
      </c>
      <c r="AS588" s="0" t="str">
        <f aca="false">IF($A588="","",_xlfn.TEXTJOIN("; ",TRUE(),IF(CK588&lt;&gt;"pass","gated out",""),IF(AO588="Y","on hold: "&amp;AP588,""),IF(C588="","no contact named on an opened page",""),IF(AND(AU588="Y",AV588&lt;&gt;"Y"),"founder review pending (Founder review tab)","")))</f>
        <v/>
      </c>
      <c r="BC588" s="0" t="str">
        <f aca="false">IF($A588="","",IFERROR(INDEX(Enrichment!$A$2:$GZ$2000,MATCH($A588,INDEX(Enrichment!$A$2:$GZ$2000,0,MATCH("row_id",Enrichment!$A$1:$GZ$1,0)),0),MATCH("work_email",Enrichment!$A$1:$GZ$1,0))&amp;"",""))</f>
        <v/>
      </c>
      <c r="BD588" s="0" t="str">
        <f aca="false">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P588" s="0" t="str">
        <f aca="false">IF($A588="","",IFERROR(INDEX(Enrichment!$A$2:$GZ$2000,MATCH($A588,INDEX(Enrichment!$A$2:$GZ$2000,0,MATCH("row_id",Enrichment!$A$1:$GZ$1,0)),0),MATCH("backup_work_email",Enrichment!$A$1:$GZ$1,0))&amp;"",""))</f>
        <v/>
      </c>
      <c r="BQ588" s="0" t="str">
        <f aca="false">IF($A588="","",IF(BP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DU588" s="0" t="str">
        <f aca="false">IF($A588="","",IF(R588="Y",10,0))</f>
        <v/>
      </c>
      <c r="EV588" s="0" t="str">
        <f aca="false">IF($A588="","",IF(ISNUMBER(MATCH(U588,{"queued","contacted","replied","call_booked","call_done","yes_in_principle","materials_sent"},0)),"Y","N"))</f>
        <v/>
      </c>
      <c r="EW588" s="0" t="str">
        <f aca="false">IF($A588="","",IF(OR(T588="Y",U588="do_not_contact",AQ588&amp;""&lt;&gt;""),"Y","N"))</f>
        <v/>
      </c>
      <c r="EX588" s="0" t="str">
        <f aca="false">IF($A588="","",IF(AN588&amp;""&lt;&gt;"",AN588&amp;"",$A588))</f>
        <v/>
      </c>
      <c r="EY588" s="0" t="str">
        <f aca="false">IF($A588="","",IF(COUNTIFS($EX$2:$EX$1000,EX588,$EV$2:$EV$1000,"Y")+COUNTIFS($EX$2:$EX$1000,EX588,$EW$2:$EW$1000,"Y")&gt;0,"Y","N"))</f>
        <v/>
      </c>
      <c r="EZ588" s="0" t="str">
        <f aca="false">IF($A588="","",IF(AND(U588="new",T588="N",EW588="N",AR588="Y",EY588="N"),"Y","N"))</f>
        <v/>
      </c>
      <c r="FA588" s="0" t="str">
        <f aca="false">IF($A588="","",IF(EZ588&lt;&gt;"Y","N",IF(COUNTIFS($EX$2:$EX$1000,EX588,$EZ$2:$EZ$1000,"Y",$J$2:$J$1000,"&gt;"&amp;J588)+COUNTIFS($EX$2:$EX$1000,EX588,$EZ$2:$EZ$1000,"Y",$J$2:$J$1000,J588,$FG$2:$FG$1000,"&lt;"&amp;FG588)=0,"Y","N")))</f>
        <v/>
      </c>
      <c r="FB588" s="0" t="str">
        <f aca="false">IF($A588="","",IF(AND(EZ588="Y",FA588="Y",Y588&amp;""&lt;&gt;""),IF(Y588&lt;=10,"Y","N"),"N"))</f>
        <v/>
      </c>
      <c r="FC588" s="0" t="str">
        <f aca="false">IF(FB588="Y",Y588,"")</f>
        <v/>
      </c>
      <c r="FD588" s="0" t="str">
        <f aca="false">IF($A588="","",IF(AND(CK588="pass",AU588="Y",AV588&lt;&gt;"Y",U588="new",EW588="N"),"Y","N"))</f>
        <v/>
      </c>
      <c r="FE588" s="0" t="str">
        <f aca="false">IF(FD588&lt;&gt;"Y","",IF(COUNTIFS($FD$2:$FD$1000,"Y",$J$2:$J$1000,"&gt;"&amp;J588)+COUNTIFS($FD$2:$FD$1000,"Y",$J$2:$J$1000,J588,$FG$2:$FG$1000,"&lt;"&amp;FG588)+1&lt;=30,COUNTIFS($FD$2:$FD$1000,"Y",$J$2:$J$1000,"&gt;"&amp;J588)+COUNTIFS($FD$2:$FD$1000,"Y",$J$2:$J$1000,J588,$FG$2:$FG$1000,"&lt;"&amp;FG588)+1,""))</f>
        <v/>
      </c>
      <c r="FF588" s="0" t="str">
        <f aca="false">IF(AND(_xlfn.ISFORMULA(C588),_xlfn.ISFORMULA(J588)),"Y","N")</f>
        <v>Y</v>
      </c>
      <c r="FG588" s="0" t="n">
        <f aca="false">ROW()-1</f>
        <v>587</v>
      </c>
    </row>
    <row r="589" customFormat="false" ht="15" hidden="false" customHeight="false" outlineLevel="0" collapsed="false">
      <c r="C589" s="0" t="str">
        <f aca="false">IF($A589="","",IF(AT589="Y",BL589&amp;"",AY589&amp;""))</f>
        <v/>
      </c>
      <c r="D589" s="0" t="str">
        <f aca="false">IF($A589="","",IF(AT589="Y",BM589&amp;"",AZ589&amp;""))</f>
        <v/>
      </c>
      <c r="E589" s="0" t="str">
        <f aca="false">IF($A589="","",IF(AT589="Y",BN589&amp;"",BA589&amp;""))</f>
        <v/>
      </c>
      <c r="F589" s="0" t="str">
        <f aca="false">IF($A589="","",IF(AT589="Y",BO589&amp;"",BB589&amp;""))</f>
        <v/>
      </c>
      <c r="G589" s="0" t="str">
        <f aca="false">IF($A589="","",IF(AT589="Y",BP589&amp;"",BC589&amp;""))</f>
        <v/>
      </c>
      <c r="H589" s="0" t="str">
        <f aca="false">IF($A589="","",IF(AT589="Y",BQ589&amp;"",BD589&amp;""))</f>
        <v/>
      </c>
      <c r="I589" s="0" t="str">
        <f aca="false">IF($A589="","",IF(R589="Y","warm-intro",IF(H589="verified","email",IF(C589&lt;&gt;"","linkedin",CA589&amp;""))))</f>
        <v/>
      </c>
      <c r="J589" s="0" t="str">
        <f aca="false">IF($A589="","",IF(CK589="pass",ROUND(N(DO589)+N(DP589)+N(DQ589)+N(DR589)+N(DS589)+N(DT589)+N(DU589)+N(DV589),0),0))</f>
        <v/>
      </c>
      <c r="K589" s="0" t="str">
        <f aca="false">IF($A589="","",IF(CK589&lt;&gt;"pass",BY589&amp;"",BY589&amp;", "&amp;IF(AT589="Y",BX589&amp;"",BK589&amp;"")&amp;BZ589&amp;IF(R589="Y","; known to the founder (+10)","")&amp;"."))</f>
        <v/>
      </c>
      <c r="R589" s="5"/>
      <c r="T589" s="5"/>
      <c r="U589" s="5"/>
      <c r="Y589" s="0" t="str">
        <f aca="false">IF(FA589&lt;&gt;"Y","",COUNTIFS($FA$2:$FA$1000,"Y",$J$2:$J$1000,"&gt;"&amp;J589)+COUNTIFS($FA$2:$FA$1000,"Y",$J$2:$J$1000,J589,$FG$2:$FG$1000,"&lt;"&amp;FG589)+1)</f>
        <v/>
      </c>
      <c r="AB589" s="0" t="str">
        <f aca="false">IF($A589="","",IF(AT589="Y",BW589&amp;"",BJ589&amp;""))</f>
        <v/>
      </c>
      <c r="AC589" s="0" t="str">
        <f aca="false">IF($A589="","",IF(AT589="Y",BR589&amp;"",BE589&amp;""))</f>
        <v/>
      </c>
      <c r="AD589" s="0" t="str">
        <f aca="false">IF($A589="","",IF(AT589="Y",BS589&amp;"",BF589&amp;""))</f>
        <v/>
      </c>
      <c r="AE589" s="0" t="str">
        <f aca="false">IF($A589="","",IF(AT589="Y",BT589&amp;"",BG589&amp;""))</f>
        <v/>
      </c>
      <c r="AF589" s="0" t="str">
        <f aca="false">IF($A589="","",IF(AT589="Y",BU589&amp;"",BH589&amp;""))</f>
        <v/>
      </c>
      <c r="AG589" s="0" t="str">
        <f aca="false">IF($A589="","",IF(AT589="Y",BV589&amp;"",BI589&amp;""))</f>
        <v/>
      </c>
      <c r="AO589" s="5"/>
      <c r="AR589" s="0" t="str">
        <f aca="false">IF($A589="","",IF(AND(CK589="pass",AO589&lt;&gt;"Y",C589&lt;&gt;"",OR(AU589&lt;&gt;"Y",AV589="Y")),"Y","N"))</f>
        <v/>
      </c>
      <c r="AS589" s="0" t="str">
        <f aca="false">IF($A589="","",_xlfn.TEXTJOIN("; ",TRUE(),IF(CK589&lt;&gt;"pass","gated out",""),IF(AO589="Y","on hold: "&amp;AP589,""),IF(C589="","no contact named on an opened page",""),IF(AND(AU589="Y",AV589&lt;&gt;"Y"),"founder review pending (Founder review tab)","")))</f>
        <v/>
      </c>
      <c r="BC589" s="0" t="str">
        <f aca="false">IF($A589="","",IFERROR(INDEX(Enrichment!$A$2:$GZ$2000,MATCH($A589,INDEX(Enrichment!$A$2:$GZ$2000,0,MATCH("row_id",Enrichment!$A$1:$GZ$1,0)),0),MATCH("work_email",Enrichment!$A$1:$GZ$1,0))&amp;"",""))</f>
        <v/>
      </c>
      <c r="BD589" s="0" t="str">
        <f aca="false">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P589" s="0" t="str">
        <f aca="false">IF($A589="","",IFERROR(INDEX(Enrichment!$A$2:$GZ$2000,MATCH($A589,INDEX(Enrichment!$A$2:$GZ$2000,0,MATCH("row_id",Enrichment!$A$1:$GZ$1,0)),0),MATCH("backup_work_email",Enrichment!$A$1:$GZ$1,0))&amp;"",""))</f>
        <v/>
      </c>
      <c r="BQ589" s="0" t="str">
        <f aca="false">IF($A589="","",IF(BP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DU589" s="0" t="str">
        <f aca="false">IF($A589="","",IF(R589="Y",10,0))</f>
        <v/>
      </c>
      <c r="EV589" s="0" t="str">
        <f aca="false">IF($A589="","",IF(ISNUMBER(MATCH(U589,{"queued","contacted","replied","call_booked","call_done","yes_in_principle","materials_sent"},0)),"Y","N"))</f>
        <v/>
      </c>
      <c r="EW589" s="0" t="str">
        <f aca="false">IF($A589="","",IF(OR(T589="Y",U589="do_not_contact",AQ589&amp;""&lt;&gt;""),"Y","N"))</f>
        <v/>
      </c>
      <c r="EX589" s="0" t="str">
        <f aca="false">IF($A589="","",IF(AN589&amp;""&lt;&gt;"",AN589&amp;"",$A589))</f>
        <v/>
      </c>
      <c r="EY589" s="0" t="str">
        <f aca="false">IF($A589="","",IF(COUNTIFS($EX$2:$EX$1000,EX589,$EV$2:$EV$1000,"Y")+COUNTIFS($EX$2:$EX$1000,EX589,$EW$2:$EW$1000,"Y")&gt;0,"Y","N"))</f>
        <v/>
      </c>
      <c r="EZ589" s="0" t="str">
        <f aca="false">IF($A589="","",IF(AND(U589="new",T589="N",EW589="N",AR589="Y",EY589="N"),"Y","N"))</f>
        <v/>
      </c>
      <c r="FA589" s="0" t="str">
        <f aca="false">IF($A589="","",IF(EZ589&lt;&gt;"Y","N",IF(COUNTIFS($EX$2:$EX$1000,EX589,$EZ$2:$EZ$1000,"Y",$J$2:$J$1000,"&gt;"&amp;J589)+COUNTIFS($EX$2:$EX$1000,EX589,$EZ$2:$EZ$1000,"Y",$J$2:$J$1000,J589,$FG$2:$FG$1000,"&lt;"&amp;FG589)=0,"Y","N")))</f>
        <v/>
      </c>
      <c r="FB589" s="0" t="str">
        <f aca="false">IF($A589="","",IF(AND(EZ589="Y",FA589="Y",Y589&amp;""&lt;&gt;""),IF(Y589&lt;=10,"Y","N"),"N"))</f>
        <v/>
      </c>
      <c r="FC589" s="0" t="str">
        <f aca="false">IF(FB589="Y",Y589,"")</f>
        <v/>
      </c>
      <c r="FD589" s="0" t="str">
        <f aca="false">IF($A589="","",IF(AND(CK589="pass",AU589="Y",AV589&lt;&gt;"Y",U589="new",EW589="N"),"Y","N"))</f>
        <v/>
      </c>
      <c r="FE589" s="0" t="str">
        <f aca="false">IF(FD589&lt;&gt;"Y","",IF(COUNTIFS($FD$2:$FD$1000,"Y",$J$2:$J$1000,"&gt;"&amp;J589)+COUNTIFS($FD$2:$FD$1000,"Y",$J$2:$J$1000,J589,$FG$2:$FG$1000,"&lt;"&amp;FG589)+1&lt;=30,COUNTIFS($FD$2:$FD$1000,"Y",$J$2:$J$1000,"&gt;"&amp;J589)+COUNTIFS($FD$2:$FD$1000,"Y",$J$2:$J$1000,J589,$FG$2:$FG$1000,"&lt;"&amp;FG589)+1,""))</f>
        <v/>
      </c>
      <c r="FF589" s="0" t="str">
        <f aca="false">IF(AND(_xlfn.ISFORMULA(C589),_xlfn.ISFORMULA(J589)),"Y","N")</f>
        <v>Y</v>
      </c>
      <c r="FG589" s="0" t="n">
        <f aca="false">ROW()-1</f>
        <v>588</v>
      </c>
    </row>
    <row r="590" customFormat="false" ht="15" hidden="false" customHeight="false" outlineLevel="0" collapsed="false">
      <c r="C590" s="0" t="str">
        <f aca="false">IF($A590="","",IF(AT590="Y",BL590&amp;"",AY590&amp;""))</f>
        <v/>
      </c>
      <c r="D590" s="0" t="str">
        <f aca="false">IF($A590="","",IF(AT590="Y",BM590&amp;"",AZ590&amp;""))</f>
        <v/>
      </c>
      <c r="E590" s="0" t="str">
        <f aca="false">IF($A590="","",IF(AT590="Y",BN590&amp;"",BA590&amp;""))</f>
        <v/>
      </c>
      <c r="F590" s="0" t="str">
        <f aca="false">IF($A590="","",IF(AT590="Y",BO590&amp;"",BB590&amp;""))</f>
        <v/>
      </c>
      <c r="G590" s="0" t="str">
        <f aca="false">IF($A590="","",IF(AT590="Y",BP590&amp;"",BC590&amp;""))</f>
        <v/>
      </c>
      <c r="H590" s="0" t="str">
        <f aca="false">IF($A590="","",IF(AT590="Y",BQ590&amp;"",BD590&amp;""))</f>
        <v/>
      </c>
      <c r="I590" s="0" t="str">
        <f aca="false">IF($A590="","",IF(R590="Y","warm-intro",IF(H590="verified","email",IF(C590&lt;&gt;"","linkedin",CA590&amp;""))))</f>
        <v/>
      </c>
      <c r="J590" s="0" t="str">
        <f aca="false">IF($A590="","",IF(CK590="pass",ROUND(N(DO590)+N(DP590)+N(DQ590)+N(DR590)+N(DS590)+N(DT590)+N(DU590)+N(DV590),0),0))</f>
        <v/>
      </c>
      <c r="K590" s="0" t="str">
        <f aca="false">IF($A590="","",IF(CK590&lt;&gt;"pass",BY590&amp;"",BY590&amp;", "&amp;IF(AT590="Y",BX590&amp;"",BK590&amp;"")&amp;BZ590&amp;IF(R590="Y","; known to the founder (+10)","")&amp;"."))</f>
        <v/>
      </c>
      <c r="R590" s="5"/>
      <c r="T590" s="5"/>
      <c r="U590" s="5"/>
      <c r="Y590" s="0" t="str">
        <f aca="false">IF(FA590&lt;&gt;"Y","",COUNTIFS($FA$2:$FA$1000,"Y",$J$2:$J$1000,"&gt;"&amp;J590)+COUNTIFS($FA$2:$FA$1000,"Y",$J$2:$J$1000,J590,$FG$2:$FG$1000,"&lt;"&amp;FG590)+1)</f>
        <v/>
      </c>
      <c r="AB590" s="0" t="str">
        <f aca="false">IF($A590="","",IF(AT590="Y",BW590&amp;"",BJ590&amp;""))</f>
        <v/>
      </c>
      <c r="AC590" s="0" t="str">
        <f aca="false">IF($A590="","",IF(AT590="Y",BR590&amp;"",BE590&amp;""))</f>
        <v/>
      </c>
      <c r="AD590" s="0" t="str">
        <f aca="false">IF($A590="","",IF(AT590="Y",BS590&amp;"",BF590&amp;""))</f>
        <v/>
      </c>
      <c r="AE590" s="0" t="str">
        <f aca="false">IF($A590="","",IF(AT590="Y",BT590&amp;"",BG590&amp;""))</f>
        <v/>
      </c>
      <c r="AF590" s="0" t="str">
        <f aca="false">IF($A590="","",IF(AT590="Y",BU590&amp;"",BH590&amp;""))</f>
        <v/>
      </c>
      <c r="AG590" s="0" t="str">
        <f aca="false">IF($A590="","",IF(AT590="Y",BV590&amp;"",BI590&amp;""))</f>
        <v/>
      </c>
      <c r="AO590" s="5"/>
      <c r="AR590" s="0" t="str">
        <f aca="false">IF($A590="","",IF(AND(CK590="pass",AO590&lt;&gt;"Y",C590&lt;&gt;"",OR(AU590&lt;&gt;"Y",AV590="Y")),"Y","N"))</f>
        <v/>
      </c>
      <c r="AS590" s="0" t="str">
        <f aca="false">IF($A590="","",_xlfn.TEXTJOIN("; ",TRUE(),IF(CK590&lt;&gt;"pass","gated out",""),IF(AO590="Y","on hold: "&amp;AP590,""),IF(C590="","no contact named on an opened page",""),IF(AND(AU590="Y",AV590&lt;&gt;"Y"),"founder review pending (Founder review tab)","")))</f>
        <v/>
      </c>
      <c r="BC590" s="0" t="str">
        <f aca="false">IF($A590="","",IFERROR(INDEX(Enrichment!$A$2:$GZ$2000,MATCH($A590,INDEX(Enrichment!$A$2:$GZ$2000,0,MATCH("row_id",Enrichment!$A$1:$GZ$1,0)),0),MATCH("work_email",Enrichment!$A$1:$GZ$1,0))&amp;"",""))</f>
        <v/>
      </c>
      <c r="BD590" s="0" t="str">
        <f aca="false">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P590" s="0" t="str">
        <f aca="false">IF($A590="","",IFERROR(INDEX(Enrichment!$A$2:$GZ$2000,MATCH($A590,INDEX(Enrichment!$A$2:$GZ$2000,0,MATCH("row_id",Enrichment!$A$1:$GZ$1,0)),0),MATCH("backup_work_email",Enrichment!$A$1:$GZ$1,0))&amp;"",""))</f>
        <v/>
      </c>
      <c r="BQ590" s="0" t="str">
        <f aca="false">IF($A590="","",IF(BP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DU590" s="0" t="str">
        <f aca="false">IF($A590="","",IF(R590="Y",10,0))</f>
        <v/>
      </c>
      <c r="EV590" s="0" t="str">
        <f aca="false">IF($A590="","",IF(ISNUMBER(MATCH(U590,{"queued","contacted","replied","call_booked","call_done","yes_in_principle","materials_sent"},0)),"Y","N"))</f>
        <v/>
      </c>
      <c r="EW590" s="0" t="str">
        <f aca="false">IF($A590="","",IF(OR(T590="Y",U590="do_not_contact",AQ590&amp;""&lt;&gt;""),"Y","N"))</f>
        <v/>
      </c>
      <c r="EX590" s="0" t="str">
        <f aca="false">IF($A590="","",IF(AN590&amp;""&lt;&gt;"",AN590&amp;"",$A590))</f>
        <v/>
      </c>
      <c r="EY590" s="0" t="str">
        <f aca="false">IF($A590="","",IF(COUNTIFS($EX$2:$EX$1000,EX590,$EV$2:$EV$1000,"Y")+COUNTIFS($EX$2:$EX$1000,EX590,$EW$2:$EW$1000,"Y")&gt;0,"Y","N"))</f>
        <v/>
      </c>
      <c r="EZ590" s="0" t="str">
        <f aca="false">IF($A590="","",IF(AND(U590="new",T590="N",EW590="N",AR590="Y",EY590="N"),"Y","N"))</f>
        <v/>
      </c>
      <c r="FA590" s="0" t="str">
        <f aca="false">IF($A590="","",IF(EZ590&lt;&gt;"Y","N",IF(COUNTIFS($EX$2:$EX$1000,EX590,$EZ$2:$EZ$1000,"Y",$J$2:$J$1000,"&gt;"&amp;J590)+COUNTIFS($EX$2:$EX$1000,EX590,$EZ$2:$EZ$1000,"Y",$J$2:$J$1000,J590,$FG$2:$FG$1000,"&lt;"&amp;FG590)=0,"Y","N")))</f>
        <v/>
      </c>
      <c r="FB590" s="0" t="str">
        <f aca="false">IF($A590="","",IF(AND(EZ590="Y",FA590="Y",Y590&amp;""&lt;&gt;""),IF(Y590&lt;=10,"Y","N"),"N"))</f>
        <v/>
      </c>
      <c r="FC590" s="0" t="str">
        <f aca="false">IF(FB590="Y",Y590,"")</f>
        <v/>
      </c>
      <c r="FD590" s="0" t="str">
        <f aca="false">IF($A590="","",IF(AND(CK590="pass",AU590="Y",AV590&lt;&gt;"Y",U590="new",EW590="N"),"Y","N"))</f>
        <v/>
      </c>
      <c r="FE590" s="0" t="str">
        <f aca="false">IF(FD590&lt;&gt;"Y","",IF(COUNTIFS($FD$2:$FD$1000,"Y",$J$2:$J$1000,"&gt;"&amp;J590)+COUNTIFS($FD$2:$FD$1000,"Y",$J$2:$J$1000,J590,$FG$2:$FG$1000,"&lt;"&amp;FG590)+1&lt;=30,COUNTIFS($FD$2:$FD$1000,"Y",$J$2:$J$1000,"&gt;"&amp;J590)+COUNTIFS($FD$2:$FD$1000,"Y",$J$2:$J$1000,J590,$FG$2:$FG$1000,"&lt;"&amp;FG590)+1,""))</f>
        <v/>
      </c>
      <c r="FF590" s="0" t="str">
        <f aca="false">IF(AND(_xlfn.ISFORMULA(C590),_xlfn.ISFORMULA(J590)),"Y","N")</f>
        <v>Y</v>
      </c>
      <c r="FG590" s="0" t="n">
        <f aca="false">ROW()-1</f>
        <v>589</v>
      </c>
    </row>
    <row r="591" customFormat="false" ht="15" hidden="false" customHeight="false" outlineLevel="0" collapsed="false">
      <c r="C591" s="0" t="str">
        <f aca="false">IF($A591="","",IF(AT591="Y",BL591&amp;"",AY591&amp;""))</f>
        <v/>
      </c>
      <c r="D591" s="0" t="str">
        <f aca="false">IF($A591="","",IF(AT591="Y",BM591&amp;"",AZ591&amp;""))</f>
        <v/>
      </c>
      <c r="E591" s="0" t="str">
        <f aca="false">IF($A591="","",IF(AT591="Y",BN591&amp;"",BA591&amp;""))</f>
        <v/>
      </c>
      <c r="F591" s="0" t="str">
        <f aca="false">IF($A591="","",IF(AT591="Y",BO591&amp;"",BB591&amp;""))</f>
        <v/>
      </c>
      <c r="G591" s="0" t="str">
        <f aca="false">IF($A591="","",IF(AT591="Y",BP591&amp;"",BC591&amp;""))</f>
        <v/>
      </c>
      <c r="H591" s="0" t="str">
        <f aca="false">IF($A591="","",IF(AT591="Y",BQ591&amp;"",BD591&amp;""))</f>
        <v/>
      </c>
      <c r="I591" s="0" t="str">
        <f aca="false">IF($A591="","",IF(R591="Y","warm-intro",IF(H591="verified","email",IF(C591&lt;&gt;"","linkedin",CA591&amp;""))))</f>
        <v/>
      </c>
      <c r="J591" s="0" t="str">
        <f aca="false">IF($A591="","",IF(CK591="pass",ROUND(N(DO591)+N(DP591)+N(DQ591)+N(DR591)+N(DS591)+N(DT591)+N(DU591)+N(DV591),0),0))</f>
        <v/>
      </c>
      <c r="K591" s="0" t="str">
        <f aca="false">IF($A591="","",IF(CK591&lt;&gt;"pass",BY591&amp;"",BY591&amp;", "&amp;IF(AT591="Y",BX591&amp;"",BK591&amp;"")&amp;BZ591&amp;IF(R591="Y","; known to the founder (+10)","")&amp;"."))</f>
        <v/>
      </c>
      <c r="R591" s="5"/>
      <c r="T591" s="5"/>
      <c r="U591" s="5"/>
      <c r="Y591" s="0" t="str">
        <f aca="false">IF(FA591&lt;&gt;"Y","",COUNTIFS($FA$2:$FA$1000,"Y",$J$2:$J$1000,"&gt;"&amp;J591)+COUNTIFS($FA$2:$FA$1000,"Y",$J$2:$J$1000,J591,$FG$2:$FG$1000,"&lt;"&amp;FG591)+1)</f>
        <v/>
      </c>
      <c r="AB591" s="0" t="str">
        <f aca="false">IF($A591="","",IF(AT591="Y",BW591&amp;"",BJ591&amp;""))</f>
        <v/>
      </c>
      <c r="AC591" s="0" t="str">
        <f aca="false">IF($A591="","",IF(AT591="Y",BR591&amp;"",BE591&amp;""))</f>
        <v/>
      </c>
      <c r="AD591" s="0" t="str">
        <f aca="false">IF($A591="","",IF(AT591="Y",BS591&amp;"",BF591&amp;""))</f>
        <v/>
      </c>
      <c r="AE591" s="0" t="str">
        <f aca="false">IF($A591="","",IF(AT591="Y",BT591&amp;"",BG591&amp;""))</f>
        <v/>
      </c>
      <c r="AF591" s="0" t="str">
        <f aca="false">IF($A591="","",IF(AT591="Y",BU591&amp;"",BH591&amp;""))</f>
        <v/>
      </c>
      <c r="AG591" s="0" t="str">
        <f aca="false">IF($A591="","",IF(AT591="Y",BV591&amp;"",BI591&amp;""))</f>
        <v/>
      </c>
      <c r="AO591" s="5"/>
      <c r="AR591" s="0" t="str">
        <f aca="false">IF($A591="","",IF(AND(CK591="pass",AO591&lt;&gt;"Y",C591&lt;&gt;"",OR(AU591&lt;&gt;"Y",AV591="Y")),"Y","N"))</f>
        <v/>
      </c>
      <c r="AS591" s="0" t="str">
        <f aca="false">IF($A591="","",_xlfn.TEXTJOIN("; ",TRUE(),IF(CK591&lt;&gt;"pass","gated out",""),IF(AO591="Y","on hold: "&amp;AP591,""),IF(C591="","no contact named on an opened page",""),IF(AND(AU591="Y",AV591&lt;&gt;"Y"),"founder review pending (Founder review tab)","")))</f>
        <v/>
      </c>
      <c r="BC591" s="0" t="str">
        <f aca="false">IF($A591="","",IFERROR(INDEX(Enrichment!$A$2:$GZ$2000,MATCH($A591,INDEX(Enrichment!$A$2:$GZ$2000,0,MATCH("row_id",Enrichment!$A$1:$GZ$1,0)),0),MATCH("work_email",Enrichment!$A$1:$GZ$1,0))&amp;"",""))</f>
        <v/>
      </c>
      <c r="BD591" s="0" t="str">
        <f aca="false">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P591" s="0" t="str">
        <f aca="false">IF($A591="","",IFERROR(INDEX(Enrichment!$A$2:$GZ$2000,MATCH($A591,INDEX(Enrichment!$A$2:$GZ$2000,0,MATCH("row_id",Enrichment!$A$1:$GZ$1,0)),0),MATCH("backup_work_email",Enrichment!$A$1:$GZ$1,0))&amp;"",""))</f>
        <v/>
      </c>
      <c r="BQ591" s="0" t="str">
        <f aca="false">IF($A591="","",IF(BP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DU591" s="0" t="str">
        <f aca="false">IF($A591="","",IF(R591="Y",10,0))</f>
        <v/>
      </c>
      <c r="EV591" s="0" t="str">
        <f aca="false">IF($A591="","",IF(ISNUMBER(MATCH(U591,{"queued","contacted","replied","call_booked","call_done","yes_in_principle","materials_sent"},0)),"Y","N"))</f>
        <v/>
      </c>
      <c r="EW591" s="0" t="str">
        <f aca="false">IF($A591="","",IF(OR(T591="Y",U591="do_not_contact",AQ591&amp;""&lt;&gt;""),"Y","N"))</f>
        <v/>
      </c>
      <c r="EX591" s="0" t="str">
        <f aca="false">IF($A591="","",IF(AN591&amp;""&lt;&gt;"",AN591&amp;"",$A591))</f>
        <v/>
      </c>
      <c r="EY591" s="0" t="str">
        <f aca="false">IF($A591="","",IF(COUNTIFS($EX$2:$EX$1000,EX591,$EV$2:$EV$1000,"Y")+COUNTIFS($EX$2:$EX$1000,EX591,$EW$2:$EW$1000,"Y")&gt;0,"Y","N"))</f>
        <v/>
      </c>
      <c r="EZ591" s="0" t="str">
        <f aca="false">IF($A591="","",IF(AND(U591="new",T591="N",EW591="N",AR591="Y",EY591="N"),"Y","N"))</f>
        <v/>
      </c>
      <c r="FA591" s="0" t="str">
        <f aca="false">IF($A591="","",IF(EZ591&lt;&gt;"Y","N",IF(COUNTIFS($EX$2:$EX$1000,EX591,$EZ$2:$EZ$1000,"Y",$J$2:$J$1000,"&gt;"&amp;J591)+COUNTIFS($EX$2:$EX$1000,EX591,$EZ$2:$EZ$1000,"Y",$J$2:$J$1000,J591,$FG$2:$FG$1000,"&lt;"&amp;FG591)=0,"Y","N")))</f>
        <v/>
      </c>
      <c r="FB591" s="0" t="str">
        <f aca="false">IF($A591="","",IF(AND(EZ591="Y",FA591="Y",Y591&amp;""&lt;&gt;""),IF(Y591&lt;=10,"Y","N"),"N"))</f>
        <v/>
      </c>
      <c r="FC591" s="0" t="str">
        <f aca="false">IF(FB591="Y",Y591,"")</f>
        <v/>
      </c>
      <c r="FD591" s="0" t="str">
        <f aca="false">IF($A591="","",IF(AND(CK591="pass",AU591="Y",AV591&lt;&gt;"Y",U591="new",EW591="N"),"Y","N"))</f>
        <v/>
      </c>
      <c r="FE591" s="0" t="str">
        <f aca="false">IF(FD591&lt;&gt;"Y","",IF(COUNTIFS($FD$2:$FD$1000,"Y",$J$2:$J$1000,"&gt;"&amp;J591)+COUNTIFS($FD$2:$FD$1000,"Y",$J$2:$J$1000,J591,$FG$2:$FG$1000,"&lt;"&amp;FG591)+1&lt;=30,COUNTIFS($FD$2:$FD$1000,"Y",$J$2:$J$1000,"&gt;"&amp;J591)+COUNTIFS($FD$2:$FD$1000,"Y",$J$2:$J$1000,J591,$FG$2:$FG$1000,"&lt;"&amp;FG591)+1,""))</f>
        <v/>
      </c>
      <c r="FF591" s="0" t="str">
        <f aca="false">IF(AND(_xlfn.ISFORMULA(C591),_xlfn.ISFORMULA(J591)),"Y","N")</f>
        <v>Y</v>
      </c>
      <c r="FG591" s="0" t="n">
        <f aca="false">ROW()-1</f>
        <v>590</v>
      </c>
    </row>
    <row r="592" customFormat="false" ht="15" hidden="false" customHeight="false" outlineLevel="0" collapsed="false">
      <c r="C592" s="0" t="str">
        <f aca="false">IF($A592="","",IF(AT592="Y",BL592&amp;"",AY592&amp;""))</f>
        <v/>
      </c>
      <c r="D592" s="0" t="str">
        <f aca="false">IF($A592="","",IF(AT592="Y",BM592&amp;"",AZ592&amp;""))</f>
        <v/>
      </c>
      <c r="E592" s="0" t="str">
        <f aca="false">IF($A592="","",IF(AT592="Y",BN592&amp;"",BA592&amp;""))</f>
        <v/>
      </c>
      <c r="F592" s="0" t="str">
        <f aca="false">IF($A592="","",IF(AT592="Y",BO592&amp;"",BB592&amp;""))</f>
        <v/>
      </c>
      <c r="G592" s="0" t="str">
        <f aca="false">IF($A592="","",IF(AT592="Y",BP592&amp;"",BC592&amp;""))</f>
        <v/>
      </c>
      <c r="H592" s="0" t="str">
        <f aca="false">IF($A592="","",IF(AT592="Y",BQ592&amp;"",BD592&amp;""))</f>
        <v/>
      </c>
      <c r="I592" s="0" t="str">
        <f aca="false">IF($A592="","",IF(R592="Y","warm-intro",IF(H592="verified","email",IF(C592&lt;&gt;"","linkedin",CA592&amp;""))))</f>
        <v/>
      </c>
      <c r="J592" s="0" t="str">
        <f aca="false">IF($A592="","",IF(CK592="pass",ROUND(N(DO592)+N(DP592)+N(DQ592)+N(DR592)+N(DS592)+N(DT592)+N(DU592)+N(DV592),0),0))</f>
        <v/>
      </c>
      <c r="K592" s="0" t="str">
        <f aca="false">IF($A592="","",IF(CK592&lt;&gt;"pass",BY592&amp;"",BY592&amp;", "&amp;IF(AT592="Y",BX592&amp;"",BK592&amp;"")&amp;BZ592&amp;IF(R592="Y","; known to the founder (+10)","")&amp;"."))</f>
        <v/>
      </c>
      <c r="R592" s="5"/>
      <c r="T592" s="5"/>
      <c r="U592" s="5"/>
      <c r="Y592" s="0" t="str">
        <f aca="false">IF(FA592&lt;&gt;"Y","",COUNTIFS($FA$2:$FA$1000,"Y",$J$2:$J$1000,"&gt;"&amp;J592)+COUNTIFS($FA$2:$FA$1000,"Y",$J$2:$J$1000,J592,$FG$2:$FG$1000,"&lt;"&amp;FG592)+1)</f>
        <v/>
      </c>
      <c r="AB592" s="0" t="str">
        <f aca="false">IF($A592="","",IF(AT592="Y",BW592&amp;"",BJ592&amp;""))</f>
        <v/>
      </c>
      <c r="AC592" s="0" t="str">
        <f aca="false">IF($A592="","",IF(AT592="Y",BR592&amp;"",BE592&amp;""))</f>
        <v/>
      </c>
      <c r="AD592" s="0" t="str">
        <f aca="false">IF($A592="","",IF(AT592="Y",BS592&amp;"",BF592&amp;""))</f>
        <v/>
      </c>
      <c r="AE592" s="0" t="str">
        <f aca="false">IF($A592="","",IF(AT592="Y",BT592&amp;"",BG592&amp;""))</f>
        <v/>
      </c>
      <c r="AF592" s="0" t="str">
        <f aca="false">IF($A592="","",IF(AT592="Y",BU592&amp;"",BH592&amp;""))</f>
        <v/>
      </c>
      <c r="AG592" s="0" t="str">
        <f aca="false">IF($A592="","",IF(AT592="Y",BV592&amp;"",BI592&amp;""))</f>
        <v/>
      </c>
      <c r="AO592" s="5"/>
      <c r="AR592" s="0" t="str">
        <f aca="false">IF($A592="","",IF(AND(CK592="pass",AO592&lt;&gt;"Y",C592&lt;&gt;"",OR(AU592&lt;&gt;"Y",AV592="Y")),"Y","N"))</f>
        <v/>
      </c>
      <c r="AS592" s="0" t="str">
        <f aca="false">IF($A592="","",_xlfn.TEXTJOIN("; ",TRUE(),IF(CK592&lt;&gt;"pass","gated out",""),IF(AO592="Y","on hold: "&amp;AP592,""),IF(C592="","no contact named on an opened page",""),IF(AND(AU592="Y",AV592&lt;&gt;"Y"),"founder review pending (Founder review tab)","")))</f>
        <v/>
      </c>
      <c r="BC592" s="0" t="str">
        <f aca="false">IF($A592="","",IFERROR(INDEX(Enrichment!$A$2:$GZ$2000,MATCH($A592,INDEX(Enrichment!$A$2:$GZ$2000,0,MATCH("row_id",Enrichment!$A$1:$GZ$1,0)),0),MATCH("work_email",Enrichment!$A$1:$GZ$1,0))&amp;"",""))</f>
        <v/>
      </c>
      <c r="BD592" s="0" t="str">
        <f aca="false">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P592" s="0" t="str">
        <f aca="false">IF($A592="","",IFERROR(INDEX(Enrichment!$A$2:$GZ$2000,MATCH($A592,INDEX(Enrichment!$A$2:$GZ$2000,0,MATCH("row_id",Enrichment!$A$1:$GZ$1,0)),0),MATCH("backup_work_email",Enrichment!$A$1:$GZ$1,0))&amp;"",""))</f>
        <v/>
      </c>
      <c r="BQ592" s="0" t="str">
        <f aca="false">IF($A592="","",IF(BP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DU592" s="0" t="str">
        <f aca="false">IF($A592="","",IF(R592="Y",10,0))</f>
        <v/>
      </c>
      <c r="EV592" s="0" t="str">
        <f aca="false">IF($A592="","",IF(ISNUMBER(MATCH(U592,{"queued","contacted","replied","call_booked","call_done","yes_in_principle","materials_sent"},0)),"Y","N"))</f>
        <v/>
      </c>
      <c r="EW592" s="0" t="str">
        <f aca="false">IF($A592="","",IF(OR(T592="Y",U592="do_not_contact",AQ592&amp;""&lt;&gt;""),"Y","N"))</f>
        <v/>
      </c>
      <c r="EX592" s="0" t="str">
        <f aca="false">IF($A592="","",IF(AN592&amp;""&lt;&gt;"",AN592&amp;"",$A592))</f>
        <v/>
      </c>
      <c r="EY592" s="0" t="str">
        <f aca="false">IF($A592="","",IF(COUNTIFS($EX$2:$EX$1000,EX592,$EV$2:$EV$1000,"Y")+COUNTIFS($EX$2:$EX$1000,EX592,$EW$2:$EW$1000,"Y")&gt;0,"Y","N"))</f>
        <v/>
      </c>
      <c r="EZ592" s="0" t="str">
        <f aca="false">IF($A592="","",IF(AND(U592="new",T592="N",EW592="N",AR592="Y",EY592="N"),"Y","N"))</f>
        <v/>
      </c>
      <c r="FA592" s="0" t="str">
        <f aca="false">IF($A592="","",IF(EZ592&lt;&gt;"Y","N",IF(COUNTIFS($EX$2:$EX$1000,EX592,$EZ$2:$EZ$1000,"Y",$J$2:$J$1000,"&gt;"&amp;J592)+COUNTIFS($EX$2:$EX$1000,EX592,$EZ$2:$EZ$1000,"Y",$J$2:$J$1000,J592,$FG$2:$FG$1000,"&lt;"&amp;FG592)=0,"Y","N")))</f>
        <v/>
      </c>
      <c r="FB592" s="0" t="str">
        <f aca="false">IF($A592="","",IF(AND(EZ592="Y",FA592="Y",Y592&amp;""&lt;&gt;""),IF(Y592&lt;=10,"Y","N"),"N"))</f>
        <v/>
      </c>
      <c r="FC592" s="0" t="str">
        <f aca="false">IF(FB592="Y",Y592,"")</f>
        <v/>
      </c>
      <c r="FD592" s="0" t="str">
        <f aca="false">IF($A592="","",IF(AND(CK592="pass",AU592="Y",AV592&lt;&gt;"Y",U592="new",EW592="N"),"Y","N"))</f>
        <v/>
      </c>
      <c r="FE592" s="0" t="str">
        <f aca="false">IF(FD592&lt;&gt;"Y","",IF(COUNTIFS($FD$2:$FD$1000,"Y",$J$2:$J$1000,"&gt;"&amp;J592)+COUNTIFS($FD$2:$FD$1000,"Y",$J$2:$J$1000,J592,$FG$2:$FG$1000,"&lt;"&amp;FG592)+1&lt;=30,COUNTIFS($FD$2:$FD$1000,"Y",$J$2:$J$1000,"&gt;"&amp;J592)+COUNTIFS($FD$2:$FD$1000,"Y",$J$2:$J$1000,J592,$FG$2:$FG$1000,"&lt;"&amp;FG592)+1,""))</f>
        <v/>
      </c>
      <c r="FF592" s="0" t="str">
        <f aca="false">IF(AND(_xlfn.ISFORMULA(C592),_xlfn.ISFORMULA(J592)),"Y","N")</f>
        <v>Y</v>
      </c>
      <c r="FG592" s="0" t="n">
        <f aca="false">ROW()-1</f>
        <v>591</v>
      </c>
    </row>
    <row r="593" customFormat="false" ht="15" hidden="false" customHeight="false" outlineLevel="0" collapsed="false">
      <c r="C593" s="0" t="str">
        <f aca="false">IF($A593="","",IF(AT593="Y",BL593&amp;"",AY593&amp;""))</f>
        <v/>
      </c>
      <c r="D593" s="0" t="str">
        <f aca="false">IF($A593="","",IF(AT593="Y",BM593&amp;"",AZ593&amp;""))</f>
        <v/>
      </c>
      <c r="E593" s="0" t="str">
        <f aca="false">IF($A593="","",IF(AT593="Y",BN593&amp;"",BA593&amp;""))</f>
        <v/>
      </c>
      <c r="F593" s="0" t="str">
        <f aca="false">IF($A593="","",IF(AT593="Y",BO593&amp;"",BB593&amp;""))</f>
        <v/>
      </c>
      <c r="G593" s="0" t="str">
        <f aca="false">IF($A593="","",IF(AT593="Y",BP593&amp;"",BC593&amp;""))</f>
        <v/>
      </c>
      <c r="H593" s="0" t="str">
        <f aca="false">IF($A593="","",IF(AT593="Y",BQ593&amp;"",BD593&amp;""))</f>
        <v/>
      </c>
      <c r="I593" s="0" t="str">
        <f aca="false">IF($A593="","",IF(R593="Y","warm-intro",IF(H593="verified","email",IF(C593&lt;&gt;"","linkedin",CA593&amp;""))))</f>
        <v/>
      </c>
      <c r="J593" s="0" t="str">
        <f aca="false">IF($A593="","",IF(CK593="pass",ROUND(N(DO593)+N(DP593)+N(DQ593)+N(DR593)+N(DS593)+N(DT593)+N(DU593)+N(DV593),0),0))</f>
        <v/>
      </c>
      <c r="K593" s="0" t="str">
        <f aca="false">IF($A593="","",IF(CK593&lt;&gt;"pass",BY593&amp;"",BY593&amp;", "&amp;IF(AT593="Y",BX593&amp;"",BK593&amp;"")&amp;BZ593&amp;IF(R593="Y","; known to the founder (+10)","")&amp;"."))</f>
        <v/>
      </c>
      <c r="R593" s="5"/>
      <c r="T593" s="5"/>
      <c r="U593" s="5"/>
      <c r="Y593" s="0" t="str">
        <f aca="false">IF(FA593&lt;&gt;"Y","",COUNTIFS($FA$2:$FA$1000,"Y",$J$2:$J$1000,"&gt;"&amp;J593)+COUNTIFS($FA$2:$FA$1000,"Y",$J$2:$J$1000,J593,$FG$2:$FG$1000,"&lt;"&amp;FG593)+1)</f>
        <v/>
      </c>
      <c r="AB593" s="0" t="str">
        <f aca="false">IF($A593="","",IF(AT593="Y",BW593&amp;"",BJ593&amp;""))</f>
        <v/>
      </c>
      <c r="AC593" s="0" t="str">
        <f aca="false">IF($A593="","",IF(AT593="Y",BR593&amp;"",BE593&amp;""))</f>
        <v/>
      </c>
      <c r="AD593" s="0" t="str">
        <f aca="false">IF($A593="","",IF(AT593="Y",BS593&amp;"",BF593&amp;""))</f>
        <v/>
      </c>
      <c r="AE593" s="0" t="str">
        <f aca="false">IF($A593="","",IF(AT593="Y",BT593&amp;"",BG593&amp;""))</f>
        <v/>
      </c>
      <c r="AF593" s="0" t="str">
        <f aca="false">IF($A593="","",IF(AT593="Y",BU593&amp;"",BH593&amp;""))</f>
        <v/>
      </c>
      <c r="AG593" s="0" t="str">
        <f aca="false">IF($A593="","",IF(AT593="Y",BV593&amp;"",BI593&amp;""))</f>
        <v/>
      </c>
      <c r="AO593" s="5"/>
      <c r="AR593" s="0" t="str">
        <f aca="false">IF($A593="","",IF(AND(CK593="pass",AO593&lt;&gt;"Y",C593&lt;&gt;"",OR(AU593&lt;&gt;"Y",AV593="Y")),"Y","N"))</f>
        <v/>
      </c>
      <c r="AS593" s="0" t="str">
        <f aca="false">IF($A593="","",_xlfn.TEXTJOIN("; ",TRUE(),IF(CK593&lt;&gt;"pass","gated out",""),IF(AO593="Y","on hold: "&amp;AP593,""),IF(C593="","no contact named on an opened page",""),IF(AND(AU593="Y",AV593&lt;&gt;"Y"),"founder review pending (Founder review tab)","")))</f>
        <v/>
      </c>
      <c r="BC593" s="0" t="str">
        <f aca="false">IF($A593="","",IFERROR(INDEX(Enrichment!$A$2:$GZ$2000,MATCH($A593,INDEX(Enrichment!$A$2:$GZ$2000,0,MATCH("row_id",Enrichment!$A$1:$GZ$1,0)),0),MATCH("work_email",Enrichment!$A$1:$GZ$1,0))&amp;"",""))</f>
        <v/>
      </c>
      <c r="BD593" s="0" t="str">
        <f aca="false">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P593" s="0" t="str">
        <f aca="false">IF($A593="","",IFERROR(INDEX(Enrichment!$A$2:$GZ$2000,MATCH($A593,INDEX(Enrichment!$A$2:$GZ$2000,0,MATCH("row_id",Enrichment!$A$1:$GZ$1,0)),0),MATCH("backup_work_email",Enrichment!$A$1:$GZ$1,0))&amp;"",""))</f>
        <v/>
      </c>
      <c r="BQ593" s="0" t="str">
        <f aca="false">IF($A593="","",IF(BP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DU593" s="0" t="str">
        <f aca="false">IF($A593="","",IF(R593="Y",10,0))</f>
        <v/>
      </c>
      <c r="EV593" s="0" t="str">
        <f aca="false">IF($A593="","",IF(ISNUMBER(MATCH(U593,{"queued","contacted","replied","call_booked","call_done","yes_in_principle","materials_sent"},0)),"Y","N"))</f>
        <v/>
      </c>
      <c r="EW593" s="0" t="str">
        <f aca="false">IF($A593="","",IF(OR(T593="Y",U593="do_not_contact",AQ593&amp;""&lt;&gt;""),"Y","N"))</f>
        <v/>
      </c>
      <c r="EX593" s="0" t="str">
        <f aca="false">IF($A593="","",IF(AN593&amp;""&lt;&gt;"",AN593&amp;"",$A593))</f>
        <v/>
      </c>
      <c r="EY593" s="0" t="str">
        <f aca="false">IF($A593="","",IF(COUNTIFS($EX$2:$EX$1000,EX593,$EV$2:$EV$1000,"Y")+COUNTIFS($EX$2:$EX$1000,EX593,$EW$2:$EW$1000,"Y")&gt;0,"Y","N"))</f>
        <v/>
      </c>
      <c r="EZ593" s="0" t="str">
        <f aca="false">IF($A593="","",IF(AND(U593="new",T593="N",EW593="N",AR593="Y",EY593="N"),"Y","N"))</f>
        <v/>
      </c>
      <c r="FA593" s="0" t="str">
        <f aca="false">IF($A593="","",IF(EZ593&lt;&gt;"Y","N",IF(COUNTIFS($EX$2:$EX$1000,EX593,$EZ$2:$EZ$1000,"Y",$J$2:$J$1000,"&gt;"&amp;J593)+COUNTIFS($EX$2:$EX$1000,EX593,$EZ$2:$EZ$1000,"Y",$J$2:$J$1000,J593,$FG$2:$FG$1000,"&lt;"&amp;FG593)=0,"Y","N")))</f>
        <v/>
      </c>
      <c r="FB593" s="0" t="str">
        <f aca="false">IF($A593="","",IF(AND(EZ593="Y",FA593="Y",Y593&amp;""&lt;&gt;""),IF(Y593&lt;=10,"Y","N"),"N"))</f>
        <v/>
      </c>
      <c r="FC593" s="0" t="str">
        <f aca="false">IF(FB593="Y",Y593,"")</f>
        <v/>
      </c>
      <c r="FD593" s="0" t="str">
        <f aca="false">IF($A593="","",IF(AND(CK593="pass",AU593="Y",AV593&lt;&gt;"Y",U593="new",EW593="N"),"Y","N"))</f>
        <v/>
      </c>
      <c r="FE593" s="0" t="str">
        <f aca="false">IF(FD593&lt;&gt;"Y","",IF(COUNTIFS($FD$2:$FD$1000,"Y",$J$2:$J$1000,"&gt;"&amp;J593)+COUNTIFS($FD$2:$FD$1000,"Y",$J$2:$J$1000,J593,$FG$2:$FG$1000,"&lt;"&amp;FG593)+1&lt;=30,COUNTIFS($FD$2:$FD$1000,"Y",$J$2:$J$1000,"&gt;"&amp;J593)+COUNTIFS($FD$2:$FD$1000,"Y",$J$2:$J$1000,J593,$FG$2:$FG$1000,"&lt;"&amp;FG593)+1,""))</f>
        <v/>
      </c>
      <c r="FF593" s="0" t="str">
        <f aca="false">IF(AND(_xlfn.ISFORMULA(C593),_xlfn.ISFORMULA(J593)),"Y","N")</f>
        <v>Y</v>
      </c>
      <c r="FG593" s="0" t="n">
        <f aca="false">ROW()-1</f>
        <v>592</v>
      </c>
    </row>
    <row r="594" customFormat="false" ht="15" hidden="false" customHeight="false" outlineLevel="0" collapsed="false">
      <c r="C594" s="0" t="str">
        <f aca="false">IF($A594="","",IF(AT594="Y",BL594&amp;"",AY594&amp;""))</f>
        <v/>
      </c>
      <c r="D594" s="0" t="str">
        <f aca="false">IF($A594="","",IF(AT594="Y",BM594&amp;"",AZ594&amp;""))</f>
        <v/>
      </c>
      <c r="E594" s="0" t="str">
        <f aca="false">IF($A594="","",IF(AT594="Y",BN594&amp;"",BA594&amp;""))</f>
        <v/>
      </c>
      <c r="F594" s="0" t="str">
        <f aca="false">IF($A594="","",IF(AT594="Y",BO594&amp;"",BB594&amp;""))</f>
        <v/>
      </c>
      <c r="G594" s="0" t="str">
        <f aca="false">IF($A594="","",IF(AT594="Y",BP594&amp;"",BC594&amp;""))</f>
        <v/>
      </c>
      <c r="H594" s="0" t="str">
        <f aca="false">IF($A594="","",IF(AT594="Y",BQ594&amp;"",BD594&amp;""))</f>
        <v/>
      </c>
      <c r="I594" s="0" t="str">
        <f aca="false">IF($A594="","",IF(R594="Y","warm-intro",IF(H594="verified","email",IF(C594&lt;&gt;"","linkedin",CA594&amp;""))))</f>
        <v/>
      </c>
      <c r="J594" s="0" t="str">
        <f aca="false">IF($A594="","",IF(CK594="pass",ROUND(N(DO594)+N(DP594)+N(DQ594)+N(DR594)+N(DS594)+N(DT594)+N(DU594)+N(DV594),0),0))</f>
        <v/>
      </c>
      <c r="K594" s="0" t="str">
        <f aca="false">IF($A594="","",IF(CK594&lt;&gt;"pass",BY594&amp;"",BY594&amp;", "&amp;IF(AT594="Y",BX594&amp;"",BK594&amp;"")&amp;BZ594&amp;IF(R594="Y","; known to the founder (+10)","")&amp;"."))</f>
        <v/>
      </c>
      <c r="R594" s="5"/>
      <c r="T594" s="5"/>
      <c r="U594" s="5"/>
      <c r="Y594" s="0" t="str">
        <f aca="false">IF(FA594&lt;&gt;"Y","",COUNTIFS($FA$2:$FA$1000,"Y",$J$2:$J$1000,"&gt;"&amp;J594)+COUNTIFS($FA$2:$FA$1000,"Y",$J$2:$J$1000,J594,$FG$2:$FG$1000,"&lt;"&amp;FG594)+1)</f>
        <v/>
      </c>
      <c r="AB594" s="0" t="str">
        <f aca="false">IF($A594="","",IF(AT594="Y",BW594&amp;"",BJ594&amp;""))</f>
        <v/>
      </c>
      <c r="AC594" s="0" t="str">
        <f aca="false">IF($A594="","",IF(AT594="Y",BR594&amp;"",BE594&amp;""))</f>
        <v/>
      </c>
      <c r="AD594" s="0" t="str">
        <f aca="false">IF($A594="","",IF(AT594="Y",BS594&amp;"",BF594&amp;""))</f>
        <v/>
      </c>
      <c r="AE594" s="0" t="str">
        <f aca="false">IF($A594="","",IF(AT594="Y",BT594&amp;"",BG594&amp;""))</f>
        <v/>
      </c>
      <c r="AF594" s="0" t="str">
        <f aca="false">IF($A594="","",IF(AT594="Y",BU594&amp;"",BH594&amp;""))</f>
        <v/>
      </c>
      <c r="AG594" s="0" t="str">
        <f aca="false">IF($A594="","",IF(AT594="Y",BV594&amp;"",BI594&amp;""))</f>
        <v/>
      </c>
      <c r="AO594" s="5"/>
      <c r="AR594" s="0" t="str">
        <f aca="false">IF($A594="","",IF(AND(CK594="pass",AO594&lt;&gt;"Y",C594&lt;&gt;"",OR(AU594&lt;&gt;"Y",AV594="Y")),"Y","N"))</f>
        <v/>
      </c>
      <c r="AS594" s="0" t="str">
        <f aca="false">IF($A594="","",_xlfn.TEXTJOIN("; ",TRUE(),IF(CK594&lt;&gt;"pass","gated out",""),IF(AO594="Y","on hold: "&amp;AP594,""),IF(C594="","no contact named on an opened page",""),IF(AND(AU594="Y",AV594&lt;&gt;"Y"),"founder review pending (Founder review tab)","")))</f>
        <v/>
      </c>
      <c r="BC594" s="0" t="str">
        <f aca="false">IF($A594="","",IFERROR(INDEX(Enrichment!$A$2:$GZ$2000,MATCH($A594,INDEX(Enrichment!$A$2:$GZ$2000,0,MATCH("row_id",Enrichment!$A$1:$GZ$1,0)),0),MATCH("work_email",Enrichment!$A$1:$GZ$1,0))&amp;"",""))</f>
        <v/>
      </c>
      <c r="BD594" s="0" t="str">
        <f aca="false">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P594" s="0" t="str">
        <f aca="false">IF($A594="","",IFERROR(INDEX(Enrichment!$A$2:$GZ$2000,MATCH($A594,INDEX(Enrichment!$A$2:$GZ$2000,0,MATCH("row_id",Enrichment!$A$1:$GZ$1,0)),0),MATCH("backup_work_email",Enrichment!$A$1:$GZ$1,0))&amp;"",""))</f>
        <v/>
      </c>
      <c r="BQ594" s="0" t="str">
        <f aca="false">IF($A594="","",IF(BP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DU594" s="0" t="str">
        <f aca="false">IF($A594="","",IF(R594="Y",10,0))</f>
        <v/>
      </c>
      <c r="EV594" s="0" t="str">
        <f aca="false">IF($A594="","",IF(ISNUMBER(MATCH(U594,{"queued","contacted","replied","call_booked","call_done","yes_in_principle","materials_sent"},0)),"Y","N"))</f>
        <v/>
      </c>
      <c r="EW594" s="0" t="str">
        <f aca="false">IF($A594="","",IF(OR(T594="Y",U594="do_not_contact",AQ594&amp;""&lt;&gt;""),"Y","N"))</f>
        <v/>
      </c>
      <c r="EX594" s="0" t="str">
        <f aca="false">IF($A594="","",IF(AN594&amp;""&lt;&gt;"",AN594&amp;"",$A594))</f>
        <v/>
      </c>
      <c r="EY594" s="0" t="str">
        <f aca="false">IF($A594="","",IF(COUNTIFS($EX$2:$EX$1000,EX594,$EV$2:$EV$1000,"Y")+COUNTIFS($EX$2:$EX$1000,EX594,$EW$2:$EW$1000,"Y")&gt;0,"Y","N"))</f>
        <v/>
      </c>
      <c r="EZ594" s="0" t="str">
        <f aca="false">IF($A594="","",IF(AND(U594="new",T594="N",EW594="N",AR594="Y",EY594="N"),"Y","N"))</f>
        <v/>
      </c>
      <c r="FA594" s="0" t="str">
        <f aca="false">IF($A594="","",IF(EZ594&lt;&gt;"Y","N",IF(COUNTIFS($EX$2:$EX$1000,EX594,$EZ$2:$EZ$1000,"Y",$J$2:$J$1000,"&gt;"&amp;J594)+COUNTIFS($EX$2:$EX$1000,EX594,$EZ$2:$EZ$1000,"Y",$J$2:$J$1000,J594,$FG$2:$FG$1000,"&lt;"&amp;FG594)=0,"Y","N")))</f>
        <v/>
      </c>
      <c r="FB594" s="0" t="str">
        <f aca="false">IF($A594="","",IF(AND(EZ594="Y",FA594="Y",Y594&amp;""&lt;&gt;""),IF(Y594&lt;=10,"Y","N"),"N"))</f>
        <v/>
      </c>
      <c r="FC594" s="0" t="str">
        <f aca="false">IF(FB594="Y",Y594,"")</f>
        <v/>
      </c>
      <c r="FD594" s="0" t="str">
        <f aca="false">IF($A594="","",IF(AND(CK594="pass",AU594="Y",AV594&lt;&gt;"Y",U594="new",EW594="N"),"Y","N"))</f>
        <v/>
      </c>
      <c r="FE594" s="0" t="str">
        <f aca="false">IF(FD594&lt;&gt;"Y","",IF(COUNTIFS($FD$2:$FD$1000,"Y",$J$2:$J$1000,"&gt;"&amp;J594)+COUNTIFS($FD$2:$FD$1000,"Y",$J$2:$J$1000,J594,$FG$2:$FG$1000,"&lt;"&amp;FG594)+1&lt;=30,COUNTIFS($FD$2:$FD$1000,"Y",$J$2:$J$1000,"&gt;"&amp;J594)+COUNTIFS($FD$2:$FD$1000,"Y",$J$2:$J$1000,J594,$FG$2:$FG$1000,"&lt;"&amp;FG594)+1,""))</f>
        <v/>
      </c>
      <c r="FF594" s="0" t="str">
        <f aca="false">IF(AND(_xlfn.ISFORMULA(C594),_xlfn.ISFORMULA(J594)),"Y","N")</f>
        <v>Y</v>
      </c>
      <c r="FG594" s="0" t="n">
        <f aca="false">ROW()-1</f>
        <v>593</v>
      </c>
    </row>
    <row r="595" customFormat="false" ht="15" hidden="false" customHeight="false" outlineLevel="0" collapsed="false">
      <c r="C595" s="0" t="str">
        <f aca="false">IF($A595="","",IF(AT595="Y",BL595&amp;"",AY595&amp;""))</f>
        <v/>
      </c>
      <c r="D595" s="0" t="str">
        <f aca="false">IF($A595="","",IF(AT595="Y",BM595&amp;"",AZ595&amp;""))</f>
        <v/>
      </c>
      <c r="E595" s="0" t="str">
        <f aca="false">IF($A595="","",IF(AT595="Y",BN595&amp;"",BA595&amp;""))</f>
        <v/>
      </c>
      <c r="F595" s="0" t="str">
        <f aca="false">IF($A595="","",IF(AT595="Y",BO595&amp;"",BB595&amp;""))</f>
        <v/>
      </c>
      <c r="G595" s="0" t="str">
        <f aca="false">IF($A595="","",IF(AT595="Y",BP595&amp;"",BC595&amp;""))</f>
        <v/>
      </c>
      <c r="H595" s="0" t="str">
        <f aca="false">IF($A595="","",IF(AT595="Y",BQ595&amp;"",BD595&amp;""))</f>
        <v/>
      </c>
      <c r="I595" s="0" t="str">
        <f aca="false">IF($A595="","",IF(R595="Y","warm-intro",IF(H595="verified","email",IF(C595&lt;&gt;"","linkedin",CA595&amp;""))))</f>
        <v/>
      </c>
      <c r="J595" s="0" t="str">
        <f aca="false">IF($A595="","",IF(CK595="pass",ROUND(N(DO595)+N(DP595)+N(DQ595)+N(DR595)+N(DS595)+N(DT595)+N(DU595)+N(DV595),0),0))</f>
        <v/>
      </c>
      <c r="K595" s="0" t="str">
        <f aca="false">IF($A595="","",IF(CK595&lt;&gt;"pass",BY595&amp;"",BY595&amp;", "&amp;IF(AT595="Y",BX595&amp;"",BK595&amp;"")&amp;BZ595&amp;IF(R595="Y","; known to the founder (+10)","")&amp;"."))</f>
        <v/>
      </c>
      <c r="R595" s="5"/>
      <c r="T595" s="5"/>
      <c r="U595" s="5"/>
      <c r="Y595" s="0" t="str">
        <f aca="false">IF(FA595&lt;&gt;"Y","",COUNTIFS($FA$2:$FA$1000,"Y",$J$2:$J$1000,"&gt;"&amp;J595)+COUNTIFS($FA$2:$FA$1000,"Y",$J$2:$J$1000,J595,$FG$2:$FG$1000,"&lt;"&amp;FG595)+1)</f>
        <v/>
      </c>
      <c r="AB595" s="0" t="str">
        <f aca="false">IF($A595="","",IF(AT595="Y",BW595&amp;"",BJ595&amp;""))</f>
        <v/>
      </c>
      <c r="AC595" s="0" t="str">
        <f aca="false">IF($A595="","",IF(AT595="Y",BR595&amp;"",BE595&amp;""))</f>
        <v/>
      </c>
      <c r="AD595" s="0" t="str">
        <f aca="false">IF($A595="","",IF(AT595="Y",BS595&amp;"",BF595&amp;""))</f>
        <v/>
      </c>
      <c r="AE595" s="0" t="str">
        <f aca="false">IF($A595="","",IF(AT595="Y",BT595&amp;"",BG595&amp;""))</f>
        <v/>
      </c>
      <c r="AF595" s="0" t="str">
        <f aca="false">IF($A595="","",IF(AT595="Y",BU595&amp;"",BH595&amp;""))</f>
        <v/>
      </c>
      <c r="AG595" s="0" t="str">
        <f aca="false">IF($A595="","",IF(AT595="Y",BV595&amp;"",BI595&amp;""))</f>
        <v/>
      </c>
      <c r="AO595" s="5"/>
      <c r="AR595" s="0" t="str">
        <f aca="false">IF($A595="","",IF(AND(CK595="pass",AO595&lt;&gt;"Y",C595&lt;&gt;"",OR(AU595&lt;&gt;"Y",AV595="Y")),"Y","N"))</f>
        <v/>
      </c>
      <c r="AS595" s="0" t="str">
        <f aca="false">IF($A595="","",_xlfn.TEXTJOIN("; ",TRUE(),IF(CK595&lt;&gt;"pass","gated out",""),IF(AO595="Y","on hold: "&amp;AP595,""),IF(C595="","no contact named on an opened page",""),IF(AND(AU595="Y",AV595&lt;&gt;"Y"),"founder review pending (Founder review tab)","")))</f>
        <v/>
      </c>
      <c r="BC595" s="0" t="str">
        <f aca="false">IF($A595="","",IFERROR(INDEX(Enrichment!$A$2:$GZ$2000,MATCH($A595,INDEX(Enrichment!$A$2:$GZ$2000,0,MATCH("row_id",Enrichment!$A$1:$GZ$1,0)),0),MATCH("work_email",Enrichment!$A$1:$GZ$1,0))&amp;"",""))</f>
        <v/>
      </c>
      <c r="BD595" s="0" t="str">
        <f aca="false">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P595" s="0" t="str">
        <f aca="false">IF($A595="","",IFERROR(INDEX(Enrichment!$A$2:$GZ$2000,MATCH($A595,INDEX(Enrichment!$A$2:$GZ$2000,0,MATCH("row_id",Enrichment!$A$1:$GZ$1,0)),0),MATCH("backup_work_email",Enrichment!$A$1:$GZ$1,0))&amp;"",""))</f>
        <v/>
      </c>
      <c r="BQ595" s="0" t="str">
        <f aca="false">IF($A595="","",IF(BP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DU595" s="0" t="str">
        <f aca="false">IF($A595="","",IF(R595="Y",10,0))</f>
        <v/>
      </c>
      <c r="EV595" s="0" t="str">
        <f aca="false">IF($A595="","",IF(ISNUMBER(MATCH(U595,{"queued","contacted","replied","call_booked","call_done","yes_in_principle","materials_sent"},0)),"Y","N"))</f>
        <v/>
      </c>
      <c r="EW595" s="0" t="str">
        <f aca="false">IF($A595="","",IF(OR(T595="Y",U595="do_not_contact",AQ595&amp;""&lt;&gt;""),"Y","N"))</f>
        <v/>
      </c>
      <c r="EX595" s="0" t="str">
        <f aca="false">IF($A595="","",IF(AN595&amp;""&lt;&gt;"",AN595&amp;"",$A595))</f>
        <v/>
      </c>
      <c r="EY595" s="0" t="str">
        <f aca="false">IF($A595="","",IF(COUNTIFS($EX$2:$EX$1000,EX595,$EV$2:$EV$1000,"Y")+COUNTIFS($EX$2:$EX$1000,EX595,$EW$2:$EW$1000,"Y")&gt;0,"Y","N"))</f>
        <v/>
      </c>
      <c r="EZ595" s="0" t="str">
        <f aca="false">IF($A595="","",IF(AND(U595="new",T595="N",EW595="N",AR595="Y",EY595="N"),"Y","N"))</f>
        <v/>
      </c>
      <c r="FA595" s="0" t="str">
        <f aca="false">IF($A595="","",IF(EZ595&lt;&gt;"Y","N",IF(COUNTIFS($EX$2:$EX$1000,EX595,$EZ$2:$EZ$1000,"Y",$J$2:$J$1000,"&gt;"&amp;J595)+COUNTIFS($EX$2:$EX$1000,EX595,$EZ$2:$EZ$1000,"Y",$J$2:$J$1000,J595,$FG$2:$FG$1000,"&lt;"&amp;FG595)=0,"Y","N")))</f>
        <v/>
      </c>
      <c r="FB595" s="0" t="str">
        <f aca="false">IF($A595="","",IF(AND(EZ595="Y",FA595="Y",Y595&amp;""&lt;&gt;""),IF(Y595&lt;=10,"Y","N"),"N"))</f>
        <v/>
      </c>
      <c r="FC595" s="0" t="str">
        <f aca="false">IF(FB595="Y",Y595,"")</f>
        <v/>
      </c>
      <c r="FD595" s="0" t="str">
        <f aca="false">IF($A595="","",IF(AND(CK595="pass",AU595="Y",AV595&lt;&gt;"Y",U595="new",EW595="N"),"Y","N"))</f>
        <v/>
      </c>
      <c r="FE595" s="0" t="str">
        <f aca="false">IF(FD595&lt;&gt;"Y","",IF(COUNTIFS($FD$2:$FD$1000,"Y",$J$2:$J$1000,"&gt;"&amp;J595)+COUNTIFS($FD$2:$FD$1000,"Y",$J$2:$J$1000,J595,$FG$2:$FG$1000,"&lt;"&amp;FG595)+1&lt;=30,COUNTIFS($FD$2:$FD$1000,"Y",$J$2:$J$1000,"&gt;"&amp;J595)+COUNTIFS($FD$2:$FD$1000,"Y",$J$2:$J$1000,J595,$FG$2:$FG$1000,"&lt;"&amp;FG595)+1,""))</f>
        <v/>
      </c>
      <c r="FF595" s="0" t="str">
        <f aca="false">IF(AND(_xlfn.ISFORMULA(C595),_xlfn.ISFORMULA(J595)),"Y","N")</f>
        <v>Y</v>
      </c>
      <c r="FG595" s="0" t="n">
        <f aca="false">ROW()-1</f>
        <v>594</v>
      </c>
    </row>
    <row r="596" customFormat="false" ht="15" hidden="false" customHeight="false" outlineLevel="0" collapsed="false">
      <c r="C596" s="0" t="str">
        <f aca="false">IF($A596="","",IF(AT596="Y",BL596&amp;"",AY596&amp;""))</f>
        <v/>
      </c>
      <c r="D596" s="0" t="str">
        <f aca="false">IF($A596="","",IF(AT596="Y",BM596&amp;"",AZ596&amp;""))</f>
        <v/>
      </c>
      <c r="E596" s="0" t="str">
        <f aca="false">IF($A596="","",IF(AT596="Y",BN596&amp;"",BA596&amp;""))</f>
        <v/>
      </c>
      <c r="F596" s="0" t="str">
        <f aca="false">IF($A596="","",IF(AT596="Y",BO596&amp;"",BB596&amp;""))</f>
        <v/>
      </c>
      <c r="G596" s="0" t="str">
        <f aca="false">IF($A596="","",IF(AT596="Y",BP596&amp;"",BC596&amp;""))</f>
        <v/>
      </c>
      <c r="H596" s="0" t="str">
        <f aca="false">IF($A596="","",IF(AT596="Y",BQ596&amp;"",BD596&amp;""))</f>
        <v/>
      </c>
      <c r="I596" s="0" t="str">
        <f aca="false">IF($A596="","",IF(R596="Y","warm-intro",IF(H596="verified","email",IF(C596&lt;&gt;"","linkedin",CA596&amp;""))))</f>
        <v/>
      </c>
      <c r="J596" s="0" t="str">
        <f aca="false">IF($A596="","",IF(CK596="pass",ROUND(N(DO596)+N(DP596)+N(DQ596)+N(DR596)+N(DS596)+N(DT596)+N(DU596)+N(DV596),0),0))</f>
        <v/>
      </c>
      <c r="K596" s="0" t="str">
        <f aca="false">IF($A596="","",IF(CK596&lt;&gt;"pass",BY596&amp;"",BY596&amp;", "&amp;IF(AT596="Y",BX596&amp;"",BK596&amp;"")&amp;BZ596&amp;IF(R596="Y","; known to the founder (+10)","")&amp;"."))</f>
        <v/>
      </c>
      <c r="R596" s="5"/>
      <c r="T596" s="5"/>
      <c r="U596" s="5"/>
      <c r="Y596" s="0" t="str">
        <f aca="false">IF(FA596&lt;&gt;"Y","",COUNTIFS($FA$2:$FA$1000,"Y",$J$2:$J$1000,"&gt;"&amp;J596)+COUNTIFS($FA$2:$FA$1000,"Y",$J$2:$J$1000,J596,$FG$2:$FG$1000,"&lt;"&amp;FG596)+1)</f>
        <v/>
      </c>
      <c r="AB596" s="0" t="str">
        <f aca="false">IF($A596="","",IF(AT596="Y",BW596&amp;"",BJ596&amp;""))</f>
        <v/>
      </c>
      <c r="AC596" s="0" t="str">
        <f aca="false">IF($A596="","",IF(AT596="Y",BR596&amp;"",BE596&amp;""))</f>
        <v/>
      </c>
      <c r="AD596" s="0" t="str">
        <f aca="false">IF($A596="","",IF(AT596="Y",BS596&amp;"",BF596&amp;""))</f>
        <v/>
      </c>
      <c r="AE596" s="0" t="str">
        <f aca="false">IF($A596="","",IF(AT596="Y",BT596&amp;"",BG596&amp;""))</f>
        <v/>
      </c>
      <c r="AF596" s="0" t="str">
        <f aca="false">IF($A596="","",IF(AT596="Y",BU596&amp;"",BH596&amp;""))</f>
        <v/>
      </c>
      <c r="AG596" s="0" t="str">
        <f aca="false">IF($A596="","",IF(AT596="Y",BV596&amp;"",BI596&amp;""))</f>
        <v/>
      </c>
      <c r="AO596" s="5"/>
      <c r="AR596" s="0" t="str">
        <f aca="false">IF($A596="","",IF(AND(CK596="pass",AO596&lt;&gt;"Y",C596&lt;&gt;"",OR(AU596&lt;&gt;"Y",AV596="Y")),"Y","N"))</f>
        <v/>
      </c>
      <c r="AS596" s="0" t="str">
        <f aca="false">IF($A596="","",_xlfn.TEXTJOIN("; ",TRUE(),IF(CK596&lt;&gt;"pass","gated out",""),IF(AO596="Y","on hold: "&amp;AP596,""),IF(C596="","no contact named on an opened page",""),IF(AND(AU596="Y",AV596&lt;&gt;"Y"),"founder review pending (Founder review tab)","")))</f>
        <v/>
      </c>
      <c r="BC596" s="0" t="str">
        <f aca="false">IF($A596="","",IFERROR(INDEX(Enrichment!$A$2:$GZ$2000,MATCH($A596,INDEX(Enrichment!$A$2:$GZ$2000,0,MATCH("row_id",Enrichment!$A$1:$GZ$1,0)),0),MATCH("work_email",Enrichment!$A$1:$GZ$1,0))&amp;"",""))</f>
        <v/>
      </c>
      <c r="BD596" s="0" t="str">
        <f aca="false">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P596" s="0" t="str">
        <f aca="false">IF($A596="","",IFERROR(INDEX(Enrichment!$A$2:$GZ$2000,MATCH($A596,INDEX(Enrichment!$A$2:$GZ$2000,0,MATCH("row_id",Enrichment!$A$1:$GZ$1,0)),0),MATCH("backup_work_email",Enrichment!$A$1:$GZ$1,0))&amp;"",""))</f>
        <v/>
      </c>
      <c r="BQ596" s="0" t="str">
        <f aca="false">IF($A596="","",IF(BP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DU596" s="0" t="str">
        <f aca="false">IF($A596="","",IF(R596="Y",10,0))</f>
        <v/>
      </c>
      <c r="EV596" s="0" t="str">
        <f aca="false">IF($A596="","",IF(ISNUMBER(MATCH(U596,{"queued","contacted","replied","call_booked","call_done","yes_in_principle","materials_sent"},0)),"Y","N"))</f>
        <v/>
      </c>
      <c r="EW596" s="0" t="str">
        <f aca="false">IF($A596="","",IF(OR(T596="Y",U596="do_not_contact",AQ596&amp;""&lt;&gt;""),"Y","N"))</f>
        <v/>
      </c>
      <c r="EX596" s="0" t="str">
        <f aca="false">IF($A596="","",IF(AN596&amp;""&lt;&gt;"",AN596&amp;"",$A596))</f>
        <v/>
      </c>
      <c r="EY596" s="0" t="str">
        <f aca="false">IF($A596="","",IF(COUNTIFS($EX$2:$EX$1000,EX596,$EV$2:$EV$1000,"Y")+COUNTIFS($EX$2:$EX$1000,EX596,$EW$2:$EW$1000,"Y")&gt;0,"Y","N"))</f>
        <v/>
      </c>
      <c r="EZ596" s="0" t="str">
        <f aca="false">IF($A596="","",IF(AND(U596="new",T596="N",EW596="N",AR596="Y",EY596="N"),"Y","N"))</f>
        <v/>
      </c>
      <c r="FA596" s="0" t="str">
        <f aca="false">IF($A596="","",IF(EZ596&lt;&gt;"Y","N",IF(COUNTIFS($EX$2:$EX$1000,EX596,$EZ$2:$EZ$1000,"Y",$J$2:$J$1000,"&gt;"&amp;J596)+COUNTIFS($EX$2:$EX$1000,EX596,$EZ$2:$EZ$1000,"Y",$J$2:$J$1000,J596,$FG$2:$FG$1000,"&lt;"&amp;FG596)=0,"Y","N")))</f>
        <v/>
      </c>
      <c r="FB596" s="0" t="str">
        <f aca="false">IF($A596="","",IF(AND(EZ596="Y",FA596="Y",Y596&amp;""&lt;&gt;""),IF(Y596&lt;=10,"Y","N"),"N"))</f>
        <v/>
      </c>
      <c r="FC596" s="0" t="str">
        <f aca="false">IF(FB596="Y",Y596,"")</f>
        <v/>
      </c>
      <c r="FD596" s="0" t="str">
        <f aca="false">IF($A596="","",IF(AND(CK596="pass",AU596="Y",AV596&lt;&gt;"Y",U596="new",EW596="N"),"Y","N"))</f>
        <v/>
      </c>
      <c r="FE596" s="0" t="str">
        <f aca="false">IF(FD596&lt;&gt;"Y","",IF(COUNTIFS($FD$2:$FD$1000,"Y",$J$2:$J$1000,"&gt;"&amp;J596)+COUNTIFS($FD$2:$FD$1000,"Y",$J$2:$J$1000,J596,$FG$2:$FG$1000,"&lt;"&amp;FG596)+1&lt;=30,COUNTIFS($FD$2:$FD$1000,"Y",$J$2:$J$1000,"&gt;"&amp;J596)+COUNTIFS($FD$2:$FD$1000,"Y",$J$2:$J$1000,J596,$FG$2:$FG$1000,"&lt;"&amp;FG596)+1,""))</f>
        <v/>
      </c>
      <c r="FF596" s="0" t="str">
        <f aca="false">IF(AND(_xlfn.ISFORMULA(C596),_xlfn.ISFORMULA(J596)),"Y","N")</f>
        <v>Y</v>
      </c>
      <c r="FG596" s="0" t="n">
        <f aca="false">ROW()-1</f>
        <v>595</v>
      </c>
    </row>
    <row r="597" customFormat="false" ht="15" hidden="false" customHeight="false" outlineLevel="0" collapsed="false">
      <c r="C597" s="0" t="str">
        <f aca="false">IF($A597="","",IF(AT597="Y",BL597&amp;"",AY597&amp;""))</f>
        <v/>
      </c>
      <c r="D597" s="0" t="str">
        <f aca="false">IF($A597="","",IF(AT597="Y",BM597&amp;"",AZ597&amp;""))</f>
        <v/>
      </c>
      <c r="E597" s="0" t="str">
        <f aca="false">IF($A597="","",IF(AT597="Y",BN597&amp;"",BA597&amp;""))</f>
        <v/>
      </c>
      <c r="F597" s="0" t="str">
        <f aca="false">IF($A597="","",IF(AT597="Y",BO597&amp;"",BB597&amp;""))</f>
        <v/>
      </c>
      <c r="G597" s="0" t="str">
        <f aca="false">IF($A597="","",IF(AT597="Y",BP597&amp;"",BC597&amp;""))</f>
        <v/>
      </c>
      <c r="H597" s="0" t="str">
        <f aca="false">IF($A597="","",IF(AT597="Y",BQ597&amp;"",BD597&amp;""))</f>
        <v/>
      </c>
      <c r="I597" s="0" t="str">
        <f aca="false">IF($A597="","",IF(R597="Y","warm-intro",IF(H597="verified","email",IF(C597&lt;&gt;"","linkedin",CA597&amp;""))))</f>
        <v/>
      </c>
      <c r="J597" s="0" t="str">
        <f aca="false">IF($A597="","",IF(CK597="pass",ROUND(N(DO597)+N(DP597)+N(DQ597)+N(DR597)+N(DS597)+N(DT597)+N(DU597)+N(DV597),0),0))</f>
        <v/>
      </c>
      <c r="K597" s="0" t="str">
        <f aca="false">IF($A597="","",IF(CK597&lt;&gt;"pass",BY597&amp;"",BY597&amp;", "&amp;IF(AT597="Y",BX597&amp;"",BK597&amp;"")&amp;BZ597&amp;IF(R597="Y","; known to the founder (+10)","")&amp;"."))</f>
        <v/>
      </c>
      <c r="R597" s="5"/>
      <c r="T597" s="5"/>
      <c r="U597" s="5"/>
      <c r="Y597" s="0" t="str">
        <f aca="false">IF(FA597&lt;&gt;"Y","",COUNTIFS($FA$2:$FA$1000,"Y",$J$2:$J$1000,"&gt;"&amp;J597)+COUNTIFS($FA$2:$FA$1000,"Y",$J$2:$J$1000,J597,$FG$2:$FG$1000,"&lt;"&amp;FG597)+1)</f>
        <v/>
      </c>
      <c r="AB597" s="0" t="str">
        <f aca="false">IF($A597="","",IF(AT597="Y",BW597&amp;"",BJ597&amp;""))</f>
        <v/>
      </c>
      <c r="AC597" s="0" t="str">
        <f aca="false">IF($A597="","",IF(AT597="Y",BR597&amp;"",BE597&amp;""))</f>
        <v/>
      </c>
      <c r="AD597" s="0" t="str">
        <f aca="false">IF($A597="","",IF(AT597="Y",BS597&amp;"",BF597&amp;""))</f>
        <v/>
      </c>
      <c r="AE597" s="0" t="str">
        <f aca="false">IF($A597="","",IF(AT597="Y",BT597&amp;"",BG597&amp;""))</f>
        <v/>
      </c>
      <c r="AF597" s="0" t="str">
        <f aca="false">IF($A597="","",IF(AT597="Y",BU597&amp;"",BH597&amp;""))</f>
        <v/>
      </c>
      <c r="AG597" s="0" t="str">
        <f aca="false">IF($A597="","",IF(AT597="Y",BV597&amp;"",BI597&amp;""))</f>
        <v/>
      </c>
      <c r="AO597" s="5"/>
      <c r="AR597" s="0" t="str">
        <f aca="false">IF($A597="","",IF(AND(CK597="pass",AO597&lt;&gt;"Y",C597&lt;&gt;"",OR(AU597&lt;&gt;"Y",AV597="Y")),"Y","N"))</f>
        <v/>
      </c>
      <c r="AS597" s="0" t="str">
        <f aca="false">IF($A597="","",_xlfn.TEXTJOIN("; ",TRUE(),IF(CK597&lt;&gt;"pass","gated out",""),IF(AO597="Y","on hold: "&amp;AP597,""),IF(C597="","no contact named on an opened page",""),IF(AND(AU597="Y",AV597&lt;&gt;"Y"),"founder review pending (Founder review tab)","")))</f>
        <v/>
      </c>
      <c r="BC597" s="0" t="str">
        <f aca="false">IF($A597="","",IFERROR(INDEX(Enrichment!$A$2:$GZ$2000,MATCH($A597,INDEX(Enrichment!$A$2:$GZ$2000,0,MATCH("row_id",Enrichment!$A$1:$GZ$1,0)),0),MATCH("work_email",Enrichment!$A$1:$GZ$1,0))&amp;"",""))</f>
        <v/>
      </c>
      <c r="BD597" s="0" t="str">
        <f aca="false">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P597" s="0" t="str">
        <f aca="false">IF($A597="","",IFERROR(INDEX(Enrichment!$A$2:$GZ$2000,MATCH($A597,INDEX(Enrichment!$A$2:$GZ$2000,0,MATCH("row_id",Enrichment!$A$1:$GZ$1,0)),0),MATCH("backup_work_email",Enrichment!$A$1:$GZ$1,0))&amp;"",""))</f>
        <v/>
      </c>
      <c r="BQ597" s="0" t="str">
        <f aca="false">IF($A597="","",IF(BP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DU597" s="0" t="str">
        <f aca="false">IF($A597="","",IF(R597="Y",10,0))</f>
        <v/>
      </c>
      <c r="EV597" s="0" t="str">
        <f aca="false">IF($A597="","",IF(ISNUMBER(MATCH(U597,{"queued","contacted","replied","call_booked","call_done","yes_in_principle","materials_sent"},0)),"Y","N"))</f>
        <v/>
      </c>
      <c r="EW597" s="0" t="str">
        <f aca="false">IF($A597="","",IF(OR(T597="Y",U597="do_not_contact",AQ597&amp;""&lt;&gt;""),"Y","N"))</f>
        <v/>
      </c>
      <c r="EX597" s="0" t="str">
        <f aca="false">IF($A597="","",IF(AN597&amp;""&lt;&gt;"",AN597&amp;"",$A597))</f>
        <v/>
      </c>
      <c r="EY597" s="0" t="str">
        <f aca="false">IF($A597="","",IF(COUNTIFS($EX$2:$EX$1000,EX597,$EV$2:$EV$1000,"Y")+COUNTIFS($EX$2:$EX$1000,EX597,$EW$2:$EW$1000,"Y")&gt;0,"Y","N"))</f>
        <v/>
      </c>
      <c r="EZ597" s="0" t="str">
        <f aca="false">IF($A597="","",IF(AND(U597="new",T597="N",EW597="N",AR597="Y",EY597="N"),"Y","N"))</f>
        <v/>
      </c>
      <c r="FA597" s="0" t="str">
        <f aca="false">IF($A597="","",IF(EZ597&lt;&gt;"Y","N",IF(COUNTIFS($EX$2:$EX$1000,EX597,$EZ$2:$EZ$1000,"Y",$J$2:$J$1000,"&gt;"&amp;J597)+COUNTIFS($EX$2:$EX$1000,EX597,$EZ$2:$EZ$1000,"Y",$J$2:$J$1000,J597,$FG$2:$FG$1000,"&lt;"&amp;FG597)=0,"Y","N")))</f>
        <v/>
      </c>
      <c r="FB597" s="0" t="str">
        <f aca="false">IF($A597="","",IF(AND(EZ597="Y",FA597="Y",Y597&amp;""&lt;&gt;""),IF(Y597&lt;=10,"Y","N"),"N"))</f>
        <v/>
      </c>
      <c r="FC597" s="0" t="str">
        <f aca="false">IF(FB597="Y",Y597,"")</f>
        <v/>
      </c>
      <c r="FD597" s="0" t="str">
        <f aca="false">IF($A597="","",IF(AND(CK597="pass",AU597="Y",AV597&lt;&gt;"Y",U597="new",EW597="N"),"Y","N"))</f>
        <v/>
      </c>
      <c r="FE597" s="0" t="str">
        <f aca="false">IF(FD597&lt;&gt;"Y","",IF(COUNTIFS($FD$2:$FD$1000,"Y",$J$2:$J$1000,"&gt;"&amp;J597)+COUNTIFS($FD$2:$FD$1000,"Y",$J$2:$J$1000,J597,$FG$2:$FG$1000,"&lt;"&amp;FG597)+1&lt;=30,COUNTIFS($FD$2:$FD$1000,"Y",$J$2:$J$1000,"&gt;"&amp;J597)+COUNTIFS($FD$2:$FD$1000,"Y",$J$2:$J$1000,J597,$FG$2:$FG$1000,"&lt;"&amp;FG597)+1,""))</f>
        <v/>
      </c>
      <c r="FF597" s="0" t="str">
        <f aca="false">IF(AND(_xlfn.ISFORMULA(C597),_xlfn.ISFORMULA(J597)),"Y","N")</f>
        <v>Y</v>
      </c>
      <c r="FG597" s="0" t="n">
        <f aca="false">ROW()-1</f>
        <v>596</v>
      </c>
    </row>
    <row r="598" customFormat="false" ht="15" hidden="false" customHeight="false" outlineLevel="0" collapsed="false">
      <c r="C598" s="0" t="str">
        <f aca="false">IF($A598="","",IF(AT598="Y",BL598&amp;"",AY598&amp;""))</f>
        <v/>
      </c>
      <c r="D598" s="0" t="str">
        <f aca="false">IF($A598="","",IF(AT598="Y",BM598&amp;"",AZ598&amp;""))</f>
        <v/>
      </c>
      <c r="E598" s="0" t="str">
        <f aca="false">IF($A598="","",IF(AT598="Y",BN598&amp;"",BA598&amp;""))</f>
        <v/>
      </c>
      <c r="F598" s="0" t="str">
        <f aca="false">IF($A598="","",IF(AT598="Y",BO598&amp;"",BB598&amp;""))</f>
        <v/>
      </c>
      <c r="G598" s="0" t="str">
        <f aca="false">IF($A598="","",IF(AT598="Y",BP598&amp;"",BC598&amp;""))</f>
        <v/>
      </c>
      <c r="H598" s="0" t="str">
        <f aca="false">IF($A598="","",IF(AT598="Y",BQ598&amp;"",BD598&amp;""))</f>
        <v/>
      </c>
      <c r="I598" s="0" t="str">
        <f aca="false">IF($A598="","",IF(R598="Y","warm-intro",IF(H598="verified","email",IF(C598&lt;&gt;"","linkedin",CA598&amp;""))))</f>
        <v/>
      </c>
      <c r="J598" s="0" t="str">
        <f aca="false">IF($A598="","",IF(CK598="pass",ROUND(N(DO598)+N(DP598)+N(DQ598)+N(DR598)+N(DS598)+N(DT598)+N(DU598)+N(DV598),0),0))</f>
        <v/>
      </c>
      <c r="K598" s="0" t="str">
        <f aca="false">IF($A598="","",IF(CK598&lt;&gt;"pass",BY598&amp;"",BY598&amp;", "&amp;IF(AT598="Y",BX598&amp;"",BK598&amp;"")&amp;BZ598&amp;IF(R598="Y","; known to the founder (+10)","")&amp;"."))</f>
        <v/>
      </c>
      <c r="R598" s="5"/>
      <c r="T598" s="5"/>
      <c r="U598" s="5"/>
      <c r="Y598" s="0" t="str">
        <f aca="false">IF(FA598&lt;&gt;"Y","",COUNTIFS($FA$2:$FA$1000,"Y",$J$2:$J$1000,"&gt;"&amp;J598)+COUNTIFS($FA$2:$FA$1000,"Y",$J$2:$J$1000,J598,$FG$2:$FG$1000,"&lt;"&amp;FG598)+1)</f>
        <v/>
      </c>
      <c r="AB598" s="0" t="str">
        <f aca="false">IF($A598="","",IF(AT598="Y",BW598&amp;"",BJ598&amp;""))</f>
        <v/>
      </c>
      <c r="AC598" s="0" t="str">
        <f aca="false">IF($A598="","",IF(AT598="Y",BR598&amp;"",BE598&amp;""))</f>
        <v/>
      </c>
      <c r="AD598" s="0" t="str">
        <f aca="false">IF($A598="","",IF(AT598="Y",BS598&amp;"",BF598&amp;""))</f>
        <v/>
      </c>
      <c r="AE598" s="0" t="str">
        <f aca="false">IF($A598="","",IF(AT598="Y",BT598&amp;"",BG598&amp;""))</f>
        <v/>
      </c>
      <c r="AF598" s="0" t="str">
        <f aca="false">IF($A598="","",IF(AT598="Y",BU598&amp;"",BH598&amp;""))</f>
        <v/>
      </c>
      <c r="AG598" s="0" t="str">
        <f aca="false">IF($A598="","",IF(AT598="Y",BV598&amp;"",BI598&amp;""))</f>
        <v/>
      </c>
      <c r="AO598" s="5"/>
      <c r="AR598" s="0" t="str">
        <f aca="false">IF($A598="","",IF(AND(CK598="pass",AO598&lt;&gt;"Y",C598&lt;&gt;"",OR(AU598&lt;&gt;"Y",AV598="Y")),"Y","N"))</f>
        <v/>
      </c>
      <c r="AS598" s="0" t="str">
        <f aca="false">IF($A598="","",_xlfn.TEXTJOIN("; ",TRUE(),IF(CK598&lt;&gt;"pass","gated out",""),IF(AO598="Y","on hold: "&amp;AP598,""),IF(C598="","no contact named on an opened page",""),IF(AND(AU598="Y",AV598&lt;&gt;"Y"),"founder review pending (Founder review tab)","")))</f>
        <v/>
      </c>
      <c r="BC598" s="0" t="str">
        <f aca="false">IF($A598="","",IFERROR(INDEX(Enrichment!$A$2:$GZ$2000,MATCH($A598,INDEX(Enrichment!$A$2:$GZ$2000,0,MATCH("row_id",Enrichment!$A$1:$GZ$1,0)),0),MATCH("work_email",Enrichment!$A$1:$GZ$1,0))&amp;"",""))</f>
        <v/>
      </c>
      <c r="BD598" s="0" t="str">
        <f aca="false">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P598" s="0" t="str">
        <f aca="false">IF($A598="","",IFERROR(INDEX(Enrichment!$A$2:$GZ$2000,MATCH($A598,INDEX(Enrichment!$A$2:$GZ$2000,0,MATCH("row_id",Enrichment!$A$1:$GZ$1,0)),0),MATCH("backup_work_email",Enrichment!$A$1:$GZ$1,0))&amp;"",""))</f>
        <v/>
      </c>
      <c r="BQ598" s="0" t="str">
        <f aca="false">IF($A598="","",IF(BP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DU598" s="0" t="str">
        <f aca="false">IF($A598="","",IF(R598="Y",10,0))</f>
        <v/>
      </c>
      <c r="EV598" s="0" t="str">
        <f aca="false">IF($A598="","",IF(ISNUMBER(MATCH(U598,{"queued","contacted","replied","call_booked","call_done","yes_in_principle","materials_sent"},0)),"Y","N"))</f>
        <v/>
      </c>
      <c r="EW598" s="0" t="str">
        <f aca="false">IF($A598="","",IF(OR(T598="Y",U598="do_not_contact",AQ598&amp;""&lt;&gt;""),"Y","N"))</f>
        <v/>
      </c>
      <c r="EX598" s="0" t="str">
        <f aca="false">IF($A598="","",IF(AN598&amp;""&lt;&gt;"",AN598&amp;"",$A598))</f>
        <v/>
      </c>
      <c r="EY598" s="0" t="str">
        <f aca="false">IF($A598="","",IF(COUNTIFS($EX$2:$EX$1000,EX598,$EV$2:$EV$1000,"Y")+COUNTIFS($EX$2:$EX$1000,EX598,$EW$2:$EW$1000,"Y")&gt;0,"Y","N"))</f>
        <v/>
      </c>
      <c r="EZ598" s="0" t="str">
        <f aca="false">IF($A598="","",IF(AND(U598="new",T598="N",EW598="N",AR598="Y",EY598="N"),"Y","N"))</f>
        <v/>
      </c>
      <c r="FA598" s="0" t="str">
        <f aca="false">IF($A598="","",IF(EZ598&lt;&gt;"Y","N",IF(COUNTIFS($EX$2:$EX$1000,EX598,$EZ$2:$EZ$1000,"Y",$J$2:$J$1000,"&gt;"&amp;J598)+COUNTIFS($EX$2:$EX$1000,EX598,$EZ$2:$EZ$1000,"Y",$J$2:$J$1000,J598,$FG$2:$FG$1000,"&lt;"&amp;FG598)=0,"Y","N")))</f>
        <v/>
      </c>
      <c r="FB598" s="0" t="str">
        <f aca="false">IF($A598="","",IF(AND(EZ598="Y",FA598="Y",Y598&amp;""&lt;&gt;""),IF(Y598&lt;=10,"Y","N"),"N"))</f>
        <v/>
      </c>
      <c r="FC598" s="0" t="str">
        <f aca="false">IF(FB598="Y",Y598,"")</f>
        <v/>
      </c>
      <c r="FD598" s="0" t="str">
        <f aca="false">IF($A598="","",IF(AND(CK598="pass",AU598="Y",AV598&lt;&gt;"Y",U598="new",EW598="N"),"Y","N"))</f>
        <v/>
      </c>
      <c r="FE598" s="0" t="str">
        <f aca="false">IF(FD598&lt;&gt;"Y","",IF(COUNTIFS($FD$2:$FD$1000,"Y",$J$2:$J$1000,"&gt;"&amp;J598)+COUNTIFS($FD$2:$FD$1000,"Y",$J$2:$J$1000,J598,$FG$2:$FG$1000,"&lt;"&amp;FG598)+1&lt;=30,COUNTIFS($FD$2:$FD$1000,"Y",$J$2:$J$1000,"&gt;"&amp;J598)+COUNTIFS($FD$2:$FD$1000,"Y",$J$2:$J$1000,J598,$FG$2:$FG$1000,"&lt;"&amp;FG598)+1,""))</f>
        <v/>
      </c>
      <c r="FF598" s="0" t="str">
        <f aca="false">IF(AND(_xlfn.ISFORMULA(C598),_xlfn.ISFORMULA(J598)),"Y","N")</f>
        <v>Y</v>
      </c>
      <c r="FG598" s="0" t="n">
        <f aca="false">ROW()-1</f>
        <v>597</v>
      </c>
    </row>
    <row r="599" customFormat="false" ht="15" hidden="false" customHeight="false" outlineLevel="0" collapsed="false">
      <c r="C599" s="0" t="str">
        <f aca="false">IF($A599="","",IF(AT599="Y",BL599&amp;"",AY599&amp;""))</f>
        <v/>
      </c>
      <c r="D599" s="0" t="str">
        <f aca="false">IF($A599="","",IF(AT599="Y",BM599&amp;"",AZ599&amp;""))</f>
        <v/>
      </c>
      <c r="E599" s="0" t="str">
        <f aca="false">IF($A599="","",IF(AT599="Y",BN599&amp;"",BA599&amp;""))</f>
        <v/>
      </c>
      <c r="F599" s="0" t="str">
        <f aca="false">IF($A599="","",IF(AT599="Y",BO599&amp;"",BB599&amp;""))</f>
        <v/>
      </c>
      <c r="G599" s="0" t="str">
        <f aca="false">IF($A599="","",IF(AT599="Y",BP599&amp;"",BC599&amp;""))</f>
        <v/>
      </c>
      <c r="H599" s="0" t="str">
        <f aca="false">IF($A599="","",IF(AT599="Y",BQ599&amp;"",BD599&amp;""))</f>
        <v/>
      </c>
      <c r="I599" s="0" t="str">
        <f aca="false">IF($A599="","",IF(R599="Y","warm-intro",IF(H599="verified","email",IF(C599&lt;&gt;"","linkedin",CA599&amp;""))))</f>
        <v/>
      </c>
      <c r="J599" s="0" t="str">
        <f aca="false">IF($A599="","",IF(CK599="pass",ROUND(N(DO599)+N(DP599)+N(DQ599)+N(DR599)+N(DS599)+N(DT599)+N(DU599)+N(DV599),0),0))</f>
        <v/>
      </c>
      <c r="K599" s="0" t="str">
        <f aca="false">IF($A599="","",IF(CK599&lt;&gt;"pass",BY599&amp;"",BY599&amp;", "&amp;IF(AT599="Y",BX599&amp;"",BK599&amp;"")&amp;BZ599&amp;IF(R599="Y","; known to the founder (+10)","")&amp;"."))</f>
        <v/>
      </c>
      <c r="R599" s="5"/>
      <c r="T599" s="5"/>
      <c r="U599" s="5"/>
      <c r="Y599" s="0" t="str">
        <f aca="false">IF(FA599&lt;&gt;"Y","",COUNTIFS($FA$2:$FA$1000,"Y",$J$2:$J$1000,"&gt;"&amp;J599)+COUNTIFS($FA$2:$FA$1000,"Y",$J$2:$J$1000,J599,$FG$2:$FG$1000,"&lt;"&amp;FG599)+1)</f>
        <v/>
      </c>
      <c r="AB599" s="0" t="str">
        <f aca="false">IF($A599="","",IF(AT599="Y",BW599&amp;"",BJ599&amp;""))</f>
        <v/>
      </c>
      <c r="AC599" s="0" t="str">
        <f aca="false">IF($A599="","",IF(AT599="Y",BR599&amp;"",BE599&amp;""))</f>
        <v/>
      </c>
      <c r="AD599" s="0" t="str">
        <f aca="false">IF($A599="","",IF(AT599="Y",BS599&amp;"",BF599&amp;""))</f>
        <v/>
      </c>
      <c r="AE599" s="0" t="str">
        <f aca="false">IF($A599="","",IF(AT599="Y",BT599&amp;"",BG599&amp;""))</f>
        <v/>
      </c>
      <c r="AF599" s="0" t="str">
        <f aca="false">IF($A599="","",IF(AT599="Y",BU599&amp;"",BH599&amp;""))</f>
        <v/>
      </c>
      <c r="AG599" s="0" t="str">
        <f aca="false">IF($A599="","",IF(AT599="Y",BV599&amp;"",BI599&amp;""))</f>
        <v/>
      </c>
      <c r="AO599" s="5"/>
      <c r="AR599" s="0" t="str">
        <f aca="false">IF($A599="","",IF(AND(CK599="pass",AO599&lt;&gt;"Y",C599&lt;&gt;"",OR(AU599&lt;&gt;"Y",AV599="Y")),"Y","N"))</f>
        <v/>
      </c>
      <c r="AS599" s="0" t="str">
        <f aca="false">IF($A599="","",_xlfn.TEXTJOIN("; ",TRUE(),IF(CK599&lt;&gt;"pass","gated out",""),IF(AO599="Y","on hold: "&amp;AP599,""),IF(C599="","no contact named on an opened page",""),IF(AND(AU599="Y",AV599&lt;&gt;"Y"),"founder review pending (Founder review tab)","")))</f>
        <v/>
      </c>
      <c r="BC599" s="0" t="str">
        <f aca="false">IF($A599="","",IFERROR(INDEX(Enrichment!$A$2:$GZ$2000,MATCH($A599,INDEX(Enrichment!$A$2:$GZ$2000,0,MATCH("row_id",Enrichment!$A$1:$GZ$1,0)),0),MATCH("work_email",Enrichment!$A$1:$GZ$1,0))&amp;"",""))</f>
        <v/>
      </c>
      <c r="BD599" s="0" t="str">
        <f aca="false">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P599" s="0" t="str">
        <f aca="false">IF($A599="","",IFERROR(INDEX(Enrichment!$A$2:$GZ$2000,MATCH($A599,INDEX(Enrichment!$A$2:$GZ$2000,0,MATCH("row_id",Enrichment!$A$1:$GZ$1,0)),0),MATCH("backup_work_email",Enrichment!$A$1:$GZ$1,0))&amp;"",""))</f>
        <v/>
      </c>
      <c r="BQ599" s="0" t="str">
        <f aca="false">IF($A599="","",IF(BP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DU599" s="0" t="str">
        <f aca="false">IF($A599="","",IF(R599="Y",10,0))</f>
        <v/>
      </c>
      <c r="EV599" s="0" t="str">
        <f aca="false">IF($A599="","",IF(ISNUMBER(MATCH(U599,{"queued","contacted","replied","call_booked","call_done","yes_in_principle","materials_sent"},0)),"Y","N"))</f>
        <v/>
      </c>
      <c r="EW599" s="0" t="str">
        <f aca="false">IF($A599="","",IF(OR(T599="Y",U599="do_not_contact",AQ599&amp;""&lt;&gt;""),"Y","N"))</f>
        <v/>
      </c>
      <c r="EX599" s="0" t="str">
        <f aca="false">IF($A599="","",IF(AN599&amp;""&lt;&gt;"",AN599&amp;"",$A599))</f>
        <v/>
      </c>
      <c r="EY599" s="0" t="str">
        <f aca="false">IF($A599="","",IF(COUNTIFS($EX$2:$EX$1000,EX599,$EV$2:$EV$1000,"Y")+COUNTIFS($EX$2:$EX$1000,EX599,$EW$2:$EW$1000,"Y")&gt;0,"Y","N"))</f>
        <v/>
      </c>
      <c r="EZ599" s="0" t="str">
        <f aca="false">IF($A599="","",IF(AND(U599="new",T599="N",EW599="N",AR599="Y",EY599="N"),"Y","N"))</f>
        <v/>
      </c>
      <c r="FA599" s="0" t="str">
        <f aca="false">IF($A599="","",IF(EZ599&lt;&gt;"Y","N",IF(COUNTIFS($EX$2:$EX$1000,EX599,$EZ$2:$EZ$1000,"Y",$J$2:$J$1000,"&gt;"&amp;J599)+COUNTIFS($EX$2:$EX$1000,EX599,$EZ$2:$EZ$1000,"Y",$J$2:$J$1000,J599,$FG$2:$FG$1000,"&lt;"&amp;FG599)=0,"Y","N")))</f>
        <v/>
      </c>
      <c r="FB599" s="0" t="str">
        <f aca="false">IF($A599="","",IF(AND(EZ599="Y",FA599="Y",Y599&amp;""&lt;&gt;""),IF(Y599&lt;=10,"Y","N"),"N"))</f>
        <v/>
      </c>
      <c r="FC599" s="0" t="str">
        <f aca="false">IF(FB599="Y",Y599,"")</f>
        <v/>
      </c>
      <c r="FD599" s="0" t="str">
        <f aca="false">IF($A599="","",IF(AND(CK599="pass",AU599="Y",AV599&lt;&gt;"Y",U599="new",EW599="N"),"Y","N"))</f>
        <v/>
      </c>
      <c r="FE599" s="0" t="str">
        <f aca="false">IF(FD599&lt;&gt;"Y","",IF(COUNTIFS($FD$2:$FD$1000,"Y",$J$2:$J$1000,"&gt;"&amp;J599)+COUNTIFS($FD$2:$FD$1000,"Y",$J$2:$J$1000,J599,$FG$2:$FG$1000,"&lt;"&amp;FG599)+1&lt;=30,COUNTIFS($FD$2:$FD$1000,"Y",$J$2:$J$1000,"&gt;"&amp;J599)+COUNTIFS($FD$2:$FD$1000,"Y",$J$2:$J$1000,J599,$FG$2:$FG$1000,"&lt;"&amp;FG599)+1,""))</f>
        <v/>
      </c>
      <c r="FF599" s="0" t="str">
        <f aca="false">IF(AND(_xlfn.ISFORMULA(C599),_xlfn.ISFORMULA(J599)),"Y","N")</f>
        <v>Y</v>
      </c>
      <c r="FG599" s="0" t="n">
        <f aca="false">ROW()-1</f>
        <v>598</v>
      </c>
    </row>
    <row r="600" customFormat="false" ht="15" hidden="false" customHeight="false" outlineLevel="0" collapsed="false">
      <c r="C600" s="0" t="str">
        <f aca="false">IF($A600="","",IF(AT600="Y",BL600&amp;"",AY600&amp;""))</f>
        <v/>
      </c>
      <c r="D600" s="0" t="str">
        <f aca="false">IF($A600="","",IF(AT600="Y",BM600&amp;"",AZ600&amp;""))</f>
        <v/>
      </c>
      <c r="E600" s="0" t="str">
        <f aca="false">IF($A600="","",IF(AT600="Y",BN600&amp;"",BA600&amp;""))</f>
        <v/>
      </c>
      <c r="F600" s="0" t="str">
        <f aca="false">IF($A600="","",IF(AT600="Y",BO600&amp;"",BB600&amp;""))</f>
        <v/>
      </c>
      <c r="G600" s="0" t="str">
        <f aca="false">IF($A600="","",IF(AT600="Y",BP600&amp;"",BC600&amp;""))</f>
        <v/>
      </c>
      <c r="H600" s="0" t="str">
        <f aca="false">IF($A600="","",IF(AT600="Y",BQ600&amp;"",BD600&amp;""))</f>
        <v/>
      </c>
      <c r="I600" s="0" t="str">
        <f aca="false">IF($A600="","",IF(R600="Y","warm-intro",IF(H600="verified","email",IF(C600&lt;&gt;"","linkedin",CA600&amp;""))))</f>
        <v/>
      </c>
      <c r="J600" s="0" t="str">
        <f aca="false">IF($A600="","",IF(CK600="pass",ROUND(N(DO600)+N(DP600)+N(DQ600)+N(DR600)+N(DS600)+N(DT600)+N(DU600)+N(DV600),0),0))</f>
        <v/>
      </c>
      <c r="K600" s="0" t="str">
        <f aca="false">IF($A600="","",IF(CK600&lt;&gt;"pass",BY600&amp;"",BY600&amp;", "&amp;IF(AT600="Y",BX600&amp;"",BK600&amp;"")&amp;BZ600&amp;IF(R600="Y","; known to the founder (+10)","")&amp;"."))</f>
        <v/>
      </c>
      <c r="R600" s="5"/>
      <c r="T600" s="5"/>
      <c r="U600" s="5"/>
      <c r="Y600" s="0" t="str">
        <f aca="false">IF(FA600&lt;&gt;"Y","",COUNTIFS($FA$2:$FA$1000,"Y",$J$2:$J$1000,"&gt;"&amp;J600)+COUNTIFS($FA$2:$FA$1000,"Y",$J$2:$J$1000,J600,$FG$2:$FG$1000,"&lt;"&amp;FG600)+1)</f>
        <v/>
      </c>
      <c r="AB600" s="0" t="str">
        <f aca="false">IF($A600="","",IF(AT600="Y",BW600&amp;"",BJ600&amp;""))</f>
        <v/>
      </c>
      <c r="AC600" s="0" t="str">
        <f aca="false">IF($A600="","",IF(AT600="Y",BR600&amp;"",BE600&amp;""))</f>
        <v/>
      </c>
      <c r="AD600" s="0" t="str">
        <f aca="false">IF($A600="","",IF(AT600="Y",BS600&amp;"",BF600&amp;""))</f>
        <v/>
      </c>
      <c r="AE600" s="0" t="str">
        <f aca="false">IF($A600="","",IF(AT600="Y",BT600&amp;"",BG600&amp;""))</f>
        <v/>
      </c>
      <c r="AF600" s="0" t="str">
        <f aca="false">IF($A600="","",IF(AT600="Y",BU600&amp;"",BH600&amp;""))</f>
        <v/>
      </c>
      <c r="AG600" s="0" t="str">
        <f aca="false">IF($A600="","",IF(AT600="Y",BV600&amp;"",BI600&amp;""))</f>
        <v/>
      </c>
      <c r="AO600" s="5"/>
      <c r="AR600" s="0" t="str">
        <f aca="false">IF($A600="","",IF(AND(CK600="pass",AO600&lt;&gt;"Y",C600&lt;&gt;"",OR(AU600&lt;&gt;"Y",AV600="Y")),"Y","N"))</f>
        <v/>
      </c>
      <c r="AS600" s="0" t="str">
        <f aca="false">IF($A600="","",_xlfn.TEXTJOIN("; ",TRUE(),IF(CK600&lt;&gt;"pass","gated out",""),IF(AO600="Y","on hold: "&amp;AP600,""),IF(C600="","no contact named on an opened page",""),IF(AND(AU600="Y",AV600&lt;&gt;"Y"),"founder review pending (Founder review tab)","")))</f>
        <v/>
      </c>
      <c r="BC600" s="0" t="str">
        <f aca="false">IF($A600="","",IFERROR(INDEX(Enrichment!$A$2:$GZ$2000,MATCH($A600,INDEX(Enrichment!$A$2:$GZ$2000,0,MATCH("row_id",Enrichment!$A$1:$GZ$1,0)),0),MATCH("work_email",Enrichment!$A$1:$GZ$1,0))&amp;"",""))</f>
        <v/>
      </c>
      <c r="BD600" s="0" t="str">
        <f aca="false">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P600" s="0" t="str">
        <f aca="false">IF($A600="","",IFERROR(INDEX(Enrichment!$A$2:$GZ$2000,MATCH($A600,INDEX(Enrichment!$A$2:$GZ$2000,0,MATCH("row_id",Enrichment!$A$1:$GZ$1,0)),0),MATCH("backup_work_email",Enrichment!$A$1:$GZ$1,0))&amp;"",""))</f>
        <v/>
      </c>
      <c r="BQ600" s="0" t="str">
        <f aca="false">IF($A600="","",IF(BP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DU600" s="0" t="str">
        <f aca="false">IF($A600="","",IF(R600="Y",10,0))</f>
        <v/>
      </c>
      <c r="EV600" s="0" t="str">
        <f aca="false">IF($A600="","",IF(ISNUMBER(MATCH(U600,{"queued","contacted","replied","call_booked","call_done","yes_in_principle","materials_sent"},0)),"Y","N"))</f>
        <v/>
      </c>
      <c r="EW600" s="0" t="str">
        <f aca="false">IF($A600="","",IF(OR(T600="Y",U600="do_not_contact",AQ600&amp;""&lt;&gt;""),"Y","N"))</f>
        <v/>
      </c>
      <c r="EX600" s="0" t="str">
        <f aca="false">IF($A600="","",IF(AN600&amp;""&lt;&gt;"",AN600&amp;"",$A600))</f>
        <v/>
      </c>
      <c r="EY600" s="0" t="str">
        <f aca="false">IF($A600="","",IF(COUNTIFS($EX$2:$EX$1000,EX600,$EV$2:$EV$1000,"Y")+COUNTIFS($EX$2:$EX$1000,EX600,$EW$2:$EW$1000,"Y")&gt;0,"Y","N"))</f>
        <v/>
      </c>
      <c r="EZ600" s="0" t="str">
        <f aca="false">IF($A600="","",IF(AND(U600="new",T600="N",EW600="N",AR600="Y",EY600="N"),"Y","N"))</f>
        <v/>
      </c>
      <c r="FA600" s="0" t="str">
        <f aca="false">IF($A600="","",IF(EZ600&lt;&gt;"Y","N",IF(COUNTIFS($EX$2:$EX$1000,EX600,$EZ$2:$EZ$1000,"Y",$J$2:$J$1000,"&gt;"&amp;J600)+COUNTIFS($EX$2:$EX$1000,EX600,$EZ$2:$EZ$1000,"Y",$J$2:$J$1000,J600,$FG$2:$FG$1000,"&lt;"&amp;FG600)=0,"Y","N")))</f>
        <v/>
      </c>
      <c r="FB600" s="0" t="str">
        <f aca="false">IF($A600="","",IF(AND(EZ600="Y",FA600="Y",Y600&amp;""&lt;&gt;""),IF(Y600&lt;=10,"Y","N"),"N"))</f>
        <v/>
      </c>
      <c r="FC600" s="0" t="str">
        <f aca="false">IF(FB600="Y",Y600,"")</f>
        <v/>
      </c>
      <c r="FD600" s="0" t="str">
        <f aca="false">IF($A600="","",IF(AND(CK600="pass",AU600="Y",AV600&lt;&gt;"Y",U600="new",EW600="N"),"Y","N"))</f>
        <v/>
      </c>
      <c r="FE600" s="0" t="str">
        <f aca="false">IF(FD600&lt;&gt;"Y","",IF(COUNTIFS($FD$2:$FD$1000,"Y",$J$2:$J$1000,"&gt;"&amp;J600)+COUNTIFS($FD$2:$FD$1000,"Y",$J$2:$J$1000,J600,$FG$2:$FG$1000,"&lt;"&amp;FG600)+1&lt;=30,COUNTIFS($FD$2:$FD$1000,"Y",$J$2:$J$1000,"&gt;"&amp;J600)+COUNTIFS($FD$2:$FD$1000,"Y",$J$2:$J$1000,J600,$FG$2:$FG$1000,"&lt;"&amp;FG600)+1,""))</f>
        <v/>
      </c>
      <c r="FF600" s="0" t="str">
        <f aca="false">IF(AND(_xlfn.ISFORMULA(C600),_xlfn.ISFORMULA(J600)),"Y","N")</f>
        <v>Y</v>
      </c>
      <c r="FG600" s="0" t="n">
        <f aca="false">ROW()-1</f>
        <v>599</v>
      </c>
    </row>
    <row r="601" customFormat="false" ht="15" hidden="false" customHeight="false" outlineLevel="0" collapsed="false">
      <c r="C601" s="0" t="str">
        <f aca="false">IF($A601="","",IF(AT601="Y",BL601&amp;"",AY601&amp;""))</f>
        <v/>
      </c>
      <c r="D601" s="0" t="str">
        <f aca="false">IF($A601="","",IF(AT601="Y",BM601&amp;"",AZ601&amp;""))</f>
        <v/>
      </c>
      <c r="E601" s="0" t="str">
        <f aca="false">IF($A601="","",IF(AT601="Y",BN601&amp;"",BA601&amp;""))</f>
        <v/>
      </c>
      <c r="F601" s="0" t="str">
        <f aca="false">IF($A601="","",IF(AT601="Y",BO601&amp;"",BB601&amp;""))</f>
        <v/>
      </c>
      <c r="G601" s="0" t="str">
        <f aca="false">IF($A601="","",IF(AT601="Y",BP601&amp;"",BC601&amp;""))</f>
        <v/>
      </c>
      <c r="H601" s="0" t="str">
        <f aca="false">IF($A601="","",IF(AT601="Y",BQ601&amp;"",BD601&amp;""))</f>
        <v/>
      </c>
      <c r="I601" s="0" t="str">
        <f aca="false">IF($A601="","",IF(R601="Y","warm-intro",IF(H601="verified","email",IF(C601&lt;&gt;"","linkedin",CA601&amp;""))))</f>
        <v/>
      </c>
      <c r="J601" s="0" t="str">
        <f aca="false">IF($A601="","",IF(CK601="pass",ROUND(N(DO601)+N(DP601)+N(DQ601)+N(DR601)+N(DS601)+N(DT601)+N(DU601)+N(DV601),0),0))</f>
        <v/>
      </c>
      <c r="K601" s="0" t="str">
        <f aca="false">IF($A601="","",IF(CK601&lt;&gt;"pass",BY601&amp;"",BY601&amp;", "&amp;IF(AT601="Y",BX601&amp;"",BK601&amp;"")&amp;BZ601&amp;IF(R601="Y","; known to the founder (+10)","")&amp;"."))</f>
        <v/>
      </c>
      <c r="R601" s="5"/>
      <c r="T601" s="5"/>
      <c r="U601" s="5"/>
      <c r="Y601" s="0" t="str">
        <f aca="false">IF(FA601&lt;&gt;"Y","",COUNTIFS($FA$2:$FA$1000,"Y",$J$2:$J$1000,"&gt;"&amp;J601)+COUNTIFS($FA$2:$FA$1000,"Y",$J$2:$J$1000,J601,$FG$2:$FG$1000,"&lt;"&amp;FG601)+1)</f>
        <v/>
      </c>
      <c r="AB601" s="0" t="str">
        <f aca="false">IF($A601="","",IF(AT601="Y",BW601&amp;"",BJ601&amp;""))</f>
        <v/>
      </c>
      <c r="AC601" s="0" t="str">
        <f aca="false">IF($A601="","",IF(AT601="Y",BR601&amp;"",BE601&amp;""))</f>
        <v/>
      </c>
      <c r="AD601" s="0" t="str">
        <f aca="false">IF($A601="","",IF(AT601="Y",BS601&amp;"",BF601&amp;""))</f>
        <v/>
      </c>
      <c r="AE601" s="0" t="str">
        <f aca="false">IF($A601="","",IF(AT601="Y",BT601&amp;"",BG601&amp;""))</f>
        <v/>
      </c>
      <c r="AF601" s="0" t="str">
        <f aca="false">IF($A601="","",IF(AT601="Y",BU601&amp;"",BH601&amp;""))</f>
        <v/>
      </c>
      <c r="AG601" s="0" t="str">
        <f aca="false">IF($A601="","",IF(AT601="Y",BV601&amp;"",BI601&amp;""))</f>
        <v/>
      </c>
      <c r="AO601" s="5"/>
      <c r="AR601" s="0" t="str">
        <f aca="false">IF($A601="","",IF(AND(CK601="pass",AO601&lt;&gt;"Y",C601&lt;&gt;"",OR(AU601&lt;&gt;"Y",AV601="Y")),"Y","N"))</f>
        <v/>
      </c>
      <c r="AS601" s="0" t="str">
        <f aca="false">IF($A601="","",_xlfn.TEXTJOIN("; ",TRUE(),IF(CK601&lt;&gt;"pass","gated out",""),IF(AO601="Y","on hold: "&amp;AP601,""),IF(C601="","no contact named on an opened page",""),IF(AND(AU601="Y",AV601&lt;&gt;"Y"),"founder review pending (Founder review tab)","")))</f>
        <v/>
      </c>
      <c r="BC601" s="0" t="str">
        <f aca="false">IF($A601="","",IFERROR(INDEX(Enrichment!$A$2:$GZ$2000,MATCH($A601,INDEX(Enrichment!$A$2:$GZ$2000,0,MATCH("row_id",Enrichment!$A$1:$GZ$1,0)),0),MATCH("work_email",Enrichment!$A$1:$GZ$1,0))&amp;"",""))</f>
        <v/>
      </c>
      <c r="BD601" s="0" t="str">
        <f aca="false">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P601" s="0" t="str">
        <f aca="false">IF($A601="","",IFERROR(INDEX(Enrichment!$A$2:$GZ$2000,MATCH($A601,INDEX(Enrichment!$A$2:$GZ$2000,0,MATCH("row_id",Enrichment!$A$1:$GZ$1,0)),0),MATCH("backup_work_email",Enrichment!$A$1:$GZ$1,0))&amp;"",""))</f>
        <v/>
      </c>
      <c r="BQ601" s="0" t="str">
        <f aca="false">IF($A601="","",IF(BP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DU601" s="0" t="str">
        <f aca="false">IF($A601="","",IF(R601="Y",10,0))</f>
        <v/>
      </c>
      <c r="EV601" s="0" t="str">
        <f aca="false">IF($A601="","",IF(ISNUMBER(MATCH(U601,{"queued","contacted","replied","call_booked","call_done","yes_in_principle","materials_sent"},0)),"Y","N"))</f>
        <v/>
      </c>
      <c r="EW601" s="0" t="str">
        <f aca="false">IF($A601="","",IF(OR(T601="Y",U601="do_not_contact",AQ601&amp;""&lt;&gt;""),"Y","N"))</f>
        <v/>
      </c>
      <c r="EX601" s="0" t="str">
        <f aca="false">IF($A601="","",IF(AN601&amp;""&lt;&gt;"",AN601&amp;"",$A601))</f>
        <v/>
      </c>
      <c r="EY601" s="0" t="str">
        <f aca="false">IF($A601="","",IF(COUNTIFS($EX$2:$EX$1000,EX601,$EV$2:$EV$1000,"Y")+COUNTIFS($EX$2:$EX$1000,EX601,$EW$2:$EW$1000,"Y")&gt;0,"Y","N"))</f>
        <v/>
      </c>
      <c r="EZ601" s="0" t="str">
        <f aca="false">IF($A601="","",IF(AND(U601="new",T601="N",EW601="N",AR601="Y",EY601="N"),"Y","N"))</f>
        <v/>
      </c>
      <c r="FA601" s="0" t="str">
        <f aca="false">IF($A601="","",IF(EZ601&lt;&gt;"Y","N",IF(COUNTIFS($EX$2:$EX$1000,EX601,$EZ$2:$EZ$1000,"Y",$J$2:$J$1000,"&gt;"&amp;J601)+COUNTIFS($EX$2:$EX$1000,EX601,$EZ$2:$EZ$1000,"Y",$J$2:$J$1000,J601,$FG$2:$FG$1000,"&lt;"&amp;FG601)=0,"Y","N")))</f>
        <v/>
      </c>
      <c r="FB601" s="0" t="str">
        <f aca="false">IF($A601="","",IF(AND(EZ601="Y",FA601="Y",Y601&amp;""&lt;&gt;""),IF(Y601&lt;=10,"Y","N"),"N"))</f>
        <v/>
      </c>
      <c r="FC601" s="0" t="str">
        <f aca="false">IF(FB601="Y",Y601,"")</f>
        <v/>
      </c>
      <c r="FD601" s="0" t="str">
        <f aca="false">IF($A601="","",IF(AND(CK601="pass",AU601="Y",AV601&lt;&gt;"Y",U601="new",EW601="N"),"Y","N"))</f>
        <v/>
      </c>
      <c r="FE601" s="0" t="str">
        <f aca="false">IF(FD601&lt;&gt;"Y","",IF(COUNTIFS($FD$2:$FD$1000,"Y",$J$2:$J$1000,"&gt;"&amp;J601)+COUNTIFS($FD$2:$FD$1000,"Y",$J$2:$J$1000,J601,$FG$2:$FG$1000,"&lt;"&amp;FG601)+1&lt;=30,COUNTIFS($FD$2:$FD$1000,"Y",$J$2:$J$1000,"&gt;"&amp;J601)+COUNTIFS($FD$2:$FD$1000,"Y",$J$2:$J$1000,J601,$FG$2:$FG$1000,"&lt;"&amp;FG601)+1,""))</f>
        <v/>
      </c>
      <c r="FF601" s="0" t="str">
        <f aca="false">IF(AND(_xlfn.ISFORMULA(C601),_xlfn.ISFORMULA(J601)),"Y","N")</f>
        <v>Y</v>
      </c>
      <c r="FG601" s="0" t="n">
        <f aca="false">ROW()-1</f>
        <v>600</v>
      </c>
    </row>
    <row r="602" customFormat="false" ht="15" hidden="false" customHeight="false" outlineLevel="0" collapsed="false">
      <c r="C602" s="0" t="str">
        <f aca="false">IF($A602="","",IF(AT602="Y",BL602&amp;"",AY602&amp;""))</f>
        <v/>
      </c>
      <c r="D602" s="0" t="str">
        <f aca="false">IF($A602="","",IF(AT602="Y",BM602&amp;"",AZ602&amp;""))</f>
        <v/>
      </c>
      <c r="E602" s="0" t="str">
        <f aca="false">IF($A602="","",IF(AT602="Y",BN602&amp;"",BA602&amp;""))</f>
        <v/>
      </c>
      <c r="F602" s="0" t="str">
        <f aca="false">IF($A602="","",IF(AT602="Y",BO602&amp;"",BB602&amp;""))</f>
        <v/>
      </c>
      <c r="G602" s="0" t="str">
        <f aca="false">IF($A602="","",IF(AT602="Y",BP602&amp;"",BC602&amp;""))</f>
        <v/>
      </c>
      <c r="H602" s="0" t="str">
        <f aca="false">IF($A602="","",IF(AT602="Y",BQ602&amp;"",BD602&amp;""))</f>
        <v/>
      </c>
      <c r="I602" s="0" t="str">
        <f aca="false">IF($A602="","",IF(R602="Y","warm-intro",IF(H602="verified","email",IF(C602&lt;&gt;"","linkedin",CA602&amp;""))))</f>
        <v/>
      </c>
      <c r="J602" s="0" t="str">
        <f aca="false">IF($A602="","",IF(CK602="pass",ROUND(N(DO602)+N(DP602)+N(DQ602)+N(DR602)+N(DS602)+N(DT602)+N(DU602)+N(DV602),0),0))</f>
        <v/>
      </c>
      <c r="K602" s="0" t="str">
        <f aca="false">IF($A602="","",IF(CK602&lt;&gt;"pass",BY602&amp;"",BY602&amp;", "&amp;IF(AT602="Y",BX602&amp;"",BK602&amp;"")&amp;BZ602&amp;IF(R602="Y","; known to the founder (+10)","")&amp;"."))</f>
        <v/>
      </c>
      <c r="R602" s="5"/>
      <c r="T602" s="5"/>
      <c r="U602" s="5"/>
      <c r="Y602" s="0" t="str">
        <f aca="false">IF(FA602&lt;&gt;"Y","",COUNTIFS($FA$2:$FA$1000,"Y",$J$2:$J$1000,"&gt;"&amp;J602)+COUNTIFS($FA$2:$FA$1000,"Y",$J$2:$J$1000,J602,$FG$2:$FG$1000,"&lt;"&amp;FG602)+1)</f>
        <v/>
      </c>
      <c r="AB602" s="0" t="str">
        <f aca="false">IF($A602="","",IF(AT602="Y",BW602&amp;"",BJ602&amp;""))</f>
        <v/>
      </c>
      <c r="AC602" s="0" t="str">
        <f aca="false">IF($A602="","",IF(AT602="Y",BR602&amp;"",BE602&amp;""))</f>
        <v/>
      </c>
      <c r="AD602" s="0" t="str">
        <f aca="false">IF($A602="","",IF(AT602="Y",BS602&amp;"",BF602&amp;""))</f>
        <v/>
      </c>
      <c r="AE602" s="0" t="str">
        <f aca="false">IF($A602="","",IF(AT602="Y",BT602&amp;"",BG602&amp;""))</f>
        <v/>
      </c>
      <c r="AF602" s="0" t="str">
        <f aca="false">IF($A602="","",IF(AT602="Y",BU602&amp;"",BH602&amp;""))</f>
        <v/>
      </c>
      <c r="AG602" s="0" t="str">
        <f aca="false">IF($A602="","",IF(AT602="Y",BV602&amp;"",BI602&amp;""))</f>
        <v/>
      </c>
      <c r="AO602" s="5"/>
      <c r="AR602" s="0" t="str">
        <f aca="false">IF($A602="","",IF(AND(CK602="pass",AO602&lt;&gt;"Y",C602&lt;&gt;"",OR(AU602&lt;&gt;"Y",AV602="Y")),"Y","N"))</f>
        <v/>
      </c>
      <c r="AS602" s="0" t="str">
        <f aca="false">IF($A602="","",_xlfn.TEXTJOIN("; ",TRUE(),IF(CK602&lt;&gt;"pass","gated out",""),IF(AO602="Y","on hold: "&amp;AP602,""),IF(C602="","no contact named on an opened page",""),IF(AND(AU602="Y",AV602&lt;&gt;"Y"),"founder review pending (Founder review tab)","")))</f>
        <v/>
      </c>
      <c r="BC602" s="0" t="str">
        <f aca="false">IF($A602="","",IFERROR(INDEX(Enrichment!$A$2:$GZ$2000,MATCH($A602,INDEX(Enrichment!$A$2:$GZ$2000,0,MATCH("row_id",Enrichment!$A$1:$GZ$1,0)),0),MATCH("work_email",Enrichment!$A$1:$GZ$1,0))&amp;"",""))</f>
        <v/>
      </c>
      <c r="BD602" s="0" t="str">
        <f aca="false">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P602" s="0" t="str">
        <f aca="false">IF($A602="","",IFERROR(INDEX(Enrichment!$A$2:$GZ$2000,MATCH($A602,INDEX(Enrichment!$A$2:$GZ$2000,0,MATCH("row_id",Enrichment!$A$1:$GZ$1,0)),0),MATCH("backup_work_email",Enrichment!$A$1:$GZ$1,0))&amp;"",""))</f>
        <v/>
      </c>
      <c r="BQ602" s="0" t="str">
        <f aca="false">IF($A602="","",IF(BP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DU602" s="0" t="str">
        <f aca="false">IF($A602="","",IF(R602="Y",10,0))</f>
        <v/>
      </c>
      <c r="EV602" s="0" t="str">
        <f aca="false">IF($A602="","",IF(ISNUMBER(MATCH(U602,{"queued","contacted","replied","call_booked","call_done","yes_in_principle","materials_sent"},0)),"Y","N"))</f>
        <v/>
      </c>
      <c r="EW602" s="0" t="str">
        <f aca="false">IF($A602="","",IF(OR(T602="Y",U602="do_not_contact",AQ602&amp;""&lt;&gt;""),"Y","N"))</f>
        <v/>
      </c>
      <c r="EX602" s="0" t="str">
        <f aca="false">IF($A602="","",IF(AN602&amp;""&lt;&gt;"",AN602&amp;"",$A602))</f>
        <v/>
      </c>
      <c r="EY602" s="0" t="str">
        <f aca="false">IF($A602="","",IF(COUNTIFS($EX$2:$EX$1000,EX602,$EV$2:$EV$1000,"Y")+COUNTIFS($EX$2:$EX$1000,EX602,$EW$2:$EW$1000,"Y")&gt;0,"Y","N"))</f>
        <v/>
      </c>
      <c r="EZ602" s="0" t="str">
        <f aca="false">IF($A602="","",IF(AND(U602="new",T602="N",EW602="N",AR602="Y",EY602="N"),"Y","N"))</f>
        <v/>
      </c>
      <c r="FA602" s="0" t="str">
        <f aca="false">IF($A602="","",IF(EZ602&lt;&gt;"Y","N",IF(COUNTIFS($EX$2:$EX$1000,EX602,$EZ$2:$EZ$1000,"Y",$J$2:$J$1000,"&gt;"&amp;J602)+COUNTIFS($EX$2:$EX$1000,EX602,$EZ$2:$EZ$1000,"Y",$J$2:$J$1000,J602,$FG$2:$FG$1000,"&lt;"&amp;FG602)=0,"Y","N")))</f>
        <v/>
      </c>
      <c r="FB602" s="0" t="str">
        <f aca="false">IF($A602="","",IF(AND(EZ602="Y",FA602="Y",Y602&amp;""&lt;&gt;""),IF(Y602&lt;=10,"Y","N"),"N"))</f>
        <v/>
      </c>
      <c r="FC602" s="0" t="str">
        <f aca="false">IF(FB602="Y",Y602,"")</f>
        <v/>
      </c>
      <c r="FD602" s="0" t="str">
        <f aca="false">IF($A602="","",IF(AND(CK602="pass",AU602="Y",AV602&lt;&gt;"Y",U602="new",EW602="N"),"Y","N"))</f>
        <v/>
      </c>
      <c r="FE602" s="0" t="str">
        <f aca="false">IF(FD602&lt;&gt;"Y","",IF(COUNTIFS($FD$2:$FD$1000,"Y",$J$2:$J$1000,"&gt;"&amp;J602)+COUNTIFS($FD$2:$FD$1000,"Y",$J$2:$J$1000,J602,$FG$2:$FG$1000,"&lt;"&amp;FG602)+1&lt;=30,COUNTIFS($FD$2:$FD$1000,"Y",$J$2:$J$1000,"&gt;"&amp;J602)+COUNTIFS($FD$2:$FD$1000,"Y",$J$2:$J$1000,J602,$FG$2:$FG$1000,"&lt;"&amp;FG602)+1,""))</f>
        <v/>
      </c>
      <c r="FF602" s="0" t="str">
        <f aca="false">IF(AND(_xlfn.ISFORMULA(C602),_xlfn.ISFORMULA(J602)),"Y","N")</f>
        <v>Y</v>
      </c>
      <c r="FG602" s="0" t="n">
        <f aca="false">ROW()-1</f>
        <v>601</v>
      </c>
    </row>
    <row r="603" customFormat="false" ht="15" hidden="false" customHeight="false" outlineLevel="0" collapsed="false">
      <c r="C603" s="0" t="str">
        <f aca="false">IF($A603="","",IF(AT603="Y",BL603&amp;"",AY603&amp;""))</f>
        <v/>
      </c>
      <c r="D603" s="0" t="str">
        <f aca="false">IF($A603="","",IF(AT603="Y",BM603&amp;"",AZ603&amp;""))</f>
        <v/>
      </c>
      <c r="E603" s="0" t="str">
        <f aca="false">IF($A603="","",IF(AT603="Y",BN603&amp;"",BA603&amp;""))</f>
        <v/>
      </c>
      <c r="F603" s="0" t="str">
        <f aca="false">IF($A603="","",IF(AT603="Y",BO603&amp;"",BB603&amp;""))</f>
        <v/>
      </c>
      <c r="G603" s="0" t="str">
        <f aca="false">IF($A603="","",IF(AT603="Y",BP603&amp;"",BC603&amp;""))</f>
        <v/>
      </c>
      <c r="H603" s="0" t="str">
        <f aca="false">IF($A603="","",IF(AT603="Y",BQ603&amp;"",BD603&amp;""))</f>
        <v/>
      </c>
      <c r="I603" s="0" t="str">
        <f aca="false">IF($A603="","",IF(R603="Y","warm-intro",IF(H603="verified","email",IF(C603&lt;&gt;"","linkedin",CA603&amp;""))))</f>
        <v/>
      </c>
      <c r="J603" s="0" t="str">
        <f aca="false">IF($A603="","",IF(CK603="pass",ROUND(N(DO603)+N(DP603)+N(DQ603)+N(DR603)+N(DS603)+N(DT603)+N(DU603)+N(DV603),0),0))</f>
        <v/>
      </c>
      <c r="K603" s="0" t="str">
        <f aca="false">IF($A603="","",IF(CK603&lt;&gt;"pass",BY603&amp;"",BY603&amp;", "&amp;IF(AT603="Y",BX603&amp;"",BK603&amp;"")&amp;BZ603&amp;IF(R603="Y","; known to the founder (+10)","")&amp;"."))</f>
        <v/>
      </c>
      <c r="R603" s="5"/>
      <c r="T603" s="5"/>
      <c r="U603" s="5"/>
      <c r="Y603" s="0" t="str">
        <f aca="false">IF(FA603&lt;&gt;"Y","",COUNTIFS($FA$2:$FA$1000,"Y",$J$2:$J$1000,"&gt;"&amp;J603)+COUNTIFS($FA$2:$FA$1000,"Y",$J$2:$J$1000,J603,$FG$2:$FG$1000,"&lt;"&amp;FG603)+1)</f>
        <v/>
      </c>
      <c r="AB603" s="0" t="str">
        <f aca="false">IF($A603="","",IF(AT603="Y",BW603&amp;"",BJ603&amp;""))</f>
        <v/>
      </c>
      <c r="AC603" s="0" t="str">
        <f aca="false">IF($A603="","",IF(AT603="Y",BR603&amp;"",BE603&amp;""))</f>
        <v/>
      </c>
      <c r="AD603" s="0" t="str">
        <f aca="false">IF($A603="","",IF(AT603="Y",BS603&amp;"",BF603&amp;""))</f>
        <v/>
      </c>
      <c r="AE603" s="0" t="str">
        <f aca="false">IF($A603="","",IF(AT603="Y",BT603&amp;"",BG603&amp;""))</f>
        <v/>
      </c>
      <c r="AF603" s="0" t="str">
        <f aca="false">IF($A603="","",IF(AT603="Y",BU603&amp;"",BH603&amp;""))</f>
        <v/>
      </c>
      <c r="AG603" s="0" t="str">
        <f aca="false">IF($A603="","",IF(AT603="Y",BV603&amp;"",BI603&amp;""))</f>
        <v/>
      </c>
      <c r="AO603" s="5"/>
      <c r="AR603" s="0" t="str">
        <f aca="false">IF($A603="","",IF(AND(CK603="pass",AO603&lt;&gt;"Y",C603&lt;&gt;"",OR(AU603&lt;&gt;"Y",AV603="Y")),"Y","N"))</f>
        <v/>
      </c>
      <c r="AS603" s="0" t="str">
        <f aca="false">IF($A603="","",_xlfn.TEXTJOIN("; ",TRUE(),IF(CK603&lt;&gt;"pass","gated out",""),IF(AO603="Y","on hold: "&amp;AP603,""),IF(C603="","no contact named on an opened page",""),IF(AND(AU603="Y",AV603&lt;&gt;"Y"),"founder review pending (Founder review tab)","")))</f>
        <v/>
      </c>
      <c r="BC603" s="0" t="str">
        <f aca="false">IF($A603="","",IFERROR(INDEX(Enrichment!$A$2:$GZ$2000,MATCH($A603,INDEX(Enrichment!$A$2:$GZ$2000,0,MATCH("row_id",Enrichment!$A$1:$GZ$1,0)),0),MATCH("work_email",Enrichment!$A$1:$GZ$1,0))&amp;"",""))</f>
        <v/>
      </c>
      <c r="BD603" s="0" t="str">
        <f aca="false">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P603" s="0" t="str">
        <f aca="false">IF($A603="","",IFERROR(INDEX(Enrichment!$A$2:$GZ$2000,MATCH($A603,INDEX(Enrichment!$A$2:$GZ$2000,0,MATCH("row_id",Enrichment!$A$1:$GZ$1,0)),0),MATCH("backup_work_email",Enrichment!$A$1:$GZ$1,0))&amp;"",""))</f>
        <v/>
      </c>
      <c r="BQ603" s="0" t="str">
        <f aca="false">IF($A603="","",IF(BP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DU603" s="0" t="str">
        <f aca="false">IF($A603="","",IF(R603="Y",10,0))</f>
        <v/>
      </c>
      <c r="EV603" s="0" t="str">
        <f aca="false">IF($A603="","",IF(ISNUMBER(MATCH(U603,{"queued","contacted","replied","call_booked","call_done","yes_in_principle","materials_sent"},0)),"Y","N"))</f>
        <v/>
      </c>
      <c r="EW603" s="0" t="str">
        <f aca="false">IF($A603="","",IF(OR(T603="Y",U603="do_not_contact",AQ603&amp;""&lt;&gt;""),"Y","N"))</f>
        <v/>
      </c>
      <c r="EX603" s="0" t="str">
        <f aca="false">IF($A603="","",IF(AN603&amp;""&lt;&gt;"",AN603&amp;"",$A603))</f>
        <v/>
      </c>
      <c r="EY603" s="0" t="str">
        <f aca="false">IF($A603="","",IF(COUNTIFS($EX$2:$EX$1000,EX603,$EV$2:$EV$1000,"Y")+COUNTIFS($EX$2:$EX$1000,EX603,$EW$2:$EW$1000,"Y")&gt;0,"Y","N"))</f>
        <v/>
      </c>
      <c r="EZ603" s="0" t="str">
        <f aca="false">IF($A603="","",IF(AND(U603="new",T603="N",EW603="N",AR603="Y",EY603="N"),"Y","N"))</f>
        <v/>
      </c>
      <c r="FA603" s="0" t="str">
        <f aca="false">IF($A603="","",IF(EZ603&lt;&gt;"Y","N",IF(COUNTIFS($EX$2:$EX$1000,EX603,$EZ$2:$EZ$1000,"Y",$J$2:$J$1000,"&gt;"&amp;J603)+COUNTIFS($EX$2:$EX$1000,EX603,$EZ$2:$EZ$1000,"Y",$J$2:$J$1000,J603,$FG$2:$FG$1000,"&lt;"&amp;FG603)=0,"Y","N")))</f>
        <v/>
      </c>
      <c r="FB603" s="0" t="str">
        <f aca="false">IF($A603="","",IF(AND(EZ603="Y",FA603="Y",Y603&amp;""&lt;&gt;""),IF(Y603&lt;=10,"Y","N"),"N"))</f>
        <v/>
      </c>
      <c r="FC603" s="0" t="str">
        <f aca="false">IF(FB603="Y",Y603,"")</f>
        <v/>
      </c>
      <c r="FD603" s="0" t="str">
        <f aca="false">IF($A603="","",IF(AND(CK603="pass",AU603="Y",AV603&lt;&gt;"Y",U603="new",EW603="N"),"Y","N"))</f>
        <v/>
      </c>
      <c r="FE603" s="0" t="str">
        <f aca="false">IF(FD603&lt;&gt;"Y","",IF(COUNTIFS($FD$2:$FD$1000,"Y",$J$2:$J$1000,"&gt;"&amp;J603)+COUNTIFS($FD$2:$FD$1000,"Y",$J$2:$J$1000,J603,$FG$2:$FG$1000,"&lt;"&amp;FG603)+1&lt;=30,COUNTIFS($FD$2:$FD$1000,"Y",$J$2:$J$1000,"&gt;"&amp;J603)+COUNTIFS($FD$2:$FD$1000,"Y",$J$2:$J$1000,J603,$FG$2:$FG$1000,"&lt;"&amp;FG603)+1,""))</f>
        <v/>
      </c>
      <c r="FF603" s="0" t="str">
        <f aca="false">IF(AND(_xlfn.ISFORMULA(C603),_xlfn.ISFORMULA(J603)),"Y","N")</f>
        <v>Y</v>
      </c>
      <c r="FG603" s="0" t="n">
        <f aca="false">ROW()-1</f>
        <v>602</v>
      </c>
    </row>
    <row r="604" customFormat="false" ht="15" hidden="false" customHeight="false" outlineLevel="0" collapsed="false">
      <c r="C604" s="0" t="str">
        <f aca="false">IF($A604="","",IF(AT604="Y",BL604&amp;"",AY604&amp;""))</f>
        <v/>
      </c>
      <c r="D604" s="0" t="str">
        <f aca="false">IF($A604="","",IF(AT604="Y",BM604&amp;"",AZ604&amp;""))</f>
        <v/>
      </c>
      <c r="E604" s="0" t="str">
        <f aca="false">IF($A604="","",IF(AT604="Y",BN604&amp;"",BA604&amp;""))</f>
        <v/>
      </c>
      <c r="F604" s="0" t="str">
        <f aca="false">IF($A604="","",IF(AT604="Y",BO604&amp;"",BB604&amp;""))</f>
        <v/>
      </c>
      <c r="G604" s="0" t="str">
        <f aca="false">IF($A604="","",IF(AT604="Y",BP604&amp;"",BC604&amp;""))</f>
        <v/>
      </c>
      <c r="H604" s="0" t="str">
        <f aca="false">IF($A604="","",IF(AT604="Y",BQ604&amp;"",BD604&amp;""))</f>
        <v/>
      </c>
      <c r="I604" s="0" t="str">
        <f aca="false">IF($A604="","",IF(R604="Y","warm-intro",IF(H604="verified","email",IF(C604&lt;&gt;"","linkedin",CA604&amp;""))))</f>
        <v/>
      </c>
      <c r="J604" s="0" t="str">
        <f aca="false">IF($A604="","",IF(CK604="pass",ROUND(N(DO604)+N(DP604)+N(DQ604)+N(DR604)+N(DS604)+N(DT604)+N(DU604)+N(DV604),0),0))</f>
        <v/>
      </c>
      <c r="K604" s="0" t="str">
        <f aca="false">IF($A604="","",IF(CK604&lt;&gt;"pass",BY604&amp;"",BY604&amp;", "&amp;IF(AT604="Y",BX604&amp;"",BK604&amp;"")&amp;BZ604&amp;IF(R604="Y","; known to the founder (+10)","")&amp;"."))</f>
        <v/>
      </c>
      <c r="R604" s="5"/>
      <c r="T604" s="5"/>
      <c r="U604" s="5"/>
      <c r="Y604" s="0" t="str">
        <f aca="false">IF(FA604&lt;&gt;"Y","",COUNTIFS($FA$2:$FA$1000,"Y",$J$2:$J$1000,"&gt;"&amp;J604)+COUNTIFS($FA$2:$FA$1000,"Y",$J$2:$J$1000,J604,$FG$2:$FG$1000,"&lt;"&amp;FG604)+1)</f>
        <v/>
      </c>
      <c r="AB604" s="0" t="str">
        <f aca="false">IF($A604="","",IF(AT604="Y",BW604&amp;"",BJ604&amp;""))</f>
        <v/>
      </c>
      <c r="AC604" s="0" t="str">
        <f aca="false">IF($A604="","",IF(AT604="Y",BR604&amp;"",BE604&amp;""))</f>
        <v/>
      </c>
      <c r="AD604" s="0" t="str">
        <f aca="false">IF($A604="","",IF(AT604="Y",BS604&amp;"",BF604&amp;""))</f>
        <v/>
      </c>
      <c r="AE604" s="0" t="str">
        <f aca="false">IF($A604="","",IF(AT604="Y",BT604&amp;"",BG604&amp;""))</f>
        <v/>
      </c>
      <c r="AF604" s="0" t="str">
        <f aca="false">IF($A604="","",IF(AT604="Y",BU604&amp;"",BH604&amp;""))</f>
        <v/>
      </c>
      <c r="AG604" s="0" t="str">
        <f aca="false">IF($A604="","",IF(AT604="Y",BV604&amp;"",BI604&amp;""))</f>
        <v/>
      </c>
      <c r="AO604" s="5"/>
      <c r="AR604" s="0" t="str">
        <f aca="false">IF($A604="","",IF(AND(CK604="pass",AO604&lt;&gt;"Y",C604&lt;&gt;"",OR(AU604&lt;&gt;"Y",AV604="Y")),"Y","N"))</f>
        <v/>
      </c>
      <c r="AS604" s="0" t="str">
        <f aca="false">IF($A604="","",_xlfn.TEXTJOIN("; ",TRUE(),IF(CK604&lt;&gt;"pass","gated out",""),IF(AO604="Y","on hold: "&amp;AP604,""),IF(C604="","no contact named on an opened page",""),IF(AND(AU604="Y",AV604&lt;&gt;"Y"),"founder review pending (Founder review tab)","")))</f>
        <v/>
      </c>
      <c r="BC604" s="0" t="str">
        <f aca="false">IF($A604="","",IFERROR(INDEX(Enrichment!$A$2:$GZ$2000,MATCH($A604,INDEX(Enrichment!$A$2:$GZ$2000,0,MATCH("row_id",Enrichment!$A$1:$GZ$1,0)),0),MATCH("work_email",Enrichment!$A$1:$GZ$1,0))&amp;"",""))</f>
        <v/>
      </c>
      <c r="BD604" s="0" t="str">
        <f aca="false">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P604" s="0" t="str">
        <f aca="false">IF($A604="","",IFERROR(INDEX(Enrichment!$A$2:$GZ$2000,MATCH($A604,INDEX(Enrichment!$A$2:$GZ$2000,0,MATCH("row_id",Enrichment!$A$1:$GZ$1,0)),0),MATCH("backup_work_email",Enrichment!$A$1:$GZ$1,0))&amp;"",""))</f>
        <v/>
      </c>
      <c r="BQ604" s="0" t="str">
        <f aca="false">IF($A604="","",IF(BP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DU604" s="0" t="str">
        <f aca="false">IF($A604="","",IF(R604="Y",10,0))</f>
        <v/>
      </c>
      <c r="EV604" s="0" t="str">
        <f aca="false">IF($A604="","",IF(ISNUMBER(MATCH(U604,{"queued","contacted","replied","call_booked","call_done","yes_in_principle","materials_sent"},0)),"Y","N"))</f>
        <v/>
      </c>
      <c r="EW604" s="0" t="str">
        <f aca="false">IF($A604="","",IF(OR(T604="Y",U604="do_not_contact",AQ604&amp;""&lt;&gt;""),"Y","N"))</f>
        <v/>
      </c>
      <c r="EX604" s="0" t="str">
        <f aca="false">IF($A604="","",IF(AN604&amp;""&lt;&gt;"",AN604&amp;"",$A604))</f>
        <v/>
      </c>
      <c r="EY604" s="0" t="str">
        <f aca="false">IF($A604="","",IF(COUNTIFS($EX$2:$EX$1000,EX604,$EV$2:$EV$1000,"Y")+COUNTIFS($EX$2:$EX$1000,EX604,$EW$2:$EW$1000,"Y")&gt;0,"Y","N"))</f>
        <v/>
      </c>
      <c r="EZ604" s="0" t="str">
        <f aca="false">IF($A604="","",IF(AND(U604="new",T604="N",EW604="N",AR604="Y",EY604="N"),"Y","N"))</f>
        <v/>
      </c>
      <c r="FA604" s="0" t="str">
        <f aca="false">IF($A604="","",IF(EZ604&lt;&gt;"Y","N",IF(COUNTIFS($EX$2:$EX$1000,EX604,$EZ$2:$EZ$1000,"Y",$J$2:$J$1000,"&gt;"&amp;J604)+COUNTIFS($EX$2:$EX$1000,EX604,$EZ$2:$EZ$1000,"Y",$J$2:$J$1000,J604,$FG$2:$FG$1000,"&lt;"&amp;FG604)=0,"Y","N")))</f>
        <v/>
      </c>
      <c r="FB604" s="0" t="str">
        <f aca="false">IF($A604="","",IF(AND(EZ604="Y",FA604="Y",Y604&amp;""&lt;&gt;""),IF(Y604&lt;=10,"Y","N"),"N"))</f>
        <v/>
      </c>
      <c r="FC604" s="0" t="str">
        <f aca="false">IF(FB604="Y",Y604,"")</f>
        <v/>
      </c>
      <c r="FD604" s="0" t="str">
        <f aca="false">IF($A604="","",IF(AND(CK604="pass",AU604="Y",AV604&lt;&gt;"Y",U604="new",EW604="N"),"Y","N"))</f>
        <v/>
      </c>
      <c r="FE604" s="0" t="str">
        <f aca="false">IF(FD604&lt;&gt;"Y","",IF(COUNTIFS($FD$2:$FD$1000,"Y",$J$2:$J$1000,"&gt;"&amp;J604)+COUNTIFS($FD$2:$FD$1000,"Y",$J$2:$J$1000,J604,$FG$2:$FG$1000,"&lt;"&amp;FG604)+1&lt;=30,COUNTIFS($FD$2:$FD$1000,"Y",$J$2:$J$1000,"&gt;"&amp;J604)+COUNTIFS($FD$2:$FD$1000,"Y",$J$2:$J$1000,J604,$FG$2:$FG$1000,"&lt;"&amp;FG604)+1,""))</f>
        <v/>
      </c>
      <c r="FF604" s="0" t="str">
        <f aca="false">IF(AND(_xlfn.ISFORMULA(C604),_xlfn.ISFORMULA(J604)),"Y","N")</f>
        <v>Y</v>
      </c>
      <c r="FG604" s="0" t="n">
        <f aca="false">ROW()-1</f>
        <v>603</v>
      </c>
    </row>
    <row r="605" customFormat="false" ht="15" hidden="false" customHeight="false" outlineLevel="0" collapsed="false">
      <c r="C605" s="0" t="str">
        <f aca="false">IF($A605="","",IF(AT605="Y",BL605&amp;"",AY605&amp;""))</f>
        <v/>
      </c>
      <c r="D605" s="0" t="str">
        <f aca="false">IF($A605="","",IF(AT605="Y",BM605&amp;"",AZ605&amp;""))</f>
        <v/>
      </c>
      <c r="E605" s="0" t="str">
        <f aca="false">IF($A605="","",IF(AT605="Y",BN605&amp;"",BA605&amp;""))</f>
        <v/>
      </c>
      <c r="F605" s="0" t="str">
        <f aca="false">IF($A605="","",IF(AT605="Y",BO605&amp;"",BB605&amp;""))</f>
        <v/>
      </c>
      <c r="G605" s="0" t="str">
        <f aca="false">IF($A605="","",IF(AT605="Y",BP605&amp;"",BC605&amp;""))</f>
        <v/>
      </c>
      <c r="H605" s="0" t="str">
        <f aca="false">IF($A605="","",IF(AT605="Y",BQ605&amp;"",BD605&amp;""))</f>
        <v/>
      </c>
      <c r="I605" s="0" t="str">
        <f aca="false">IF($A605="","",IF(R605="Y","warm-intro",IF(H605="verified","email",IF(C605&lt;&gt;"","linkedin",CA605&amp;""))))</f>
        <v/>
      </c>
      <c r="J605" s="0" t="str">
        <f aca="false">IF($A605="","",IF(CK605="pass",ROUND(N(DO605)+N(DP605)+N(DQ605)+N(DR605)+N(DS605)+N(DT605)+N(DU605)+N(DV605),0),0))</f>
        <v/>
      </c>
      <c r="K605" s="0" t="str">
        <f aca="false">IF($A605="","",IF(CK605&lt;&gt;"pass",BY605&amp;"",BY605&amp;", "&amp;IF(AT605="Y",BX605&amp;"",BK605&amp;"")&amp;BZ605&amp;IF(R605="Y","; known to the founder (+10)","")&amp;"."))</f>
        <v/>
      </c>
      <c r="R605" s="5"/>
      <c r="T605" s="5"/>
      <c r="U605" s="5"/>
      <c r="Y605" s="0" t="str">
        <f aca="false">IF(FA605&lt;&gt;"Y","",COUNTIFS($FA$2:$FA$1000,"Y",$J$2:$J$1000,"&gt;"&amp;J605)+COUNTIFS($FA$2:$FA$1000,"Y",$J$2:$J$1000,J605,$FG$2:$FG$1000,"&lt;"&amp;FG605)+1)</f>
        <v/>
      </c>
      <c r="AB605" s="0" t="str">
        <f aca="false">IF($A605="","",IF(AT605="Y",BW605&amp;"",BJ605&amp;""))</f>
        <v/>
      </c>
      <c r="AC605" s="0" t="str">
        <f aca="false">IF($A605="","",IF(AT605="Y",BR605&amp;"",BE605&amp;""))</f>
        <v/>
      </c>
      <c r="AD605" s="0" t="str">
        <f aca="false">IF($A605="","",IF(AT605="Y",BS605&amp;"",BF605&amp;""))</f>
        <v/>
      </c>
      <c r="AE605" s="0" t="str">
        <f aca="false">IF($A605="","",IF(AT605="Y",BT605&amp;"",BG605&amp;""))</f>
        <v/>
      </c>
      <c r="AF605" s="0" t="str">
        <f aca="false">IF($A605="","",IF(AT605="Y",BU605&amp;"",BH605&amp;""))</f>
        <v/>
      </c>
      <c r="AG605" s="0" t="str">
        <f aca="false">IF($A605="","",IF(AT605="Y",BV605&amp;"",BI605&amp;""))</f>
        <v/>
      </c>
      <c r="AO605" s="5"/>
      <c r="AR605" s="0" t="str">
        <f aca="false">IF($A605="","",IF(AND(CK605="pass",AO605&lt;&gt;"Y",C605&lt;&gt;"",OR(AU605&lt;&gt;"Y",AV605="Y")),"Y","N"))</f>
        <v/>
      </c>
      <c r="AS605" s="0" t="str">
        <f aca="false">IF($A605="","",_xlfn.TEXTJOIN("; ",TRUE(),IF(CK605&lt;&gt;"pass","gated out",""),IF(AO605="Y","on hold: "&amp;AP605,""),IF(C605="","no contact named on an opened page",""),IF(AND(AU605="Y",AV605&lt;&gt;"Y"),"founder review pending (Founder review tab)","")))</f>
        <v/>
      </c>
      <c r="BC605" s="0" t="str">
        <f aca="false">IF($A605="","",IFERROR(INDEX(Enrichment!$A$2:$GZ$2000,MATCH($A605,INDEX(Enrichment!$A$2:$GZ$2000,0,MATCH("row_id",Enrichment!$A$1:$GZ$1,0)),0),MATCH("work_email",Enrichment!$A$1:$GZ$1,0))&amp;"",""))</f>
        <v/>
      </c>
      <c r="BD605" s="0" t="str">
        <f aca="false">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P605" s="0" t="str">
        <f aca="false">IF($A605="","",IFERROR(INDEX(Enrichment!$A$2:$GZ$2000,MATCH($A605,INDEX(Enrichment!$A$2:$GZ$2000,0,MATCH("row_id",Enrichment!$A$1:$GZ$1,0)),0),MATCH("backup_work_email",Enrichment!$A$1:$GZ$1,0))&amp;"",""))</f>
        <v/>
      </c>
      <c r="BQ605" s="0" t="str">
        <f aca="false">IF($A605="","",IF(BP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DU605" s="0" t="str">
        <f aca="false">IF($A605="","",IF(R605="Y",10,0))</f>
        <v/>
      </c>
      <c r="EV605" s="0" t="str">
        <f aca="false">IF($A605="","",IF(ISNUMBER(MATCH(U605,{"queued","contacted","replied","call_booked","call_done","yes_in_principle","materials_sent"},0)),"Y","N"))</f>
        <v/>
      </c>
      <c r="EW605" s="0" t="str">
        <f aca="false">IF($A605="","",IF(OR(T605="Y",U605="do_not_contact",AQ605&amp;""&lt;&gt;""),"Y","N"))</f>
        <v/>
      </c>
      <c r="EX605" s="0" t="str">
        <f aca="false">IF($A605="","",IF(AN605&amp;""&lt;&gt;"",AN605&amp;"",$A605))</f>
        <v/>
      </c>
      <c r="EY605" s="0" t="str">
        <f aca="false">IF($A605="","",IF(COUNTIFS($EX$2:$EX$1000,EX605,$EV$2:$EV$1000,"Y")+COUNTIFS($EX$2:$EX$1000,EX605,$EW$2:$EW$1000,"Y")&gt;0,"Y","N"))</f>
        <v/>
      </c>
      <c r="EZ605" s="0" t="str">
        <f aca="false">IF($A605="","",IF(AND(U605="new",T605="N",EW605="N",AR605="Y",EY605="N"),"Y","N"))</f>
        <v/>
      </c>
      <c r="FA605" s="0" t="str">
        <f aca="false">IF($A605="","",IF(EZ605&lt;&gt;"Y","N",IF(COUNTIFS($EX$2:$EX$1000,EX605,$EZ$2:$EZ$1000,"Y",$J$2:$J$1000,"&gt;"&amp;J605)+COUNTIFS($EX$2:$EX$1000,EX605,$EZ$2:$EZ$1000,"Y",$J$2:$J$1000,J605,$FG$2:$FG$1000,"&lt;"&amp;FG605)=0,"Y","N")))</f>
        <v/>
      </c>
      <c r="FB605" s="0" t="str">
        <f aca="false">IF($A605="","",IF(AND(EZ605="Y",FA605="Y",Y605&amp;""&lt;&gt;""),IF(Y605&lt;=10,"Y","N"),"N"))</f>
        <v/>
      </c>
      <c r="FC605" s="0" t="str">
        <f aca="false">IF(FB605="Y",Y605,"")</f>
        <v/>
      </c>
      <c r="FD605" s="0" t="str">
        <f aca="false">IF($A605="","",IF(AND(CK605="pass",AU605="Y",AV605&lt;&gt;"Y",U605="new",EW605="N"),"Y","N"))</f>
        <v/>
      </c>
      <c r="FE605" s="0" t="str">
        <f aca="false">IF(FD605&lt;&gt;"Y","",IF(COUNTIFS($FD$2:$FD$1000,"Y",$J$2:$J$1000,"&gt;"&amp;J605)+COUNTIFS($FD$2:$FD$1000,"Y",$J$2:$J$1000,J605,$FG$2:$FG$1000,"&lt;"&amp;FG605)+1&lt;=30,COUNTIFS($FD$2:$FD$1000,"Y",$J$2:$J$1000,"&gt;"&amp;J605)+COUNTIFS($FD$2:$FD$1000,"Y",$J$2:$J$1000,J605,$FG$2:$FG$1000,"&lt;"&amp;FG605)+1,""))</f>
        <v/>
      </c>
      <c r="FF605" s="0" t="str">
        <f aca="false">IF(AND(_xlfn.ISFORMULA(C605),_xlfn.ISFORMULA(J605)),"Y","N")</f>
        <v>Y</v>
      </c>
      <c r="FG605" s="0" t="n">
        <f aca="false">ROW()-1</f>
        <v>604</v>
      </c>
    </row>
    <row r="606" customFormat="false" ht="15" hidden="false" customHeight="false" outlineLevel="0" collapsed="false">
      <c r="C606" s="0" t="str">
        <f aca="false">IF($A606="","",IF(AT606="Y",BL606&amp;"",AY606&amp;""))</f>
        <v/>
      </c>
      <c r="D606" s="0" t="str">
        <f aca="false">IF($A606="","",IF(AT606="Y",BM606&amp;"",AZ606&amp;""))</f>
        <v/>
      </c>
      <c r="E606" s="0" t="str">
        <f aca="false">IF($A606="","",IF(AT606="Y",BN606&amp;"",BA606&amp;""))</f>
        <v/>
      </c>
      <c r="F606" s="0" t="str">
        <f aca="false">IF($A606="","",IF(AT606="Y",BO606&amp;"",BB606&amp;""))</f>
        <v/>
      </c>
      <c r="G606" s="0" t="str">
        <f aca="false">IF($A606="","",IF(AT606="Y",BP606&amp;"",BC606&amp;""))</f>
        <v/>
      </c>
      <c r="H606" s="0" t="str">
        <f aca="false">IF($A606="","",IF(AT606="Y",BQ606&amp;"",BD606&amp;""))</f>
        <v/>
      </c>
      <c r="I606" s="0" t="str">
        <f aca="false">IF($A606="","",IF(R606="Y","warm-intro",IF(H606="verified","email",IF(C606&lt;&gt;"","linkedin",CA606&amp;""))))</f>
        <v/>
      </c>
      <c r="J606" s="0" t="str">
        <f aca="false">IF($A606="","",IF(CK606="pass",ROUND(N(DO606)+N(DP606)+N(DQ606)+N(DR606)+N(DS606)+N(DT606)+N(DU606)+N(DV606),0),0))</f>
        <v/>
      </c>
      <c r="K606" s="0" t="str">
        <f aca="false">IF($A606="","",IF(CK606&lt;&gt;"pass",BY606&amp;"",BY606&amp;", "&amp;IF(AT606="Y",BX606&amp;"",BK606&amp;"")&amp;BZ606&amp;IF(R606="Y","; known to the founder (+10)","")&amp;"."))</f>
        <v/>
      </c>
      <c r="R606" s="5"/>
      <c r="T606" s="5"/>
      <c r="U606" s="5"/>
      <c r="Y606" s="0" t="str">
        <f aca="false">IF(FA606&lt;&gt;"Y","",COUNTIFS($FA$2:$FA$1000,"Y",$J$2:$J$1000,"&gt;"&amp;J606)+COUNTIFS($FA$2:$FA$1000,"Y",$J$2:$J$1000,J606,$FG$2:$FG$1000,"&lt;"&amp;FG606)+1)</f>
        <v/>
      </c>
      <c r="AB606" s="0" t="str">
        <f aca="false">IF($A606="","",IF(AT606="Y",BW606&amp;"",BJ606&amp;""))</f>
        <v/>
      </c>
      <c r="AC606" s="0" t="str">
        <f aca="false">IF($A606="","",IF(AT606="Y",BR606&amp;"",BE606&amp;""))</f>
        <v/>
      </c>
      <c r="AD606" s="0" t="str">
        <f aca="false">IF($A606="","",IF(AT606="Y",BS606&amp;"",BF606&amp;""))</f>
        <v/>
      </c>
      <c r="AE606" s="0" t="str">
        <f aca="false">IF($A606="","",IF(AT606="Y",BT606&amp;"",BG606&amp;""))</f>
        <v/>
      </c>
      <c r="AF606" s="0" t="str">
        <f aca="false">IF($A606="","",IF(AT606="Y",BU606&amp;"",BH606&amp;""))</f>
        <v/>
      </c>
      <c r="AG606" s="0" t="str">
        <f aca="false">IF($A606="","",IF(AT606="Y",BV606&amp;"",BI606&amp;""))</f>
        <v/>
      </c>
      <c r="AO606" s="5"/>
      <c r="AR606" s="0" t="str">
        <f aca="false">IF($A606="","",IF(AND(CK606="pass",AO606&lt;&gt;"Y",C606&lt;&gt;"",OR(AU606&lt;&gt;"Y",AV606="Y")),"Y","N"))</f>
        <v/>
      </c>
      <c r="AS606" s="0" t="str">
        <f aca="false">IF($A606="","",_xlfn.TEXTJOIN("; ",TRUE(),IF(CK606&lt;&gt;"pass","gated out",""),IF(AO606="Y","on hold: "&amp;AP606,""),IF(C606="","no contact named on an opened page",""),IF(AND(AU606="Y",AV606&lt;&gt;"Y"),"founder review pending (Founder review tab)","")))</f>
        <v/>
      </c>
      <c r="BC606" s="0" t="str">
        <f aca="false">IF($A606="","",IFERROR(INDEX(Enrichment!$A$2:$GZ$2000,MATCH($A606,INDEX(Enrichment!$A$2:$GZ$2000,0,MATCH("row_id",Enrichment!$A$1:$GZ$1,0)),0),MATCH("work_email",Enrichment!$A$1:$GZ$1,0))&amp;"",""))</f>
        <v/>
      </c>
      <c r="BD606" s="0" t="str">
        <f aca="false">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P606" s="0" t="str">
        <f aca="false">IF($A606="","",IFERROR(INDEX(Enrichment!$A$2:$GZ$2000,MATCH($A606,INDEX(Enrichment!$A$2:$GZ$2000,0,MATCH("row_id",Enrichment!$A$1:$GZ$1,0)),0),MATCH("backup_work_email",Enrichment!$A$1:$GZ$1,0))&amp;"",""))</f>
        <v/>
      </c>
      <c r="BQ606" s="0" t="str">
        <f aca="false">IF($A606="","",IF(BP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DU606" s="0" t="str">
        <f aca="false">IF($A606="","",IF(R606="Y",10,0))</f>
        <v/>
      </c>
      <c r="EV606" s="0" t="str">
        <f aca="false">IF($A606="","",IF(ISNUMBER(MATCH(U606,{"queued","contacted","replied","call_booked","call_done","yes_in_principle","materials_sent"},0)),"Y","N"))</f>
        <v/>
      </c>
      <c r="EW606" s="0" t="str">
        <f aca="false">IF($A606="","",IF(OR(T606="Y",U606="do_not_contact",AQ606&amp;""&lt;&gt;""),"Y","N"))</f>
        <v/>
      </c>
      <c r="EX606" s="0" t="str">
        <f aca="false">IF($A606="","",IF(AN606&amp;""&lt;&gt;"",AN606&amp;"",$A606))</f>
        <v/>
      </c>
      <c r="EY606" s="0" t="str">
        <f aca="false">IF($A606="","",IF(COUNTIFS($EX$2:$EX$1000,EX606,$EV$2:$EV$1000,"Y")+COUNTIFS($EX$2:$EX$1000,EX606,$EW$2:$EW$1000,"Y")&gt;0,"Y","N"))</f>
        <v/>
      </c>
      <c r="EZ606" s="0" t="str">
        <f aca="false">IF($A606="","",IF(AND(U606="new",T606="N",EW606="N",AR606="Y",EY606="N"),"Y","N"))</f>
        <v/>
      </c>
      <c r="FA606" s="0" t="str">
        <f aca="false">IF($A606="","",IF(EZ606&lt;&gt;"Y","N",IF(COUNTIFS($EX$2:$EX$1000,EX606,$EZ$2:$EZ$1000,"Y",$J$2:$J$1000,"&gt;"&amp;J606)+COUNTIFS($EX$2:$EX$1000,EX606,$EZ$2:$EZ$1000,"Y",$J$2:$J$1000,J606,$FG$2:$FG$1000,"&lt;"&amp;FG606)=0,"Y","N")))</f>
        <v/>
      </c>
      <c r="FB606" s="0" t="str">
        <f aca="false">IF($A606="","",IF(AND(EZ606="Y",FA606="Y",Y606&amp;""&lt;&gt;""),IF(Y606&lt;=10,"Y","N"),"N"))</f>
        <v/>
      </c>
      <c r="FC606" s="0" t="str">
        <f aca="false">IF(FB606="Y",Y606,"")</f>
        <v/>
      </c>
      <c r="FD606" s="0" t="str">
        <f aca="false">IF($A606="","",IF(AND(CK606="pass",AU606="Y",AV606&lt;&gt;"Y",U606="new",EW606="N"),"Y","N"))</f>
        <v/>
      </c>
      <c r="FE606" s="0" t="str">
        <f aca="false">IF(FD606&lt;&gt;"Y","",IF(COUNTIFS($FD$2:$FD$1000,"Y",$J$2:$J$1000,"&gt;"&amp;J606)+COUNTIFS($FD$2:$FD$1000,"Y",$J$2:$J$1000,J606,$FG$2:$FG$1000,"&lt;"&amp;FG606)+1&lt;=30,COUNTIFS($FD$2:$FD$1000,"Y",$J$2:$J$1000,"&gt;"&amp;J606)+COUNTIFS($FD$2:$FD$1000,"Y",$J$2:$J$1000,J606,$FG$2:$FG$1000,"&lt;"&amp;FG606)+1,""))</f>
        <v/>
      </c>
      <c r="FF606" s="0" t="str">
        <f aca="false">IF(AND(_xlfn.ISFORMULA(C606),_xlfn.ISFORMULA(J606)),"Y","N")</f>
        <v>Y</v>
      </c>
      <c r="FG606" s="0" t="n">
        <f aca="false">ROW()-1</f>
        <v>605</v>
      </c>
    </row>
    <row r="607" customFormat="false" ht="15" hidden="false" customHeight="false" outlineLevel="0" collapsed="false">
      <c r="C607" s="0" t="str">
        <f aca="false">IF($A607="","",IF(AT607="Y",BL607&amp;"",AY607&amp;""))</f>
        <v/>
      </c>
      <c r="D607" s="0" t="str">
        <f aca="false">IF($A607="","",IF(AT607="Y",BM607&amp;"",AZ607&amp;""))</f>
        <v/>
      </c>
      <c r="E607" s="0" t="str">
        <f aca="false">IF($A607="","",IF(AT607="Y",BN607&amp;"",BA607&amp;""))</f>
        <v/>
      </c>
      <c r="F607" s="0" t="str">
        <f aca="false">IF($A607="","",IF(AT607="Y",BO607&amp;"",BB607&amp;""))</f>
        <v/>
      </c>
      <c r="G607" s="0" t="str">
        <f aca="false">IF($A607="","",IF(AT607="Y",BP607&amp;"",BC607&amp;""))</f>
        <v/>
      </c>
      <c r="H607" s="0" t="str">
        <f aca="false">IF($A607="","",IF(AT607="Y",BQ607&amp;"",BD607&amp;""))</f>
        <v/>
      </c>
      <c r="I607" s="0" t="str">
        <f aca="false">IF($A607="","",IF(R607="Y","warm-intro",IF(H607="verified","email",IF(C607&lt;&gt;"","linkedin",CA607&amp;""))))</f>
        <v/>
      </c>
      <c r="J607" s="0" t="str">
        <f aca="false">IF($A607="","",IF(CK607="pass",ROUND(N(DO607)+N(DP607)+N(DQ607)+N(DR607)+N(DS607)+N(DT607)+N(DU607)+N(DV607),0),0))</f>
        <v/>
      </c>
      <c r="K607" s="0" t="str">
        <f aca="false">IF($A607="","",IF(CK607&lt;&gt;"pass",BY607&amp;"",BY607&amp;", "&amp;IF(AT607="Y",BX607&amp;"",BK607&amp;"")&amp;BZ607&amp;IF(R607="Y","; known to the founder (+10)","")&amp;"."))</f>
        <v/>
      </c>
      <c r="R607" s="5"/>
      <c r="T607" s="5"/>
      <c r="U607" s="5"/>
      <c r="Y607" s="0" t="str">
        <f aca="false">IF(FA607&lt;&gt;"Y","",COUNTIFS($FA$2:$FA$1000,"Y",$J$2:$J$1000,"&gt;"&amp;J607)+COUNTIFS($FA$2:$FA$1000,"Y",$J$2:$J$1000,J607,$FG$2:$FG$1000,"&lt;"&amp;FG607)+1)</f>
        <v/>
      </c>
      <c r="AB607" s="0" t="str">
        <f aca="false">IF($A607="","",IF(AT607="Y",BW607&amp;"",BJ607&amp;""))</f>
        <v/>
      </c>
      <c r="AC607" s="0" t="str">
        <f aca="false">IF($A607="","",IF(AT607="Y",BR607&amp;"",BE607&amp;""))</f>
        <v/>
      </c>
      <c r="AD607" s="0" t="str">
        <f aca="false">IF($A607="","",IF(AT607="Y",BS607&amp;"",BF607&amp;""))</f>
        <v/>
      </c>
      <c r="AE607" s="0" t="str">
        <f aca="false">IF($A607="","",IF(AT607="Y",BT607&amp;"",BG607&amp;""))</f>
        <v/>
      </c>
      <c r="AF607" s="0" t="str">
        <f aca="false">IF($A607="","",IF(AT607="Y",BU607&amp;"",BH607&amp;""))</f>
        <v/>
      </c>
      <c r="AG607" s="0" t="str">
        <f aca="false">IF($A607="","",IF(AT607="Y",BV607&amp;"",BI607&amp;""))</f>
        <v/>
      </c>
      <c r="AO607" s="5"/>
      <c r="AR607" s="0" t="str">
        <f aca="false">IF($A607="","",IF(AND(CK607="pass",AO607&lt;&gt;"Y",C607&lt;&gt;"",OR(AU607&lt;&gt;"Y",AV607="Y")),"Y","N"))</f>
        <v/>
      </c>
      <c r="AS607" s="0" t="str">
        <f aca="false">IF($A607="","",_xlfn.TEXTJOIN("; ",TRUE(),IF(CK607&lt;&gt;"pass","gated out",""),IF(AO607="Y","on hold: "&amp;AP607,""),IF(C607="","no contact named on an opened page",""),IF(AND(AU607="Y",AV607&lt;&gt;"Y"),"founder review pending (Founder review tab)","")))</f>
        <v/>
      </c>
      <c r="BC607" s="0" t="str">
        <f aca="false">IF($A607="","",IFERROR(INDEX(Enrichment!$A$2:$GZ$2000,MATCH($A607,INDEX(Enrichment!$A$2:$GZ$2000,0,MATCH("row_id",Enrichment!$A$1:$GZ$1,0)),0),MATCH("work_email",Enrichment!$A$1:$GZ$1,0))&amp;"",""))</f>
        <v/>
      </c>
      <c r="BD607" s="0" t="str">
        <f aca="false">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P607" s="0" t="str">
        <f aca="false">IF($A607="","",IFERROR(INDEX(Enrichment!$A$2:$GZ$2000,MATCH($A607,INDEX(Enrichment!$A$2:$GZ$2000,0,MATCH("row_id",Enrichment!$A$1:$GZ$1,0)),0),MATCH("backup_work_email",Enrichment!$A$1:$GZ$1,0))&amp;"",""))</f>
        <v/>
      </c>
      <c r="BQ607" s="0" t="str">
        <f aca="false">IF($A607="","",IF(BP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DU607" s="0" t="str">
        <f aca="false">IF($A607="","",IF(R607="Y",10,0))</f>
        <v/>
      </c>
      <c r="EV607" s="0" t="str">
        <f aca="false">IF($A607="","",IF(ISNUMBER(MATCH(U607,{"queued","contacted","replied","call_booked","call_done","yes_in_principle","materials_sent"},0)),"Y","N"))</f>
        <v/>
      </c>
      <c r="EW607" s="0" t="str">
        <f aca="false">IF($A607="","",IF(OR(T607="Y",U607="do_not_contact",AQ607&amp;""&lt;&gt;""),"Y","N"))</f>
        <v/>
      </c>
      <c r="EX607" s="0" t="str">
        <f aca="false">IF($A607="","",IF(AN607&amp;""&lt;&gt;"",AN607&amp;"",$A607))</f>
        <v/>
      </c>
      <c r="EY607" s="0" t="str">
        <f aca="false">IF($A607="","",IF(COUNTIFS($EX$2:$EX$1000,EX607,$EV$2:$EV$1000,"Y")+COUNTIFS($EX$2:$EX$1000,EX607,$EW$2:$EW$1000,"Y")&gt;0,"Y","N"))</f>
        <v/>
      </c>
      <c r="EZ607" s="0" t="str">
        <f aca="false">IF($A607="","",IF(AND(U607="new",T607="N",EW607="N",AR607="Y",EY607="N"),"Y","N"))</f>
        <v/>
      </c>
      <c r="FA607" s="0" t="str">
        <f aca="false">IF($A607="","",IF(EZ607&lt;&gt;"Y","N",IF(COUNTIFS($EX$2:$EX$1000,EX607,$EZ$2:$EZ$1000,"Y",$J$2:$J$1000,"&gt;"&amp;J607)+COUNTIFS($EX$2:$EX$1000,EX607,$EZ$2:$EZ$1000,"Y",$J$2:$J$1000,J607,$FG$2:$FG$1000,"&lt;"&amp;FG607)=0,"Y","N")))</f>
        <v/>
      </c>
      <c r="FB607" s="0" t="str">
        <f aca="false">IF($A607="","",IF(AND(EZ607="Y",FA607="Y",Y607&amp;""&lt;&gt;""),IF(Y607&lt;=10,"Y","N"),"N"))</f>
        <v/>
      </c>
      <c r="FC607" s="0" t="str">
        <f aca="false">IF(FB607="Y",Y607,"")</f>
        <v/>
      </c>
      <c r="FD607" s="0" t="str">
        <f aca="false">IF($A607="","",IF(AND(CK607="pass",AU607="Y",AV607&lt;&gt;"Y",U607="new",EW607="N"),"Y","N"))</f>
        <v/>
      </c>
      <c r="FE607" s="0" t="str">
        <f aca="false">IF(FD607&lt;&gt;"Y","",IF(COUNTIFS($FD$2:$FD$1000,"Y",$J$2:$J$1000,"&gt;"&amp;J607)+COUNTIFS($FD$2:$FD$1000,"Y",$J$2:$J$1000,J607,$FG$2:$FG$1000,"&lt;"&amp;FG607)+1&lt;=30,COUNTIFS($FD$2:$FD$1000,"Y",$J$2:$J$1000,"&gt;"&amp;J607)+COUNTIFS($FD$2:$FD$1000,"Y",$J$2:$J$1000,J607,$FG$2:$FG$1000,"&lt;"&amp;FG607)+1,""))</f>
        <v/>
      </c>
      <c r="FF607" s="0" t="str">
        <f aca="false">IF(AND(_xlfn.ISFORMULA(C607),_xlfn.ISFORMULA(J607)),"Y","N")</f>
        <v>Y</v>
      </c>
      <c r="FG607" s="0" t="n">
        <f aca="false">ROW()-1</f>
        <v>606</v>
      </c>
    </row>
    <row r="608" customFormat="false" ht="15" hidden="false" customHeight="false" outlineLevel="0" collapsed="false">
      <c r="C608" s="0" t="str">
        <f aca="false">IF($A608="","",IF(AT608="Y",BL608&amp;"",AY608&amp;""))</f>
        <v/>
      </c>
      <c r="D608" s="0" t="str">
        <f aca="false">IF($A608="","",IF(AT608="Y",BM608&amp;"",AZ608&amp;""))</f>
        <v/>
      </c>
      <c r="E608" s="0" t="str">
        <f aca="false">IF($A608="","",IF(AT608="Y",BN608&amp;"",BA608&amp;""))</f>
        <v/>
      </c>
      <c r="F608" s="0" t="str">
        <f aca="false">IF($A608="","",IF(AT608="Y",BO608&amp;"",BB608&amp;""))</f>
        <v/>
      </c>
      <c r="G608" s="0" t="str">
        <f aca="false">IF($A608="","",IF(AT608="Y",BP608&amp;"",BC608&amp;""))</f>
        <v/>
      </c>
      <c r="H608" s="0" t="str">
        <f aca="false">IF($A608="","",IF(AT608="Y",BQ608&amp;"",BD608&amp;""))</f>
        <v/>
      </c>
      <c r="I608" s="0" t="str">
        <f aca="false">IF($A608="","",IF(R608="Y","warm-intro",IF(H608="verified","email",IF(C608&lt;&gt;"","linkedin",CA608&amp;""))))</f>
        <v/>
      </c>
      <c r="J608" s="0" t="str">
        <f aca="false">IF($A608="","",IF(CK608="pass",ROUND(N(DO608)+N(DP608)+N(DQ608)+N(DR608)+N(DS608)+N(DT608)+N(DU608)+N(DV608),0),0))</f>
        <v/>
      </c>
      <c r="K608" s="0" t="str">
        <f aca="false">IF($A608="","",IF(CK608&lt;&gt;"pass",BY608&amp;"",BY608&amp;", "&amp;IF(AT608="Y",BX608&amp;"",BK608&amp;"")&amp;BZ608&amp;IF(R608="Y","; known to the founder (+10)","")&amp;"."))</f>
        <v/>
      </c>
      <c r="R608" s="5"/>
      <c r="T608" s="5"/>
      <c r="U608" s="5"/>
      <c r="Y608" s="0" t="str">
        <f aca="false">IF(FA608&lt;&gt;"Y","",COUNTIFS($FA$2:$FA$1000,"Y",$J$2:$J$1000,"&gt;"&amp;J608)+COUNTIFS($FA$2:$FA$1000,"Y",$J$2:$J$1000,J608,$FG$2:$FG$1000,"&lt;"&amp;FG608)+1)</f>
        <v/>
      </c>
      <c r="AB608" s="0" t="str">
        <f aca="false">IF($A608="","",IF(AT608="Y",BW608&amp;"",BJ608&amp;""))</f>
        <v/>
      </c>
      <c r="AC608" s="0" t="str">
        <f aca="false">IF($A608="","",IF(AT608="Y",BR608&amp;"",BE608&amp;""))</f>
        <v/>
      </c>
      <c r="AD608" s="0" t="str">
        <f aca="false">IF($A608="","",IF(AT608="Y",BS608&amp;"",BF608&amp;""))</f>
        <v/>
      </c>
      <c r="AE608" s="0" t="str">
        <f aca="false">IF($A608="","",IF(AT608="Y",BT608&amp;"",BG608&amp;""))</f>
        <v/>
      </c>
      <c r="AF608" s="0" t="str">
        <f aca="false">IF($A608="","",IF(AT608="Y",BU608&amp;"",BH608&amp;""))</f>
        <v/>
      </c>
      <c r="AG608" s="0" t="str">
        <f aca="false">IF($A608="","",IF(AT608="Y",BV608&amp;"",BI608&amp;""))</f>
        <v/>
      </c>
      <c r="AO608" s="5"/>
      <c r="AR608" s="0" t="str">
        <f aca="false">IF($A608="","",IF(AND(CK608="pass",AO608&lt;&gt;"Y",C608&lt;&gt;"",OR(AU608&lt;&gt;"Y",AV608="Y")),"Y","N"))</f>
        <v/>
      </c>
      <c r="AS608" s="0" t="str">
        <f aca="false">IF($A608="","",_xlfn.TEXTJOIN("; ",TRUE(),IF(CK608&lt;&gt;"pass","gated out",""),IF(AO608="Y","on hold: "&amp;AP608,""),IF(C608="","no contact named on an opened page",""),IF(AND(AU608="Y",AV608&lt;&gt;"Y"),"founder review pending (Founder review tab)","")))</f>
        <v/>
      </c>
      <c r="BC608" s="0" t="str">
        <f aca="false">IF($A608="","",IFERROR(INDEX(Enrichment!$A$2:$GZ$2000,MATCH($A608,INDEX(Enrichment!$A$2:$GZ$2000,0,MATCH("row_id",Enrichment!$A$1:$GZ$1,0)),0),MATCH("work_email",Enrichment!$A$1:$GZ$1,0))&amp;"",""))</f>
        <v/>
      </c>
      <c r="BD608" s="0" t="str">
        <f aca="false">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P608" s="0" t="str">
        <f aca="false">IF($A608="","",IFERROR(INDEX(Enrichment!$A$2:$GZ$2000,MATCH($A608,INDEX(Enrichment!$A$2:$GZ$2000,0,MATCH("row_id",Enrichment!$A$1:$GZ$1,0)),0),MATCH("backup_work_email",Enrichment!$A$1:$GZ$1,0))&amp;"",""))</f>
        <v/>
      </c>
      <c r="BQ608" s="0" t="str">
        <f aca="false">IF($A608="","",IF(BP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DU608" s="0" t="str">
        <f aca="false">IF($A608="","",IF(R608="Y",10,0))</f>
        <v/>
      </c>
      <c r="EV608" s="0" t="str">
        <f aca="false">IF($A608="","",IF(ISNUMBER(MATCH(U608,{"queued","contacted","replied","call_booked","call_done","yes_in_principle","materials_sent"},0)),"Y","N"))</f>
        <v/>
      </c>
      <c r="EW608" s="0" t="str">
        <f aca="false">IF($A608="","",IF(OR(T608="Y",U608="do_not_contact",AQ608&amp;""&lt;&gt;""),"Y","N"))</f>
        <v/>
      </c>
      <c r="EX608" s="0" t="str">
        <f aca="false">IF($A608="","",IF(AN608&amp;""&lt;&gt;"",AN608&amp;"",$A608))</f>
        <v/>
      </c>
      <c r="EY608" s="0" t="str">
        <f aca="false">IF($A608="","",IF(COUNTIFS($EX$2:$EX$1000,EX608,$EV$2:$EV$1000,"Y")+COUNTIFS($EX$2:$EX$1000,EX608,$EW$2:$EW$1000,"Y")&gt;0,"Y","N"))</f>
        <v/>
      </c>
      <c r="EZ608" s="0" t="str">
        <f aca="false">IF($A608="","",IF(AND(U608="new",T608="N",EW608="N",AR608="Y",EY608="N"),"Y","N"))</f>
        <v/>
      </c>
      <c r="FA608" s="0" t="str">
        <f aca="false">IF($A608="","",IF(EZ608&lt;&gt;"Y","N",IF(COUNTIFS($EX$2:$EX$1000,EX608,$EZ$2:$EZ$1000,"Y",$J$2:$J$1000,"&gt;"&amp;J608)+COUNTIFS($EX$2:$EX$1000,EX608,$EZ$2:$EZ$1000,"Y",$J$2:$J$1000,J608,$FG$2:$FG$1000,"&lt;"&amp;FG608)=0,"Y","N")))</f>
        <v/>
      </c>
      <c r="FB608" s="0" t="str">
        <f aca="false">IF($A608="","",IF(AND(EZ608="Y",FA608="Y",Y608&amp;""&lt;&gt;""),IF(Y608&lt;=10,"Y","N"),"N"))</f>
        <v/>
      </c>
      <c r="FC608" s="0" t="str">
        <f aca="false">IF(FB608="Y",Y608,"")</f>
        <v/>
      </c>
      <c r="FD608" s="0" t="str">
        <f aca="false">IF($A608="","",IF(AND(CK608="pass",AU608="Y",AV608&lt;&gt;"Y",U608="new",EW608="N"),"Y","N"))</f>
        <v/>
      </c>
      <c r="FE608" s="0" t="str">
        <f aca="false">IF(FD608&lt;&gt;"Y","",IF(COUNTIFS($FD$2:$FD$1000,"Y",$J$2:$J$1000,"&gt;"&amp;J608)+COUNTIFS($FD$2:$FD$1000,"Y",$J$2:$J$1000,J608,$FG$2:$FG$1000,"&lt;"&amp;FG608)+1&lt;=30,COUNTIFS($FD$2:$FD$1000,"Y",$J$2:$J$1000,"&gt;"&amp;J608)+COUNTIFS($FD$2:$FD$1000,"Y",$J$2:$J$1000,J608,$FG$2:$FG$1000,"&lt;"&amp;FG608)+1,""))</f>
        <v/>
      </c>
      <c r="FF608" s="0" t="str">
        <f aca="false">IF(AND(_xlfn.ISFORMULA(C608),_xlfn.ISFORMULA(J608)),"Y","N")</f>
        <v>Y</v>
      </c>
      <c r="FG608" s="0" t="n">
        <f aca="false">ROW()-1</f>
        <v>607</v>
      </c>
    </row>
    <row r="609" customFormat="false" ht="15" hidden="false" customHeight="false" outlineLevel="0" collapsed="false">
      <c r="C609" s="0" t="str">
        <f aca="false">IF($A609="","",IF(AT609="Y",BL609&amp;"",AY609&amp;""))</f>
        <v/>
      </c>
      <c r="D609" s="0" t="str">
        <f aca="false">IF($A609="","",IF(AT609="Y",BM609&amp;"",AZ609&amp;""))</f>
        <v/>
      </c>
      <c r="E609" s="0" t="str">
        <f aca="false">IF($A609="","",IF(AT609="Y",BN609&amp;"",BA609&amp;""))</f>
        <v/>
      </c>
      <c r="F609" s="0" t="str">
        <f aca="false">IF($A609="","",IF(AT609="Y",BO609&amp;"",BB609&amp;""))</f>
        <v/>
      </c>
      <c r="G609" s="0" t="str">
        <f aca="false">IF($A609="","",IF(AT609="Y",BP609&amp;"",BC609&amp;""))</f>
        <v/>
      </c>
      <c r="H609" s="0" t="str">
        <f aca="false">IF($A609="","",IF(AT609="Y",BQ609&amp;"",BD609&amp;""))</f>
        <v/>
      </c>
      <c r="I609" s="0" t="str">
        <f aca="false">IF($A609="","",IF(R609="Y","warm-intro",IF(H609="verified","email",IF(C609&lt;&gt;"","linkedin",CA609&amp;""))))</f>
        <v/>
      </c>
      <c r="J609" s="0" t="str">
        <f aca="false">IF($A609="","",IF(CK609="pass",ROUND(N(DO609)+N(DP609)+N(DQ609)+N(DR609)+N(DS609)+N(DT609)+N(DU609)+N(DV609),0),0))</f>
        <v/>
      </c>
      <c r="K609" s="0" t="str">
        <f aca="false">IF($A609="","",IF(CK609&lt;&gt;"pass",BY609&amp;"",BY609&amp;", "&amp;IF(AT609="Y",BX609&amp;"",BK609&amp;"")&amp;BZ609&amp;IF(R609="Y","; known to the founder (+10)","")&amp;"."))</f>
        <v/>
      </c>
      <c r="R609" s="5"/>
      <c r="T609" s="5"/>
      <c r="U609" s="5"/>
      <c r="Y609" s="0" t="str">
        <f aca="false">IF(FA609&lt;&gt;"Y","",COUNTIFS($FA$2:$FA$1000,"Y",$J$2:$J$1000,"&gt;"&amp;J609)+COUNTIFS($FA$2:$FA$1000,"Y",$J$2:$J$1000,J609,$FG$2:$FG$1000,"&lt;"&amp;FG609)+1)</f>
        <v/>
      </c>
      <c r="AB609" s="0" t="str">
        <f aca="false">IF($A609="","",IF(AT609="Y",BW609&amp;"",BJ609&amp;""))</f>
        <v/>
      </c>
      <c r="AC609" s="0" t="str">
        <f aca="false">IF($A609="","",IF(AT609="Y",BR609&amp;"",BE609&amp;""))</f>
        <v/>
      </c>
      <c r="AD609" s="0" t="str">
        <f aca="false">IF($A609="","",IF(AT609="Y",BS609&amp;"",BF609&amp;""))</f>
        <v/>
      </c>
      <c r="AE609" s="0" t="str">
        <f aca="false">IF($A609="","",IF(AT609="Y",BT609&amp;"",BG609&amp;""))</f>
        <v/>
      </c>
      <c r="AF609" s="0" t="str">
        <f aca="false">IF($A609="","",IF(AT609="Y",BU609&amp;"",BH609&amp;""))</f>
        <v/>
      </c>
      <c r="AG609" s="0" t="str">
        <f aca="false">IF($A609="","",IF(AT609="Y",BV609&amp;"",BI609&amp;""))</f>
        <v/>
      </c>
      <c r="AO609" s="5"/>
      <c r="AR609" s="0" t="str">
        <f aca="false">IF($A609="","",IF(AND(CK609="pass",AO609&lt;&gt;"Y",C609&lt;&gt;"",OR(AU609&lt;&gt;"Y",AV609="Y")),"Y","N"))</f>
        <v/>
      </c>
      <c r="AS609" s="0" t="str">
        <f aca="false">IF($A609="","",_xlfn.TEXTJOIN("; ",TRUE(),IF(CK609&lt;&gt;"pass","gated out",""),IF(AO609="Y","on hold: "&amp;AP609,""),IF(C609="","no contact named on an opened page",""),IF(AND(AU609="Y",AV609&lt;&gt;"Y"),"founder review pending (Founder review tab)","")))</f>
        <v/>
      </c>
      <c r="BC609" s="0" t="str">
        <f aca="false">IF($A609="","",IFERROR(INDEX(Enrichment!$A$2:$GZ$2000,MATCH($A609,INDEX(Enrichment!$A$2:$GZ$2000,0,MATCH("row_id",Enrichment!$A$1:$GZ$1,0)),0),MATCH("work_email",Enrichment!$A$1:$GZ$1,0))&amp;"",""))</f>
        <v/>
      </c>
      <c r="BD609" s="0" t="str">
        <f aca="false">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P609" s="0" t="str">
        <f aca="false">IF($A609="","",IFERROR(INDEX(Enrichment!$A$2:$GZ$2000,MATCH($A609,INDEX(Enrichment!$A$2:$GZ$2000,0,MATCH("row_id",Enrichment!$A$1:$GZ$1,0)),0),MATCH("backup_work_email",Enrichment!$A$1:$GZ$1,0))&amp;"",""))</f>
        <v/>
      </c>
      <c r="BQ609" s="0" t="str">
        <f aca="false">IF($A609="","",IF(BP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DU609" s="0" t="str">
        <f aca="false">IF($A609="","",IF(R609="Y",10,0))</f>
        <v/>
      </c>
      <c r="EV609" s="0" t="str">
        <f aca="false">IF($A609="","",IF(ISNUMBER(MATCH(U609,{"queued","contacted","replied","call_booked","call_done","yes_in_principle","materials_sent"},0)),"Y","N"))</f>
        <v/>
      </c>
      <c r="EW609" s="0" t="str">
        <f aca="false">IF($A609="","",IF(OR(T609="Y",U609="do_not_contact",AQ609&amp;""&lt;&gt;""),"Y","N"))</f>
        <v/>
      </c>
      <c r="EX609" s="0" t="str">
        <f aca="false">IF($A609="","",IF(AN609&amp;""&lt;&gt;"",AN609&amp;"",$A609))</f>
        <v/>
      </c>
      <c r="EY609" s="0" t="str">
        <f aca="false">IF($A609="","",IF(COUNTIFS($EX$2:$EX$1000,EX609,$EV$2:$EV$1000,"Y")+COUNTIFS($EX$2:$EX$1000,EX609,$EW$2:$EW$1000,"Y")&gt;0,"Y","N"))</f>
        <v/>
      </c>
      <c r="EZ609" s="0" t="str">
        <f aca="false">IF($A609="","",IF(AND(U609="new",T609="N",EW609="N",AR609="Y",EY609="N"),"Y","N"))</f>
        <v/>
      </c>
      <c r="FA609" s="0" t="str">
        <f aca="false">IF($A609="","",IF(EZ609&lt;&gt;"Y","N",IF(COUNTIFS($EX$2:$EX$1000,EX609,$EZ$2:$EZ$1000,"Y",$J$2:$J$1000,"&gt;"&amp;J609)+COUNTIFS($EX$2:$EX$1000,EX609,$EZ$2:$EZ$1000,"Y",$J$2:$J$1000,J609,$FG$2:$FG$1000,"&lt;"&amp;FG609)=0,"Y","N")))</f>
        <v/>
      </c>
      <c r="FB609" s="0" t="str">
        <f aca="false">IF($A609="","",IF(AND(EZ609="Y",FA609="Y",Y609&amp;""&lt;&gt;""),IF(Y609&lt;=10,"Y","N"),"N"))</f>
        <v/>
      </c>
      <c r="FC609" s="0" t="str">
        <f aca="false">IF(FB609="Y",Y609,"")</f>
        <v/>
      </c>
      <c r="FD609" s="0" t="str">
        <f aca="false">IF($A609="","",IF(AND(CK609="pass",AU609="Y",AV609&lt;&gt;"Y",U609="new",EW609="N"),"Y","N"))</f>
        <v/>
      </c>
      <c r="FE609" s="0" t="str">
        <f aca="false">IF(FD609&lt;&gt;"Y","",IF(COUNTIFS($FD$2:$FD$1000,"Y",$J$2:$J$1000,"&gt;"&amp;J609)+COUNTIFS($FD$2:$FD$1000,"Y",$J$2:$J$1000,J609,$FG$2:$FG$1000,"&lt;"&amp;FG609)+1&lt;=30,COUNTIFS($FD$2:$FD$1000,"Y",$J$2:$J$1000,"&gt;"&amp;J609)+COUNTIFS($FD$2:$FD$1000,"Y",$J$2:$J$1000,J609,$FG$2:$FG$1000,"&lt;"&amp;FG609)+1,""))</f>
        <v/>
      </c>
      <c r="FF609" s="0" t="str">
        <f aca="false">IF(AND(_xlfn.ISFORMULA(C609),_xlfn.ISFORMULA(J609)),"Y","N")</f>
        <v>Y</v>
      </c>
      <c r="FG609" s="0" t="n">
        <f aca="false">ROW()-1</f>
        <v>608</v>
      </c>
    </row>
    <row r="610" customFormat="false" ht="15" hidden="false" customHeight="false" outlineLevel="0" collapsed="false">
      <c r="C610" s="0" t="str">
        <f aca="false">IF($A610="","",IF(AT610="Y",BL610&amp;"",AY610&amp;""))</f>
        <v/>
      </c>
      <c r="D610" s="0" t="str">
        <f aca="false">IF($A610="","",IF(AT610="Y",BM610&amp;"",AZ610&amp;""))</f>
        <v/>
      </c>
      <c r="E610" s="0" t="str">
        <f aca="false">IF($A610="","",IF(AT610="Y",BN610&amp;"",BA610&amp;""))</f>
        <v/>
      </c>
      <c r="F610" s="0" t="str">
        <f aca="false">IF($A610="","",IF(AT610="Y",BO610&amp;"",BB610&amp;""))</f>
        <v/>
      </c>
      <c r="G610" s="0" t="str">
        <f aca="false">IF($A610="","",IF(AT610="Y",BP610&amp;"",BC610&amp;""))</f>
        <v/>
      </c>
      <c r="H610" s="0" t="str">
        <f aca="false">IF($A610="","",IF(AT610="Y",BQ610&amp;"",BD610&amp;""))</f>
        <v/>
      </c>
      <c r="I610" s="0" t="str">
        <f aca="false">IF($A610="","",IF(R610="Y","warm-intro",IF(H610="verified","email",IF(C610&lt;&gt;"","linkedin",CA610&amp;""))))</f>
        <v/>
      </c>
      <c r="J610" s="0" t="str">
        <f aca="false">IF($A610="","",IF(CK610="pass",ROUND(N(DO610)+N(DP610)+N(DQ610)+N(DR610)+N(DS610)+N(DT610)+N(DU610)+N(DV610),0),0))</f>
        <v/>
      </c>
      <c r="K610" s="0" t="str">
        <f aca="false">IF($A610="","",IF(CK610&lt;&gt;"pass",BY610&amp;"",BY610&amp;", "&amp;IF(AT610="Y",BX610&amp;"",BK610&amp;"")&amp;BZ610&amp;IF(R610="Y","; known to the founder (+10)","")&amp;"."))</f>
        <v/>
      </c>
      <c r="R610" s="5"/>
      <c r="T610" s="5"/>
      <c r="U610" s="5"/>
      <c r="Y610" s="0" t="str">
        <f aca="false">IF(FA610&lt;&gt;"Y","",COUNTIFS($FA$2:$FA$1000,"Y",$J$2:$J$1000,"&gt;"&amp;J610)+COUNTIFS($FA$2:$FA$1000,"Y",$J$2:$J$1000,J610,$FG$2:$FG$1000,"&lt;"&amp;FG610)+1)</f>
        <v/>
      </c>
      <c r="AB610" s="0" t="str">
        <f aca="false">IF($A610="","",IF(AT610="Y",BW610&amp;"",BJ610&amp;""))</f>
        <v/>
      </c>
      <c r="AC610" s="0" t="str">
        <f aca="false">IF($A610="","",IF(AT610="Y",BR610&amp;"",BE610&amp;""))</f>
        <v/>
      </c>
      <c r="AD610" s="0" t="str">
        <f aca="false">IF($A610="","",IF(AT610="Y",BS610&amp;"",BF610&amp;""))</f>
        <v/>
      </c>
      <c r="AE610" s="0" t="str">
        <f aca="false">IF($A610="","",IF(AT610="Y",BT610&amp;"",BG610&amp;""))</f>
        <v/>
      </c>
      <c r="AF610" s="0" t="str">
        <f aca="false">IF($A610="","",IF(AT610="Y",BU610&amp;"",BH610&amp;""))</f>
        <v/>
      </c>
      <c r="AG610" s="0" t="str">
        <f aca="false">IF($A610="","",IF(AT610="Y",BV610&amp;"",BI610&amp;""))</f>
        <v/>
      </c>
      <c r="AO610" s="5"/>
      <c r="AR610" s="0" t="str">
        <f aca="false">IF($A610="","",IF(AND(CK610="pass",AO610&lt;&gt;"Y",C610&lt;&gt;"",OR(AU610&lt;&gt;"Y",AV610="Y")),"Y","N"))</f>
        <v/>
      </c>
      <c r="AS610" s="0" t="str">
        <f aca="false">IF($A610="","",_xlfn.TEXTJOIN("; ",TRUE(),IF(CK610&lt;&gt;"pass","gated out",""),IF(AO610="Y","on hold: "&amp;AP610,""),IF(C610="","no contact named on an opened page",""),IF(AND(AU610="Y",AV610&lt;&gt;"Y"),"founder review pending (Founder review tab)","")))</f>
        <v/>
      </c>
      <c r="BC610" s="0" t="str">
        <f aca="false">IF($A610="","",IFERROR(INDEX(Enrichment!$A$2:$GZ$2000,MATCH($A610,INDEX(Enrichment!$A$2:$GZ$2000,0,MATCH("row_id",Enrichment!$A$1:$GZ$1,0)),0),MATCH("work_email",Enrichment!$A$1:$GZ$1,0))&amp;"",""))</f>
        <v/>
      </c>
      <c r="BD610" s="0" t="str">
        <f aca="false">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P610" s="0" t="str">
        <f aca="false">IF($A610="","",IFERROR(INDEX(Enrichment!$A$2:$GZ$2000,MATCH($A610,INDEX(Enrichment!$A$2:$GZ$2000,0,MATCH("row_id",Enrichment!$A$1:$GZ$1,0)),0),MATCH("backup_work_email",Enrichment!$A$1:$GZ$1,0))&amp;"",""))</f>
        <v/>
      </c>
      <c r="BQ610" s="0" t="str">
        <f aca="false">IF($A610="","",IF(BP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DU610" s="0" t="str">
        <f aca="false">IF($A610="","",IF(R610="Y",10,0))</f>
        <v/>
      </c>
      <c r="EV610" s="0" t="str">
        <f aca="false">IF($A610="","",IF(ISNUMBER(MATCH(U610,{"queued","contacted","replied","call_booked","call_done","yes_in_principle","materials_sent"},0)),"Y","N"))</f>
        <v/>
      </c>
      <c r="EW610" s="0" t="str">
        <f aca="false">IF($A610="","",IF(OR(T610="Y",U610="do_not_contact",AQ610&amp;""&lt;&gt;""),"Y","N"))</f>
        <v/>
      </c>
      <c r="EX610" s="0" t="str">
        <f aca="false">IF($A610="","",IF(AN610&amp;""&lt;&gt;"",AN610&amp;"",$A610))</f>
        <v/>
      </c>
      <c r="EY610" s="0" t="str">
        <f aca="false">IF($A610="","",IF(COUNTIFS($EX$2:$EX$1000,EX610,$EV$2:$EV$1000,"Y")+COUNTIFS($EX$2:$EX$1000,EX610,$EW$2:$EW$1000,"Y")&gt;0,"Y","N"))</f>
        <v/>
      </c>
      <c r="EZ610" s="0" t="str">
        <f aca="false">IF($A610="","",IF(AND(U610="new",T610="N",EW610="N",AR610="Y",EY610="N"),"Y","N"))</f>
        <v/>
      </c>
      <c r="FA610" s="0" t="str">
        <f aca="false">IF($A610="","",IF(EZ610&lt;&gt;"Y","N",IF(COUNTIFS($EX$2:$EX$1000,EX610,$EZ$2:$EZ$1000,"Y",$J$2:$J$1000,"&gt;"&amp;J610)+COUNTIFS($EX$2:$EX$1000,EX610,$EZ$2:$EZ$1000,"Y",$J$2:$J$1000,J610,$FG$2:$FG$1000,"&lt;"&amp;FG610)=0,"Y","N")))</f>
        <v/>
      </c>
      <c r="FB610" s="0" t="str">
        <f aca="false">IF($A610="","",IF(AND(EZ610="Y",FA610="Y",Y610&amp;""&lt;&gt;""),IF(Y610&lt;=10,"Y","N"),"N"))</f>
        <v/>
      </c>
      <c r="FC610" s="0" t="str">
        <f aca="false">IF(FB610="Y",Y610,"")</f>
        <v/>
      </c>
      <c r="FD610" s="0" t="str">
        <f aca="false">IF($A610="","",IF(AND(CK610="pass",AU610="Y",AV610&lt;&gt;"Y",U610="new",EW610="N"),"Y","N"))</f>
        <v/>
      </c>
      <c r="FE610" s="0" t="str">
        <f aca="false">IF(FD610&lt;&gt;"Y","",IF(COUNTIFS($FD$2:$FD$1000,"Y",$J$2:$J$1000,"&gt;"&amp;J610)+COUNTIFS($FD$2:$FD$1000,"Y",$J$2:$J$1000,J610,$FG$2:$FG$1000,"&lt;"&amp;FG610)+1&lt;=30,COUNTIFS($FD$2:$FD$1000,"Y",$J$2:$J$1000,"&gt;"&amp;J610)+COUNTIFS($FD$2:$FD$1000,"Y",$J$2:$J$1000,J610,$FG$2:$FG$1000,"&lt;"&amp;FG610)+1,""))</f>
        <v/>
      </c>
      <c r="FF610" s="0" t="str">
        <f aca="false">IF(AND(_xlfn.ISFORMULA(C610),_xlfn.ISFORMULA(J610)),"Y","N")</f>
        <v>Y</v>
      </c>
      <c r="FG610" s="0" t="n">
        <f aca="false">ROW()-1</f>
        <v>609</v>
      </c>
    </row>
    <row r="611" customFormat="false" ht="15" hidden="false" customHeight="false" outlineLevel="0" collapsed="false">
      <c r="C611" s="0" t="str">
        <f aca="false">IF($A611="","",IF(AT611="Y",BL611&amp;"",AY611&amp;""))</f>
        <v/>
      </c>
      <c r="D611" s="0" t="str">
        <f aca="false">IF($A611="","",IF(AT611="Y",BM611&amp;"",AZ611&amp;""))</f>
        <v/>
      </c>
      <c r="E611" s="0" t="str">
        <f aca="false">IF($A611="","",IF(AT611="Y",BN611&amp;"",BA611&amp;""))</f>
        <v/>
      </c>
      <c r="F611" s="0" t="str">
        <f aca="false">IF($A611="","",IF(AT611="Y",BO611&amp;"",BB611&amp;""))</f>
        <v/>
      </c>
      <c r="G611" s="0" t="str">
        <f aca="false">IF($A611="","",IF(AT611="Y",BP611&amp;"",BC611&amp;""))</f>
        <v/>
      </c>
      <c r="H611" s="0" t="str">
        <f aca="false">IF($A611="","",IF(AT611="Y",BQ611&amp;"",BD611&amp;""))</f>
        <v/>
      </c>
      <c r="I611" s="0" t="str">
        <f aca="false">IF($A611="","",IF(R611="Y","warm-intro",IF(H611="verified","email",IF(C611&lt;&gt;"","linkedin",CA611&amp;""))))</f>
        <v/>
      </c>
      <c r="J611" s="0" t="str">
        <f aca="false">IF($A611="","",IF(CK611="pass",ROUND(N(DO611)+N(DP611)+N(DQ611)+N(DR611)+N(DS611)+N(DT611)+N(DU611)+N(DV611),0),0))</f>
        <v/>
      </c>
      <c r="K611" s="0" t="str">
        <f aca="false">IF($A611="","",IF(CK611&lt;&gt;"pass",BY611&amp;"",BY611&amp;", "&amp;IF(AT611="Y",BX611&amp;"",BK611&amp;"")&amp;BZ611&amp;IF(R611="Y","; known to the founder (+10)","")&amp;"."))</f>
        <v/>
      </c>
      <c r="R611" s="5"/>
      <c r="T611" s="5"/>
      <c r="U611" s="5"/>
      <c r="Y611" s="0" t="str">
        <f aca="false">IF(FA611&lt;&gt;"Y","",COUNTIFS($FA$2:$FA$1000,"Y",$J$2:$J$1000,"&gt;"&amp;J611)+COUNTIFS($FA$2:$FA$1000,"Y",$J$2:$J$1000,J611,$FG$2:$FG$1000,"&lt;"&amp;FG611)+1)</f>
        <v/>
      </c>
      <c r="AB611" s="0" t="str">
        <f aca="false">IF($A611="","",IF(AT611="Y",BW611&amp;"",BJ611&amp;""))</f>
        <v/>
      </c>
      <c r="AC611" s="0" t="str">
        <f aca="false">IF($A611="","",IF(AT611="Y",BR611&amp;"",BE611&amp;""))</f>
        <v/>
      </c>
      <c r="AD611" s="0" t="str">
        <f aca="false">IF($A611="","",IF(AT611="Y",BS611&amp;"",BF611&amp;""))</f>
        <v/>
      </c>
      <c r="AE611" s="0" t="str">
        <f aca="false">IF($A611="","",IF(AT611="Y",BT611&amp;"",BG611&amp;""))</f>
        <v/>
      </c>
      <c r="AF611" s="0" t="str">
        <f aca="false">IF($A611="","",IF(AT611="Y",BU611&amp;"",BH611&amp;""))</f>
        <v/>
      </c>
      <c r="AG611" s="0" t="str">
        <f aca="false">IF($A611="","",IF(AT611="Y",BV611&amp;"",BI611&amp;""))</f>
        <v/>
      </c>
      <c r="AO611" s="5"/>
      <c r="AR611" s="0" t="str">
        <f aca="false">IF($A611="","",IF(AND(CK611="pass",AO611&lt;&gt;"Y",C611&lt;&gt;"",OR(AU611&lt;&gt;"Y",AV611="Y")),"Y","N"))</f>
        <v/>
      </c>
      <c r="AS611" s="0" t="str">
        <f aca="false">IF($A611="","",_xlfn.TEXTJOIN("; ",TRUE(),IF(CK611&lt;&gt;"pass","gated out",""),IF(AO611="Y","on hold: "&amp;AP611,""),IF(C611="","no contact named on an opened page",""),IF(AND(AU611="Y",AV611&lt;&gt;"Y"),"founder review pending (Founder review tab)","")))</f>
        <v/>
      </c>
      <c r="BC611" s="0" t="str">
        <f aca="false">IF($A611="","",IFERROR(INDEX(Enrichment!$A$2:$GZ$2000,MATCH($A611,INDEX(Enrichment!$A$2:$GZ$2000,0,MATCH("row_id",Enrichment!$A$1:$GZ$1,0)),0),MATCH("work_email",Enrichment!$A$1:$GZ$1,0))&amp;"",""))</f>
        <v/>
      </c>
      <c r="BD611" s="0" t="str">
        <f aca="false">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P611" s="0" t="str">
        <f aca="false">IF($A611="","",IFERROR(INDEX(Enrichment!$A$2:$GZ$2000,MATCH($A611,INDEX(Enrichment!$A$2:$GZ$2000,0,MATCH("row_id",Enrichment!$A$1:$GZ$1,0)),0),MATCH("backup_work_email",Enrichment!$A$1:$GZ$1,0))&amp;"",""))</f>
        <v/>
      </c>
      <c r="BQ611" s="0" t="str">
        <f aca="false">IF($A611="","",IF(BP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DU611" s="0" t="str">
        <f aca="false">IF($A611="","",IF(R611="Y",10,0))</f>
        <v/>
      </c>
      <c r="EV611" s="0" t="str">
        <f aca="false">IF($A611="","",IF(ISNUMBER(MATCH(U611,{"queued","contacted","replied","call_booked","call_done","yes_in_principle","materials_sent"},0)),"Y","N"))</f>
        <v/>
      </c>
      <c r="EW611" s="0" t="str">
        <f aca="false">IF($A611="","",IF(OR(T611="Y",U611="do_not_contact",AQ611&amp;""&lt;&gt;""),"Y","N"))</f>
        <v/>
      </c>
      <c r="EX611" s="0" t="str">
        <f aca="false">IF($A611="","",IF(AN611&amp;""&lt;&gt;"",AN611&amp;"",$A611))</f>
        <v/>
      </c>
      <c r="EY611" s="0" t="str">
        <f aca="false">IF($A611="","",IF(COUNTIFS($EX$2:$EX$1000,EX611,$EV$2:$EV$1000,"Y")+COUNTIFS($EX$2:$EX$1000,EX611,$EW$2:$EW$1000,"Y")&gt;0,"Y","N"))</f>
        <v/>
      </c>
      <c r="EZ611" s="0" t="str">
        <f aca="false">IF($A611="","",IF(AND(U611="new",T611="N",EW611="N",AR611="Y",EY611="N"),"Y","N"))</f>
        <v/>
      </c>
      <c r="FA611" s="0" t="str">
        <f aca="false">IF($A611="","",IF(EZ611&lt;&gt;"Y","N",IF(COUNTIFS($EX$2:$EX$1000,EX611,$EZ$2:$EZ$1000,"Y",$J$2:$J$1000,"&gt;"&amp;J611)+COUNTIFS($EX$2:$EX$1000,EX611,$EZ$2:$EZ$1000,"Y",$J$2:$J$1000,J611,$FG$2:$FG$1000,"&lt;"&amp;FG611)=0,"Y","N")))</f>
        <v/>
      </c>
      <c r="FB611" s="0" t="str">
        <f aca="false">IF($A611="","",IF(AND(EZ611="Y",FA611="Y",Y611&amp;""&lt;&gt;""),IF(Y611&lt;=10,"Y","N"),"N"))</f>
        <v/>
      </c>
      <c r="FC611" s="0" t="str">
        <f aca="false">IF(FB611="Y",Y611,"")</f>
        <v/>
      </c>
      <c r="FD611" s="0" t="str">
        <f aca="false">IF($A611="","",IF(AND(CK611="pass",AU611="Y",AV611&lt;&gt;"Y",U611="new",EW611="N"),"Y","N"))</f>
        <v/>
      </c>
      <c r="FE611" s="0" t="str">
        <f aca="false">IF(FD611&lt;&gt;"Y","",IF(COUNTIFS($FD$2:$FD$1000,"Y",$J$2:$J$1000,"&gt;"&amp;J611)+COUNTIFS($FD$2:$FD$1000,"Y",$J$2:$J$1000,J611,$FG$2:$FG$1000,"&lt;"&amp;FG611)+1&lt;=30,COUNTIFS($FD$2:$FD$1000,"Y",$J$2:$J$1000,"&gt;"&amp;J611)+COUNTIFS($FD$2:$FD$1000,"Y",$J$2:$J$1000,J611,$FG$2:$FG$1000,"&lt;"&amp;FG611)+1,""))</f>
        <v/>
      </c>
      <c r="FF611" s="0" t="str">
        <f aca="false">IF(AND(_xlfn.ISFORMULA(C611),_xlfn.ISFORMULA(J611)),"Y","N")</f>
        <v>Y</v>
      </c>
      <c r="FG611" s="0" t="n">
        <f aca="false">ROW()-1</f>
        <v>610</v>
      </c>
    </row>
    <row r="612" customFormat="false" ht="15" hidden="false" customHeight="false" outlineLevel="0" collapsed="false">
      <c r="C612" s="0" t="str">
        <f aca="false">IF($A612="","",IF(AT612="Y",BL612&amp;"",AY612&amp;""))</f>
        <v/>
      </c>
      <c r="D612" s="0" t="str">
        <f aca="false">IF($A612="","",IF(AT612="Y",BM612&amp;"",AZ612&amp;""))</f>
        <v/>
      </c>
      <c r="E612" s="0" t="str">
        <f aca="false">IF($A612="","",IF(AT612="Y",BN612&amp;"",BA612&amp;""))</f>
        <v/>
      </c>
      <c r="F612" s="0" t="str">
        <f aca="false">IF($A612="","",IF(AT612="Y",BO612&amp;"",BB612&amp;""))</f>
        <v/>
      </c>
      <c r="G612" s="0" t="str">
        <f aca="false">IF($A612="","",IF(AT612="Y",BP612&amp;"",BC612&amp;""))</f>
        <v/>
      </c>
      <c r="H612" s="0" t="str">
        <f aca="false">IF($A612="","",IF(AT612="Y",BQ612&amp;"",BD612&amp;""))</f>
        <v/>
      </c>
      <c r="I612" s="0" t="str">
        <f aca="false">IF($A612="","",IF(R612="Y","warm-intro",IF(H612="verified","email",IF(C612&lt;&gt;"","linkedin",CA612&amp;""))))</f>
        <v/>
      </c>
      <c r="J612" s="0" t="str">
        <f aca="false">IF($A612="","",IF(CK612="pass",ROUND(N(DO612)+N(DP612)+N(DQ612)+N(DR612)+N(DS612)+N(DT612)+N(DU612)+N(DV612),0),0))</f>
        <v/>
      </c>
      <c r="K612" s="0" t="str">
        <f aca="false">IF($A612="","",IF(CK612&lt;&gt;"pass",BY612&amp;"",BY612&amp;", "&amp;IF(AT612="Y",BX612&amp;"",BK612&amp;"")&amp;BZ612&amp;IF(R612="Y","; known to the founder (+10)","")&amp;"."))</f>
        <v/>
      </c>
      <c r="R612" s="5"/>
      <c r="T612" s="5"/>
      <c r="U612" s="5"/>
      <c r="Y612" s="0" t="str">
        <f aca="false">IF(FA612&lt;&gt;"Y","",COUNTIFS($FA$2:$FA$1000,"Y",$J$2:$J$1000,"&gt;"&amp;J612)+COUNTIFS($FA$2:$FA$1000,"Y",$J$2:$J$1000,J612,$FG$2:$FG$1000,"&lt;"&amp;FG612)+1)</f>
        <v/>
      </c>
      <c r="AB612" s="0" t="str">
        <f aca="false">IF($A612="","",IF(AT612="Y",BW612&amp;"",BJ612&amp;""))</f>
        <v/>
      </c>
      <c r="AC612" s="0" t="str">
        <f aca="false">IF($A612="","",IF(AT612="Y",BR612&amp;"",BE612&amp;""))</f>
        <v/>
      </c>
      <c r="AD612" s="0" t="str">
        <f aca="false">IF($A612="","",IF(AT612="Y",BS612&amp;"",BF612&amp;""))</f>
        <v/>
      </c>
      <c r="AE612" s="0" t="str">
        <f aca="false">IF($A612="","",IF(AT612="Y",BT612&amp;"",BG612&amp;""))</f>
        <v/>
      </c>
      <c r="AF612" s="0" t="str">
        <f aca="false">IF($A612="","",IF(AT612="Y",BU612&amp;"",BH612&amp;""))</f>
        <v/>
      </c>
      <c r="AG612" s="0" t="str">
        <f aca="false">IF($A612="","",IF(AT612="Y",BV612&amp;"",BI612&amp;""))</f>
        <v/>
      </c>
      <c r="AO612" s="5"/>
      <c r="AR612" s="0" t="str">
        <f aca="false">IF($A612="","",IF(AND(CK612="pass",AO612&lt;&gt;"Y",C612&lt;&gt;"",OR(AU612&lt;&gt;"Y",AV612="Y")),"Y","N"))</f>
        <v/>
      </c>
      <c r="AS612" s="0" t="str">
        <f aca="false">IF($A612="","",_xlfn.TEXTJOIN("; ",TRUE(),IF(CK612&lt;&gt;"pass","gated out",""),IF(AO612="Y","on hold: "&amp;AP612,""),IF(C612="","no contact named on an opened page",""),IF(AND(AU612="Y",AV612&lt;&gt;"Y"),"founder review pending (Founder review tab)","")))</f>
        <v/>
      </c>
      <c r="BC612" s="0" t="str">
        <f aca="false">IF($A612="","",IFERROR(INDEX(Enrichment!$A$2:$GZ$2000,MATCH($A612,INDEX(Enrichment!$A$2:$GZ$2000,0,MATCH("row_id",Enrichment!$A$1:$GZ$1,0)),0),MATCH("work_email",Enrichment!$A$1:$GZ$1,0))&amp;"",""))</f>
        <v/>
      </c>
      <c r="BD612" s="0" t="str">
        <f aca="false">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P612" s="0" t="str">
        <f aca="false">IF($A612="","",IFERROR(INDEX(Enrichment!$A$2:$GZ$2000,MATCH($A612,INDEX(Enrichment!$A$2:$GZ$2000,0,MATCH("row_id",Enrichment!$A$1:$GZ$1,0)),0),MATCH("backup_work_email",Enrichment!$A$1:$GZ$1,0))&amp;"",""))</f>
        <v/>
      </c>
      <c r="BQ612" s="0" t="str">
        <f aca="false">IF($A612="","",IF(BP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DU612" s="0" t="str">
        <f aca="false">IF($A612="","",IF(R612="Y",10,0))</f>
        <v/>
      </c>
      <c r="EV612" s="0" t="str">
        <f aca="false">IF($A612="","",IF(ISNUMBER(MATCH(U612,{"queued","contacted","replied","call_booked","call_done","yes_in_principle","materials_sent"},0)),"Y","N"))</f>
        <v/>
      </c>
      <c r="EW612" s="0" t="str">
        <f aca="false">IF($A612="","",IF(OR(T612="Y",U612="do_not_contact",AQ612&amp;""&lt;&gt;""),"Y","N"))</f>
        <v/>
      </c>
      <c r="EX612" s="0" t="str">
        <f aca="false">IF($A612="","",IF(AN612&amp;""&lt;&gt;"",AN612&amp;"",$A612))</f>
        <v/>
      </c>
      <c r="EY612" s="0" t="str">
        <f aca="false">IF($A612="","",IF(COUNTIFS($EX$2:$EX$1000,EX612,$EV$2:$EV$1000,"Y")+COUNTIFS($EX$2:$EX$1000,EX612,$EW$2:$EW$1000,"Y")&gt;0,"Y","N"))</f>
        <v/>
      </c>
      <c r="EZ612" s="0" t="str">
        <f aca="false">IF($A612="","",IF(AND(U612="new",T612="N",EW612="N",AR612="Y",EY612="N"),"Y","N"))</f>
        <v/>
      </c>
      <c r="FA612" s="0" t="str">
        <f aca="false">IF($A612="","",IF(EZ612&lt;&gt;"Y","N",IF(COUNTIFS($EX$2:$EX$1000,EX612,$EZ$2:$EZ$1000,"Y",$J$2:$J$1000,"&gt;"&amp;J612)+COUNTIFS($EX$2:$EX$1000,EX612,$EZ$2:$EZ$1000,"Y",$J$2:$J$1000,J612,$FG$2:$FG$1000,"&lt;"&amp;FG612)=0,"Y","N")))</f>
        <v/>
      </c>
      <c r="FB612" s="0" t="str">
        <f aca="false">IF($A612="","",IF(AND(EZ612="Y",FA612="Y",Y612&amp;""&lt;&gt;""),IF(Y612&lt;=10,"Y","N"),"N"))</f>
        <v/>
      </c>
      <c r="FC612" s="0" t="str">
        <f aca="false">IF(FB612="Y",Y612,"")</f>
        <v/>
      </c>
      <c r="FD612" s="0" t="str">
        <f aca="false">IF($A612="","",IF(AND(CK612="pass",AU612="Y",AV612&lt;&gt;"Y",U612="new",EW612="N"),"Y","N"))</f>
        <v/>
      </c>
      <c r="FE612" s="0" t="str">
        <f aca="false">IF(FD612&lt;&gt;"Y","",IF(COUNTIFS($FD$2:$FD$1000,"Y",$J$2:$J$1000,"&gt;"&amp;J612)+COUNTIFS($FD$2:$FD$1000,"Y",$J$2:$J$1000,J612,$FG$2:$FG$1000,"&lt;"&amp;FG612)+1&lt;=30,COUNTIFS($FD$2:$FD$1000,"Y",$J$2:$J$1000,"&gt;"&amp;J612)+COUNTIFS($FD$2:$FD$1000,"Y",$J$2:$J$1000,J612,$FG$2:$FG$1000,"&lt;"&amp;FG612)+1,""))</f>
        <v/>
      </c>
      <c r="FF612" s="0" t="str">
        <f aca="false">IF(AND(_xlfn.ISFORMULA(C612),_xlfn.ISFORMULA(J612)),"Y","N")</f>
        <v>Y</v>
      </c>
      <c r="FG612" s="0" t="n">
        <f aca="false">ROW()-1</f>
        <v>611</v>
      </c>
    </row>
    <row r="613" customFormat="false" ht="15" hidden="false" customHeight="false" outlineLevel="0" collapsed="false">
      <c r="C613" s="0" t="str">
        <f aca="false">IF($A613="","",IF(AT613="Y",BL613&amp;"",AY613&amp;""))</f>
        <v/>
      </c>
      <c r="D613" s="0" t="str">
        <f aca="false">IF($A613="","",IF(AT613="Y",BM613&amp;"",AZ613&amp;""))</f>
        <v/>
      </c>
      <c r="E613" s="0" t="str">
        <f aca="false">IF($A613="","",IF(AT613="Y",BN613&amp;"",BA613&amp;""))</f>
        <v/>
      </c>
      <c r="F613" s="0" t="str">
        <f aca="false">IF($A613="","",IF(AT613="Y",BO613&amp;"",BB613&amp;""))</f>
        <v/>
      </c>
      <c r="G613" s="0" t="str">
        <f aca="false">IF($A613="","",IF(AT613="Y",BP613&amp;"",BC613&amp;""))</f>
        <v/>
      </c>
      <c r="H613" s="0" t="str">
        <f aca="false">IF($A613="","",IF(AT613="Y",BQ613&amp;"",BD613&amp;""))</f>
        <v/>
      </c>
      <c r="I613" s="0" t="str">
        <f aca="false">IF($A613="","",IF(R613="Y","warm-intro",IF(H613="verified","email",IF(C613&lt;&gt;"","linkedin",CA613&amp;""))))</f>
        <v/>
      </c>
      <c r="J613" s="0" t="str">
        <f aca="false">IF($A613="","",IF(CK613="pass",ROUND(N(DO613)+N(DP613)+N(DQ613)+N(DR613)+N(DS613)+N(DT613)+N(DU613)+N(DV613),0),0))</f>
        <v/>
      </c>
      <c r="K613" s="0" t="str">
        <f aca="false">IF($A613="","",IF(CK613&lt;&gt;"pass",BY613&amp;"",BY613&amp;", "&amp;IF(AT613="Y",BX613&amp;"",BK613&amp;"")&amp;BZ613&amp;IF(R613="Y","; known to the founder (+10)","")&amp;"."))</f>
        <v/>
      </c>
      <c r="R613" s="5"/>
      <c r="T613" s="5"/>
      <c r="U613" s="5"/>
      <c r="Y613" s="0" t="str">
        <f aca="false">IF(FA613&lt;&gt;"Y","",COUNTIFS($FA$2:$FA$1000,"Y",$J$2:$J$1000,"&gt;"&amp;J613)+COUNTIFS($FA$2:$FA$1000,"Y",$J$2:$J$1000,J613,$FG$2:$FG$1000,"&lt;"&amp;FG613)+1)</f>
        <v/>
      </c>
      <c r="AB613" s="0" t="str">
        <f aca="false">IF($A613="","",IF(AT613="Y",BW613&amp;"",BJ613&amp;""))</f>
        <v/>
      </c>
      <c r="AC613" s="0" t="str">
        <f aca="false">IF($A613="","",IF(AT613="Y",BR613&amp;"",BE613&amp;""))</f>
        <v/>
      </c>
      <c r="AD613" s="0" t="str">
        <f aca="false">IF($A613="","",IF(AT613="Y",BS613&amp;"",BF613&amp;""))</f>
        <v/>
      </c>
      <c r="AE613" s="0" t="str">
        <f aca="false">IF($A613="","",IF(AT613="Y",BT613&amp;"",BG613&amp;""))</f>
        <v/>
      </c>
      <c r="AF613" s="0" t="str">
        <f aca="false">IF($A613="","",IF(AT613="Y",BU613&amp;"",BH613&amp;""))</f>
        <v/>
      </c>
      <c r="AG613" s="0" t="str">
        <f aca="false">IF($A613="","",IF(AT613="Y",BV613&amp;"",BI613&amp;""))</f>
        <v/>
      </c>
      <c r="AO613" s="5"/>
      <c r="AR613" s="0" t="str">
        <f aca="false">IF($A613="","",IF(AND(CK613="pass",AO613&lt;&gt;"Y",C613&lt;&gt;"",OR(AU613&lt;&gt;"Y",AV613="Y")),"Y","N"))</f>
        <v/>
      </c>
      <c r="AS613" s="0" t="str">
        <f aca="false">IF($A613="","",_xlfn.TEXTJOIN("; ",TRUE(),IF(CK613&lt;&gt;"pass","gated out",""),IF(AO613="Y","on hold: "&amp;AP613,""),IF(C613="","no contact named on an opened page",""),IF(AND(AU613="Y",AV613&lt;&gt;"Y"),"founder review pending (Founder review tab)","")))</f>
        <v/>
      </c>
      <c r="BC613" s="0" t="str">
        <f aca="false">IF($A613="","",IFERROR(INDEX(Enrichment!$A$2:$GZ$2000,MATCH($A613,INDEX(Enrichment!$A$2:$GZ$2000,0,MATCH("row_id",Enrichment!$A$1:$GZ$1,0)),0),MATCH("work_email",Enrichment!$A$1:$GZ$1,0))&amp;"",""))</f>
        <v/>
      </c>
      <c r="BD613" s="0" t="str">
        <f aca="false">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P613" s="0" t="str">
        <f aca="false">IF($A613="","",IFERROR(INDEX(Enrichment!$A$2:$GZ$2000,MATCH($A613,INDEX(Enrichment!$A$2:$GZ$2000,0,MATCH("row_id",Enrichment!$A$1:$GZ$1,0)),0),MATCH("backup_work_email",Enrichment!$A$1:$GZ$1,0))&amp;"",""))</f>
        <v/>
      </c>
      <c r="BQ613" s="0" t="str">
        <f aca="false">IF($A613="","",IF(BP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DU613" s="0" t="str">
        <f aca="false">IF($A613="","",IF(R613="Y",10,0))</f>
        <v/>
      </c>
      <c r="EV613" s="0" t="str">
        <f aca="false">IF($A613="","",IF(ISNUMBER(MATCH(U613,{"queued","contacted","replied","call_booked","call_done","yes_in_principle","materials_sent"},0)),"Y","N"))</f>
        <v/>
      </c>
      <c r="EW613" s="0" t="str">
        <f aca="false">IF($A613="","",IF(OR(T613="Y",U613="do_not_contact",AQ613&amp;""&lt;&gt;""),"Y","N"))</f>
        <v/>
      </c>
      <c r="EX613" s="0" t="str">
        <f aca="false">IF($A613="","",IF(AN613&amp;""&lt;&gt;"",AN613&amp;"",$A613))</f>
        <v/>
      </c>
      <c r="EY613" s="0" t="str">
        <f aca="false">IF($A613="","",IF(COUNTIFS($EX$2:$EX$1000,EX613,$EV$2:$EV$1000,"Y")+COUNTIFS($EX$2:$EX$1000,EX613,$EW$2:$EW$1000,"Y")&gt;0,"Y","N"))</f>
        <v/>
      </c>
      <c r="EZ613" s="0" t="str">
        <f aca="false">IF($A613="","",IF(AND(U613="new",T613="N",EW613="N",AR613="Y",EY613="N"),"Y","N"))</f>
        <v/>
      </c>
      <c r="FA613" s="0" t="str">
        <f aca="false">IF($A613="","",IF(EZ613&lt;&gt;"Y","N",IF(COUNTIFS($EX$2:$EX$1000,EX613,$EZ$2:$EZ$1000,"Y",$J$2:$J$1000,"&gt;"&amp;J613)+COUNTIFS($EX$2:$EX$1000,EX613,$EZ$2:$EZ$1000,"Y",$J$2:$J$1000,J613,$FG$2:$FG$1000,"&lt;"&amp;FG613)=0,"Y","N")))</f>
        <v/>
      </c>
      <c r="FB613" s="0" t="str">
        <f aca="false">IF($A613="","",IF(AND(EZ613="Y",FA613="Y",Y613&amp;""&lt;&gt;""),IF(Y613&lt;=10,"Y","N"),"N"))</f>
        <v/>
      </c>
      <c r="FC613" s="0" t="str">
        <f aca="false">IF(FB613="Y",Y613,"")</f>
        <v/>
      </c>
      <c r="FD613" s="0" t="str">
        <f aca="false">IF($A613="","",IF(AND(CK613="pass",AU613="Y",AV613&lt;&gt;"Y",U613="new",EW613="N"),"Y","N"))</f>
        <v/>
      </c>
      <c r="FE613" s="0" t="str">
        <f aca="false">IF(FD613&lt;&gt;"Y","",IF(COUNTIFS($FD$2:$FD$1000,"Y",$J$2:$J$1000,"&gt;"&amp;J613)+COUNTIFS($FD$2:$FD$1000,"Y",$J$2:$J$1000,J613,$FG$2:$FG$1000,"&lt;"&amp;FG613)+1&lt;=30,COUNTIFS($FD$2:$FD$1000,"Y",$J$2:$J$1000,"&gt;"&amp;J613)+COUNTIFS($FD$2:$FD$1000,"Y",$J$2:$J$1000,J613,$FG$2:$FG$1000,"&lt;"&amp;FG613)+1,""))</f>
        <v/>
      </c>
      <c r="FF613" s="0" t="str">
        <f aca="false">IF(AND(_xlfn.ISFORMULA(C613),_xlfn.ISFORMULA(J613)),"Y","N")</f>
        <v>Y</v>
      </c>
      <c r="FG613" s="0" t="n">
        <f aca="false">ROW()-1</f>
        <v>612</v>
      </c>
    </row>
    <row r="614" customFormat="false" ht="15" hidden="false" customHeight="false" outlineLevel="0" collapsed="false">
      <c r="C614" s="0" t="str">
        <f aca="false">IF($A614="","",IF(AT614="Y",BL614&amp;"",AY614&amp;""))</f>
        <v/>
      </c>
      <c r="D614" s="0" t="str">
        <f aca="false">IF($A614="","",IF(AT614="Y",BM614&amp;"",AZ614&amp;""))</f>
        <v/>
      </c>
      <c r="E614" s="0" t="str">
        <f aca="false">IF($A614="","",IF(AT614="Y",BN614&amp;"",BA614&amp;""))</f>
        <v/>
      </c>
      <c r="F614" s="0" t="str">
        <f aca="false">IF($A614="","",IF(AT614="Y",BO614&amp;"",BB614&amp;""))</f>
        <v/>
      </c>
      <c r="G614" s="0" t="str">
        <f aca="false">IF($A614="","",IF(AT614="Y",BP614&amp;"",BC614&amp;""))</f>
        <v/>
      </c>
      <c r="H614" s="0" t="str">
        <f aca="false">IF($A614="","",IF(AT614="Y",BQ614&amp;"",BD614&amp;""))</f>
        <v/>
      </c>
      <c r="I614" s="0" t="str">
        <f aca="false">IF($A614="","",IF(R614="Y","warm-intro",IF(H614="verified","email",IF(C614&lt;&gt;"","linkedin",CA614&amp;""))))</f>
        <v/>
      </c>
      <c r="J614" s="0" t="str">
        <f aca="false">IF($A614="","",IF(CK614="pass",ROUND(N(DO614)+N(DP614)+N(DQ614)+N(DR614)+N(DS614)+N(DT614)+N(DU614)+N(DV614),0),0))</f>
        <v/>
      </c>
      <c r="K614" s="0" t="str">
        <f aca="false">IF($A614="","",IF(CK614&lt;&gt;"pass",BY614&amp;"",BY614&amp;", "&amp;IF(AT614="Y",BX614&amp;"",BK614&amp;"")&amp;BZ614&amp;IF(R614="Y","; known to the founder (+10)","")&amp;"."))</f>
        <v/>
      </c>
      <c r="R614" s="5"/>
      <c r="T614" s="5"/>
      <c r="U614" s="5"/>
      <c r="Y614" s="0" t="str">
        <f aca="false">IF(FA614&lt;&gt;"Y","",COUNTIFS($FA$2:$FA$1000,"Y",$J$2:$J$1000,"&gt;"&amp;J614)+COUNTIFS($FA$2:$FA$1000,"Y",$J$2:$J$1000,J614,$FG$2:$FG$1000,"&lt;"&amp;FG614)+1)</f>
        <v/>
      </c>
      <c r="AB614" s="0" t="str">
        <f aca="false">IF($A614="","",IF(AT614="Y",BW614&amp;"",BJ614&amp;""))</f>
        <v/>
      </c>
      <c r="AC614" s="0" t="str">
        <f aca="false">IF($A614="","",IF(AT614="Y",BR614&amp;"",BE614&amp;""))</f>
        <v/>
      </c>
      <c r="AD614" s="0" t="str">
        <f aca="false">IF($A614="","",IF(AT614="Y",BS614&amp;"",BF614&amp;""))</f>
        <v/>
      </c>
      <c r="AE614" s="0" t="str">
        <f aca="false">IF($A614="","",IF(AT614="Y",BT614&amp;"",BG614&amp;""))</f>
        <v/>
      </c>
      <c r="AF614" s="0" t="str">
        <f aca="false">IF($A614="","",IF(AT614="Y",BU614&amp;"",BH614&amp;""))</f>
        <v/>
      </c>
      <c r="AG614" s="0" t="str">
        <f aca="false">IF($A614="","",IF(AT614="Y",BV614&amp;"",BI614&amp;""))</f>
        <v/>
      </c>
      <c r="AO614" s="5"/>
      <c r="AR614" s="0" t="str">
        <f aca="false">IF($A614="","",IF(AND(CK614="pass",AO614&lt;&gt;"Y",C614&lt;&gt;"",OR(AU614&lt;&gt;"Y",AV614="Y")),"Y","N"))</f>
        <v/>
      </c>
      <c r="AS614" s="0" t="str">
        <f aca="false">IF($A614="","",_xlfn.TEXTJOIN("; ",TRUE(),IF(CK614&lt;&gt;"pass","gated out",""),IF(AO614="Y","on hold: "&amp;AP614,""),IF(C614="","no contact named on an opened page",""),IF(AND(AU614="Y",AV614&lt;&gt;"Y"),"founder review pending (Founder review tab)","")))</f>
        <v/>
      </c>
      <c r="BC614" s="0" t="str">
        <f aca="false">IF($A614="","",IFERROR(INDEX(Enrichment!$A$2:$GZ$2000,MATCH($A614,INDEX(Enrichment!$A$2:$GZ$2000,0,MATCH("row_id",Enrichment!$A$1:$GZ$1,0)),0),MATCH("work_email",Enrichment!$A$1:$GZ$1,0))&amp;"",""))</f>
        <v/>
      </c>
      <c r="BD614" s="0" t="str">
        <f aca="false">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P614" s="0" t="str">
        <f aca="false">IF($A614="","",IFERROR(INDEX(Enrichment!$A$2:$GZ$2000,MATCH($A614,INDEX(Enrichment!$A$2:$GZ$2000,0,MATCH("row_id",Enrichment!$A$1:$GZ$1,0)),0),MATCH("backup_work_email",Enrichment!$A$1:$GZ$1,0))&amp;"",""))</f>
        <v/>
      </c>
      <c r="BQ614" s="0" t="str">
        <f aca="false">IF($A614="","",IF(BP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DU614" s="0" t="str">
        <f aca="false">IF($A614="","",IF(R614="Y",10,0))</f>
        <v/>
      </c>
      <c r="EV614" s="0" t="str">
        <f aca="false">IF($A614="","",IF(ISNUMBER(MATCH(U614,{"queued","contacted","replied","call_booked","call_done","yes_in_principle","materials_sent"},0)),"Y","N"))</f>
        <v/>
      </c>
      <c r="EW614" s="0" t="str">
        <f aca="false">IF($A614="","",IF(OR(T614="Y",U614="do_not_contact",AQ614&amp;""&lt;&gt;""),"Y","N"))</f>
        <v/>
      </c>
      <c r="EX614" s="0" t="str">
        <f aca="false">IF($A614="","",IF(AN614&amp;""&lt;&gt;"",AN614&amp;"",$A614))</f>
        <v/>
      </c>
      <c r="EY614" s="0" t="str">
        <f aca="false">IF($A614="","",IF(COUNTIFS($EX$2:$EX$1000,EX614,$EV$2:$EV$1000,"Y")+COUNTIFS($EX$2:$EX$1000,EX614,$EW$2:$EW$1000,"Y")&gt;0,"Y","N"))</f>
        <v/>
      </c>
      <c r="EZ614" s="0" t="str">
        <f aca="false">IF($A614="","",IF(AND(U614="new",T614="N",EW614="N",AR614="Y",EY614="N"),"Y","N"))</f>
        <v/>
      </c>
      <c r="FA614" s="0" t="str">
        <f aca="false">IF($A614="","",IF(EZ614&lt;&gt;"Y","N",IF(COUNTIFS($EX$2:$EX$1000,EX614,$EZ$2:$EZ$1000,"Y",$J$2:$J$1000,"&gt;"&amp;J614)+COUNTIFS($EX$2:$EX$1000,EX614,$EZ$2:$EZ$1000,"Y",$J$2:$J$1000,J614,$FG$2:$FG$1000,"&lt;"&amp;FG614)=0,"Y","N")))</f>
        <v/>
      </c>
      <c r="FB614" s="0" t="str">
        <f aca="false">IF($A614="","",IF(AND(EZ614="Y",FA614="Y",Y614&amp;""&lt;&gt;""),IF(Y614&lt;=10,"Y","N"),"N"))</f>
        <v/>
      </c>
      <c r="FC614" s="0" t="str">
        <f aca="false">IF(FB614="Y",Y614,"")</f>
        <v/>
      </c>
      <c r="FD614" s="0" t="str">
        <f aca="false">IF($A614="","",IF(AND(CK614="pass",AU614="Y",AV614&lt;&gt;"Y",U614="new",EW614="N"),"Y","N"))</f>
        <v/>
      </c>
      <c r="FE614" s="0" t="str">
        <f aca="false">IF(FD614&lt;&gt;"Y","",IF(COUNTIFS($FD$2:$FD$1000,"Y",$J$2:$J$1000,"&gt;"&amp;J614)+COUNTIFS($FD$2:$FD$1000,"Y",$J$2:$J$1000,J614,$FG$2:$FG$1000,"&lt;"&amp;FG614)+1&lt;=30,COUNTIFS($FD$2:$FD$1000,"Y",$J$2:$J$1000,"&gt;"&amp;J614)+COUNTIFS($FD$2:$FD$1000,"Y",$J$2:$J$1000,J614,$FG$2:$FG$1000,"&lt;"&amp;FG614)+1,""))</f>
        <v/>
      </c>
      <c r="FF614" s="0" t="str">
        <f aca="false">IF(AND(_xlfn.ISFORMULA(C614),_xlfn.ISFORMULA(J614)),"Y","N")</f>
        <v>Y</v>
      </c>
      <c r="FG614" s="0" t="n">
        <f aca="false">ROW()-1</f>
        <v>613</v>
      </c>
    </row>
    <row r="615" customFormat="false" ht="15" hidden="false" customHeight="false" outlineLevel="0" collapsed="false">
      <c r="C615" s="0" t="str">
        <f aca="false">IF($A615="","",IF(AT615="Y",BL615&amp;"",AY615&amp;""))</f>
        <v/>
      </c>
      <c r="D615" s="0" t="str">
        <f aca="false">IF($A615="","",IF(AT615="Y",BM615&amp;"",AZ615&amp;""))</f>
        <v/>
      </c>
      <c r="E615" s="0" t="str">
        <f aca="false">IF($A615="","",IF(AT615="Y",BN615&amp;"",BA615&amp;""))</f>
        <v/>
      </c>
      <c r="F615" s="0" t="str">
        <f aca="false">IF($A615="","",IF(AT615="Y",BO615&amp;"",BB615&amp;""))</f>
        <v/>
      </c>
      <c r="G615" s="0" t="str">
        <f aca="false">IF($A615="","",IF(AT615="Y",BP615&amp;"",BC615&amp;""))</f>
        <v/>
      </c>
      <c r="H615" s="0" t="str">
        <f aca="false">IF($A615="","",IF(AT615="Y",BQ615&amp;"",BD615&amp;""))</f>
        <v/>
      </c>
      <c r="I615" s="0" t="str">
        <f aca="false">IF($A615="","",IF(R615="Y","warm-intro",IF(H615="verified","email",IF(C615&lt;&gt;"","linkedin",CA615&amp;""))))</f>
        <v/>
      </c>
      <c r="J615" s="0" t="str">
        <f aca="false">IF($A615="","",IF(CK615="pass",ROUND(N(DO615)+N(DP615)+N(DQ615)+N(DR615)+N(DS615)+N(DT615)+N(DU615)+N(DV615),0),0))</f>
        <v/>
      </c>
      <c r="K615" s="0" t="str">
        <f aca="false">IF($A615="","",IF(CK615&lt;&gt;"pass",BY615&amp;"",BY615&amp;", "&amp;IF(AT615="Y",BX615&amp;"",BK615&amp;"")&amp;BZ615&amp;IF(R615="Y","; known to the founder (+10)","")&amp;"."))</f>
        <v/>
      </c>
      <c r="R615" s="5"/>
      <c r="T615" s="5"/>
      <c r="U615" s="5"/>
      <c r="Y615" s="0" t="str">
        <f aca="false">IF(FA615&lt;&gt;"Y","",COUNTIFS($FA$2:$FA$1000,"Y",$J$2:$J$1000,"&gt;"&amp;J615)+COUNTIFS($FA$2:$FA$1000,"Y",$J$2:$J$1000,J615,$FG$2:$FG$1000,"&lt;"&amp;FG615)+1)</f>
        <v/>
      </c>
      <c r="AB615" s="0" t="str">
        <f aca="false">IF($A615="","",IF(AT615="Y",BW615&amp;"",BJ615&amp;""))</f>
        <v/>
      </c>
      <c r="AC615" s="0" t="str">
        <f aca="false">IF($A615="","",IF(AT615="Y",BR615&amp;"",BE615&amp;""))</f>
        <v/>
      </c>
      <c r="AD615" s="0" t="str">
        <f aca="false">IF($A615="","",IF(AT615="Y",BS615&amp;"",BF615&amp;""))</f>
        <v/>
      </c>
      <c r="AE615" s="0" t="str">
        <f aca="false">IF($A615="","",IF(AT615="Y",BT615&amp;"",BG615&amp;""))</f>
        <v/>
      </c>
      <c r="AF615" s="0" t="str">
        <f aca="false">IF($A615="","",IF(AT615="Y",BU615&amp;"",BH615&amp;""))</f>
        <v/>
      </c>
      <c r="AG615" s="0" t="str">
        <f aca="false">IF($A615="","",IF(AT615="Y",BV615&amp;"",BI615&amp;""))</f>
        <v/>
      </c>
      <c r="AO615" s="5"/>
      <c r="AR615" s="0" t="str">
        <f aca="false">IF($A615="","",IF(AND(CK615="pass",AO615&lt;&gt;"Y",C615&lt;&gt;"",OR(AU615&lt;&gt;"Y",AV615="Y")),"Y","N"))</f>
        <v/>
      </c>
      <c r="AS615" s="0" t="str">
        <f aca="false">IF($A615="","",_xlfn.TEXTJOIN("; ",TRUE(),IF(CK615&lt;&gt;"pass","gated out",""),IF(AO615="Y","on hold: "&amp;AP615,""),IF(C615="","no contact named on an opened page",""),IF(AND(AU615="Y",AV615&lt;&gt;"Y"),"founder review pending (Founder review tab)","")))</f>
        <v/>
      </c>
      <c r="BC615" s="0" t="str">
        <f aca="false">IF($A615="","",IFERROR(INDEX(Enrichment!$A$2:$GZ$2000,MATCH($A615,INDEX(Enrichment!$A$2:$GZ$2000,0,MATCH("row_id",Enrichment!$A$1:$GZ$1,0)),0),MATCH("work_email",Enrichment!$A$1:$GZ$1,0))&amp;"",""))</f>
        <v/>
      </c>
      <c r="BD615" s="0" t="str">
        <f aca="false">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P615" s="0" t="str">
        <f aca="false">IF($A615="","",IFERROR(INDEX(Enrichment!$A$2:$GZ$2000,MATCH($A615,INDEX(Enrichment!$A$2:$GZ$2000,0,MATCH("row_id",Enrichment!$A$1:$GZ$1,0)),0),MATCH("backup_work_email",Enrichment!$A$1:$GZ$1,0))&amp;"",""))</f>
        <v/>
      </c>
      <c r="BQ615" s="0" t="str">
        <f aca="false">IF($A615="","",IF(BP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DU615" s="0" t="str">
        <f aca="false">IF($A615="","",IF(R615="Y",10,0))</f>
        <v/>
      </c>
      <c r="EV615" s="0" t="str">
        <f aca="false">IF($A615="","",IF(ISNUMBER(MATCH(U615,{"queued","contacted","replied","call_booked","call_done","yes_in_principle","materials_sent"},0)),"Y","N"))</f>
        <v/>
      </c>
      <c r="EW615" s="0" t="str">
        <f aca="false">IF($A615="","",IF(OR(T615="Y",U615="do_not_contact",AQ615&amp;""&lt;&gt;""),"Y","N"))</f>
        <v/>
      </c>
      <c r="EX615" s="0" t="str">
        <f aca="false">IF($A615="","",IF(AN615&amp;""&lt;&gt;"",AN615&amp;"",$A615))</f>
        <v/>
      </c>
      <c r="EY615" s="0" t="str">
        <f aca="false">IF($A615="","",IF(COUNTIFS($EX$2:$EX$1000,EX615,$EV$2:$EV$1000,"Y")+COUNTIFS($EX$2:$EX$1000,EX615,$EW$2:$EW$1000,"Y")&gt;0,"Y","N"))</f>
        <v/>
      </c>
      <c r="EZ615" s="0" t="str">
        <f aca="false">IF($A615="","",IF(AND(U615="new",T615="N",EW615="N",AR615="Y",EY615="N"),"Y","N"))</f>
        <v/>
      </c>
      <c r="FA615" s="0" t="str">
        <f aca="false">IF($A615="","",IF(EZ615&lt;&gt;"Y","N",IF(COUNTIFS($EX$2:$EX$1000,EX615,$EZ$2:$EZ$1000,"Y",$J$2:$J$1000,"&gt;"&amp;J615)+COUNTIFS($EX$2:$EX$1000,EX615,$EZ$2:$EZ$1000,"Y",$J$2:$J$1000,J615,$FG$2:$FG$1000,"&lt;"&amp;FG615)=0,"Y","N")))</f>
        <v/>
      </c>
      <c r="FB615" s="0" t="str">
        <f aca="false">IF($A615="","",IF(AND(EZ615="Y",FA615="Y",Y615&amp;""&lt;&gt;""),IF(Y615&lt;=10,"Y","N"),"N"))</f>
        <v/>
      </c>
      <c r="FC615" s="0" t="str">
        <f aca="false">IF(FB615="Y",Y615,"")</f>
        <v/>
      </c>
      <c r="FD615" s="0" t="str">
        <f aca="false">IF($A615="","",IF(AND(CK615="pass",AU615="Y",AV615&lt;&gt;"Y",U615="new",EW615="N"),"Y","N"))</f>
        <v/>
      </c>
      <c r="FE615" s="0" t="str">
        <f aca="false">IF(FD615&lt;&gt;"Y","",IF(COUNTIFS($FD$2:$FD$1000,"Y",$J$2:$J$1000,"&gt;"&amp;J615)+COUNTIFS($FD$2:$FD$1000,"Y",$J$2:$J$1000,J615,$FG$2:$FG$1000,"&lt;"&amp;FG615)+1&lt;=30,COUNTIFS($FD$2:$FD$1000,"Y",$J$2:$J$1000,"&gt;"&amp;J615)+COUNTIFS($FD$2:$FD$1000,"Y",$J$2:$J$1000,J615,$FG$2:$FG$1000,"&lt;"&amp;FG615)+1,""))</f>
        <v/>
      </c>
      <c r="FF615" s="0" t="str">
        <f aca="false">IF(AND(_xlfn.ISFORMULA(C615),_xlfn.ISFORMULA(J615)),"Y","N")</f>
        <v>Y</v>
      </c>
      <c r="FG615" s="0" t="n">
        <f aca="false">ROW()-1</f>
        <v>614</v>
      </c>
    </row>
    <row r="616" customFormat="false" ht="15" hidden="false" customHeight="false" outlineLevel="0" collapsed="false">
      <c r="C616" s="0" t="str">
        <f aca="false">IF($A616="","",IF(AT616="Y",BL616&amp;"",AY616&amp;""))</f>
        <v/>
      </c>
      <c r="D616" s="0" t="str">
        <f aca="false">IF($A616="","",IF(AT616="Y",BM616&amp;"",AZ616&amp;""))</f>
        <v/>
      </c>
      <c r="E616" s="0" t="str">
        <f aca="false">IF($A616="","",IF(AT616="Y",BN616&amp;"",BA616&amp;""))</f>
        <v/>
      </c>
      <c r="F616" s="0" t="str">
        <f aca="false">IF($A616="","",IF(AT616="Y",BO616&amp;"",BB616&amp;""))</f>
        <v/>
      </c>
      <c r="G616" s="0" t="str">
        <f aca="false">IF($A616="","",IF(AT616="Y",BP616&amp;"",BC616&amp;""))</f>
        <v/>
      </c>
      <c r="H616" s="0" t="str">
        <f aca="false">IF($A616="","",IF(AT616="Y",BQ616&amp;"",BD616&amp;""))</f>
        <v/>
      </c>
      <c r="I616" s="0" t="str">
        <f aca="false">IF($A616="","",IF(R616="Y","warm-intro",IF(H616="verified","email",IF(C616&lt;&gt;"","linkedin",CA616&amp;""))))</f>
        <v/>
      </c>
      <c r="J616" s="0" t="str">
        <f aca="false">IF($A616="","",IF(CK616="pass",ROUND(N(DO616)+N(DP616)+N(DQ616)+N(DR616)+N(DS616)+N(DT616)+N(DU616)+N(DV616),0),0))</f>
        <v/>
      </c>
      <c r="K616" s="0" t="str">
        <f aca="false">IF($A616="","",IF(CK616&lt;&gt;"pass",BY616&amp;"",BY616&amp;", "&amp;IF(AT616="Y",BX616&amp;"",BK616&amp;"")&amp;BZ616&amp;IF(R616="Y","; known to the founder (+10)","")&amp;"."))</f>
        <v/>
      </c>
      <c r="R616" s="5"/>
      <c r="T616" s="5"/>
      <c r="U616" s="5"/>
      <c r="Y616" s="0" t="str">
        <f aca="false">IF(FA616&lt;&gt;"Y","",COUNTIFS($FA$2:$FA$1000,"Y",$J$2:$J$1000,"&gt;"&amp;J616)+COUNTIFS($FA$2:$FA$1000,"Y",$J$2:$J$1000,J616,$FG$2:$FG$1000,"&lt;"&amp;FG616)+1)</f>
        <v/>
      </c>
      <c r="AB616" s="0" t="str">
        <f aca="false">IF($A616="","",IF(AT616="Y",BW616&amp;"",BJ616&amp;""))</f>
        <v/>
      </c>
      <c r="AC616" s="0" t="str">
        <f aca="false">IF($A616="","",IF(AT616="Y",BR616&amp;"",BE616&amp;""))</f>
        <v/>
      </c>
      <c r="AD616" s="0" t="str">
        <f aca="false">IF($A616="","",IF(AT616="Y",BS616&amp;"",BF616&amp;""))</f>
        <v/>
      </c>
      <c r="AE616" s="0" t="str">
        <f aca="false">IF($A616="","",IF(AT616="Y",BT616&amp;"",BG616&amp;""))</f>
        <v/>
      </c>
      <c r="AF616" s="0" t="str">
        <f aca="false">IF($A616="","",IF(AT616="Y",BU616&amp;"",BH616&amp;""))</f>
        <v/>
      </c>
      <c r="AG616" s="0" t="str">
        <f aca="false">IF($A616="","",IF(AT616="Y",BV616&amp;"",BI616&amp;""))</f>
        <v/>
      </c>
      <c r="AO616" s="5"/>
      <c r="AR616" s="0" t="str">
        <f aca="false">IF($A616="","",IF(AND(CK616="pass",AO616&lt;&gt;"Y",C616&lt;&gt;"",OR(AU616&lt;&gt;"Y",AV616="Y")),"Y","N"))</f>
        <v/>
      </c>
      <c r="AS616" s="0" t="str">
        <f aca="false">IF($A616="","",_xlfn.TEXTJOIN("; ",TRUE(),IF(CK616&lt;&gt;"pass","gated out",""),IF(AO616="Y","on hold: "&amp;AP616,""),IF(C616="","no contact named on an opened page",""),IF(AND(AU616="Y",AV616&lt;&gt;"Y"),"founder review pending (Founder review tab)","")))</f>
        <v/>
      </c>
      <c r="BC616" s="0" t="str">
        <f aca="false">IF($A616="","",IFERROR(INDEX(Enrichment!$A$2:$GZ$2000,MATCH($A616,INDEX(Enrichment!$A$2:$GZ$2000,0,MATCH("row_id",Enrichment!$A$1:$GZ$1,0)),0),MATCH("work_email",Enrichment!$A$1:$GZ$1,0))&amp;"",""))</f>
        <v/>
      </c>
      <c r="BD616" s="0" t="str">
        <f aca="false">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P616" s="0" t="str">
        <f aca="false">IF($A616="","",IFERROR(INDEX(Enrichment!$A$2:$GZ$2000,MATCH($A616,INDEX(Enrichment!$A$2:$GZ$2000,0,MATCH("row_id",Enrichment!$A$1:$GZ$1,0)),0),MATCH("backup_work_email",Enrichment!$A$1:$GZ$1,0))&amp;"",""))</f>
        <v/>
      </c>
      <c r="BQ616" s="0" t="str">
        <f aca="false">IF($A616="","",IF(BP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DU616" s="0" t="str">
        <f aca="false">IF($A616="","",IF(R616="Y",10,0))</f>
        <v/>
      </c>
      <c r="EV616" s="0" t="str">
        <f aca="false">IF($A616="","",IF(ISNUMBER(MATCH(U616,{"queued","contacted","replied","call_booked","call_done","yes_in_principle","materials_sent"},0)),"Y","N"))</f>
        <v/>
      </c>
      <c r="EW616" s="0" t="str">
        <f aca="false">IF($A616="","",IF(OR(T616="Y",U616="do_not_contact",AQ616&amp;""&lt;&gt;""),"Y","N"))</f>
        <v/>
      </c>
      <c r="EX616" s="0" t="str">
        <f aca="false">IF($A616="","",IF(AN616&amp;""&lt;&gt;"",AN616&amp;"",$A616))</f>
        <v/>
      </c>
      <c r="EY616" s="0" t="str">
        <f aca="false">IF($A616="","",IF(COUNTIFS($EX$2:$EX$1000,EX616,$EV$2:$EV$1000,"Y")+COUNTIFS($EX$2:$EX$1000,EX616,$EW$2:$EW$1000,"Y")&gt;0,"Y","N"))</f>
        <v/>
      </c>
      <c r="EZ616" s="0" t="str">
        <f aca="false">IF($A616="","",IF(AND(U616="new",T616="N",EW616="N",AR616="Y",EY616="N"),"Y","N"))</f>
        <v/>
      </c>
      <c r="FA616" s="0" t="str">
        <f aca="false">IF($A616="","",IF(EZ616&lt;&gt;"Y","N",IF(COUNTIFS($EX$2:$EX$1000,EX616,$EZ$2:$EZ$1000,"Y",$J$2:$J$1000,"&gt;"&amp;J616)+COUNTIFS($EX$2:$EX$1000,EX616,$EZ$2:$EZ$1000,"Y",$J$2:$J$1000,J616,$FG$2:$FG$1000,"&lt;"&amp;FG616)=0,"Y","N")))</f>
        <v/>
      </c>
      <c r="FB616" s="0" t="str">
        <f aca="false">IF($A616="","",IF(AND(EZ616="Y",FA616="Y",Y616&amp;""&lt;&gt;""),IF(Y616&lt;=10,"Y","N"),"N"))</f>
        <v/>
      </c>
      <c r="FC616" s="0" t="str">
        <f aca="false">IF(FB616="Y",Y616,"")</f>
        <v/>
      </c>
      <c r="FD616" s="0" t="str">
        <f aca="false">IF($A616="","",IF(AND(CK616="pass",AU616="Y",AV616&lt;&gt;"Y",U616="new",EW616="N"),"Y","N"))</f>
        <v/>
      </c>
      <c r="FE616" s="0" t="str">
        <f aca="false">IF(FD616&lt;&gt;"Y","",IF(COUNTIFS($FD$2:$FD$1000,"Y",$J$2:$J$1000,"&gt;"&amp;J616)+COUNTIFS($FD$2:$FD$1000,"Y",$J$2:$J$1000,J616,$FG$2:$FG$1000,"&lt;"&amp;FG616)+1&lt;=30,COUNTIFS($FD$2:$FD$1000,"Y",$J$2:$J$1000,"&gt;"&amp;J616)+COUNTIFS($FD$2:$FD$1000,"Y",$J$2:$J$1000,J616,$FG$2:$FG$1000,"&lt;"&amp;FG616)+1,""))</f>
        <v/>
      </c>
      <c r="FF616" s="0" t="str">
        <f aca="false">IF(AND(_xlfn.ISFORMULA(C616),_xlfn.ISFORMULA(J616)),"Y","N")</f>
        <v>Y</v>
      </c>
      <c r="FG616" s="0" t="n">
        <f aca="false">ROW()-1</f>
        <v>615</v>
      </c>
    </row>
    <row r="617" customFormat="false" ht="15" hidden="false" customHeight="false" outlineLevel="0" collapsed="false">
      <c r="C617" s="0" t="str">
        <f aca="false">IF($A617="","",IF(AT617="Y",BL617&amp;"",AY617&amp;""))</f>
        <v/>
      </c>
      <c r="D617" s="0" t="str">
        <f aca="false">IF($A617="","",IF(AT617="Y",BM617&amp;"",AZ617&amp;""))</f>
        <v/>
      </c>
      <c r="E617" s="0" t="str">
        <f aca="false">IF($A617="","",IF(AT617="Y",BN617&amp;"",BA617&amp;""))</f>
        <v/>
      </c>
      <c r="F617" s="0" t="str">
        <f aca="false">IF($A617="","",IF(AT617="Y",BO617&amp;"",BB617&amp;""))</f>
        <v/>
      </c>
      <c r="G617" s="0" t="str">
        <f aca="false">IF($A617="","",IF(AT617="Y",BP617&amp;"",BC617&amp;""))</f>
        <v/>
      </c>
      <c r="H617" s="0" t="str">
        <f aca="false">IF($A617="","",IF(AT617="Y",BQ617&amp;"",BD617&amp;""))</f>
        <v/>
      </c>
      <c r="I617" s="0" t="str">
        <f aca="false">IF($A617="","",IF(R617="Y","warm-intro",IF(H617="verified","email",IF(C617&lt;&gt;"","linkedin",CA617&amp;""))))</f>
        <v/>
      </c>
      <c r="J617" s="0" t="str">
        <f aca="false">IF($A617="","",IF(CK617="pass",ROUND(N(DO617)+N(DP617)+N(DQ617)+N(DR617)+N(DS617)+N(DT617)+N(DU617)+N(DV617),0),0))</f>
        <v/>
      </c>
      <c r="K617" s="0" t="str">
        <f aca="false">IF($A617="","",IF(CK617&lt;&gt;"pass",BY617&amp;"",BY617&amp;", "&amp;IF(AT617="Y",BX617&amp;"",BK617&amp;"")&amp;BZ617&amp;IF(R617="Y","; known to the founder (+10)","")&amp;"."))</f>
        <v/>
      </c>
      <c r="R617" s="5"/>
      <c r="T617" s="5"/>
      <c r="U617" s="5"/>
      <c r="Y617" s="0" t="str">
        <f aca="false">IF(FA617&lt;&gt;"Y","",COUNTIFS($FA$2:$FA$1000,"Y",$J$2:$J$1000,"&gt;"&amp;J617)+COUNTIFS($FA$2:$FA$1000,"Y",$J$2:$J$1000,J617,$FG$2:$FG$1000,"&lt;"&amp;FG617)+1)</f>
        <v/>
      </c>
      <c r="AB617" s="0" t="str">
        <f aca="false">IF($A617="","",IF(AT617="Y",BW617&amp;"",BJ617&amp;""))</f>
        <v/>
      </c>
      <c r="AC617" s="0" t="str">
        <f aca="false">IF($A617="","",IF(AT617="Y",BR617&amp;"",BE617&amp;""))</f>
        <v/>
      </c>
      <c r="AD617" s="0" t="str">
        <f aca="false">IF($A617="","",IF(AT617="Y",BS617&amp;"",BF617&amp;""))</f>
        <v/>
      </c>
      <c r="AE617" s="0" t="str">
        <f aca="false">IF($A617="","",IF(AT617="Y",BT617&amp;"",BG617&amp;""))</f>
        <v/>
      </c>
      <c r="AF617" s="0" t="str">
        <f aca="false">IF($A617="","",IF(AT617="Y",BU617&amp;"",BH617&amp;""))</f>
        <v/>
      </c>
      <c r="AG617" s="0" t="str">
        <f aca="false">IF($A617="","",IF(AT617="Y",BV617&amp;"",BI617&amp;""))</f>
        <v/>
      </c>
      <c r="AO617" s="5"/>
      <c r="AR617" s="0" t="str">
        <f aca="false">IF($A617="","",IF(AND(CK617="pass",AO617&lt;&gt;"Y",C617&lt;&gt;"",OR(AU617&lt;&gt;"Y",AV617="Y")),"Y","N"))</f>
        <v/>
      </c>
      <c r="AS617" s="0" t="str">
        <f aca="false">IF($A617="","",_xlfn.TEXTJOIN("; ",TRUE(),IF(CK617&lt;&gt;"pass","gated out",""),IF(AO617="Y","on hold: "&amp;AP617,""),IF(C617="","no contact named on an opened page",""),IF(AND(AU617="Y",AV617&lt;&gt;"Y"),"founder review pending (Founder review tab)","")))</f>
        <v/>
      </c>
      <c r="BC617" s="0" t="str">
        <f aca="false">IF($A617="","",IFERROR(INDEX(Enrichment!$A$2:$GZ$2000,MATCH($A617,INDEX(Enrichment!$A$2:$GZ$2000,0,MATCH("row_id",Enrichment!$A$1:$GZ$1,0)),0),MATCH("work_email",Enrichment!$A$1:$GZ$1,0))&amp;"",""))</f>
        <v/>
      </c>
      <c r="BD617" s="0" t="str">
        <f aca="false">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P617" s="0" t="str">
        <f aca="false">IF($A617="","",IFERROR(INDEX(Enrichment!$A$2:$GZ$2000,MATCH($A617,INDEX(Enrichment!$A$2:$GZ$2000,0,MATCH("row_id",Enrichment!$A$1:$GZ$1,0)),0),MATCH("backup_work_email",Enrichment!$A$1:$GZ$1,0))&amp;"",""))</f>
        <v/>
      </c>
      <c r="BQ617" s="0" t="str">
        <f aca="false">IF($A617="","",IF(BP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DU617" s="0" t="str">
        <f aca="false">IF($A617="","",IF(R617="Y",10,0))</f>
        <v/>
      </c>
      <c r="EV617" s="0" t="str">
        <f aca="false">IF($A617="","",IF(ISNUMBER(MATCH(U617,{"queued","contacted","replied","call_booked","call_done","yes_in_principle","materials_sent"},0)),"Y","N"))</f>
        <v/>
      </c>
      <c r="EW617" s="0" t="str">
        <f aca="false">IF($A617="","",IF(OR(T617="Y",U617="do_not_contact",AQ617&amp;""&lt;&gt;""),"Y","N"))</f>
        <v/>
      </c>
      <c r="EX617" s="0" t="str">
        <f aca="false">IF($A617="","",IF(AN617&amp;""&lt;&gt;"",AN617&amp;"",$A617))</f>
        <v/>
      </c>
      <c r="EY617" s="0" t="str">
        <f aca="false">IF($A617="","",IF(COUNTIFS($EX$2:$EX$1000,EX617,$EV$2:$EV$1000,"Y")+COUNTIFS($EX$2:$EX$1000,EX617,$EW$2:$EW$1000,"Y")&gt;0,"Y","N"))</f>
        <v/>
      </c>
      <c r="EZ617" s="0" t="str">
        <f aca="false">IF($A617="","",IF(AND(U617="new",T617="N",EW617="N",AR617="Y",EY617="N"),"Y","N"))</f>
        <v/>
      </c>
      <c r="FA617" s="0" t="str">
        <f aca="false">IF($A617="","",IF(EZ617&lt;&gt;"Y","N",IF(COUNTIFS($EX$2:$EX$1000,EX617,$EZ$2:$EZ$1000,"Y",$J$2:$J$1000,"&gt;"&amp;J617)+COUNTIFS($EX$2:$EX$1000,EX617,$EZ$2:$EZ$1000,"Y",$J$2:$J$1000,J617,$FG$2:$FG$1000,"&lt;"&amp;FG617)=0,"Y","N")))</f>
        <v/>
      </c>
      <c r="FB617" s="0" t="str">
        <f aca="false">IF($A617="","",IF(AND(EZ617="Y",FA617="Y",Y617&amp;""&lt;&gt;""),IF(Y617&lt;=10,"Y","N"),"N"))</f>
        <v/>
      </c>
      <c r="FC617" s="0" t="str">
        <f aca="false">IF(FB617="Y",Y617,"")</f>
        <v/>
      </c>
      <c r="FD617" s="0" t="str">
        <f aca="false">IF($A617="","",IF(AND(CK617="pass",AU617="Y",AV617&lt;&gt;"Y",U617="new",EW617="N"),"Y","N"))</f>
        <v/>
      </c>
      <c r="FE617" s="0" t="str">
        <f aca="false">IF(FD617&lt;&gt;"Y","",IF(COUNTIFS($FD$2:$FD$1000,"Y",$J$2:$J$1000,"&gt;"&amp;J617)+COUNTIFS($FD$2:$FD$1000,"Y",$J$2:$J$1000,J617,$FG$2:$FG$1000,"&lt;"&amp;FG617)+1&lt;=30,COUNTIFS($FD$2:$FD$1000,"Y",$J$2:$J$1000,"&gt;"&amp;J617)+COUNTIFS($FD$2:$FD$1000,"Y",$J$2:$J$1000,J617,$FG$2:$FG$1000,"&lt;"&amp;FG617)+1,""))</f>
        <v/>
      </c>
      <c r="FF617" s="0" t="str">
        <f aca="false">IF(AND(_xlfn.ISFORMULA(C617),_xlfn.ISFORMULA(J617)),"Y","N")</f>
        <v>Y</v>
      </c>
      <c r="FG617" s="0" t="n">
        <f aca="false">ROW()-1</f>
        <v>616</v>
      </c>
    </row>
    <row r="618" customFormat="false" ht="15" hidden="false" customHeight="false" outlineLevel="0" collapsed="false">
      <c r="C618" s="0" t="str">
        <f aca="false">IF($A618="","",IF(AT618="Y",BL618&amp;"",AY618&amp;""))</f>
        <v/>
      </c>
      <c r="D618" s="0" t="str">
        <f aca="false">IF($A618="","",IF(AT618="Y",BM618&amp;"",AZ618&amp;""))</f>
        <v/>
      </c>
      <c r="E618" s="0" t="str">
        <f aca="false">IF($A618="","",IF(AT618="Y",BN618&amp;"",BA618&amp;""))</f>
        <v/>
      </c>
      <c r="F618" s="0" t="str">
        <f aca="false">IF($A618="","",IF(AT618="Y",BO618&amp;"",BB618&amp;""))</f>
        <v/>
      </c>
      <c r="G618" s="0" t="str">
        <f aca="false">IF($A618="","",IF(AT618="Y",BP618&amp;"",BC618&amp;""))</f>
        <v/>
      </c>
      <c r="H618" s="0" t="str">
        <f aca="false">IF($A618="","",IF(AT618="Y",BQ618&amp;"",BD618&amp;""))</f>
        <v/>
      </c>
      <c r="I618" s="0" t="str">
        <f aca="false">IF($A618="","",IF(R618="Y","warm-intro",IF(H618="verified","email",IF(C618&lt;&gt;"","linkedin",CA618&amp;""))))</f>
        <v/>
      </c>
      <c r="J618" s="0" t="str">
        <f aca="false">IF($A618="","",IF(CK618="pass",ROUND(N(DO618)+N(DP618)+N(DQ618)+N(DR618)+N(DS618)+N(DT618)+N(DU618)+N(DV618),0),0))</f>
        <v/>
      </c>
      <c r="K618" s="0" t="str">
        <f aca="false">IF($A618="","",IF(CK618&lt;&gt;"pass",BY618&amp;"",BY618&amp;", "&amp;IF(AT618="Y",BX618&amp;"",BK618&amp;"")&amp;BZ618&amp;IF(R618="Y","; known to the founder (+10)","")&amp;"."))</f>
        <v/>
      </c>
      <c r="R618" s="5"/>
      <c r="T618" s="5"/>
      <c r="U618" s="5"/>
      <c r="Y618" s="0" t="str">
        <f aca="false">IF(FA618&lt;&gt;"Y","",COUNTIFS($FA$2:$FA$1000,"Y",$J$2:$J$1000,"&gt;"&amp;J618)+COUNTIFS($FA$2:$FA$1000,"Y",$J$2:$J$1000,J618,$FG$2:$FG$1000,"&lt;"&amp;FG618)+1)</f>
        <v/>
      </c>
      <c r="AB618" s="0" t="str">
        <f aca="false">IF($A618="","",IF(AT618="Y",BW618&amp;"",BJ618&amp;""))</f>
        <v/>
      </c>
      <c r="AC618" s="0" t="str">
        <f aca="false">IF($A618="","",IF(AT618="Y",BR618&amp;"",BE618&amp;""))</f>
        <v/>
      </c>
      <c r="AD618" s="0" t="str">
        <f aca="false">IF($A618="","",IF(AT618="Y",BS618&amp;"",BF618&amp;""))</f>
        <v/>
      </c>
      <c r="AE618" s="0" t="str">
        <f aca="false">IF($A618="","",IF(AT618="Y",BT618&amp;"",BG618&amp;""))</f>
        <v/>
      </c>
      <c r="AF618" s="0" t="str">
        <f aca="false">IF($A618="","",IF(AT618="Y",BU618&amp;"",BH618&amp;""))</f>
        <v/>
      </c>
      <c r="AG618" s="0" t="str">
        <f aca="false">IF($A618="","",IF(AT618="Y",BV618&amp;"",BI618&amp;""))</f>
        <v/>
      </c>
      <c r="AO618" s="5"/>
      <c r="AR618" s="0" t="str">
        <f aca="false">IF($A618="","",IF(AND(CK618="pass",AO618&lt;&gt;"Y",C618&lt;&gt;"",OR(AU618&lt;&gt;"Y",AV618="Y")),"Y","N"))</f>
        <v/>
      </c>
      <c r="AS618" s="0" t="str">
        <f aca="false">IF($A618="","",_xlfn.TEXTJOIN("; ",TRUE(),IF(CK618&lt;&gt;"pass","gated out",""),IF(AO618="Y","on hold: "&amp;AP618,""),IF(C618="","no contact named on an opened page",""),IF(AND(AU618="Y",AV618&lt;&gt;"Y"),"founder review pending (Founder review tab)","")))</f>
        <v/>
      </c>
      <c r="BC618" s="0" t="str">
        <f aca="false">IF($A618="","",IFERROR(INDEX(Enrichment!$A$2:$GZ$2000,MATCH($A618,INDEX(Enrichment!$A$2:$GZ$2000,0,MATCH("row_id",Enrichment!$A$1:$GZ$1,0)),0),MATCH("work_email",Enrichment!$A$1:$GZ$1,0))&amp;"",""))</f>
        <v/>
      </c>
      <c r="BD618" s="0" t="str">
        <f aca="false">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P618" s="0" t="str">
        <f aca="false">IF($A618="","",IFERROR(INDEX(Enrichment!$A$2:$GZ$2000,MATCH($A618,INDEX(Enrichment!$A$2:$GZ$2000,0,MATCH("row_id",Enrichment!$A$1:$GZ$1,0)),0),MATCH("backup_work_email",Enrichment!$A$1:$GZ$1,0))&amp;"",""))</f>
        <v/>
      </c>
      <c r="BQ618" s="0" t="str">
        <f aca="false">IF($A618="","",IF(BP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DU618" s="0" t="str">
        <f aca="false">IF($A618="","",IF(R618="Y",10,0))</f>
        <v/>
      </c>
      <c r="EV618" s="0" t="str">
        <f aca="false">IF($A618="","",IF(ISNUMBER(MATCH(U618,{"queued","contacted","replied","call_booked","call_done","yes_in_principle","materials_sent"},0)),"Y","N"))</f>
        <v/>
      </c>
      <c r="EW618" s="0" t="str">
        <f aca="false">IF($A618="","",IF(OR(T618="Y",U618="do_not_contact",AQ618&amp;""&lt;&gt;""),"Y","N"))</f>
        <v/>
      </c>
      <c r="EX618" s="0" t="str">
        <f aca="false">IF($A618="","",IF(AN618&amp;""&lt;&gt;"",AN618&amp;"",$A618))</f>
        <v/>
      </c>
      <c r="EY618" s="0" t="str">
        <f aca="false">IF($A618="","",IF(COUNTIFS($EX$2:$EX$1000,EX618,$EV$2:$EV$1000,"Y")+COUNTIFS($EX$2:$EX$1000,EX618,$EW$2:$EW$1000,"Y")&gt;0,"Y","N"))</f>
        <v/>
      </c>
      <c r="EZ618" s="0" t="str">
        <f aca="false">IF($A618="","",IF(AND(U618="new",T618="N",EW618="N",AR618="Y",EY618="N"),"Y","N"))</f>
        <v/>
      </c>
      <c r="FA618" s="0" t="str">
        <f aca="false">IF($A618="","",IF(EZ618&lt;&gt;"Y","N",IF(COUNTIFS($EX$2:$EX$1000,EX618,$EZ$2:$EZ$1000,"Y",$J$2:$J$1000,"&gt;"&amp;J618)+COUNTIFS($EX$2:$EX$1000,EX618,$EZ$2:$EZ$1000,"Y",$J$2:$J$1000,J618,$FG$2:$FG$1000,"&lt;"&amp;FG618)=0,"Y","N")))</f>
        <v/>
      </c>
      <c r="FB618" s="0" t="str">
        <f aca="false">IF($A618="","",IF(AND(EZ618="Y",FA618="Y",Y618&amp;""&lt;&gt;""),IF(Y618&lt;=10,"Y","N"),"N"))</f>
        <v/>
      </c>
      <c r="FC618" s="0" t="str">
        <f aca="false">IF(FB618="Y",Y618,"")</f>
        <v/>
      </c>
      <c r="FD618" s="0" t="str">
        <f aca="false">IF($A618="","",IF(AND(CK618="pass",AU618="Y",AV618&lt;&gt;"Y",U618="new",EW618="N"),"Y","N"))</f>
        <v/>
      </c>
      <c r="FE618" s="0" t="str">
        <f aca="false">IF(FD618&lt;&gt;"Y","",IF(COUNTIFS($FD$2:$FD$1000,"Y",$J$2:$J$1000,"&gt;"&amp;J618)+COUNTIFS($FD$2:$FD$1000,"Y",$J$2:$J$1000,J618,$FG$2:$FG$1000,"&lt;"&amp;FG618)+1&lt;=30,COUNTIFS($FD$2:$FD$1000,"Y",$J$2:$J$1000,"&gt;"&amp;J618)+COUNTIFS($FD$2:$FD$1000,"Y",$J$2:$J$1000,J618,$FG$2:$FG$1000,"&lt;"&amp;FG618)+1,""))</f>
        <v/>
      </c>
      <c r="FF618" s="0" t="str">
        <f aca="false">IF(AND(_xlfn.ISFORMULA(C618),_xlfn.ISFORMULA(J618)),"Y","N")</f>
        <v>Y</v>
      </c>
      <c r="FG618" s="0" t="n">
        <f aca="false">ROW()-1</f>
        <v>617</v>
      </c>
    </row>
    <row r="619" customFormat="false" ht="15" hidden="false" customHeight="false" outlineLevel="0" collapsed="false">
      <c r="C619" s="0" t="str">
        <f aca="false">IF($A619="","",IF(AT619="Y",BL619&amp;"",AY619&amp;""))</f>
        <v/>
      </c>
      <c r="D619" s="0" t="str">
        <f aca="false">IF($A619="","",IF(AT619="Y",BM619&amp;"",AZ619&amp;""))</f>
        <v/>
      </c>
      <c r="E619" s="0" t="str">
        <f aca="false">IF($A619="","",IF(AT619="Y",BN619&amp;"",BA619&amp;""))</f>
        <v/>
      </c>
      <c r="F619" s="0" t="str">
        <f aca="false">IF($A619="","",IF(AT619="Y",BO619&amp;"",BB619&amp;""))</f>
        <v/>
      </c>
      <c r="G619" s="0" t="str">
        <f aca="false">IF($A619="","",IF(AT619="Y",BP619&amp;"",BC619&amp;""))</f>
        <v/>
      </c>
      <c r="H619" s="0" t="str">
        <f aca="false">IF($A619="","",IF(AT619="Y",BQ619&amp;"",BD619&amp;""))</f>
        <v/>
      </c>
      <c r="I619" s="0" t="str">
        <f aca="false">IF($A619="","",IF(R619="Y","warm-intro",IF(H619="verified","email",IF(C619&lt;&gt;"","linkedin",CA619&amp;""))))</f>
        <v/>
      </c>
      <c r="J619" s="0" t="str">
        <f aca="false">IF($A619="","",IF(CK619="pass",ROUND(N(DO619)+N(DP619)+N(DQ619)+N(DR619)+N(DS619)+N(DT619)+N(DU619)+N(DV619),0),0))</f>
        <v/>
      </c>
      <c r="K619" s="0" t="str">
        <f aca="false">IF($A619="","",IF(CK619&lt;&gt;"pass",BY619&amp;"",BY619&amp;", "&amp;IF(AT619="Y",BX619&amp;"",BK619&amp;"")&amp;BZ619&amp;IF(R619="Y","; known to the founder (+10)","")&amp;"."))</f>
        <v/>
      </c>
      <c r="R619" s="5"/>
      <c r="T619" s="5"/>
      <c r="U619" s="5"/>
      <c r="Y619" s="0" t="str">
        <f aca="false">IF(FA619&lt;&gt;"Y","",COUNTIFS($FA$2:$FA$1000,"Y",$J$2:$J$1000,"&gt;"&amp;J619)+COUNTIFS($FA$2:$FA$1000,"Y",$J$2:$J$1000,J619,$FG$2:$FG$1000,"&lt;"&amp;FG619)+1)</f>
        <v/>
      </c>
      <c r="AB619" s="0" t="str">
        <f aca="false">IF($A619="","",IF(AT619="Y",BW619&amp;"",BJ619&amp;""))</f>
        <v/>
      </c>
      <c r="AC619" s="0" t="str">
        <f aca="false">IF($A619="","",IF(AT619="Y",BR619&amp;"",BE619&amp;""))</f>
        <v/>
      </c>
      <c r="AD619" s="0" t="str">
        <f aca="false">IF($A619="","",IF(AT619="Y",BS619&amp;"",BF619&amp;""))</f>
        <v/>
      </c>
      <c r="AE619" s="0" t="str">
        <f aca="false">IF($A619="","",IF(AT619="Y",BT619&amp;"",BG619&amp;""))</f>
        <v/>
      </c>
      <c r="AF619" s="0" t="str">
        <f aca="false">IF($A619="","",IF(AT619="Y",BU619&amp;"",BH619&amp;""))</f>
        <v/>
      </c>
      <c r="AG619" s="0" t="str">
        <f aca="false">IF($A619="","",IF(AT619="Y",BV619&amp;"",BI619&amp;""))</f>
        <v/>
      </c>
      <c r="AO619" s="5"/>
      <c r="AR619" s="0" t="str">
        <f aca="false">IF($A619="","",IF(AND(CK619="pass",AO619&lt;&gt;"Y",C619&lt;&gt;"",OR(AU619&lt;&gt;"Y",AV619="Y")),"Y","N"))</f>
        <v/>
      </c>
      <c r="AS619" s="0" t="str">
        <f aca="false">IF($A619="","",_xlfn.TEXTJOIN("; ",TRUE(),IF(CK619&lt;&gt;"pass","gated out",""),IF(AO619="Y","on hold: "&amp;AP619,""),IF(C619="","no contact named on an opened page",""),IF(AND(AU619="Y",AV619&lt;&gt;"Y"),"founder review pending (Founder review tab)","")))</f>
        <v/>
      </c>
      <c r="BC619" s="0" t="str">
        <f aca="false">IF($A619="","",IFERROR(INDEX(Enrichment!$A$2:$GZ$2000,MATCH($A619,INDEX(Enrichment!$A$2:$GZ$2000,0,MATCH("row_id",Enrichment!$A$1:$GZ$1,0)),0),MATCH("work_email",Enrichment!$A$1:$GZ$1,0))&amp;"",""))</f>
        <v/>
      </c>
      <c r="BD619" s="0" t="str">
        <f aca="false">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P619" s="0" t="str">
        <f aca="false">IF($A619="","",IFERROR(INDEX(Enrichment!$A$2:$GZ$2000,MATCH($A619,INDEX(Enrichment!$A$2:$GZ$2000,0,MATCH("row_id",Enrichment!$A$1:$GZ$1,0)),0),MATCH("backup_work_email",Enrichment!$A$1:$GZ$1,0))&amp;"",""))</f>
        <v/>
      </c>
      <c r="BQ619" s="0" t="str">
        <f aca="false">IF($A619="","",IF(BP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DU619" s="0" t="str">
        <f aca="false">IF($A619="","",IF(R619="Y",10,0))</f>
        <v/>
      </c>
      <c r="EV619" s="0" t="str">
        <f aca="false">IF($A619="","",IF(ISNUMBER(MATCH(U619,{"queued","contacted","replied","call_booked","call_done","yes_in_principle","materials_sent"},0)),"Y","N"))</f>
        <v/>
      </c>
      <c r="EW619" s="0" t="str">
        <f aca="false">IF($A619="","",IF(OR(T619="Y",U619="do_not_contact",AQ619&amp;""&lt;&gt;""),"Y","N"))</f>
        <v/>
      </c>
      <c r="EX619" s="0" t="str">
        <f aca="false">IF($A619="","",IF(AN619&amp;""&lt;&gt;"",AN619&amp;"",$A619))</f>
        <v/>
      </c>
      <c r="EY619" s="0" t="str">
        <f aca="false">IF($A619="","",IF(COUNTIFS($EX$2:$EX$1000,EX619,$EV$2:$EV$1000,"Y")+COUNTIFS($EX$2:$EX$1000,EX619,$EW$2:$EW$1000,"Y")&gt;0,"Y","N"))</f>
        <v/>
      </c>
      <c r="EZ619" s="0" t="str">
        <f aca="false">IF($A619="","",IF(AND(U619="new",T619="N",EW619="N",AR619="Y",EY619="N"),"Y","N"))</f>
        <v/>
      </c>
      <c r="FA619" s="0" t="str">
        <f aca="false">IF($A619="","",IF(EZ619&lt;&gt;"Y","N",IF(COUNTIFS($EX$2:$EX$1000,EX619,$EZ$2:$EZ$1000,"Y",$J$2:$J$1000,"&gt;"&amp;J619)+COUNTIFS($EX$2:$EX$1000,EX619,$EZ$2:$EZ$1000,"Y",$J$2:$J$1000,J619,$FG$2:$FG$1000,"&lt;"&amp;FG619)=0,"Y","N")))</f>
        <v/>
      </c>
      <c r="FB619" s="0" t="str">
        <f aca="false">IF($A619="","",IF(AND(EZ619="Y",FA619="Y",Y619&amp;""&lt;&gt;""),IF(Y619&lt;=10,"Y","N"),"N"))</f>
        <v/>
      </c>
      <c r="FC619" s="0" t="str">
        <f aca="false">IF(FB619="Y",Y619,"")</f>
        <v/>
      </c>
      <c r="FD619" s="0" t="str">
        <f aca="false">IF($A619="","",IF(AND(CK619="pass",AU619="Y",AV619&lt;&gt;"Y",U619="new",EW619="N"),"Y","N"))</f>
        <v/>
      </c>
      <c r="FE619" s="0" t="str">
        <f aca="false">IF(FD619&lt;&gt;"Y","",IF(COUNTIFS($FD$2:$FD$1000,"Y",$J$2:$J$1000,"&gt;"&amp;J619)+COUNTIFS($FD$2:$FD$1000,"Y",$J$2:$J$1000,J619,$FG$2:$FG$1000,"&lt;"&amp;FG619)+1&lt;=30,COUNTIFS($FD$2:$FD$1000,"Y",$J$2:$J$1000,"&gt;"&amp;J619)+COUNTIFS($FD$2:$FD$1000,"Y",$J$2:$J$1000,J619,$FG$2:$FG$1000,"&lt;"&amp;FG619)+1,""))</f>
        <v/>
      </c>
      <c r="FF619" s="0" t="str">
        <f aca="false">IF(AND(_xlfn.ISFORMULA(C619),_xlfn.ISFORMULA(J619)),"Y","N")</f>
        <v>Y</v>
      </c>
      <c r="FG619" s="0" t="n">
        <f aca="false">ROW()-1</f>
        <v>618</v>
      </c>
    </row>
    <row r="620" customFormat="false" ht="15" hidden="false" customHeight="false" outlineLevel="0" collapsed="false">
      <c r="C620" s="0" t="str">
        <f aca="false">IF($A620="","",IF(AT620="Y",BL620&amp;"",AY620&amp;""))</f>
        <v/>
      </c>
      <c r="D620" s="0" t="str">
        <f aca="false">IF($A620="","",IF(AT620="Y",BM620&amp;"",AZ620&amp;""))</f>
        <v/>
      </c>
      <c r="E620" s="0" t="str">
        <f aca="false">IF($A620="","",IF(AT620="Y",BN620&amp;"",BA620&amp;""))</f>
        <v/>
      </c>
      <c r="F620" s="0" t="str">
        <f aca="false">IF($A620="","",IF(AT620="Y",BO620&amp;"",BB620&amp;""))</f>
        <v/>
      </c>
      <c r="G620" s="0" t="str">
        <f aca="false">IF($A620="","",IF(AT620="Y",BP620&amp;"",BC620&amp;""))</f>
        <v/>
      </c>
      <c r="H620" s="0" t="str">
        <f aca="false">IF($A620="","",IF(AT620="Y",BQ620&amp;"",BD620&amp;""))</f>
        <v/>
      </c>
      <c r="I620" s="0" t="str">
        <f aca="false">IF($A620="","",IF(R620="Y","warm-intro",IF(H620="verified","email",IF(C620&lt;&gt;"","linkedin",CA620&amp;""))))</f>
        <v/>
      </c>
      <c r="J620" s="0" t="str">
        <f aca="false">IF($A620="","",IF(CK620="pass",ROUND(N(DO620)+N(DP620)+N(DQ620)+N(DR620)+N(DS620)+N(DT620)+N(DU620)+N(DV620),0),0))</f>
        <v/>
      </c>
      <c r="K620" s="0" t="str">
        <f aca="false">IF($A620="","",IF(CK620&lt;&gt;"pass",BY620&amp;"",BY620&amp;", "&amp;IF(AT620="Y",BX620&amp;"",BK620&amp;"")&amp;BZ620&amp;IF(R620="Y","; known to the founder (+10)","")&amp;"."))</f>
        <v/>
      </c>
      <c r="R620" s="5"/>
      <c r="T620" s="5"/>
      <c r="U620" s="5"/>
      <c r="Y620" s="0" t="str">
        <f aca="false">IF(FA620&lt;&gt;"Y","",COUNTIFS($FA$2:$FA$1000,"Y",$J$2:$J$1000,"&gt;"&amp;J620)+COUNTIFS($FA$2:$FA$1000,"Y",$J$2:$J$1000,J620,$FG$2:$FG$1000,"&lt;"&amp;FG620)+1)</f>
        <v/>
      </c>
      <c r="AB620" s="0" t="str">
        <f aca="false">IF($A620="","",IF(AT620="Y",BW620&amp;"",BJ620&amp;""))</f>
        <v/>
      </c>
      <c r="AC620" s="0" t="str">
        <f aca="false">IF($A620="","",IF(AT620="Y",BR620&amp;"",BE620&amp;""))</f>
        <v/>
      </c>
      <c r="AD620" s="0" t="str">
        <f aca="false">IF($A620="","",IF(AT620="Y",BS620&amp;"",BF620&amp;""))</f>
        <v/>
      </c>
      <c r="AE620" s="0" t="str">
        <f aca="false">IF($A620="","",IF(AT620="Y",BT620&amp;"",BG620&amp;""))</f>
        <v/>
      </c>
      <c r="AF620" s="0" t="str">
        <f aca="false">IF($A620="","",IF(AT620="Y",BU620&amp;"",BH620&amp;""))</f>
        <v/>
      </c>
      <c r="AG620" s="0" t="str">
        <f aca="false">IF($A620="","",IF(AT620="Y",BV620&amp;"",BI620&amp;""))</f>
        <v/>
      </c>
      <c r="AO620" s="5"/>
      <c r="AR620" s="0" t="str">
        <f aca="false">IF($A620="","",IF(AND(CK620="pass",AO620&lt;&gt;"Y",C620&lt;&gt;"",OR(AU620&lt;&gt;"Y",AV620="Y")),"Y","N"))</f>
        <v/>
      </c>
      <c r="AS620" s="0" t="str">
        <f aca="false">IF($A620="","",_xlfn.TEXTJOIN("; ",TRUE(),IF(CK620&lt;&gt;"pass","gated out",""),IF(AO620="Y","on hold: "&amp;AP620,""),IF(C620="","no contact named on an opened page",""),IF(AND(AU620="Y",AV620&lt;&gt;"Y"),"founder review pending (Founder review tab)","")))</f>
        <v/>
      </c>
      <c r="BC620" s="0" t="str">
        <f aca="false">IF($A620="","",IFERROR(INDEX(Enrichment!$A$2:$GZ$2000,MATCH($A620,INDEX(Enrichment!$A$2:$GZ$2000,0,MATCH("row_id",Enrichment!$A$1:$GZ$1,0)),0),MATCH("work_email",Enrichment!$A$1:$GZ$1,0))&amp;"",""))</f>
        <v/>
      </c>
      <c r="BD620" s="0" t="str">
        <f aca="false">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P620" s="0" t="str">
        <f aca="false">IF($A620="","",IFERROR(INDEX(Enrichment!$A$2:$GZ$2000,MATCH($A620,INDEX(Enrichment!$A$2:$GZ$2000,0,MATCH("row_id",Enrichment!$A$1:$GZ$1,0)),0),MATCH("backup_work_email",Enrichment!$A$1:$GZ$1,0))&amp;"",""))</f>
        <v/>
      </c>
      <c r="BQ620" s="0" t="str">
        <f aca="false">IF($A620="","",IF(BP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DU620" s="0" t="str">
        <f aca="false">IF($A620="","",IF(R620="Y",10,0))</f>
        <v/>
      </c>
      <c r="EV620" s="0" t="str">
        <f aca="false">IF($A620="","",IF(ISNUMBER(MATCH(U620,{"queued","contacted","replied","call_booked","call_done","yes_in_principle","materials_sent"},0)),"Y","N"))</f>
        <v/>
      </c>
      <c r="EW620" s="0" t="str">
        <f aca="false">IF($A620="","",IF(OR(T620="Y",U620="do_not_contact",AQ620&amp;""&lt;&gt;""),"Y","N"))</f>
        <v/>
      </c>
      <c r="EX620" s="0" t="str">
        <f aca="false">IF($A620="","",IF(AN620&amp;""&lt;&gt;"",AN620&amp;"",$A620))</f>
        <v/>
      </c>
      <c r="EY620" s="0" t="str">
        <f aca="false">IF($A620="","",IF(COUNTIFS($EX$2:$EX$1000,EX620,$EV$2:$EV$1000,"Y")+COUNTIFS($EX$2:$EX$1000,EX620,$EW$2:$EW$1000,"Y")&gt;0,"Y","N"))</f>
        <v/>
      </c>
      <c r="EZ620" s="0" t="str">
        <f aca="false">IF($A620="","",IF(AND(U620="new",T620="N",EW620="N",AR620="Y",EY620="N"),"Y","N"))</f>
        <v/>
      </c>
      <c r="FA620" s="0" t="str">
        <f aca="false">IF($A620="","",IF(EZ620&lt;&gt;"Y","N",IF(COUNTIFS($EX$2:$EX$1000,EX620,$EZ$2:$EZ$1000,"Y",$J$2:$J$1000,"&gt;"&amp;J620)+COUNTIFS($EX$2:$EX$1000,EX620,$EZ$2:$EZ$1000,"Y",$J$2:$J$1000,J620,$FG$2:$FG$1000,"&lt;"&amp;FG620)=0,"Y","N")))</f>
        <v/>
      </c>
      <c r="FB620" s="0" t="str">
        <f aca="false">IF($A620="","",IF(AND(EZ620="Y",FA620="Y",Y620&amp;""&lt;&gt;""),IF(Y620&lt;=10,"Y","N"),"N"))</f>
        <v/>
      </c>
      <c r="FC620" s="0" t="str">
        <f aca="false">IF(FB620="Y",Y620,"")</f>
        <v/>
      </c>
      <c r="FD620" s="0" t="str">
        <f aca="false">IF($A620="","",IF(AND(CK620="pass",AU620="Y",AV620&lt;&gt;"Y",U620="new",EW620="N"),"Y","N"))</f>
        <v/>
      </c>
      <c r="FE620" s="0" t="str">
        <f aca="false">IF(FD620&lt;&gt;"Y","",IF(COUNTIFS($FD$2:$FD$1000,"Y",$J$2:$J$1000,"&gt;"&amp;J620)+COUNTIFS($FD$2:$FD$1000,"Y",$J$2:$J$1000,J620,$FG$2:$FG$1000,"&lt;"&amp;FG620)+1&lt;=30,COUNTIFS($FD$2:$FD$1000,"Y",$J$2:$J$1000,"&gt;"&amp;J620)+COUNTIFS($FD$2:$FD$1000,"Y",$J$2:$J$1000,J620,$FG$2:$FG$1000,"&lt;"&amp;FG620)+1,""))</f>
        <v/>
      </c>
      <c r="FF620" s="0" t="str">
        <f aca="false">IF(AND(_xlfn.ISFORMULA(C620),_xlfn.ISFORMULA(J620)),"Y","N")</f>
        <v>Y</v>
      </c>
      <c r="FG620" s="0" t="n">
        <f aca="false">ROW()-1</f>
        <v>619</v>
      </c>
    </row>
    <row r="621" customFormat="false" ht="15" hidden="false" customHeight="false" outlineLevel="0" collapsed="false">
      <c r="C621" s="0" t="str">
        <f aca="false">IF($A621="","",IF(AT621="Y",BL621&amp;"",AY621&amp;""))</f>
        <v/>
      </c>
      <c r="D621" s="0" t="str">
        <f aca="false">IF($A621="","",IF(AT621="Y",BM621&amp;"",AZ621&amp;""))</f>
        <v/>
      </c>
      <c r="E621" s="0" t="str">
        <f aca="false">IF($A621="","",IF(AT621="Y",BN621&amp;"",BA621&amp;""))</f>
        <v/>
      </c>
      <c r="F621" s="0" t="str">
        <f aca="false">IF($A621="","",IF(AT621="Y",BO621&amp;"",BB621&amp;""))</f>
        <v/>
      </c>
      <c r="G621" s="0" t="str">
        <f aca="false">IF($A621="","",IF(AT621="Y",BP621&amp;"",BC621&amp;""))</f>
        <v/>
      </c>
      <c r="H621" s="0" t="str">
        <f aca="false">IF($A621="","",IF(AT621="Y",BQ621&amp;"",BD621&amp;""))</f>
        <v/>
      </c>
      <c r="I621" s="0" t="str">
        <f aca="false">IF($A621="","",IF(R621="Y","warm-intro",IF(H621="verified","email",IF(C621&lt;&gt;"","linkedin",CA621&amp;""))))</f>
        <v/>
      </c>
      <c r="J621" s="0" t="str">
        <f aca="false">IF($A621="","",IF(CK621="pass",ROUND(N(DO621)+N(DP621)+N(DQ621)+N(DR621)+N(DS621)+N(DT621)+N(DU621)+N(DV621),0),0))</f>
        <v/>
      </c>
      <c r="K621" s="0" t="str">
        <f aca="false">IF($A621="","",IF(CK621&lt;&gt;"pass",BY621&amp;"",BY621&amp;", "&amp;IF(AT621="Y",BX621&amp;"",BK621&amp;"")&amp;BZ621&amp;IF(R621="Y","; known to the founder (+10)","")&amp;"."))</f>
        <v/>
      </c>
      <c r="R621" s="5"/>
      <c r="T621" s="5"/>
      <c r="U621" s="5"/>
      <c r="Y621" s="0" t="str">
        <f aca="false">IF(FA621&lt;&gt;"Y","",COUNTIFS($FA$2:$FA$1000,"Y",$J$2:$J$1000,"&gt;"&amp;J621)+COUNTIFS($FA$2:$FA$1000,"Y",$J$2:$J$1000,J621,$FG$2:$FG$1000,"&lt;"&amp;FG621)+1)</f>
        <v/>
      </c>
      <c r="AB621" s="0" t="str">
        <f aca="false">IF($A621="","",IF(AT621="Y",BW621&amp;"",BJ621&amp;""))</f>
        <v/>
      </c>
      <c r="AC621" s="0" t="str">
        <f aca="false">IF($A621="","",IF(AT621="Y",BR621&amp;"",BE621&amp;""))</f>
        <v/>
      </c>
      <c r="AD621" s="0" t="str">
        <f aca="false">IF($A621="","",IF(AT621="Y",BS621&amp;"",BF621&amp;""))</f>
        <v/>
      </c>
      <c r="AE621" s="0" t="str">
        <f aca="false">IF($A621="","",IF(AT621="Y",BT621&amp;"",BG621&amp;""))</f>
        <v/>
      </c>
      <c r="AF621" s="0" t="str">
        <f aca="false">IF($A621="","",IF(AT621="Y",BU621&amp;"",BH621&amp;""))</f>
        <v/>
      </c>
      <c r="AG621" s="0" t="str">
        <f aca="false">IF($A621="","",IF(AT621="Y",BV621&amp;"",BI621&amp;""))</f>
        <v/>
      </c>
      <c r="AO621" s="5"/>
      <c r="AR621" s="0" t="str">
        <f aca="false">IF($A621="","",IF(AND(CK621="pass",AO621&lt;&gt;"Y",C621&lt;&gt;"",OR(AU621&lt;&gt;"Y",AV621="Y")),"Y","N"))</f>
        <v/>
      </c>
      <c r="AS621" s="0" t="str">
        <f aca="false">IF($A621="","",_xlfn.TEXTJOIN("; ",TRUE(),IF(CK621&lt;&gt;"pass","gated out",""),IF(AO621="Y","on hold: "&amp;AP621,""),IF(C621="","no contact named on an opened page",""),IF(AND(AU621="Y",AV621&lt;&gt;"Y"),"founder review pending (Founder review tab)","")))</f>
        <v/>
      </c>
      <c r="BC621" s="0" t="str">
        <f aca="false">IF($A621="","",IFERROR(INDEX(Enrichment!$A$2:$GZ$2000,MATCH($A621,INDEX(Enrichment!$A$2:$GZ$2000,0,MATCH("row_id",Enrichment!$A$1:$GZ$1,0)),0),MATCH("work_email",Enrichment!$A$1:$GZ$1,0))&amp;"",""))</f>
        <v/>
      </c>
      <c r="BD621" s="0" t="str">
        <f aca="false">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P621" s="0" t="str">
        <f aca="false">IF($A621="","",IFERROR(INDEX(Enrichment!$A$2:$GZ$2000,MATCH($A621,INDEX(Enrichment!$A$2:$GZ$2000,0,MATCH("row_id",Enrichment!$A$1:$GZ$1,0)),0),MATCH("backup_work_email",Enrichment!$A$1:$GZ$1,0))&amp;"",""))</f>
        <v/>
      </c>
      <c r="BQ621" s="0" t="str">
        <f aca="false">IF($A621="","",IF(BP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DU621" s="0" t="str">
        <f aca="false">IF($A621="","",IF(R621="Y",10,0))</f>
        <v/>
      </c>
      <c r="EV621" s="0" t="str">
        <f aca="false">IF($A621="","",IF(ISNUMBER(MATCH(U621,{"queued","contacted","replied","call_booked","call_done","yes_in_principle","materials_sent"},0)),"Y","N"))</f>
        <v/>
      </c>
      <c r="EW621" s="0" t="str">
        <f aca="false">IF($A621="","",IF(OR(T621="Y",U621="do_not_contact",AQ621&amp;""&lt;&gt;""),"Y","N"))</f>
        <v/>
      </c>
      <c r="EX621" s="0" t="str">
        <f aca="false">IF($A621="","",IF(AN621&amp;""&lt;&gt;"",AN621&amp;"",$A621))</f>
        <v/>
      </c>
      <c r="EY621" s="0" t="str">
        <f aca="false">IF($A621="","",IF(COUNTIFS($EX$2:$EX$1000,EX621,$EV$2:$EV$1000,"Y")+COUNTIFS($EX$2:$EX$1000,EX621,$EW$2:$EW$1000,"Y")&gt;0,"Y","N"))</f>
        <v/>
      </c>
      <c r="EZ621" s="0" t="str">
        <f aca="false">IF($A621="","",IF(AND(U621="new",T621="N",EW621="N",AR621="Y",EY621="N"),"Y","N"))</f>
        <v/>
      </c>
      <c r="FA621" s="0" t="str">
        <f aca="false">IF($A621="","",IF(EZ621&lt;&gt;"Y","N",IF(COUNTIFS($EX$2:$EX$1000,EX621,$EZ$2:$EZ$1000,"Y",$J$2:$J$1000,"&gt;"&amp;J621)+COUNTIFS($EX$2:$EX$1000,EX621,$EZ$2:$EZ$1000,"Y",$J$2:$J$1000,J621,$FG$2:$FG$1000,"&lt;"&amp;FG621)=0,"Y","N")))</f>
        <v/>
      </c>
      <c r="FB621" s="0" t="str">
        <f aca="false">IF($A621="","",IF(AND(EZ621="Y",FA621="Y",Y621&amp;""&lt;&gt;""),IF(Y621&lt;=10,"Y","N"),"N"))</f>
        <v/>
      </c>
      <c r="FC621" s="0" t="str">
        <f aca="false">IF(FB621="Y",Y621,"")</f>
        <v/>
      </c>
      <c r="FD621" s="0" t="str">
        <f aca="false">IF($A621="","",IF(AND(CK621="pass",AU621="Y",AV621&lt;&gt;"Y",U621="new",EW621="N"),"Y","N"))</f>
        <v/>
      </c>
      <c r="FE621" s="0" t="str">
        <f aca="false">IF(FD621&lt;&gt;"Y","",IF(COUNTIFS($FD$2:$FD$1000,"Y",$J$2:$J$1000,"&gt;"&amp;J621)+COUNTIFS($FD$2:$FD$1000,"Y",$J$2:$J$1000,J621,$FG$2:$FG$1000,"&lt;"&amp;FG621)+1&lt;=30,COUNTIFS($FD$2:$FD$1000,"Y",$J$2:$J$1000,"&gt;"&amp;J621)+COUNTIFS($FD$2:$FD$1000,"Y",$J$2:$J$1000,J621,$FG$2:$FG$1000,"&lt;"&amp;FG621)+1,""))</f>
        <v/>
      </c>
      <c r="FF621" s="0" t="str">
        <f aca="false">IF(AND(_xlfn.ISFORMULA(C621),_xlfn.ISFORMULA(J621)),"Y","N")</f>
        <v>Y</v>
      </c>
      <c r="FG621" s="0" t="n">
        <f aca="false">ROW()-1</f>
        <v>620</v>
      </c>
    </row>
    <row r="622" customFormat="false" ht="15" hidden="false" customHeight="false" outlineLevel="0" collapsed="false">
      <c r="C622" s="0" t="str">
        <f aca="false">IF($A622="","",IF(AT622="Y",BL622&amp;"",AY622&amp;""))</f>
        <v/>
      </c>
      <c r="D622" s="0" t="str">
        <f aca="false">IF($A622="","",IF(AT622="Y",BM622&amp;"",AZ622&amp;""))</f>
        <v/>
      </c>
      <c r="E622" s="0" t="str">
        <f aca="false">IF($A622="","",IF(AT622="Y",BN622&amp;"",BA622&amp;""))</f>
        <v/>
      </c>
      <c r="F622" s="0" t="str">
        <f aca="false">IF($A622="","",IF(AT622="Y",BO622&amp;"",BB622&amp;""))</f>
        <v/>
      </c>
      <c r="G622" s="0" t="str">
        <f aca="false">IF($A622="","",IF(AT622="Y",BP622&amp;"",BC622&amp;""))</f>
        <v/>
      </c>
      <c r="H622" s="0" t="str">
        <f aca="false">IF($A622="","",IF(AT622="Y",BQ622&amp;"",BD622&amp;""))</f>
        <v/>
      </c>
      <c r="I622" s="0" t="str">
        <f aca="false">IF($A622="","",IF(R622="Y","warm-intro",IF(H622="verified","email",IF(C622&lt;&gt;"","linkedin",CA622&amp;""))))</f>
        <v/>
      </c>
      <c r="J622" s="0" t="str">
        <f aca="false">IF($A622="","",IF(CK622="pass",ROUND(N(DO622)+N(DP622)+N(DQ622)+N(DR622)+N(DS622)+N(DT622)+N(DU622)+N(DV622),0),0))</f>
        <v/>
      </c>
      <c r="K622" s="0" t="str">
        <f aca="false">IF($A622="","",IF(CK622&lt;&gt;"pass",BY622&amp;"",BY622&amp;", "&amp;IF(AT622="Y",BX622&amp;"",BK622&amp;"")&amp;BZ622&amp;IF(R622="Y","; known to the founder (+10)","")&amp;"."))</f>
        <v/>
      </c>
      <c r="R622" s="5"/>
      <c r="T622" s="5"/>
      <c r="U622" s="5"/>
      <c r="Y622" s="0" t="str">
        <f aca="false">IF(FA622&lt;&gt;"Y","",COUNTIFS($FA$2:$FA$1000,"Y",$J$2:$J$1000,"&gt;"&amp;J622)+COUNTIFS($FA$2:$FA$1000,"Y",$J$2:$J$1000,J622,$FG$2:$FG$1000,"&lt;"&amp;FG622)+1)</f>
        <v/>
      </c>
      <c r="AB622" s="0" t="str">
        <f aca="false">IF($A622="","",IF(AT622="Y",BW622&amp;"",BJ622&amp;""))</f>
        <v/>
      </c>
      <c r="AC622" s="0" t="str">
        <f aca="false">IF($A622="","",IF(AT622="Y",BR622&amp;"",BE622&amp;""))</f>
        <v/>
      </c>
      <c r="AD622" s="0" t="str">
        <f aca="false">IF($A622="","",IF(AT622="Y",BS622&amp;"",BF622&amp;""))</f>
        <v/>
      </c>
      <c r="AE622" s="0" t="str">
        <f aca="false">IF($A622="","",IF(AT622="Y",BT622&amp;"",BG622&amp;""))</f>
        <v/>
      </c>
      <c r="AF622" s="0" t="str">
        <f aca="false">IF($A622="","",IF(AT622="Y",BU622&amp;"",BH622&amp;""))</f>
        <v/>
      </c>
      <c r="AG622" s="0" t="str">
        <f aca="false">IF($A622="","",IF(AT622="Y",BV622&amp;"",BI622&amp;""))</f>
        <v/>
      </c>
      <c r="AO622" s="5"/>
      <c r="AR622" s="0" t="str">
        <f aca="false">IF($A622="","",IF(AND(CK622="pass",AO622&lt;&gt;"Y",C622&lt;&gt;"",OR(AU622&lt;&gt;"Y",AV622="Y")),"Y","N"))</f>
        <v/>
      </c>
      <c r="AS622" s="0" t="str">
        <f aca="false">IF($A622="","",_xlfn.TEXTJOIN("; ",TRUE(),IF(CK622&lt;&gt;"pass","gated out",""),IF(AO622="Y","on hold: "&amp;AP622,""),IF(C622="","no contact named on an opened page",""),IF(AND(AU622="Y",AV622&lt;&gt;"Y"),"founder review pending (Founder review tab)","")))</f>
        <v/>
      </c>
      <c r="BC622" s="0" t="str">
        <f aca="false">IF($A622="","",IFERROR(INDEX(Enrichment!$A$2:$GZ$2000,MATCH($A622,INDEX(Enrichment!$A$2:$GZ$2000,0,MATCH("row_id",Enrichment!$A$1:$GZ$1,0)),0),MATCH("work_email",Enrichment!$A$1:$GZ$1,0))&amp;"",""))</f>
        <v/>
      </c>
      <c r="BD622" s="0" t="str">
        <f aca="false">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P622" s="0" t="str">
        <f aca="false">IF($A622="","",IFERROR(INDEX(Enrichment!$A$2:$GZ$2000,MATCH($A622,INDEX(Enrichment!$A$2:$GZ$2000,0,MATCH("row_id",Enrichment!$A$1:$GZ$1,0)),0),MATCH("backup_work_email",Enrichment!$A$1:$GZ$1,0))&amp;"",""))</f>
        <v/>
      </c>
      <c r="BQ622" s="0" t="str">
        <f aca="false">IF($A622="","",IF(BP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DU622" s="0" t="str">
        <f aca="false">IF($A622="","",IF(R622="Y",10,0))</f>
        <v/>
      </c>
      <c r="EV622" s="0" t="str">
        <f aca="false">IF($A622="","",IF(ISNUMBER(MATCH(U622,{"queued","contacted","replied","call_booked","call_done","yes_in_principle","materials_sent"},0)),"Y","N"))</f>
        <v/>
      </c>
      <c r="EW622" s="0" t="str">
        <f aca="false">IF($A622="","",IF(OR(T622="Y",U622="do_not_contact",AQ622&amp;""&lt;&gt;""),"Y","N"))</f>
        <v/>
      </c>
      <c r="EX622" s="0" t="str">
        <f aca="false">IF($A622="","",IF(AN622&amp;""&lt;&gt;"",AN622&amp;"",$A622))</f>
        <v/>
      </c>
      <c r="EY622" s="0" t="str">
        <f aca="false">IF($A622="","",IF(COUNTIFS($EX$2:$EX$1000,EX622,$EV$2:$EV$1000,"Y")+COUNTIFS($EX$2:$EX$1000,EX622,$EW$2:$EW$1000,"Y")&gt;0,"Y","N"))</f>
        <v/>
      </c>
      <c r="EZ622" s="0" t="str">
        <f aca="false">IF($A622="","",IF(AND(U622="new",T622="N",EW622="N",AR622="Y",EY622="N"),"Y","N"))</f>
        <v/>
      </c>
      <c r="FA622" s="0" t="str">
        <f aca="false">IF($A622="","",IF(EZ622&lt;&gt;"Y","N",IF(COUNTIFS($EX$2:$EX$1000,EX622,$EZ$2:$EZ$1000,"Y",$J$2:$J$1000,"&gt;"&amp;J622)+COUNTIFS($EX$2:$EX$1000,EX622,$EZ$2:$EZ$1000,"Y",$J$2:$J$1000,J622,$FG$2:$FG$1000,"&lt;"&amp;FG622)=0,"Y","N")))</f>
        <v/>
      </c>
      <c r="FB622" s="0" t="str">
        <f aca="false">IF($A622="","",IF(AND(EZ622="Y",FA622="Y",Y622&amp;""&lt;&gt;""),IF(Y622&lt;=10,"Y","N"),"N"))</f>
        <v/>
      </c>
      <c r="FC622" s="0" t="str">
        <f aca="false">IF(FB622="Y",Y622,"")</f>
        <v/>
      </c>
      <c r="FD622" s="0" t="str">
        <f aca="false">IF($A622="","",IF(AND(CK622="pass",AU622="Y",AV622&lt;&gt;"Y",U622="new",EW622="N"),"Y","N"))</f>
        <v/>
      </c>
      <c r="FE622" s="0" t="str">
        <f aca="false">IF(FD622&lt;&gt;"Y","",IF(COUNTIFS($FD$2:$FD$1000,"Y",$J$2:$J$1000,"&gt;"&amp;J622)+COUNTIFS($FD$2:$FD$1000,"Y",$J$2:$J$1000,J622,$FG$2:$FG$1000,"&lt;"&amp;FG622)+1&lt;=30,COUNTIFS($FD$2:$FD$1000,"Y",$J$2:$J$1000,"&gt;"&amp;J622)+COUNTIFS($FD$2:$FD$1000,"Y",$J$2:$J$1000,J622,$FG$2:$FG$1000,"&lt;"&amp;FG622)+1,""))</f>
        <v/>
      </c>
      <c r="FF622" s="0" t="str">
        <f aca="false">IF(AND(_xlfn.ISFORMULA(C622),_xlfn.ISFORMULA(J622)),"Y","N")</f>
        <v>Y</v>
      </c>
      <c r="FG622" s="0" t="n">
        <f aca="false">ROW()-1</f>
        <v>621</v>
      </c>
    </row>
    <row r="623" customFormat="false" ht="15" hidden="false" customHeight="false" outlineLevel="0" collapsed="false">
      <c r="C623" s="0" t="str">
        <f aca="false">IF($A623="","",IF(AT623="Y",BL623&amp;"",AY623&amp;""))</f>
        <v/>
      </c>
      <c r="D623" s="0" t="str">
        <f aca="false">IF($A623="","",IF(AT623="Y",BM623&amp;"",AZ623&amp;""))</f>
        <v/>
      </c>
      <c r="E623" s="0" t="str">
        <f aca="false">IF($A623="","",IF(AT623="Y",BN623&amp;"",BA623&amp;""))</f>
        <v/>
      </c>
      <c r="F623" s="0" t="str">
        <f aca="false">IF($A623="","",IF(AT623="Y",BO623&amp;"",BB623&amp;""))</f>
        <v/>
      </c>
      <c r="G623" s="0" t="str">
        <f aca="false">IF($A623="","",IF(AT623="Y",BP623&amp;"",BC623&amp;""))</f>
        <v/>
      </c>
      <c r="H623" s="0" t="str">
        <f aca="false">IF($A623="","",IF(AT623="Y",BQ623&amp;"",BD623&amp;""))</f>
        <v/>
      </c>
      <c r="I623" s="0" t="str">
        <f aca="false">IF($A623="","",IF(R623="Y","warm-intro",IF(H623="verified","email",IF(C623&lt;&gt;"","linkedin",CA623&amp;""))))</f>
        <v/>
      </c>
      <c r="J623" s="0" t="str">
        <f aca="false">IF($A623="","",IF(CK623="pass",ROUND(N(DO623)+N(DP623)+N(DQ623)+N(DR623)+N(DS623)+N(DT623)+N(DU623)+N(DV623),0),0))</f>
        <v/>
      </c>
      <c r="K623" s="0" t="str">
        <f aca="false">IF($A623="","",IF(CK623&lt;&gt;"pass",BY623&amp;"",BY623&amp;", "&amp;IF(AT623="Y",BX623&amp;"",BK623&amp;"")&amp;BZ623&amp;IF(R623="Y","; known to the founder (+10)","")&amp;"."))</f>
        <v/>
      </c>
      <c r="R623" s="5"/>
      <c r="T623" s="5"/>
      <c r="U623" s="5"/>
      <c r="Y623" s="0" t="str">
        <f aca="false">IF(FA623&lt;&gt;"Y","",COUNTIFS($FA$2:$FA$1000,"Y",$J$2:$J$1000,"&gt;"&amp;J623)+COUNTIFS($FA$2:$FA$1000,"Y",$J$2:$J$1000,J623,$FG$2:$FG$1000,"&lt;"&amp;FG623)+1)</f>
        <v/>
      </c>
      <c r="AB623" s="0" t="str">
        <f aca="false">IF($A623="","",IF(AT623="Y",BW623&amp;"",BJ623&amp;""))</f>
        <v/>
      </c>
      <c r="AC623" s="0" t="str">
        <f aca="false">IF($A623="","",IF(AT623="Y",BR623&amp;"",BE623&amp;""))</f>
        <v/>
      </c>
      <c r="AD623" s="0" t="str">
        <f aca="false">IF($A623="","",IF(AT623="Y",BS623&amp;"",BF623&amp;""))</f>
        <v/>
      </c>
      <c r="AE623" s="0" t="str">
        <f aca="false">IF($A623="","",IF(AT623="Y",BT623&amp;"",BG623&amp;""))</f>
        <v/>
      </c>
      <c r="AF623" s="0" t="str">
        <f aca="false">IF($A623="","",IF(AT623="Y",BU623&amp;"",BH623&amp;""))</f>
        <v/>
      </c>
      <c r="AG623" s="0" t="str">
        <f aca="false">IF($A623="","",IF(AT623="Y",BV623&amp;"",BI623&amp;""))</f>
        <v/>
      </c>
      <c r="AO623" s="5"/>
      <c r="AR623" s="0" t="str">
        <f aca="false">IF($A623="","",IF(AND(CK623="pass",AO623&lt;&gt;"Y",C623&lt;&gt;"",OR(AU623&lt;&gt;"Y",AV623="Y")),"Y","N"))</f>
        <v/>
      </c>
      <c r="AS623" s="0" t="str">
        <f aca="false">IF($A623="","",_xlfn.TEXTJOIN("; ",TRUE(),IF(CK623&lt;&gt;"pass","gated out",""),IF(AO623="Y","on hold: "&amp;AP623,""),IF(C623="","no contact named on an opened page",""),IF(AND(AU623="Y",AV623&lt;&gt;"Y"),"founder review pending (Founder review tab)","")))</f>
        <v/>
      </c>
      <c r="BC623" s="0" t="str">
        <f aca="false">IF($A623="","",IFERROR(INDEX(Enrichment!$A$2:$GZ$2000,MATCH($A623,INDEX(Enrichment!$A$2:$GZ$2000,0,MATCH("row_id",Enrichment!$A$1:$GZ$1,0)),0),MATCH("work_email",Enrichment!$A$1:$GZ$1,0))&amp;"",""))</f>
        <v/>
      </c>
      <c r="BD623" s="0" t="str">
        <f aca="false">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P623" s="0" t="str">
        <f aca="false">IF($A623="","",IFERROR(INDEX(Enrichment!$A$2:$GZ$2000,MATCH($A623,INDEX(Enrichment!$A$2:$GZ$2000,0,MATCH("row_id",Enrichment!$A$1:$GZ$1,0)),0),MATCH("backup_work_email",Enrichment!$A$1:$GZ$1,0))&amp;"",""))</f>
        <v/>
      </c>
      <c r="BQ623" s="0" t="str">
        <f aca="false">IF($A623="","",IF(BP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DU623" s="0" t="str">
        <f aca="false">IF($A623="","",IF(R623="Y",10,0))</f>
        <v/>
      </c>
      <c r="EV623" s="0" t="str">
        <f aca="false">IF($A623="","",IF(ISNUMBER(MATCH(U623,{"queued","contacted","replied","call_booked","call_done","yes_in_principle","materials_sent"},0)),"Y","N"))</f>
        <v/>
      </c>
      <c r="EW623" s="0" t="str">
        <f aca="false">IF($A623="","",IF(OR(T623="Y",U623="do_not_contact",AQ623&amp;""&lt;&gt;""),"Y","N"))</f>
        <v/>
      </c>
      <c r="EX623" s="0" t="str">
        <f aca="false">IF($A623="","",IF(AN623&amp;""&lt;&gt;"",AN623&amp;"",$A623))</f>
        <v/>
      </c>
      <c r="EY623" s="0" t="str">
        <f aca="false">IF($A623="","",IF(COUNTIFS($EX$2:$EX$1000,EX623,$EV$2:$EV$1000,"Y")+COUNTIFS($EX$2:$EX$1000,EX623,$EW$2:$EW$1000,"Y")&gt;0,"Y","N"))</f>
        <v/>
      </c>
      <c r="EZ623" s="0" t="str">
        <f aca="false">IF($A623="","",IF(AND(U623="new",T623="N",EW623="N",AR623="Y",EY623="N"),"Y","N"))</f>
        <v/>
      </c>
      <c r="FA623" s="0" t="str">
        <f aca="false">IF($A623="","",IF(EZ623&lt;&gt;"Y","N",IF(COUNTIFS($EX$2:$EX$1000,EX623,$EZ$2:$EZ$1000,"Y",$J$2:$J$1000,"&gt;"&amp;J623)+COUNTIFS($EX$2:$EX$1000,EX623,$EZ$2:$EZ$1000,"Y",$J$2:$J$1000,J623,$FG$2:$FG$1000,"&lt;"&amp;FG623)=0,"Y","N")))</f>
        <v/>
      </c>
      <c r="FB623" s="0" t="str">
        <f aca="false">IF($A623="","",IF(AND(EZ623="Y",FA623="Y",Y623&amp;""&lt;&gt;""),IF(Y623&lt;=10,"Y","N"),"N"))</f>
        <v/>
      </c>
      <c r="FC623" s="0" t="str">
        <f aca="false">IF(FB623="Y",Y623,"")</f>
        <v/>
      </c>
      <c r="FD623" s="0" t="str">
        <f aca="false">IF($A623="","",IF(AND(CK623="pass",AU623="Y",AV623&lt;&gt;"Y",U623="new",EW623="N"),"Y","N"))</f>
        <v/>
      </c>
      <c r="FE623" s="0" t="str">
        <f aca="false">IF(FD623&lt;&gt;"Y","",IF(COUNTIFS($FD$2:$FD$1000,"Y",$J$2:$J$1000,"&gt;"&amp;J623)+COUNTIFS($FD$2:$FD$1000,"Y",$J$2:$J$1000,J623,$FG$2:$FG$1000,"&lt;"&amp;FG623)+1&lt;=30,COUNTIFS($FD$2:$FD$1000,"Y",$J$2:$J$1000,"&gt;"&amp;J623)+COUNTIFS($FD$2:$FD$1000,"Y",$J$2:$J$1000,J623,$FG$2:$FG$1000,"&lt;"&amp;FG623)+1,""))</f>
        <v/>
      </c>
      <c r="FF623" s="0" t="str">
        <f aca="false">IF(AND(_xlfn.ISFORMULA(C623),_xlfn.ISFORMULA(J623)),"Y","N")</f>
        <v>Y</v>
      </c>
      <c r="FG623" s="0" t="n">
        <f aca="false">ROW()-1</f>
        <v>622</v>
      </c>
    </row>
    <row r="624" customFormat="false" ht="15" hidden="false" customHeight="false" outlineLevel="0" collapsed="false">
      <c r="C624" s="0" t="str">
        <f aca="false">IF($A624="","",IF(AT624="Y",BL624&amp;"",AY624&amp;""))</f>
        <v/>
      </c>
      <c r="D624" s="0" t="str">
        <f aca="false">IF($A624="","",IF(AT624="Y",BM624&amp;"",AZ624&amp;""))</f>
        <v/>
      </c>
      <c r="E624" s="0" t="str">
        <f aca="false">IF($A624="","",IF(AT624="Y",BN624&amp;"",BA624&amp;""))</f>
        <v/>
      </c>
      <c r="F624" s="0" t="str">
        <f aca="false">IF($A624="","",IF(AT624="Y",BO624&amp;"",BB624&amp;""))</f>
        <v/>
      </c>
      <c r="G624" s="0" t="str">
        <f aca="false">IF($A624="","",IF(AT624="Y",BP624&amp;"",BC624&amp;""))</f>
        <v/>
      </c>
      <c r="H624" s="0" t="str">
        <f aca="false">IF($A624="","",IF(AT624="Y",BQ624&amp;"",BD624&amp;""))</f>
        <v/>
      </c>
      <c r="I624" s="0" t="str">
        <f aca="false">IF($A624="","",IF(R624="Y","warm-intro",IF(H624="verified","email",IF(C624&lt;&gt;"","linkedin",CA624&amp;""))))</f>
        <v/>
      </c>
      <c r="J624" s="0" t="str">
        <f aca="false">IF($A624="","",IF(CK624="pass",ROUND(N(DO624)+N(DP624)+N(DQ624)+N(DR624)+N(DS624)+N(DT624)+N(DU624)+N(DV624),0),0))</f>
        <v/>
      </c>
      <c r="K624" s="0" t="str">
        <f aca="false">IF($A624="","",IF(CK624&lt;&gt;"pass",BY624&amp;"",BY624&amp;", "&amp;IF(AT624="Y",BX624&amp;"",BK624&amp;"")&amp;BZ624&amp;IF(R624="Y","; known to the founder (+10)","")&amp;"."))</f>
        <v/>
      </c>
      <c r="R624" s="5"/>
      <c r="T624" s="5"/>
      <c r="U624" s="5"/>
      <c r="Y624" s="0" t="str">
        <f aca="false">IF(FA624&lt;&gt;"Y","",COUNTIFS($FA$2:$FA$1000,"Y",$J$2:$J$1000,"&gt;"&amp;J624)+COUNTIFS($FA$2:$FA$1000,"Y",$J$2:$J$1000,J624,$FG$2:$FG$1000,"&lt;"&amp;FG624)+1)</f>
        <v/>
      </c>
      <c r="AB624" s="0" t="str">
        <f aca="false">IF($A624="","",IF(AT624="Y",BW624&amp;"",BJ624&amp;""))</f>
        <v/>
      </c>
      <c r="AC624" s="0" t="str">
        <f aca="false">IF($A624="","",IF(AT624="Y",BR624&amp;"",BE624&amp;""))</f>
        <v/>
      </c>
      <c r="AD624" s="0" t="str">
        <f aca="false">IF($A624="","",IF(AT624="Y",BS624&amp;"",BF624&amp;""))</f>
        <v/>
      </c>
      <c r="AE624" s="0" t="str">
        <f aca="false">IF($A624="","",IF(AT624="Y",BT624&amp;"",BG624&amp;""))</f>
        <v/>
      </c>
      <c r="AF624" s="0" t="str">
        <f aca="false">IF($A624="","",IF(AT624="Y",BU624&amp;"",BH624&amp;""))</f>
        <v/>
      </c>
      <c r="AG624" s="0" t="str">
        <f aca="false">IF($A624="","",IF(AT624="Y",BV624&amp;"",BI624&amp;""))</f>
        <v/>
      </c>
      <c r="AO624" s="5"/>
      <c r="AR624" s="0" t="str">
        <f aca="false">IF($A624="","",IF(AND(CK624="pass",AO624&lt;&gt;"Y",C624&lt;&gt;"",OR(AU624&lt;&gt;"Y",AV624="Y")),"Y","N"))</f>
        <v/>
      </c>
      <c r="AS624" s="0" t="str">
        <f aca="false">IF($A624="","",_xlfn.TEXTJOIN("; ",TRUE(),IF(CK624&lt;&gt;"pass","gated out",""),IF(AO624="Y","on hold: "&amp;AP624,""),IF(C624="","no contact named on an opened page",""),IF(AND(AU624="Y",AV624&lt;&gt;"Y"),"founder review pending (Founder review tab)","")))</f>
        <v/>
      </c>
      <c r="BC624" s="0" t="str">
        <f aca="false">IF($A624="","",IFERROR(INDEX(Enrichment!$A$2:$GZ$2000,MATCH($A624,INDEX(Enrichment!$A$2:$GZ$2000,0,MATCH("row_id",Enrichment!$A$1:$GZ$1,0)),0),MATCH("work_email",Enrichment!$A$1:$GZ$1,0))&amp;"",""))</f>
        <v/>
      </c>
      <c r="BD624" s="0" t="str">
        <f aca="false">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P624" s="0" t="str">
        <f aca="false">IF($A624="","",IFERROR(INDEX(Enrichment!$A$2:$GZ$2000,MATCH($A624,INDEX(Enrichment!$A$2:$GZ$2000,0,MATCH("row_id",Enrichment!$A$1:$GZ$1,0)),0),MATCH("backup_work_email",Enrichment!$A$1:$GZ$1,0))&amp;"",""))</f>
        <v/>
      </c>
      <c r="BQ624" s="0" t="str">
        <f aca="false">IF($A624="","",IF(BP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DU624" s="0" t="str">
        <f aca="false">IF($A624="","",IF(R624="Y",10,0))</f>
        <v/>
      </c>
      <c r="EV624" s="0" t="str">
        <f aca="false">IF($A624="","",IF(ISNUMBER(MATCH(U624,{"queued","contacted","replied","call_booked","call_done","yes_in_principle","materials_sent"},0)),"Y","N"))</f>
        <v/>
      </c>
      <c r="EW624" s="0" t="str">
        <f aca="false">IF($A624="","",IF(OR(T624="Y",U624="do_not_contact",AQ624&amp;""&lt;&gt;""),"Y","N"))</f>
        <v/>
      </c>
      <c r="EX624" s="0" t="str">
        <f aca="false">IF($A624="","",IF(AN624&amp;""&lt;&gt;"",AN624&amp;"",$A624))</f>
        <v/>
      </c>
      <c r="EY624" s="0" t="str">
        <f aca="false">IF($A624="","",IF(COUNTIFS($EX$2:$EX$1000,EX624,$EV$2:$EV$1000,"Y")+COUNTIFS($EX$2:$EX$1000,EX624,$EW$2:$EW$1000,"Y")&gt;0,"Y","N"))</f>
        <v/>
      </c>
      <c r="EZ624" s="0" t="str">
        <f aca="false">IF($A624="","",IF(AND(U624="new",T624="N",EW624="N",AR624="Y",EY624="N"),"Y","N"))</f>
        <v/>
      </c>
      <c r="FA624" s="0" t="str">
        <f aca="false">IF($A624="","",IF(EZ624&lt;&gt;"Y","N",IF(COUNTIFS($EX$2:$EX$1000,EX624,$EZ$2:$EZ$1000,"Y",$J$2:$J$1000,"&gt;"&amp;J624)+COUNTIFS($EX$2:$EX$1000,EX624,$EZ$2:$EZ$1000,"Y",$J$2:$J$1000,J624,$FG$2:$FG$1000,"&lt;"&amp;FG624)=0,"Y","N")))</f>
        <v/>
      </c>
      <c r="FB624" s="0" t="str">
        <f aca="false">IF($A624="","",IF(AND(EZ624="Y",FA624="Y",Y624&amp;""&lt;&gt;""),IF(Y624&lt;=10,"Y","N"),"N"))</f>
        <v/>
      </c>
      <c r="FC624" s="0" t="str">
        <f aca="false">IF(FB624="Y",Y624,"")</f>
        <v/>
      </c>
      <c r="FD624" s="0" t="str">
        <f aca="false">IF($A624="","",IF(AND(CK624="pass",AU624="Y",AV624&lt;&gt;"Y",U624="new",EW624="N"),"Y","N"))</f>
        <v/>
      </c>
      <c r="FE624" s="0" t="str">
        <f aca="false">IF(FD624&lt;&gt;"Y","",IF(COUNTIFS($FD$2:$FD$1000,"Y",$J$2:$J$1000,"&gt;"&amp;J624)+COUNTIFS($FD$2:$FD$1000,"Y",$J$2:$J$1000,J624,$FG$2:$FG$1000,"&lt;"&amp;FG624)+1&lt;=30,COUNTIFS($FD$2:$FD$1000,"Y",$J$2:$J$1000,"&gt;"&amp;J624)+COUNTIFS($FD$2:$FD$1000,"Y",$J$2:$J$1000,J624,$FG$2:$FG$1000,"&lt;"&amp;FG624)+1,""))</f>
        <v/>
      </c>
      <c r="FF624" s="0" t="str">
        <f aca="false">IF(AND(_xlfn.ISFORMULA(C624),_xlfn.ISFORMULA(J624)),"Y","N")</f>
        <v>Y</v>
      </c>
      <c r="FG624" s="0" t="n">
        <f aca="false">ROW()-1</f>
        <v>623</v>
      </c>
    </row>
    <row r="625" customFormat="false" ht="15" hidden="false" customHeight="false" outlineLevel="0" collapsed="false">
      <c r="C625" s="0" t="str">
        <f aca="false">IF($A625="","",IF(AT625="Y",BL625&amp;"",AY625&amp;""))</f>
        <v/>
      </c>
      <c r="D625" s="0" t="str">
        <f aca="false">IF($A625="","",IF(AT625="Y",BM625&amp;"",AZ625&amp;""))</f>
        <v/>
      </c>
      <c r="E625" s="0" t="str">
        <f aca="false">IF($A625="","",IF(AT625="Y",BN625&amp;"",BA625&amp;""))</f>
        <v/>
      </c>
      <c r="F625" s="0" t="str">
        <f aca="false">IF($A625="","",IF(AT625="Y",BO625&amp;"",BB625&amp;""))</f>
        <v/>
      </c>
      <c r="G625" s="0" t="str">
        <f aca="false">IF($A625="","",IF(AT625="Y",BP625&amp;"",BC625&amp;""))</f>
        <v/>
      </c>
      <c r="H625" s="0" t="str">
        <f aca="false">IF($A625="","",IF(AT625="Y",BQ625&amp;"",BD625&amp;""))</f>
        <v/>
      </c>
      <c r="I625" s="0" t="str">
        <f aca="false">IF($A625="","",IF(R625="Y","warm-intro",IF(H625="verified","email",IF(C625&lt;&gt;"","linkedin",CA625&amp;""))))</f>
        <v/>
      </c>
      <c r="J625" s="0" t="str">
        <f aca="false">IF($A625="","",IF(CK625="pass",ROUND(N(DO625)+N(DP625)+N(DQ625)+N(DR625)+N(DS625)+N(DT625)+N(DU625)+N(DV625),0),0))</f>
        <v/>
      </c>
      <c r="K625" s="0" t="str">
        <f aca="false">IF($A625="","",IF(CK625&lt;&gt;"pass",BY625&amp;"",BY625&amp;", "&amp;IF(AT625="Y",BX625&amp;"",BK625&amp;"")&amp;BZ625&amp;IF(R625="Y","; known to the founder (+10)","")&amp;"."))</f>
        <v/>
      </c>
      <c r="R625" s="5"/>
      <c r="T625" s="5"/>
      <c r="U625" s="5"/>
      <c r="Y625" s="0" t="str">
        <f aca="false">IF(FA625&lt;&gt;"Y","",COUNTIFS($FA$2:$FA$1000,"Y",$J$2:$J$1000,"&gt;"&amp;J625)+COUNTIFS($FA$2:$FA$1000,"Y",$J$2:$J$1000,J625,$FG$2:$FG$1000,"&lt;"&amp;FG625)+1)</f>
        <v/>
      </c>
      <c r="AB625" s="0" t="str">
        <f aca="false">IF($A625="","",IF(AT625="Y",BW625&amp;"",BJ625&amp;""))</f>
        <v/>
      </c>
      <c r="AC625" s="0" t="str">
        <f aca="false">IF($A625="","",IF(AT625="Y",BR625&amp;"",BE625&amp;""))</f>
        <v/>
      </c>
      <c r="AD625" s="0" t="str">
        <f aca="false">IF($A625="","",IF(AT625="Y",BS625&amp;"",BF625&amp;""))</f>
        <v/>
      </c>
      <c r="AE625" s="0" t="str">
        <f aca="false">IF($A625="","",IF(AT625="Y",BT625&amp;"",BG625&amp;""))</f>
        <v/>
      </c>
      <c r="AF625" s="0" t="str">
        <f aca="false">IF($A625="","",IF(AT625="Y",BU625&amp;"",BH625&amp;""))</f>
        <v/>
      </c>
      <c r="AG625" s="0" t="str">
        <f aca="false">IF($A625="","",IF(AT625="Y",BV625&amp;"",BI625&amp;""))</f>
        <v/>
      </c>
      <c r="AO625" s="5"/>
      <c r="AR625" s="0" t="str">
        <f aca="false">IF($A625="","",IF(AND(CK625="pass",AO625&lt;&gt;"Y",C625&lt;&gt;"",OR(AU625&lt;&gt;"Y",AV625="Y")),"Y","N"))</f>
        <v/>
      </c>
      <c r="AS625" s="0" t="str">
        <f aca="false">IF($A625="","",_xlfn.TEXTJOIN("; ",TRUE(),IF(CK625&lt;&gt;"pass","gated out",""),IF(AO625="Y","on hold: "&amp;AP625,""),IF(C625="","no contact named on an opened page",""),IF(AND(AU625="Y",AV625&lt;&gt;"Y"),"founder review pending (Founder review tab)","")))</f>
        <v/>
      </c>
      <c r="BC625" s="0" t="str">
        <f aca="false">IF($A625="","",IFERROR(INDEX(Enrichment!$A$2:$GZ$2000,MATCH($A625,INDEX(Enrichment!$A$2:$GZ$2000,0,MATCH("row_id",Enrichment!$A$1:$GZ$1,0)),0),MATCH("work_email",Enrichment!$A$1:$GZ$1,0))&amp;"",""))</f>
        <v/>
      </c>
      <c r="BD625" s="0" t="str">
        <f aca="false">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P625" s="0" t="str">
        <f aca="false">IF($A625="","",IFERROR(INDEX(Enrichment!$A$2:$GZ$2000,MATCH($A625,INDEX(Enrichment!$A$2:$GZ$2000,0,MATCH("row_id",Enrichment!$A$1:$GZ$1,0)),0),MATCH("backup_work_email",Enrichment!$A$1:$GZ$1,0))&amp;"",""))</f>
        <v/>
      </c>
      <c r="BQ625" s="0" t="str">
        <f aca="false">IF($A625="","",IF(BP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DU625" s="0" t="str">
        <f aca="false">IF($A625="","",IF(R625="Y",10,0))</f>
        <v/>
      </c>
      <c r="EV625" s="0" t="str">
        <f aca="false">IF($A625="","",IF(ISNUMBER(MATCH(U625,{"queued","contacted","replied","call_booked","call_done","yes_in_principle","materials_sent"},0)),"Y","N"))</f>
        <v/>
      </c>
      <c r="EW625" s="0" t="str">
        <f aca="false">IF($A625="","",IF(OR(T625="Y",U625="do_not_contact",AQ625&amp;""&lt;&gt;""),"Y","N"))</f>
        <v/>
      </c>
      <c r="EX625" s="0" t="str">
        <f aca="false">IF($A625="","",IF(AN625&amp;""&lt;&gt;"",AN625&amp;"",$A625))</f>
        <v/>
      </c>
      <c r="EY625" s="0" t="str">
        <f aca="false">IF($A625="","",IF(COUNTIFS($EX$2:$EX$1000,EX625,$EV$2:$EV$1000,"Y")+COUNTIFS($EX$2:$EX$1000,EX625,$EW$2:$EW$1000,"Y")&gt;0,"Y","N"))</f>
        <v/>
      </c>
      <c r="EZ625" s="0" t="str">
        <f aca="false">IF($A625="","",IF(AND(U625="new",T625="N",EW625="N",AR625="Y",EY625="N"),"Y","N"))</f>
        <v/>
      </c>
      <c r="FA625" s="0" t="str">
        <f aca="false">IF($A625="","",IF(EZ625&lt;&gt;"Y","N",IF(COUNTIFS($EX$2:$EX$1000,EX625,$EZ$2:$EZ$1000,"Y",$J$2:$J$1000,"&gt;"&amp;J625)+COUNTIFS($EX$2:$EX$1000,EX625,$EZ$2:$EZ$1000,"Y",$J$2:$J$1000,J625,$FG$2:$FG$1000,"&lt;"&amp;FG625)=0,"Y","N")))</f>
        <v/>
      </c>
      <c r="FB625" s="0" t="str">
        <f aca="false">IF($A625="","",IF(AND(EZ625="Y",FA625="Y",Y625&amp;""&lt;&gt;""),IF(Y625&lt;=10,"Y","N"),"N"))</f>
        <v/>
      </c>
      <c r="FC625" s="0" t="str">
        <f aca="false">IF(FB625="Y",Y625,"")</f>
        <v/>
      </c>
      <c r="FD625" s="0" t="str">
        <f aca="false">IF($A625="","",IF(AND(CK625="pass",AU625="Y",AV625&lt;&gt;"Y",U625="new",EW625="N"),"Y","N"))</f>
        <v/>
      </c>
      <c r="FE625" s="0" t="str">
        <f aca="false">IF(FD625&lt;&gt;"Y","",IF(COUNTIFS($FD$2:$FD$1000,"Y",$J$2:$J$1000,"&gt;"&amp;J625)+COUNTIFS($FD$2:$FD$1000,"Y",$J$2:$J$1000,J625,$FG$2:$FG$1000,"&lt;"&amp;FG625)+1&lt;=30,COUNTIFS($FD$2:$FD$1000,"Y",$J$2:$J$1000,"&gt;"&amp;J625)+COUNTIFS($FD$2:$FD$1000,"Y",$J$2:$J$1000,J625,$FG$2:$FG$1000,"&lt;"&amp;FG625)+1,""))</f>
        <v/>
      </c>
      <c r="FF625" s="0" t="str">
        <f aca="false">IF(AND(_xlfn.ISFORMULA(C625),_xlfn.ISFORMULA(J625)),"Y","N")</f>
        <v>Y</v>
      </c>
      <c r="FG625" s="0" t="n">
        <f aca="false">ROW()-1</f>
        <v>624</v>
      </c>
    </row>
    <row r="626" customFormat="false" ht="15" hidden="false" customHeight="false" outlineLevel="0" collapsed="false">
      <c r="C626" s="0" t="str">
        <f aca="false">IF($A626="","",IF(AT626="Y",BL626&amp;"",AY626&amp;""))</f>
        <v/>
      </c>
      <c r="D626" s="0" t="str">
        <f aca="false">IF($A626="","",IF(AT626="Y",BM626&amp;"",AZ626&amp;""))</f>
        <v/>
      </c>
      <c r="E626" s="0" t="str">
        <f aca="false">IF($A626="","",IF(AT626="Y",BN626&amp;"",BA626&amp;""))</f>
        <v/>
      </c>
      <c r="F626" s="0" t="str">
        <f aca="false">IF($A626="","",IF(AT626="Y",BO626&amp;"",BB626&amp;""))</f>
        <v/>
      </c>
      <c r="G626" s="0" t="str">
        <f aca="false">IF($A626="","",IF(AT626="Y",BP626&amp;"",BC626&amp;""))</f>
        <v/>
      </c>
      <c r="H626" s="0" t="str">
        <f aca="false">IF($A626="","",IF(AT626="Y",BQ626&amp;"",BD626&amp;""))</f>
        <v/>
      </c>
      <c r="I626" s="0" t="str">
        <f aca="false">IF($A626="","",IF(R626="Y","warm-intro",IF(H626="verified","email",IF(C626&lt;&gt;"","linkedin",CA626&amp;""))))</f>
        <v/>
      </c>
      <c r="J626" s="0" t="str">
        <f aca="false">IF($A626="","",IF(CK626="pass",ROUND(N(DO626)+N(DP626)+N(DQ626)+N(DR626)+N(DS626)+N(DT626)+N(DU626)+N(DV626),0),0))</f>
        <v/>
      </c>
      <c r="K626" s="0" t="str">
        <f aca="false">IF($A626="","",IF(CK626&lt;&gt;"pass",BY626&amp;"",BY626&amp;", "&amp;IF(AT626="Y",BX626&amp;"",BK626&amp;"")&amp;BZ626&amp;IF(R626="Y","; known to the founder (+10)","")&amp;"."))</f>
        <v/>
      </c>
      <c r="R626" s="5"/>
      <c r="T626" s="5"/>
      <c r="U626" s="5"/>
      <c r="Y626" s="0" t="str">
        <f aca="false">IF(FA626&lt;&gt;"Y","",COUNTIFS($FA$2:$FA$1000,"Y",$J$2:$J$1000,"&gt;"&amp;J626)+COUNTIFS($FA$2:$FA$1000,"Y",$J$2:$J$1000,J626,$FG$2:$FG$1000,"&lt;"&amp;FG626)+1)</f>
        <v/>
      </c>
      <c r="AB626" s="0" t="str">
        <f aca="false">IF($A626="","",IF(AT626="Y",BW626&amp;"",BJ626&amp;""))</f>
        <v/>
      </c>
      <c r="AC626" s="0" t="str">
        <f aca="false">IF($A626="","",IF(AT626="Y",BR626&amp;"",BE626&amp;""))</f>
        <v/>
      </c>
      <c r="AD626" s="0" t="str">
        <f aca="false">IF($A626="","",IF(AT626="Y",BS626&amp;"",BF626&amp;""))</f>
        <v/>
      </c>
      <c r="AE626" s="0" t="str">
        <f aca="false">IF($A626="","",IF(AT626="Y",BT626&amp;"",BG626&amp;""))</f>
        <v/>
      </c>
      <c r="AF626" s="0" t="str">
        <f aca="false">IF($A626="","",IF(AT626="Y",BU626&amp;"",BH626&amp;""))</f>
        <v/>
      </c>
      <c r="AG626" s="0" t="str">
        <f aca="false">IF($A626="","",IF(AT626="Y",BV626&amp;"",BI626&amp;""))</f>
        <v/>
      </c>
      <c r="AO626" s="5"/>
      <c r="AR626" s="0" t="str">
        <f aca="false">IF($A626="","",IF(AND(CK626="pass",AO626&lt;&gt;"Y",C626&lt;&gt;"",OR(AU626&lt;&gt;"Y",AV626="Y")),"Y","N"))</f>
        <v/>
      </c>
      <c r="AS626" s="0" t="str">
        <f aca="false">IF($A626="","",_xlfn.TEXTJOIN("; ",TRUE(),IF(CK626&lt;&gt;"pass","gated out",""),IF(AO626="Y","on hold: "&amp;AP626,""),IF(C626="","no contact named on an opened page",""),IF(AND(AU626="Y",AV626&lt;&gt;"Y"),"founder review pending (Founder review tab)","")))</f>
        <v/>
      </c>
      <c r="BC626" s="0" t="str">
        <f aca="false">IF($A626="","",IFERROR(INDEX(Enrichment!$A$2:$GZ$2000,MATCH($A626,INDEX(Enrichment!$A$2:$GZ$2000,0,MATCH("row_id",Enrichment!$A$1:$GZ$1,0)),0),MATCH("work_email",Enrichment!$A$1:$GZ$1,0))&amp;"",""))</f>
        <v/>
      </c>
      <c r="BD626" s="0" t="str">
        <f aca="false">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P626" s="0" t="str">
        <f aca="false">IF($A626="","",IFERROR(INDEX(Enrichment!$A$2:$GZ$2000,MATCH($A626,INDEX(Enrichment!$A$2:$GZ$2000,0,MATCH("row_id",Enrichment!$A$1:$GZ$1,0)),0),MATCH("backup_work_email",Enrichment!$A$1:$GZ$1,0))&amp;"",""))</f>
        <v/>
      </c>
      <c r="BQ626" s="0" t="str">
        <f aca="false">IF($A626="","",IF(BP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DU626" s="0" t="str">
        <f aca="false">IF($A626="","",IF(R626="Y",10,0))</f>
        <v/>
      </c>
      <c r="EV626" s="0" t="str">
        <f aca="false">IF($A626="","",IF(ISNUMBER(MATCH(U626,{"queued","contacted","replied","call_booked","call_done","yes_in_principle","materials_sent"},0)),"Y","N"))</f>
        <v/>
      </c>
      <c r="EW626" s="0" t="str">
        <f aca="false">IF($A626="","",IF(OR(T626="Y",U626="do_not_contact",AQ626&amp;""&lt;&gt;""),"Y","N"))</f>
        <v/>
      </c>
      <c r="EX626" s="0" t="str">
        <f aca="false">IF($A626="","",IF(AN626&amp;""&lt;&gt;"",AN626&amp;"",$A626))</f>
        <v/>
      </c>
      <c r="EY626" s="0" t="str">
        <f aca="false">IF($A626="","",IF(COUNTIFS($EX$2:$EX$1000,EX626,$EV$2:$EV$1000,"Y")+COUNTIFS($EX$2:$EX$1000,EX626,$EW$2:$EW$1000,"Y")&gt;0,"Y","N"))</f>
        <v/>
      </c>
      <c r="EZ626" s="0" t="str">
        <f aca="false">IF($A626="","",IF(AND(U626="new",T626="N",EW626="N",AR626="Y",EY626="N"),"Y","N"))</f>
        <v/>
      </c>
      <c r="FA626" s="0" t="str">
        <f aca="false">IF($A626="","",IF(EZ626&lt;&gt;"Y","N",IF(COUNTIFS($EX$2:$EX$1000,EX626,$EZ$2:$EZ$1000,"Y",$J$2:$J$1000,"&gt;"&amp;J626)+COUNTIFS($EX$2:$EX$1000,EX626,$EZ$2:$EZ$1000,"Y",$J$2:$J$1000,J626,$FG$2:$FG$1000,"&lt;"&amp;FG626)=0,"Y","N")))</f>
        <v/>
      </c>
      <c r="FB626" s="0" t="str">
        <f aca="false">IF($A626="","",IF(AND(EZ626="Y",FA626="Y",Y626&amp;""&lt;&gt;""),IF(Y626&lt;=10,"Y","N"),"N"))</f>
        <v/>
      </c>
      <c r="FC626" s="0" t="str">
        <f aca="false">IF(FB626="Y",Y626,"")</f>
        <v/>
      </c>
      <c r="FD626" s="0" t="str">
        <f aca="false">IF($A626="","",IF(AND(CK626="pass",AU626="Y",AV626&lt;&gt;"Y",U626="new",EW626="N"),"Y","N"))</f>
        <v/>
      </c>
      <c r="FE626" s="0" t="str">
        <f aca="false">IF(FD626&lt;&gt;"Y","",IF(COUNTIFS($FD$2:$FD$1000,"Y",$J$2:$J$1000,"&gt;"&amp;J626)+COUNTIFS($FD$2:$FD$1000,"Y",$J$2:$J$1000,J626,$FG$2:$FG$1000,"&lt;"&amp;FG626)+1&lt;=30,COUNTIFS($FD$2:$FD$1000,"Y",$J$2:$J$1000,"&gt;"&amp;J626)+COUNTIFS($FD$2:$FD$1000,"Y",$J$2:$J$1000,J626,$FG$2:$FG$1000,"&lt;"&amp;FG626)+1,""))</f>
        <v/>
      </c>
      <c r="FF626" s="0" t="str">
        <f aca="false">IF(AND(_xlfn.ISFORMULA(C626),_xlfn.ISFORMULA(J626)),"Y","N")</f>
        <v>Y</v>
      </c>
      <c r="FG626" s="0" t="n">
        <f aca="false">ROW()-1</f>
        <v>625</v>
      </c>
    </row>
    <row r="627" customFormat="false" ht="15" hidden="false" customHeight="false" outlineLevel="0" collapsed="false">
      <c r="C627" s="0" t="str">
        <f aca="false">IF($A627="","",IF(AT627="Y",BL627&amp;"",AY627&amp;""))</f>
        <v/>
      </c>
      <c r="D627" s="0" t="str">
        <f aca="false">IF($A627="","",IF(AT627="Y",BM627&amp;"",AZ627&amp;""))</f>
        <v/>
      </c>
      <c r="E627" s="0" t="str">
        <f aca="false">IF($A627="","",IF(AT627="Y",BN627&amp;"",BA627&amp;""))</f>
        <v/>
      </c>
      <c r="F627" s="0" t="str">
        <f aca="false">IF($A627="","",IF(AT627="Y",BO627&amp;"",BB627&amp;""))</f>
        <v/>
      </c>
      <c r="G627" s="0" t="str">
        <f aca="false">IF($A627="","",IF(AT627="Y",BP627&amp;"",BC627&amp;""))</f>
        <v/>
      </c>
      <c r="H627" s="0" t="str">
        <f aca="false">IF($A627="","",IF(AT627="Y",BQ627&amp;"",BD627&amp;""))</f>
        <v/>
      </c>
      <c r="I627" s="0" t="str">
        <f aca="false">IF($A627="","",IF(R627="Y","warm-intro",IF(H627="verified","email",IF(C627&lt;&gt;"","linkedin",CA627&amp;""))))</f>
        <v/>
      </c>
      <c r="J627" s="0" t="str">
        <f aca="false">IF($A627="","",IF(CK627="pass",ROUND(N(DO627)+N(DP627)+N(DQ627)+N(DR627)+N(DS627)+N(DT627)+N(DU627)+N(DV627),0),0))</f>
        <v/>
      </c>
      <c r="K627" s="0" t="str">
        <f aca="false">IF($A627="","",IF(CK627&lt;&gt;"pass",BY627&amp;"",BY627&amp;", "&amp;IF(AT627="Y",BX627&amp;"",BK627&amp;"")&amp;BZ627&amp;IF(R627="Y","; known to the founder (+10)","")&amp;"."))</f>
        <v/>
      </c>
      <c r="R627" s="5"/>
      <c r="T627" s="5"/>
      <c r="U627" s="5"/>
      <c r="Y627" s="0" t="str">
        <f aca="false">IF(FA627&lt;&gt;"Y","",COUNTIFS($FA$2:$FA$1000,"Y",$J$2:$J$1000,"&gt;"&amp;J627)+COUNTIFS($FA$2:$FA$1000,"Y",$J$2:$J$1000,J627,$FG$2:$FG$1000,"&lt;"&amp;FG627)+1)</f>
        <v/>
      </c>
      <c r="AB627" s="0" t="str">
        <f aca="false">IF($A627="","",IF(AT627="Y",BW627&amp;"",BJ627&amp;""))</f>
        <v/>
      </c>
      <c r="AC627" s="0" t="str">
        <f aca="false">IF($A627="","",IF(AT627="Y",BR627&amp;"",BE627&amp;""))</f>
        <v/>
      </c>
      <c r="AD627" s="0" t="str">
        <f aca="false">IF($A627="","",IF(AT627="Y",BS627&amp;"",BF627&amp;""))</f>
        <v/>
      </c>
      <c r="AE627" s="0" t="str">
        <f aca="false">IF($A627="","",IF(AT627="Y",BT627&amp;"",BG627&amp;""))</f>
        <v/>
      </c>
      <c r="AF627" s="0" t="str">
        <f aca="false">IF($A627="","",IF(AT627="Y",BU627&amp;"",BH627&amp;""))</f>
        <v/>
      </c>
      <c r="AG627" s="0" t="str">
        <f aca="false">IF($A627="","",IF(AT627="Y",BV627&amp;"",BI627&amp;""))</f>
        <v/>
      </c>
      <c r="AO627" s="5"/>
      <c r="AR627" s="0" t="str">
        <f aca="false">IF($A627="","",IF(AND(CK627="pass",AO627&lt;&gt;"Y",C627&lt;&gt;"",OR(AU627&lt;&gt;"Y",AV627="Y")),"Y","N"))</f>
        <v/>
      </c>
      <c r="AS627" s="0" t="str">
        <f aca="false">IF($A627="","",_xlfn.TEXTJOIN("; ",TRUE(),IF(CK627&lt;&gt;"pass","gated out",""),IF(AO627="Y","on hold: "&amp;AP627,""),IF(C627="","no contact named on an opened page",""),IF(AND(AU627="Y",AV627&lt;&gt;"Y"),"founder review pending (Founder review tab)","")))</f>
        <v/>
      </c>
      <c r="BC627" s="0" t="str">
        <f aca="false">IF($A627="","",IFERROR(INDEX(Enrichment!$A$2:$GZ$2000,MATCH($A627,INDEX(Enrichment!$A$2:$GZ$2000,0,MATCH("row_id",Enrichment!$A$1:$GZ$1,0)),0),MATCH("work_email",Enrichment!$A$1:$GZ$1,0))&amp;"",""))</f>
        <v/>
      </c>
      <c r="BD627" s="0" t="str">
        <f aca="false">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P627" s="0" t="str">
        <f aca="false">IF($A627="","",IFERROR(INDEX(Enrichment!$A$2:$GZ$2000,MATCH($A627,INDEX(Enrichment!$A$2:$GZ$2000,0,MATCH("row_id",Enrichment!$A$1:$GZ$1,0)),0),MATCH("backup_work_email",Enrichment!$A$1:$GZ$1,0))&amp;"",""))</f>
        <v/>
      </c>
      <c r="BQ627" s="0" t="str">
        <f aca="false">IF($A627="","",IF(BP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DU627" s="0" t="str">
        <f aca="false">IF($A627="","",IF(R627="Y",10,0))</f>
        <v/>
      </c>
      <c r="EV627" s="0" t="str">
        <f aca="false">IF($A627="","",IF(ISNUMBER(MATCH(U627,{"queued","contacted","replied","call_booked","call_done","yes_in_principle","materials_sent"},0)),"Y","N"))</f>
        <v/>
      </c>
      <c r="EW627" s="0" t="str">
        <f aca="false">IF($A627="","",IF(OR(T627="Y",U627="do_not_contact",AQ627&amp;""&lt;&gt;""),"Y","N"))</f>
        <v/>
      </c>
      <c r="EX627" s="0" t="str">
        <f aca="false">IF($A627="","",IF(AN627&amp;""&lt;&gt;"",AN627&amp;"",$A627))</f>
        <v/>
      </c>
      <c r="EY627" s="0" t="str">
        <f aca="false">IF($A627="","",IF(COUNTIFS($EX$2:$EX$1000,EX627,$EV$2:$EV$1000,"Y")+COUNTIFS($EX$2:$EX$1000,EX627,$EW$2:$EW$1000,"Y")&gt;0,"Y","N"))</f>
        <v/>
      </c>
      <c r="EZ627" s="0" t="str">
        <f aca="false">IF($A627="","",IF(AND(U627="new",T627="N",EW627="N",AR627="Y",EY627="N"),"Y","N"))</f>
        <v/>
      </c>
      <c r="FA627" s="0" t="str">
        <f aca="false">IF($A627="","",IF(EZ627&lt;&gt;"Y","N",IF(COUNTIFS($EX$2:$EX$1000,EX627,$EZ$2:$EZ$1000,"Y",$J$2:$J$1000,"&gt;"&amp;J627)+COUNTIFS($EX$2:$EX$1000,EX627,$EZ$2:$EZ$1000,"Y",$J$2:$J$1000,J627,$FG$2:$FG$1000,"&lt;"&amp;FG627)=0,"Y","N")))</f>
        <v/>
      </c>
      <c r="FB627" s="0" t="str">
        <f aca="false">IF($A627="","",IF(AND(EZ627="Y",FA627="Y",Y627&amp;""&lt;&gt;""),IF(Y627&lt;=10,"Y","N"),"N"))</f>
        <v/>
      </c>
      <c r="FC627" s="0" t="str">
        <f aca="false">IF(FB627="Y",Y627,"")</f>
        <v/>
      </c>
      <c r="FD627" s="0" t="str">
        <f aca="false">IF($A627="","",IF(AND(CK627="pass",AU627="Y",AV627&lt;&gt;"Y",U627="new",EW627="N"),"Y","N"))</f>
        <v/>
      </c>
      <c r="FE627" s="0" t="str">
        <f aca="false">IF(FD627&lt;&gt;"Y","",IF(COUNTIFS($FD$2:$FD$1000,"Y",$J$2:$J$1000,"&gt;"&amp;J627)+COUNTIFS($FD$2:$FD$1000,"Y",$J$2:$J$1000,J627,$FG$2:$FG$1000,"&lt;"&amp;FG627)+1&lt;=30,COUNTIFS($FD$2:$FD$1000,"Y",$J$2:$J$1000,"&gt;"&amp;J627)+COUNTIFS($FD$2:$FD$1000,"Y",$J$2:$J$1000,J627,$FG$2:$FG$1000,"&lt;"&amp;FG627)+1,""))</f>
        <v/>
      </c>
      <c r="FF627" s="0" t="str">
        <f aca="false">IF(AND(_xlfn.ISFORMULA(C627),_xlfn.ISFORMULA(J627)),"Y","N")</f>
        <v>Y</v>
      </c>
      <c r="FG627" s="0" t="n">
        <f aca="false">ROW()-1</f>
        <v>626</v>
      </c>
    </row>
    <row r="628" customFormat="false" ht="15" hidden="false" customHeight="false" outlineLevel="0" collapsed="false">
      <c r="C628" s="0" t="str">
        <f aca="false">IF($A628="","",IF(AT628="Y",BL628&amp;"",AY628&amp;""))</f>
        <v/>
      </c>
      <c r="D628" s="0" t="str">
        <f aca="false">IF($A628="","",IF(AT628="Y",BM628&amp;"",AZ628&amp;""))</f>
        <v/>
      </c>
      <c r="E628" s="0" t="str">
        <f aca="false">IF($A628="","",IF(AT628="Y",BN628&amp;"",BA628&amp;""))</f>
        <v/>
      </c>
      <c r="F628" s="0" t="str">
        <f aca="false">IF($A628="","",IF(AT628="Y",BO628&amp;"",BB628&amp;""))</f>
        <v/>
      </c>
      <c r="G628" s="0" t="str">
        <f aca="false">IF($A628="","",IF(AT628="Y",BP628&amp;"",BC628&amp;""))</f>
        <v/>
      </c>
      <c r="H628" s="0" t="str">
        <f aca="false">IF($A628="","",IF(AT628="Y",BQ628&amp;"",BD628&amp;""))</f>
        <v/>
      </c>
      <c r="I628" s="0" t="str">
        <f aca="false">IF($A628="","",IF(R628="Y","warm-intro",IF(H628="verified","email",IF(C628&lt;&gt;"","linkedin",CA628&amp;""))))</f>
        <v/>
      </c>
      <c r="J628" s="0" t="str">
        <f aca="false">IF($A628="","",IF(CK628="pass",ROUND(N(DO628)+N(DP628)+N(DQ628)+N(DR628)+N(DS628)+N(DT628)+N(DU628)+N(DV628),0),0))</f>
        <v/>
      </c>
      <c r="K628" s="0" t="str">
        <f aca="false">IF($A628="","",IF(CK628&lt;&gt;"pass",BY628&amp;"",BY628&amp;", "&amp;IF(AT628="Y",BX628&amp;"",BK628&amp;"")&amp;BZ628&amp;IF(R628="Y","; known to the founder (+10)","")&amp;"."))</f>
        <v/>
      </c>
      <c r="R628" s="5"/>
      <c r="T628" s="5"/>
      <c r="U628" s="5"/>
      <c r="Y628" s="0" t="str">
        <f aca="false">IF(FA628&lt;&gt;"Y","",COUNTIFS($FA$2:$FA$1000,"Y",$J$2:$J$1000,"&gt;"&amp;J628)+COUNTIFS($FA$2:$FA$1000,"Y",$J$2:$J$1000,J628,$FG$2:$FG$1000,"&lt;"&amp;FG628)+1)</f>
        <v/>
      </c>
      <c r="AB628" s="0" t="str">
        <f aca="false">IF($A628="","",IF(AT628="Y",BW628&amp;"",BJ628&amp;""))</f>
        <v/>
      </c>
      <c r="AC628" s="0" t="str">
        <f aca="false">IF($A628="","",IF(AT628="Y",BR628&amp;"",BE628&amp;""))</f>
        <v/>
      </c>
      <c r="AD628" s="0" t="str">
        <f aca="false">IF($A628="","",IF(AT628="Y",BS628&amp;"",BF628&amp;""))</f>
        <v/>
      </c>
      <c r="AE628" s="0" t="str">
        <f aca="false">IF($A628="","",IF(AT628="Y",BT628&amp;"",BG628&amp;""))</f>
        <v/>
      </c>
      <c r="AF628" s="0" t="str">
        <f aca="false">IF($A628="","",IF(AT628="Y",BU628&amp;"",BH628&amp;""))</f>
        <v/>
      </c>
      <c r="AG628" s="0" t="str">
        <f aca="false">IF($A628="","",IF(AT628="Y",BV628&amp;"",BI628&amp;""))</f>
        <v/>
      </c>
      <c r="AO628" s="5"/>
      <c r="AR628" s="0" t="str">
        <f aca="false">IF($A628="","",IF(AND(CK628="pass",AO628&lt;&gt;"Y",C628&lt;&gt;"",OR(AU628&lt;&gt;"Y",AV628="Y")),"Y","N"))</f>
        <v/>
      </c>
      <c r="AS628" s="0" t="str">
        <f aca="false">IF($A628="","",_xlfn.TEXTJOIN("; ",TRUE(),IF(CK628&lt;&gt;"pass","gated out",""),IF(AO628="Y","on hold: "&amp;AP628,""),IF(C628="","no contact named on an opened page",""),IF(AND(AU628="Y",AV628&lt;&gt;"Y"),"founder review pending (Founder review tab)","")))</f>
        <v/>
      </c>
      <c r="BC628" s="0" t="str">
        <f aca="false">IF($A628="","",IFERROR(INDEX(Enrichment!$A$2:$GZ$2000,MATCH($A628,INDEX(Enrichment!$A$2:$GZ$2000,0,MATCH("row_id",Enrichment!$A$1:$GZ$1,0)),0),MATCH("work_email",Enrichment!$A$1:$GZ$1,0))&amp;"",""))</f>
        <v/>
      </c>
      <c r="BD628" s="0" t="str">
        <f aca="false">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P628" s="0" t="str">
        <f aca="false">IF($A628="","",IFERROR(INDEX(Enrichment!$A$2:$GZ$2000,MATCH($A628,INDEX(Enrichment!$A$2:$GZ$2000,0,MATCH("row_id",Enrichment!$A$1:$GZ$1,0)),0),MATCH("backup_work_email",Enrichment!$A$1:$GZ$1,0))&amp;"",""))</f>
        <v/>
      </c>
      <c r="BQ628" s="0" t="str">
        <f aca="false">IF($A628="","",IF(BP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DU628" s="0" t="str">
        <f aca="false">IF($A628="","",IF(R628="Y",10,0))</f>
        <v/>
      </c>
      <c r="EV628" s="0" t="str">
        <f aca="false">IF($A628="","",IF(ISNUMBER(MATCH(U628,{"queued","contacted","replied","call_booked","call_done","yes_in_principle","materials_sent"},0)),"Y","N"))</f>
        <v/>
      </c>
      <c r="EW628" s="0" t="str">
        <f aca="false">IF($A628="","",IF(OR(T628="Y",U628="do_not_contact",AQ628&amp;""&lt;&gt;""),"Y","N"))</f>
        <v/>
      </c>
      <c r="EX628" s="0" t="str">
        <f aca="false">IF($A628="","",IF(AN628&amp;""&lt;&gt;"",AN628&amp;"",$A628))</f>
        <v/>
      </c>
      <c r="EY628" s="0" t="str">
        <f aca="false">IF($A628="","",IF(COUNTIFS($EX$2:$EX$1000,EX628,$EV$2:$EV$1000,"Y")+COUNTIFS($EX$2:$EX$1000,EX628,$EW$2:$EW$1000,"Y")&gt;0,"Y","N"))</f>
        <v/>
      </c>
      <c r="EZ628" s="0" t="str">
        <f aca="false">IF($A628="","",IF(AND(U628="new",T628="N",EW628="N",AR628="Y",EY628="N"),"Y","N"))</f>
        <v/>
      </c>
      <c r="FA628" s="0" t="str">
        <f aca="false">IF($A628="","",IF(EZ628&lt;&gt;"Y","N",IF(COUNTIFS($EX$2:$EX$1000,EX628,$EZ$2:$EZ$1000,"Y",$J$2:$J$1000,"&gt;"&amp;J628)+COUNTIFS($EX$2:$EX$1000,EX628,$EZ$2:$EZ$1000,"Y",$J$2:$J$1000,J628,$FG$2:$FG$1000,"&lt;"&amp;FG628)=0,"Y","N")))</f>
        <v/>
      </c>
      <c r="FB628" s="0" t="str">
        <f aca="false">IF($A628="","",IF(AND(EZ628="Y",FA628="Y",Y628&amp;""&lt;&gt;""),IF(Y628&lt;=10,"Y","N"),"N"))</f>
        <v/>
      </c>
      <c r="FC628" s="0" t="str">
        <f aca="false">IF(FB628="Y",Y628,"")</f>
        <v/>
      </c>
      <c r="FD628" s="0" t="str">
        <f aca="false">IF($A628="","",IF(AND(CK628="pass",AU628="Y",AV628&lt;&gt;"Y",U628="new",EW628="N"),"Y","N"))</f>
        <v/>
      </c>
      <c r="FE628" s="0" t="str">
        <f aca="false">IF(FD628&lt;&gt;"Y","",IF(COUNTIFS($FD$2:$FD$1000,"Y",$J$2:$J$1000,"&gt;"&amp;J628)+COUNTIFS($FD$2:$FD$1000,"Y",$J$2:$J$1000,J628,$FG$2:$FG$1000,"&lt;"&amp;FG628)+1&lt;=30,COUNTIFS($FD$2:$FD$1000,"Y",$J$2:$J$1000,"&gt;"&amp;J628)+COUNTIFS($FD$2:$FD$1000,"Y",$J$2:$J$1000,J628,$FG$2:$FG$1000,"&lt;"&amp;FG628)+1,""))</f>
        <v/>
      </c>
      <c r="FF628" s="0" t="str">
        <f aca="false">IF(AND(_xlfn.ISFORMULA(C628),_xlfn.ISFORMULA(J628)),"Y","N")</f>
        <v>Y</v>
      </c>
      <c r="FG628" s="0" t="n">
        <f aca="false">ROW()-1</f>
        <v>627</v>
      </c>
    </row>
    <row r="629" customFormat="false" ht="15" hidden="false" customHeight="false" outlineLevel="0" collapsed="false">
      <c r="C629" s="0" t="str">
        <f aca="false">IF($A629="","",IF(AT629="Y",BL629&amp;"",AY629&amp;""))</f>
        <v/>
      </c>
      <c r="D629" s="0" t="str">
        <f aca="false">IF($A629="","",IF(AT629="Y",BM629&amp;"",AZ629&amp;""))</f>
        <v/>
      </c>
      <c r="E629" s="0" t="str">
        <f aca="false">IF($A629="","",IF(AT629="Y",BN629&amp;"",BA629&amp;""))</f>
        <v/>
      </c>
      <c r="F629" s="0" t="str">
        <f aca="false">IF($A629="","",IF(AT629="Y",BO629&amp;"",BB629&amp;""))</f>
        <v/>
      </c>
      <c r="G629" s="0" t="str">
        <f aca="false">IF($A629="","",IF(AT629="Y",BP629&amp;"",BC629&amp;""))</f>
        <v/>
      </c>
      <c r="H629" s="0" t="str">
        <f aca="false">IF($A629="","",IF(AT629="Y",BQ629&amp;"",BD629&amp;""))</f>
        <v/>
      </c>
      <c r="I629" s="0" t="str">
        <f aca="false">IF($A629="","",IF(R629="Y","warm-intro",IF(H629="verified","email",IF(C629&lt;&gt;"","linkedin",CA629&amp;""))))</f>
        <v/>
      </c>
      <c r="J629" s="0" t="str">
        <f aca="false">IF($A629="","",IF(CK629="pass",ROUND(N(DO629)+N(DP629)+N(DQ629)+N(DR629)+N(DS629)+N(DT629)+N(DU629)+N(DV629),0),0))</f>
        <v/>
      </c>
      <c r="K629" s="0" t="str">
        <f aca="false">IF($A629="","",IF(CK629&lt;&gt;"pass",BY629&amp;"",BY629&amp;", "&amp;IF(AT629="Y",BX629&amp;"",BK629&amp;"")&amp;BZ629&amp;IF(R629="Y","; known to the founder (+10)","")&amp;"."))</f>
        <v/>
      </c>
      <c r="R629" s="5"/>
      <c r="T629" s="5"/>
      <c r="U629" s="5"/>
      <c r="Y629" s="0" t="str">
        <f aca="false">IF(FA629&lt;&gt;"Y","",COUNTIFS($FA$2:$FA$1000,"Y",$J$2:$J$1000,"&gt;"&amp;J629)+COUNTIFS($FA$2:$FA$1000,"Y",$J$2:$J$1000,J629,$FG$2:$FG$1000,"&lt;"&amp;FG629)+1)</f>
        <v/>
      </c>
      <c r="AB629" s="0" t="str">
        <f aca="false">IF($A629="","",IF(AT629="Y",BW629&amp;"",BJ629&amp;""))</f>
        <v/>
      </c>
      <c r="AC629" s="0" t="str">
        <f aca="false">IF($A629="","",IF(AT629="Y",BR629&amp;"",BE629&amp;""))</f>
        <v/>
      </c>
      <c r="AD629" s="0" t="str">
        <f aca="false">IF($A629="","",IF(AT629="Y",BS629&amp;"",BF629&amp;""))</f>
        <v/>
      </c>
      <c r="AE629" s="0" t="str">
        <f aca="false">IF($A629="","",IF(AT629="Y",BT629&amp;"",BG629&amp;""))</f>
        <v/>
      </c>
      <c r="AF629" s="0" t="str">
        <f aca="false">IF($A629="","",IF(AT629="Y",BU629&amp;"",BH629&amp;""))</f>
        <v/>
      </c>
      <c r="AG629" s="0" t="str">
        <f aca="false">IF($A629="","",IF(AT629="Y",BV629&amp;"",BI629&amp;""))</f>
        <v/>
      </c>
      <c r="AO629" s="5"/>
      <c r="AR629" s="0" t="str">
        <f aca="false">IF($A629="","",IF(AND(CK629="pass",AO629&lt;&gt;"Y",C629&lt;&gt;"",OR(AU629&lt;&gt;"Y",AV629="Y")),"Y","N"))</f>
        <v/>
      </c>
      <c r="AS629" s="0" t="str">
        <f aca="false">IF($A629="","",_xlfn.TEXTJOIN("; ",TRUE(),IF(CK629&lt;&gt;"pass","gated out",""),IF(AO629="Y","on hold: "&amp;AP629,""),IF(C629="","no contact named on an opened page",""),IF(AND(AU629="Y",AV629&lt;&gt;"Y"),"founder review pending (Founder review tab)","")))</f>
        <v/>
      </c>
      <c r="BC629" s="0" t="str">
        <f aca="false">IF($A629="","",IFERROR(INDEX(Enrichment!$A$2:$GZ$2000,MATCH($A629,INDEX(Enrichment!$A$2:$GZ$2000,0,MATCH("row_id",Enrichment!$A$1:$GZ$1,0)),0),MATCH("work_email",Enrichment!$A$1:$GZ$1,0))&amp;"",""))</f>
        <v/>
      </c>
      <c r="BD629" s="0" t="str">
        <f aca="false">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P629" s="0" t="str">
        <f aca="false">IF($A629="","",IFERROR(INDEX(Enrichment!$A$2:$GZ$2000,MATCH($A629,INDEX(Enrichment!$A$2:$GZ$2000,0,MATCH("row_id",Enrichment!$A$1:$GZ$1,0)),0),MATCH("backup_work_email",Enrichment!$A$1:$GZ$1,0))&amp;"",""))</f>
        <v/>
      </c>
      <c r="BQ629" s="0" t="str">
        <f aca="false">IF($A629="","",IF(BP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DU629" s="0" t="str">
        <f aca="false">IF($A629="","",IF(R629="Y",10,0))</f>
        <v/>
      </c>
      <c r="EV629" s="0" t="str">
        <f aca="false">IF($A629="","",IF(ISNUMBER(MATCH(U629,{"queued","contacted","replied","call_booked","call_done","yes_in_principle","materials_sent"},0)),"Y","N"))</f>
        <v/>
      </c>
      <c r="EW629" s="0" t="str">
        <f aca="false">IF($A629="","",IF(OR(T629="Y",U629="do_not_contact",AQ629&amp;""&lt;&gt;""),"Y","N"))</f>
        <v/>
      </c>
      <c r="EX629" s="0" t="str">
        <f aca="false">IF($A629="","",IF(AN629&amp;""&lt;&gt;"",AN629&amp;"",$A629))</f>
        <v/>
      </c>
      <c r="EY629" s="0" t="str">
        <f aca="false">IF($A629="","",IF(COUNTIFS($EX$2:$EX$1000,EX629,$EV$2:$EV$1000,"Y")+COUNTIFS($EX$2:$EX$1000,EX629,$EW$2:$EW$1000,"Y")&gt;0,"Y","N"))</f>
        <v/>
      </c>
      <c r="EZ629" s="0" t="str">
        <f aca="false">IF($A629="","",IF(AND(U629="new",T629="N",EW629="N",AR629="Y",EY629="N"),"Y","N"))</f>
        <v/>
      </c>
      <c r="FA629" s="0" t="str">
        <f aca="false">IF($A629="","",IF(EZ629&lt;&gt;"Y","N",IF(COUNTIFS($EX$2:$EX$1000,EX629,$EZ$2:$EZ$1000,"Y",$J$2:$J$1000,"&gt;"&amp;J629)+COUNTIFS($EX$2:$EX$1000,EX629,$EZ$2:$EZ$1000,"Y",$J$2:$J$1000,J629,$FG$2:$FG$1000,"&lt;"&amp;FG629)=0,"Y","N")))</f>
        <v/>
      </c>
      <c r="FB629" s="0" t="str">
        <f aca="false">IF($A629="","",IF(AND(EZ629="Y",FA629="Y",Y629&amp;""&lt;&gt;""),IF(Y629&lt;=10,"Y","N"),"N"))</f>
        <v/>
      </c>
      <c r="FC629" s="0" t="str">
        <f aca="false">IF(FB629="Y",Y629,"")</f>
        <v/>
      </c>
      <c r="FD629" s="0" t="str">
        <f aca="false">IF($A629="","",IF(AND(CK629="pass",AU629="Y",AV629&lt;&gt;"Y",U629="new",EW629="N"),"Y","N"))</f>
        <v/>
      </c>
      <c r="FE629" s="0" t="str">
        <f aca="false">IF(FD629&lt;&gt;"Y","",IF(COUNTIFS($FD$2:$FD$1000,"Y",$J$2:$J$1000,"&gt;"&amp;J629)+COUNTIFS($FD$2:$FD$1000,"Y",$J$2:$J$1000,J629,$FG$2:$FG$1000,"&lt;"&amp;FG629)+1&lt;=30,COUNTIFS($FD$2:$FD$1000,"Y",$J$2:$J$1000,"&gt;"&amp;J629)+COUNTIFS($FD$2:$FD$1000,"Y",$J$2:$J$1000,J629,$FG$2:$FG$1000,"&lt;"&amp;FG629)+1,""))</f>
        <v/>
      </c>
      <c r="FF629" s="0" t="str">
        <f aca="false">IF(AND(_xlfn.ISFORMULA(C629),_xlfn.ISFORMULA(J629)),"Y","N")</f>
        <v>Y</v>
      </c>
      <c r="FG629" s="0" t="n">
        <f aca="false">ROW()-1</f>
        <v>628</v>
      </c>
    </row>
    <row r="630" customFormat="false" ht="15" hidden="false" customHeight="false" outlineLevel="0" collapsed="false">
      <c r="C630" s="0" t="str">
        <f aca="false">IF($A630="","",IF(AT630="Y",BL630&amp;"",AY630&amp;""))</f>
        <v/>
      </c>
      <c r="D630" s="0" t="str">
        <f aca="false">IF($A630="","",IF(AT630="Y",BM630&amp;"",AZ630&amp;""))</f>
        <v/>
      </c>
      <c r="E630" s="0" t="str">
        <f aca="false">IF($A630="","",IF(AT630="Y",BN630&amp;"",BA630&amp;""))</f>
        <v/>
      </c>
      <c r="F630" s="0" t="str">
        <f aca="false">IF($A630="","",IF(AT630="Y",BO630&amp;"",BB630&amp;""))</f>
        <v/>
      </c>
      <c r="G630" s="0" t="str">
        <f aca="false">IF($A630="","",IF(AT630="Y",BP630&amp;"",BC630&amp;""))</f>
        <v/>
      </c>
      <c r="H630" s="0" t="str">
        <f aca="false">IF($A630="","",IF(AT630="Y",BQ630&amp;"",BD630&amp;""))</f>
        <v/>
      </c>
      <c r="I630" s="0" t="str">
        <f aca="false">IF($A630="","",IF(R630="Y","warm-intro",IF(H630="verified","email",IF(C630&lt;&gt;"","linkedin",CA630&amp;""))))</f>
        <v/>
      </c>
      <c r="J630" s="0" t="str">
        <f aca="false">IF($A630="","",IF(CK630="pass",ROUND(N(DO630)+N(DP630)+N(DQ630)+N(DR630)+N(DS630)+N(DT630)+N(DU630)+N(DV630),0),0))</f>
        <v/>
      </c>
      <c r="K630" s="0" t="str">
        <f aca="false">IF($A630="","",IF(CK630&lt;&gt;"pass",BY630&amp;"",BY630&amp;", "&amp;IF(AT630="Y",BX630&amp;"",BK630&amp;"")&amp;BZ630&amp;IF(R630="Y","; known to the founder (+10)","")&amp;"."))</f>
        <v/>
      </c>
      <c r="R630" s="5"/>
      <c r="T630" s="5"/>
      <c r="U630" s="5"/>
      <c r="Y630" s="0" t="str">
        <f aca="false">IF(FA630&lt;&gt;"Y","",COUNTIFS($FA$2:$FA$1000,"Y",$J$2:$J$1000,"&gt;"&amp;J630)+COUNTIFS($FA$2:$FA$1000,"Y",$J$2:$J$1000,J630,$FG$2:$FG$1000,"&lt;"&amp;FG630)+1)</f>
        <v/>
      </c>
      <c r="AB630" s="0" t="str">
        <f aca="false">IF($A630="","",IF(AT630="Y",BW630&amp;"",BJ630&amp;""))</f>
        <v/>
      </c>
      <c r="AC630" s="0" t="str">
        <f aca="false">IF($A630="","",IF(AT630="Y",BR630&amp;"",BE630&amp;""))</f>
        <v/>
      </c>
      <c r="AD630" s="0" t="str">
        <f aca="false">IF($A630="","",IF(AT630="Y",BS630&amp;"",BF630&amp;""))</f>
        <v/>
      </c>
      <c r="AE630" s="0" t="str">
        <f aca="false">IF($A630="","",IF(AT630="Y",BT630&amp;"",BG630&amp;""))</f>
        <v/>
      </c>
      <c r="AF630" s="0" t="str">
        <f aca="false">IF($A630="","",IF(AT630="Y",BU630&amp;"",BH630&amp;""))</f>
        <v/>
      </c>
      <c r="AG630" s="0" t="str">
        <f aca="false">IF($A630="","",IF(AT630="Y",BV630&amp;"",BI630&amp;""))</f>
        <v/>
      </c>
      <c r="AO630" s="5"/>
      <c r="AR630" s="0" t="str">
        <f aca="false">IF($A630="","",IF(AND(CK630="pass",AO630&lt;&gt;"Y",C630&lt;&gt;"",OR(AU630&lt;&gt;"Y",AV630="Y")),"Y","N"))</f>
        <v/>
      </c>
      <c r="AS630" s="0" t="str">
        <f aca="false">IF($A630="","",_xlfn.TEXTJOIN("; ",TRUE(),IF(CK630&lt;&gt;"pass","gated out",""),IF(AO630="Y","on hold: "&amp;AP630,""),IF(C630="","no contact named on an opened page",""),IF(AND(AU630="Y",AV630&lt;&gt;"Y"),"founder review pending (Founder review tab)","")))</f>
        <v/>
      </c>
      <c r="BC630" s="0" t="str">
        <f aca="false">IF($A630="","",IFERROR(INDEX(Enrichment!$A$2:$GZ$2000,MATCH($A630,INDEX(Enrichment!$A$2:$GZ$2000,0,MATCH("row_id",Enrichment!$A$1:$GZ$1,0)),0),MATCH("work_email",Enrichment!$A$1:$GZ$1,0))&amp;"",""))</f>
        <v/>
      </c>
      <c r="BD630" s="0" t="str">
        <f aca="false">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P630" s="0" t="str">
        <f aca="false">IF($A630="","",IFERROR(INDEX(Enrichment!$A$2:$GZ$2000,MATCH($A630,INDEX(Enrichment!$A$2:$GZ$2000,0,MATCH("row_id",Enrichment!$A$1:$GZ$1,0)),0),MATCH("backup_work_email",Enrichment!$A$1:$GZ$1,0))&amp;"",""))</f>
        <v/>
      </c>
      <c r="BQ630" s="0" t="str">
        <f aca="false">IF($A630="","",IF(BP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DU630" s="0" t="str">
        <f aca="false">IF($A630="","",IF(R630="Y",10,0))</f>
        <v/>
      </c>
      <c r="EV630" s="0" t="str">
        <f aca="false">IF($A630="","",IF(ISNUMBER(MATCH(U630,{"queued","contacted","replied","call_booked","call_done","yes_in_principle","materials_sent"},0)),"Y","N"))</f>
        <v/>
      </c>
      <c r="EW630" s="0" t="str">
        <f aca="false">IF($A630="","",IF(OR(T630="Y",U630="do_not_contact",AQ630&amp;""&lt;&gt;""),"Y","N"))</f>
        <v/>
      </c>
      <c r="EX630" s="0" t="str">
        <f aca="false">IF($A630="","",IF(AN630&amp;""&lt;&gt;"",AN630&amp;"",$A630))</f>
        <v/>
      </c>
      <c r="EY630" s="0" t="str">
        <f aca="false">IF($A630="","",IF(COUNTIFS($EX$2:$EX$1000,EX630,$EV$2:$EV$1000,"Y")+COUNTIFS($EX$2:$EX$1000,EX630,$EW$2:$EW$1000,"Y")&gt;0,"Y","N"))</f>
        <v/>
      </c>
      <c r="EZ630" s="0" t="str">
        <f aca="false">IF($A630="","",IF(AND(U630="new",T630="N",EW630="N",AR630="Y",EY630="N"),"Y","N"))</f>
        <v/>
      </c>
      <c r="FA630" s="0" t="str">
        <f aca="false">IF($A630="","",IF(EZ630&lt;&gt;"Y","N",IF(COUNTIFS($EX$2:$EX$1000,EX630,$EZ$2:$EZ$1000,"Y",$J$2:$J$1000,"&gt;"&amp;J630)+COUNTIFS($EX$2:$EX$1000,EX630,$EZ$2:$EZ$1000,"Y",$J$2:$J$1000,J630,$FG$2:$FG$1000,"&lt;"&amp;FG630)=0,"Y","N")))</f>
        <v/>
      </c>
      <c r="FB630" s="0" t="str">
        <f aca="false">IF($A630="","",IF(AND(EZ630="Y",FA630="Y",Y630&amp;""&lt;&gt;""),IF(Y630&lt;=10,"Y","N"),"N"))</f>
        <v/>
      </c>
      <c r="FC630" s="0" t="str">
        <f aca="false">IF(FB630="Y",Y630,"")</f>
        <v/>
      </c>
      <c r="FD630" s="0" t="str">
        <f aca="false">IF($A630="","",IF(AND(CK630="pass",AU630="Y",AV630&lt;&gt;"Y",U630="new",EW630="N"),"Y","N"))</f>
        <v/>
      </c>
      <c r="FE630" s="0" t="str">
        <f aca="false">IF(FD630&lt;&gt;"Y","",IF(COUNTIFS($FD$2:$FD$1000,"Y",$J$2:$J$1000,"&gt;"&amp;J630)+COUNTIFS($FD$2:$FD$1000,"Y",$J$2:$J$1000,J630,$FG$2:$FG$1000,"&lt;"&amp;FG630)+1&lt;=30,COUNTIFS($FD$2:$FD$1000,"Y",$J$2:$J$1000,"&gt;"&amp;J630)+COUNTIFS($FD$2:$FD$1000,"Y",$J$2:$J$1000,J630,$FG$2:$FG$1000,"&lt;"&amp;FG630)+1,""))</f>
        <v/>
      </c>
      <c r="FF630" s="0" t="str">
        <f aca="false">IF(AND(_xlfn.ISFORMULA(C630),_xlfn.ISFORMULA(J630)),"Y","N")</f>
        <v>Y</v>
      </c>
      <c r="FG630" s="0" t="n">
        <f aca="false">ROW()-1</f>
        <v>629</v>
      </c>
    </row>
    <row r="631" customFormat="false" ht="15" hidden="false" customHeight="false" outlineLevel="0" collapsed="false">
      <c r="C631" s="0" t="str">
        <f aca="false">IF($A631="","",IF(AT631="Y",BL631&amp;"",AY631&amp;""))</f>
        <v/>
      </c>
      <c r="D631" s="0" t="str">
        <f aca="false">IF($A631="","",IF(AT631="Y",BM631&amp;"",AZ631&amp;""))</f>
        <v/>
      </c>
      <c r="E631" s="0" t="str">
        <f aca="false">IF($A631="","",IF(AT631="Y",BN631&amp;"",BA631&amp;""))</f>
        <v/>
      </c>
      <c r="F631" s="0" t="str">
        <f aca="false">IF($A631="","",IF(AT631="Y",BO631&amp;"",BB631&amp;""))</f>
        <v/>
      </c>
      <c r="G631" s="0" t="str">
        <f aca="false">IF($A631="","",IF(AT631="Y",BP631&amp;"",BC631&amp;""))</f>
        <v/>
      </c>
      <c r="H631" s="0" t="str">
        <f aca="false">IF($A631="","",IF(AT631="Y",BQ631&amp;"",BD631&amp;""))</f>
        <v/>
      </c>
      <c r="I631" s="0" t="str">
        <f aca="false">IF($A631="","",IF(R631="Y","warm-intro",IF(H631="verified","email",IF(C631&lt;&gt;"","linkedin",CA631&amp;""))))</f>
        <v/>
      </c>
      <c r="J631" s="0" t="str">
        <f aca="false">IF($A631="","",IF(CK631="pass",ROUND(N(DO631)+N(DP631)+N(DQ631)+N(DR631)+N(DS631)+N(DT631)+N(DU631)+N(DV631),0),0))</f>
        <v/>
      </c>
      <c r="K631" s="0" t="str">
        <f aca="false">IF($A631="","",IF(CK631&lt;&gt;"pass",BY631&amp;"",BY631&amp;", "&amp;IF(AT631="Y",BX631&amp;"",BK631&amp;"")&amp;BZ631&amp;IF(R631="Y","; known to the founder (+10)","")&amp;"."))</f>
        <v/>
      </c>
      <c r="R631" s="5"/>
      <c r="T631" s="5"/>
      <c r="U631" s="5"/>
      <c r="Y631" s="0" t="str">
        <f aca="false">IF(FA631&lt;&gt;"Y","",COUNTIFS($FA$2:$FA$1000,"Y",$J$2:$J$1000,"&gt;"&amp;J631)+COUNTIFS($FA$2:$FA$1000,"Y",$J$2:$J$1000,J631,$FG$2:$FG$1000,"&lt;"&amp;FG631)+1)</f>
        <v/>
      </c>
      <c r="AB631" s="0" t="str">
        <f aca="false">IF($A631="","",IF(AT631="Y",BW631&amp;"",BJ631&amp;""))</f>
        <v/>
      </c>
      <c r="AC631" s="0" t="str">
        <f aca="false">IF($A631="","",IF(AT631="Y",BR631&amp;"",BE631&amp;""))</f>
        <v/>
      </c>
      <c r="AD631" s="0" t="str">
        <f aca="false">IF($A631="","",IF(AT631="Y",BS631&amp;"",BF631&amp;""))</f>
        <v/>
      </c>
      <c r="AE631" s="0" t="str">
        <f aca="false">IF($A631="","",IF(AT631="Y",BT631&amp;"",BG631&amp;""))</f>
        <v/>
      </c>
      <c r="AF631" s="0" t="str">
        <f aca="false">IF($A631="","",IF(AT631="Y",BU631&amp;"",BH631&amp;""))</f>
        <v/>
      </c>
      <c r="AG631" s="0" t="str">
        <f aca="false">IF($A631="","",IF(AT631="Y",BV631&amp;"",BI631&amp;""))</f>
        <v/>
      </c>
      <c r="AO631" s="5"/>
      <c r="AR631" s="0" t="str">
        <f aca="false">IF($A631="","",IF(AND(CK631="pass",AO631&lt;&gt;"Y",C631&lt;&gt;"",OR(AU631&lt;&gt;"Y",AV631="Y")),"Y","N"))</f>
        <v/>
      </c>
      <c r="AS631" s="0" t="str">
        <f aca="false">IF($A631="","",_xlfn.TEXTJOIN("; ",TRUE(),IF(CK631&lt;&gt;"pass","gated out",""),IF(AO631="Y","on hold: "&amp;AP631,""),IF(C631="","no contact named on an opened page",""),IF(AND(AU631="Y",AV631&lt;&gt;"Y"),"founder review pending (Founder review tab)","")))</f>
        <v/>
      </c>
      <c r="BC631" s="0" t="str">
        <f aca="false">IF($A631="","",IFERROR(INDEX(Enrichment!$A$2:$GZ$2000,MATCH($A631,INDEX(Enrichment!$A$2:$GZ$2000,0,MATCH("row_id",Enrichment!$A$1:$GZ$1,0)),0),MATCH("work_email",Enrichment!$A$1:$GZ$1,0))&amp;"",""))</f>
        <v/>
      </c>
      <c r="BD631" s="0" t="str">
        <f aca="false">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P631" s="0" t="str">
        <f aca="false">IF($A631="","",IFERROR(INDEX(Enrichment!$A$2:$GZ$2000,MATCH($A631,INDEX(Enrichment!$A$2:$GZ$2000,0,MATCH("row_id",Enrichment!$A$1:$GZ$1,0)),0),MATCH("backup_work_email",Enrichment!$A$1:$GZ$1,0))&amp;"",""))</f>
        <v/>
      </c>
      <c r="BQ631" s="0" t="str">
        <f aca="false">IF($A631="","",IF(BP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DU631" s="0" t="str">
        <f aca="false">IF($A631="","",IF(R631="Y",10,0))</f>
        <v/>
      </c>
      <c r="EV631" s="0" t="str">
        <f aca="false">IF($A631="","",IF(ISNUMBER(MATCH(U631,{"queued","contacted","replied","call_booked","call_done","yes_in_principle","materials_sent"},0)),"Y","N"))</f>
        <v/>
      </c>
      <c r="EW631" s="0" t="str">
        <f aca="false">IF($A631="","",IF(OR(T631="Y",U631="do_not_contact",AQ631&amp;""&lt;&gt;""),"Y","N"))</f>
        <v/>
      </c>
      <c r="EX631" s="0" t="str">
        <f aca="false">IF($A631="","",IF(AN631&amp;""&lt;&gt;"",AN631&amp;"",$A631))</f>
        <v/>
      </c>
      <c r="EY631" s="0" t="str">
        <f aca="false">IF($A631="","",IF(COUNTIFS($EX$2:$EX$1000,EX631,$EV$2:$EV$1000,"Y")+COUNTIFS($EX$2:$EX$1000,EX631,$EW$2:$EW$1000,"Y")&gt;0,"Y","N"))</f>
        <v/>
      </c>
      <c r="EZ631" s="0" t="str">
        <f aca="false">IF($A631="","",IF(AND(U631="new",T631="N",EW631="N",AR631="Y",EY631="N"),"Y","N"))</f>
        <v/>
      </c>
      <c r="FA631" s="0" t="str">
        <f aca="false">IF($A631="","",IF(EZ631&lt;&gt;"Y","N",IF(COUNTIFS($EX$2:$EX$1000,EX631,$EZ$2:$EZ$1000,"Y",$J$2:$J$1000,"&gt;"&amp;J631)+COUNTIFS($EX$2:$EX$1000,EX631,$EZ$2:$EZ$1000,"Y",$J$2:$J$1000,J631,$FG$2:$FG$1000,"&lt;"&amp;FG631)=0,"Y","N")))</f>
        <v/>
      </c>
      <c r="FB631" s="0" t="str">
        <f aca="false">IF($A631="","",IF(AND(EZ631="Y",FA631="Y",Y631&amp;""&lt;&gt;""),IF(Y631&lt;=10,"Y","N"),"N"))</f>
        <v/>
      </c>
      <c r="FC631" s="0" t="str">
        <f aca="false">IF(FB631="Y",Y631,"")</f>
        <v/>
      </c>
      <c r="FD631" s="0" t="str">
        <f aca="false">IF($A631="","",IF(AND(CK631="pass",AU631="Y",AV631&lt;&gt;"Y",U631="new",EW631="N"),"Y","N"))</f>
        <v/>
      </c>
      <c r="FE631" s="0" t="str">
        <f aca="false">IF(FD631&lt;&gt;"Y","",IF(COUNTIFS($FD$2:$FD$1000,"Y",$J$2:$J$1000,"&gt;"&amp;J631)+COUNTIFS($FD$2:$FD$1000,"Y",$J$2:$J$1000,J631,$FG$2:$FG$1000,"&lt;"&amp;FG631)+1&lt;=30,COUNTIFS($FD$2:$FD$1000,"Y",$J$2:$J$1000,"&gt;"&amp;J631)+COUNTIFS($FD$2:$FD$1000,"Y",$J$2:$J$1000,J631,$FG$2:$FG$1000,"&lt;"&amp;FG631)+1,""))</f>
        <v/>
      </c>
      <c r="FF631" s="0" t="str">
        <f aca="false">IF(AND(_xlfn.ISFORMULA(C631),_xlfn.ISFORMULA(J631)),"Y","N")</f>
        <v>Y</v>
      </c>
      <c r="FG631" s="0" t="n">
        <f aca="false">ROW()-1</f>
        <v>630</v>
      </c>
    </row>
    <row r="632" customFormat="false" ht="15" hidden="false" customHeight="false" outlineLevel="0" collapsed="false">
      <c r="C632" s="0" t="str">
        <f aca="false">IF($A632="","",IF(AT632="Y",BL632&amp;"",AY632&amp;""))</f>
        <v/>
      </c>
      <c r="D632" s="0" t="str">
        <f aca="false">IF($A632="","",IF(AT632="Y",BM632&amp;"",AZ632&amp;""))</f>
        <v/>
      </c>
      <c r="E632" s="0" t="str">
        <f aca="false">IF($A632="","",IF(AT632="Y",BN632&amp;"",BA632&amp;""))</f>
        <v/>
      </c>
      <c r="F632" s="0" t="str">
        <f aca="false">IF($A632="","",IF(AT632="Y",BO632&amp;"",BB632&amp;""))</f>
        <v/>
      </c>
      <c r="G632" s="0" t="str">
        <f aca="false">IF($A632="","",IF(AT632="Y",BP632&amp;"",BC632&amp;""))</f>
        <v/>
      </c>
      <c r="H632" s="0" t="str">
        <f aca="false">IF($A632="","",IF(AT632="Y",BQ632&amp;"",BD632&amp;""))</f>
        <v/>
      </c>
      <c r="I632" s="0" t="str">
        <f aca="false">IF($A632="","",IF(R632="Y","warm-intro",IF(H632="verified","email",IF(C632&lt;&gt;"","linkedin",CA632&amp;""))))</f>
        <v/>
      </c>
      <c r="J632" s="0" t="str">
        <f aca="false">IF($A632="","",IF(CK632="pass",ROUND(N(DO632)+N(DP632)+N(DQ632)+N(DR632)+N(DS632)+N(DT632)+N(DU632)+N(DV632),0),0))</f>
        <v/>
      </c>
      <c r="K632" s="0" t="str">
        <f aca="false">IF($A632="","",IF(CK632&lt;&gt;"pass",BY632&amp;"",BY632&amp;", "&amp;IF(AT632="Y",BX632&amp;"",BK632&amp;"")&amp;BZ632&amp;IF(R632="Y","; known to the founder (+10)","")&amp;"."))</f>
        <v/>
      </c>
      <c r="R632" s="5"/>
      <c r="T632" s="5"/>
      <c r="U632" s="5"/>
      <c r="Y632" s="0" t="str">
        <f aca="false">IF(FA632&lt;&gt;"Y","",COUNTIFS($FA$2:$FA$1000,"Y",$J$2:$J$1000,"&gt;"&amp;J632)+COUNTIFS($FA$2:$FA$1000,"Y",$J$2:$J$1000,J632,$FG$2:$FG$1000,"&lt;"&amp;FG632)+1)</f>
        <v/>
      </c>
      <c r="AB632" s="0" t="str">
        <f aca="false">IF($A632="","",IF(AT632="Y",BW632&amp;"",BJ632&amp;""))</f>
        <v/>
      </c>
      <c r="AC632" s="0" t="str">
        <f aca="false">IF($A632="","",IF(AT632="Y",BR632&amp;"",BE632&amp;""))</f>
        <v/>
      </c>
      <c r="AD632" s="0" t="str">
        <f aca="false">IF($A632="","",IF(AT632="Y",BS632&amp;"",BF632&amp;""))</f>
        <v/>
      </c>
      <c r="AE632" s="0" t="str">
        <f aca="false">IF($A632="","",IF(AT632="Y",BT632&amp;"",BG632&amp;""))</f>
        <v/>
      </c>
      <c r="AF632" s="0" t="str">
        <f aca="false">IF($A632="","",IF(AT632="Y",BU632&amp;"",BH632&amp;""))</f>
        <v/>
      </c>
      <c r="AG632" s="0" t="str">
        <f aca="false">IF($A632="","",IF(AT632="Y",BV632&amp;"",BI632&amp;""))</f>
        <v/>
      </c>
      <c r="AO632" s="5"/>
      <c r="AR632" s="0" t="str">
        <f aca="false">IF($A632="","",IF(AND(CK632="pass",AO632&lt;&gt;"Y",C632&lt;&gt;"",OR(AU632&lt;&gt;"Y",AV632="Y")),"Y","N"))</f>
        <v/>
      </c>
      <c r="AS632" s="0" t="str">
        <f aca="false">IF($A632="","",_xlfn.TEXTJOIN("; ",TRUE(),IF(CK632&lt;&gt;"pass","gated out",""),IF(AO632="Y","on hold: "&amp;AP632,""),IF(C632="","no contact named on an opened page",""),IF(AND(AU632="Y",AV632&lt;&gt;"Y"),"founder review pending (Founder review tab)","")))</f>
        <v/>
      </c>
      <c r="BC632" s="0" t="str">
        <f aca="false">IF($A632="","",IFERROR(INDEX(Enrichment!$A$2:$GZ$2000,MATCH($A632,INDEX(Enrichment!$A$2:$GZ$2000,0,MATCH("row_id",Enrichment!$A$1:$GZ$1,0)),0),MATCH("work_email",Enrichment!$A$1:$GZ$1,0))&amp;"",""))</f>
        <v/>
      </c>
      <c r="BD632" s="0" t="str">
        <f aca="false">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P632" s="0" t="str">
        <f aca="false">IF($A632="","",IFERROR(INDEX(Enrichment!$A$2:$GZ$2000,MATCH($A632,INDEX(Enrichment!$A$2:$GZ$2000,0,MATCH("row_id",Enrichment!$A$1:$GZ$1,0)),0),MATCH("backup_work_email",Enrichment!$A$1:$GZ$1,0))&amp;"",""))</f>
        <v/>
      </c>
      <c r="BQ632" s="0" t="str">
        <f aca="false">IF($A632="","",IF(BP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DU632" s="0" t="str">
        <f aca="false">IF($A632="","",IF(R632="Y",10,0))</f>
        <v/>
      </c>
      <c r="EV632" s="0" t="str">
        <f aca="false">IF($A632="","",IF(ISNUMBER(MATCH(U632,{"queued","contacted","replied","call_booked","call_done","yes_in_principle","materials_sent"},0)),"Y","N"))</f>
        <v/>
      </c>
      <c r="EW632" s="0" t="str">
        <f aca="false">IF($A632="","",IF(OR(T632="Y",U632="do_not_contact",AQ632&amp;""&lt;&gt;""),"Y","N"))</f>
        <v/>
      </c>
      <c r="EX632" s="0" t="str">
        <f aca="false">IF($A632="","",IF(AN632&amp;""&lt;&gt;"",AN632&amp;"",$A632))</f>
        <v/>
      </c>
      <c r="EY632" s="0" t="str">
        <f aca="false">IF($A632="","",IF(COUNTIFS($EX$2:$EX$1000,EX632,$EV$2:$EV$1000,"Y")+COUNTIFS($EX$2:$EX$1000,EX632,$EW$2:$EW$1000,"Y")&gt;0,"Y","N"))</f>
        <v/>
      </c>
      <c r="EZ632" s="0" t="str">
        <f aca="false">IF($A632="","",IF(AND(U632="new",T632="N",EW632="N",AR632="Y",EY632="N"),"Y","N"))</f>
        <v/>
      </c>
      <c r="FA632" s="0" t="str">
        <f aca="false">IF($A632="","",IF(EZ632&lt;&gt;"Y","N",IF(COUNTIFS($EX$2:$EX$1000,EX632,$EZ$2:$EZ$1000,"Y",$J$2:$J$1000,"&gt;"&amp;J632)+COUNTIFS($EX$2:$EX$1000,EX632,$EZ$2:$EZ$1000,"Y",$J$2:$J$1000,J632,$FG$2:$FG$1000,"&lt;"&amp;FG632)=0,"Y","N")))</f>
        <v/>
      </c>
      <c r="FB632" s="0" t="str">
        <f aca="false">IF($A632="","",IF(AND(EZ632="Y",FA632="Y",Y632&amp;""&lt;&gt;""),IF(Y632&lt;=10,"Y","N"),"N"))</f>
        <v/>
      </c>
      <c r="FC632" s="0" t="str">
        <f aca="false">IF(FB632="Y",Y632,"")</f>
        <v/>
      </c>
      <c r="FD632" s="0" t="str">
        <f aca="false">IF($A632="","",IF(AND(CK632="pass",AU632="Y",AV632&lt;&gt;"Y",U632="new",EW632="N"),"Y","N"))</f>
        <v/>
      </c>
      <c r="FE632" s="0" t="str">
        <f aca="false">IF(FD632&lt;&gt;"Y","",IF(COUNTIFS($FD$2:$FD$1000,"Y",$J$2:$J$1000,"&gt;"&amp;J632)+COUNTIFS($FD$2:$FD$1000,"Y",$J$2:$J$1000,J632,$FG$2:$FG$1000,"&lt;"&amp;FG632)+1&lt;=30,COUNTIFS($FD$2:$FD$1000,"Y",$J$2:$J$1000,"&gt;"&amp;J632)+COUNTIFS($FD$2:$FD$1000,"Y",$J$2:$J$1000,J632,$FG$2:$FG$1000,"&lt;"&amp;FG632)+1,""))</f>
        <v/>
      </c>
      <c r="FF632" s="0" t="str">
        <f aca="false">IF(AND(_xlfn.ISFORMULA(C632),_xlfn.ISFORMULA(J632)),"Y","N")</f>
        <v>Y</v>
      </c>
      <c r="FG632" s="0" t="n">
        <f aca="false">ROW()-1</f>
        <v>631</v>
      </c>
    </row>
    <row r="633" customFormat="false" ht="15" hidden="false" customHeight="false" outlineLevel="0" collapsed="false">
      <c r="C633" s="0" t="str">
        <f aca="false">IF($A633="","",IF(AT633="Y",BL633&amp;"",AY633&amp;""))</f>
        <v/>
      </c>
      <c r="D633" s="0" t="str">
        <f aca="false">IF($A633="","",IF(AT633="Y",BM633&amp;"",AZ633&amp;""))</f>
        <v/>
      </c>
      <c r="E633" s="0" t="str">
        <f aca="false">IF($A633="","",IF(AT633="Y",BN633&amp;"",BA633&amp;""))</f>
        <v/>
      </c>
      <c r="F633" s="0" t="str">
        <f aca="false">IF($A633="","",IF(AT633="Y",BO633&amp;"",BB633&amp;""))</f>
        <v/>
      </c>
      <c r="G633" s="0" t="str">
        <f aca="false">IF($A633="","",IF(AT633="Y",BP633&amp;"",BC633&amp;""))</f>
        <v/>
      </c>
      <c r="H633" s="0" t="str">
        <f aca="false">IF($A633="","",IF(AT633="Y",BQ633&amp;"",BD633&amp;""))</f>
        <v/>
      </c>
      <c r="I633" s="0" t="str">
        <f aca="false">IF($A633="","",IF(R633="Y","warm-intro",IF(H633="verified","email",IF(C633&lt;&gt;"","linkedin",CA633&amp;""))))</f>
        <v/>
      </c>
      <c r="J633" s="0" t="str">
        <f aca="false">IF($A633="","",IF(CK633="pass",ROUND(N(DO633)+N(DP633)+N(DQ633)+N(DR633)+N(DS633)+N(DT633)+N(DU633)+N(DV633),0),0))</f>
        <v/>
      </c>
      <c r="K633" s="0" t="str">
        <f aca="false">IF($A633="","",IF(CK633&lt;&gt;"pass",BY633&amp;"",BY633&amp;", "&amp;IF(AT633="Y",BX633&amp;"",BK633&amp;"")&amp;BZ633&amp;IF(R633="Y","; known to the founder (+10)","")&amp;"."))</f>
        <v/>
      </c>
      <c r="R633" s="5"/>
      <c r="T633" s="5"/>
      <c r="U633" s="5"/>
      <c r="Y633" s="0" t="str">
        <f aca="false">IF(FA633&lt;&gt;"Y","",COUNTIFS($FA$2:$FA$1000,"Y",$J$2:$J$1000,"&gt;"&amp;J633)+COUNTIFS($FA$2:$FA$1000,"Y",$J$2:$J$1000,J633,$FG$2:$FG$1000,"&lt;"&amp;FG633)+1)</f>
        <v/>
      </c>
      <c r="AB633" s="0" t="str">
        <f aca="false">IF($A633="","",IF(AT633="Y",BW633&amp;"",BJ633&amp;""))</f>
        <v/>
      </c>
      <c r="AC633" s="0" t="str">
        <f aca="false">IF($A633="","",IF(AT633="Y",BR633&amp;"",BE633&amp;""))</f>
        <v/>
      </c>
      <c r="AD633" s="0" t="str">
        <f aca="false">IF($A633="","",IF(AT633="Y",BS633&amp;"",BF633&amp;""))</f>
        <v/>
      </c>
      <c r="AE633" s="0" t="str">
        <f aca="false">IF($A633="","",IF(AT633="Y",BT633&amp;"",BG633&amp;""))</f>
        <v/>
      </c>
      <c r="AF633" s="0" t="str">
        <f aca="false">IF($A633="","",IF(AT633="Y",BU633&amp;"",BH633&amp;""))</f>
        <v/>
      </c>
      <c r="AG633" s="0" t="str">
        <f aca="false">IF($A633="","",IF(AT633="Y",BV633&amp;"",BI633&amp;""))</f>
        <v/>
      </c>
      <c r="AO633" s="5"/>
      <c r="AR633" s="0" t="str">
        <f aca="false">IF($A633="","",IF(AND(CK633="pass",AO633&lt;&gt;"Y",C633&lt;&gt;"",OR(AU633&lt;&gt;"Y",AV633="Y")),"Y","N"))</f>
        <v/>
      </c>
      <c r="AS633" s="0" t="str">
        <f aca="false">IF($A633="","",_xlfn.TEXTJOIN("; ",TRUE(),IF(CK633&lt;&gt;"pass","gated out",""),IF(AO633="Y","on hold: "&amp;AP633,""),IF(C633="","no contact named on an opened page",""),IF(AND(AU633="Y",AV633&lt;&gt;"Y"),"founder review pending (Founder review tab)","")))</f>
        <v/>
      </c>
      <c r="BC633" s="0" t="str">
        <f aca="false">IF($A633="","",IFERROR(INDEX(Enrichment!$A$2:$GZ$2000,MATCH($A633,INDEX(Enrichment!$A$2:$GZ$2000,0,MATCH("row_id",Enrichment!$A$1:$GZ$1,0)),0),MATCH("work_email",Enrichment!$A$1:$GZ$1,0))&amp;"",""))</f>
        <v/>
      </c>
      <c r="BD633" s="0" t="str">
        <f aca="false">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P633" s="0" t="str">
        <f aca="false">IF($A633="","",IFERROR(INDEX(Enrichment!$A$2:$GZ$2000,MATCH($A633,INDEX(Enrichment!$A$2:$GZ$2000,0,MATCH("row_id",Enrichment!$A$1:$GZ$1,0)),0),MATCH("backup_work_email",Enrichment!$A$1:$GZ$1,0))&amp;"",""))</f>
        <v/>
      </c>
      <c r="BQ633" s="0" t="str">
        <f aca="false">IF($A633="","",IF(BP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DU633" s="0" t="str">
        <f aca="false">IF($A633="","",IF(R633="Y",10,0))</f>
        <v/>
      </c>
      <c r="EV633" s="0" t="str">
        <f aca="false">IF($A633="","",IF(ISNUMBER(MATCH(U633,{"queued","contacted","replied","call_booked","call_done","yes_in_principle","materials_sent"},0)),"Y","N"))</f>
        <v/>
      </c>
      <c r="EW633" s="0" t="str">
        <f aca="false">IF($A633="","",IF(OR(T633="Y",U633="do_not_contact",AQ633&amp;""&lt;&gt;""),"Y","N"))</f>
        <v/>
      </c>
      <c r="EX633" s="0" t="str">
        <f aca="false">IF($A633="","",IF(AN633&amp;""&lt;&gt;"",AN633&amp;"",$A633))</f>
        <v/>
      </c>
      <c r="EY633" s="0" t="str">
        <f aca="false">IF($A633="","",IF(COUNTIFS($EX$2:$EX$1000,EX633,$EV$2:$EV$1000,"Y")+COUNTIFS($EX$2:$EX$1000,EX633,$EW$2:$EW$1000,"Y")&gt;0,"Y","N"))</f>
        <v/>
      </c>
      <c r="EZ633" s="0" t="str">
        <f aca="false">IF($A633="","",IF(AND(U633="new",T633="N",EW633="N",AR633="Y",EY633="N"),"Y","N"))</f>
        <v/>
      </c>
      <c r="FA633" s="0" t="str">
        <f aca="false">IF($A633="","",IF(EZ633&lt;&gt;"Y","N",IF(COUNTIFS($EX$2:$EX$1000,EX633,$EZ$2:$EZ$1000,"Y",$J$2:$J$1000,"&gt;"&amp;J633)+COUNTIFS($EX$2:$EX$1000,EX633,$EZ$2:$EZ$1000,"Y",$J$2:$J$1000,J633,$FG$2:$FG$1000,"&lt;"&amp;FG633)=0,"Y","N")))</f>
        <v/>
      </c>
      <c r="FB633" s="0" t="str">
        <f aca="false">IF($A633="","",IF(AND(EZ633="Y",FA633="Y",Y633&amp;""&lt;&gt;""),IF(Y633&lt;=10,"Y","N"),"N"))</f>
        <v/>
      </c>
      <c r="FC633" s="0" t="str">
        <f aca="false">IF(FB633="Y",Y633,"")</f>
        <v/>
      </c>
      <c r="FD633" s="0" t="str">
        <f aca="false">IF($A633="","",IF(AND(CK633="pass",AU633="Y",AV633&lt;&gt;"Y",U633="new",EW633="N"),"Y","N"))</f>
        <v/>
      </c>
      <c r="FE633" s="0" t="str">
        <f aca="false">IF(FD633&lt;&gt;"Y","",IF(COUNTIFS($FD$2:$FD$1000,"Y",$J$2:$J$1000,"&gt;"&amp;J633)+COUNTIFS($FD$2:$FD$1000,"Y",$J$2:$J$1000,J633,$FG$2:$FG$1000,"&lt;"&amp;FG633)+1&lt;=30,COUNTIFS($FD$2:$FD$1000,"Y",$J$2:$J$1000,"&gt;"&amp;J633)+COUNTIFS($FD$2:$FD$1000,"Y",$J$2:$J$1000,J633,$FG$2:$FG$1000,"&lt;"&amp;FG633)+1,""))</f>
        <v/>
      </c>
      <c r="FF633" s="0" t="str">
        <f aca="false">IF(AND(_xlfn.ISFORMULA(C633),_xlfn.ISFORMULA(J633)),"Y","N")</f>
        <v>Y</v>
      </c>
      <c r="FG633" s="0" t="n">
        <f aca="false">ROW()-1</f>
        <v>632</v>
      </c>
    </row>
    <row r="634" customFormat="false" ht="15" hidden="false" customHeight="false" outlineLevel="0" collapsed="false">
      <c r="C634" s="0" t="str">
        <f aca="false">IF($A634="","",IF(AT634="Y",BL634&amp;"",AY634&amp;""))</f>
        <v/>
      </c>
      <c r="D634" s="0" t="str">
        <f aca="false">IF($A634="","",IF(AT634="Y",BM634&amp;"",AZ634&amp;""))</f>
        <v/>
      </c>
      <c r="E634" s="0" t="str">
        <f aca="false">IF($A634="","",IF(AT634="Y",BN634&amp;"",BA634&amp;""))</f>
        <v/>
      </c>
      <c r="F634" s="0" t="str">
        <f aca="false">IF($A634="","",IF(AT634="Y",BO634&amp;"",BB634&amp;""))</f>
        <v/>
      </c>
      <c r="G634" s="0" t="str">
        <f aca="false">IF($A634="","",IF(AT634="Y",BP634&amp;"",BC634&amp;""))</f>
        <v/>
      </c>
      <c r="H634" s="0" t="str">
        <f aca="false">IF($A634="","",IF(AT634="Y",BQ634&amp;"",BD634&amp;""))</f>
        <v/>
      </c>
      <c r="I634" s="0" t="str">
        <f aca="false">IF($A634="","",IF(R634="Y","warm-intro",IF(H634="verified","email",IF(C634&lt;&gt;"","linkedin",CA634&amp;""))))</f>
        <v/>
      </c>
      <c r="J634" s="0" t="str">
        <f aca="false">IF($A634="","",IF(CK634="pass",ROUND(N(DO634)+N(DP634)+N(DQ634)+N(DR634)+N(DS634)+N(DT634)+N(DU634)+N(DV634),0),0))</f>
        <v/>
      </c>
      <c r="K634" s="0" t="str">
        <f aca="false">IF($A634="","",IF(CK634&lt;&gt;"pass",BY634&amp;"",BY634&amp;", "&amp;IF(AT634="Y",BX634&amp;"",BK634&amp;"")&amp;BZ634&amp;IF(R634="Y","; known to the founder (+10)","")&amp;"."))</f>
        <v/>
      </c>
      <c r="R634" s="5"/>
      <c r="T634" s="5"/>
      <c r="U634" s="5"/>
      <c r="Y634" s="0" t="str">
        <f aca="false">IF(FA634&lt;&gt;"Y","",COUNTIFS($FA$2:$FA$1000,"Y",$J$2:$J$1000,"&gt;"&amp;J634)+COUNTIFS($FA$2:$FA$1000,"Y",$J$2:$J$1000,J634,$FG$2:$FG$1000,"&lt;"&amp;FG634)+1)</f>
        <v/>
      </c>
      <c r="AB634" s="0" t="str">
        <f aca="false">IF($A634="","",IF(AT634="Y",BW634&amp;"",BJ634&amp;""))</f>
        <v/>
      </c>
      <c r="AC634" s="0" t="str">
        <f aca="false">IF($A634="","",IF(AT634="Y",BR634&amp;"",BE634&amp;""))</f>
        <v/>
      </c>
      <c r="AD634" s="0" t="str">
        <f aca="false">IF($A634="","",IF(AT634="Y",BS634&amp;"",BF634&amp;""))</f>
        <v/>
      </c>
      <c r="AE634" s="0" t="str">
        <f aca="false">IF($A634="","",IF(AT634="Y",BT634&amp;"",BG634&amp;""))</f>
        <v/>
      </c>
      <c r="AF634" s="0" t="str">
        <f aca="false">IF($A634="","",IF(AT634="Y",BU634&amp;"",BH634&amp;""))</f>
        <v/>
      </c>
      <c r="AG634" s="0" t="str">
        <f aca="false">IF($A634="","",IF(AT634="Y",BV634&amp;"",BI634&amp;""))</f>
        <v/>
      </c>
      <c r="AO634" s="5"/>
      <c r="AR634" s="0" t="str">
        <f aca="false">IF($A634="","",IF(AND(CK634="pass",AO634&lt;&gt;"Y",C634&lt;&gt;"",OR(AU634&lt;&gt;"Y",AV634="Y")),"Y","N"))</f>
        <v/>
      </c>
      <c r="AS634" s="0" t="str">
        <f aca="false">IF($A634="","",_xlfn.TEXTJOIN("; ",TRUE(),IF(CK634&lt;&gt;"pass","gated out",""),IF(AO634="Y","on hold: "&amp;AP634,""),IF(C634="","no contact named on an opened page",""),IF(AND(AU634="Y",AV634&lt;&gt;"Y"),"founder review pending (Founder review tab)","")))</f>
        <v/>
      </c>
      <c r="BC634" s="0" t="str">
        <f aca="false">IF($A634="","",IFERROR(INDEX(Enrichment!$A$2:$GZ$2000,MATCH($A634,INDEX(Enrichment!$A$2:$GZ$2000,0,MATCH("row_id",Enrichment!$A$1:$GZ$1,0)),0),MATCH("work_email",Enrichment!$A$1:$GZ$1,0))&amp;"",""))</f>
        <v/>
      </c>
      <c r="BD634" s="0" t="str">
        <f aca="false">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P634" s="0" t="str">
        <f aca="false">IF($A634="","",IFERROR(INDEX(Enrichment!$A$2:$GZ$2000,MATCH($A634,INDEX(Enrichment!$A$2:$GZ$2000,0,MATCH("row_id",Enrichment!$A$1:$GZ$1,0)),0),MATCH("backup_work_email",Enrichment!$A$1:$GZ$1,0))&amp;"",""))</f>
        <v/>
      </c>
      <c r="BQ634" s="0" t="str">
        <f aca="false">IF($A634="","",IF(BP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DU634" s="0" t="str">
        <f aca="false">IF($A634="","",IF(R634="Y",10,0))</f>
        <v/>
      </c>
      <c r="EV634" s="0" t="str">
        <f aca="false">IF($A634="","",IF(ISNUMBER(MATCH(U634,{"queued","contacted","replied","call_booked","call_done","yes_in_principle","materials_sent"},0)),"Y","N"))</f>
        <v/>
      </c>
      <c r="EW634" s="0" t="str">
        <f aca="false">IF($A634="","",IF(OR(T634="Y",U634="do_not_contact",AQ634&amp;""&lt;&gt;""),"Y","N"))</f>
        <v/>
      </c>
      <c r="EX634" s="0" t="str">
        <f aca="false">IF($A634="","",IF(AN634&amp;""&lt;&gt;"",AN634&amp;"",$A634))</f>
        <v/>
      </c>
      <c r="EY634" s="0" t="str">
        <f aca="false">IF($A634="","",IF(COUNTIFS($EX$2:$EX$1000,EX634,$EV$2:$EV$1000,"Y")+COUNTIFS($EX$2:$EX$1000,EX634,$EW$2:$EW$1000,"Y")&gt;0,"Y","N"))</f>
        <v/>
      </c>
      <c r="EZ634" s="0" t="str">
        <f aca="false">IF($A634="","",IF(AND(U634="new",T634="N",EW634="N",AR634="Y",EY634="N"),"Y","N"))</f>
        <v/>
      </c>
      <c r="FA634" s="0" t="str">
        <f aca="false">IF($A634="","",IF(EZ634&lt;&gt;"Y","N",IF(COUNTIFS($EX$2:$EX$1000,EX634,$EZ$2:$EZ$1000,"Y",$J$2:$J$1000,"&gt;"&amp;J634)+COUNTIFS($EX$2:$EX$1000,EX634,$EZ$2:$EZ$1000,"Y",$J$2:$J$1000,J634,$FG$2:$FG$1000,"&lt;"&amp;FG634)=0,"Y","N")))</f>
        <v/>
      </c>
      <c r="FB634" s="0" t="str">
        <f aca="false">IF($A634="","",IF(AND(EZ634="Y",FA634="Y",Y634&amp;""&lt;&gt;""),IF(Y634&lt;=10,"Y","N"),"N"))</f>
        <v/>
      </c>
      <c r="FC634" s="0" t="str">
        <f aca="false">IF(FB634="Y",Y634,"")</f>
        <v/>
      </c>
      <c r="FD634" s="0" t="str">
        <f aca="false">IF($A634="","",IF(AND(CK634="pass",AU634="Y",AV634&lt;&gt;"Y",U634="new",EW634="N"),"Y","N"))</f>
        <v/>
      </c>
      <c r="FE634" s="0" t="str">
        <f aca="false">IF(FD634&lt;&gt;"Y","",IF(COUNTIFS($FD$2:$FD$1000,"Y",$J$2:$J$1000,"&gt;"&amp;J634)+COUNTIFS($FD$2:$FD$1000,"Y",$J$2:$J$1000,J634,$FG$2:$FG$1000,"&lt;"&amp;FG634)+1&lt;=30,COUNTIFS($FD$2:$FD$1000,"Y",$J$2:$J$1000,"&gt;"&amp;J634)+COUNTIFS($FD$2:$FD$1000,"Y",$J$2:$J$1000,J634,$FG$2:$FG$1000,"&lt;"&amp;FG634)+1,""))</f>
        <v/>
      </c>
      <c r="FF634" s="0" t="str">
        <f aca="false">IF(AND(_xlfn.ISFORMULA(C634),_xlfn.ISFORMULA(J634)),"Y","N")</f>
        <v>Y</v>
      </c>
      <c r="FG634" s="0" t="n">
        <f aca="false">ROW()-1</f>
        <v>633</v>
      </c>
    </row>
    <row r="635" customFormat="false" ht="15" hidden="false" customHeight="false" outlineLevel="0" collapsed="false">
      <c r="C635" s="0" t="str">
        <f aca="false">IF($A635="","",IF(AT635="Y",BL635&amp;"",AY635&amp;""))</f>
        <v/>
      </c>
      <c r="D635" s="0" t="str">
        <f aca="false">IF($A635="","",IF(AT635="Y",BM635&amp;"",AZ635&amp;""))</f>
        <v/>
      </c>
      <c r="E635" s="0" t="str">
        <f aca="false">IF($A635="","",IF(AT635="Y",BN635&amp;"",BA635&amp;""))</f>
        <v/>
      </c>
      <c r="F635" s="0" t="str">
        <f aca="false">IF($A635="","",IF(AT635="Y",BO635&amp;"",BB635&amp;""))</f>
        <v/>
      </c>
      <c r="G635" s="0" t="str">
        <f aca="false">IF($A635="","",IF(AT635="Y",BP635&amp;"",BC635&amp;""))</f>
        <v/>
      </c>
      <c r="H635" s="0" t="str">
        <f aca="false">IF($A635="","",IF(AT635="Y",BQ635&amp;"",BD635&amp;""))</f>
        <v/>
      </c>
      <c r="I635" s="0" t="str">
        <f aca="false">IF($A635="","",IF(R635="Y","warm-intro",IF(H635="verified","email",IF(C635&lt;&gt;"","linkedin",CA635&amp;""))))</f>
        <v/>
      </c>
      <c r="J635" s="0" t="str">
        <f aca="false">IF($A635="","",IF(CK635="pass",ROUND(N(DO635)+N(DP635)+N(DQ635)+N(DR635)+N(DS635)+N(DT635)+N(DU635)+N(DV635),0),0))</f>
        <v/>
      </c>
      <c r="K635" s="0" t="str">
        <f aca="false">IF($A635="","",IF(CK635&lt;&gt;"pass",BY635&amp;"",BY635&amp;", "&amp;IF(AT635="Y",BX635&amp;"",BK635&amp;"")&amp;BZ635&amp;IF(R635="Y","; known to the founder (+10)","")&amp;"."))</f>
        <v/>
      </c>
      <c r="R635" s="5"/>
      <c r="T635" s="5"/>
      <c r="U635" s="5"/>
      <c r="Y635" s="0" t="str">
        <f aca="false">IF(FA635&lt;&gt;"Y","",COUNTIFS($FA$2:$FA$1000,"Y",$J$2:$J$1000,"&gt;"&amp;J635)+COUNTIFS($FA$2:$FA$1000,"Y",$J$2:$J$1000,J635,$FG$2:$FG$1000,"&lt;"&amp;FG635)+1)</f>
        <v/>
      </c>
      <c r="AB635" s="0" t="str">
        <f aca="false">IF($A635="","",IF(AT635="Y",BW635&amp;"",BJ635&amp;""))</f>
        <v/>
      </c>
      <c r="AC635" s="0" t="str">
        <f aca="false">IF($A635="","",IF(AT635="Y",BR635&amp;"",BE635&amp;""))</f>
        <v/>
      </c>
      <c r="AD635" s="0" t="str">
        <f aca="false">IF($A635="","",IF(AT635="Y",BS635&amp;"",BF635&amp;""))</f>
        <v/>
      </c>
      <c r="AE635" s="0" t="str">
        <f aca="false">IF($A635="","",IF(AT635="Y",BT635&amp;"",BG635&amp;""))</f>
        <v/>
      </c>
      <c r="AF635" s="0" t="str">
        <f aca="false">IF($A635="","",IF(AT635="Y",BU635&amp;"",BH635&amp;""))</f>
        <v/>
      </c>
      <c r="AG635" s="0" t="str">
        <f aca="false">IF($A635="","",IF(AT635="Y",BV635&amp;"",BI635&amp;""))</f>
        <v/>
      </c>
      <c r="AO635" s="5"/>
      <c r="AR635" s="0" t="str">
        <f aca="false">IF($A635="","",IF(AND(CK635="pass",AO635&lt;&gt;"Y",C635&lt;&gt;"",OR(AU635&lt;&gt;"Y",AV635="Y")),"Y","N"))</f>
        <v/>
      </c>
      <c r="AS635" s="0" t="str">
        <f aca="false">IF($A635="","",_xlfn.TEXTJOIN("; ",TRUE(),IF(CK635&lt;&gt;"pass","gated out",""),IF(AO635="Y","on hold: "&amp;AP635,""),IF(C635="","no contact named on an opened page",""),IF(AND(AU635="Y",AV635&lt;&gt;"Y"),"founder review pending (Founder review tab)","")))</f>
        <v/>
      </c>
      <c r="BC635" s="0" t="str">
        <f aca="false">IF($A635="","",IFERROR(INDEX(Enrichment!$A$2:$GZ$2000,MATCH($A635,INDEX(Enrichment!$A$2:$GZ$2000,0,MATCH("row_id",Enrichment!$A$1:$GZ$1,0)),0),MATCH("work_email",Enrichment!$A$1:$GZ$1,0))&amp;"",""))</f>
        <v/>
      </c>
      <c r="BD635" s="0" t="str">
        <f aca="false">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P635" s="0" t="str">
        <f aca="false">IF($A635="","",IFERROR(INDEX(Enrichment!$A$2:$GZ$2000,MATCH($A635,INDEX(Enrichment!$A$2:$GZ$2000,0,MATCH("row_id",Enrichment!$A$1:$GZ$1,0)),0),MATCH("backup_work_email",Enrichment!$A$1:$GZ$1,0))&amp;"",""))</f>
        <v/>
      </c>
      <c r="BQ635" s="0" t="str">
        <f aca="false">IF($A635="","",IF(BP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DU635" s="0" t="str">
        <f aca="false">IF($A635="","",IF(R635="Y",10,0))</f>
        <v/>
      </c>
      <c r="EV635" s="0" t="str">
        <f aca="false">IF($A635="","",IF(ISNUMBER(MATCH(U635,{"queued","contacted","replied","call_booked","call_done","yes_in_principle","materials_sent"},0)),"Y","N"))</f>
        <v/>
      </c>
      <c r="EW635" s="0" t="str">
        <f aca="false">IF($A635="","",IF(OR(T635="Y",U635="do_not_contact",AQ635&amp;""&lt;&gt;""),"Y","N"))</f>
        <v/>
      </c>
      <c r="EX635" s="0" t="str">
        <f aca="false">IF($A635="","",IF(AN635&amp;""&lt;&gt;"",AN635&amp;"",$A635))</f>
        <v/>
      </c>
      <c r="EY635" s="0" t="str">
        <f aca="false">IF($A635="","",IF(COUNTIFS($EX$2:$EX$1000,EX635,$EV$2:$EV$1000,"Y")+COUNTIFS($EX$2:$EX$1000,EX635,$EW$2:$EW$1000,"Y")&gt;0,"Y","N"))</f>
        <v/>
      </c>
      <c r="EZ635" s="0" t="str">
        <f aca="false">IF($A635="","",IF(AND(U635="new",T635="N",EW635="N",AR635="Y",EY635="N"),"Y","N"))</f>
        <v/>
      </c>
      <c r="FA635" s="0" t="str">
        <f aca="false">IF($A635="","",IF(EZ635&lt;&gt;"Y","N",IF(COUNTIFS($EX$2:$EX$1000,EX635,$EZ$2:$EZ$1000,"Y",$J$2:$J$1000,"&gt;"&amp;J635)+COUNTIFS($EX$2:$EX$1000,EX635,$EZ$2:$EZ$1000,"Y",$J$2:$J$1000,J635,$FG$2:$FG$1000,"&lt;"&amp;FG635)=0,"Y","N")))</f>
        <v/>
      </c>
      <c r="FB635" s="0" t="str">
        <f aca="false">IF($A635="","",IF(AND(EZ635="Y",FA635="Y",Y635&amp;""&lt;&gt;""),IF(Y635&lt;=10,"Y","N"),"N"))</f>
        <v/>
      </c>
      <c r="FC635" s="0" t="str">
        <f aca="false">IF(FB635="Y",Y635,"")</f>
        <v/>
      </c>
      <c r="FD635" s="0" t="str">
        <f aca="false">IF($A635="","",IF(AND(CK635="pass",AU635="Y",AV635&lt;&gt;"Y",U635="new",EW635="N"),"Y","N"))</f>
        <v/>
      </c>
      <c r="FE635" s="0" t="str">
        <f aca="false">IF(FD635&lt;&gt;"Y","",IF(COUNTIFS($FD$2:$FD$1000,"Y",$J$2:$J$1000,"&gt;"&amp;J635)+COUNTIFS($FD$2:$FD$1000,"Y",$J$2:$J$1000,J635,$FG$2:$FG$1000,"&lt;"&amp;FG635)+1&lt;=30,COUNTIFS($FD$2:$FD$1000,"Y",$J$2:$J$1000,"&gt;"&amp;J635)+COUNTIFS($FD$2:$FD$1000,"Y",$J$2:$J$1000,J635,$FG$2:$FG$1000,"&lt;"&amp;FG635)+1,""))</f>
        <v/>
      </c>
      <c r="FF635" s="0" t="str">
        <f aca="false">IF(AND(_xlfn.ISFORMULA(C635),_xlfn.ISFORMULA(J635)),"Y","N")</f>
        <v>Y</v>
      </c>
      <c r="FG635" s="0" t="n">
        <f aca="false">ROW()-1</f>
        <v>634</v>
      </c>
    </row>
    <row r="636" customFormat="false" ht="15" hidden="false" customHeight="false" outlineLevel="0" collapsed="false">
      <c r="C636" s="0" t="str">
        <f aca="false">IF($A636="","",IF(AT636="Y",BL636&amp;"",AY636&amp;""))</f>
        <v/>
      </c>
      <c r="D636" s="0" t="str">
        <f aca="false">IF($A636="","",IF(AT636="Y",BM636&amp;"",AZ636&amp;""))</f>
        <v/>
      </c>
      <c r="E636" s="0" t="str">
        <f aca="false">IF($A636="","",IF(AT636="Y",BN636&amp;"",BA636&amp;""))</f>
        <v/>
      </c>
      <c r="F636" s="0" t="str">
        <f aca="false">IF($A636="","",IF(AT636="Y",BO636&amp;"",BB636&amp;""))</f>
        <v/>
      </c>
      <c r="G636" s="0" t="str">
        <f aca="false">IF($A636="","",IF(AT636="Y",BP636&amp;"",BC636&amp;""))</f>
        <v/>
      </c>
      <c r="H636" s="0" t="str">
        <f aca="false">IF($A636="","",IF(AT636="Y",BQ636&amp;"",BD636&amp;""))</f>
        <v/>
      </c>
      <c r="I636" s="0" t="str">
        <f aca="false">IF($A636="","",IF(R636="Y","warm-intro",IF(H636="verified","email",IF(C636&lt;&gt;"","linkedin",CA636&amp;""))))</f>
        <v/>
      </c>
      <c r="J636" s="0" t="str">
        <f aca="false">IF($A636="","",IF(CK636="pass",ROUND(N(DO636)+N(DP636)+N(DQ636)+N(DR636)+N(DS636)+N(DT636)+N(DU636)+N(DV636),0),0))</f>
        <v/>
      </c>
      <c r="K636" s="0" t="str">
        <f aca="false">IF($A636="","",IF(CK636&lt;&gt;"pass",BY636&amp;"",BY636&amp;", "&amp;IF(AT636="Y",BX636&amp;"",BK636&amp;"")&amp;BZ636&amp;IF(R636="Y","; known to the founder (+10)","")&amp;"."))</f>
        <v/>
      </c>
      <c r="R636" s="5"/>
      <c r="T636" s="5"/>
      <c r="U636" s="5"/>
      <c r="Y636" s="0" t="str">
        <f aca="false">IF(FA636&lt;&gt;"Y","",COUNTIFS($FA$2:$FA$1000,"Y",$J$2:$J$1000,"&gt;"&amp;J636)+COUNTIFS($FA$2:$FA$1000,"Y",$J$2:$J$1000,J636,$FG$2:$FG$1000,"&lt;"&amp;FG636)+1)</f>
        <v/>
      </c>
      <c r="AB636" s="0" t="str">
        <f aca="false">IF($A636="","",IF(AT636="Y",BW636&amp;"",BJ636&amp;""))</f>
        <v/>
      </c>
      <c r="AC636" s="0" t="str">
        <f aca="false">IF($A636="","",IF(AT636="Y",BR636&amp;"",BE636&amp;""))</f>
        <v/>
      </c>
      <c r="AD636" s="0" t="str">
        <f aca="false">IF($A636="","",IF(AT636="Y",BS636&amp;"",BF636&amp;""))</f>
        <v/>
      </c>
      <c r="AE636" s="0" t="str">
        <f aca="false">IF($A636="","",IF(AT636="Y",BT636&amp;"",BG636&amp;""))</f>
        <v/>
      </c>
      <c r="AF636" s="0" t="str">
        <f aca="false">IF($A636="","",IF(AT636="Y",BU636&amp;"",BH636&amp;""))</f>
        <v/>
      </c>
      <c r="AG636" s="0" t="str">
        <f aca="false">IF($A636="","",IF(AT636="Y",BV636&amp;"",BI636&amp;""))</f>
        <v/>
      </c>
      <c r="AO636" s="5"/>
      <c r="AR636" s="0" t="str">
        <f aca="false">IF($A636="","",IF(AND(CK636="pass",AO636&lt;&gt;"Y",C636&lt;&gt;"",OR(AU636&lt;&gt;"Y",AV636="Y")),"Y","N"))</f>
        <v/>
      </c>
      <c r="AS636" s="0" t="str">
        <f aca="false">IF($A636="","",_xlfn.TEXTJOIN("; ",TRUE(),IF(CK636&lt;&gt;"pass","gated out",""),IF(AO636="Y","on hold: "&amp;AP636,""),IF(C636="","no contact named on an opened page",""),IF(AND(AU636="Y",AV636&lt;&gt;"Y"),"founder review pending (Founder review tab)","")))</f>
        <v/>
      </c>
      <c r="BC636" s="0" t="str">
        <f aca="false">IF($A636="","",IFERROR(INDEX(Enrichment!$A$2:$GZ$2000,MATCH($A636,INDEX(Enrichment!$A$2:$GZ$2000,0,MATCH("row_id",Enrichment!$A$1:$GZ$1,0)),0),MATCH("work_email",Enrichment!$A$1:$GZ$1,0))&amp;"",""))</f>
        <v/>
      </c>
      <c r="BD636" s="0" t="str">
        <f aca="false">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P636" s="0" t="str">
        <f aca="false">IF($A636="","",IFERROR(INDEX(Enrichment!$A$2:$GZ$2000,MATCH($A636,INDEX(Enrichment!$A$2:$GZ$2000,0,MATCH("row_id",Enrichment!$A$1:$GZ$1,0)),0),MATCH("backup_work_email",Enrichment!$A$1:$GZ$1,0))&amp;"",""))</f>
        <v/>
      </c>
      <c r="BQ636" s="0" t="str">
        <f aca="false">IF($A636="","",IF(BP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DU636" s="0" t="str">
        <f aca="false">IF($A636="","",IF(R636="Y",10,0))</f>
        <v/>
      </c>
      <c r="EV636" s="0" t="str">
        <f aca="false">IF($A636="","",IF(ISNUMBER(MATCH(U636,{"queued","contacted","replied","call_booked","call_done","yes_in_principle","materials_sent"},0)),"Y","N"))</f>
        <v/>
      </c>
      <c r="EW636" s="0" t="str">
        <f aca="false">IF($A636="","",IF(OR(T636="Y",U636="do_not_contact",AQ636&amp;""&lt;&gt;""),"Y","N"))</f>
        <v/>
      </c>
      <c r="EX636" s="0" t="str">
        <f aca="false">IF($A636="","",IF(AN636&amp;""&lt;&gt;"",AN636&amp;"",$A636))</f>
        <v/>
      </c>
      <c r="EY636" s="0" t="str">
        <f aca="false">IF($A636="","",IF(COUNTIFS($EX$2:$EX$1000,EX636,$EV$2:$EV$1000,"Y")+COUNTIFS($EX$2:$EX$1000,EX636,$EW$2:$EW$1000,"Y")&gt;0,"Y","N"))</f>
        <v/>
      </c>
      <c r="EZ636" s="0" t="str">
        <f aca="false">IF($A636="","",IF(AND(U636="new",T636="N",EW636="N",AR636="Y",EY636="N"),"Y","N"))</f>
        <v/>
      </c>
      <c r="FA636" s="0" t="str">
        <f aca="false">IF($A636="","",IF(EZ636&lt;&gt;"Y","N",IF(COUNTIFS($EX$2:$EX$1000,EX636,$EZ$2:$EZ$1000,"Y",$J$2:$J$1000,"&gt;"&amp;J636)+COUNTIFS($EX$2:$EX$1000,EX636,$EZ$2:$EZ$1000,"Y",$J$2:$J$1000,J636,$FG$2:$FG$1000,"&lt;"&amp;FG636)=0,"Y","N")))</f>
        <v/>
      </c>
      <c r="FB636" s="0" t="str">
        <f aca="false">IF($A636="","",IF(AND(EZ636="Y",FA636="Y",Y636&amp;""&lt;&gt;""),IF(Y636&lt;=10,"Y","N"),"N"))</f>
        <v/>
      </c>
      <c r="FC636" s="0" t="str">
        <f aca="false">IF(FB636="Y",Y636,"")</f>
        <v/>
      </c>
      <c r="FD636" s="0" t="str">
        <f aca="false">IF($A636="","",IF(AND(CK636="pass",AU636="Y",AV636&lt;&gt;"Y",U636="new",EW636="N"),"Y","N"))</f>
        <v/>
      </c>
      <c r="FE636" s="0" t="str">
        <f aca="false">IF(FD636&lt;&gt;"Y","",IF(COUNTIFS($FD$2:$FD$1000,"Y",$J$2:$J$1000,"&gt;"&amp;J636)+COUNTIFS($FD$2:$FD$1000,"Y",$J$2:$J$1000,J636,$FG$2:$FG$1000,"&lt;"&amp;FG636)+1&lt;=30,COUNTIFS($FD$2:$FD$1000,"Y",$J$2:$J$1000,"&gt;"&amp;J636)+COUNTIFS($FD$2:$FD$1000,"Y",$J$2:$J$1000,J636,$FG$2:$FG$1000,"&lt;"&amp;FG636)+1,""))</f>
        <v/>
      </c>
      <c r="FF636" s="0" t="str">
        <f aca="false">IF(AND(_xlfn.ISFORMULA(C636),_xlfn.ISFORMULA(J636)),"Y","N")</f>
        <v>Y</v>
      </c>
      <c r="FG636" s="0" t="n">
        <f aca="false">ROW()-1</f>
        <v>635</v>
      </c>
    </row>
    <row r="637" customFormat="false" ht="15" hidden="false" customHeight="false" outlineLevel="0" collapsed="false">
      <c r="C637" s="0" t="str">
        <f aca="false">IF($A637="","",IF(AT637="Y",BL637&amp;"",AY637&amp;""))</f>
        <v/>
      </c>
      <c r="D637" s="0" t="str">
        <f aca="false">IF($A637="","",IF(AT637="Y",BM637&amp;"",AZ637&amp;""))</f>
        <v/>
      </c>
      <c r="E637" s="0" t="str">
        <f aca="false">IF($A637="","",IF(AT637="Y",BN637&amp;"",BA637&amp;""))</f>
        <v/>
      </c>
      <c r="F637" s="0" t="str">
        <f aca="false">IF($A637="","",IF(AT637="Y",BO637&amp;"",BB637&amp;""))</f>
        <v/>
      </c>
      <c r="G637" s="0" t="str">
        <f aca="false">IF($A637="","",IF(AT637="Y",BP637&amp;"",BC637&amp;""))</f>
        <v/>
      </c>
      <c r="H637" s="0" t="str">
        <f aca="false">IF($A637="","",IF(AT637="Y",BQ637&amp;"",BD637&amp;""))</f>
        <v/>
      </c>
      <c r="I637" s="0" t="str">
        <f aca="false">IF($A637="","",IF(R637="Y","warm-intro",IF(H637="verified","email",IF(C637&lt;&gt;"","linkedin",CA637&amp;""))))</f>
        <v/>
      </c>
      <c r="J637" s="0" t="str">
        <f aca="false">IF($A637="","",IF(CK637="pass",ROUND(N(DO637)+N(DP637)+N(DQ637)+N(DR637)+N(DS637)+N(DT637)+N(DU637)+N(DV637),0),0))</f>
        <v/>
      </c>
      <c r="K637" s="0" t="str">
        <f aca="false">IF($A637="","",IF(CK637&lt;&gt;"pass",BY637&amp;"",BY637&amp;", "&amp;IF(AT637="Y",BX637&amp;"",BK637&amp;"")&amp;BZ637&amp;IF(R637="Y","; known to the founder (+10)","")&amp;"."))</f>
        <v/>
      </c>
      <c r="R637" s="5"/>
      <c r="T637" s="5"/>
      <c r="U637" s="5"/>
      <c r="Y637" s="0" t="str">
        <f aca="false">IF(FA637&lt;&gt;"Y","",COUNTIFS($FA$2:$FA$1000,"Y",$J$2:$J$1000,"&gt;"&amp;J637)+COUNTIFS($FA$2:$FA$1000,"Y",$J$2:$J$1000,J637,$FG$2:$FG$1000,"&lt;"&amp;FG637)+1)</f>
        <v/>
      </c>
      <c r="AB637" s="0" t="str">
        <f aca="false">IF($A637="","",IF(AT637="Y",BW637&amp;"",BJ637&amp;""))</f>
        <v/>
      </c>
      <c r="AC637" s="0" t="str">
        <f aca="false">IF($A637="","",IF(AT637="Y",BR637&amp;"",BE637&amp;""))</f>
        <v/>
      </c>
      <c r="AD637" s="0" t="str">
        <f aca="false">IF($A637="","",IF(AT637="Y",BS637&amp;"",BF637&amp;""))</f>
        <v/>
      </c>
      <c r="AE637" s="0" t="str">
        <f aca="false">IF($A637="","",IF(AT637="Y",BT637&amp;"",BG637&amp;""))</f>
        <v/>
      </c>
      <c r="AF637" s="0" t="str">
        <f aca="false">IF($A637="","",IF(AT637="Y",BU637&amp;"",BH637&amp;""))</f>
        <v/>
      </c>
      <c r="AG637" s="0" t="str">
        <f aca="false">IF($A637="","",IF(AT637="Y",BV637&amp;"",BI637&amp;""))</f>
        <v/>
      </c>
      <c r="AO637" s="5"/>
      <c r="AR637" s="0" t="str">
        <f aca="false">IF($A637="","",IF(AND(CK637="pass",AO637&lt;&gt;"Y",C637&lt;&gt;"",OR(AU637&lt;&gt;"Y",AV637="Y")),"Y","N"))</f>
        <v/>
      </c>
      <c r="AS637" s="0" t="str">
        <f aca="false">IF($A637="","",_xlfn.TEXTJOIN("; ",TRUE(),IF(CK637&lt;&gt;"pass","gated out",""),IF(AO637="Y","on hold: "&amp;AP637,""),IF(C637="","no contact named on an opened page",""),IF(AND(AU637="Y",AV637&lt;&gt;"Y"),"founder review pending (Founder review tab)","")))</f>
        <v/>
      </c>
      <c r="BC637" s="0" t="str">
        <f aca="false">IF($A637="","",IFERROR(INDEX(Enrichment!$A$2:$GZ$2000,MATCH($A637,INDEX(Enrichment!$A$2:$GZ$2000,0,MATCH("row_id",Enrichment!$A$1:$GZ$1,0)),0),MATCH("work_email",Enrichment!$A$1:$GZ$1,0))&amp;"",""))</f>
        <v/>
      </c>
      <c r="BD637" s="0" t="str">
        <f aca="false">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P637" s="0" t="str">
        <f aca="false">IF($A637="","",IFERROR(INDEX(Enrichment!$A$2:$GZ$2000,MATCH($A637,INDEX(Enrichment!$A$2:$GZ$2000,0,MATCH("row_id",Enrichment!$A$1:$GZ$1,0)),0),MATCH("backup_work_email",Enrichment!$A$1:$GZ$1,0))&amp;"",""))</f>
        <v/>
      </c>
      <c r="BQ637" s="0" t="str">
        <f aca="false">IF($A637="","",IF(BP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DU637" s="0" t="str">
        <f aca="false">IF($A637="","",IF(R637="Y",10,0))</f>
        <v/>
      </c>
      <c r="EV637" s="0" t="str">
        <f aca="false">IF($A637="","",IF(ISNUMBER(MATCH(U637,{"queued","contacted","replied","call_booked","call_done","yes_in_principle","materials_sent"},0)),"Y","N"))</f>
        <v/>
      </c>
      <c r="EW637" s="0" t="str">
        <f aca="false">IF($A637="","",IF(OR(T637="Y",U637="do_not_contact",AQ637&amp;""&lt;&gt;""),"Y","N"))</f>
        <v/>
      </c>
      <c r="EX637" s="0" t="str">
        <f aca="false">IF($A637="","",IF(AN637&amp;""&lt;&gt;"",AN637&amp;"",$A637))</f>
        <v/>
      </c>
      <c r="EY637" s="0" t="str">
        <f aca="false">IF($A637="","",IF(COUNTIFS($EX$2:$EX$1000,EX637,$EV$2:$EV$1000,"Y")+COUNTIFS($EX$2:$EX$1000,EX637,$EW$2:$EW$1000,"Y")&gt;0,"Y","N"))</f>
        <v/>
      </c>
      <c r="EZ637" s="0" t="str">
        <f aca="false">IF($A637="","",IF(AND(U637="new",T637="N",EW637="N",AR637="Y",EY637="N"),"Y","N"))</f>
        <v/>
      </c>
      <c r="FA637" s="0" t="str">
        <f aca="false">IF($A637="","",IF(EZ637&lt;&gt;"Y","N",IF(COUNTIFS($EX$2:$EX$1000,EX637,$EZ$2:$EZ$1000,"Y",$J$2:$J$1000,"&gt;"&amp;J637)+COUNTIFS($EX$2:$EX$1000,EX637,$EZ$2:$EZ$1000,"Y",$J$2:$J$1000,J637,$FG$2:$FG$1000,"&lt;"&amp;FG637)=0,"Y","N")))</f>
        <v/>
      </c>
      <c r="FB637" s="0" t="str">
        <f aca="false">IF($A637="","",IF(AND(EZ637="Y",FA637="Y",Y637&amp;""&lt;&gt;""),IF(Y637&lt;=10,"Y","N"),"N"))</f>
        <v/>
      </c>
      <c r="FC637" s="0" t="str">
        <f aca="false">IF(FB637="Y",Y637,"")</f>
        <v/>
      </c>
      <c r="FD637" s="0" t="str">
        <f aca="false">IF($A637="","",IF(AND(CK637="pass",AU637="Y",AV637&lt;&gt;"Y",U637="new",EW637="N"),"Y","N"))</f>
        <v/>
      </c>
      <c r="FE637" s="0" t="str">
        <f aca="false">IF(FD637&lt;&gt;"Y","",IF(COUNTIFS($FD$2:$FD$1000,"Y",$J$2:$J$1000,"&gt;"&amp;J637)+COUNTIFS($FD$2:$FD$1000,"Y",$J$2:$J$1000,J637,$FG$2:$FG$1000,"&lt;"&amp;FG637)+1&lt;=30,COUNTIFS($FD$2:$FD$1000,"Y",$J$2:$J$1000,"&gt;"&amp;J637)+COUNTIFS($FD$2:$FD$1000,"Y",$J$2:$J$1000,J637,$FG$2:$FG$1000,"&lt;"&amp;FG637)+1,""))</f>
        <v/>
      </c>
      <c r="FF637" s="0" t="str">
        <f aca="false">IF(AND(_xlfn.ISFORMULA(C637),_xlfn.ISFORMULA(J637)),"Y","N")</f>
        <v>Y</v>
      </c>
      <c r="FG637" s="0" t="n">
        <f aca="false">ROW()-1</f>
        <v>636</v>
      </c>
    </row>
    <row r="638" customFormat="false" ht="15" hidden="false" customHeight="false" outlineLevel="0" collapsed="false">
      <c r="C638" s="0" t="str">
        <f aca="false">IF($A638="","",IF(AT638="Y",BL638&amp;"",AY638&amp;""))</f>
        <v/>
      </c>
      <c r="D638" s="0" t="str">
        <f aca="false">IF($A638="","",IF(AT638="Y",BM638&amp;"",AZ638&amp;""))</f>
        <v/>
      </c>
      <c r="E638" s="0" t="str">
        <f aca="false">IF($A638="","",IF(AT638="Y",BN638&amp;"",BA638&amp;""))</f>
        <v/>
      </c>
      <c r="F638" s="0" t="str">
        <f aca="false">IF($A638="","",IF(AT638="Y",BO638&amp;"",BB638&amp;""))</f>
        <v/>
      </c>
      <c r="G638" s="0" t="str">
        <f aca="false">IF($A638="","",IF(AT638="Y",BP638&amp;"",BC638&amp;""))</f>
        <v/>
      </c>
      <c r="H638" s="0" t="str">
        <f aca="false">IF($A638="","",IF(AT638="Y",BQ638&amp;"",BD638&amp;""))</f>
        <v/>
      </c>
      <c r="I638" s="0" t="str">
        <f aca="false">IF($A638="","",IF(R638="Y","warm-intro",IF(H638="verified","email",IF(C638&lt;&gt;"","linkedin",CA638&amp;""))))</f>
        <v/>
      </c>
      <c r="J638" s="0" t="str">
        <f aca="false">IF($A638="","",IF(CK638="pass",ROUND(N(DO638)+N(DP638)+N(DQ638)+N(DR638)+N(DS638)+N(DT638)+N(DU638)+N(DV638),0),0))</f>
        <v/>
      </c>
      <c r="K638" s="0" t="str">
        <f aca="false">IF($A638="","",IF(CK638&lt;&gt;"pass",BY638&amp;"",BY638&amp;", "&amp;IF(AT638="Y",BX638&amp;"",BK638&amp;"")&amp;BZ638&amp;IF(R638="Y","; known to the founder (+10)","")&amp;"."))</f>
        <v/>
      </c>
      <c r="R638" s="5"/>
      <c r="T638" s="5"/>
      <c r="U638" s="5"/>
      <c r="Y638" s="0" t="str">
        <f aca="false">IF(FA638&lt;&gt;"Y","",COUNTIFS($FA$2:$FA$1000,"Y",$J$2:$J$1000,"&gt;"&amp;J638)+COUNTIFS($FA$2:$FA$1000,"Y",$J$2:$J$1000,J638,$FG$2:$FG$1000,"&lt;"&amp;FG638)+1)</f>
        <v/>
      </c>
      <c r="AB638" s="0" t="str">
        <f aca="false">IF($A638="","",IF(AT638="Y",BW638&amp;"",BJ638&amp;""))</f>
        <v/>
      </c>
      <c r="AC638" s="0" t="str">
        <f aca="false">IF($A638="","",IF(AT638="Y",BR638&amp;"",BE638&amp;""))</f>
        <v/>
      </c>
      <c r="AD638" s="0" t="str">
        <f aca="false">IF($A638="","",IF(AT638="Y",BS638&amp;"",BF638&amp;""))</f>
        <v/>
      </c>
      <c r="AE638" s="0" t="str">
        <f aca="false">IF($A638="","",IF(AT638="Y",BT638&amp;"",BG638&amp;""))</f>
        <v/>
      </c>
      <c r="AF638" s="0" t="str">
        <f aca="false">IF($A638="","",IF(AT638="Y",BU638&amp;"",BH638&amp;""))</f>
        <v/>
      </c>
      <c r="AG638" s="0" t="str">
        <f aca="false">IF($A638="","",IF(AT638="Y",BV638&amp;"",BI638&amp;""))</f>
        <v/>
      </c>
      <c r="AO638" s="5"/>
      <c r="AR638" s="0" t="str">
        <f aca="false">IF($A638="","",IF(AND(CK638="pass",AO638&lt;&gt;"Y",C638&lt;&gt;"",OR(AU638&lt;&gt;"Y",AV638="Y")),"Y","N"))</f>
        <v/>
      </c>
      <c r="AS638" s="0" t="str">
        <f aca="false">IF($A638="","",_xlfn.TEXTJOIN("; ",TRUE(),IF(CK638&lt;&gt;"pass","gated out",""),IF(AO638="Y","on hold: "&amp;AP638,""),IF(C638="","no contact named on an opened page",""),IF(AND(AU638="Y",AV638&lt;&gt;"Y"),"founder review pending (Founder review tab)","")))</f>
        <v/>
      </c>
      <c r="BC638" s="0" t="str">
        <f aca="false">IF($A638="","",IFERROR(INDEX(Enrichment!$A$2:$GZ$2000,MATCH($A638,INDEX(Enrichment!$A$2:$GZ$2000,0,MATCH("row_id",Enrichment!$A$1:$GZ$1,0)),0),MATCH("work_email",Enrichment!$A$1:$GZ$1,0))&amp;"",""))</f>
        <v/>
      </c>
      <c r="BD638" s="0" t="str">
        <f aca="false">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P638" s="0" t="str">
        <f aca="false">IF($A638="","",IFERROR(INDEX(Enrichment!$A$2:$GZ$2000,MATCH($A638,INDEX(Enrichment!$A$2:$GZ$2000,0,MATCH("row_id",Enrichment!$A$1:$GZ$1,0)),0),MATCH("backup_work_email",Enrichment!$A$1:$GZ$1,0))&amp;"",""))</f>
        <v/>
      </c>
      <c r="BQ638" s="0" t="str">
        <f aca="false">IF($A638="","",IF(BP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DU638" s="0" t="str">
        <f aca="false">IF($A638="","",IF(R638="Y",10,0))</f>
        <v/>
      </c>
      <c r="EV638" s="0" t="str">
        <f aca="false">IF($A638="","",IF(ISNUMBER(MATCH(U638,{"queued","contacted","replied","call_booked","call_done","yes_in_principle","materials_sent"},0)),"Y","N"))</f>
        <v/>
      </c>
      <c r="EW638" s="0" t="str">
        <f aca="false">IF($A638="","",IF(OR(T638="Y",U638="do_not_contact",AQ638&amp;""&lt;&gt;""),"Y","N"))</f>
        <v/>
      </c>
      <c r="EX638" s="0" t="str">
        <f aca="false">IF($A638="","",IF(AN638&amp;""&lt;&gt;"",AN638&amp;"",$A638))</f>
        <v/>
      </c>
      <c r="EY638" s="0" t="str">
        <f aca="false">IF($A638="","",IF(COUNTIFS($EX$2:$EX$1000,EX638,$EV$2:$EV$1000,"Y")+COUNTIFS($EX$2:$EX$1000,EX638,$EW$2:$EW$1000,"Y")&gt;0,"Y","N"))</f>
        <v/>
      </c>
      <c r="EZ638" s="0" t="str">
        <f aca="false">IF($A638="","",IF(AND(U638="new",T638="N",EW638="N",AR638="Y",EY638="N"),"Y","N"))</f>
        <v/>
      </c>
      <c r="FA638" s="0" t="str">
        <f aca="false">IF($A638="","",IF(EZ638&lt;&gt;"Y","N",IF(COUNTIFS($EX$2:$EX$1000,EX638,$EZ$2:$EZ$1000,"Y",$J$2:$J$1000,"&gt;"&amp;J638)+COUNTIFS($EX$2:$EX$1000,EX638,$EZ$2:$EZ$1000,"Y",$J$2:$J$1000,J638,$FG$2:$FG$1000,"&lt;"&amp;FG638)=0,"Y","N")))</f>
        <v/>
      </c>
      <c r="FB638" s="0" t="str">
        <f aca="false">IF($A638="","",IF(AND(EZ638="Y",FA638="Y",Y638&amp;""&lt;&gt;""),IF(Y638&lt;=10,"Y","N"),"N"))</f>
        <v/>
      </c>
      <c r="FC638" s="0" t="str">
        <f aca="false">IF(FB638="Y",Y638,"")</f>
        <v/>
      </c>
      <c r="FD638" s="0" t="str">
        <f aca="false">IF($A638="","",IF(AND(CK638="pass",AU638="Y",AV638&lt;&gt;"Y",U638="new",EW638="N"),"Y","N"))</f>
        <v/>
      </c>
      <c r="FE638" s="0" t="str">
        <f aca="false">IF(FD638&lt;&gt;"Y","",IF(COUNTIFS($FD$2:$FD$1000,"Y",$J$2:$J$1000,"&gt;"&amp;J638)+COUNTIFS($FD$2:$FD$1000,"Y",$J$2:$J$1000,J638,$FG$2:$FG$1000,"&lt;"&amp;FG638)+1&lt;=30,COUNTIFS($FD$2:$FD$1000,"Y",$J$2:$J$1000,"&gt;"&amp;J638)+COUNTIFS($FD$2:$FD$1000,"Y",$J$2:$J$1000,J638,$FG$2:$FG$1000,"&lt;"&amp;FG638)+1,""))</f>
        <v/>
      </c>
      <c r="FF638" s="0" t="str">
        <f aca="false">IF(AND(_xlfn.ISFORMULA(C638),_xlfn.ISFORMULA(J638)),"Y","N")</f>
        <v>Y</v>
      </c>
      <c r="FG638" s="0" t="n">
        <f aca="false">ROW()-1</f>
        <v>637</v>
      </c>
    </row>
    <row r="639" customFormat="false" ht="15" hidden="false" customHeight="false" outlineLevel="0" collapsed="false">
      <c r="C639" s="0" t="str">
        <f aca="false">IF($A639="","",IF(AT639="Y",BL639&amp;"",AY639&amp;""))</f>
        <v/>
      </c>
      <c r="D639" s="0" t="str">
        <f aca="false">IF($A639="","",IF(AT639="Y",BM639&amp;"",AZ639&amp;""))</f>
        <v/>
      </c>
      <c r="E639" s="0" t="str">
        <f aca="false">IF($A639="","",IF(AT639="Y",BN639&amp;"",BA639&amp;""))</f>
        <v/>
      </c>
      <c r="F639" s="0" t="str">
        <f aca="false">IF($A639="","",IF(AT639="Y",BO639&amp;"",BB639&amp;""))</f>
        <v/>
      </c>
      <c r="G639" s="0" t="str">
        <f aca="false">IF($A639="","",IF(AT639="Y",BP639&amp;"",BC639&amp;""))</f>
        <v/>
      </c>
      <c r="H639" s="0" t="str">
        <f aca="false">IF($A639="","",IF(AT639="Y",BQ639&amp;"",BD639&amp;""))</f>
        <v/>
      </c>
      <c r="I639" s="0" t="str">
        <f aca="false">IF($A639="","",IF(R639="Y","warm-intro",IF(H639="verified","email",IF(C639&lt;&gt;"","linkedin",CA639&amp;""))))</f>
        <v/>
      </c>
      <c r="J639" s="0" t="str">
        <f aca="false">IF($A639="","",IF(CK639="pass",ROUND(N(DO639)+N(DP639)+N(DQ639)+N(DR639)+N(DS639)+N(DT639)+N(DU639)+N(DV639),0),0))</f>
        <v/>
      </c>
      <c r="K639" s="0" t="str">
        <f aca="false">IF($A639="","",IF(CK639&lt;&gt;"pass",BY639&amp;"",BY639&amp;", "&amp;IF(AT639="Y",BX639&amp;"",BK639&amp;"")&amp;BZ639&amp;IF(R639="Y","; known to the founder (+10)","")&amp;"."))</f>
        <v/>
      </c>
      <c r="R639" s="5"/>
      <c r="T639" s="5"/>
      <c r="U639" s="5"/>
      <c r="Y639" s="0" t="str">
        <f aca="false">IF(FA639&lt;&gt;"Y","",COUNTIFS($FA$2:$FA$1000,"Y",$J$2:$J$1000,"&gt;"&amp;J639)+COUNTIFS($FA$2:$FA$1000,"Y",$J$2:$J$1000,J639,$FG$2:$FG$1000,"&lt;"&amp;FG639)+1)</f>
        <v/>
      </c>
      <c r="AB639" s="0" t="str">
        <f aca="false">IF($A639="","",IF(AT639="Y",BW639&amp;"",BJ639&amp;""))</f>
        <v/>
      </c>
      <c r="AC639" s="0" t="str">
        <f aca="false">IF($A639="","",IF(AT639="Y",BR639&amp;"",BE639&amp;""))</f>
        <v/>
      </c>
      <c r="AD639" s="0" t="str">
        <f aca="false">IF($A639="","",IF(AT639="Y",BS639&amp;"",BF639&amp;""))</f>
        <v/>
      </c>
      <c r="AE639" s="0" t="str">
        <f aca="false">IF($A639="","",IF(AT639="Y",BT639&amp;"",BG639&amp;""))</f>
        <v/>
      </c>
      <c r="AF639" s="0" t="str">
        <f aca="false">IF($A639="","",IF(AT639="Y",BU639&amp;"",BH639&amp;""))</f>
        <v/>
      </c>
      <c r="AG639" s="0" t="str">
        <f aca="false">IF($A639="","",IF(AT639="Y",BV639&amp;"",BI639&amp;""))</f>
        <v/>
      </c>
      <c r="AO639" s="5"/>
      <c r="AR639" s="0" t="str">
        <f aca="false">IF($A639="","",IF(AND(CK639="pass",AO639&lt;&gt;"Y",C639&lt;&gt;"",OR(AU639&lt;&gt;"Y",AV639="Y")),"Y","N"))</f>
        <v/>
      </c>
      <c r="AS639" s="0" t="str">
        <f aca="false">IF($A639="","",_xlfn.TEXTJOIN("; ",TRUE(),IF(CK639&lt;&gt;"pass","gated out",""),IF(AO639="Y","on hold: "&amp;AP639,""),IF(C639="","no contact named on an opened page",""),IF(AND(AU639="Y",AV639&lt;&gt;"Y"),"founder review pending (Founder review tab)","")))</f>
        <v/>
      </c>
      <c r="BC639" s="0" t="str">
        <f aca="false">IF($A639="","",IFERROR(INDEX(Enrichment!$A$2:$GZ$2000,MATCH($A639,INDEX(Enrichment!$A$2:$GZ$2000,0,MATCH("row_id",Enrichment!$A$1:$GZ$1,0)),0),MATCH("work_email",Enrichment!$A$1:$GZ$1,0))&amp;"",""))</f>
        <v/>
      </c>
      <c r="BD639" s="0" t="str">
        <f aca="false">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P639" s="0" t="str">
        <f aca="false">IF($A639="","",IFERROR(INDEX(Enrichment!$A$2:$GZ$2000,MATCH($A639,INDEX(Enrichment!$A$2:$GZ$2000,0,MATCH("row_id",Enrichment!$A$1:$GZ$1,0)),0),MATCH("backup_work_email",Enrichment!$A$1:$GZ$1,0))&amp;"",""))</f>
        <v/>
      </c>
      <c r="BQ639" s="0" t="str">
        <f aca="false">IF($A639="","",IF(BP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DU639" s="0" t="str">
        <f aca="false">IF($A639="","",IF(R639="Y",10,0))</f>
        <v/>
      </c>
      <c r="EV639" s="0" t="str">
        <f aca="false">IF($A639="","",IF(ISNUMBER(MATCH(U639,{"queued","contacted","replied","call_booked","call_done","yes_in_principle","materials_sent"},0)),"Y","N"))</f>
        <v/>
      </c>
      <c r="EW639" s="0" t="str">
        <f aca="false">IF($A639="","",IF(OR(T639="Y",U639="do_not_contact",AQ639&amp;""&lt;&gt;""),"Y","N"))</f>
        <v/>
      </c>
      <c r="EX639" s="0" t="str">
        <f aca="false">IF($A639="","",IF(AN639&amp;""&lt;&gt;"",AN639&amp;"",$A639))</f>
        <v/>
      </c>
      <c r="EY639" s="0" t="str">
        <f aca="false">IF($A639="","",IF(COUNTIFS($EX$2:$EX$1000,EX639,$EV$2:$EV$1000,"Y")+COUNTIFS($EX$2:$EX$1000,EX639,$EW$2:$EW$1000,"Y")&gt;0,"Y","N"))</f>
        <v/>
      </c>
      <c r="EZ639" s="0" t="str">
        <f aca="false">IF($A639="","",IF(AND(U639="new",T639="N",EW639="N",AR639="Y",EY639="N"),"Y","N"))</f>
        <v/>
      </c>
      <c r="FA639" s="0" t="str">
        <f aca="false">IF($A639="","",IF(EZ639&lt;&gt;"Y","N",IF(COUNTIFS($EX$2:$EX$1000,EX639,$EZ$2:$EZ$1000,"Y",$J$2:$J$1000,"&gt;"&amp;J639)+COUNTIFS($EX$2:$EX$1000,EX639,$EZ$2:$EZ$1000,"Y",$J$2:$J$1000,J639,$FG$2:$FG$1000,"&lt;"&amp;FG639)=0,"Y","N")))</f>
        <v/>
      </c>
      <c r="FB639" s="0" t="str">
        <f aca="false">IF($A639="","",IF(AND(EZ639="Y",FA639="Y",Y639&amp;""&lt;&gt;""),IF(Y639&lt;=10,"Y","N"),"N"))</f>
        <v/>
      </c>
      <c r="FC639" s="0" t="str">
        <f aca="false">IF(FB639="Y",Y639,"")</f>
        <v/>
      </c>
      <c r="FD639" s="0" t="str">
        <f aca="false">IF($A639="","",IF(AND(CK639="pass",AU639="Y",AV639&lt;&gt;"Y",U639="new",EW639="N"),"Y","N"))</f>
        <v/>
      </c>
      <c r="FE639" s="0" t="str">
        <f aca="false">IF(FD639&lt;&gt;"Y","",IF(COUNTIFS($FD$2:$FD$1000,"Y",$J$2:$J$1000,"&gt;"&amp;J639)+COUNTIFS($FD$2:$FD$1000,"Y",$J$2:$J$1000,J639,$FG$2:$FG$1000,"&lt;"&amp;FG639)+1&lt;=30,COUNTIFS($FD$2:$FD$1000,"Y",$J$2:$J$1000,"&gt;"&amp;J639)+COUNTIFS($FD$2:$FD$1000,"Y",$J$2:$J$1000,J639,$FG$2:$FG$1000,"&lt;"&amp;FG639)+1,""))</f>
        <v/>
      </c>
      <c r="FF639" s="0" t="str">
        <f aca="false">IF(AND(_xlfn.ISFORMULA(C639),_xlfn.ISFORMULA(J639)),"Y","N")</f>
        <v>Y</v>
      </c>
      <c r="FG639" s="0" t="n">
        <f aca="false">ROW()-1</f>
        <v>638</v>
      </c>
    </row>
    <row r="640" customFormat="false" ht="15" hidden="false" customHeight="false" outlineLevel="0" collapsed="false">
      <c r="C640" s="0" t="str">
        <f aca="false">IF($A640="","",IF(AT640="Y",BL640&amp;"",AY640&amp;""))</f>
        <v/>
      </c>
      <c r="D640" s="0" t="str">
        <f aca="false">IF($A640="","",IF(AT640="Y",BM640&amp;"",AZ640&amp;""))</f>
        <v/>
      </c>
      <c r="E640" s="0" t="str">
        <f aca="false">IF($A640="","",IF(AT640="Y",BN640&amp;"",BA640&amp;""))</f>
        <v/>
      </c>
      <c r="F640" s="0" t="str">
        <f aca="false">IF($A640="","",IF(AT640="Y",BO640&amp;"",BB640&amp;""))</f>
        <v/>
      </c>
      <c r="G640" s="0" t="str">
        <f aca="false">IF($A640="","",IF(AT640="Y",BP640&amp;"",BC640&amp;""))</f>
        <v/>
      </c>
      <c r="H640" s="0" t="str">
        <f aca="false">IF($A640="","",IF(AT640="Y",BQ640&amp;"",BD640&amp;""))</f>
        <v/>
      </c>
      <c r="I640" s="0" t="str">
        <f aca="false">IF($A640="","",IF(R640="Y","warm-intro",IF(H640="verified","email",IF(C640&lt;&gt;"","linkedin",CA640&amp;""))))</f>
        <v/>
      </c>
      <c r="J640" s="0" t="str">
        <f aca="false">IF($A640="","",IF(CK640="pass",ROUND(N(DO640)+N(DP640)+N(DQ640)+N(DR640)+N(DS640)+N(DT640)+N(DU640)+N(DV640),0),0))</f>
        <v/>
      </c>
      <c r="K640" s="0" t="str">
        <f aca="false">IF($A640="","",IF(CK640&lt;&gt;"pass",BY640&amp;"",BY640&amp;", "&amp;IF(AT640="Y",BX640&amp;"",BK640&amp;"")&amp;BZ640&amp;IF(R640="Y","; known to the founder (+10)","")&amp;"."))</f>
        <v/>
      </c>
      <c r="R640" s="5"/>
      <c r="T640" s="5"/>
      <c r="U640" s="5"/>
      <c r="Y640" s="0" t="str">
        <f aca="false">IF(FA640&lt;&gt;"Y","",COUNTIFS($FA$2:$FA$1000,"Y",$J$2:$J$1000,"&gt;"&amp;J640)+COUNTIFS($FA$2:$FA$1000,"Y",$J$2:$J$1000,J640,$FG$2:$FG$1000,"&lt;"&amp;FG640)+1)</f>
        <v/>
      </c>
      <c r="AB640" s="0" t="str">
        <f aca="false">IF($A640="","",IF(AT640="Y",BW640&amp;"",BJ640&amp;""))</f>
        <v/>
      </c>
      <c r="AC640" s="0" t="str">
        <f aca="false">IF($A640="","",IF(AT640="Y",BR640&amp;"",BE640&amp;""))</f>
        <v/>
      </c>
      <c r="AD640" s="0" t="str">
        <f aca="false">IF($A640="","",IF(AT640="Y",BS640&amp;"",BF640&amp;""))</f>
        <v/>
      </c>
      <c r="AE640" s="0" t="str">
        <f aca="false">IF($A640="","",IF(AT640="Y",BT640&amp;"",BG640&amp;""))</f>
        <v/>
      </c>
      <c r="AF640" s="0" t="str">
        <f aca="false">IF($A640="","",IF(AT640="Y",BU640&amp;"",BH640&amp;""))</f>
        <v/>
      </c>
      <c r="AG640" s="0" t="str">
        <f aca="false">IF($A640="","",IF(AT640="Y",BV640&amp;"",BI640&amp;""))</f>
        <v/>
      </c>
      <c r="AO640" s="5"/>
      <c r="AR640" s="0" t="str">
        <f aca="false">IF($A640="","",IF(AND(CK640="pass",AO640&lt;&gt;"Y",C640&lt;&gt;"",OR(AU640&lt;&gt;"Y",AV640="Y")),"Y","N"))</f>
        <v/>
      </c>
      <c r="AS640" s="0" t="str">
        <f aca="false">IF($A640="","",_xlfn.TEXTJOIN("; ",TRUE(),IF(CK640&lt;&gt;"pass","gated out",""),IF(AO640="Y","on hold: "&amp;AP640,""),IF(C640="","no contact named on an opened page",""),IF(AND(AU640="Y",AV640&lt;&gt;"Y"),"founder review pending (Founder review tab)","")))</f>
        <v/>
      </c>
      <c r="BC640" s="0" t="str">
        <f aca="false">IF($A640="","",IFERROR(INDEX(Enrichment!$A$2:$GZ$2000,MATCH($A640,INDEX(Enrichment!$A$2:$GZ$2000,0,MATCH("row_id",Enrichment!$A$1:$GZ$1,0)),0),MATCH("work_email",Enrichment!$A$1:$GZ$1,0))&amp;"",""))</f>
        <v/>
      </c>
      <c r="BD640" s="0" t="str">
        <f aca="false">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P640" s="0" t="str">
        <f aca="false">IF($A640="","",IFERROR(INDEX(Enrichment!$A$2:$GZ$2000,MATCH($A640,INDEX(Enrichment!$A$2:$GZ$2000,0,MATCH("row_id",Enrichment!$A$1:$GZ$1,0)),0),MATCH("backup_work_email",Enrichment!$A$1:$GZ$1,0))&amp;"",""))</f>
        <v/>
      </c>
      <c r="BQ640" s="0" t="str">
        <f aca="false">IF($A640="","",IF(BP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DU640" s="0" t="str">
        <f aca="false">IF($A640="","",IF(R640="Y",10,0))</f>
        <v/>
      </c>
      <c r="EV640" s="0" t="str">
        <f aca="false">IF($A640="","",IF(ISNUMBER(MATCH(U640,{"queued","contacted","replied","call_booked","call_done","yes_in_principle","materials_sent"},0)),"Y","N"))</f>
        <v/>
      </c>
      <c r="EW640" s="0" t="str">
        <f aca="false">IF($A640="","",IF(OR(T640="Y",U640="do_not_contact",AQ640&amp;""&lt;&gt;""),"Y","N"))</f>
        <v/>
      </c>
      <c r="EX640" s="0" t="str">
        <f aca="false">IF($A640="","",IF(AN640&amp;""&lt;&gt;"",AN640&amp;"",$A640))</f>
        <v/>
      </c>
      <c r="EY640" s="0" t="str">
        <f aca="false">IF($A640="","",IF(COUNTIFS($EX$2:$EX$1000,EX640,$EV$2:$EV$1000,"Y")+COUNTIFS($EX$2:$EX$1000,EX640,$EW$2:$EW$1000,"Y")&gt;0,"Y","N"))</f>
        <v/>
      </c>
      <c r="EZ640" s="0" t="str">
        <f aca="false">IF($A640="","",IF(AND(U640="new",T640="N",EW640="N",AR640="Y",EY640="N"),"Y","N"))</f>
        <v/>
      </c>
      <c r="FA640" s="0" t="str">
        <f aca="false">IF($A640="","",IF(EZ640&lt;&gt;"Y","N",IF(COUNTIFS($EX$2:$EX$1000,EX640,$EZ$2:$EZ$1000,"Y",$J$2:$J$1000,"&gt;"&amp;J640)+COUNTIFS($EX$2:$EX$1000,EX640,$EZ$2:$EZ$1000,"Y",$J$2:$J$1000,J640,$FG$2:$FG$1000,"&lt;"&amp;FG640)=0,"Y","N")))</f>
        <v/>
      </c>
      <c r="FB640" s="0" t="str">
        <f aca="false">IF($A640="","",IF(AND(EZ640="Y",FA640="Y",Y640&amp;""&lt;&gt;""),IF(Y640&lt;=10,"Y","N"),"N"))</f>
        <v/>
      </c>
      <c r="FC640" s="0" t="str">
        <f aca="false">IF(FB640="Y",Y640,"")</f>
        <v/>
      </c>
      <c r="FD640" s="0" t="str">
        <f aca="false">IF($A640="","",IF(AND(CK640="pass",AU640="Y",AV640&lt;&gt;"Y",U640="new",EW640="N"),"Y","N"))</f>
        <v/>
      </c>
      <c r="FE640" s="0" t="str">
        <f aca="false">IF(FD640&lt;&gt;"Y","",IF(COUNTIFS($FD$2:$FD$1000,"Y",$J$2:$J$1000,"&gt;"&amp;J640)+COUNTIFS($FD$2:$FD$1000,"Y",$J$2:$J$1000,J640,$FG$2:$FG$1000,"&lt;"&amp;FG640)+1&lt;=30,COUNTIFS($FD$2:$FD$1000,"Y",$J$2:$J$1000,"&gt;"&amp;J640)+COUNTIFS($FD$2:$FD$1000,"Y",$J$2:$J$1000,J640,$FG$2:$FG$1000,"&lt;"&amp;FG640)+1,""))</f>
        <v/>
      </c>
      <c r="FF640" s="0" t="str">
        <f aca="false">IF(AND(_xlfn.ISFORMULA(C640),_xlfn.ISFORMULA(J640)),"Y","N")</f>
        <v>Y</v>
      </c>
      <c r="FG640" s="0" t="n">
        <f aca="false">ROW()-1</f>
        <v>639</v>
      </c>
    </row>
    <row r="641" customFormat="false" ht="15" hidden="false" customHeight="false" outlineLevel="0" collapsed="false">
      <c r="C641" s="0" t="str">
        <f aca="false">IF($A641="","",IF(AT641="Y",BL641&amp;"",AY641&amp;""))</f>
        <v/>
      </c>
      <c r="D641" s="0" t="str">
        <f aca="false">IF($A641="","",IF(AT641="Y",BM641&amp;"",AZ641&amp;""))</f>
        <v/>
      </c>
      <c r="E641" s="0" t="str">
        <f aca="false">IF($A641="","",IF(AT641="Y",BN641&amp;"",BA641&amp;""))</f>
        <v/>
      </c>
      <c r="F641" s="0" t="str">
        <f aca="false">IF($A641="","",IF(AT641="Y",BO641&amp;"",BB641&amp;""))</f>
        <v/>
      </c>
      <c r="G641" s="0" t="str">
        <f aca="false">IF($A641="","",IF(AT641="Y",BP641&amp;"",BC641&amp;""))</f>
        <v/>
      </c>
      <c r="H641" s="0" t="str">
        <f aca="false">IF($A641="","",IF(AT641="Y",BQ641&amp;"",BD641&amp;""))</f>
        <v/>
      </c>
      <c r="I641" s="0" t="str">
        <f aca="false">IF($A641="","",IF(R641="Y","warm-intro",IF(H641="verified","email",IF(C641&lt;&gt;"","linkedin",CA641&amp;""))))</f>
        <v/>
      </c>
      <c r="J641" s="0" t="str">
        <f aca="false">IF($A641="","",IF(CK641="pass",ROUND(N(DO641)+N(DP641)+N(DQ641)+N(DR641)+N(DS641)+N(DT641)+N(DU641)+N(DV641),0),0))</f>
        <v/>
      </c>
      <c r="K641" s="0" t="str">
        <f aca="false">IF($A641="","",IF(CK641&lt;&gt;"pass",BY641&amp;"",BY641&amp;", "&amp;IF(AT641="Y",BX641&amp;"",BK641&amp;"")&amp;BZ641&amp;IF(R641="Y","; known to the founder (+10)","")&amp;"."))</f>
        <v/>
      </c>
      <c r="R641" s="5"/>
      <c r="T641" s="5"/>
      <c r="U641" s="5"/>
      <c r="Y641" s="0" t="str">
        <f aca="false">IF(FA641&lt;&gt;"Y","",COUNTIFS($FA$2:$FA$1000,"Y",$J$2:$J$1000,"&gt;"&amp;J641)+COUNTIFS($FA$2:$FA$1000,"Y",$J$2:$J$1000,J641,$FG$2:$FG$1000,"&lt;"&amp;FG641)+1)</f>
        <v/>
      </c>
      <c r="AB641" s="0" t="str">
        <f aca="false">IF($A641="","",IF(AT641="Y",BW641&amp;"",BJ641&amp;""))</f>
        <v/>
      </c>
      <c r="AC641" s="0" t="str">
        <f aca="false">IF($A641="","",IF(AT641="Y",BR641&amp;"",BE641&amp;""))</f>
        <v/>
      </c>
      <c r="AD641" s="0" t="str">
        <f aca="false">IF($A641="","",IF(AT641="Y",BS641&amp;"",BF641&amp;""))</f>
        <v/>
      </c>
      <c r="AE641" s="0" t="str">
        <f aca="false">IF($A641="","",IF(AT641="Y",BT641&amp;"",BG641&amp;""))</f>
        <v/>
      </c>
      <c r="AF641" s="0" t="str">
        <f aca="false">IF($A641="","",IF(AT641="Y",BU641&amp;"",BH641&amp;""))</f>
        <v/>
      </c>
      <c r="AG641" s="0" t="str">
        <f aca="false">IF($A641="","",IF(AT641="Y",BV641&amp;"",BI641&amp;""))</f>
        <v/>
      </c>
      <c r="AO641" s="5"/>
      <c r="AR641" s="0" t="str">
        <f aca="false">IF($A641="","",IF(AND(CK641="pass",AO641&lt;&gt;"Y",C641&lt;&gt;"",OR(AU641&lt;&gt;"Y",AV641="Y")),"Y","N"))</f>
        <v/>
      </c>
      <c r="AS641" s="0" t="str">
        <f aca="false">IF($A641="","",_xlfn.TEXTJOIN("; ",TRUE(),IF(CK641&lt;&gt;"pass","gated out",""),IF(AO641="Y","on hold: "&amp;AP641,""),IF(C641="","no contact named on an opened page",""),IF(AND(AU641="Y",AV641&lt;&gt;"Y"),"founder review pending (Founder review tab)","")))</f>
        <v/>
      </c>
      <c r="BC641" s="0" t="str">
        <f aca="false">IF($A641="","",IFERROR(INDEX(Enrichment!$A$2:$GZ$2000,MATCH($A641,INDEX(Enrichment!$A$2:$GZ$2000,0,MATCH("row_id",Enrichment!$A$1:$GZ$1,0)),0),MATCH("work_email",Enrichment!$A$1:$GZ$1,0))&amp;"",""))</f>
        <v/>
      </c>
      <c r="BD641" s="0" t="str">
        <f aca="false">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P641" s="0" t="str">
        <f aca="false">IF($A641="","",IFERROR(INDEX(Enrichment!$A$2:$GZ$2000,MATCH($A641,INDEX(Enrichment!$A$2:$GZ$2000,0,MATCH("row_id",Enrichment!$A$1:$GZ$1,0)),0),MATCH("backup_work_email",Enrichment!$A$1:$GZ$1,0))&amp;"",""))</f>
        <v/>
      </c>
      <c r="BQ641" s="0" t="str">
        <f aca="false">IF($A641="","",IF(BP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DU641" s="0" t="str">
        <f aca="false">IF($A641="","",IF(R641="Y",10,0))</f>
        <v/>
      </c>
      <c r="EV641" s="0" t="str">
        <f aca="false">IF($A641="","",IF(ISNUMBER(MATCH(U641,{"queued","contacted","replied","call_booked","call_done","yes_in_principle","materials_sent"},0)),"Y","N"))</f>
        <v/>
      </c>
      <c r="EW641" s="0" t="str">
        <f aca="false">IF($A641="","",IF(OR(T641="Y",U641="do_not_contact",AQ641&amp;""&lt;&gt;""),"Y","N"))</f>
        <v/>
      </c>
      <c r="EX641" s="0" t="str">
        <f aca="false">IF($A641="","",IF(AN641&amp;""&lt;&gt;"",AN641&amp;"",$A641))</f>
        <v/>
      </c>
      <c r="EY641" s="0" t="str">
        <f aca="false">IF($A641="","",IF(COUNTIFS($EX$2:$EX$1000,EX641,$EV$2:$EV$1000,"Y")+COUNTIFS($EX$2:$EX$1000,EX641,$EW$2:$EW$1000,"Y")&gt;0,"Y","N"))</f>
        <v/>
      </c>
      <c r="EZ641" s="0" t="str">
        <f aca="false">IF($A641="","",IF(AND(U641="new",T641="N",EW641="N",AR641="Y",EY641="N"),"Y","N"))</f>
        <v/>
      </c>
      <c r="FA641" s="0" t="str">
        <f aca="false">IF($A641="","",IF(EZ641&lt;&gt;"Y","N",IF(COUNTIFS($EX$2:$EX$1000,EX641,$EZ$2:$EZ$1000,"Y",$J$2:$J$1000,"&gt;"&amp;J641)+COUNTIFS($EX$2:$EX$1000,EX641,$EZ$2:$EZ$1000,"Y",$J$2:$J$1000,J641,$FG$2:$FG$1000,"&lt;"&amp;FG641)=0,"Y","N")))</f>
        <v/>
      </c>
      <c r="FB641" s="0" t="str">
        <f aca="false">IF($A641="","",IF(AND(EZ641="Y",FA641="Y",Y641&amp;""&lt;&gt;""),IF(Y641&lt;=10,"Y","N"),"N"))</f>
        <v/>
      </c>
      <c r="FC641" s="0" t="str">
        <f aca="false">IF(FB641="Y",Y641,"")</f>
        <v/>
      </c>
      <c r="FD641" s="0" t="str">
        <f aca="false">IF($A641="","",IF(AND(CK641="pass",AU641="Y",AV641&lt;&gt;"Y",U641="new",EW641="N"),"Y","N"))</f>
        <v/>
      </c>
      <c r="FE641" s="0" t="str">
        <f aca="false">IF(FD641&lt;&gt;"Y","",IF(COUNTIFS($FD$2:$FD$1000,"Y",$J$2:$J$1000,"&gt;"&amp;J641)+COUNTIFS($FD$2:$FD$1000,"Y",$J$2:$J$1000,J641,$FG$2:$FG$1000,"&lt;"&amp;FG641)+1&lt;=30,COUNTIFS($FD$2:$FD$1000,"Y",$J$2:$J$1000,"&gt;"&amp;J641)+COUNTIFS($FD$2:$FD$1000,"Y",$J$2:$J$1000,J641,$FG$2:$FG$1000,"&lt;"&amp;FG641)+1,""))</f>
        <v/>
      </c>
      <c r="FF641" s="0" t="str">
        <f aca="false">IF(AND(_xlfn.ISFORMULA(C641),_xlfn.ISFORMULA(J641)),"Y","N")</f>
        <v>Y</v>
      </c>
      <c r="FG641" s="0" t="n">
        <f aca="false">ROW()-1</f>
        <v>640</v>
      </c>
    </row>
    <row r="642" customFormat="false" ht="15" hidden="false" customHeight="false" outlineLevel="0" collapsed="false">
      <c r="C642" s="0" t="str">
        <f aca="false">IF($A642="","",IF(AT642="Y",BL642&amp;"",AY642&amp;""))</f>
        <v/>
      </c>
      <c r="D642" s="0" t="str">
        <f aca="false">IF($A642="","",IF(AT642="Y",BM642&amp;"",AZ642&amp;""))</f>
        <v/>
      </c>
      <c r="E642" s="0" t="str">
        <f aca="false">IF($A642="","",IF(AT642="Y",BN642&amp;"",BA642&amp;""))</f>
        <v/>
      </c>
      <c r="F642" s="0" t="str">
        <f aca="false">IF($A642="","",IF(AT642="Y",BO642&amp;"",BB642&amp;""))</f>
        <v/>
      </c>
      <c r="G642" s="0" t="str">
        <f aca="false">IF($A642="","",IF(AT642="Y",BP642&amp;"",BC642&amp;""))</f>
        <v/>
      </c>
      <c r="H642" s="0" t="str">
        <f aca="false">IF($A642="","",IF(AT642="Y",BQ642&amp;"",BD642&amp;""))</f>
        <v/>
      </c>
      <c r="I642" s="0" t="str">
        <f aca="false">IF($A642="","",IF(R642="Y","warm-intro",IF(H642="verified","email",IF(C642&lt;&gt;"","linkedin",CA642&amp;""))))</f>
        <v/>
      </c>
      <c r="J642" s="0" t="str">
        <f aca="false">IF($A642="","",IF(CK642="pass",ROUND(N(DO642)+N(DP642)+N(DQ642)+N(DR642)+N(DS642)+N(DT642)+N(DU642)+N(DV642),0),0))</f>
        <v/>
      </c>
      <c r="K642" s="0" t="str">
        <f aca="false">IF($A642="","",IF(CK642&lt;&gt;"pass",BY642&amp;"",BY642&amp;", "&amp;IF(AT642="Y",BX642&amp;"",BK642&amp;"")&amp;BZ642&amp;IF(R642="Y","; known to the founder (+10)","")&amp;"."))</f>
        <v/>
      </c>
      <c r="R642" s="5"/>
      <c r="T642" s="5"/>
      <c r="U642" s="5"/>
      <c r="Y642" s="0" t="str">
        <f aca="false">IF(FA642&lt;&gt;"Y","",COUNTIFS($FA$2:$FA$1000,"Y",$J$2:$J$1000,"&gt;"&amp;J642)+COUNTIFS($FA$2:$FA$1000,"Y",$J$2:$J$1000,J642,$FG$2:$FG$1000,"&lt;"&amp;FG642)+1)</f>
        <v/>
      </c>
      <c r="AB642" s="0" t="str">
        <f aca="false">IF($A642="","",IF(AT642="Y",BW642&amp;"",BJ642&amp;""))</f>
        <v/>
      </c>
      <c r="AC642" s="0" t="str">
        <f aca="false">IF($A642="","",IF(AT642="Y",BR642&amp;"",BE642&amp;""))</f>
        <v/>
      </c>
      <c r="AD642" s="0" t="str">
        <f aca="false">IF($A642="","",IF(AT642="Y",BS642&amp;"",BF642&amp;""))</f>
        <v/>
      </c>
      <c r="AE642" s="0" t="str">
        <f aca="false">IF($A642="","",IF(AT642="Y",BT642&amp;"",BG642&amp;""))</f>
        <v/>
      </c>
      <c r="AF642" s="0" t="str">
        <f aca="false">IF($A642="","",IF(AT642="Y",BU642&amp;"",BH642&amp;""))</f>
        <v/>
      </c>
      <c r="AG642" s="0" t="str">
        <f aca="false">IF($A642="","",IF(AT642="Y",BV642&amp;"",BI642&amp;""))</f>
        <v/>
      </c>
      <c r="AO642" s="5"/>
      <c r="AR642" s="0" t="str">
        <f aca="false">IF($A642="","",IF(AND(CK642="pass",AO642&lt;&gt;"Y",C642&lt;&gt;"",OR(AU642&lt;&gt;"Y",AV642="Y")),"Y","N"))</f>
        <v/>
      </c>
      <c r="AS642" s="0" t="str">
        <f aca="false">IF($A642="","",_xlfn.TEXTJOIN("; ",TRUE(),IF(CK642&lt;&gt;"pass","gated out",""),IF(AO642="Y","on hold: "&amp;AP642,""),IF(C642="","no contact named on an opened page",""),IF(AND(AU642="Y",AV642&lt;&gt;"Y"),"founder review pending (Founder review tab)","")))</f>
        <v/>
      </c>
      <c r="BC642" s="0" t="str">
        <f aca="false">IF($A642="","",IFERROR(INDEX(Enrichment!$A$2:$GZ$2000,MATCH($A642,INDEX(Enrichment!$A$2:$GZ$2000,0,MATCH("row_id",Enrichment!$A$1:$GZ$1,0)),0),MATCH("work_email",Enrichment!$A$1:$GZ$1,0))&amp;"",""))</f>
        <v/>
      </c>
      <c r="BD642" s="0" t="str">
        <f aca="false">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P642" s="0" t="str">
        <f aca="false">IF($A642="","",IFERROR(INDEX(Enrichment!$A$2:$GZ$2000,MATCH($A642,INDEX(Enrichment!$A$2:$GZ$2000,0,MATCH("row_id",Enrichment!$A$1:$GZ$1,0)),0),MATCH("backup_work_email",Enrichment!$A$1:$GZ$1,0))&amp;"",""))</f>
        <v/>
      </c>
      <c r="BQ642" s="0" t="str">
        <f aca="false">IF($A642="","",IF(BP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DU642" s="0" t="str">
        <f aca="false">IF($A642="","",IF(R642="Y",10,0))</f>
        <v/>
      </c>
      <c r="EV642" s="0" t="str">
        <f aca="false">IF($A642="","",IF(ISNUMBER(MATCH(U642,{"queued","contacted","replied","call_booked","call_done","yes_in_principle","materials_sent"},0)),"Y","N"))</f>
        <v/>
      </c>
      <c r="EW642" s="0" t="str">
        <f aca="false">IF($A642="","",IF(OR(T642="Y",U642="do_not_contact",AQ642&amp;""&lt;&gt;""),"Y","N"))</f>
        <v/>
      </c>
      <c r="EX642" s="0" t="str">
        <f aca="false">IF($A642="","",IF(AN642&amp;""&lt;&gt;"",AN642&amp;"",$A642))</f>
        <v/>
      </c>
      <c r="EY642" s="0" t="str">
        <f aca="false">IF($A642="","",IF(COUNTIFS($EX$2:$EX$1000,EX642,$EV$2:$EV$1000,"Y")+COUNTIFS($EX$2:$EX$1000,EX642,$EW$2:$EW$1000,"Y")&gt;0,"Y","N"))</f>
        <v/>
      </c>
      <c r="EZ642" s="0" t="str">
        <f aca="false">IF($A642="","",IF(AND(U642="new",T642="N",EW642="N",AR642="Y",EY642="N"),"Y","N"))</f>
        <v/>
      </c>
      <c r="FA642" s="0" t="str">
        <f aca="false">IF($A642="","",IF(EZ642&lt;&gt;"Y","N",IF(COUNTIFS($EX$2:$EX$1000,EX642,$EZ$2:$EZ$1000,"Y",$J$2:$J$1000,"&gt;"&amp;J642)+COUNTIFS($EX$2:$EX$1000,EX642,$EZ$2:$EZ$1000,"Y",$J$2:$J$1000,J642,$FG$2:$FG$1000,"&lt;"&amp;FG642)=0,"Y","N")))</f>
        <v/>
      </c>
      <c r="FB642" s="0" t="str">
        <f aca="false">IF($A642="","",IF(AND(EZ642="Y",FA642="Y",Y642&amp;""&lt;&gt;""),IF(Y642&lt;=10,"Y","N"),"N"))</f>
        <v/>
      </c>
      <c r="FC642" s="0" t="str">
        <f aca="false">IF(FB642="Y",Y642,"")</f>
        <v/>
      </c>
      <c r="FD642" s="0" t="str">
        <f aca="false">IF($A642="","",IF(AND(CK642="pass",AU642="Y",AV642&lt;&gt;"Y",U642="new",EW642="N"),"Y","N"))</f>
        <v/>
      </c>
      <c r="FE642" s="0" t="str">
        <f aca="false">IF(FD642&lt;&gt;"Y","",IF(COUNTIFS($FD$2:$FD$1000,"Y",$J$2:$J$1000,"&gt;"&amp;J642)+COUNTIFS($FD$2:$FD$1000,"Y",$J$2:$J$1000,J642,$FG$2:$FG$1000,"&lt;"&amp;FG642)+1&lt;=30,COUNTIFS($FD$2:$FD$1000,"Y",$J$2:$J$1000,"&gt;"&amp;J642)+COUNTIFS($FD$2:$FD$1000,"Y",$J$2:$J$1000,J642,$FG$2:$FG$1000,"&lt;"&amp;FG642)+1,""))</f>
        <v/>
      </c>
      <c r="FF642" s="0" t="str">
        <f aca="false">IF(AND(_xlfn.ISFORMULA(C642),_xlfn.ISFORMULA(J642)),"Y","N")</f>
        <v>Y</v>
      </c>
      <c r="FG642" s="0" t="n">
        <f aca="false">ROW()-1</f>
        <v>641</v>
      </c>
    </row>
    <row r="643" customFormat="false" ht="15" hidden="false" customHeight="false" outlineLevel="0" collapsed="false">
      <c r="C643" s="0" t="str">
        <f aca="false">IF($A643="","",IF(AT643="Y",BL643&amp;"",AY643&amp;""))</f>
        <v/>
      </c>
      <c r="D643" s="0" t="str">
        <f aca="false">IF($A643="","",IF(AT643="Y",BM643&amp;"",AZ643&amp;""))</f>
        <v/>
      </c>
      <c r="E643" s="0" t="str">
        <f aca="false">IF($A643="","",IF(AT643="Y",BN643&amp;"",BA643&amp;""))</f>
        <v/>
      </c>
      <c r="F643" s="0" t="str">
        <f aca="false">IF($A643="","",IF(AT643="Y",BO643&amp;"",BB643&amp;""))</f>
        <v/>
      </c>
      <c r="G643" s="0" t="str">
        <f aca="false">IF($A643="","",IF(AT643="Y",BP643&amp;"",BC643&amp;""))</f>
        <v/>
      </c>
      <c r="H643" s="0" t="str">
        <f aca="false">IF($A643="","",IF(AT643="Y",BQ643&amp;"",BD643&amp;""))</f>
        <v/>
      </c>
      <c r="I643" s="0" t="str">
        <f aca="false">IF($A643="","",IF(R643="Y","warm-intro",IF(H643="verified","email",IF(C643&lt;&gt;"","linkedin",CA643&amp;""))))</f>
        <v/>
      </c>
      <c r="J643" s="0" t="str">
        <f aca="false">IF($A643="","",IF(CK643="pass",ROUND(N(DO643)+N(DP643)+N(DQ643)+N(DR643)+N(DS643)+N(DT643)+N(DU643)+N(DV643),0),0))</f>
        <v/>
      </c>
      <c r="K643" s="0" t="str">
        <f aca="false">IF($A643="","",IF(CK643&lt;&gt;"pass",BY643&amp;"",BY643&amp;", "&amp;IF(AT643="Y",BX643&amp;"",BK643&amp;"")&amp;BZ643&amp;IF(R643="Y","; known to the founder (+10)","")&amp;"."))</f>
        <v/>
      </c>
      <c r="R643" s="5"/>
      <c r="T643" s="5"/>
      <c r="U643" s="5"/>
      <c r="Y643" s="0" t="str">
        <f aca="false">IF(FA643&lt;&gt;"Y","",COUNTIFS($FA$2:$FA$1000,"Y",$J$2:$J$1000,"&gt;"&amp;J643)+COUNTIFS($FA$2:$FA$1000,"Y",$J$2:$J$1000,J643,$FG$2:$FG$1000,"&lt;"&amp;FG643)+1)</f>
        <v/>
      </c>
      <c r="AB643" s="0" t="str">
        <f aca="false">IF($A643="","",IF(AT643="Y",BW643&amp;"",BJ643&amp;""))</f>
        <v/>
      </c>
      <c r="AC643" s="0" t="str">
        <f aca="false">IF($A643="","",IF(AT643="Y",BR643&amp;"",BE643&amp;""))</f>
        <v/>
      </c>
      <c r="AD643" s="0" t="str">
        <f aca="false">IF($A643="","",IF(AT643="Y",BS643&amp;"",BF643&amp;""))</f>
        <v/>
      </c>
      <c r="AE643" s="0" t="str">
        <f aca="false">IF($A643="","",IF(AT643="Y",BT643&amp;"",BG643&amp;""))</f>
        <v/>
      </c>
      <c r="AF643" s="0" t="str">
        <f aca="false">IF($A643="","",IF(AT643="Y",BU643&amp;"",BH643&amp;""))</f>
        <v/>
      </c>
      <c r="AG643" s="0" t="str">
        <f aca="false">IF($A643="","",IF(AT643="Y",BV643&amp;"",BI643&amp;""))</f>
        <v/>
      </c>
      <c r="AO643" s="5"/>
      <c r="AR643" s="0" t="str">
        <f aca="false">IF($A643="","",IF(AND(CK643="pass",AO643&lt;&gt;"Y",C643&lt;&gt;"",OR(AU643&lt;&gt;"Y",AV643="Y")),"Y","N"))</f>
        <v/>
      </c>
      <c r="AS643" s="0" t="str">
        <f aca="false">IF($A643="","",_xlfn.TEXTJOIN("; ",TRUE(),IF(CK643&lt;&gt;"pass","gated out",""),IF(AO643="Y","on hold: "&amp;AP643,""),IF(C643="","no contact named on an opened page",""),IF(AND(AU643="Y",AV643&lt;&gt;"Y"),"founder review pending (Founder review tab)","")))</f>
        <v/>
      </c>
      <c r="BC643" s="0" t="str">
        <f aca="false">IF($A643="","",IFERROR(INDEX(Enrichment!$A$2:$GZ$2000,MATCH($A643,INDEX(Enrichment!$A$2:$GZ$2000,0,MATCH("row_id",Enrichment!$A$1:$GZ$1,0)),0),MATCH("work_email",Enrichment!$A$1:$GZ$1,0))&amp;"",""))</f>
        <v/>
      </c>
      <c r="BD643" s="0" t="str">
        <f aca="false">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P643" s="0" t="str">
        <f aca="false">IF($A643="","",IFERROR(INDEX(Enrichment!$A$2:$GZ$2000,MATCH($A643,INDEX(Enrichment!$A$2:$GZ$2000,0,MATCH("row_id",Enrichment!$A$1:$GZ$1,0)),0),MATCH("backup_work_email",Enrichment!$A$1:$GZ$1,0))&amp;"",""))</f>
        <v/>
      </c>
      <c r="BQ643" s="0" t="str">
        <f aca="false">IF($A643="","",IF(BP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DU643" s="0" t="str">
        <f aca="false">IF($A643="","",IF(R643="Y",10,0))</f>
        <v/>
      </c>
      <c r="EV643" s="0" t="str">
        <f aca="false">IF($A643="","",IF(ISNUMBER(MATCH(U643,{"queued","contacted","replied","call_booked","call_done","yes_in_principle","materials_sent"},0)),"Y","N"))</f>
        <v/>
      </c>
      <c r="EW643" s="0" t="str">
        <f aca="false">IF($A643="","",IF(OR(T643="Y",U643="do_not_contact",AQ643&amp;""&lt;&gt;""),"Y","N"))</f>
        <v/>
      </c>
      <c r="EX643" s="0" t="str">
        <f aca="false">IF($A643="","",IF(AN643&amp;""&lt;&gt;"",AN643&amp;"",$A643))</f>
        <v/>
      </c>
      <c r="EY643" s="0" t="str">
        <f aca="false">IF($A643="","",IF(COUNTIFS($EX$2:$EX$1000,EX643,$EV$2:$EV$1000,"Y")+COUNTIFS($EX$2:$EX$1000,EX643,$EW$2:$EW$1000,"Y")&gt;0,"Y","N"))</f>
        <v/>
      </c>
      <c r="EZ643" s="0" t="str">
        <f aca="false">IF($A643="","",IF(AND(U643="new",T643="N",EW643="N",AR643="Y",EY643="N"),"Y","N"))</f>
        <v/>
      </c>
      <c r="FA643" s="0" t="str">
        <f aca="false">IF($A643="","",IF(EZ643&lt;&gt;"Y","N",IF(COUNTIFS($EX$2:$EX$1000,EX643,$EZ$2:$EZ$1000,"Y",$J$2:$J$1000,"&gt;"&amp;J643)+COUNTIFS($EX$2:$EX$1000,EX643,$EZ$2:$EZ$1000,"Y",$J$2:$J$1000,J643,$FG$2:$FG$1000,"&lt;"&amp;FG643)=0,"Y","N")))</f>
        <v/>
      </c>
      <c r="FB643" s="0" t="str">
        <f aca="false">IF($A643="","",IF(AND(EZ643="Y",FA643="Y",Y643&amp;""&lt;&gt;""),IF(Y643&lt;=10,"Y","N"),"N"))</f>
        <v/>
      </c>
      <c r="FC643" s="0" t="str">
        <f aca="false">IF(FB643="Y",Y643,"")</f>
        <v/>
      </c>
      <c r="FD643" s="0" t="str">
        <f aca="false">IF($A643="","",IF(AND(CK643="pass",AU643="Y",AV643&lt;&gt;"Y",U643="new",EW643="N"),"Y","N"))</f>
        <v/>
      </c>
      <c r="FE643" s="0" t="str">
        <f aca="false">IF(FD643&lt;&gt;"Y","",IF(COUNTIFS($FD$2:$FD$1000,"Y",$J$2:$J$1000,"&gt;"&amp;J643)+COUNTIFS($FD$2:$FD$1000,"Y",$J$2:$J$1000,J643,$FG$2:$FG$1000,"&lt;"&amp;FG643)+1&lt;=30,COUNTIFS($FD$2:$FD$1000,"Y",$J$2:$J$1000,"&gt;"&amp;J643)+COUNTIFS($FD$2:$FD$1000,"Y",$J$2:$J$1000,J643,$FG$2:$FG$1000,"&lt;"&amp;FG643)+1,""))</f>
        <v/>
      </c>
      <c r="FF643" s="0" t="str">
        <f aca="false">IF(AND(_xlfn.ISFORMULA(C643),_xlfn.ISFORMULA(J643)),"Y","N")</f>
        <v>Y</v>
      </c>
      <c r="FG643" s="0" t="n">
        <f aca="false">ROW()-1</f>
        <v>642</v>
      </c>
    </row>
    <row r="644" customFormat="false" ht="15" hidden="false" customHeight="false" outlineLevel="0" collapsed="false">
      <c r="C644" s="0" t="str">
        <f aca="false">IF($A644="","",IF(AT644="Y",BL644&amp;"",AY644&amp;""))</f>
        <v/>
      </c>
      <c r="D644" s="0" t="str">
        <f aca="false">IF($A644="","",IF(AT644="Y",BM644&amp;"",AZ644&amp;""))</f>
        <v/>
      </c>
      <c r="E644" s="0" t="str">
        <f aca="false">IF($A644="","",IF(AT644="Y",BN644&amp;"",BA644&amp;""))</f>
        <v/>
      </c>
      <c r="F644" s="0" t="str">
        <f aca="false">IF($A644="","",IF(AT644="Y",BO644&amp;"",BB644&amp;""))</f>
        <v/>
      </c>
      <c r="G644" s="0" t="str">
        <f aca="false">IF($A644="","",IF(AT644="Y",BP644&amp;"",BC644&amp;""))</f>
        <v/>
      </c>
      <c r="H644" s="0" t="str">
        <f aca="false">IF($A644="","",IF(AT644="Y",BQ644&amp;"",BD644&amp;""))</f>
        <v/>
      </c>
      <c r="I644" s="0" t="str">
        <f aca="false">IF($A644="","",IF(R644="Y","warm-intro",IF(H644="verified","email",IF(C644&lt;&gt;"","linkedin",CA644&amp;""))))</f>
        <v/>
      </c>
      <c r="J644" s="0" t="str">
        <f aca="false">IF($A644="","",IF(CK644="pass",ROUND(N(DO644)+N(DP644)+N(DQ644)+N(DR644)+N(DS644)+N(DT644)+N(DU644)+N(DV644),0),0))</f>
        <v/>
      </c>
      <c r="K644" s="0" t="str">
        <f aca="false">IF($A644="","",IF(CK644&lt;&gt;"pass",BY644&amp;"",BY644&amp;", "&amp;IF(AT644="Y",BX644&amp;"",BK644&amp;"")&amp;BZ644&amp;IF(R644="Y","; known to the founder (+10)","")&amp;"."))</f>
        <v/>
      </c>
      <c r="R644" s="5"/>
      <c r="T644" s="5"/>
      <c r="U644" s="5"/>
      <c r="Y644" s="0" t="str">
        <f aca="false">IF(FA644&lt;&gt;"Y","",COUNTIFS($FA$2:$FA$1000,"Y",$J$2:$J$1000,"&gt;"&amp;J644)+COUNTIFS($FA$2:$FA$1000,"Y",$J$2:$J$1000,J644,$FG$2:$FG$1000,"&lt;"&amp;FG644)+1)</f>
        <v/>
      </c>
      <c r="AB644" s="0" t="str">
        <f aca="false">IF($A644="","",IF(AT644="Y",BW644&amp;"",BJ644&amp;""))</f>
        <v/>
      </c>
      <c r="AC644" s="0" t="str">
        <f aca="false">IF($A644="","",IF(AT644="Y",BR644&amp;"",BE644&amp;""))</f>
        <v/>
      </c>
      <c r="AD644" s="0" t="str">
        <f aca="false">IF($A644="","",IF(AT644="Y",BS644&amp;"",BF644&amp;""))</f>
        <v/>
      </c>
      <c r="AE644" s="0" t="str">
        <f aca="false">IF($A644="","",IF(AT644="Y",BT644&amp;"",BG644&amp;""))</f>
        <v/>
      </c>
      <c r="AF644" s="0" t="str">
        <f aca="false">IF($A644="","",IF(AT644="Y",BU644&amp;"",BH644&amp;""))</f>
        <v/>
      </c>
      <c r="AG644" s="0" t="str">
        <f aca="false">IF($A644="","",IF(AT644="Y",BV644&amp;"",BI644&amp;""))</f>
        <v/>
      </c>
      <c r="AO644" s="5"/>
      <c r="AR644" s="0" t="str">
        <f aca="false">IF($A644="","",IF(AND(CK644="pass",AO644&lt;&gt;"Y",C644&lt;&gt;"",OR(AU644&lt;&gt;"Y",AV644="Y")),"Y","N"))</f>
        <v/>
      </c>
      <c r="AS644" s="0" t="str">
        <f aca="false">IF($A644="","",_xlfn.TEXTJOIN("; ",TRUE(),IF(CK644&lt;&gt;"pass","gated out",""),IF(AO644="Y","on hold: "&amp;AP644,""),IF(C644="","no contact named on an opened page",""),IF(AND(AU644="Y",AV644&lt;&gt;"Y"),"founder review pending (Founder review tab)","")))</f>
        <v/>
      </c>
      <c r="BC644" s="0" t="str">
        <f aca="false">IF($A644="","",IFERROR(INDEX(Enrichment!$A$2:$GZ$2000,MATCH($A644,INDEX(Enrichment!$A$2:$GZ$2000,0,MATCH("row_id",Enrichment!$A$1:$GZ$1,0)),0),MATCH("work_email",Enrichment!$A$1:$GZ$1,0))&amp;"",""))</f>
        <v/>
      </c>
      <c r="BD644" s="0" t="str">
        <f aca="false">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P644" s="0" t="str">
        <f aca="false">IF($A644="","",IFERROR(INDEX(Enrichment!$A$2:$GZ$2000,MATCH($A644,INDEX(Enrichment!$A$2:$GZ$2000,0,MATCH("row_id",Enrichment!$A$1:$GZ$1,0)),0),MATCH("backup_work_email",Enrichment!$A$1:$GZ$1,0))&amp;"",""))</f>
        <v/>
      </c>
      <c r="BQ644" s="0" t="str">
        <f aca="false">IF($A644="","",IF(BP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DU644" s="0" t="str">
        <f aca="false">IF($A644="","",IF(R644="Y",10,0))</f>
        <v/>
      </c>
      <c r="EV644" s="0" t="str">
        <f aca="false">IF($A644="","",IF(ISNUMBER(MATCH(U644,{"queued","contacted","replied","call_booked","call_done","yes_in_principle","materials_sent"},0)),"Y","N"))</f>
        <v/>
      </c>
      <c r="EW644" s="0" t="str">
        <f aca="false">IF($A644="","",IF(OR(T644="Y",U644="do_not_contact",AQ644&amp;""&lt;&gt;""),"Y","N"))</f>
        <v/>
      </c>
      <c r="EX644" s="0" t="str">
        <f aca="false">IF($A644="","",IF(AN644&amp;""&lt;&gt;"",AN644&amp;"",$A644))</f>
        <v/>
      </c>
      <c r="EY644" s="0" t="str">
        <f aca="false">IF($A644="","",IF(COUNTIFS($EX$2:$EX$1000,EX644,$EV$2:$EV$1000,"Y")+COUNTIFS($EX$2:$EX$1000,EX644,$EW$2:$EW$1000,"Y")&gt;0,"Y","N"))</f>
        <v/>
      </c>
      <c r="EZ644" s="0" t="str">
        <f aca="false">IF($A644="","",IF(AND(U644="new",T644="N",EW644="N",AR644="Y",EY644="N"),"Y","N"))</f>
        <v/>
      </c>
      <c r="FA644" s="0" t="str">
        <f aca="false">IF($A644="","",IF(EZ644&lt;&gt;"Y","N",IF(COUNTIFS($EX$2:$EX$1000,EX644,$EZ$2:$EZ$1000,"Y",$J$2:$J$1000,"&gt;"&amp;J644)+COUNTIFS($EX$2:$EX$1000,EX644,$EZ$2:$EZ$1000,"Y",$J$2:$J$1000,J644,$FG$2:$FG$1000,"&lt;"&amp;FG644)=0,"Y","N")))</f>
        <v/>
      </c>
      <c r="FB644" s="0" t="str">
        <f aca="false">IF($A644="","",IF(AND(EZ644="Y",FA644="Y",Y644&amp;""&lt;&gt;""),IF(Y644&lt;=10,"Y","N"),"N"))</f>
        <v/>
      </c>
      <c r="FC644" s="0" t="str">
        <f aca="false">IF(FB644="Y",Y644,"")</f>
        <v/>
      </c>
      <c r="FD644" s="0" t="str">
        <f aca="false">IF($A644="","",IF(AND(CK644="pass",AU644="Y",AV644&lt;&gt;"Y",U644="new",EW644="N"),"Y","N"))</f>
        <v/>
      </c>
      <c r="FE644" s="0" t="str">
        <f aca="false">IF(FD644&lt;&gt;"Y","",IF(COUNTIFS($FD$2:$FD$1000,"Y",$J$2:$J$1000,"&gt;"&amp;J644)+COUNTIFS($FD$2:$FD$1000,"Y",$J$2:$J$1000,J644,$FG$2:$FG$1000,"&lt;"&amp;FG644)+1&lt;=30,COUNTIFS($FD$2:$FD$1000,"Y",$J$2:$J$1000,"&gt;"&amp;J644)+COUNTIFS($FD$2:$FD$1000,"Y",$J$2:$J$1000,J644,$FG$2:$FG$1000,"&lt;"&amp;FG644)+1,""))</f>
        <v/>
      </c>
      <c r="FF644" s="0" t="str">
        <f aca="false">IF(AND(_xlfn.ISFORMULA(C644),_xlfn.ISFORMULA(J644)),"Y","N")</f>
        <v>Y</v>
      </c>
      <c r="FG644" s="0" t="n">
        <f aca="false">ROW()-1</f>
        <v>643</v>
      </c>
    </row>
    <row r="645" customFormat="false" ht="15" hidden="false" customHeight="false" outlineLevel="0" collapsed="false">
      <c r="C645" s="0" t="str">
        <f aca="false">IF($A645="","",IF(AT645="Y",BL645&amp;"",AY645&amp;""))</f>
        <v/>
      </c>
      <c r="D645" s="0" t="str">
        <f aca="false">IF($A645="","",IF(AT645="Y",BM645&amp;"",AZ645&amp;""))</f>
        <v/>
      </c>
      <c r="E645" s="0" t="str">
        <f aca="false">IF($A645="","",IF(AT645="Y",BN645&amp;"",BA645&amp;""))</f>
        <v/>
      </c>
      <c r="F645" s="0" t="str">
        <f aca="false">IF($A645="","",IF(AT645="Y",BO645&amp;"",BB645&amp;""))</f>
        <v/>
      </c>
      <c r="G645" s="0" t="str">
        <f aca="false">IF($A645="","",IF(AT645="Y",BP645&amp;"",BC645&amp;""))</f>
        <v/>
      </c>
      <c r="H645" s="0" t="str">
        <f aca="false">IF($A645="","",IF(AT645="Y",BQ645&amp;"",BD645&amp;""))</f>
        <v/>
      </c>
      <c r="I645" s="0" t="str">
        <f aca="false">IF($A645="","",IF(R645="Y","warm-intro",IF(H645="verified","email",IF(C645&lt;&gt;"","linkedin",CA645&amp;""))))</f>
        <v/>
      </c>
      <c r="J645" s="0" t="str">
        <f aca="false">IF($A645="","",IF(CK645="pass",ROUND(N(DO645)+N(DP645)+N(DQ645)+N(DR645)+N(DS645)+N(DT645)+N(DU645)+N(DV645),0),0))</f>
        <v/>
      </c>
      <c r="K645" s="0" t="str">
        <f aca="false">IF($A645="","",IF(CK645&lt;&gt;"pass",BY645&amp;"",BY645&amp;", "&amp;IF(AT645="Y",BX645&amp;"",BK645&amp;"")&amp;BZ645&amp;IF(R645="Y","; known to the founder (+10)","")&amp;"."))</f>
        <v/>
      </c>
      <c r="R645" s="5"/>
      <c r="T645" s="5"/>
      <c r="U645" s="5"/>
      <c r="Y645" s="0" t="str">
        <f aca="false">IF(FA645&lt;&gt;"Y","",COUNTIFS($FA$2:$FA$1000,"Y",$J$2:$J$1000,"&gt;"&amp;J645)+COUNTIFS($FA$2:$FA$1000,"Y",$J$2:$J$1000,J645,$FG$2:$FG$1000,"&lt;"&amp;FG645)+1)</f>
        <v/>
      </c>
      <c r="AB645" s="0" t="str">
        <f aca="false">IF($A645="","",IF(AT645="Y",BW645&amp;"",BJ645&amp;""))</f>
        <v/>
      </c>
      <c r="AC645" s="0" t="str">
        <f aca="false">IF($A645="","",IF(AT645="Y",BR645&amp;"",BE645&amp;""))</f>
        <v/>
      </c>
      <c r="AD645" s="0" t="str">
        <f aca="false">IF($A645="","",IF(AT645="Y",BS645&amp;"",BF645&amp;""))</f>
        <v/>
      </c>
      <c r="AE645" s="0" t="str">
        <f aca="false">IF($A645="","",IF(AT645="Y",BT645&amp;"",BG645&amp;""))</f>
        <v/>
      </c>
      <c r="AF645" s="0" t="str">
        <f aca="false">IF($A645="","",IF(AT645="Y",BU645&amp;"",BH645&amp;""))</f>
        <v/>
      </c>
      <c r="AG645" s="0" t="str">
        <f aca="false">IF($A645="","",IF(AT645="Y",BV645&amp;"",BI645&amp;""))</f>
        <v/>
      </c>
      <c r="AO645" s="5"/>
      <c r="AR645" s="0" t="str">
        <f aca="false">IF($A645="","",IF(AND(CK645="pass",AO645&lt;&gt;"Y",C645&lt;&gt;"",OR(AU645&lt;&gt;"Y",AV645="Y")),"Y","N"))</f>
        <v/>
      </c>
      <c r="AS645" s="0" t="str">
        <f aca="false">IF($A645="","",_xlfn.TEXTJOIN("; ",TRUE(),IF(CK645&lt;&gt;"pass","gated out",""),IF(AO645="Y","on hold: "&amp;AP645,""),IF(C645="","no contact named on an opened page",""),IF(AND(AU645="Y",AV645&lt;&gt;"Y"),"founder review pending (Founder review tab)","")))</f>
        <v/>
      </c>
      <c r="BC645" s="0" t="str">
        <f aca="false">IF($A645="","",IFERROR(INDEX(Enrichment!$A$2:$GZ$2000,MATCH($A645,INDEX(Enrichment!$A$2:$GZ$2000,0,MATCH("row_id",Enrichment!$A$1:$GZ$1,0)),0),MATCH("work_email",Enrichment!$A$1:$GZ$1,0))&amp;"",""))</f>
        <v/>
      </c>
      <c r="BD645" s="0" t="str">
        <f aca="false">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P645" s="0" t="str">
        <f aca="false">IF($A645="","",IFERROR(INDEX(Enrichment!$A$2:$GZ$2000,MATCH($A645,INDEX(Enrichment!$A$2:$GZ$2000,0,MATCH("row_id",Enrichment!$A$1:$GZ$1,0)),0),MATCH("backup_work_email",Enrichment!$A$1:$GZ$1,0))&amp;"",""))</f>
        <v/>
      </c>
      <c r="BQ645" s="0" t="str">
        <f aca="false">IF($A645="","",IF(BP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DU645" s="0" t="str">
        <f aca="false">IF($A645="","",IF(R645="Y",10,0))</f>
        <v/>
      </c>
      <c r="EV645" s="0" t="str">
        <f aca="false">IF($A645="","",IF(ISNUMBER(MATCH(U645,{"queued","contacted","replied","call_booked","call_done","yes_in_principle","materials_sent"},0)),"Y","N"))</f>
        <v/>
      </c>
      <c r="EW645" s="0" t="str">
        <f aca="false">IF($A645="","",IF(OR(T645="Y",U645="do_not_contact",AQ645&amp;""&lt;&gt;""),"Y","N"))</f>
        <v/>
      </c>
      <c r="EX645" s="0" t="str">
        <f aca="false">IF($A645="","",IF(AN645&amp;""&lt;&gt;"",AN645&amp;"",$A645))</f>
        <v/>
      </c>
      <c r="EY645" s="0" t="str">
        <f aca="false">IF($A645="","",IF(COUNTIFS($EX$2:$EX$1000,EX645,$EV$2:$EV$1000,"Y")+COUNTIFS($EX$2:$EX$1000,EX645,$EW$2:$EW$1000,"Y")&gt;0,"Y","N"))</f>
        <v/>
      </c>
      <c r="EZ645" s="0" t="str">
        <f aca="false">IF($A645="","",IF(AND(U645="new",T645="N",EW645="N",AR645="Y",EY645="N"),"Y","N"))</f>
        <v/>
      </c>
      <c r="FA645" s="0" t="str">
        <f aca="false">IF($A645="","",IF(EZ645&lt;&gt;"Y","N",IF(COUNTIFS($EX$2:$EX$1000,EX645,$EZ$2:$EZ$1000,"Y",$J$2:$J$1000,"&gt;"&amp;J645)+COUNTIFS($EX$2:$EX$1000,EX645,$EZ$2:$EZ$1000,"Y",$J$2:$J$1000,J645,$FG$2:$FG$1000,"&lt;"&amp;FG645)=0,"Y","N")))</f>
        <v/>
      </c>
      <c r="FB645" s="0" t="str">
        <f aca="false">IF($A645="","",IF(AND(EZ645="Y",FA645="Y",Y645&amp;""&lt;&gt;""),IF(Y645&lt;=10,"Y","N"),"N"))</f>
        <v/>
      </c>
      <c r="FC645" s="0" t="str">
        <f aca="false">IF(FB645="Y",Y645,"")</f>
        <v/>
      </c>
      <c r="FD645" s="0" t="str">
        <f aca="false">IF($A645="","",IF(AND(CK645="pass",AU645="Y",AV645&lt;&gt;"Y",U645="new",EW645="N"),"Y","N"))</f>
        <v/>
      </c>
      <c r="FE645" s="0" t="str">
        <f aca="false">IF(FD645&lt;&gt;"Y","",IF(COUNTIFS($FD$2:$FD$1000,"Y",$J$2:$J$1000,"&gt;"&amp;J645)+COUNTIFS($FD$2:$FD$1000,"Y",$J$2:$J$1000,J645,$FG$2:$FG$1000,"&lt;"&amp;FG645)+1&lt;=30,COUNTIFS($FD$2:$FD$1000,"Y",$J$2:$J$1000,"&gt;"&amp;J645)+COUNTIFS($FD$2:$FD$1000,"Y",$J$2:$J$1000,J645,$FG$2:$FG$1000,"&lt;"&amp;FG645)+1,""))</f>
        <v/>
      </c>
      <c r="FF645" s="0" t="str">
        <f aca="false">IF(AND(_xlfn.ISFORMULA(C645),_xlfn.ISFORMULA(J645)),"Y","N")</f>
        <v>Y</v>
      </c>
      <c r="FG645" s="0" t="n">
        <f aca="false">ROW()-1</f>
        <v>644</v>
      </c>
    </row>
    <row r="646" customFormat="false" ht="15" hidden="false" customHeight="false" outlineLevel="0" collapsed="false">
      <c r="C646" s="0" t="str">
        <f aca="false">IF($A646="","",IF(AT646="Y",BL646&amp;"",AY646&amp;""))</f>
        <v/>
      </c>
      <c r="D646" s="0" t="str">
        <f aca="false">IF($A646="","",IF(AT646="Y",BM646&amp;"",AZ646&amp;""))</f>
        <v/>
      </c>
      <c r="E646" s="0" t="str">
        <f aca="false">IF($A646="","",IF(AT646="Y",BN646&amp;"",BA646&amp;""))</f>
        <v/>
      </c>
      <c r="F646" s="0" t="str">
        <f aca="false">IF($A646="","",IF(AT646="Y",BO646&amp;"",BB646&amp;""))</f>
        <v/>
      </c>
      <c r="G646" s="0" t="str">
        <f aca="false">IF($A646="","",IF(AT646="Y",BP646&amp;"",BC646&amp;""))</f>
        <v/>
      </c>
      <c r="H646" s="0" t="str">
        <f aca="false">IF($A646="","",IF(AT646="Y",BQ646&amp;"",BD646&amp;""))</f>
        <v/>
      </c>
      <c r="I646" s="0" t="str">
        <f aca="false">IF($A646="","",IF(R646="Y","warm-intro",IF(H646="verified","email",IF(C646&lt;&gt;"","linkedin",CA646&amp;""))))</f>
        <v/>
      </c>
      <c r="J646" s="0" t="str">
        <f aca="false">IF($A646="","",IF(CK646="pass",ROUND(N(DO646)+N(DP646)+N(DQ646)+N(DR646)+N(DS646)+N(DT646)+N(DU646)+N(DV646),0),0))</f>
        <v/>
      </c>
      <c r="K646" s="0" t="str">
        <f aca="false">IF($A646="","",IF(CK646&lt;&gt;"pass",BY646&amp;"",BY646&amp;", "&amp;IF(AT646="Y",BX646&amp;"",BK646&amp;"")&amp;BZ646&amp;IF(R646="Y","; known to the founder (+10)","")&amp;"."))</f>
        <v/>
      </c>
      <c r="R646" s="5"/>
      <c r="T646" s="5"/>
      <c r="U646" s="5"/>
      <c r="Y646" s="0" t="str">
        <f aca="false">IF(FA646&lt;&gt;"Y","",COUNTIFS($FA$2:$FA$1000,"Y",$J$2:$J$1000,"&gt;"&amp;J646)+COUNTIFS($FA$2:$FA$1000,"Y",$J$2:$J$1000,J646,$FG$2:$FG$1000,"&lt;"&amp;FG646)+1)</f>
        <v/>
      </c>
      <c r="AB646" s="0" t="str">
        <f aca="false">IF($A646="","",IF(AT646="Y",BW646&amp;"",BJ646&amp;""))</f>
        <v/>
      </c>
      <c r="AC646" s="0" t="str">
        <f aca="false">IF($A646="","",IF(AT646="Y",BR646&amp;"",BE646&amp;""))</f>
        <v/>
      </c>
      <c r="AD646" s="0" t="str">
        <f aca="false">IF($A646="","",IF(AT646="Y",BS646&amp;"",BF646&amp;""))</f>
        <v/>
      </c>
      <c r="AE646" s="0" t="str">
        <f aca="false">IF($A646="","",IF(AT646="Y",BT646&amp;"",BG646&amp;""))</f>
        <v/>
      </c>
      <c r="AF646" s="0" t="str">
        <f aca="false">IF($A646="","",IF(AT646="Y",BU646&amp;"",BH646&amp;""))</f>
        <v/>
      </c>
      <c r="AG646" s="0" t="str">
        <f aca="false">IF($A646="","",IF(AT646="Y",BV646&amp;"",BI646&amp;""))</f>
        <v/>
      </c>
      <c r="AO646" s="5"/>
      <c r="AR646" s="0" t="str">
        <f aca="false">IF($A646="","",IF(AND(CK646="pass",AO646&lt;&gt;"Y",C646&lt;&gt;"",OR(AU646&lt;&gt;"Y",AV646="Y")),"Y","N"))</f>
        <v/>
      </c>
      <c r="AS646" s="0" t="str">
        <f aca="false">IF($A646="","",_xlfn.TEXTJOIN("; ",TRUE(),IF(CK646&lt;&gt;"pass","gated out",""),IF(AO646="Y","on hold: "&amp;AP646,""),IF(C646="","no contact named on an opened page",""),IF(AND(AU646="Y",AV646&lt;&gt;"Y"),"founder review pending (Founder review tab)","")))</f>
        <v/>
      </c>
      <c r="BC646" s="0" t="str">
        <f aca="false">IF($A646="","",IFERROR(INDEX(Enrichment!$A$2:$GZ$2000,MATCH($A646,INDEX(Enrichment!$A$2:$GZ$2000,0,MATCH("row_id",Enrichment!$A$1:$GZ$1,0)),0),MATCH("work_email",Enrichment!$A$1:$GZ$1,0))&amp;"",""))</f>
        <v/>
      </c>
      <c r="BD646" s="0" t="str">
        <f aca="false">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P646" s="0" t="str">
        <f aca="false">IF($A646="","",IFERROR(INDEX(Enrichment!$A$2:$GZ$2000,MATCH($A646,INDEX(Enrichment!$A$2:$GZ$2000,0,MATCH("row_id",Enrichment!$A$1:$GZ$1,0)),0),MATCH("backup_work_email",Enrichment!$A$1:$GZ$1,0))&amp;"",""))</f>
        <v/>
      </c>
      <c r="BQ646" s="0" t="str">
        <f aca="false">IF($A646="","",IF(BP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DU646" s="0" t="str">
        <f aca="false">IF($A646="","",IF(R646="Y",10,0))</f>
        <v/>
      </c>
      <c r="EV646" s="0" t="str">
        <f aca="false">IF($A646="","",IF(ISNUMBER(MATCH(U646,{"queued","contacted","replied","call_booked","call_done","yes_in_principle","materials_sent"},0)),"Y","N"))</f>
        <v/>
      </c>
      <c r="EW646" s="0" t="str">
        <f aca="false">IF($A646="","",IF(OR(T646="Y",U646="do_not_contact",AQ646&amp;""&lt;&gt;""),"Y","N"))</f>
        <v/>
      </c>
      <c r="EX646" s="0" t="str">
        <f aca="false">IF($A646="","",IF(AN646&amp;""&lt;&gt;"",AN646&amp;"",$A646))</f>
        <v/>
      </c>
      <c r="EY646" s="0" t="str">
        <f aca="false">IF($A646="","",IF(COUNTIFS($EX$2:$EX$1000,EX646,$EV$2:$EV$1000,"Y")+COUNTIFS($EX$2:$EX$1000,EX646,$EW$2:$EW$1000,"Y")&gt;0,"Y","N"))</f>
        <v/>
      </c>
      <c r="EZ646" s="0" t="str">
        <f aca="false">IF($A646="","",IF(AND(U646="new",T646="N",EW646="N",AR646="Y",EY646="N"),"Y","N"))</f>
        <v/>
      </c>
      <c r="FA646" s="0" t="str">
        <f aca="false">IF($A646="","",IF(EZ646&lt;&gt;"Y","N",IF(COUNTIFS($EX$2:$EX$1000,EX646,$EZ$2:$EZ$1000,"Y",$J$2:$J$1000,"&gt;"&amp;J646)+COUNTIFS($EX$2:$EX$1000,EX646,$EZ$2:$EZ$1000,"Y",$J$2:$J$1000,J646,$FG$2:$FG$1000,"&lt;"&amp;FG646)=0,"Y","N")))</f>
        <v/>
      </c>
      <c r="FB646" s="0" t="str">
        <f aca="false">IF($A646="","",IF(AND(EZ646="Y",FA646="Y",Y646&amp;""&lt;&gt;""),IF(Y646&lt;=10,"Y","N"),"N"))</f>
        <v/>
      </c>
      <c r="FC646" s="0" t="str">
        <f aca="false">IF(FB646="Y",Y646,"")</f>
        <v/>
      </c>
      <c r="FD646" s="0" t="str">
        <f aca="false">IF($A646="","",IF(AND(CK646="pass",AU646="Y",AV646&lt;&gt;"Y",U646="new",EW646="N"),"Y","N"))</f>
        <v/>
      </c>
      <c r="FE646" s="0" t="str">
        <f aca="false">IF(FD646&lt;&gt;"Y","",IF(COUNTIFS($FD$2:$FD$1000,"Y",$J$2:$J$1000,"&gt;"&amp;J646)+COUNTIFS($FD$2:$FD$1000,"Y",$J$2:$J$1000,J646,$FG$2:$FG$1000,"&lt;"&amp;FG646)+1&lt;=30,COUNTIFS($FD$2:$FD$1000,"Y",$J$2:$J$1000,"&gt;"&amp;J646)+COUNTIFS($FD$2:$FD$1000,"Y",$J$2:$J$1000,J646,$FG$2:$FG$1000,"&lt;"&amp;FG646)+1,""))</f>
        <v/>
      </c>
      <c r="FF646" s="0" t="str">
        <f aca="false">IF(AND(_xlfn.ISFORMULA(C646),_xlfn.ISFORMULA(J646)),"Y","N")</f>
        <v>Y</v>
      </c>
      <c r="FG646" s="0" t="n">
        <f aca="false">ROW()-1</f>
        <v>645</v>
      </c>
    </row>
    <row r="647" customFormat="false" ht="15" hidden="false" customHeight="false" outlineLevel="0" collapsed="false">
      <c r="C647" s="0" t="str">
        <f aca="false">IF($A647="","",IF(AT647="Y",BL647&amp;"",AY647&amp;""))</f>
        <v/>
      </c>
      <c r="D647" s="0" t="str">
        <f aca="false">IF($A647="","",IF(AT647="Y",BM647&amp;"",AZ647&amp;""))</f>
        <v/>
      </c>
      <c r="E647" s="0" t="str">
        <f aca="false">IF($A647="","",IF(AT647="Y",BN647&amp;"",BA647&amp;""))</f>
        <v/>
      </c>
      <c r="F647" s="0" t="str">
        <f aca="false">IF($A647="","",IF(AT647="Y",BO647&amp;"",BB647&amp;""))</f>
        <v/>
      </c>
      <c r="G647" s="0" t="str">
        <f aca="false">IF($A647="","",IF(AT647="Y",BP647&amp;"",BC647&amp;""))</f>
        <v/>
      </c>
      <c r="H647" s="0" t="str">
        <f aca="false">IF($A647="","",IF(AT647="Y",BQ647&amp;"",BD647&amp;""))</f>
        <v/>
      </c>
      <c r="I647" s="0" t="str">
        <f aca="false">IF($A647="","",IF(R647="Y","warm-intro",IF(H647="verified","email",IF(C647&lt;&gt;"","linkedin",CA647&amp;""))))</f>
        <v/>
      </c>
      <c r="J647" s="0" t="str">
        <f aca="false">IF($A647="","",IF(CK647="pass",ROUND(N(DO647)+N(DP647)+N(DQ647)+N(DR647)+N(DS647)+N(DT647)+N(DU647)+N(DV647),0),0))</f>
        <v/>
      </c>
      <c r="K647" s="0" t="str">
        <f aca="false">IF($A647="","",IF(CK647&lt;&gt;"pass",BY647&amp;"",BY647&amp;", "&amp;IF(AT647="Y",BX647&amp;"",BK647&amp;"")&amp;BZ647&amp;IF(R647="Y","; known to the founder (+10)","")&amp;"."))</f>
        <v/>
      </c>
      <c r="R647" s="5"/>
      <c r="T647" s="5"/>
      <c r="U647" s="5"/>
      <c r="Y647" s="0" t="str">
        <f aca="false">IF(FA647&lt;&gt;"Y","",COUNTIFS($FA$2:$FA$1000,"Y",$J$2:$J$1000,"&gt;"&amp;J647)+COUNTIFS($FA$2:$FA$1000,"Y",$J$2:$J$1000,J647,$FG$2:$FG$1000,"&lt;"&amp;FG647)+1)</f>
        <v/>
      </c>
      <c r="AB647" s="0" t="str">
        <f aca="false">IF($A647="","",IF(AT647="Y",BW647&amp;"",BJ647&amp;""))</f>
        <v/>
      </c>
      <c r="AC647" s="0" t="str">
        <f aca="false">IF($A647="","",IF(AT647="Y",BR647&amp;"",BE647&amp;""))</f>
        <v/>
      </c>
      <c r="AD647" s="0" t="str">
        <f aca="false">IF($A647="","",IF(AT647="Y",BS647&amp;"",BF647&amp;""))</f>
        <v/>
      </c>
      <c r="AE647" s="0" t="str">
        <f aca="false">IF($A647="","",IF(AT647="Y",BT647&amp;"",BG647&amp;""))</f>
        <v/>
      </c>
      <c r="AF647" s="0" t="str">
        <f aca="false">IF($A647="","",IF(AT647="Y",BU647&amp;"",BH647&amp;""))</f>
        <v/>
      </c>
      <c r="AG647" s="0" t="str">
        <f aca="false">IF($A647="","",IF(AT647="Y",BV647&amp;"",BI647&amp;""))</f>
        <v/>
      </c>
      <c r="AO647" s="5"/>
      <c r="AR647" s="0" t="str">
        <f aca="false">IF($A647="","",IF(AND(CK647="pass",AO647&lt;&gt;"Y",C647&lt;&gt;"",OR(AU647&lt;&gt;"Y",AV647="Y")),"Y","N"))</f>
        <v/>
      </c>
      <c r="AS647" s="0" t="str">
        <f aca="false">IF($A647="","",_xlfn.TEXTJOIN("; ",TRUE(),IF(CK647&lt;&gt;"pass","gated out",""),IF(AO647="Y","on hold: "&amp;AP647,""),IF(C647="","no contact named on an opened page",""),IF(AND(AU647="Y",AV647&lt;&gt;"Y"),"founder review pending (Founder review tab)","")))</f>
        <v/>
      </c>
      <c r="BC647" s="0" t="str">
        <f aca="false">IF($A647="","",IFERROR(INDEX(Enrichment!$A$2:$GZ$2000,MATCH($A647,INDEX(Enrichment!$A$2:$GZ$2000,0,MATCH("row_id",Enrichment!$A$1:$GZ$1,0)),0),MATCH("work_email",Enrichment!$A$1:$GZ$1,0))&amp;"",""))</f>
        <v/>
      </c>
      <c r="BD647" s="0" t="str">
        <f aca="false">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P647" s="0" t="str">
        <f aca="false">IF($A647="","",IFERROR(INDEX(Enrichment!$A$2:$GZ$2000,MATCH($A647,INDEX(Enrichment!$A$2:$GZ$2000,0,MATCH("row_id",Enrichment!$A$1:$GZ$1,0)),0),MATCH("backup_work_email",Enrichment!$A$1:$GZ$1,0))&amp;"",""))</f>
        <v/>
      </c>
      <c r="BQ647" s="0" t="str">
        <f aca="false">IF($A647="","",IF(BP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DU647" s="0" t="str">
        <f aca="false">IF($A647="","",IF(R647="Y",10,0))</f>
        <v/>
      </c>
      <c r="EV647" s="0" t="str">
        <f aca="false">IF($A647="","",IF(ISNUMBER(MATCH(U647,{"queued","contacted","replied","call_booked","call_done","yes_in_principle","materials_sent"},0)),"Y","N"))</f>
        <v/>
      </c>
      <c r="EW647" s="0" t="str">
        <f aca="false">IF($A647="","",IF(OR(T647="Y",U647="do_not_contact",AQ647&amp;""&lt;&gt;""),"Y","N"))</f>
        <v/>
      </c>
      <c r="EX647" s="0" t="str">
        <f aca="false">IF($A647="","",IF(AN647&amp;""&lt;&gt;"",AN647&amp;"",$A647))</f>
        <v/>
      </c>
      <c r="EY647" s="0" t="str">
        <f aca="false">IF($A647="","",IF(COUNTIFS($EX$2:$EX$1000,EX647,$EV$2:$EV$1000,"Y")+COUNTIFS($EX$2:$EX$1000,EX647,$EW$2:$EW$1000,"Y")&gt;0,"Y","N"))</f>
        <v/>
      </c>
      <c r="EZ647" s="0" t="str">
        <f aca="false">IF($A647="","",IF(AND(U647="new",T647="N",EW647="N",AR647="Y",EY647="N"),"Y","N"))</f>
        <v/>
      </c>
      <c r="FA647" s="0" t="str">
        <f aca="false">IF($A647="","",IF(EZ647&lt;&gt;"Y","N",IF(COUNTIFS($EX$2:$EX$1000,EX647,$EZ$2:$EZ$1000,"Y",$J$2:$J$1000,"&gt;"&amp;J647)+COUNTIFS($EX$2:$EX$1000,EX647,$EZ$2:$EZ$1000,"Y",$J$2:$J$1000,J647,$FG$2:$FG$1000,"&lt;"&amp;FG647)=0,"Y","N")))</f>
        <v/>
      </c>
      <c r="FB647" s="0" t="str">
        <f aca="false">IF($A647="","",IF(AND(EZ647="Y",FA647="Y",Y647&amp;""&lt;&gt;""),IF(Y647&lt;=10,"Y","N"),"N"))</f>
        <v/>
      </c>
      <c r="FC647" s="0" t="str">
        <f aca="false">IF(FB647="Y",Y647,"")</f>
        <v/>
      </c>
      <c r="FD647" s="0" t="str">
        <f aca="false">IF($A647="","",IF(AND(CK647="pass",AU647="Y",AV647&lt;&gt;"Y",U647="new",EW647="N"),"Y","N"))</f>
        <v/>
      </c>
      <c r="FE647" s="0" t="str">
        <f aca="false">IF(FD647&lt;&gt;"Y","",IF(COUNTIFS($FD$2:$FD$1000,"Y",$J$2:$J$1000,"&gt;"&amp;J647)+COUNTIFS($FD$2:$FD$1000,"Y",$J$2:$J$1000,J647,$FG$2:$FG$1000,"&lt;"&amp;FG647)+1&lt;=30,COUNTIFS($FD$2:$FD$1000,"Y",$J$2:$J$1000,"&gt;"&amp;J647)+COUNTIFS($FD$2:$FD$1000,"Y",$J$2:$J$1000,J647,$FG$2:$FG$1000,"&lt;"&amp;FG647)+1,""))</f>
        <v/>
      </c>
      <c r="FF647" s="0" t="str">
        <f aca="false">IF(AND(_xlfn.ISFORMULA(C647),_xlfn.ISFORMULA(J647)),"Y","N")</f>
        <v>Y</v>
      </c>
      <c r="FG647" s="0" t="n">
        <f aca="false">ROW()-1</f>
        <v>646</v>
      </c>
    </row>
    <row r="648" customFormat="false" ht="15" hidden="false" customHeight="false" outlineLevel="0" collapsed="false">
      <c r="C648" s="0" t="str">
        <f aca="false">IF($A648="","",IF(AT648="Y",BL648&amp;"",AY648&amp;""))</f>
        <v/>
      </c>
      <c r="D648" s="0" t="str">
        <f aca="false">IF($A648="","",IF(AT648="Y",BM648&amp;"",AZ648&amp;""))</f>
        <v/>
      </c>
      <c r="E648" s="0" t="str">
        <f aca="false">IF($A648="","",IF(AT648="Y",BN648&amp;"",BA648&amp;""))</f>
        <v/>
      </c>
      <c r="F648" s="0" t="str">
        <f aca="false">IF($A648="","",IF(AT648="Y",BO648&amp;"",BB648&amp;""))</f>
        <v/>
      </c>
      <c r="G648" s="0" t="str">
        <f aca="false">IF($A648="","",IF(AT648="Y",BP648&amp;"",BC648&amp;""))</f>
        <v/>
      </c>
      <c r="H648" s="0" t="str">
        <f aca="false">IF($A648="","",IF(AT648="Y",BQ648&amp;"",BD648&amp;""))</f>
        <v/>
      </c>
      <c r="I648" s="0" t="str">
        <f aca="false">IF($A648="","",IF(R648="Y","warm-intro",IF(H648="verified","email",IF(C648&lt;&gt;"","linkedin",CA648&amp;""))))</f>
        <v/>
      </c>
      <c r="J648" s="0" t="str">
        <f aca="false">IF($A648="","",IF(CK648="pass",ROUND(N(DO648)+N(DP648)+N(DQ648)+N(DR648)+N(DS648)+N(DT648)+N(DU648)+N(DV648),0),0))</f>
        <v/>
      </c>
      <c r="K648" s="0" t="str">
        <f aca="false">IF($A648="","",IF(CK648&lt;&gt;"pass",BY648&amp;"",BY648&amp;", "&amp;IF(AT648="Y",BX648&amp;"",BK648&amp;"")&amp;BZ648&amp;IF(R648="Y","; known to the founder (+10)","")&amp;"."))</f>
        <v/>
      </c>
      <c r="R648" s="5"/>
      <c r="T648" s="5"/>
      <c r="U648" s="5"/>
      <c r="Y648" s="0" t="str">
        <f aca="false">IF(FA648&lt;&gt;"Y","",COUNTIFS($FA$2:$FA$1000,"Y",$J$2:$J$1000,"&gt;"&amp;J648)+COUNTIFS($FA$2:$FA$1000,"Y",$J$2:$J$1000,J648,$FG$2:$FG$1000,"&lt;"&amp;FG648)+1)</f>
        <v/>
      </c>
      <c r="AB648" s="0" t="str">
        <f aca="false">IF($A648="","",IF(AT648="Y",BW648&amp;"",BJ648&amp;""))</f>
        <v/>
      </c>
      <c r="AC648" s="0" t="str">
        <f aca="false">IF($A648="","",IF(AT648="Y",BR648&amp;"",BE648&amp;""))</f>
        <v/>
      </c>
      <c r="AD648" s="0" t="str">
        <f aca="false">IF($A648="","",IF(AT648="Y",BS648&amp;"",BF648&amp;""))</f>
        <v/>
      </c>
      <c r="AE648" s="0" t="str">
        <f aca="false">IF($A648="","",IF(AT648="Y",BT648&amp;"",BG648&amp;""))</f>
        <v/>
      </c>
      <c r="AF648" s="0" t="str">
        <f aca="false">IF($A648="","",IF(AT648="Y",BU648&amp;"",BH648&amp;""))</f>
        <v/>
      </c>
      <c r="AG648" s="0" t="str">
        <f aca="false">IF($A648="","",IF(AT648="Y",BV648&amp;"",BI648&amp;""))</f>
        <v/>
      </c>
      <c r="AO648" s="5"/>
      <c r="AR648" s="0" t="str">
        <f aca="false">IF($A648="","",IF(AND(CK648="pass",AO648&lt;&gt;"Y",C648&lt;&gt;"",OR(AU648&lt;&gt;"Y",AV648="Y")),"Y","N"))</f>
        <v/>
      </c>
      <c r="AS648" s="0" t="str">
        <f aca="false">IF($A648="","",_xlfn.TEXTJOIN("; ",TRUE(),IF(CK648&lt;&gt;"pass","gated out",""),IF(AO648="Y","on hold: "&amp;AP648,""),IF(C648="","no contact named on an opened page",""),IF(AND(AU648="Y",AV648&lt;&gt;"Y"),"founder review pending (Founder review tab)","")))</f>
        <v/>
      </c>
      <c r="BC648" s="0" t="str">
        <f aca="false">IF($A648="","",IFERROR(INDEX(Enrichment!$A$2:$GZ$2000,MATCH($A648,INDEX(Enrichment!$A$2:$GZ$2000,0,MATCH("row_id",Enrichment!$A$1:$GZ$1,0)),0),MATCH("work_email",Enrichment!$A$1:$GZ$1,0))&amp;"",""))</f>
        <v/>
      </c>
      <c r="BD648" s="0" t="str">
        <f aca="false">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P648" s="0" t="str">
        <f aca="false">IF($A648="","",IFERROR(INDEX(Enrichment!$A$2:$GZ$2000,MATCH($A648,INDEX(Enrichment!$A$2:$GZ$2000,0,MATCH("row_id",Enrichment!$A$1:$GZ$1,0)),0),MATCH("backup_work_email",Enrichment!$A$1:$GZ$1,0))&amp;"",""))</f>
        <v/>
      </c>
      <c r="BQ648" s="0" t="str">
        <f aca="false">IF($A648="","",IF(BP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DU648" s="0" t="str">
        <f aca="false">IF($A648="","",IF(R648="Y",10,0))</f>
        <v/>
      </c>
      <c r="EV648" s="0" t="str">
        <f aca="false">IF($A648="","",IF(ISNUMBER(MATCH(U648,{"queued","contacted","replied","call_booked","call_done","yes_in_principle","materials_sent"},0)),"Y","N"))</f>
        <v/>
      </c>
      <c r="EW648" s="0" t="str">
        <f aca="false">IF($A648="","",IF(OR(T648="Y",U648="do_not_contact",AQ648&amp;""&lt;&gt;""),"Y","N"))</f>
        <v/>
      </c>
      <c r="EX648" s="0" t="str">
        <f aca="false">IF($A648="","",IF(AN648&amp;""&lt;&gt;"",AN648&amp;"",$A648))</f>
        <v/>
      </c>
      <c r="EY648" s="0" t="str">
        <f aca="false">IF($A648="","",IF(COUNTIFS($EX$2:$EX$1000,EX648,$EV$2:$EV$1000,"Y")+COUNTIFS($EX$2:$EX$1000,EX648,$EW$2:$EW$1000,"Y")&gt;0,"Y","N"))</f>
        <v/>
      </c>
      <c r="EZ648" s="0" t="str">
        <f aca="false">IF($A648="","",IF(AND(U648="new",T648="N",EW648="N",AR648="Y",EY648="N"),"Y","N"))</f>
        <v/>
      </c>
      <c r="FA648" s="0" t="str">
        <f aca="false">IF($A648="","",IF(EZ648&lt;&gt;"Y","N",IF(COUNTIFS($EX$2:$EX$1000,EX648,$EZ$2:$EZ$1000,"Y",$J$2:$J$1000,"&gt;"&amp;J648)+COUNTIFS($EX$2:$EX$1000,EX648,$EZ$2:$EZ$1000,"Y",$J$2:$J$1000,J648,$FG$2:$FG$1000,"&lt;"&amp;FG648)=0,"Y","N")))</f>
        <v/>
      </c>
      <c r="FB648" s="0" t="str">
        <f aca="false">IF($A648="","",IF(AND(EZ648="Y",FA648="Y",Y648&amp;""&lt;&gt;""),IF(Y648&lt;=10,"Y","N"),"N"))</f>
        <v/>
      </c>
      <c r="FC648" s="0" t="str">
        <f aca="false">IF(FB648="Y",Y648,"")</f>
        <v/>
      </c>
      <c r="FD648" s="0" t="str">
        <f aca="false">IF($A648="","",IF(AND(CK648="pass",AU648="Y",AV648&lt;&gt;"Y",U648="new",EW648="N"),"Y","N"))</f>
        <v/>
      </c>
      <c r="FE648" s="0" t="str">
        <f aca="false">IF(FD648&lt;&gt;"Y","",IF(COUNTIFS($FD$2:$FD$1000,"Y",$J$2:$J$1000,"&gt;"&amp;J648)+COUNTIFS($FD$2:$FD$1000,"Y",$J$2:$J$1000,J648,$FG$2:$FG$1000,"&lt;"&amp;FG648)+1&lt;=30,COUNTIFS($FD$2:$FD$1000,"Y",$J$2:$J$1000,"&gt;"&amp;J648)+COUNTIFS($FD$2:$FD$1000,"Y",$J$2:$J$1000,J648,$FG$2:$FG$1000,"&lt;"&amp;FG648)+1,""))</f>
        <v/>
      </c>
      <c r="FF648" s="0" t="str">
        <f aca="false">IF(AND(_xlfn.ISFORMULA(C648),_xlfn.ISFORMULA(J648)),"Y","N")</f>
        <v>Y</v>
      </c>
      <c r="FG648" s="0" t="n">
        <f aca="false">ROW()-1</f>
        <v>647</v>
      </c>
    </row>
    <row r="649" customFormat="false" ht="15" hidden="false" customHeight="false" outlineLevel="0" collapsed="false">
      <c r="C649" s="0" t="str">
        <f aca="false">IF($A649="","",IF(AT649="Y",BL649&amp;"",AY649&amp;""))</f>
        <v/>
      </c>
      <c r="D649" s="0" t="str">
        <f aca="false">IF($A649="","",IF(AT649="Y",BM649&amp;"",AZ649&amp;""))</f>
        <v/>
      </c>
      <c r="E649" s="0" t="str">
        <f aca="false">IF($A649="","",IF(AT649="Y",BN649&amp;"",BA649&amp;""))</f>
        <v/>
      </c>
      <c r="F649" s="0" t="str">
        <f aca="false">IF($A649="","",IF(AT649="Y",BO649&amp;"",BB649&amp;""))</f>
        <v/>
      </c>
      <c r="G649" s="0" t="str">
        <f aca="false">IF($A649="","",IF(AT649="Y",BP649&amp;"",BC649&amp;""))</f>
        <v/>
      </c>
      <c r="H649" s="0" t="str">
        <f aca="false">IF($A649="","",IF(AT649="Y",BQ649&amp;"",BD649&amp;""))</f>
        <v/>
      </c>
      <c r="I649" s="0" t="str">
        <f aca="false">IF($A649="","",IF(R649="Y","warm-intro",IF(H649="verified","email",IF(C649&lt;&gt;"","linkedin",CA649&amp;""))))</f>
        <v/>
      </c>
      <c r="J649" s="0" t="str">
        <f aca="false">IF($A649="","",IF(CK649="pass",ROUND(N(DO649)+N(DP649)+N(DQ649)+N(DR649)+N(DS649)+N(DT649)+N(DU649)+N(DV649),0),0))</f>
        <v/>
      </c>
      <c r="K649" s="0" t="str">
        <f aca="false">IF($A649="","",IF(CK649&lt;&gt;"pass",BY649&amp;"",BY649&amp;", "&amp;IF(AT649="Y",BX649&amp;"",BK649&amp;"")&amp;BZ649&amp;IF(R649="Y","; known to the founder (+10)","")&amp;"."))</f>
        <v/>
      </c>
      <c r="R649" s="5"/>
      <c r="T649" s="5"/>
      <c r="U649" s="5"/>
      <c r="Y649" s="0" t="str">
        <f aca="false">IF(FA649&lt;&gt;"Y","",COUNTIFS($FA$2:$FA$1000,"Y",$J$2:$J$1000,"&gt;"&amp;J649)+COUNTIFS($FA$2:$FA$1000,"Y",$J$2:$J$1000,J649,$FG$2:$FG$1000,"&lt;"&amp;FG649)+1)</f>
        <v/>
      </c>
      <c r="AB649" s="0" t="str">
        <f aca="false">IF($A649="","",IF(AT649="Y",BW649&amp;"",BJ649&amp;""))</f>
        <v/>
      </c>
      <c r="AC649" s="0" t="str">
        <f aca="false">IF($A649="","",IF(AT649="Y",BR649&amp;"",BE649&amp;""))</f>
        <v/>
      </c>
      <c r="AD649" s="0" t="str">
        <f aca="false">IF($A649="","",IF(AT649="Y",BS649&amp;"",BF649&amp;""))</f>
        <v/>
      </c>
      <c r="AE649" s="0" t="str">
        <f aca="false">IF($A649="","",IF(AT649="Y",BT649&amp;"",BG649&amp;""))</f>
        <v/>
      </c>
      <c r="AF649" s="0" t="str">
        <f aca="false">IF($A649="","",IF(AT649="Y",BU649&amp;"",BH649&amp;""))</f>
        <v/>
      </c>
      <c r="AG649" s="0" t="str">
        <f aca="false">IF($A649="","",IF(AT649="Y",BV649&amp;"",BI649&amp;""))</f>
        <v/>
      </c>
      <c r="AO649" s="5"/>
      <c r="AR649" s="0" t="str">
        <f aca="false">IF($A649="","",IF(AND(CK649="pass",AO649&lt;&gt;"Y",C649&lt;&gt;"",OR(AU649&lt;&gt;"Y",AV649="Y")),"Y","N"))</f>
        <v/>
      </c>
      <c r="AS649" s="0" t="str">
        <f aca="false">IF($A649="","",_xlfn.TEXTJOIN("; ",TRUE(),IF(CK649&lt;&gt;"pass","gated out",""),IF(AO649="Y","on hold: "&amp;AP649,""),IF(C649="","no contact named on an opened page",""),IF(AND(AU649="Y",AV649&lt;&gt;"Y"),"founder review pending (Founder review tab)","")))</f>
        <v/>
      </c>
      <c r="BC649" s="0" t="str">
        <f aca="false">IF($A649="","",IFERROR(INDEX(Enrichment!$A$2:$GZ$2000,MATCH($A649,INDEX(Enrichment!$A$2:$GZ$2000,0,MATCH("row_id",Enrichment!$A$1:$GZ$1,0)),0),MATCH("work_email",Enrichment!$A$1:$GZ$1,0))&amp;"",""))</f>
        <v/>
      </c>
      <c r="BD649" s="0" t="str">
        <f aca="false">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P649" s="0" t="str">
        <f aca="false">IF($A649="","",IFERROR(INDEX(Enrichment!$A$2:$GZ$2000,MATCH($A649,INDEX(Enrichment!$A$2:$GZ$2000,0,MATCH("row_id",Enrichment!$A$1:$GZ$1,0)),0),MATCH("backup_work_email",Enrichment!$A$1:$GZ$1,0))&amp;"",""))</f>
        <v/>
      </c>
      <c r="BQ649" s="0" t="str">
        <f aca="false">IF($A649="","",IF(BP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DU649" s="0" t="str">
        <f aca="false">IF($A649="","",IF(R649="Y",10,0))</f>
        <v/>
      </c>
      <c r="EV649" s="0" t="str">
        <f aca="false">IF($A649="","",IF(ISNUMBER(MATCH(U649,{"queued","contacted","replied","call_booked","call_done","yes_in_principle","materials_sent"},0)),"Y","N"))</f>
        <v/>
      </c>
      <c r="EW649" s="0" t="str">
        <f aca="false">IF($A649="","",IF(OR(T649="Y",U649="do_not_contact",AQ649&amp;""&lt;&gt;""),"Y","N"))</f>
        <v/>
      </c>
      <c r="EX649" s="0" t="str">
        <f aca="false">IF($A649="","",IF(AN649&amp;""&lt;&gt;"",AN649&amp;"",$A649))</f>
        <v/>
      </c>
      <c r="EY649" s="0" t="str">
        <f aca="false">IF($A649="","",IF(COUNTIFS($EX$2:$EX$1000,EX649,$EV$2:$EV$1000,"Y")+COUNTIFS($EX$2:$EX$1000,EX649,$EW$2:$EW$1000,"Y")&gt;0,"Y","N"))</f>
        <v/>
      </c>
      <c r="EZ649" s="0" t="str">
        <f aca="false">IF($A649="","",IF(AND(U649="new",T649="N",EW649="N",AR649="Y",EY649="N"),"Y","N"))</f>
        <v/>
      </c>
      <c r="FA649" s="0" t="str">
        <f aca="false">IF($A649="","",IF(EZ649&lt;&gt;"Y","N",IF(COUNTIFS($EX$2:$EX$1000,EX649,$EZ$2:$EZ$1000,"Y",$J$2:$J$1000,"&gt;"&amp;J649)+COUNTIFS($EX$2:$EX$1000,EX649,$EZ$2:$EZ$1000,"Y",$J$2:$J$1000,J649,$FG$2:$FG$1000,"&lt;"&amp;FG649)=0,"Y","N")))</f>
        <v/>
      </c>
      <c r="FB649" s="0" t="str">
        <f aca="false">IF($A649="","",IF(AND(EZ649="Y",FA649="Y",Y649&amp;""&lt;&gt;""),IF(Y649&lt;=10,"Y","N"),"N"))</f>
        <v/>
      </c>
      <c r="FC649" s="0" t="str">
        <f aca="false">IF(FB649="Y",Y649,"")</f>
        <v/>
      </c>
      <c r="FD649" s="0" t="str">
        <f aca="false">IF($A649="","",IF(AND(CK649="pass",AU649="Y",AV649&lt;&gt;"Y",U649="new",EW649="N"),"Y","N"))</f>
        <v/>
      </c>
      <c r="FE649" s="0" t="str">
        <f aca="false">IF(FD649&lt;&gt;"Y","",IF(COUNTIFS($FD$2:$FD$1000,"Y",$J$2:$J$1000,"&gt;"&amp;J649)+COUNTIFS($FD$2:$FD$1000,"Y",$J$2:$J$1000,J649,$FG$2:$FG$1000,"&lt;"&amp;FG649)+1&lt;=30,COUNTIFS($FD$2:$FD$1000,"Y",$J$2:$J$1000,"&gt;"&amp;J649)+COUNTIFS($FD$2:$FD$1000,"Y",$J$2:$J$1000,J649,$FG$2:$FG$1000,"&lt;"&amp;FG649)+1,""))</f>
        <v/>
      </c>
      <c r="FF649" s="0" t="str">
        <f aca="false">IF(AND(_xlfn.ISFORMULA(C649),_xlfn.ISFORMULA(J649)),"Y","N")</f>
        <v>Y</v>
      </c>
      <c r="FG649" s="0" t="n">
        <f aca="false">ROW()-1</f>
        <v>648</v>
      </c>
    </row>
    <row r="650" customFormat="false" ht="15" hidden="false" customHeight="false" outlineLevel="0" collapsed="false">
      <c r="C650" s="0" t="str">
        <f aca="false">IF($A650="","",IF(AT650="Y",BL650&amp;"",AY650&amp;""))</f>
        <v/>
      </c>
      <c r="D650" s="0" t="str">
        <f aca="false">IF($A650="","",IF(AT650="Y",BM650&amp;"",AZ650&amp;""))</f>
        <v/>
      </c>
      <c r="E650" s="0" t="str">
        <f aca="false">IF($A650="","",IF(AT650="Y",BN650&amp;"",BA650&amp;""))</f>
        <v/>
      </c>
      <c r="F650" s="0" t="str">
        <f aca="false">IF($A650="","",IF(AT650="Y",BO650&amp;"",BB650&amp;""))</f>
        <v/>
      </c>
      <c r="G650" s="0" t="str">
        <f aca="false">IF($A650="","",IF(AT650="Y",BP650&amp;"",BC650&amp;""))</f>
        <v/>
      </c>
      <c r="H650" s="0" t="str">
        <f aca="false">IF($A650="","",IF(AT650="Y",BQ650&amp;"",BD650&amp;""))</f>
        <v/>
      </c>
      <c r="I650" s="0" t="str">
        <f aca="false">IF($A650="","",IF(R650="Y","warm-intro",IF(H650="verified","email",IF(C650&lt;&gt;"","linkedin",CA650&amp;""))))</f>
        <v/>
      </c>
      <c r="J650" s="0" t="str">
        <f aca="false">IF($A650="","",IF(CK650="pass",ROUND(N(DO650)+N(DP650)+N(DQ650)+N(DR650)+N(DS650)+N(DT650)+N(DU650)+N(DV650),0),0))</f>
        <v/>
      </c>
      <c r="K650" s="0" t="str">
        <f aca="false">IF($A650="","",IF(CK650&lt;&gt;"pass",BY650&amp;"",BY650&amp;", "&amp;IF(AT650="Y",BX650&amp;"",BK650&amp;"")&amp;BZ650&amp;IF(R650="Y","; known to the founder (+10)","")&amp;"."))</f>
        <v/>
      </c>
      <c r="R650" s="5"/>
      <c r="T650" s="5"/>
      <c r="U650" s="5"/>
      <c r="Y650" s="0" t="str">
        <f aca="false">IF(FA650&lt;&gt;"Y","",COUNTIFS($FA$2:$FA$1000,"Y",$J$2:$J$1000,"&gt;"&amp;J650)+COUNTIFS($FA$2:$FA$1000,"Y",$J$2:$J$1000,J650,$FG$2:$FG$1000,"&lt;"&amp;FG650)+1)</f>
        <v/>
      </c>
      <c r="AB650" s="0" t="str">
        <f aca="false">IF($A650="","",IF(AT650="Y",BW650&amp;"",BJ650&amp;""))</f>
        <v/>
      </c>
      <c r="AC650" s="0" t="str">
        <f aca="false">IF($A650="","",IF(AT650="Y",BR650&amp;"",BE650&amp;""))</f>
        <v/>
      </c>
      <c r="AD650" s="0" t="str">
        <f aca="false">IF($A650="","",IF(AT650="Y",BS650&amp;"",BF650&amp;""))</f>
        <v/>
      </c>
      <c r="AE650" s="0" t="str">
        <f aca="false">IF($A650="","",IF(AT650="Y",BT650&amp;"",BG650&amp;""))</f>
        <v/>
      </c>
      <c r="AF650" s="0" t="str">
        <f aca="false">IF($A650="","",IF(AT650="Y",BU650&amp;"",BH650&amp;""))</f>
        <v/>
      </c>
      <c r="AG650" s="0" t="str">
        <f aca="false">IF($A650="","",IF(AT650="Y",BV650&amp;"",BI650&amp;""))</f>
        <v/>
      </c>
      <c r="AO650" s="5"/>
      <c r="AR650" s="0" t="str">
        <f aca="false">IF($A650="","",IF(AND(CK650="pass",AO650&lt;&gt;"Y",C650&lt;&gt;"",OR(AU650&lt;&gt;"Y",AV650="Y")),"Y","N"))</f>
        <v/>
      </c>
      <c r="AS650" s="0" t="str">
        <f aca="false">IF($A650="","",_xlfn.TEXTJOIN("; ",TRUE(),IF(CK650&lt;&gt;"pass","gated out",""),IF(AO650="Y","on hold: "&amp;AP650,""),IF(C650="","no contact named on an opened page",""),IF(AND(AU650="Y",AV650&lt;&gt;"Y"),"founder review pending (Founder review tab)","")))</f>
        <v/>
      </c>
      <c r="BC650" s="0" t="str">
        <f aca="false">IF($A650="","",IFERROR(INDEX(Enrichment!$A$2:$GZ$2000,MATCH($A650,INDEX(Enrichment!$A$2:$GZ$2000,0,MATCH("row_id",Enrichment!$A$1:$GZ$1,0)),0),MATCH("work_email",Enrichment!$A$1:$GZ$1,0))&amp;"",""))</f>
        <v/>
      </c>
      <c r="BD650" s="0" t="str">
        <f aca="false">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P650" s="0" t="str">
        <f aca="false">IF($A650="","",IFERROR(INDEX(Enrichment!$A$2:$GZ$2000,MATCH($A650,INDEX(Enrichment!$A$2:$GZ$2000,0,MATCH("row_id",Enrichment!$A$1:$GZ$1,0)),0),MATCH("backup_work_email",Enrichment!$A$1:$GZ$1,0))&amp;"",""))</f>
        <v/>
      </c>
      <c r="BQ650" s="0" t="str">
        <f aca="false">IF($A650="","",IF(BP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DU650" s="0" t="str">
        <f aca="false">IF($A650="","",IF(R650="Y",10,0))</f>
        <v/>
      </c>
      <c r="EV650" s="0" t="str">
        <f aca="false">IF($A650="","",IF(ISNUMBER(MATCH(U650,{"queued","contacted","replied","call_booked","call_done","yes_in_principle","materials_sent"},0)),"Y","N"))</f>
        <v/>
      </c>
      <c r="EW650" s="0" t="str">
        <f aca="false">IF($A650="","",IF(OR(T650="Y",U650="do_not_contact",AQ650&amp;""&lt;&gt;""),"Y","N"))</f>
        <v/>
      </c>
      <c r="EX650" s="0" t="str">
        <f aca="false">IF($A650="","",IF(AN650&amp;""&lt;&gt;"",AN650&amp;"",$A650))</f>
        <v/>
      </c>
      <c r="EY650" s="0" t="str">
        <f aca="false">IF($A650="","",IF(COUNTIFS($EX$2:$EX$1000,EX650,$EV$2:$EV$1000,"Y")+COUNTIFS($EX$2:$EX$1000,EX650,$EW$2:$EW$1000,"Y")&gt;0,"Y","N"))</f>
        <v/>
      </c>
      <c r="EZ650" s="0" t="str">
        <f aca="false">IF($A650="","",IF(AND(U650="new",T650="N",EW650="N",AR650="Y",EY650="N"),"Y","N"))</f>
        <v/>
      </c>
      <c r="FA650" s="0" t="str">
        <f aca="false">IF($A650="","",IF(EZ650&lt;&gt;"Y","N",IF(COUNTIFS($EX$2:$EX$1000,EX650,$EZ$2:$EZ$1000,"Y",$J$2:$J$1000,"&gt;"&amp;J650)+COUNTIFS($EX$2:$EX$1000,EX650,$EZ$2:$EZ$1000,"Y",$J$2:$J$1000,J650,$FG$2:$FG$1000,"&lt;"&amp;FG650)=0,"Y","N")))</f>
        <v/>
      </c>
      <c r="FB650" s="0" t="str">
        <f aca="false">IF($A650="","",IF(AND(EZ650="Y",FA650="Y",Y650&amp;""&lt;&gt;""),IF(Y650&lt;=10,"Y","N"),"N"))</f>
        <v/>
      </c>
      <c r="FC650" s="0" t="str">
        <f aca="false">IF(FB650="Y",Y650,"")</f>
        <v/>
      </c>
      <c r="FD650" s="0" t="str">
        <f aca="false">IF($A650="","",IF(AND(CK650="pass",AU650="Y",AV650&lt;&gt;"Y",U650="new",EW650="N"),"Y","N"))</f>
        <v/>
      </c>
      <c r="FE650" s="0" t="str">
        <f aca="false">IF(FD650&lt;&gt;"Y","",IF(COUNTIFS($FD$2:$FD$1000,"Y",$J$2:$J$1000,"&gt;"&amp;J650)+COUNTIFS($FD$2:$FD$1000,"Y",$J$2:$J$1000,J650,$FG$2:$FG$1000,"&lt;"&amp;FG650)+1&lt;=30,COUNTIFS($FD$2:$FD$1000,"Y",$J$2:$J$1000,"&gt;"&amp;J650)+COUNTIFS($FD$2:$FD$1000,"Y",$J$2:$J$1000,J650,$FG$2:$FG$1000,"&lt;"&amp;FG650)+1,""))</f>
        <v/>
      </c>
      <c r="FF650" s="0" t="str">
        <f aca="false">IF(AND(_xlfn.ISFORMULA(C650),_xlfn.ISFORMULA(J650)),"Y","N")</f>
        <v>Y</v>
      </c>
      <c r="FG650" s="0" t="n">
        <f aca="false">ROW()-1</f>
        <v>649</v>
      </c>
    </row>
    <row r="651" customFormat="false" ht="15" hidden="false" customHeight="false" outlineLevel="0" collapsed="false">
      <c r="C651" s="0" t="str">
        <f aca="false">IF($A651="","",IF(AT651="Y",BL651&amp;"",AY651&amp;""))</f>
        <v/>
      </c>
      <c r="D651" s="0" t="str">
        <f aca="false">IF($A651="","",IF(AT651="Y",BM651&amp;"",AZ651&amp;""))</f>
        <v/>
      </c>
      <c r="E651" s="0" t="str">
        <f aca="false">IF($A651="","",IF(AT651="Y",BN651&amp;"",BA651&amp;""))</f>
        <v/>
      </c>
      <c r="F651" s="0" t="str">
        <f aca="false">IF($A651="","",IF(AT651="Y",BO651&amp;"",BB651&amp;""))</f>
        <v/>
      </c>
      <c r="G651" s="0" t="str">
        <f aca="false">IF($A651="","",IF(AT651="Y",BP651&amp;"",BC651&amp;""))</f>
        <v/>
      </c>
      <c r="H651" s="0" t="str">
        <f aca="false">IF($A651="","",IF(AT651="Y",BQ651&amp;"",BD651&amp;""))</f>
        <v/>
      </c>
      <c r="I651" s="0" t="str">
        <f aca="false">IF($A651="","",IF(R651="Y","warm-intro",IF(H651="verified","email",IF(C651&lt;&gt;"","linkedin",CA651&amp;""))))</f>
        <v/>
      </c>
      <c r="J651" s="0" t="str">
        <f aca="false">IF($A651="","",IF(CK651="pass",ROUND(N(DO651)+N(DP651)+N(DQ651)+N(DR651)+N(DS651)+N(DT651)+N(DU651)+N(DV651),0),0))</f>
        <v/>
      </c>
      <c r="K651" s="0" t="str">
        <f aca="false">IF($A651="","",IF(CK651&lt;&gt;"pass",BY651&amp;"",BY651&amp;", "&amp;IF(AT651="Y",BX651&amp;"",BK651&amp;"")&amp;BZ651&amp;IF(R651="Y","; known to the founder (+10)","")&amp;"."))</f>
        <v/>
      </c>
      <c r="R651" s="5"/>
      <c r="T651" s="5"/>
      <c r="U651" s="5"/>
      <c r="Y651" s="0" t="str">
        <f aca="false">IF(FA651&lt;&gt;"Y","",COUNTIFS($FA$2:$FA$1000,"Y",$J$2:$J$1000,"&gt;"&amp;J651)+COUNTIFS($FA$2:$FA$1000,"Y",$J$2:$J$1000,J651,$FG$2:$FG$1000,"&lt;"&amp;FG651)+1)</f>
        <v/>
      </c>
      <c r="AB651" s="0" t="str">
        <f aca="false">IF($A651="","",IF(AT651="Y",BW651&amp;"",BJ651&amp;""))</f>
        <v/>
      </c>
      <c r="AC651" s="0" t="str">
        <f aca="false">IF($A651="","",IF(AT651="Y",BR651&amp;"",BE651&amp;""))</f>
        <v/>
      </c>
      <c r="AD651" s="0" t="str">
        <f aca="false">IF($A651="","",IF(AT651="Y",BS651&amp;"",BF651&amp;""))</f>
        <v/>
      </c>
      <c r="AE651" s="0" t="str">
        <f aca="false">IF($A651="","",IF(AT651="Y",BT651&amp;"",BG651&amp;""))</f>
        <v/>
      </c>
      <c r="AF651" s="0" t="str">
        <f aca="false">IF($A651="","",IF(AT651="Y",BU651&amp;"",BH651&amp;""))</f>
        <v/>
      </c>
      <c r="AG651" s="0" t="str">
        <f aca="false">IF($A651="","",IF(AT651="Y",BV651&amp;"",BI651&amp;""))</f>
        <v/>
      </c>
      <c r="AO651" s="5"/>
      <c r="AR651" s="0" t="str">
        <f aca="false">IF($A651="","",IF(AND(CK651="pass",AO651&lt;&gt;"Y",C651&lt;&gt;"",OR(AU651&lt;&gt;"Y",AV651="Y")),"Y","N"))</f>
        <v/>
      </c>
      <c r="AS651" s="0" t="str">
        <f aca="false">IF($A651="","",_xlfn.TEXTJOIN("; ",TRUE(),IF(CK651&lt;&gt;"pass","gated out",""),IF(AO651="Y","on hold: "&amp;AP651,""),IF(C651="","no contact named on an opened page",""),IF(AND(AU651="Y",AV651&lt;&gt;"Y"),"founder review pending (Founder review tab)","")))</f>
        <v/>
      </c>
      <c r="BC651" s="0" t="str">
        <f aca="false">IF($A651="","",IFERROR(INDEX(Enrichment!$A$2:$GZ$2000,MATCH($A651,INDEX(Enrichment!$A$2:$GZ$2000,0,MATCH("row_id",Enrichment!$A$1:$GZ$1,0)),0),MATCH("work_email",Enrichment!$A$1:$GZ$1,0))&amp;"",""))</f>
        <v/>
      </c>
      <c r="BD651" s="0" t="str">
        <f aca="false">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P651" s="0" t="str">
        <f aca="false">IF($A651="","",IFERROR(INDEX(Enrichment!$A$2:$GZ$2000,MATCH($A651,INDEX(Enrichment!$A$2:$GZ$2000,0,MATCH("row_id",Enrichment!$A$1:$GZ$1,0)),0),MATCH("backup_work_email",Enrichment!$A$1:$GZ$1,0))&amp;"",""))</f>
        <v/>
      </c>
      <c r="BQ651" s="0" t="str">
        <f aca="false">IF($A651="","",IF(BP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DU651" s="0" t="str">
        <f aca="false">IF($A651="","",IF(R651="Y",10,0))</f>
        <v/>
      </c>
      <c r="EV651" s="0" t="str">
        <f aca="false">IF($A651="","",IF(ISNUMBER(MATCH(U651,{"queued","contacted","replied","call_booked","call_done","yes_in_principle","materials_sent"},0)),"Y","N"))</f>
        <v/>
      </c>
      <c r="EW651" s="0" t="str">
        <f aca="false">IF($A651="","",IF(OR(T651="Y",U651="do_not_contact",AQ651&amp;""&lt;&gt;""),"Y","N"))</f>
        <v/>
      </c>
      <c r="EX651" s="0" t="str">
        <f aca="false">IF($A651="","",IF(AN651&amp;""&lt;&gt;"",AN651&amp;"",$A651))</f>
        <v/>
      </c>
      <c r="EY651" s="0" t="str">
        <f aca="false">IF($A651="","",IF(COUNTIFS($EX$2:$EX$1000,EX651,$EV$2:$EV$1000,"Y")+COUNTIFS($EX$2:$EX$1000,EX651,$EW$2:$EW$1000,"Y")&gt;0,"Y","N"))</f>
        <v/>
      </c>
      <c r="EZ651" s="0" t="str">
        <f aca="false">IF($A651="","",IF(AND(U651="new",T651="N",EW651="N",AR651="Y",EY651="N"),"Y","N"))</f>
        <v/>
      </c>
      <c r="FA651" s="0" t="str">
        <f aca="false">IF($A651="","",IF(EZ651&lt;&gt;"Y","N",IF(COUNTIFS($EX$2:$EX$1000,EX651,$EZ$2:$EZ$1000,"Y",$J$2:$J$1000,"&gt;"&amp;J651)+COUNTIFS($EX$2:$EX$1000,EX651,$EZ$2:$EZ$1000,"Y",$J$2:$J$1000,J651,$FG$2:$FG$1000,"&lt;"&amp;FG651)=0,"Y","N")))</f>
        <v/>
      </c>
      <c r="FB651" s="0" t="str">
        <f aca="false">IF($A651="","",IF(AND(EZ651="Y",FA651="Y",Y651&amp;""&lt;&gt;""),IF(Y651&lt;=10,"Y","N"),"N"))</f>
        <v/>
      </c>
      <c r="FC651" s="0" t="str">
        <f aca="false">IF(FB651="Y",Y651,"")</f>
        <v/>
      </c>
      <c r="FD651" s="0" t="str">
        <f aca="false">IF($A651="","",IF(AND(CK651="pass",AU651="Y",AV651&lt;&gt;"Y",U651="new",EW651="N"),"Y","N"))</f>
        <v/>
      </c>
      <c r="FE651" s="0" t="str">
        <f aca="false">IF(FD651&lt;&gt;"Y","",IF(COUNTIFS($FD$2:$FD$1000,"Y",$J$2:$J$1000,"&gt;"&amp;J651)+COUNTIFS($FD$2:$FD$1000,"Y",$J$2:$J$1000,J651,$FG$2:$FG$1000,"&lt;"&amp;FG651)+1&lt;=30,COUNTIFS($FD$2:$FD$1000,"Y",$J$2:$J$1000,"&gt;"&amp;J651)+COUNTIFS($FD$2:$FD$1000,"Y",$J$2:$J$1000,J651,$FG$2:$FG$1000,"&lt;"&amp;FG651)+1,""))</f>
        <v/>
      </c>
      <c r="FF651" s="0" t="str">
        <f aca="false">IF(AND(_xlfn.ISFORMULA(C651),_xlfn.ISFORMULA(J651)),"Y","N")</f>
        <v>Y</v>
      </c>
      <c r="FG651" s="0" t="n">
        <f aca="false">ROW()-1</f>
        <v>650</v>
      </c>
    </row>
    <row r="652" customFormat="false" ht="15" hidden="false" customHeight="false" outlineLevel="0" collapsed="false">
      <c r="C652" s="0" t="str">
        <f aca="false">IF($A652="","",IF(AT652="Y",BL652&amp;"",AY652&amp;""))</f>
        <v/>
      </c>
      <c r="D652" s="0" t="str">
        <f aca="false">IF($A652="","",IF(AT652="Y",BM652&amp;"",AZ652&amp;""))</f>
        <v/>
      </c>
      <c r="E652" s="0" t="str">
        <f aca="false">IF($A652="","",IF(AT652="Y",BN652&amp;"",BA652&amp;""))</f>
        <v/>
      </c>
      <c r="F652" s="0" t="str">
        <f aca="false">IF($A652="","",IF(AT652="Y",BO652&amp;"",BB652&amp;""))</f>
        <v/>
      </c>
      <c r="G652" s="0" t="str">
        <f aca="false">IF($A652="","",IF(AT652="Y",BP652&amp;"",BC652&amp;""))</f>
        <v/>
      </c>
      <c r="H652" s="0" t="str">
        <f aca="false">IF($A652="","",IF(AT652="Y",BQ652&amp;"",BD652&amp;""))</f>
        <v/>
      </c>
      <c r="I652" s="0" t="str">
        <f aca="false">IF($A652="","",IF(R652="Y","warm-intro",IF(H652="verified","email",IF(C652&lt;&gt;"","linkedin",CA652&amp;""))))</f>
        <v/>
      </c>
      <c r="J652" s="0" t="str">
        <f aca="false">IF($A652="","",IF(CK652="pass",ROUND(N(DO652)+N(DP652)+N(DQ652)+N(DR652)+N(DS652)+N(DT652)+N(DU652)+N(DV652),0),0))</f>
        <v/>
      </c>
      <c r="K652" s="0" t="str">
        <f aca="false">IF($A652="","",IF(CK652&lt;&gt;"pass",BY652&amp;"",BY652&amp;", "&amp;IF(AT652="Y",BX652&amp;"",BK652&amp;"")&amp;BZ652&amp;IF(R652="Y","; known to the founder (+10)","")&amp;"."))</f>
        <v/>
      </c>
      <c r="R652" s="5"/>
      <c r="T652" s="5"/>
      <c r="U652" s="5"/>
      <c r="Y652" s="0" t="str">
        <f aca="false">IF(FA652&lt;&gt;"Y","",COUNTIFS($FA$2:$FA$1000,"Y",$J$2:$J$1000,"&gt;"&amp;J652)+COUNTIFS($FA$2:$FA$1000,"Y",$J$2:$J$1000,J652,$FG$2:$FG$1000,"&lt;"&amp;FG652)+1)</f>
        <v/>
      </c>
      <c r="AB652" s="0" t="str">
        <f aca="false">IF($A652="","",IF(AT652="Y",BW652&amp;"",BJ652&amp;""))</f>
        <v/>
      </c>
      <c r="AC652" s="0" t="str">
        <f aca="false">IF($A652="","",IF(AT652="Y",BR652&amp;"",BE652&amp;""))</f>
        <v/>
      </c>
      <c r="AD652" s="0" t="str">
        <f aca="false">IF($A652="","",IF(AT652="Y",BS652&amp;"",BF652&amp;""))</f>
        <v/>
      </c>
      <c r="AE652" s="0" t="str">
        <f aca="false">IF($A652="","",IF(AT652="Y",BT652&amp;"",BG652&amp;""))</f>
        <v/>
      </c>
      <c r="AF652" s="0" t="str">
        <f aca="false">IF($A652="","",IF(AT652="Y",BU652&amp;"",BH652&amp;""))</f>
        <v/>
      </c>
      <c r="AG652" s="0" t="str">
        <f aca="false">IF($A652="","",IF(AT652="Y",BV652&amp;"",BI652&amp;""))</f>
        <v/>
      </c>
      <c r="AO652" s="5"/>
      <c r="AR652" s="0" t="str">
        <f aca="false">IF($A652="","",IF(AND(CK652="pass",AO652&lt;&gt;"Y",C652&lt;&gt;"",OR(AU652&lt;&gt;"Y",AV652="Y")),"Y","N"))</f>
        <v/>
      </c>
      <c r="AS652" s="0" t="str">
        <f aca="false">IF($A652="","",_xlfn.TEXTJOIN("; ",TRUE(),IF(CK652&lt;&gt;"pass","gated out",""),IF(AO652="Y","on hold: "&amp;AP652,""),IF(C652="","no contact named on an opened page",""),IF(AND(AU652="Y",AV652&lt;&gt;"Y"),"founder review pending (Founder review tab)","")))</f>
        <v/>
      </c>
      <c r="BC652" s="0" t="str">
        <f aca="false">IF($A652="","",IFERROR(INDEX(Enrichment!$A$2:$GZ$2000,MATCH($A652,INDEX(Enrichment!$A$2:$GZ$2000,0,MATCH("row_id",Enrichment!$A$1:$GZ$1,0)),0),MATCH("work_email",Enrichment!$A$1:$GZ$1,0))&amp;"",""))</f>
        <v/>
      </c>
      <c r="BD652" s="0" t="str">
        <f aca="false">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P652" s="0" t="str">
        <f aca="false">IF($A652="","",IFERROR(INDEX(Enrichment!$A$2:$GZ$2000,MATCH($A652,INDEX(Enrichment!$A$2:$GZ$2000,0,MATCH("row_id",Enrichment!$A$1:$GZ$1,0)),0),MATCH("backup_work_email",Enrichment!$A$1:$GZ$1,0))&amp;"",""))</f>
        <v/>
      </c>
      <c r="BQ652" s="0" t="str">
        <f aca="false">IF($A652="","",IF(BP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DU652" s="0" t="str">
        <f aca="false">IF($A652="","",IF(R652="Y",10,0))</f>
        <v/>
      </c>
      <c r="EV652" s="0" t="str">
        <f aca="false">IF($A652="","",IF(ISNUMBER(MATCH(U652,{"queued","contacted","replied","call_booked","call_done","yes_in_principle","materials_sent"},0)),"Y","N"))</f>
        <v/>
      </c>
      <c r="EW652" s="0" t="str">
        <f aca="false">IF($A652="","",IF(OR(T652="Y",U652="do_not_contact",AQ652&amp;""&lt;&gt;""),"Y","N"))</f>
        <v/>
      </c>
      <c r="EX652" s="0" t="str">
        <f aca="false">IF($A652="","",IF(AN652&amp;""&lt;&gt;"",AN652&amp;"",$A652))</f>
        <v/>
      </c>
      <c r="EY652" s="0" t="str">
        <f aca="false">IF($A652="","",IF(COUNTIFS($EX$2:$EX$1000,EX652,$EV$2:$EV$1000,"Y")+COUNTIFS($EX$2:$EX$1000,EX652,$EW$2:$EW$1000,"Y")&gt;0,"Y","N"))</f>
        <v/>
      </c>
      <c r="EZ652" s="0" t="str">
        <f aca="false">IF($A652="","",IF(AND(U652="new",T652="N",EW652="N",AR652="Y",EY652="N"),"Y","N"))</f>
        <v/>
      </c>
      <c r="FA652" s="0" t="str">
        <f aca="false">IF($A652="","",IF(EZ652&lt;&gt;"Y","N",IF(COUNTIFS($EX$2:$EX$1000,EX652,$EZ$2:$EZ$1000,"Y",$J$2:$J$1000,"&gt;"&amp;J652)+COUNTIFS($EX$2:$EX$1000,EX652,$EZ$2:$EZ$1000,"Y",$J$2:$J$1000,J652,$FG$2:$FG$1000,"&lt;"&amp;FG652)=0,"Y","N")))</f>
        <v/>
      </c>
      <c r="FB652" s="0" t="str">
        <f aca="false">IF($A652="","",IF(AND(EZ652="Y",FA652="Y",Y652&amp;""&lt;&gt;""),IF(Y652&lt;=10,"Y","N"),"N"))</f>
        <v/>
      </c>
      <c r="FC652" s="0" t="str">
        <f aca="false">IF(FB652="Y",Y652,"")</f>
        <v/>
      </c>
      <c r="FD652" s="0" t="str">
        <f aca="false">IF($A652="","",IF(AND(CK652="pass",AU652="Y",AV652&lt;&gt;"Y",U652="new",EW652="N"),"Y","N"))</f>
        <v/>
      </c>
      <c r="FE652" s="0" t="str">
        <f aca="false">IF(FD652&lt;&gt;"Y","",IF(COUNTIFS($FD$2:$FD$1000,"Y",$J$2:$J$1000,"&gt;"&amp;J652)+COUNTIFS($FD$2:$FD$1000,"Y",$J$2:$J$1000,J652,$FG$2:$FG$1000,"&lt;"&amp;FG652)+1&lt;=30,COUNTIFS($FD$2:$FD$1000,"Y",$J$2:$J$1000,"&gt;"&amp;J652)+COUNTIFS($FD$2:$FD$1000,"Y",$J$2:$J$1000,J652,$FG$2:$FG$1000,"&lt;"&amp;FG652)+1,""))</f>
        <v/>
      </c>
      <c r="FF652" s="0" t="str">
        <f aca="false">IF(AND(_xlfn.ISFORMULA(C652),_xlfn.ISFORMULA(J652)),"Y","N")</f>
        <v>Y</v>
      </c>
      <c r="FG652" s="0" t="n">
        <f aca="false">ROW()-1</f>
        <v>651</v>
      </c>
    </row>
    <row r="653" customFormat="false" ht="15" hidden="false" customHeight="false" outlineLevel="0" collapsed="false">
      <c r="C653" s="0" t="str">
        <f aca="false">IF($A653="","",IF(AT653="Y",BL653&amp;"",AY653&amp;""))</f>
        <v/>
      </c>
      <c r="D653" s="0" t="str">
        <f aca="false">IF($A653="","",IF(AT653="Y",BM653&amp;"",AZ653&amp;""))</f>
        <v/>
      </c>
      <c r="E653" s="0" t="str">
        <f aca="false">IF($A653="","",IF(AT653="Y",BN653&amp;"",BA653&amp;""))</f>
        <v/>
      </c>
      <c r="F653" s="0" t="str">
        <f aca="false">IF($A653="","",IF(AT653="Y",BO653&amp;"",BB653&amp;""))</f>
        <v/>
      </c>
      <c r="G653" s="0" t="str">
        <f aca="false">IF($A653="","",IF(AT653="Y",BP653&amp;"",BC653&amp;""))</f>
        <v/>
      </c>
      <c r="H653" s="0" t="str">
        <f aca="false">IF($A653="","",IF(AT653="Y",BQ653&amp;"",BD653&amp;""))</f>
        <v/>
      </c>
      <c r="I653" s="0" t="str">
        <f aca="false">IF($A653="","",IF(R653="Y","warm-intro",IF(H653="verified","email",IF(C653&lt;&gt;"","linkedin",CA653&amp;""))))</f>
        <v/>
      </c>
      <c r="J653" s="0" t="str">
        <f aca="false">IF($A653="","",IF(CK653="pass",ROUND(N(DO653)+N(DP653)+N(DQ653)+N(DR653)+N(DS653)+N(DT653)+N(DU653)+N(DV653),0),0))</f>
        <v/>
      </c>
      <c r="K653" s="0" t="str">
        <f aca="false">IF($A653="","",IF(CK653&lt;&gt;"pass",BY653&amp;"",BY653&amp;", "&amp;IF(AT653="Y",BX653&amp;"",BK653&amp;"")&amp;BZ653&amp;IF(R653="Y","; known to the founder (+10)","")&amp;"."))</f>
        <v/>
      </c>
      <c r="R653" s="5"/>
      <c r="T653" s="5"/>
      <c r="U653" s="5"/>
      <c r="Y653" s="0" t="str">
        <f aca="false">IF(FA653&lt;&gt;"Y","",COUNTIFS($FA$2:$FA$1000,"Y",$J$2:$J$1000,"&gt;"&amp;J653)+COUNTIFS($FA$2:$FA$1000,"Y",$J$2:$J$1000,J653,$FG$2:$FG$1000,"&lt;"&amp;FG653)+1)</f>
        <v/>
      </c>
      <c r="AB653" s="0" t="str">
        <f aca="false">IF($A653="","",IF(AT653="Y",BW653&amp;"",BJ653&amp;""))</f>
        <v/>
      </c>
      <c r="AC653" s="0" t="str">
        <f aca="false">IF($A653="","",IF(AT653="Y",BR653&amp;"",BE653&amp;""))</f>
        <v/>
      </c>
      <c r="AD653" s="0" t="str">
        <f aca="false">IF($A653="","",IF(AT653="Y",BS653&amp;"",BF653&amp;""))</f>
        <v/>
      </c>
      <c r="AE653" s="0" t="str">
        <f aca="false">IF($A653="","",IF(AT653="Y",BT653&amp;"",BG653&amp;""))</f>
        <v/>
      </c>
      <c r="AF653" s="0" t="str">
        <f aca="false">IF($A653="","",IF(AT653="Y",BU653&amp;"",BH653&amp;""))</f>
        <v/>
      </c>
      <c r="AG653" s="0" t="str">
        <f aca="false">IF($A653="","",IF(AT653="Y",BV653&amp;"",BI653&amp;""))</f>
        <v/>
      </c>
      <c r="AO653" s="5"/>
      <c r="AR653" s="0" t="str">
        <f aca="false">IF($A653="","",IF(AND(CK653="pass",AO653&lt;&gt;"Y",C653&lt;&gt;"",OR(AU653&lt;&gt;"Y",AV653="Y")),"Y","N"))</f>
        <v/>
      </c>
      <c r="AS653" s="0" t="str">
        <f aca="false">IF($A653="","",_xlfn.TEXTJOIN("; ",TRUE(),IF(CK653&lt;&gt;"pass","gated out",""),IF(AO653="Y","on hold: "&amp;AP653,""),IF(C653="","no contact named on an opened page",""),IF(AND(AU653="Y",AV653&lt;&gt;"Y"),"founder review pending (Founder review tab)","")))</f>
        <v/>
      </c>
      <c r="BC653" s="0" t="str">
        <f aca="false">IF($A653="","",IFERROR(INDEX(Enrichment!$A$2:$GZ$2000,MATCH($A653,INDEX(Enrichment!$A$2:$GZ$2000,0,MATCH("row_id",Enrichment!$A$1:$GZ$1,0)),0),MATCH("work_email",Enrichment!$A$1:$GZ$1,0))&amp;"",""))</f>
        <v/>
      </c>
      <c r="BD653" s="0" t="str">
        <f aca="false">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P653" s="0" t="str">
        <f aca="false">IF($A653="","",IFERROR(INDEX(Enrichment!$A$2:$GZ$2000,MATCH($A653,INDEX(Enrichment!$A$2:$GZ$2000,0,MATCH("row_id",Enrichment!$A$1:$GZ$1,0)),0),MATCH("backup_work_email",Enrichment!$A$1:$GZ$1,0))&amp;"",""))</f>
        <v/>
      </c>
      <c r="BQ653" s="0" t="str">
        <f aca="false">IF($A653="","",IF(BP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DU653" s="0" t="str">
        <f aca="false">IF($A653="","",IF(R653="Y",10,0))</f>
        <v/>
      </c>
      <c r="EV653" s="0" t="str">
        <f aca="false">IF($A653="","",IF(ISNUMBER(MATCH(U653,{"queued","contacted","replied","call_booked","call_done","yes_in_principle","materials_sent"},0)),"Y","N"))</f>
        <v/>
      </c>
      <c r="EW653" s="0" t="str">
        <f aca="false">IF($A653="","",IF(OR(T653="Y",U653="do_not_contact",AQ653&amp;""&lt;&gt;""),"Y","N"))</f>
        <v/>
      </c>
      <c r="EX653" s="0" t="str">
        <f aca="false">IF($A653="","",IF(AN653&amp;""&lt;&gt;"",AN653&amp;"",$A653))</f>
        <v/>
      </c>
      <c r="EY653" s="0" t="str">
        <f aca="false">IF($A653="","",IF(COUNTIFS($EX$2:$EX$1000,EX653,$EV$2:$EV$1000,"Y")+COUNTIFS($EX$2:$EX$1000,EX653,$EW$2:$EW$1000,"Y")&gt;0,"Y","N"))</f>
        <v/>
      </c>
      <c r="EZ653" s="0" t="str">
        <f aca="false">IF($A653="","",IF(AND(U653="new",T653="N",EW653="N",AR653="Y",EY653="N"),"Y","N"))</f>
        <v/>
      </c>
      <c r="FA653" s="0" t="str">
        <f aca="false">IF($A653="","",IF(EZ653&lt;&gt;"Y","N",IF(COUNTIFS($EX$2:$EX$1000,EX653,$EZ$2:$EZ$1000,"Y",$J$2:$J$1000,"&gt;"&amp;J653)+COUNTIFS($EX$2:$EX$1000,EX653,$EZ$2:$EZ$1000,"Y",$J$2:$J$1000,J653,$FG$2:$FG$1000,"&lt;"&amp;FG653)=0,"Y","N")))</f>
        <v/>
      </c>
      <c r="FB653" s="0" t="str">
        <f aca="false">IF($A653="","",IF(AND(EZ653="Y",FA653="Y",Y653&amp;""&lt;&gt;""),IF(Y653&lt;=10,"Y","N"),"N"))</f>
        <v/>
      </c>
      <c r="FC653" s="0" t="str">
        <f aca="false">IF(FB653="Y",Y653,"")</f>
        <v/>
      </c>
      <c r="FD653" s="0" t="str">
        <f aca="false">IF($A653="","",IF(AND(CK653="pass",AU653="Y",AV653&lt;&gt;"Y",U653="new",EW653="N"),"Y","N"))</f>
        <v/>
      </c>
      <c r="FE653" s="0" t="str">
        <f aca="false">IF(FD653&lt;&gt;"Y","",IF(COUNTIFS($FD$2:$FD$1000,"Y",$J$2:$J$1000,"&gt;"&amp;J653)+COUNTIFS($FD$2:$FD$1000,"Y",$J$2:$J$1000,J653,$FG$2:$FG$1000,"&lt;"&amp;FG653)+1&lt;=30,COUNTIFS($FD$2:$FD$1000,"Y",$J$2:$J$1000,"&gt;"&amp;J653)+COUNTIFS($FD$2:$FD$1000,"Y",$J$2:$J$1000,J653,$FG$2:$FG$1000,"&lt;"&amp;FG653)+1,""))</f>
        <v/>
      </c>
      <c r="FF653" s="0" t="str">
        <f aca="false">IF(AND(_xlfn.ISFORMULA(C653),_xlfn.ISFORMULA(J653)),"Y","N")</f>
        <v>Y</v>
      </c>
      <c r="FG653" s="0" t="n">
        <f aca="false">ROW()-1</f>
        <v>652</v>
      </c>
    </row>
    <row r="654" customFormat="false" ht="15" hidden="false" customHeight="false" outlineLevel="0" collapsed="false">
      <c r="C654" s="0" t="str">
        <f aca="false">IF($A654="","",IF(AT654="Y",BL654&amp;"",AY654&amp;""))</f>
        <v/>
      </c>
      <c r="D654" s="0" t="str">
        <f aca="false">IF($A654="","",IF(AT654="Y",BM654&amp;"",AZ654&amp;""))</f>
        <v/>
      </c>
      <c r="E654" s="0" t="str">
        <f aca="false">IF($A654="","",IF(AT654="Y",BN654&amp;"",BA654&amp;""))</f>
        <v/>
      </c>
      <c r="F654" s="0" t="str">
        <f aca="false">IF($A654="","",IF(AT654="Y",BO654&amp;"",BB654&amp;""))</f>
        <v/>
      </c>
      <c r="G654" s="0" t="str">
        <f aca="false">IF($A654="","",IF(AT654="Y",BP654&amp;"",BC654&amp;""))</f>
        <v/>
      </c>
      <c r="H654" s="0" t="str">
        <f aca="false">IF($A654="","",IF(AT654="Y",BQ654&amp;"",BD654&amp;""))</f>
        <v/>
      </c>
      <c r="I654" s="0" t="str">
        <f aca="false">IF($A654="","",IF(R654="Y","warm-intro",IF(H654="verified","email",IF(C654&lt;&gt;"","linkedin",CA654&amp;""))))</f>
        <v/>
      </c>
      <c r="J654" s="0" t="str">
        <f aca="false">IF($A654="","",IF(CK654="pass",ROUND(N(DO654)+N(DP654)+N(DQ654)+N(DR654)+N(DS654)+N(DT654)+N(DU654)+N(DV654),0),0))</f>
        <v/>
      </c>
      <c r="K654" s="0" t="str">
        <f aca="false">IF($A654="","",IF(CK654&lt;&gt;"pass",BY654&amp;"",BY654&amp;", "&amp;IF(AT654="Y",BX654&amp;"",BK654&amp;"")&amp;BZ654&amp;IF(R654="Y","; known to the founder (+10)","")&amp;"."))</f>
        <v/>
      </c>
      <c r="R654" s="5"/>
      <c r="T654" s="5"/>
      <c r="U654" s="5"/>
      <c r="Y654" s="0" t="str">
        <f aca="false">IF(FA654&lt;&gt;"Y","",COUNTIFS($FA$2:$FA$1000,"Y",$J$2:$J$1000,"&gt;"&amp;J654)+COUNTIFS($FA$2:$FA$1000,"Y",$J$2:$J$1000,J654,$FG$2:$FG$1000,"&lt;"&amp;FG654)+1)</f>
        <v/>
      </c>
      <c r="AB654" s="0" t="str">
        <f aca="false">IF($A654="","",IF(AT654="Y",BW654&amp;"",BJ654&amp;""))</f>
        <v/>
      </c>
      <c r="AC654" s="0" t="str">
        <f aca="false">IF($A654="","",IF(AT654="Y",BR654&amp;"",BE654&amp;""))</f>
        <v/>
      </c>
      <c r="AD654" s="0" t="str">
        <f aca="false">IF($A654="","",IF(AT654="Y",BS654&amp;"",BF654&amp;""))</f>
        <v/>
      </c>
      <c r="AE654" s="0" t="str">
        <f aca="false">IF($A654="","",IF(AT654="Y",BT654&amp;"",BG654&amp;""))</f>
        <v/>
      </c>
      <c r="AF654" s="0" t="str">
        <f aca="false">IF($A654="","",IF(AT654="Y",BU654&amp;"",BH654&amp;""))</f>
        <v/>
      </c>
      <c r="AG654" s="0" t="str">
        <f aca="false">IF($A654="","",IF(AT654="Y",BV654&amp;"",BI654&amp;""))</f>
        <v/>
      </c>
      <c r="AO654" s="5"/>
      <c r="AR654" s="0" t="str">
        <f aca="false">IF($A654="","",IF(AND(CK654="pass",AO654&lt;&gt;"Y",C654&lt;&gt;"",OR(AU654&lt;&gt;"Y",AV654="Y")),"Y","N"))</f>
        <v/>
      </c>
      <c r="AS654" s="0" t="str">
        <f aca="false">IF($A654="","",_xlfn.TEXTJOIN("; ",TRUE(),IF(CK654&lt;&gt;"pass","gated out",""),IF(AO654="Y","on hold: "&amp;AP654,""),IF(C654="","no contact named on an opened page",""),IF(AND(AU654="Y",AV654&lt;&gt;"Y"),"founder review pending (Founder review tab)","")))</f>
        <v/>
      </c>
      <c r="BC654" s="0" t="str">
        <f aca="false">IF($A654="","",IFERROR(INDEX(Enrichment!$A$2:$GZ$2000,MATCH($A654,INDEX(Enrichment!$A$2:$GZ$2000,0,MATCH("row_id",Enrichment!$A$1:$GZ$1,0)),0),MATCH("work_email",Enrichment!$A$1:$GZ$1,0))&amp;"",""))</f>
        <v/>
      </c>
      <c r="BD654" s="0" t="str">
        <f aca="false">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P654" s="0" t="str">
        <f aca="false">IF($A654="","",IFERROR(INDEX(Enrichment!$A$2:$GZ$2000,MATCH($A654,INDEX(Enrichment!$A$2:$GZ$2000,0,MATCH("row_id",Enrichment!$A$1:$GZ$1,0)),0),MATCH("backup_work_email",Enrichment!$A$1:$GZ$1,0))&amp;"",""))</f>
        <v/>
      </c>
      <c r="BQ654" s="0" t="str">
        <f aca="false">IF($A654="","",IF(BP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DU654" s="0" t="str">
        <f aca="false">IF($A654="","",IF(R654="Y",10,0))</f>
        <v/>
      </c>
      <c r="EV654" s="0" t="str">
        <f aca="false">IF($A654="","",IF(ISNUMBER(MATCH(U654,{"queued","contacted","replied","call_booked","call_done","yes_in_principle","materials_sent"},0)),"Y","N"))</f>
        <v/>
      </c>
      <c r="EW654" s="0" t="str">
        <f aca="false">IF($A654="","",IF(OR(T654="Y",U654="do_not_contact",AQ654&amp;""&lt;&gt;""),"Y","N"))</f>
        <v/>
      </c>
      <c r="EX654" s="0" t="str">
        <f aca="false">IF($A654="","",IF(AN654&amp;""&lt;&gt;"",AN654&amp;"",$A654))</f>
        <v/>
      </c>
      <c r="EY654" s="0" t="str">
        <f aca="false">IF($A654="","",IF(COUNTIFS($EX$2:$EX$1000,EX654,$EV$2:$EV$1000,"Y")+COUNTIFS($EX$2:$EX$1000,EX654,$EW$2:$EW$1000,"Y")&gt;0,"Y","N"))</f>
        <v/>
      </c>
      <c r="EZ654" s="0" t="str">
        <f aca="false">IF($A654="","",IF(AND(U654="new",T654="N",EW654="N",AR654="Y",EY654="N"),"Y","N"))</f>
        <v/>
      </c>
      <c r="FA654" s="0" t="str">
        <f aca="false">IF($A654="","",IF(EZ654&lt;&gt;"Y","N",IF(COUNTIFS($EX$2:$EX$1000,EX654,$EZ$2:$EZ$1000,"Y",$J$2:$J$1000,"&gt;"&amp;J654)+COUNTIFS($EX$2:$EX$1000,EX654,$EZ$2:$EZ$1000,"Y",$J$2:$J$1000,J654,$FG$2:$FG$1000,"&lt;"&amp;FG654)=0,"Y","N")))</f>
        <v/>
      </c>
      <c r="FB654" s="0" t="str">
        <f aca="false">IF($A654="","",IF(AND(EZ654="Y",FA654="Y",Y654&amp;""&lt;&gt;""),IF(Y654&lt;=10,"Y","N"),"N"))</f>
        <v/>
      </c>
      <c r="FC654" s="0" t="str">
        <f aca="false">IF(FB654="Y",Y654,"")</f>
        <v/>
      </c>
      <c r="FD654" s="0" t="str">
        <f aca="false">IF($A654="","",IF(AND(CK654="pass",AU654="Y",AV654&lt;&gt;"Y",U654="new",EW654="N"),"Y","N"))</f>
        <v/>
      </c>
      <c r="FE654" s="0" t="str">
        <f aca="false">IF(FD654&lt;&gt;"Y","",IF(COUNTIFS($FD$2:$FD$1000,"Y",$J$2:$J$1000,"&gt;"&amp;J654)+COUNTIFS($FD$2:$FD$1000,"Y",$J$2:$J$1000,J654,$FG$2:$FG$1000,"&lt;"&amp;FG654)+1&lt;=30,COUNTIFS($FD$2:$FD$1000,"Y",$J$2:$J$1000,"&gt;"&amp;J654)+COUNTIFS($FD$2:$FD$1000,"Y",$J$2:$J$1000,J654,$FG$2:$FG$1000,"&lt;"&amp;FG654)+1,""))</f>
        <v/>
      </c>
      <c r="FF654" s="0" t="str">
        <f aca="false">IF(AND(_xlfn.ISFORMULA(C654),_xlfn.ISFORMULA(J654)),"Y","N")</f>
        <v>Y</v>
      </c>
      <c r="FG654" s="0" t="n">
        <f aca="false">ROW()-1</f>
        <v>653</v>
      </c>
    </row>
    <row r="655" customFormat="false" ht="15" hidden="false" customHeight="false" outlineLevel="0" collapsed="false">
      <c r="C655" s="0" t="str">
        <f aca="false">IF($A655="","",IF(AT655="Y",BL655&amp;"",AY655&amp;""))</f>
        <v/>
      </c>
      <c r="D655" s="0" t="str">
        <f aca="false">IF($A655="","",IF(AT655="Y",BM655&amp;"",AZ655&amp;""))</f>
        <v/>
      </c>
      <c r="E655" s="0" t="str">
        <f aca="false">IF($A655="","",IF(AT655="Y",BN655&amp;"",BA655&amp;""))</f>
        <v/>
      </c>
      <c r="F655" s="0" t="str">
        <f aca="false">IF($A655="","",IF(AT655="Y",BO655&amp;"",BB655&amp;""))</f>
        <v/>
      </c>
      <c r="G655" s="0" t="str">
        <f aca="false">IF($A655="","",IF(AT655="Y",BP655&amp;"",BC655&amp;""))</f>
        <v/>
      </c>
      <c r="H655" s="0" t="str">
        <f aca="false">IF($A655="","",IF(AT655="Y",BQ655&amp;"",BD655&amp;""))</f>
        <v/>
      </c>
      <c r="I655" s="0" t="str">
        <f aca="false">IF($A655="","",IF(R655="Y","warm-intro",IF(H655="verified","email",IF(C655&lt;&gt;"","linkedin",CA655&amp;""))))</f>
        <v/>
      </c>
      <c r="J655" s="0" t="str">
        <f aca="false">IF($A655="","",IF(CK655="pass",ROUND(N(DO655)+N(DP655)+N(DQ655)+N(DR655)+N(DS655)+N(DT655)+N(DU655)+N(DV655),0),0))</f>
        <v/>
      </c>
      <c r="K655" s="0" t="str">
        <f aca="false">IF($A655="","",IF(CK655&lt;&gt;"pass",BY655&amp;"",BY655&amp;", "&amp;IF(AT655="Y",BX655&amp;"",BK655&amp;"")&amp;BZ655&amp;IF(R655="Y","; known to the founder (+10)","")&amp;"."))</f>
        <v/>
      </c>
      <c r="R655" s="5"/>
      <c r="T655" s="5"/>
      <c r="U655" s="5"/>
      <c r="Y655" s="0" t="str">
        <f aca="false">IF(FA655&lt;&gt;"Y","",COUNTIFS($FA$2:$FA$1000,"Y",$J$2:$J$1000,"&gt;"&amp;J655)+COUNTIFS($FA$2:$FA$1000,"Y",$J$2:$J$1000,J655,$FG$2:$FG$1000,"&lt;"&amp;FG655)+1)</f>
        <v/>
      </c>
      <c r="AB655" s="0" t="str">
        <f aca="false">IF($A655="","",IF(AT655="Y",BW655&amp;"",BJ655&amp;""))</f>
        <v/>
      </c>
      <c r="AC655" s="0" t="str">
        <f aca="false">IF($A655="","",IF(AT655="Y",BR655&amp;"",BE655&amp;""))</f>
        <v/>
      </c>
      <c r="AD655" s="0" t="str">
        <f aca="false">IF($A655="","",IF(AT655="Y",BS655&amp;"",BF655&amp;""))</f>
        <v/>
      </c>
      <c r="AE655" s="0" t="str">
        <f aca="false">IF($A655="","",IF(AT655="Y",BT655&amp;"",BG655&amp;""))</f>
        <v/>
      </c>
      <c r="AF655" s="0" t="str">
        <f aca="false">IF($A655="","",IF(AT655="Y",BU655&amp;"",BH655&amp;""))</f>
        <v/>
      </c>
      <c r="AG655" s="0" t="str">
        <f aca="false">IF($A655="","",IF(AT655="Y",BV655&amp;"",BI655&amp;""))</f>
        <v/>
      </c>
      <c r="AO655" s="5"/>
      <c r="AR655" s="0" t="str">
        <f aca="false">IF($A655="","",IF(AND(CK655="pass",AO655&lt;&gt;"Y",C655&lt;&gt;"",OR(AU655&lt;&gt;"Y",AV655="Y")),"Y","N"))</f>
        <v/>
      </c>
      <c r="AS655" s="0" t="str">
        <f aca="false">IF($A655="","",_xlfn.TEXTJOIN("; ",TRUE(),IF(CK655&lt;&gt;"pass","gated out",""),IF(AO655="Y","on hold: "&amp;AP655,""),IF(C655="","no contact named on an opened page",""),IF(AND(AU655="Y",AV655&lt;&gt;"Y"),"founder review pending (Founder review tab)","")))</f>
        <v/>
      </c>
      <c r="BC655" s="0" t="str">
        <f aca="false">IF($A655="","",IFERROR(INDEX(Enrichment!$A$2:$GZ$2000,MATCH($A655,INDEX(Enrichment!$A$2:$GZ$2000,0,MATCH("row_id",Enrichment!$A$1:$GZ$1,0)),0),MATCH("work_email",Enrichment!$A$1:$GZ$1,0))&amp;"",""))</f>
        <v/>
      </c>
      <c r="BD655" s="0" t="str">
        <f aca="false">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P655" s="0" t="str">
        <f aca="false">IF($A655="","",IFERROR(INDEX(Enrichment!$A$2:$GZ$2000,MATCH($A655,INDEX(Enrichment!$A$2:$GZ$2000,0,MATCH("row_id",Enrichment!$A$1:$GZ$1,0)),0),MATCH("backup_work_email",Enrichment!$A$1:$GZ$1,0))&amp;"",""))</f>
        <v/>
      </c>
      <c r="BQ655" s="0" t="str">
        <f aca="false">IF($A655="","",IF(BP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DU655" s="0" t="str">
        <f aca="false">IF($A655="","",IF(R655="Y",10,0))</f>
        <v/>
      </c>
      <c r="EV655" s="0" t="str">
        <f aca="false">IF($A655="","",IF(ISNUMBER(MATCH(U655,{"queued","contacted","replied","call_booked","call_done","yes_in_principle","materials_sent"},0)),"Y","N"))</f>
        <v/>
      </c>
      <c r="EW655" s="0" t="str">
        <f aca="false">IF($A655="","",IF(OR(T655="Y",U655="do_not_contact",AQ655&amp;""&lt;&gt;""),"Y","N"))</f>
        <v/>
      </c>
      <c r="EX655" s="0" t="str">
        <f aca="false">IF($A655="","",IF(AN655&amp;""&lt;&gt;"",AN655&amp;"",$A655))</f>
        <v/>
      </c>
      <c r="EY655" s="0" t="str">
        <f aca="false">IF($A655="","",IF(COUNTIFS($EX$2:$EX$1000,EX655,$EV$2:$EV$1000,"Y")+COUNTIFS($EX$2:$EX$1000,EX655,$EW$2:$EW$1000,"Y")&gt;0,"Y","N"))</f>
        <v/>
      </c>
      <c r="EZ655" s="0" t="str">
        <f aca="false">IF($A655="","",IF(AND(U655="new",T655="N",EW655="N",AR655="Y",EY655="N"),"Y","N"))</f>
        <v/>
      </c>
      <c r="FA655" s="0" t="str">
        <f aca="false">IF($A655="","",IF(EZ655&lt;&gt;"Y","N",IF(COUNTIFS($EX$2:$EX$1000,EX655,$EZ$2:$EZ$1000,"Y",$J$2:$J$1000,"&gt;"&amp;J655)+COUNTIFS($EX$2:$EX$1000,EX655,$EZ$2:$EZ$1000,"Y",$J$2:$J$1000,J655,$FG$2:$FG$1000,"&lt;"&amp;FG655)=0,"Y","N")))</f>
        <v/>
      </c>
      <c r="FB655" s="0" t="str">
        <f aca="false">IF($A655="","",IF(AND(EZ655="Y",FA655="Y",Y655&amp;""&lt;&gt;""),IF(Y655&lt;=10,"Y","N"),"N"))</f>
        <v/>
      </c>
      <c r="FC655" s="0" t="str">
        <f aca="false">IF(FB655="Y",Y655,"")</f>
        <v/>
      </c>
      <c r="FD655" s="0" t="str">
        <f aca="false">IF($A655="","",IF(AND(CK655="pass",AU655="Y",AV655&lt;&gt;"Y",U655="new",EW655="N"),"Y","N"))</f>
        <v/>
      </c>
      <c r="FE655" s="0" t="str">
        <f aca="false">IF(FD655&lt;&gt;"Y","",IF(COUNTIFS($FD$2:$FD$1000,"Y",$J$2:$J$1000,"&gt;"&amp;J655)+COUNTIFS($FD$2:$FD$1000,"Y",$J$2:$J$1000,J655,$FG$2:$FG$1000,"&lt;"&amp;FG655)+1&lt;=30,COUNTIFS($FD$2:$FD$1000,"Y",$J$2:$J$1000,"&gt;"&amp;J655)+COUNTIFS($FD$2:$FD$1000,"Y",$J$2:$J$1000,J655,$FG$2:$FG$1000,"&lt;"&amp;FG655)+1,""))</f>
        <v/>
      </c>
      <c r="FF655" s="0" t="str">
        <f aca="false">IF(AND(_xlfn.ISFORMULA(C655),_xlfn.ISFORMULA(J655)),"Y","N")</f>
        <v>Y</v>
      </c>
      <c r="FG655" s="0" t="n">
        <f aca="false">ROW()-1</f>
        <v>654</v>
      </c>
    </row>
    <row r="656" customFormat="false" ht="15" hidden="false" customHeight="false" outlineLevel="0" collapsed="false">
      <c r="C656" s="0" t="str">
        <f aca="false">IF($A656="","",IF(AT656="Y",BL656&amp;"",AY656&amp;""))</f>
        <v/>
      </c>
      <c r="D656" s="0" t="str">
        <f aca="false">IF($A656="","",IF(AT656="Y",BM656&amp;"",AZ656&amp;""))</f>
        <v/>
      </c>
      <c r="E656" s="0" t="str">
        <f aca="false">IF($A656="","",IF(AT656="Y",BN656&amp;"",BA656&amp;""))</f>
        <v/>
      </c>
      <c r="F656" s="0" t="str">
        <f aca="false">IF($A656="","",IF(AT656="Y",BO656&amp;"",BB656&amp;""))</f>
        <v/>
      </c>
      <c r="G656" s="0" t="str">
        <f aca="false">IF($A656="","",IF(AT656="Y",BP656&amp;"",BC656&amp;""))</f>
        <v/>
      </c>
      <c r="H656" s="0" t="str">
        <f aca="false">IF($A656="","",IF(AT656="Y",BQ656&amp;"",BD656&amp;""))</f>
        <v/>
      </c>
      <c r="I656" s="0" t="str">
        <f aca="false">IF($A656="","",IF(R656="Y","warm-intro",IF(H656="verified","email",IF(C656&lt;&gt;"","linkedin",CA656&amp;""))))</f>
        <v/>
      </c>
      <c r="J656" s="0" t="str">
        <f aca="false">IF($A656="","",IF(CK656="pass",ROUND(N(DO656)+N(DP656)+N(DQ656)+N(DR656)+N(DS656)+N(DT656)+N(DU656)+N(DV656),0),0))</f>
        <v/>
      </c>
      <c r="K656" s="0" t="str">
        <f aca="false">IF($A656="","",IF(CK656&lt;&gt;"pass",BY656&amp;"",BY656&amp;", "&amp;IF(AT656="Y",BX656&amp;"",BK656&amp;"")&amp;BZ656&amp;IF(R656="Y","; known to the founder (+10)","")&amp;"."))</f>
        <v/>
      </c>
      <c r="R656" s="5"/>
      <c r="T656" s="5"/>
      <c r="U656" s="5"/>
      <c r="Y656" s="0" t="str">
        <f aca="false">IF(FA656&lt;&gt;"Y","",COUNTIFS($FA$2:$FA$1000,"Y",$J$2:$J$1000,"&gt;"&amp;J656)+COUNTIFS($FA$2:$FA$1000,"Y",$J$2:$J$1000,J656,$FG$2:$FG$1000,"&lt;"&amp;FG656)+1)</f>
        <v/>
      </c>
      <c r="AB656" s="0" t="str">
        <f aca="false">IF($A656="","",IF(AT656="Y",BW656&amp;"",BJ656&amp;""))</f>
        <v/>
      </c>
      <c r="AC656" s="0" t="str">
        <f aca="false">IF($A656="","",IF(AT656="Y",BR656&amp;"",BE656&amp;""))</f>
        <v/>
      </c>
      <c r="AD656" s="0" t="str">
        <f aca="false">IF($A656="","",IF(AT656="Y",BS656&amp;"",BF656&amp;""))</f>
        <v/>
      </c>
      <c r="AE656" s="0" t="str">
        <f aca="false">IF($A656="","",IF(AT656="Y",BT656&amp;"",BG656&amp;""))</f>
        <v/>
      </c>
      <c r="AF656" s="0" t="str">
        <f aca="false">IF($A656="","",IF(AT656="Y",BU656&amp;"",BH656&amp;""))</f>
        <v/>
      </c>
      <c r="AG656" s="0" t="str">
        <f aca="false">IF($A656="","",IF(AT656="Y",BV656&amp;"",BI656&amp;""))</f>
        <v/>
      </c>
      <c r="AO656" s="5"/>
      <c r="AR656" s="0" t="str">
        <f aca="false">IF($A656="","",IF(AND(CK656="pass",AO656&lt;&gt;"Y",C656&lt;&gt;"",OR(AU656&lt;&gt;"Y",AV656="Y")),"Y","N"))</f>
        <v/>
      </c>
      <c r="AS656" s="0" t="str">
        <f aca="false">IF($A656="","",_xlfn.TEXTJOIN("; ",TRUE(),IF(CK656&lt;&gt;"pass","gated out",""),IF(AO656="Y","on hold: "&amp;AP656,""),IF(C656="","no contact named on an opened page",""),IF(AND(AU656="Y",AV656&lt;&gt;"Y"),"founder review pending (Founder review tab)","")))</f>
        <v/>
      </c>
      <c r="BC656" s="0" t="str">
        <f aca="false">IF($A656="","",IFERROR(INDEX(Enrichment!$A$2:$GZ$2000,MATCH($A656,INDEX(Enrichment!$A$2:$GZ$2000,0,MATCH("row_id",Enrichment!$A$1:$GZ$1,0)),0),MATCH("work_email",Enrichment!$A$1:$GZ$1,0))&amp;"",""))</f>
        <v/>
      </c>
      <c r="BD656" s="0" t="str">
        <f aca="false">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P656" s="0" t="str">
        <f aca="false">IF($A656="","",IFERROR(INDEX(Enrichment!$A$2:$GZ$2000,MATCH($A656,INDEX(Enrichment!$A$2:$GZ$2000,0,MATCH("row_id",Enrichment!$A$1:$GZ$1,0)),0),MATCH("backup_work_email",Enrichment!$A$1:$GZ$1,0))&amp;"",""))</f>
        <v/>
      </c>
      <c r="BQ656" s="0" t="str">
        <f aca="false">IF($A656="","",IF(BP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DU656" s="0" t="str">
        <f aca="false">IF($A656="","",IF(R656="Y",10,0))</f>
        <v/>
      </c>
      <c r="EV656" s="0" t="str">
        <f aca="false">IF($A656="","",IF(ISNUMBER(MATCH(U656,{"queued","contacted","replied","call_booked","call_done","yes_in_principle","materials_sent"},0)),"Y","N"))</f>
        <v/>
      </c>
      <c r="EW656" s="0" t="str">
        <f aca="false">IF($A656="","",IF(OR(T656="Y",U656="do_not_contact",AQ656&amp;""&lt;&gt;""),"Y","N"))</f>
        <v/>
      </c>
      <c r="EX656" s="0" t="str">
        <f aca="false">IF($A656="","",IF(AN656&amp;""&lt;&gt;"",AN656&amp;"",$A656))</f>
        <v/>
      </c>
      <c r="EY656" s="0" t="str">
        <f aca="false">IF($A656="","",IF(COUNTIFS($EX$2:$EX$1000,EX656,$EV$2:$EV$1000,"Y")+COUNTIFS($EX$2:$EX$1000,EX656,$EW$2:$EW$1000,"Y")&gt;0,"Y","N"))</f>
        <v/>
      </c>
      <c r="EZ656" s="0" t="str">
        <f aca="false">IF($A656="","",IF(AND(U656="new",T656="N",EW656="N",AR656="Y",EY656="N"),"Y","N"))</f>
        <v/>
      </c>
      <c r="FA656" s="0" t="str">
        <f aca="false">IF($A656="","",IF(EZ656&lt;&gt;"Y","N",IF(COUNTIFS($EX$2:$EX$1000,EX656,$EZ$2:$EZ$1000,"Y",$J$2:$J$1000,"&gt;"&amp;J656)+COUNTIFS($EX$2:$EX$1000,EX656,$EZ$2:$EZ$1000,"Y",$J$2:$J$1000,J656,$FG$2:$FG$1000,"&lt;"&amp;FG656)=0,"Y","N")))</f>
        <v/>
      </c>
      <c r="FB656" s="0" t="str">
        <f aca="false">IF($A656="","",IF(AND(EZ656="Y",FA656="Y",Y656&amp;""&lt;&gt;""),IF(Y656&lt;=10,"Y","N"),"N"))</f>
        <v/>
      </c>
      <c r="FC656" s="0" t="str">
        <f aca="false">IF(FB656="Y",Y656,"")</f>
        <v/>
      </c>
      <c r="FD656" s="0" t="str">
        <f aca="false">IF($A656="","",IF(AND(CK656="pass",AU656="Y",AV656&lt;&gt;"Y",U656="new",EW656="N"),"Y","N"))</f>
        <v/>
      </c>
      <c r="FE656" s="0" t="str">
        <f aca="false">IF(FD656&lt;&gt;"Y","",IF(COUNTIFS($FD$2:$FD$1000,"Y",$J$2:$J$1000,"&gt;"&amp;J656)+COUNTIFS($FD$2:$FD$1000,"Y",$J$2:$J$1000,J656,$FG$2:$FG$1000,"&lt;"&amp;FG656)+1&lt;=30,COUNTIFS($FD$2:$FD$1000,"Y",$J$2:$J$1000,"&gt;"&amp;J656)+COUNTIFS($FD$2:$FD$1000,"Y",$J$2:$J$1000,J656,$FG$2:$FG$1000,"&lt;"&amp;FG656)+1,""))</f>
        <v/>
      </c>
      <c r="FF656" s="0" t="str">
        <f aca="false">IF(AND(_xlfn.ISFORMULA(C656),_xlfn.ISFORMULA(J656)),"Y","N")</f>
        <v>Y</v>
      </c>
      <c r="FG656" s="0" t="n">
        <f aca="false">ROW()-1</f>
        <v>655</v>
      </c>
    </row>
    <row r="657" customFormat="false" ht="15" hidden="false" customHeight="false" outlineLevel="0" collapsed="false">
      <c r="C657" s="0" t="str">
        <f aca="false">IF($A657="","",IF(AT657="Y",BL657&amp;"",AY657&amp;""))</f>
        <v/>
      </c>
      <c r="D657" s="0" t="str">
        <f aca="false">IF($A657="","",IF(AT657="Y",BM657&amp;"",AZ657&amp;""))</f>
        <v/>
      </c>
      <c r="E657" s="0" t="str">
        <f aca="false">IF($A657="","",IF(AT657="Y",BN657&amp;"",BA657&amp;""))</f>
        <v/>
      </c>
      <c r="F657" s="0" t="str">
        <f aca="false">IF($A657="","",IF(AT657="Y",BO657&amp;"",BB657&amp;""))</f>
        <v/>
      </c>
      <c r="G657" s="0" t="str">
        <f aca="false">IF($A657="","",IF(AT657="Y",BP657&amp;"",BC657&amp;""))</f>
        <v/>
      </c>
      <c r="H657" s="0" t="str">
        <f aca="false">IF($A657="","",IF(AT657="Y",BQ657&amp;"",BD657&amp;""))</f>
        <v/>
      </c>
      <c r="I657" s="0" t="str">
        <f aca="false">IF($A657="","",IF(R657="Y","warm-intro",IF(H657="verified","email",IF(C657&lt;&gt;"","linkedin",CA657&amp;""))))</f>
        <v/>
      </c>
      <c r="J657" s="0" t="str">
        <f aca="false">IF($A657="","",IF(CK657="pass",ROUND(N(DO657)+N(DP657)+N(DQ657)+N(DR657)+N(DS657)+N(DT657)+N(DU657)+N(DV657),0),0))</f>
        <v/>
      </c>
      <c r="K657" s="0" t="str">
        <f aca="false">IF($A657="","",IF(CK657&lt;&gt;"pass",BY657&amp;"",BY657&amp;", "&amp;IF(AT657="Y",BX657&amp;"",BK657&amp;"")&amp;BZ657&amp;IF(R657="Y","; known to the founder (+10)","")&amp;"."))</f>
        <v/>
      </c>
      <c r="R657" s="5"/>
      <c r="T657" s="5"/>
      <c r="U657" s="5"/>
      <c r="Y657" s="0" t="str">
        <f aca="false">IF(FA657&lt;&gt;"Y","",COUNTIFS($FA$2:$FA$1000,"Y",$J$2:$J$1000,"&gt;"&amp;J657)+COUNTIFS($FA$2:$FA$1000,"Y",$J$2:$J$1000,J657,$FG$2:$FG$1000,"&lt;"&amp;FG657)+1)</f>
        <v/>
      </c>
      <c r="AB657" s="0" t="str">
        <f aca="false">IF($A657="","",IF(AT657="Y",BW657&amp;"",BJ657&amp;""))</f>
        <v/>
      </c>
      <c r="AC657" s="0" t="str">
        <f aca="false">IF($A657="","",IF(AT657="Y",BR657&amp;"",BE657&amp;""))</f>
        <v/>
      </c>
      <c r="AD657" s="0" t="str">
        <f aca="false">IF($A657="","",IF(AT657="Y",BS657&amp;"",BF657&amp;""))</f>
        <v/>
      </c>
      <c r="AE657" s="0" t="str">
        <f aca="false">IF($A657="","",IF(AT657="Y",BT657&amp;"",BG657&amp;""))</f>
        <v/>
      </c>
      <c r="AF657" s="0" t="str">
        <f aca="false">IF($A657="","",IF(AT657="Y",BU657&amp;"",BH657&amp;""))</f>
        <v/>
      </c>
      <c r="AG657" s="0" t="str">
        <f aca="false">IF($A657="","",IF(AT657="Y",BV657&amp;"",BI657&amp;""))</f>
        <v/>
      </c>
      <c r="AO657" s="5"/>
      <c r="AR657" s="0" t="str">
        <f aca="false">IF($A657="","",IF(AND(CK657="pass",AO657&lt;&gt;"Y",C657&lt;&gt;"",OR(AU657&lt;&gt;"Y",AV657="Y")),"Y","N"))</f>
        <v/>
      </c>
      <c r="AS657" s="0" t="str">
        <f aca="false">IF($A657="","",_xlfn.TEXTJOIN("; ",TRUE(),IF(CK657&lt;&gt;"pass","gated out",""),IF(AO657="Y","on hold: "&amp;AP657,""),IF(C657="","no contact named on an opened page",""),IF(AND(AU657="Y",AV657&lt;&gt;"Y"),"founder review pending (Founder review tab)","")))</f>
        <v/>
      </c>
      <c r="BC657" s="0" t="str">
        <f aca="false">IF($A657="","",IFERROR(INDEX(Enrichment!$A$2:$GZ$2000,MATCH($A657,INDEX(Enrichment!$A$2:$GZ$2000,0,MATCH("row_id",Enrichment!$A$1:$GZ$1,0)),0),MATCH("work_email",Enrichment!$A$1:$GZ$1,0))&amp;"",""))</f>
        <v/>
      </c>
      <c r="BD657" s="0" t="str">
        <f aca="false">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P657" s="0" t="str">
        <f aca="false">IF($A657="","",IFERROR(INDEX(Enrichment!$A$2:$GZ$2000,MATCH($A657,INDEX(Enrichment!$A$2:$GZ$2000,0,MATCH("row_id",Enrichment!$A$1:$GZ$1,0)),0),MATCH("backup_work_email",Enrichment!$A$1:$GZ$1,0))&amp;"",""))</f>
        <v/>
      </c>
      <c r="BQ657" s="0" t="str">
        <f aca="false">IF($A657="","",IF(BP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DU657" s="0" t="str">
        <f aca="false">IF($A657="","",IF(R657="Y",10,0))</f>
        <v/>
      </c>
      <c r="EV657" s="0" t="str">
        <f aca="false">IF($A657="","",IF(ISNUMBER(MATCH(U657,{"queued","contacted","replied","call_booked","call_done","yes_in_principle","materials_sent"},0)),"Y","N"))</f>
        <v/>
      </c>
      <c r="EW657" s="0" t="str">
        <f aca="false">IF($A657="","",IF(OR(T657="Y",U657="do_not_contact",AQ657&amp;""&lt;&gt;""),"Y","N"))</f>
        <v/>
      </c>
      <c r="EX657" s="0" t="str">
        <f aca="false">IF($A657="","",IF(AN657&amp;""&lt;&gt;"",AN657&amp;"",$A657))</f>
        <v/>
      </c>
      <c r="EY657" s="0" t="str">
        <f aca="false">IF($A657="","",IF(COUNTIFS($EX$2:$EX$1000,EX657,$EV$2:$EV$1000,"Y")+COUNTIFS($EX$2:$EX$1000,EX657,$EW$2:$EW$1000,"Y")&gt;0,"Y","N"))</f>
        <v/>
      </c>
      <c r="EZ657" s="0" t="str">
        <f aca="false">IF($A657="","",IF(AND(U657="new",T657="N",EW657="N",AR657="Y",EY657="N"),"Y","N"))</f>
        <v/>
      </c>
      <c r="FA657" s="0" t="str">
        <f aca="false">IF($A657="","",IF(EZ657&lt;&gt;"Y","N",IF(COUNTIFS($EX$2:$EX$1000,EX657,$EZ$2:$EZ$1000,"Y",$J$2:$J$1000,"&gt;"&amp;J657)+COUNTIFS($EX$2:$EX$1000,EX657,$EZ$2:$EZ$1000,"Y",$J$2:$J$1000,J657,$FG$2:$FG$1000,"&lt;"&amp;FG657)=0,"Y","N")))</f>
        <v/>
      </c>
      <c r="FB657" s="0" t="str">
        <f aca="false">IF($A657="","",IF(AND(EZ657="Y",FA657="Y",Y657&amp;""&lt;&gt;""),IF(Y657&lt;=10,"Y","N"),"N"))</f>
        <v/>
      </c>
      <c r="FC657" s="0" t="str">
        <f aca="false">IF(FB657="Y",Y657,"")</f>
        <v/>
      </c>
      <c r="FD657" s="0" t="str">
        <f aca="false">IF($A657="","",IF(AND(CK657="pass",AU657="Y",AV657&lt;&gt;"Y",U657="new",EW657="N"),"Y","N"))</f>
        <v/>
      </c>
      <c r="FE657" s="0" t="str">
        <f aca="false">IF(FD657&lt;&gt;"Y","",IF(COUNTIFS($FD$2:$FD$1000,"Y",$J$2:$J$1000,"&gt;"&amp;J657)+COUNTIFS($FD$2:$FD$1000,"Y",$J$2:$J$1000,J657,$FG$2:$FG$1000,"&lt;"&amp;FG657)+1&lt;=30,COUNTIFS($FD$2:$FD$1000,"Y",$J$2:$J$1000,"&gt;"&amp;J657)+COUNTIFS($FD$2:$FD$1000,"Y",$J$2:$J$1000,J657,$FG$2:$FG$1000,"&lt;"&amp;FG657)+1,""))</f>
        <v/>
      </c>
      <c r="FF657" s="0" t="str">
        <f aca="false">IF(AND(_xlfn.ISFORMULA(C657),_xlfn.ISFORMULA(J657)),"Y","N")</f>
        <v>Y</v>
      </c>
      <c r="FG657" s="0" t="n">
        <f aca="false">ROW()-1</f>
        <v>656</v>
      </c>
    </row>
    <row r="658" customFormat="false" ht="15" hidden="false" customHeight="false" outlineLevel="0" collapsed="false">
      <c r="C658" s="0" t="str">
        <f aca="false">IF($A658="","",IF(AT658="Y",BL658&amp;"",AY658&amp;""))</f>
        <v/>
      </c>
      <c r="D658" s="0" t="str">
        <f aca="false">IF($A658="","",IF(AT658="Y",BM658&amp;"",AZ658&amp;""))</f>
        <v/>
      </c>
      <c r="E658" s="0" t="str">
        <f aca="false">IF($A658="","",IF(AT658="Y",BN658&amp;"",BA658&amp;""))</f>
        <v/>
      </c>
      <c r="F658" s="0" t="str">
        <f aca="false">IF($A658="","",IF(AT658="Y",BO658&amp;"",BB658&amp;""))</f>
        <v/>
      </c>
      <c r="G658" s="0" t="str">
        <f aca="false">IF($A658="","",IF(AT658="Y",BP658&amp;"",BC658&amp;""))</f>
        <v/>
      </c>
      <c r="H658" s="0" t="str">
        <f aca="false">IF($A658="","",IF(AT658="Y",BQ658&amp;"",BD658&amp;""))</f>
        <v/>
      </c>
      <c r="I658" s="0" t="str">
        <f aca="false">IF($A658="","",IF(R658="Y","warm-intro",IF(H658="verified","email",IF(C658&lt;&gt;"","linkedin",CA658&amp;""))))</f>
        <v/>
      </c>
      <c r="J658" s="0" t="str">
        <f aca="false">IF($A658="","",IF(CK658="pass",ROUND(N(DO658)+N(DP658)+N(DQ658)+N(DR658)+N(DS658)+N(DT658)+N(DU658)+N(DV658),0),0))</f>
        <v/>
      </c>
      <c r="K658" s="0" t="str">
        <f aca="false">IF($A658="","",IF(CK658&lt;&gt;"pass",BY658&amp;"",BY658&amp;", "&amp;IF(AT658="Y",BX658&amp;"",BK658&amp;"")&amp;BZ658&amp;IF(R658="Y","; known to the founder (+10)","")&amp;"."))</f>
        <v/>
      </c>
      <c r="R658" s="5"/>
      <c r="T658" s="5"/>
      <c r="U658" s="5"/>
      <c r="Y658" s="0" t="str">
        <f aca="false">IF(FA658&lt;&gt;"Y","",COUNTIFS($FA$2:$FA$1000,"Y",$J$2:$J$1000,"&gt;"&amp;J658)+COUNTIFS($FA$2:$FA$1000,"Y",$J$2:$J$1000,J658,$FG$2:$FG$1000,"&lt;"&amp;FG658)+1)</f>
        <v/>
      </c>
      <c r="AB658" s="0" t="str">
        <f aca="false">IF($A658="","",IF(AT658="Y",BW658&amp;"",BJ658&amp;""))</f>
        <v/>
      </c>
      <c r="AC658" s="0" t="str">
        <f aca="false">IF($A658="","",IF(AT658="Y",BR658&amp;"",BE658&amp;""))</f>
        <v/>
      </c>
      <c r="AD658" s="0" t="str">
        <f aca="false">IF($A658="","",IF(AT658="Y",BS658&amp;"",BF658&amp;""))</f>
        <v/>
      </c>
      <c r="AE658" s="0" t="str">
        <f aca="false">IF($A658="","",IF(AT658="Y",BT658&amp;"",BG658&amp;""))</f>
        <v/>
      </c>
      <c r="AF658" s="0" t="str">
        <f aca="false">IF($A658="","",IF(AT658="Y",BU658&amp;"",BH658&amp;""))</f>
        <v/>
      </c>
      <c r="AG658" s="0" t="str">
        <f aca="false">IF($A658="","",IF(AT658="Y",BV658&amp;"",BI658&amp;""))</f>
        <v/>
      </c>
      <c r="AO658" s="5"/>
      <c r="AR658" s="0" t="str">
        <f aca="false">IF($A658="","",IF(AND(CK658="pass",AO658&lt;&gt;"Y",C658&lt;&gt;"",OR(AU658&lt;&gt;"Y",AV658="Y")),"Y","N"))</f>
        <v/>
      </c>
      <c r="AS658" s="0" t="str">
        <f aca="false">IF($A658="","",_xlfn.TEXTJOIN("; ",TRUE(),IF(CK658&lt;&gt;"pass","gated out",""),IF(AO658="Y","on hold: "&amp;AP658,""),IF(C658="","no contact named on an opened page",""),IF(AND(AU658="Y",AV658&lt;&gt;"Y"),"founder review pending (Founder review tab)","")))</f>
        <v/>
      </c>
      <c r="BC658" s="0" t="str">
        <f aca="false">IF($A658="","",IFERROR(INDEX(Enrichment!$A$2:$GZ$2000,MATCH($A658,INDEX(Enrichment!$A$2:$GZ$2000,0,MATCH("row_id",Enrichment!$A$1:$GZ$1,0)),0),MATCH("work_email",Enrichment!$A$1:$GZ$1,0))&amp;"",""))</f>
        <v/>
      </c>
      <c r="BD658" s="0" t="str">
        <f aca="false">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P658" s="0" t="str">
        <f aca="false">IF($A658="","",IFERROR(INDEX(Enrichment!$A$2:$GZ$2000,MATCH($A658,INDEX(Enrichment!$A$2:$GZ$2000,0,MATCH("row_id",Enrichment!$A$1:$GZ$1,0)),0),MATCH("backup_work_email",Enrichment!$A$1:$GZ$1,0))&amp;"",""))</f>
        <v/>
      </c>
      <c r="BQ658" s="0" t="str">
        <f aca="false">IF($A658="","",IF(BP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DU658" s="0" t="str">
        <f aca="false">IF($A658="","",IF(R658="Y",10,0))</f>
        <v/>
      </c>
      <c r="EV658" s="0" t="str">
        <f aca="false">IF($A658="","",IF(ISNUMBER(MATCH(U658,{"queued","contacted","replied","call_booked","call_done","yes_in_principle","materials_sent"},0)),"Y","N"))</f>
        <v/>
      </c>
      <c r="EW658" s="0" t="str">
        <f aca="false">IF($A658="","",IF(OR(T658="Y",U658="do_not_contact",AQ658&amp;""&lt;&gt;""),"Y","N"))</f>
        <v/>
      </c>
      <c r="EX658" s="0" t="str">
        <f aca="false">IF($A658="","",IF(AN658&amp;""&lt;&gt;"",AN658&amp;"",$A658))</f>
        <v/>
      </c>
      <c r="EY658" s="0" t="str">
        <f aca="false">IF($A658="","",IF(COUNTIFS($EX$2:$EX$1000,EX658,$EV$2:$EV$1000,"Y")+COUNTIFS($EX$2:$EX$1000,EX658,$EW$2:$EW$1000,"Y")&gt;0,"Y","N"))</f>
        <v/>
      </c>
      <c r="EZ658" s="0" t="str">
        <f aca="false">IF($A658="","",IF(AND(U658="new",T658="N",EW658="N",AR658="Y",EY658="N"),"Y","N"))</f>
        <v/>
      </c>
      <c r="FA658" s="0" t="str">
        <f aca="false">IF($A658="","",IF(EZ658&lt;&gt;"Y","N",IF(COUNTIFS($EX$2:$EX$1000,EX658,$EZ$2:$EZ$1000,"Y",$J$2:$J$1000,"&gt;"&amp;J658)+COUNTIFS($EX$2:$EX$1000,EX658,$EZ$2:$EZ$1000,"Y",$J$2:$J$1000,J658,$FG$2:$FG$1000,"&lt;"&amp;FG658)=0,"Y","N")))</f>
        <v/>
      </c>
      <c r="FB658" s="0" t="str">
        <f aca="false">IF($A658="","",IF(AND(EZ658="Y",FA658="Y",Y658&amp;""&lt;&gt;""),IF(Y658&lt;=10,"Y","N"),"N"))</f>
        <v/>
      </c>
      <c r="FC658" s="0" t="str">
        <f aca="false">IF(FB658="Y",Y658,"")</f>
        <v/>
      </c>
      <c r="FD658" s="0" t="str">
        <f aca="false">IF($A658="","",IF(AND(CK658="pass",AU658="Y",AV658&lt;&gt;"Y",U658="new",EW658="N"),"Y","N"))</f>
        <v/>
      </c>
      <c r="FE658" s="0" t="str">
        <f aca="false">IF(FD658&lt;&gt;"Y","",IF(COUNTIFS($FD$2:$FD$1000,"Y",$J$2:$J$1000,"&gt;"&amp;J658)+COUNTIFS($FD$2:$FD$1000,"Y",$J$2:$J$1000,J658,$FG$2:$FG$1000,"&lt;"&amp;FG658)+1&lt;=30,COUNTIFS($FD$2:$FD$1000,"Y",$J$2:$J$1000,"&gt;"&amp;J658)+COUNTIFS($FD$2:$FD$1000,"Y",$J$2:$J$1000,J658,$FG$2:$FG$1000,"&lt;"&amp;FG658)+1,""))</f>
        <v/>
      </c>
      <c r="FF658" s="0" t="str">
        <f aca="false">IF(AND(_xlfn.ISFORMULA(C658),_xlfn.ISFORMULA(J658)),"Y","N")</f>
        <v>Y</v>
      </c>
      <c r="FG658" s="0" t="n">
        <f aca="false">ROW()-1</f>
        <v>657</v>
      </c>
    </row>
    <row r="659" customFormat="false" ht="15" hidden="false" customHeight="false" outlineLevel="0" collapsed="false">
      <c r="C659" s="0" t="str">
        <f aca="false">IF($A659="","",IF(AT659="Y",BL659&amp;"",AY659&amp;""))</f>
        <v/>
      </c>
      <c r="D659" s="0" t="str">
        <f aca="false">IF($A659="","",IF(AT659="Y",BM659&amp;"",AZ659&amp;""))</f>
        <v/>
      </c>
      <c r="E659" s="0" t="str">
        <f aca="false">IF($A659="","",IF(AT659="Y",BN659&amp;"",BA659&amp;""))</f>
        <v/>
      </c>
      <c r="F659" s="0" t="str">
        <f aca="false">IF($A659="","",IF(AT659="Y",BO659&amp;"",BB659&amp;""))</f>
        <v/>
      </c>
      <c r="G659" s="0" t="str">
        <f aca="false">IF($A659="","",IF(AT659="Y",BP659&amp;"",BC659&amp;""))</f>
        <v/>
      </c>
      <c r="H659" s="0" t="str">
        <f aca="false">IF($A659="","",IF(AT659="Y",BQ659&amp;"",BD659&amp;""))</f>
        <v/>
      </c>
      <c r="I659" s="0" t="str">
        <f aca="false">IF($A659="","",IF(R659="Y","warm-intro",IF(H659="verified","email",IF(C659&lt;&gt;"","linkedin",CA659&amp;""))))</f>
        <v/>
      </c>
      <c r="J659" s="0" t="str">
        <f aca="false">IF($A659="","",IF(CK659="pass",ROUND(N(DO659)+N(DP659)+N(DQ659)+N(DR659)+N(DS659)+N(DT659)+N(DU659)+N(DV659),0),0))</f>
        <v/>
      </c>
      <c r="K659" s="0" t="str">
        <f aca="false">IF($A659="","",IF(CK659&lt;&gt;"pass",BY659&amp;"",BY659&amp;", "&amp;IF(AT659="Y",BX659&amp;"",BK659&amp;"")&amp;BZ659&amp;IF(R659="Y","; known to the founder (+10)","")&amp;"."))</f>
        <v/>
      </c>
      <c r="R659" s="5"/>
      <c r="T659" s="5"/>
      <c r="U659" s="5"/>
      <c r="Y659" s="0" t="str">
        <f aca="false">IF(FA659&lt;&gt;"Y","",COUNTIFS($FA$2:$FA$1000,"Y",$J$2:$J$1000,"&gt;"&amp;J659)+COUNTIFS($FA$2:$FA$1000,"Y",$J$2:$J$1000,J659,$FG$2:$FG$1000,"&lt;"&amp;FG659)+1)</f>
        <v/>
      </c>
      <c r="AB659" s="0" t="str">
        <f aca="false">IF($A659="","",IF(AT659="Y",BW659&amp;"",BJ659&amp;""))</f>
        <v/>
      </c>
      <c r="AC659" s="0" t="str">
        <f aca="false">IF($A659="","",IF(AT659="Y",BR659&amp;"",BE659&amp;""))</f>
        <v/>
      </c>
      <c r="AD659" s="0" t="str">
        <f aca="false">IF($A659="","",IF(AT659="Y",BS659&amp;"",BF659&amp;""))</f>
        <v/>
      </c>
      <c r="AE659" s="0" t="str">
        <f aca="false">IF($A659="","",IF(AT659="Y",BT659&amp;"",BG659&amp;""))</f>
        <v/>
      </c>
      <c r="AF659" s="0" t="str">
        <f aca="false">IF($A659="","",IF(AT659="Y",BU659&amp;"",BH659&amp;""))</f>
        <v/>
      </c>
      <c r="AG659" s="0" t="str">
        <f aca="false">IF($A659="","",IF(AT659="Y",BV659&amp;"",BI659&amp;""))</f>
        <v/>
      </c>
      <c r="AO659" s="5"/>
      <c r="AR659" s="0" t="str">
        <f aca="false">IF($A659="","",IF(AND(CK659="pass",AO659&lt;&gt;"Y",C659&lt;&gt;"",OR(AU659&lt;&gt;"Y",AV659="Y")),"Y","N"))</f>
        <v/>
      </c>
      <c r="AS659" s="0" t="str">
        <f aca="false">IF($A659="","",_xlfn.TEXTJOIN("; ",TRUE(),IF(CK659&lt;&gt;"pass","gated out",""),IF(AO659="Y","on hold: "&amp;AP659,""),IF(C659="","no contact named on an opened page",""),IF(AND(AU659="Y",AV659&lt;&gt;"Y"),"founder review pending (Founder review tab)","")))</f>
        <v/>
      </c>
      <c r="BC659" s="0" t="str">
        <f aca="false">IF($A659="","",IFERROR(INDEX(Enrichment!$A$2:$GZ$2000,MATCH($A659,INDEX(Enrichment!$A$2:$GZ$2000,0,MATCH("row_id",Enrichment!$A$1:$GZ$1,0)),0),MATCH("work_email",Enrichment!$A$1:$GZ$1,0))&amp;"",""))</f>
        <v/>
      </c>
      <c r="BD659" s="0" t="str">
        <f aca="false">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P659" s="0" t="str">
        <f aca="false">IF($A659="","",IFERROR(INDEX(Enrichment!$A$2:$GZ$2000,MATCH($A659,INDEX(Enrichment!$A$2:$GZ$2000,0,MATCH("row_id",Enrichment!$A$1:$GZ$1,0)),0),MATCH("backup_work_email",Enrichment!$A$1:$GZ$1,0))&amp;"",""))</f>
        <v/>
      </c>
      <c r="BQ659" s="0" t="str">
        <f aca="false">IF($A659="","",IF(BP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DU659" s="0" t="str">
        <f aca="false">IF($A659="","",IF(R659="Y",10,0))</f>
        <v/>
      </c>
      <c r="EV659" s="0" t="str">
        <f aca="false">IF($A659="","",IF(ISNUMBER(MATCH(U659,{"queued","contacted","replied","call_booked","call_done","yes_in_principle","materials_sent"},0)),"Y","N"))</f>
        <v/>
      </c>
      <c r="EW659" s="0" t="str">
        <f aca="false">IF($A659="","",IF(OR(T659="Y",U659="do_not_contact",AQ659&amp;""&lt;&gt;""),"Y","N"))</f>
        <v/>
      </c>
      <c r="EX659" s="0" t="str">
        <f aca="false">IF($A659="","",IF(AN659&amp;""&lt;&gt;"",AN659&amp;"",$A659))</f>
        <v/>
      </c>
      <c r="EY659" s="0" t="str">
        <f aca="false">IF($A659="","",IF(COUNTIFS($EX$2:$EX$1000,EX659,$EV$2:$EV$1000,"Y")+COUNTIFS($EX$2:$EX$1000,EX659,$EW$2:$EW$1000,"Y")&gt;0,"Y","N"))</f>
        <v/>
      </c>
      <c r="EZ659" s="0" t="str">
        <f aca="false">IF($A659="","",IF(AND(U659="new",T659="N",EW659="N",AR659="Y",EY659="N"),"Y","N"))</f>
        <v/>
      </c>
      <c r="FA659" s="0" t="str">
        <f aca="false">IF($A659="","",IF(EZ659&lt;&gt;"Y","N",IF(COUNTIFS($EX$2:$EX$1000,EX659,$EZ$2:$EZ$1000,"Y",$J$2:$J$1000,"&gt;"&amp;J659)+COUNTIFS($EX$2:$EX$1000,EX659,$EZ$2:$EZ$1000,"Y",$J$2:$J$1000,J659,$FG$2:$FG$1000,"&lt;"&amp;FG659)=0,"Y","N")))</f>
        <v/>
      </c>
      <c r="FB659" s="0" t="str">
        <f aca="false">IF($A659="","",IF(AND(EZ659="Y",FA659="Y",Y659&amp;""&lt;&gt;""),IF(Y659&lt;=10,"Y","N"),"N"))</f>
        <v/>
      </c>
      <c r="FC659" s="0" t="str">
        <f aca="false">IF(FB659="Y",Y659,"")</f>
        <v/>
      </c>
      <c r="FD659" s="0" t="str">
        <f aca="false">IF($A659="","",IF(AND(CK659="pass",AU659="Y",AV659&lt;&gt;"Y",U659="new",EW659="N"),"Y","N"))</f>
        <v/>
      </c>
      <c r="FE659" s="0" t="str">
        <f aca="false">IF(FD659&lt;&gt;"Y","",IF(COUNTIFS($FD$2:$FD$1000,"Y",$J$2:$J$1000,"&gt;"&amp;J659)+COUNTIFS($FD$2:$FD$1000,"Y",$J$2:$J$1000,J659,$FG$2:$FG$1000,"&lt;"&amp;FG659)+1&lt;=30,COUNTIFS($FD$2:$FD$1000,"Y",$J$2:$J$1000,"&gt;"&amp;J659)+COUNTIFS($FD$2:$FD$1000,"Y",$J$2:$J$1000,J659,$FG$2:$FG$1000,"&lt;"&amp;FG659)+1,""))</f>
        <v/>
      </c>
      <c r="FF659" s="0" t="str">
        <f aca="false">IF(AND(_xlfn.ISFORMULA(C659),_xlfn.ISFORMULA(J659)),"Y","N")</f>
        <v>Y</v>
      </c>
      <c r="FG659" s="0" t="n">
        <f aca="false">ROW()-1</f>
        <v>658</v>
      </c>
    </row>
    <row r="660" customFormat="false" ht="15" hidden="false" customHeight="false" outlineLevel="0" collapsed="false">
      <c r="C660" s="0" t="str">
        <f aca="false">IF($A660="","",IF(AT660="Y",BL660&amp;"",AY660&amp;""))</f>
        <v/>
      </c>
      <c r="D660" s="0" t="str">
        <f aca="false">IF($A660="","",IF(AT660="Y",BM660&amp;"",AZ660&amp;""))</f>
        <v/>
      </c>
      <c r="E660" s="0" t="str">
        <f aca="false">IF($A660="","",IF(AT660="Y",BN660&amp;"",BA660&amp;""))</f>
        <v/>
      </c>
      <c r="F660" s="0" t="str">
        <f aca="false">IF($A660="","",IF(AT660="Y",BO660&amp;"",BB660&amp;""))</f>
        <v/>
      </c>
      <c r="G660" s="0" t="str">
        <f aca="false">IF($A660="","",IF(AT660="Y",BP660&amp;"",BC660&amp;""))</f>
        <v/>
      </c>
      <c r="H660" s="0" t="str">
        <f aca="false">IF($A660="","",IF(AT660="Y",BQ660&amp;"",BD660&amp;""))</f>
        <v/>
      </c>
      <c r="I660" s="0" t="str">
        <f aca="false">IF($A660="","",IF(R660="Y","warm-intro",IF(H660="verified","email",IF(C660&lt;&gt;"","linkedin",CA660&amp;""))))</f>
        <v/>
      </c>
      <c r="J660" s="0" t="str">
        <f aca="false">IF($A660="","",IF(CK660="pass",ROUND(N(DO660)+N(DP660)+N(DQ660)+N(DR660)+N(DS660)+N(DT660)+N(DU660)+N(DV660),0),0))</f>
        <v/>
      </c>
      <c r="K660" s="0" t="str">
        <f aca="false">IF($A660="","",IF(CK660&lt;&gt;"pass",BY660&amp;"",BY660&amp;", "&amp;IF(AT660="Y",BX660&amp;"",BK660&amp;"")&amp;BZ660&amp;IF(R660="Y","; known to the founder (+10)","")&amp;"."))</f>
        <v/>
      </c>
      <c r="R660" s="5"/>
      <c r="T660" s="5"/>
      <c r="U660" s="5"/>
      <c r="Y660" s="0" t="str">
        <f aca="false">IF(FA660&lt;&gt;"Y","",COUNTIFS($FA$2:$FA$1000,"Y",$J$2:$J$1000,"&gt;"&amp;J660)+COUNTIFS($FA$2:$FA$1000,"Y",$J$2:$J$1000,J660,$FG$2:$FG$1000,"&lt;"&amp;FG660)+1)</f>
        <v/>
      </c>
      <c r="AB660" s="0" t="str">
        <f aca="false">IF($A660="","",IF(AT660="Y",BW660&amp;"",BJ660&amp;""))</f>
        <v/>
      </c>
      <c r="AC660" s="0" t="str">
        <f aca="false">IF($A660="","",IF(AT660="Y",BR660&amp;"",BE660&amp;""))</f>
        <v/>
      </c>
      <c r="AD660" s="0" t="str">
        <f aca="false">IF($A660="","",IF(AT660="Y",BS660&amp;"",BF660&amp;""))</f>
        <v/>
      </c>
      <c r="AE660" s="0" t="str">
        <f aca="false">IF($A660="","",IF(AT660="Y",BT660&amp;"",BG660&amp;""))</f>
        <v/>
      </c>
      <c r="AF660" s="0" t="str">
        <f aca="false">IF($A660="","",IF(AT660="Y",BU660&amp;"",BH660&amp;""))</f>
        <v/>
      </c>
      <c r="AG660" s="0" t="str">
        <f aca="false">IF($A660="","",IF(AT660="Y",BV660&amp;"",BI660&amp;""))</f>
        <v/>
      </c>
      <c r="AO660" s="5"/>
      <c r="AR660" s="0" t="str">
        <f aca="false">IF($A660="","",IF(AND(CK660="pass",AO660&lt;&gt;"Y",C660&lt;&gt;"",OR(AU660&lt;&gt;"Y",AV660="Y")),"Y","N"))</f>
        <v/>
      </c>
      <c r="AS660" s="0" t="str">
        <f aca="false">IF($A660="","",_xlfn.TEXTJOIN("; ",TRUE(),IF(CK660&lt;&gt;"pass","gated out",""),IF(AO660="Y","on hold: "&amp;AP660,""),IF(C660="","no contact named on an opened page",""),IF(AND(AU660="Y",AV660&lt;&gt;"Y"),"founder review pending (Founder review tab)","")))</f>
        <v/>
      </c>
      <c r="BC660" s="0" t="str">
        <f aca="false">IF($A660="","",IFERROR(INDEX(Enrichment!$A$2:$GZ$2000,MATCH($A660,INDEX(Enrichment!$A$2:$GZ$2000,0,MATCH("row_id",Enrichment!$A$1:$GZ$1,0)),0),MATCH("work_email",Enrichment!$A$1:$GZ$1,0))&amp;"",""))</f>
        <v/>
      </c>
      <c r="BD660" s="0" t="str">
        <f aca="false">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P660" s="0" t="str">
        <f aca="false">IF($A660="","",IFERROR(INDEX(Enrichment!$A$2:$GZ$2000,MATCH($A660,INDEX(Enrichment!$A$2:$GZ$2000,0,MATCH("row_id",Enrichment!$A$1:$GZ$1,0)),0),MATCH("backup_work_email",Enrichment!$A$1:$GZ$1,0))&amp;"",""))</f>
        <v/>
      </c>
      <c r="BQ660" s="0" t="str">
        <f aca="false">IF($A660="","",IF(BP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DU660" s="0" t="str">
        <f aca="false">IF($A660="","",IF(R660="Y",10,0))</f>
        <v/>
      </c>
      <c r="EV660" s="0" t="str">
        <f aca="false">IF($A660="","",IF(ISNUMBER(MATCH(U660,{"queued","contacted","replied","call_booked","call_done","yes_in_principle","materials_sent"},0)),"Y","N"))</f>
        <v/>
      </c>
      <c r="EW660" s="0" t="str">
        <f aca="false">IF($A660="","",IF(OR(T660="Y",U660="do_not_contact",AQ660&amp;""&lt;&gt;""),"Y","N"))</f>
        <v/>
      </c>
      <c r="EX660" s="0" t="str">
        <f aca="false">IF($A660="","",IF(AN660&amp;""&lt;&gt;"",AN660&amp;"",$A660))</f>
        <v/>
      </c>
      <c r="EY660" s="0" t="str">
        <f aca="false">IF($A660="","",IF(COUNTIFS($EX$2:$EX$1000,EX660,$EV$2:$EV$1000,"Y")+COUNTIFS($EX$2:$EX$1000,EX660,$EW$2:$EW$1000,"Y")&gt;0,"Y","N"))</f>
        <v/>
      </c>
      <c r="EZ660" s="0" t="str">
        <f aca="false">IF($A660="","",IF(AND(U660="new",T660="N",EW660="N",AR660="Y",EY660="N"),"Y","N"))</f>
        <v/>
      </c>
      <c r="FA660" s="0" t="str">
        <f aca="false">IF($A660="","",IF(EZ660&lt;&gt;"Y","N",IF(COUNTIFS($EX$2:$EX$1000,EX660,$EZ$2:$EZ$1000,"Y",$J$2:$J$1000,"&gt;"&amp;J660)+COUNTIFS($EX$2:$EX$1000,EX660,$EZ$2:$EZ$1000,"Y",$J$2:$J$1000,J660,$FG$2:$FG$1000,"&lt;"&amp;FG660)=0,"Y","N")))</f>
        <v/>
      </c>
      <c r="FB660" s="0" t="str">
        <f aca="false">IF($A660="","",IF(AND(EZ660="Y",FA660="Y",Y660&amp;""&lt;&gt;""),IF(Y660&lt;=10,"Y","N"),"N"))</f>
        <v/>
      </c>
      <c r="FC660" s="0" t="str">
        <f aca="false">IF(FB660="Y",Y660,"")</f>
        <v/>
      </c>
      <c r="FD660" s="0" t="str">
        <f aca="false">IF($A660="","",IF(AND(CK660="pass",AU660="Y",AV660&lt;&gt;"Y",U660="new",EW660="N"),"Y","N"))</f>
        <v/>
      </c>
      <c r="FE660" s="0" t="str">
        <f aca="false">IF(FD660&lt;&gt;"Y","",IF(COUNTIFS($FD$2:$FD$1000,"Y",$J$2:$J$1000,"&gt;"&amp;J660)+COUNTIFS($FD$2:$FD$1000,"Y",$J$2:$J$1000,J660,$FG$2:$FG$1000,"&lt;"&amp;FG660)+1&lt;=30,COUNTIFS($FD$2:$FD$1000,"Y",$J$2:$J$1000,"&gt;"&amp;J660)+COUNTIFS($FD$2:$FD$1000,"Y",$J$2:$J$1000,J660,$FG$2:$FG$1000,"&lt;"&amp;FG660)+1,""))</f>
        <v/>
      </c>
      <c r="FF660" s="0" t="str">
        <f aca="false">IF(AND(_xlfn.ISFORMULA(C660),_xlfn.ISFORMULA(J660)),"Y","N")</f>
        <v>Y</v>
      </c>
      <c r="FG660" s="0" t="n">
        <f aca="false">ROW()-1</f>
        <v>659</v>
      </c>
    </row>
    <row r="661" customFormat="false" ht="15" hidden="false" customHeight="false" outlineLevel="0" collapsed="false">
      <c r="C661" s="0" t="str">
        <f aca="false">IF($A661="","",IF(AT661="Y",BL661&amp;"",AY661&amp;""))</f>
        <v/>
      </c>
      <c r="D661" s="0" t="str">
        <f aca="false">IF($A661="","",IF(AT661="Y",BM661&amp;"",AZ661&amp;""))</f>
        <v/>
      </c>
      <c r="E661" s="0" t="str">
        <f aca="false">IF($A661="","",IF(AT661="Y",BN661&amp;"",BA661&amp;""))</f>
        <v/>
      </c>
      <c r="F661" s="0" t="str">
        <f aca="false">IF($A661="","",IF(AT661="Y",BO661&amp;"",BB661&amp;""))</f>
        <v/>
      </c>
      <c r="G661" s="0" t="str">
        <f aca="false">IF($A661="","",IF(AT661="Y",BP661&amp;"",BC661&amp;""))</f>
        <v/>
      </c>
      <c r="H661" s="0" t="str">
        <f aca="false">IF($A661="","",IF(AT661="Y",BQ661&amp;"",BD661&amp;""))</f>
        <v/>
      </c>
      <c r="I661" s="0" t="str">
        <f aca="false">IF($A661="","",IF(R661="Y","warm-intro",IF(H661="verified","email",IF(C661&lt;&gt;"","linkedin",CA661&amp;""))))</f>
        <v/>
      </c>
      <c r="J661" s="0" t="str">
        <f aca="false">IF($A661="","",IF(CK661="pass",ROUND(N(DO661)+N(DP661)+N(DQ661)+N(DR661)+N(DS661)+N(DT661)+N(DU661)+N(DV661),0),0))</f>
        <v/>
      </c>
      <c r="K661" s="0" t="str">
        <f aca="false">IF($A661="","",IF(CK661&lt;&gt;"pass",BY661&amp;"",BY661&amp;", "&amp;IF(AT661="Y",BX661&amp;"",BK661&amp;"")&amp;BZ661&amp;IF(R661="Y","; known to the founder (+10)","")&amp;"."))</f>
        <v/>
      </c>
      <c r="R661" s="5"/>
      <c r="T661" s="5"/>
      <c r="U661" s="5"/>
      <c r="Y661" s="0" t="str">
        <f aca="false">IF(FA661&lt;&gt;"Y","",COUNTIFS($FA$2:$FA$1000,"Y",$J$2:$J$1000,"&gt;"&amp;J661)+COUNTIFS($FA$2:$FA$1000,"Y",$J$2:$J$1000,J661,$FG$2:$FG$1000,"&lt;"&amp;FG661)+1)</f>
        <v/>
      </c>
      <c r="AB661" s="0" t="str">
        <f aca="false">IF($A661="","",IF(AT661="Y",BW661&amp;"",BJ661&amp;""))</f>
        <v/>
      </c>
      <c r="AC661" s="0" t="str">
        <f aca="false">IF($A661="","",IF(AT661="Y",BR661&amp;"",BE661&amp;""))</f>
        <v/>
      </c>
      <c r="AD661" s="0" t="str">
        <f aca="false">IF($A661="","",IF(AT661="Y",BS661&amp;"",BF661&amp;""))</f>
        <v/>
      </c>
      <c r="AE661" s="0" t="str">
        <f aca="false">IF($A661="","",IF(AT661="Y",BT661&amp;"",BG661&amp;""))</f>
        <v/>
      </c>
      <c r="AF661" s="0" t="str">
        <f aca="false">IF($A661="","",IF(AT661="Y",BU661&amp;"",BH661&amp;""))</f>
        <v/>
      </c>
      <c r="AG661" s="0" t="str">
        <f aca="false">IF($A661="","",IF(AT661="Y",BV661&amp;"",BI661&amp;""))</f>
        <v/>
      </c>
      <c r="AO661" s="5"/>
      <c r="AR661" s="0" t="str">
        <f aca="false">IF($A661="","",IF(AND(CK661="pass",AO661&lt;&gt;"Y",C661&lt;&gt;"",OR(AU661&lt;&gt;"Y",AV661="Y")),"Y","N"))</f>
        <v/>
      </c>
      <c r="AS661" s="0" t="str">
        <f aca="false">IF($A661="","",_xlfn.TEXTJOIN("; ",TRUE(),IF(CK661&lt;&gt;"pass","gated out",""),IF(AO661="Y","on hold: "&amp;AP661,""),IF(C661="","no contact named on an opened page",""),IF(AND(AU661="Y",AV661&lt;&gt;"Y"),"founder review pending (Founder review tab)","")))</f>
        <v/>
      </c>
      <c r="BC661" s="0" t="str">
        <f aca="false">IF($A661="","",IFERROR(INDEX(Enrichment!$A$2:$GZ$2000,MATCH($A661,INDEX(Enrichment!$A$2:$GZ$2000,0,MATCH("row_id",Enrichment!$A$1:$GZ$1,0)),0),MATCH("work_email",Enrichment!$A$1:$GZ$1,0))&amp;"",""))</f>
        <v/>
      </c>
      <c r="BD661" s="0" t="str">
        <f aca="false">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P661" s="0" t="str">
        <f aca="false">IF($A661="","",IFERROR(INDEX(Enrichment!$A$2:$GZ$2000,MATCH($A661,INDEX(Enrichment!$A$2:$GZ$2000,0,MATCH("row_id",Enrichment!$A$1:$GZ$1,0)),0),MATCH("backup_work_email",Enrichment!$A$1:$GZ$1,0))&amp;"",""))</f>
        <v/>
      </c>
      <c r="BQ661" s="0" t="str">
        <f aca="false">IF($A661="","",IF(BP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DU661" s="0" t="str">
        <f aca="false">IF($A661="","",IF(R661="Y",10,0))</f>
        <v/>
      </c>
      <c r="EV661" s="0" t="str">
        <f aca="false">IF($A661="","",IF(ISNUMBER(MATCH(U661,{"queued","contacted","replied","call_booked","call_done","yes_in_principle","materials_sent"},0)),"Y","N"))</f>
        <v/>
      </c>
      <c r="EW661" s="0" t="str">
        <f aca="false">IF($A661="","",IF(OR(T661="Y",U661="do_not_contact",AQ661&amp;""&lt;&gt;""),"Y","N"))</f>
        <v/>
      </c>
      <c r="EX661" s="0" t="str">
        <f aca="false">IF($A661="","",IF(AN661&amp;""&lt;&gt;"",AN661&amp;"",$A661))</f>
        <v/>
      </c>
      <c r="EY661" s="0" t="str">
        <f aca="false">IF($A661="","",IF(COUNTIFS($EX$2:$EX$1000,EX661,$EV$2:$EV$1000,"Y")+COUNTIFS($EX$2:$EX$1000,EX661,$EW$2:$EW$1000,"Y")&gt;0,"Y","N"))</f>
        <v/>
      </c>
      <c r="EZ661" s="0" t="str">
        <f aca="false">IF($A661="","",IF(AND(U661="new",T661="N",EW661="N",AR661="Y",EY661="N"),"Y","N"))</f>
        <v/>
      </c>
      <c r="FA661" s="0" t="str">
        <f aca="false">IF($A661="","",IF(EZ661&lt;&gt;"Y","N",IF(COUNTIFS($EX$2:$EX$1000,EX661,$EZ$2:$EZ$1000,"Y",$J$2:$J$1000,"&gt;"&amp;J661)+COUNTIFS($EX$2:$EX$1000,EX661,$EZ$2:$EZ$1000,"Y",$J$2:$J$1000,J661,$FG$2:$FG$1000,"&lt;"&amp;FG661)=0,"Y","N")))</f>
        <v/>
      </c>
      <c r="FB661" s="0" t="str">
        <f aca="false">IF($A661="","",IF(AND(EZ661="Y",FA661="Y",Y661&amp;""&lt;&gt;""),IF(Y661&lt;=10,"Y","N"),"N"))</f>
        <v/>
      </c>
      <c r="FC661" s="0" t="str">
        <f aca="false">IF(FB661="Y",Y661,"")</f>
        <v/>
      </c>
      <c r="FD661" s="0" t="str">
        <f aca="false">IF($A661="","",IF(AND(CK661="pass",AU661="Y",AV661&lt;&gt;"Y",U661="new",EW661="N"),"Y","N"))</f>
        <v/>
      </c>
      <c r="FE661" s="0" t="str">
        <f aca="false">IF(FD661&lt;&gt;"Y","",IF(COUNTIFS($FD$2:$FD$1000,"Y",$J$2:$J$1000,"&gt;"&amp;J661)+COUNTIFS($FD$2:$FD$1000,"Y",$J$2:$J$1000,J661,$FG$2:$FG$1000,"&lt;"&amp;FG661)+1&lt;=30,COUNTIFS($FD$2:$FD$1000,"Y",$J$2:$J$1000,"&gt;"&amp;J661)+COUNTIFS($FD$2:$FD$1000,"Y",$J$2:$J$1000,J661,$FG$2:$FG$1000,"&lt;"&amp;FG661)+1,""))</f>
        <v/>
      </c>
      <c r="FF661" s="0" t="str">
        <f aca="false">IF(AND(_xlfn.ISFORMULA(C661),_xlfn.ISFORMULA(J661)),"Y","N")</f>
        <v>Y</v>
      </c>
      <c r="FG661" s="0" t="n">
        <f aca="false">ROW()-1</f>
        <v>660</v>
      </c>
    </row>
    <row r="662" customFormat="false" ht="15" hidden="false" customHeight="false" outlineLevel="0" collapsed="false">
      <c r="C662" s="0" t="str">
        <f aca="false">IF($A662="","",IF(AT662="Y",BL662&amp;"",AY662&amp;""))</f>
        <v/>
      </c>
      <c r="D662" s="0" t="str">
        <f aca="false">IF($A662="","",IF(AT662="Y",BM662&amp;"",AZ662&amp;""))</f>
        <v/>
      </c>
      <c r="E662" s="0" t="str">
        <f aca="false">IF($A662="","",IF(AT662="Y",BN662&amp;"",BA662&amp;""))</f>
        <v/>
      </c>
      <c r="F662" s="0" t="str">
        <f aca="false">IF($A662="","",IF(AT662="Y",BO662&amp;"",BB662&amp;""))</f>
        <v/>
      </c>
      <c r="G662" s="0" t="str">
        <f aca="false">IF($A662="","",IF(AT662="Y",BP662&amp;"",BC662&amp;""))</f>
        <v/>
      </c>
      <c r="H662" s="0" t="str">
        <f aca="false">IF($A662="","",IF(AT662="Y",BQ662&amp;"",BD662&amp;""))</f>
        <v/>
      </c>
      <c r="I662" s="0" t="str">
        <f aca="false">IF($A662="","",IF(R662="Y","warm-intro",IF(H662="verified","email",IF(C662&lt;&gt;"","linkedin",CA662&amp;""))))</f>
        <v/>
      </c>
      <c r="J662" s="0" t="str">
        <f aca="false">IF($A662="","",IF(CK662="pass",ROUND(N(DO662)+N(DP662)+N(DQ662)+N(DR662)+N(DS662)+N(DT662)+N(DU662)+N(DV662),0),0))</f>
        <v/>
      </c>
      <c r="K662" s="0" t="str">
        <f aca="false">IF($A662="","",IF(CK662&lt;&gt;"pass",BY662&amp;"",BY662&amp;", "&amp;IF(AT662="Y",BX662&amp;"",BK662&amp;"")&amp;BZ662&amp;IF(R662="Y","; known to the founder (+10)","")&amp;"."))</f>
        <v/>
      </c>
      <c r="R662" s="5"/>
      <c r="T662" s="5"/>
      <c r="U662" s="5"/>
      <c r="Y662" s="0" t="str">
        <f aca="false">IF(FA662&lt;&gt;"Y","",COUNTIFS($FA$2:$FA$1000,"Y",$J$2:$J$1000,"&gt;"&amp;J662)+COUNTIFS($FA$2:$FA$1000,"Y",$J$2:$J$1000,J662,$FG$2:$FG$1000,"&lt;"&amp;FG662)+1)</f>
        <v/>
      </c>
      <c r="AB662" s="0" t="str">
        <f aca="false">IF($A662="","",IF(AT662="Y",BW662&amp;"",BJ662&amp;""))</f>
        <v/>
      </c>
      <c r="AC662" s="0" t="str">
        <f aca="false">IF($A662="","",IF(AT662="Y",BR662&amp;"",BE662&amp;""))</f>
        <v/>
      </c>
      <c r="AD662" s="0" t="str">
        <f aca="false">IF($A662="","",IF(AT662="Y",BS662&amp;"",BF662&amp;""))</f>
        <v/>
      </c>
      <c r="AE662" s="0" t="str">
        <f aca="false">IF($A662="","",IF(AT662="Y",BT662&amp;"",BG662&amp;""))</f>
        <v/>
      </c>
      <c r="AF662" s="0" t="str">
        <f aca="false">IF($A662="","",IF(AT662="Y",BU662&amp;"",BH662&amp;""))</f>
        <v/>
      </c>
      <c r="AG662" s="0" t="str">
        <f aca="false">IF($A662="","",IF(AT662="Y",BV662&amp;"",BI662&amp;""))</f>
        <v/>
      </c>
      <c r="AO662" s="5"/>
      <c r="AR662" s="0" t="str">
        <f aca="false">IF($A662="","",IF(AND(CK662="pass",AO662&lt;&gt;"Y",C662&lt;&gt;"",OR(AU662&lt;&gt;"Y",AV662="Y")),"Y","N"))</f>
        <v/>
      </c>
      <c r="AS662" s="0" t="str">
        <f aca="false">IF($A662="","",_xlfn.TEXTJOIN("; ",TRUE(),IF(CK662&lt;&gt;"pass","gated out",""),IF(AO662="Y","on hold: "&amp;AP662,""),IF(C662="","no contact named on an opened page",""),IF(AND(AU662="Y",AV662&lt;&gt;"Y"),"founder review pending (Founder review tab)","")))</f>
        <v/>
      </c>
      <c r="BC662" s="0" t="str">
        <f aca="false">IF($A662="","",IFERROR(INDEX(Enrichment!$A$2:$GZ$2000,MATCH($A662,INDEX(Enrichment!$A$2:$GZ$2000,0,MATCH("row_id",Enrichment!$A$1:$GZ$1,0)),0),MATCH("work_email",Enrichment!$A$1:$GZ$1,0))&amp;"",""))</f>
        <v/>
      </c>
      <c r="BD662" s="0" t="str">
        <f aca="false">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P662" s="0" t="str">
        <f aca="false">IF($A662="","",IFERROR(INDEX(Enrichment!$A$2:$GZ$2000,MATCH($A662,INDEX(Enrichment!$A$2:$GZ$2000,0,MATCH("row_id",Enrichment!$A$1:$GZ$1,0)),0),MATCH("backup_work_email",Enrichment!$A$1:$GZ$1,0))&amp;"",""))</f>
        <v/>
      </c>
      <c r="BQ662" s="0" t="str">
        <f aca="false">IF($A662="","",IF(BP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DU662" s="0" t="str">
        <f aca="false">IF($A662="","",IF(R662="Y",10,0))</f>
        <v/>
      </c>
      <c r="EV662" s="0" t="str">
        <f aca="false">IF($A662="","",IF(ISNUMBER(MATCH(U662,{"queued","contacted","replied","call_booked","call_done","yes_in_principle","materials_sent"},0)),"Y","N"))</f>
        <v/>
      </c>
      <c r="EW662" s="0" t="str">
        <f aca="false">IF($A662="","",IF(OR(T662="Y",U662="do_not_contact",AQ662&amp;""&lt;&gt;""),"Y","N"))</f>
        <v/>
      </c>
      <c r="EX662" s="0" t="str">
        <f aca="false">IF($A662="","",IF(AN662&amp;""&lt;&gt;"",AN662&amp;"",$A662))</f>
        <v/>
      </c>
      <c r="EY662" s="0" t="str">
        <f aca="false">IF($A662="","",IF(COUNTIFS($EX$2:$EX$1000,EX662,$EV$2:$EV$1000,"Y")+COUNTIFS($EX$2:$EX$1000,EX662,$EW$2:$EW$1000,"Y")&gt;0,"Y","N"))</f>
        <v/>
      </c>
      <c r="EZ662" s="0" t="str">
        <f aca="false">IF($A662="","",IF(AND(U662="new",T662="N",EW662="N",AR662="Y",EY662="N"),"Y","N"))</f>
        <v/>
      </c>
      <c r="FA662" s="0" t="str">
        <f aca="false">IF($A662="","",IF(EZ662&lt;&gt;"Y","N",IF(COUNTIFS($EX$2:$EX$1000,EX662,$EZ$2:$EZ$1000,"Y",$J$2:$J$1000,"&gt;"&amp;J662)+COUNTIFS($EX$2:$EX$1000,EX662,$EZ$2:$EZ$1000,"Y",$J$2:$J$1000,J662,$FG$2:$FG$1000,"&lt;"&amp;FG662)=0,"Y","N")))</f>
        <v/>
      </c>
      <c r="FB662" s="0" t="str">
        <f aca="false">IF($A662="","",IF(AND(EZ662="Y",FA662="Y",Y662&amp;""&lt;&gt;""),IF(Y662&lt;=10,"Y","N"),"N"))</f>
        <v/>
      </c>
      <c r="FC662" s="0" t="str">
        <f aca="false">IF(FB662="Y",Y662,"")</f>
        <v/>
      </c>
      <c r="FD662" s="0" t="str">
        <f aca="false">IF($A662="","",IF(AND(CK662="pass",AU662="Y",AV662&lt;&gt;"Y",U662="new",EW662="N"),"Y","N"))</f>
        <v/>
      </c>
      <c r="FE662" s="0" t="str">
        <f aca="false">IF(FD662&lt;&gt;"Y","",IF(COUNTIFS($FD$2:$FD$1000,"Y",$J$2:$J$1000,"&gt;"&amp;J662)+COUNTIFS($FD$2:$FD$1000,"Y",$J$2:$J$1000,J662,$FG$2:$FG$1000,"&lt;"&amp;FG662)+1&lt;=30,COUNTIFS($FD$2:$FD$1000,"Y",$J$2:$J$1000,"&gt;"&amp;J662)+COUNTIFS($FD$2:$FD$1000,"Y",$J$2:$J$1000,J662,$FG$2:$FG$1000,"&lt;"&amp;FG662)+1,""))</f>
        <v/>
      </c>
      <c r="FF662" s="0" t="str">
        <f aca="false">IF(AND(_xlfn.ISFORMULA(C662),_xlfn.ISFORMULA(J662)),"Y","N")</f>
        <v>Y</v>
      </c>
      <c r="FG662" s="0" t="n">
        <f aca="false">ROW()-1</f>
        <v>661</v>
      </c>
    </row>
    <row r="663" customFormat="false" ht="15" hidden="false" customHeight="false" outlineLevel="0" collapsed="false">
      <c r="C663" s="0" t="str">
        <f aca="false">IF($A663="","",IF(AT663="Y",BL663&amp;"",AY663&amp;""))</f>
        <v/>
      </c>
      <c r="D663" s="0" t="str">
        <f aca="false">IF($A663="","",IF(AT663="Y",BM663&amp;"",AZ663&amp;""))</f>
        <v/>
      </c>
      <c r="E663" s="0" t="str">
        <f aca="false">IF($A663="","",IF(AT663="Y",BN663&amp;"",BA663&amp;""))</f>
        <v/>
      </c>
      <c r="F663" s="0" t="str">
        <f aca="false">IF($A663="","",IF(AT663="Y",BO663&amp;"",BB663&amp;""))</f>
        <v/>
      </c>
      <c r="G663" s="0" t="str">
        <f aca="false">IF($A663="","",IF(AT663="Y",BP663&amp;"",BC663&amp;""))</f>
        <v/>
      </c>
      <c r="H663" s="0" t="str">
        <f aca="false">IF($A663="","",IF(AT663="Y",BQ663&amp;"",BD663&amp;""))</f>
        <v/>
      </c>
      <c r="I663" s="0" t="str">
        <f aca="false">IF($A663="","",IF(R663="Y","warm-intro",IF(H663="verified","email",IF(C663&lt;&gt;"","linkedin",CA663&amp;""))))</f>
        <v/>
      </c>
      <c r="J663" s="0" t="str">
        <f aca="false">IF($A663="","",IF(CK663="pass",ROUND(N(DO663)+N(DP663)+N(DQ663)+N(DR663)+N(DS663)+N(DT663)+N(DU663)+N(DV663),0),0))</f>
        <v/>
      </c>
      <c r="K663" s="0" t="str">
        <f aca="false">IF($A663="","",IF(CK663&lt;&gt;"pass",BY663&amp;"",BY663&amp;", "&amp;IF(AT663="Y",BX663&amp;"",BK663&amp;"")&amp;BZ663&amp;IF(R663="Y","; known to the founder (+10)","")&amp;"."))</f>
        <v/>
      </c>
      <c r="R663" s="5"/>
      <c r="T663" s="5"/>
      <c r="U663" s="5"/>
      <c r="Y663" s="0" t="str">
        <f aca="false">IF(FA663&lt;&gt;"Y","",COUNTIFS($FA$2:$FA$1000,"Y",$J$2:$J$1000,"&gt;"&amp;J663)+COUNTIFS($FA$2:$FA$1000,"Y",$J$2:$J$1000,J663,$FG$2:$FG$1000,"&lt;"&amp;FG663)+1)</f>
        <v/>
      </c>
      <c r="AB663" s="0" t="str">
        <f aca="false">IF($A663="","",IF(AT663="Y",BW663&amp;"",BJ663&amp;""))</f>
        <v/>
      </c>
      <c r="AC663" s="0" t="str">
        <f aca="false">IF($A663="","",IF(AT663="Y",BR663&amp;"",BE663&amp;""))</f>
        <v/>
      </c>
      <c r="AD663" s="0" t="str">
        <f aca="false">IF($A663="","",IF(AT663="Y",BS663&amp;"",BF663&amp;""))</f>
        <v/>
      </c>
      <c r="AE663" s="0" t="str">
        <f aca="false">IF($A663="","",IF(AT663="Y",BT663&amp;"",BG663&amp;""))</f>
        <v/>
      </c>
      <c r="AF663" s="0" t="str">
        <f aca="false">IF($A663="","",IF(AT663="Y",BU663&amp;"",BH663&amp;""))</f>
        <v/>
      </c>
      <c r="AG663" s="0" t="str">
        <f aca="false">IF($A663="","",IF(AT663="Y",BV663&amp;"",BI663&amp;""))</f>
        <v/>
      </c>
      <c r="AO663" s="5"/>
      <c r="AR663" s="0" t="str">
        <f aca="false">IF($A663="","",IF(AND(CK663="pass",AO663&lt;&gt;"Y",C663&lt;&gt;"",OR(AU663&lt;&gt;"Y",AV663="Y")),"Y","N"))</f>
        <v/>
      </c>
      <c r="AS663" s="0" t="str">
        <f aca="false">IF($A663="","",_xlfn.TEXTJOIN("; ",TRUE(),IF(CK663&lt;&gt;"pass","gated out",""),IF(AO663="Y","on hold: "&amp;AP663,""),IF(C663="","no contact named on an opened page",""),IF(AND(AU663="Y",AV663&lt;&gt;"Y"),"founder review pending (Founder review tab)","")))</f>
        <v/>
      </c>
      <c r="BC663" s="0" t="str">
        <f aca="false">IF($A663="","",IFERROR(INDEX(Enrichment!$A$2:$GZ$2000,MATCH($A663,INDEX(Enrichment!$A$2:$GZ$2000,0,MATCH("row_id",Enrichment!$A$1:$GZ$1,0)),0),MATCH("work_email",Enrichment!$A$1:$GZ$1,0))&amp;"",""))</f>
        <v/>
      </c>
      <c r="BD663" s="0" t="str">
        <f aca="false">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P663" s="0" t="str">
        <f aca="false">IF($A663="","",IFERROR(INDEX(Enrichment!$A$2:$GZ$2000,MATCH($A663,INDEX(Enrichment!$A$2:$GZ$2000,0,MATCH("row_id",Enrichment!$A$1:$GZ$1,0)),0),MATCH("backup_work_email",Enrichment!$A$1:$GZ$1,0))&amp;"",""))</f>
        <v/>
      </c>
      <c r="BQ663" s="0" t="str">
        <f aca="false">IF($A663="","",IF(BP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DU663" s="0" t="str">
        <f aca="false">IF($A663="","",IF(R663="Y",10,0))</f>
        <v/>
      </c>
      <c r="EV663" s="0" t="str">
        <f aca="false">IF($A663="","",IF(ISNUMBER(MATCH(U663,{"queued","contacted","replied","call_booked","call_done","yes_in_principle","materials_sent"},0)),"Y","N"))</f>
        <v/>
      </c>
      <c r="EW663" s="0" t="str">
        <f aca="false">IF($A663="","",IF(OR(T663="Y",U663="do_not_contact",AQ663&amp;""&lt;&gt;""),"Y","N"))</f>
        <v/>
      </c>
      <c r="EX663" s="0" t="str">
        <f aca="false">IF($A663="","",IF(AN663&amp;""&lt;&gt;"",AN663&amp;"",$A663))</f>
        <v/>
      </c>
      <c r="EY663" s="0" t="str">
        <f aca="false">IF($A663="","",IF(COUNTIFS($EX$2:$EX$1000,EX663,$EV$2:$EV$1000,"Y")+COUNTIFS($EX$2:$EX$1000,EX663,$EW$2:$EW$1000,"Y")&gt;0,"Y","N"))</f>
        <v/>
      </c>
      <c r="EZ663" s="0" t="str">
        <f aca="false">IF($A663="","",IF(AND(U663="new",T663="N",EW663="N",AR663="Y",EY663="N"),"Y","N"))</f>
        <v/>
      </c>
      <c r="FA663" s="0" t="str">
        <f aca="false">IF($A663="","",IF(EZ663&lt;&gt;"Y","N",IF(COUNTIFS($EX$2:$EX$1000,EX663,$EZ$2:$EZ$1000,"Y",$J$2:$J$1000,"&gt;"&amp;J663)+COUNTIFS($EX$2:$EX$1000,EX663,$EZ$2:$EZ$1000,"Y",$J$2:$J$1000,J663,$FG$2:$FG$1000,"&lt;"&amp;FG663)=0,"Y","N")))</f>
        <v/>
      </c>
      <c r="FB663" s="0" t="str">
        <f aca="false">IF($A663="","",IF(AND(EZ663="Y",FA663="Y",Y663&amp;""&lt;&gt;""),IF(Y663&lt;=10,"Y","N"),"N"))</f>
        <v/>
      </c>
      <c r="FC663" s="0" t="str">
        <f aca="false">IF(FB663="Y",Y663,"")</f>
        <v/>
      </c>
      <c r="FD663" s="0" t="str">
        <f aca="false">IF($A663="","",IF(AND(CK663="pass",AU663="Y",AV663&lt;&gt;"Y",U663="new",EW663="N"),"Y","N"))</f>
        <v/>
      </c>
      <c r="FE663" s="0" t="str">
        <f aca="false">IF(FD663&lt;&gt;"Y","",IF(COUNTIFS($FD$2:$FD$1000,"Y",$J$2:$J$1000,"&gt;"&amp;J663)+COUNTIFS($FD$2:$FD$1000,"Y",$J$2:$J$1000,J663,$FG$2:$FG$1000,"&lt;"&amp;FG663)+1&lt;=30,COUNTIFS($FD$2:$FD$1000,"Y",$J$2:$J$1000,"&gt;"&amp;J663)+COUNTIFS($FD$2:$FD$1000,"Y",$J$2:$J$1000,J663,$FG$2:$FG$1000,"&lt;"&amp;FG663)+1,""))</f>
        <v/>
      </c>
      <c r="FF663" s="0" t="str">
        <f aca="false">IF(AND(_xlfn.ISFORMULA(C663),_xlfn.ISFORMULA(J663)),"Y","N")</f>
        <v>Y</v>
      </c>
      <c r="FG663" s="0" t="n">
        <f aca="false">ROW()-1</f>
        <v>662</v>
      </c>
    </row>
    <row r="664" customFormat="false" ht="15" hidden="false" customHeight="false" outlineLevel="0" collapsed="false">
      <c r="C664" s="0" t="str">
        <f aca="false">IF($A664="","",IF(AT664="Y",BL664&amp;"",AY664&amp;""))</f>
        <v/>
      </c>
      <c r="D664" s="0" t="str">
        <f aca="false">IF($A664="","",IF(AT664="Y",BM664&amp;"",AZ664&amp;""))</f>
        <v/>
      </c>
      <c r="E664" s="0" t="str">
        <f aca="false">IF($A664="","",IF(AT664="Y",BN664&amp;"",BA664&amp;""))</f>
        <v/>
      </c>
      <c r="F664" s="0" t="str">
        <f aca="false">IF($A664="","",IF(AT664="Y",BO664&amp;"",BB664&amp;""))</f>
        <v/>
      </c>
      <c r="G664" s="0" t="str">
        <f aca="false">IF($A664="","",IF(AT664="Y",BP664&amp;"",BC664&amp;""))</f>
        <v/>
      </c>
      <c r="H664" s="0" t="str">
        <f aca="false">IF($A664="","",IF(AT664="Y",BQ664&amp;"",BD664&amp;""))</f>
        <v/>
      </c>
      <c r="I664" s="0" t="str">
        <f aca="false">IF($A664="","",IF(R664="Y","warm-intro",IF(H664="verified","email",IF(C664&lt;&gt;"","linkedin",CA664&amp;""))))</f>
        <v/>
      </c>
      <c r="J664" s="0" t="str">
        <f aca="false">IF($A664="","",IF(CK664="pass",ROUND(N(DO664)+N(DP664)+N(DQ664)+N(DR664)+N(DS664)+N(DT664)+N(DU664)+N(DV664),0),0))</f>
        <v/>
      </c>
      <c r="K664" s="0" t="str">
        <f aca="false">IF($A664="","",IF(CK664&lt;&gt;"pass",BY664&amp;"",BY664&amp;", "&amp;IF(AT664="Y",BX664&amp;"",BK664&amp;"")&amp;BZ664&amp;IF(R664="Y","; known to the founder (+10)","")&amp;"."))</f>
        <v/>
      </c>
      <c r="R664" s="5"/>
      <c r="T664" s="5"/>
      <c r="U664" s="5"/>
      <c r="Y664" s="0" t="str">
        <f aca="false">IF(FA664&lt;&gt;"Y","",COUNTIFS($FA$2:$FA$1000,"Y",$J$2:$J$1000,"&gt;"&amp;J664)+COUNTIFS($FA$2:$FA$1000,"Y",$J$2:$J$1000,J664,$FG$2:$FG$1000,"&lt;"&amp;FG664)+1)</f>
        <v/>
      </c>
      <c r="AB664" s="0" t="str">
        <f aca="false">IF($A664="","",IF(AT664="Y",BW664&amp;"",BJ664&amp;""))</f>
        <v/>
      </c>
      <c r="AC664" s="0" t="str">
        <f aca="false">IF($A664="","",IF(AT664="Y",BR664&amp;"",BE664&amp;""))</f>
        <v/>
      </c>
      <c r="AD664" s="0" t="str">
        <f aca="false">IF($A664="","",IF(AT664="Y",BS664&amp;"",BF664&amp;""))</f>
        <v/>
      </c>
      <c r="AE664" s="0" t="str">
        <f aca="false">IF($A664="","",IF(AT664="Y",BT664&amp;"",BG664&amp;""))</f>
        <v/>
      </c>
      <c r="AF664" s="0" t="str">
        <f aca="false">IF($A664="","",IF(AT664="Y",BU664&amp;"",BH664&amp;""))</f>
        <v/>
      </c>
      <c r="AG664" s="0" t="str">
        <f aca="false">IF($A664="","",IF(AT664="Y",BV664&amp;"",BI664&amp;""))</f>
        <v/>
      </c>
      <c r="AO664" s="5"/>
      <c r="AR664" s="0" t="str">
        <f aca="false">IF($A664="","",IF(AND(CK664="pass",AO664&lt;&gt;"Y",C664&lt;&gt;"",OR(AU664&lt;&gt;"Y",AV664="Y")),"Y","N"))</f>
        <v/>
      </c>
      <c r="AS664" s="0" t="str">
        <f aca="false">IF($A664="","",_xlfn.TEXTJOIN("; ",TRUE(),IF(CK664&lt;&gt;"pass","gated out",""),IF(AO664="Y","on hold: "&amp;AP664,""),IF(C664="","no contact named on an opened page",""),IF(AND(AU664="Y",AV664&lt;&gt;"Y"),"founder review pending (Founder review tab)","")))</f>
        <v/>
      </c>
      <c r="BC664" s="0" t="str">
        <f aca="false">IF($A664="","",IFERROR(INDEX(Enrichment!$A$2:$GZ$2000,MATCH($A664,INDEX(Enrichment!$A$2:$GZ$2000,0,MATCH("row_id",Enrichment!$A$1:$GZ$1,0)),0),MATCH("work_email",Enrichment!$A$1:$GZ$1,0))&amp;"",""))</f>
        <v/>
      </c>
      <c r="BD664" s="0" t="str">
        <f aca="false">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P664" s="0" t="str">
        <f aca="false">IF($A664="","",IFERROR(INDEX(Enrichment!$A$2:$GZ$2000,MATCH($A664,INDEX(Enrichment!$A$2:$GZ$2000,0,MATCH("row_id",Enrichment!$A$1:$GZ$1,0)),0),MATCH("backup_work_email",Enrichment!$A$1:$GZ$1,0))&amp;"",""))</f>
        <v/>
      </c>
      <c r="BQ664" s="0" t="str">
        <f aca="false">IF($A664="","",IF(BP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DU664" s="0" t="str">
        <f aca="false">IF($A664="","",IF(R664="Y",10,0))</f>
        <v/>
      </c>
      <c r="EV664" s="0" t="str">
        <f aca="false">IF($A664="","",IF(ISNUMBER(MATCH(U664,{"queued","contacted","replied","call_booked","call_done","yes_in_principle","materials_sent"},0)),"Y","N"))</f>
        <v/>
      </c>
      <c r="EW664" s="0" t="str">
        <f aca="false">IF($A664="","",IF(OR(T664="Y",U664="do_not_contact",AQ664&amp;""&lt;&gt;""),"Y","N"))</f>
        <v/>
      </c>
      <c r="EX664" s="0" t="str">
        <f aca="false">IF($A664="","",IF(AN664&amp;""&lt;&gt;"",AN664&amp;"",$A664))</f>
        <v/>
      </c>
      <c r="EY664" s="0" t="str">
        <f aca="false">IF($A664="","",IF(COUNTIFS($EX$2:$EX$1000,EX664,$EV$2:$EV$1000,"Y")+COUNTIFS($EX$2:$EX$1000,EX664,$EW$2:$EW$1000,"Y")&gt;0,"Y","N"))</f>
        <v/>
      </c>
      <c r="EZ664" s="0" t="str">
        <f aca="false">IF($A664="","",IF(AND(U664="new",T664="N",EW664="N",AR664="Y",EY664="N"),"Y","N"))</f>
        <v/>
      </c>
      <c r="FA664" s="0" t="str">
        <f aca="false">IF($A664="","",IF(EZ664&lt;&gt;"Y","N",IF(COUNTIFS($EX$2:$EX$1000,EX664,$EZ$2:$EZ$1000,"Y",$J$2:$J$1000,"&gt;"&amp;J664)+COUNTIFS($EX$2:$EX$1000,EX664,$EZ$2:$EZ$1000,"Y",$J$2:$J$1000,J664,$FG$2:$FG$1000,"&lt;"&amp;FG664)=0,"Y","N")))</f>
        <v/>
      </c>
      <c r="FB664" s="0" t="str">
        <f aca="false">IF($A664="","",IF(AND(EZ664="Y",FA664="Y",Y664&amp;""&lt;&gt;""),IF(Y664&lt;=10,"Y","N"),"N"))</f>
        <v/>
      </c>
      <c r="FC664" s="0" t="str">
        <f aca="false">IF(FB664="Y",Y664,"")</f>
        <v/>
      </c>
      <c r="FD664" s="0" t="str">
        <f aca="false">IF($A664="","",IF(AND(CK664="pass",AU664="Y",AV664&lt;&gt;"Y",U664="new",EW664="N"),"Y","N"))</f>
        <v/>
      </c>
      <c r="FE664" s="0" t="str">
        <f aca="false">IF(FD664&lt;&gt;"Y","",IF(COUNTIFS($FD$2:$FD$1000,"Y",$J$2:$J$1000,"&gt;"&amp;J664)+COUNTIFS($FD$2:$FD$1000,"Y",$J$2:$J$1000,J664,$FG$2:$FG$1000,"&lt;"&amp;FG664)+1&lt;=30,COUNTIFS($FD$2:$FD$1000,"Y",$J$2:$J$1000,"&gt;"&amp;J664)+COUNTIFS($FD$2:$FD$1000,"Y",$J$2:$J$1000,J664,$FG$2:$FG$1000,"&lt;"&amp;FG664)+1,""))</f>
        <v/>
      </c>
      <c r="FF664" s="0" t="str">
        <f aca="false">IF(AND(_xlfn.ISFORMULA(C664),_xlfn.ISFORMULA(J664)),"Y","N")</f>
        <v>Y</v>
      </c>
      <c r="FG664" s="0" t="n">
        <f aca="false">ROW()-1</f>
        <v>663</v>
      </c>
    </row>
    <row r="665" customFormat="false" ht="15" hidden="false" customHeight="false" outlineLevel="0" collapsed="false">
      <c r="C665" s="0" t="str">
        <f aca="false">IF($A665="","",IF(AT665="Y",BL665&amp;"",AY665&amp;""))</f>
        <v/>
      </c>
      <c r="D665" s="0" t="str">
        <f aca="false">IF($A665="","",IF(AT665="Y",BM665&amp;"",AZ665&amp;""))</f>
        <v/>
      </c>
      <c r="E665" s="0" t="str">
        <f aca="false">IF($A665="","",IF(AT665="Y",BN665&amp;"",BA665&amp;""))</f>
        <v/>
      </c>
      <c r="F665" s="0" t="str">
        <f aca="false">IF($A665="","",IF(AT665="Y",BO665&amp;"",BB665&amp;""))</f>
        <v/>
      </c>
      <c r="G665" s="0" t="str">
        <f aca="false">IF($A665="","",IF(AT665="Y",BP665&amp;"",BC665&amp;""))</f>
        <v/>
      </c>
      <c r="H665" s="0" t="str">
        <f aca="false">IF($A665="","",IF(AT665="Y",BQ665&amp;"",BD665&amp;""))</f>
        <v/>
      </c>
      <c r="I665" s="0" t="str">
        <f aca="false">IF($A665="","",IF(R665="Y","warm-intro",IF(H665="verified","email",IF(C665&lt;&gt;"","linkedin",CA665&amp;""))))</f>
        <v/>
      </c>
      <c r="J665" s="0" t="str">
        <f aca="false">IF($A665="","",IF(CK665="pass",ROUND(N(DO665)+N(DP665)+N(DQ665)+N(DR665)+N(DS665)+N(DT665)+N(DU665)+N(DV665),0),0))</f>
        <v/>
      </c>
      <c r="K665" s="0" t="str">
        <f aca="false">IF($A665="","",IF(CK665&lt;&gt;"pass",BY665&amp;"",BY665&amp;", "&amp;IF(AT665="Y",BX665&amp;"",BK665&amp;"")&amp;BZ665&amp;IF(R665="Y","; known to the founder (+10)","")&amp;"."))</f>
        <v/>
      </c>
      <c r="R665" s="5"/>
      <c r="T665" s="5"/>
      <c r="U665" s="5"/>
      <c r="Y665" s="0" t="str">
        <f aca="false">IF(FA665&lt;&gt;"Y","",COUNTIFS($FA$2:$FA$1000,"Y",$J$2:$J$1000,"&gt;"&amp;J665)+COUNTIFS($FA$2:$FA$1000,"Y",$J$2:$J$1000,J665,$FG$2:$FG$1000,"&lt;"&amp;FG665)+1)</f>
        <v/>
      </c>
      <c r="AB665" s="0" t="str">
        <f aca="false">IF($A665="","",IF(AT665="Y",BW665&amp;"",BJ665&amp;""))</f>
        <v/>
      </c>
      <c r="AC665" s="0" t="str">
        <f aca="false">IF($A665="","",IF(AT665="Y",BR665&amp;"",BE665&amp;""))</f>
        <v/>
      </c>
      <c r="AD665" s="0" t="str">
        <f aca="false">IF($A665="","",IF(AT665="Y",BS665&amp;"",BF665&amp;""))</f>
        <v/>
      </c>
      <c r="AE665" s="0" t="str">
        <f aca="false">IF($A665="","",IF(AT665="Y",BT665&amp;"",BG665&amp;""))</f>
        <v/>
      </c>
      <c r="AF665" s="0" t="str">
        <f aca="false">IF($A665="","",IF(AT665="Y",BU665&amp;"",BH665&amp;""))</f>
        <v/>
      </c>
      <c r="AG665" s="0" t="str">
        <f aca="false">IF($A665="","",IF(AT665="Y",BV665&amp;"",BI665&amp;""))</f>
        <v/>
      </c>
      <c r="AO665" s="5"/>
      <c r="AR665" s="0" t="str">
        <f aca="false">IF($A665="","",IF(AND(CK665="pass",AO665&lt;&gt;"Y",C665&lt;&gt;"",OR(AU665&lt;&gt;"Y",AV665="Y")),"Y","N"))</f>
        <v/>
      </c>
      <c r="AS665" s="0" t="str">
        <f aca="false">IF($A665="","",_xlfn.TEXTJOIN("; ",TRUE(),IF(CK665&lt;&gt;"pass","gated out",""),IF(AO665="Y","on hold: "&amp;AP665,""),IF(C665="","no contact named on an opened page",""),IF(AND(AU665="Y",AV665&lt;&gt;"Y"),"founder review pending (Founder review tab)","")))</f>
        <v/>
      </c>
      <c r="BC665" s="0" t="str">
        <f aca="false">IF($A665="","",IFERROR(INDEX(Enrichment!$A$2:$GZ$2000,MATCH($A665,INDEX(Enrichment!$A$2:$GZ$2000,0,MATCH("row_id",Enrichment!$A$1:$GZ$1,0)),0),MATCH("work_email",Enrichment!$A$1:$GZ$1,0))&amp;"",""))</f>
        <v/>
      </c>
      <c r="BD665" s="0" t="str">
        <f aca="false">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P665" s="0" t="str">
        <f aca="false">IF($A665="","",IFERROR(INDEX(Enrichment!$A$2:$GZ$2000,MATCH($A665,INDEX(Enrichment!$A$2:$GZ$2000,0,MATCH("row_id",Enrichment!$A$1:$GZ$1,0)),0),MATCH("backup_work_email",Enrichment!$A$1:$GZ$1,0))&amp;"",""))</f>
        <v/>
      </c>
      <c r="BQ665" s="0" t="str">
        <f aca="false">IF($A665="","",IF(BP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DU665" s="0" t="str">
        <f aca="false">IF($A665="","",IF(R665="Y",10,0))</f>
        <v/>
      </c>
      <c r="EV665" s="0" t="str">
        <f aca="false">IF($A665="","",IF(ISNUMBER(MATCH(U665,{"queued","contacted","replied","call_booked","call_done","yes_in_principle","materials_sent"},0)),"Y","N"))</f>
        <v/>
      </c>
      <c r="EW665" s="0" t="str">
        <f aca="false">IF($A665="","",IF(OR(T665="Y",U665="do_not_contact",AQ665&amp;""&lt;&gt;""),"Y","N"))</f>
        <v/>
      </c>
      <c r="EX665" s="0" t="str">
        <f aca="false">IF($A665="","",IF(AN665&amp;""&lt;&gt;"",AN665&amp;"",$A665))</f>
        <v/>
      </c>
      <c r="EY665" s="0" t="str">
        <f aca="false">IF($A665="","",IF(COUNTIFS($EX$2:$EX$1000,EX665,$EV$2:$EV$1000,"Y")+COUNTIFS($EX$2:$EX$1000,EX665,$EW$2:$EW$1000,"Y")&gt;0,"Y","N"))</f>
        <v/>
      </c>
      <c r="EZ665" s="0" t="str">
        <f aca="false">IF($A665="","",IF(AND(U665="new",T665="N",EW665="N",AR665="Y",EY665="N"),"Y","N"))</f>
        <v/>
      </c>
      <c r="FA665" s="0" t="str">
        <f aca="false">IF($A665="","",IF(EZ665&lt;&gt;"Y","N",IF(COUNTIFS($EX$2:$EX$1000,EX665,$EZ$2:$EZ$1000,"Y",$J$2:$J$1000,"&gt;"&amp;J665)+COUNTIFS($EX$2:$EX$1000,EX665,$EZ$2:$EZ$1000,"Y",$J$2:$J$1000,J665,$FG$2:$FG$1000,"&lt;"&amp;FG665)=0,"Y","N")))</f>
        <v/>
      </c>
      <c r="FB665" s="0" t="str">
        <f aca="false">IF($A665="","",IF(AND(EZ665="Y",FA665="Y",Y665&amp;""&lt;&gt;""),IF(Y665&lt;=10,"Y","N"),"N"))</f>
        <v/>
      </c>
      <c r="FC665" s="0" t="str">
        <f aca="false">IF(FB665="Y",Y665,"")</f>
        <v/>
      </c>
      <c r="FD665" s="0" t="str">
        <f aca="false">IF($A665="","",IF(AND(CK665="pass",AU665="Y",AV665&lt;&gt;"Y",U665="new",EW665="N"),"Y","N"))</f>
        <v/>
      </c>
      <c r="FE665" s="0" t="str">
        <f aca="false">IF(FD665&lt;&gt;"Y","",IF(COUNTIFS($FD$2:$FD$1000,"Y",$J$2:$J$1000,"&gt;"&amp;J665)+COUNTIFS($FD$2:$FD$1000,"Y",$J$2:$J$1000,J665,$FG$2:$FG$1000,"&lt;"&amp;FG665)+1&lt;=30,COUNTIFS($FD$2:$FD$1000,"Y",$J$2:$J$1000,"&gt;"&amp;J665)+COUNTIFS($FD$2:$FD$1000,"Y",$J$2:$J$1000,J665,$FG$2:$FG$1000,"&lt;"&amp;FG665)+1,""))</f>
        <v/>
      </c>
      <c r="FF665" s="0" t="str">
        <f aca="false">IF(AND(_xlfn.ISFORMULA(C665),_xlfn.ISFORMULA(J665)),"Y","N")</f>
        <v>Y</v>
      </c>
      <c r="FG665" s="0" t="n">
        <f aca="false">ROW()-1</f>
        <v>664</v>
      </c>
    </row>
    <row r="666" customFormat="false" ht="15" hidden="false" customHeight="false" outlineLevel="0" collapsed="false">
      <c r="C666" s="0" t="str">
        <f aca="false">IF($A666="","",IF(AT666="Y",BL666&amp;"",AY666&amp;""))</f>
        <v/>
      </c>
      <c r="D666" s="0" t="str">
        <f aca="false">IF($A666="","",IF(AT666="Y",BM666&amp;"",AZ666&amp;""))</f>
        <v/>
      </c>
      <c r="E666" s="0" t="str">
        <f aca="false">IF($A666="","",IF(AT666="Y",BN666&amp;"",BA666&amp;""))</f>
        <v/>
      </c>
      <c r="F666" s="0" t="str">
        <f aca="false">IF($A666="","",IF(AT666="Y",BO666&amp;"",BB666&amp;""))</f>
        <v/>
      </c>
      <c r="G666" s="0" t="str">
        <f aca="false">IF($A666="","",IF(AT666="Y",BP666&amp;"",BC666&amp;""))</f>
        <v/>
      </c>
      <c r="H666" s="0" t="str">
        <f aca="false">IF($A666="","",IF(AT666="Y",BQ666&amp;"",BD666&amp;""))</f>
        <v/>
      </c>
      <c r="I666" s="0" t="str">
        <f aca="false">IF($A666="","",IF(R666="Y","warm-intro",IF(H666="verified","email",IF(C666&lt;&gt;"","linkedin",CA666&amp;""))))</f>
        <v/>
      </c>
      <c r="J666" s="0" t="str">
        <f aca="false">IF($A666="","",IF(CK666="pass",ROUND(N(DO666)+N(DP666)+N(DQ666)+N(DR666)+N(DS666)+N(DT666)+N(DU666)+N(DV666),0),0))</f>
        <v/>
      </c>
      <c r="K666" s="0" t="str">
        <f aca="false">IF($A666="","",IF(CK666&lt;&gt;"pass",BY666&amp;"",BY666&amp;", "&amp;IF(AT666="Y",BX666&amp;"",BK666&amp;"")&amp;BZ666&amp;IF(R666="Y","; known to the founder (+10)","")&amp;"."))</f>
        <v/>
      </c>
      <c r="R666" s="5"/>
      <c r="T666" s="5"/>
      <c r="U666" s="5"/>
      <c r="Y666" s="0" t="str">
        <f aca="false">IF(FA666&lt;&gt;"Y","",COUNTIFS($FA$2:$FA$1000,"Y",$J$2:$J$1000,"&gt;"&amp;J666)+COUNTIFS($FA$2:$FA$1000,"Y",$J$2:$J$1000,J666,$FG$2:$FG$1000,"&lt;"&amp;FG666)+1)</f>
        <v/>
      </c>
      <c r="AB666" s="0" t="str">
        <f aca="false">IF($A666="","",IF(AT666="Y",BW666&amp;"",BJ666&amp;""))</f>
        <v/>
      </c>
      <c r="AC666" s="0" t="str">
        <f aca="false">IF($A666="","",IF(AT666="Y",BR666&amp;"",BE666&amp;""))</f>
        <v/>
      </c>
      <c r="AD666" s="0" t="str">
        <f aca="false">IF($A666="","",IF(AT666="Y",BS666&amp;"",BF666&amp;""))</f>
        <v/>
      </c>
      <c r="AE666" s="0" t="str">
        <f aca="false">IF($A666="","",IF(AT666="Y",BT666&amp;"",BG666&amp;""))</f>
        <v/>
      </c>
      <c r="AF666" s="0" t="str">
        <f aca="false">IF($A666="","",IF(AT666="Y",BU666&amp;"",BH666&amp;""))</f>
        <v/>
      </c>
      <c r="AG666" s="0" t="str">
        <f aca="false">IF($A666="","",IF(AT666="Y",BV666&amp;"",BI666&amp;""))</f>
        <v/>
      </c>
      <c r="AO666" s="5"/>
      <c r="AR666" s="0" t="str">
        <f aca="false">IF($A666="","",IF(AND(CK666="pass",AO666&lt;&gt;"Y",C666&lt;&gt;"",OR(AU666&lt;&gt;"Y",AV666="Y")),"Y","N"))</f>
        <v/>
      </c>
      <c r="AS666" s="0" t="str">
        <f aca="false">IF($A666="","",_xlfn.TEXTJOIN("; ",TRUE(),IF(CK666&lt;&gt;"pass","gated out",""),IF(AO666="Y","on hold: "&amp;AP666,""),IF(C666="","no contact named on an opened page",""),IF(AND(AU666="Y",AV666&lt;&gt;"Y"),"founder review pending (Founder review tab)","")))</f>
        <v/>
      </c>
      <c r="BC666" s="0" t="str">
        <f aca="false">IF($A666="","",IFERROR(INDEX(Enrichment!$A$2:$GZ$2000,MATCH($A666,INDEX(Enrichment!$A$2:$GZ$2000,0,MATCH("row_id",Enrichment!$A$1:$GZ$1,0)),0),MATCH("work_email",Enrichment!$A$1:$GZ$1,0))&amp;"",""))</f>
        <v/>
      </c>
      <c r="BD666" s="0" t="str">
        <f aca="false">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P666" s="0" t="str">
        <f aca="false">IF($A666="","",IFERROR(INDEX(Enrichment!$A$2:$GZ$2000,MATCH($A666,INDEX(Enrichment!$A$2:$GZ$2000,0,MATCH("row_id",Enrichment!$A$1:$GZ$1,0)),0),MATCH("backup_work_email",Enrichment!$A$1:$GZ$1,0))&amp;"",""))</f>
        <v/>
      </c>
      <c r="BQ666" s="0" t="str">
        <f aca="false">IF($A666="","",IF(BP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DU666" s="0" t="str">
        <f aca="false">IF($A666="","",IF(R666="Y",10,0))</f>
        <v/>
      </c>
      <c r="EV666" s="0" t="str">
        <f aca="false">IF($A666="","",IF(ISNUMBER(MATCH(U666,{"queued","contacted","replied","call_booked","call_done","yes_in_principle","materials_sent"},0)),"Y","N"))</f>
        <v/>
      </c>
      <c r="EW666" s="0" t="str">
        <f aca="false">IF($A666="","",IF(OR(T666="Y",U666="do_not_contact",AQ666&amp;""&lt;&gt;""),"Y","N"))</f>
        <v/>
      </c>
      <c r="EX666" s="0" t="str">
        <f aca="false">IF($A666="","",IF(AN666&amp;""&lt;&gt;"",AN666&amp;"",$A666))</f>
        <v/>
      </c>
      <c r="EY666" s="0" t="str">
        <f aca="false">IF($A666="","",IF(COUNTIFS($EX$2:$EX$1000,EX666,$EV$2:$EV$1000,"Y")+COUNTIFS($EX$2:$EX$1000,EX666,$EW$2:$EW$1000,"Y")&gt;0,"Y","N"))</f>
        <v/>
      </c>
      <c r="EZ666" s="0" t="str">
        <f aca="false">IF($A666="","",IF(AND(U666="new",T666="N",EW666="N",AR666="Y",EY666="N"),"Y","N"))</f>
        <v/>
      </c>
      <c r="FA666" s="0" t="str">
        <f aca="false">IF($A666="","",IF(EZ666&lt;&gt;"Y","N",IF(COUNTIFS($EX$2:$EX$1000,EX666,$EZ$2:$EZ$1000,"Y",$J$2:$J$1000,"&gt;"&amp;J666)+COUNTIFS($EX$2:$EX$1000,EX666,$EZ$2:$EZ$1000,"Y",$J$2:$J$1000,J666,$FG$2:$FG$1000,"&lt;"&amp;FG666)=0,"Y","N")))</f>
        <v/>
      </c>
      <c r="FB666" s="0" t="str">
        <f aca="false">IF($A666="","",IF(AND(EZ666="Y",FA666="Y",Y666&amp;""&lt;&gt;""),IF(Y666&lt;=10,"Y","N"),"N"))</f>
        <v/>
      </c>
      <c r="FC666" s="0" t="str">
        <f aca="false">IF(FB666="Y",Y666,"")</f>
        <v/>
      </c>
      <c r="FD666" s="0" t="str">
        <f aca="false">IF($A666="","",IF(AND(CK666="pass",AU666="Y",AV666&lt;&gt;"Y",U666="new",EW666="N"),"Y","N"))</f>
        <v/>
      </c>
      <c r="FE666" s="0" t="str">
        <f aca="false">IF(FD666&lt;&gt;"Y","",IF(COUNTIFS($FD$2:$FD$1000,"Y",$J$2:$J$1000,"&gt;"&amp;J666)+COUNTIFS($FD$2:$FD$1000,"Y",$J$2:$J$1000,J666,$FG$2:$FG$1000,"&lt;"&amp;FG666)+1&lt;=30,COUNTIFS($FD$2:$FD$1000,"Y",$J$2:$J$1000,"&gt;"&amp;J666)+COUNTIFS($FD$2:$FD$1000,"Y",$J$2:$J$1000,J666,$FG$2:$FG$1000,"&lt;"&amp;FG666)+1,""))</f>
        <v/>
      </c>
      <c r="FF666" s="0" t="str">
        <f aca="false">IF(AND(_xlfn.ISFORMULA(C666),_xlfn.ISFORMULA(J666)),"Y","N")</f>
        <v>Y</v>
      </c>
      <c r="FG666" s="0" t="n">
        <f aca="false">ROW()-1</f>
        <v>665</v>
      </c>
    </row>
    <row r="667" customFormat="false" ht="15" hidden="false" customHeight="false" outlineLevel="0" collapsed="false">
      <c r="C667" s="0" t="str">
        <f aca="false">IF($A667="","",IF(AT667="Y",BL667&amp;"",AY667&amp;""))</f>
        <v/>
      </c>
      <c r="D667" s="0" t="str">
        <f aca="false">IF($A667="","",IF(AT667="Y",BM667&amp;"",AZ667&amp;""))</f>
        <v/>
      </c>
      <c r="E667" s="0" t="str">
        <f aca="false">IF($A667="","",IF(AT667="Y",BN667&amp;"",BA667&amp;""))</f>
        <v/>
      </c>
      <c r="F667" s="0" t="str">
        <f aca="false">IF($A667="","",IF(AT667="Y",BO667&amp;"",BB667&amp;""))</f>
        <v/>
      </c>
      <c r="G667" s="0" t="str">
        <f aca="false">IF($A667="","",IF(AT667="Y",BP667&amp;"",BC667&amp;""))</f>
        <v/>
      </c>
      <c r="H667" s="0" t="str">
        <f aca="false">IF($A667="","",IF(AT667="Y",BQ667&amp;"",BD667&amp;""))</f>
        <v/>
      </c>
      <c r="I667" s="0" t="str">
        <f aca="false">IF($A667="","",IF(R667="Y","warm-intro",IF(H667="verified","email",IF(C667&lt;&gt;"","linkedin",CA667&amp;""))))</f>
        <v/>
      </c>
      <c r="J667" s="0" t="str">
        <f aca="false">IF($A667="","",IF(CK667="pass",ROUND(N(DO667)+N(DP667)+N(DQ667)+N(DR667)+N(DS667)+N(DT667)+N(DU667)+N(DV667),0),0))</f>
        <v/>
      </c>
      <c r="K667" s="0" t="str">
        <f aca="false">IF($A667="","",IF(CK667&lt;&gt;"pass",BY667&amp;"",BY667&amp;", "&amp;IF(AT667="Y",BX667&amp;"",BK667&amp;"")&amp;BZ667&amp;IF(R667="Y","; known to the founder (+10)","")&amp;"."))</f>
        <v/>
      </c>
      <c r="R667" s="5"/>
      <c r="T667" s="5"/>
      <c r="U667" s="5"/>
      <c r="Y667" s="0" t="str">
        <f aca="false">IF(FA667&lt;&gt;"Y","",COUNTIFS($FA$2:$FA$1000,"Y",$J$2:$J$1000,"&gt;"&amp;J667)+COUNTIFS($FA$2:$FA$1000,"Y",$J$2:$J$1000,J667,$FG$2:$FG$1000,"&lt;"&amp;FG667)+1)</f>
        <v/>
      </c>
      <c r="AB667" s="0" t="str">
        <f aca="false">IF($A667="","",IF(AT667="Y",BW667&amp;"",BJ667&amp;""))</f>
        <v/>
      </c>
      <c r="AC667" s="0" t="str">
        <f aca="false">IF($A667="","",IF(AT667="Y",BR667&amp;"",BE667&amp;""))</f>
        <v/>
      </c>
      <c r="AD667" s="0" t="str">
        <f aca="false">IF($A667="","",IF(AT667="Y",BS667&amp;"",BF667&amp;""))</f>
        <v/>
      </c>
      <c r="AE667" s="0" t="str">
        <f aca="false">IF($A667="","",IF(AT667="Y",BT667&amp;"",BG667&amp;""))</f>
        <v/>
      </c>
      <c r="AF667" s="0" t="str">
        <f aca="false">IF($A667="","",IF(AT667="Y",BU667&amp;"",BH667&amp;""))</f>
        <v/>
      </c>
      <c r="AG667" s="0" t="str">
        <f aca="false">IF($A667="","",IF(AT667="Y",BV667&amp;"",BI667&amp;""))</f>
        <v/>
      </c>
      <c r="AO667" s="5"/>
      <c r="AR667" s="0" t="str">
        <f aca="false">IF($A667="","",IF(AND(CK667="pass",AO667&lt;&gt;"Y",C667&lt;&gt;"",OR(AU667&lt;&gt;"Y",AV667="Y")),"Y","N"))</f>
        <v/>
      </c>
      <c r="AS667" s="0" t="str">
        <f aca="false">IF($A667="","",_xlfn.TEXTJOIN("; ",TRUE(),IF(CK667&lt;&gt;"pass","gated out",""),IF(AO667="Y","on hold: "&amp;AP667,""),IF(C667="","no contact named on an opened page",""),IF(AND(AU667="Y",AV667&lt;&gt;"Y"),"founder review pending (Founder review tab)","")))</f>
        <v/>
      </c>
      <c r="BC667" s="0" t="str">
        <f aca="false">IF($A667="","",IFERROR(INDEX(Enrichment!$A$2:$GZ$2000,MATCH($A667,INDEX(Enrichment!$A$2:$GZ$2000,0,MATCH("row_id",Enrichment!$A$1:$GZ$1,0)),0),MATCH("work_email",Enrichment!$A$1:$GZ$1,0))&amp;"",""))</f>
        <v/>
      </c>
      <c r="BD667" s="0" t="str">
        <f aca="false">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P667" s="0" t="str">
        <f aca="false">IF($A667="","",IFERROR(INDEX(Enrichment!$A$2:$GZ$2000,MATCH($A667,INDEX(Enrichment!$A$2:$GZ$2000,0,MATCH("row_id",Enrichment!$A$1:$GZ$1,0)),0),MATCH("backup_work_email",Enrichment!$A$1:$GZ$1,0))&amp;"",""))</f>
        <v/>
      </c>
      <c r="BQ667" s="0" t="str">
        <f aca="false">IF($A667="","",IF(BP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DU667" s="0" t="str">
        <f aca="false">IF($A667="","",IF(R667="Y",10,0))</f>
        <v/>
      </c>
      <c r="EV667" s="0" t="str">
        <f aca="false">IF($A667="","",IF(ISNUMBER(MATCH(U667,{"queued","contacted","replied","call_booked","call_done","yes_in_principle","materials_sent"},0)),"Y","N"))</f>
        <v/>
      </c>
      <c r="EW667" s="0" t="str">
        <f aca="false">IF($A667="","",IF(OR(T667="Y",U667="do_not_contact",AQ667&amp;""&lt;&gt;""),"Y","N"))</f>
        <v/>
      </c>
      <c r="EX667" s="0" t="str">
        <f aca="false">IF($A667="","",IF(AN667&amp;""&lt;&gt;"",AN667&amp;"",$A667))</f>
        <v/>
      </c>
      <c r="EY667" s="0" t="str">
        <f aca="false">IF($A667="","",IF(COUNTIFS($EX$2:$EX$1000,EX667,$EV$2:$EV$1000,"Y")+COUNTIFS($EX$2:$EX$1000,EX667,$EW$2:$EW$1000,"Y")&gt;0,"Y","N"))</f>
        <v/>
      </c>
      <c r="EZ667" s="0" t="str">
        <f aca="false">IF($A667="","",IF(AND(U667="new",T667="N",EW667="N",AR667="Y",EY667="N"),"Y","N"))</f>
        <v/>
      </c>
      <c r="FA667" s="0" t="str">
        <f aca="false">IF($A667="","",IF(EZ667&lt;&gt;"Y","N",IF(COUNTIFS($EX$2:$EX$1000,EX667,$EZ$2:$EZ$1000,"Y",$J$2:$J$1000,"&gt;"&amp;J667)+COUNTIFS($EX$2:$EX$1000,EX667,$EZ$2:$EZ$1000,"Y",$J$2:$J$1000,J667,$FG$2:$FG$1000,"&lt;"&amp;FG667)=0,"Y","N")))</f>
        <v/>
      </c>
      <c r="FB667" s="0" t="str">
        <f aca="false">IF($A667="","",IF(AND(EZ667="Y",FA667="Y",Y667&amp;""&lt;&gt;""),IF(Y667&lt;=10,"Y","N"),"N"))</f>
        <v/>
      </c>
      <c r="FC667" s="0" t="str">
        <f aca="false">IF(FB667="Y",Y667,"")</f>
        <v/>
      </c>
      <c r="FD667" s="0" t="str">
        <f aca="false">IF($A667="","",IF(AND(CK667="pass",AU667="Y",AV667&lt;&gt;"Y",U667="new",EW667="N"),"Y","N"))</f>
        <v/>
      </c>
      <c r="FE667" s="0" t="str">
        <f aca="false">IF(FD667&lt;&gt;"Y","",IF(COUNTIFS($FD$2:$FD$1000,"Y",$J$2:$J$1000,"&gt;"&amp;J667)+COUNTIFS($FD$2:$FD$1000,"Y",$J$2:$J$1000,J667,$FG$2:$FG$1000,"&lt;"&amp;FG667)+1&lt;=30,COUNTIFS($FD$2:$FD$1000,"Y",$J$2:$J$1000,"&gt;"&amp;J667)+COUNTIFS($FD$2:$FD$1000,"Y",$J$2:$J$1000,J667,$FG$2:$FG$1000,"&lt;"&amp;FG667)+1,""))</f>
        <v/>
      </c>
      <c r="FF667" s="0" t="str">
        <f aca="false">IF(AND(_xlfn.ISFORMULA(C667),_xlfn.ISFORMULA(J667)),"Y","N")</f>
        <v>Y</v>
      </c>
      <c r="FG667" s="0" t="n">
        <f aca="false">ROW()-1</f>
        <v>666</v>
      </c>
    </row>
    <row r="668" customFormat="false" ht="15" hidden="false" customHeight="false" outlineLevel="0" collapsed="false">
      <c r="C668" s="0" t="str">
        <f aca="false">IF($A668="","",IF(AT668="Y",BL668&amp;"",AY668&amp;""))</f>
        <v/>
      </c>
      <c r="D668" s="0" t="str">
        <f aca="false">IF($A668="","",IF(AT668="Y",BM668&amp;"",AZ668&amp;""))</f>
        <v/>
      </c>
      <c r="E668" s="0" t="str">
        <f aca="false">IF($A668="","",IF(AT668="Y",BN668&amp;"",BA668&amp;""))</f>
        <v/>
      </c>
      <c r="F668" s="0" t="str">
        <f aca="false">IF($A668="","",IF(AT668="Y",BO668&amp;"",BB668&amp;""))</f>
        <v/>
      </c>
      <c r="G668" s="0" t="str">
        <f aca="false">IF($A668="","",IF(AT668="Y",BP668&amp;"",BC668&amp;""))</f>
        <v/>
      </c>
      <c r="H668" s="0" t="str">
        <f aca="false">IF($A668="","",IF(AT668="Y",BQ668&amp;"",BD668&amp;""))</f>
        <v/>
      </c>
      <c r="I668" s="0" t="str">
        <f aca="false">IF($A668="","",IF(R668="Y","warm-intro",IF(H668="verified","email",IF(C668&lt;&gt;"","linkedin",CA668&amp;""))))</f>
        <v/>
      </c>
      <c r="J668" s="0" t="str">
        <f aca="false">IF($A668="","",IF(CK668="pass",ROUND(N(DO668)+N(DP668)+N(DQ668)+N(DR668)+N(DS668)+N(DT668)+N(DU668)+N(DV668),0),0))</f>
        <v/>
      </c>
      <c r="K668" s="0" t="str">
        <f aca="false">IF($A668="","",IF(CK668&lt;&gt;"pass",BY668&amp;"",BY668&amp;", "&amp;IF(AT668="Y",BX668&amp;"",BK668&amp;"")&amp;BZ668&amp;IF(R668="Y","; known to the founder (+10)","")&amp;"."))</f>
        <v/>
      </c>
      <c r="R668" s="5"/>
      <c r="T668" s="5"/>
      <c r="U668" s="5"/>
      <c r="Y668" s="0" t="str">
        <f aca="false">IF(FA668&lt;&gt;"Y","",COUNTIFS($FA$2:$FA$1000,"Y",$J$2:$J$1000,"&gt;"&amp;J668)+COUNTIFS($FA$2:$FA$1000,"Y",$J$2:$J$1000,J668,$FG$2:$FG$1000,"&lt;"&amp;FG668)+1)</f>
        <v/>
      </c>
      <c r="AB668" s="0" t="str">
        <f aca="false">IF($A668="","",IF(AT668="Y",BW668&amp;"",BJ668&amp;""))</f>
        <v/>
      </c>
      <c r="AC668" s="0" t="str">
        <f aca="false">IF($A668="","",IF(AT668="Y",BR668&amp;"",BE668&amp;""))</f>
        <v/>
      </c>
      <c r="AD668" s="0" t="str">
        <f aca="false">IF($A668="","",IF(AT668="Y",BS668&amp;"",BF668&amp;""))</f>
        <v/>
      </c>
      <c r="AE668" s="0" t="str">
        <f aca="false">IF($A668="","",IF(AT668="Y",BT668&amp;"",BG668&amp;""))</f>
        <v/>
      </c>
      <c r="AF668" s="0" t="str">
        <f aca="false">IF($A668="","",IF(AT668="Y",BU668&amp;"",BH668&amp;""))</f>
        <v/>
      </c>
      <c r="AG668" s="0" t="str">
        <f aca="false">IF($A668="","",IF(AT668="Y",BV668&amp;"",BI668&amp;""))</f>
        <v/>
      </c>
      <c r="AO668" s="5"/>
      <c r="AR668" s="0" t="str">
        <f aca="false">IF($A668="","",IF(AND(CK668="pass",AO668&lt;&gt;"Y",C668&lt;&gt;"",OR(AU668&lt;&gt;"Y",AV668="Y")),"Y","N"))</f>
        <v/>
      </c>
      <c r="AS668" s="0" t="str">
        <f aca="false">IF($A668="","",_xlfn.TEXTJOIN("; ",TRUE(),IF(CK668&lt;&gt;"pass","gated out",""),IF(AO668="Y","on hold: "&amp;AP668,""),IF(C668="","no contact named on an opened page",""),IF(AND(AU668="Y",AV668&lt;&gt;"Y"),"founder review pending (Founder review tab)","")))</f>
        <v/>
      </c>
      <c r="BC668" s="0" t="str">
        <f aca="false">IF($A668="","",IFERROR(INDEX(Enrichment!$A$2:$GZ$2000,MATCH($A668,INDEX(Enrichment!$A$2:$GZ$2000,0,MATCH("row_id",Enrichment!$A$1:$GZ$1,0)),0),MATCH("work_email",Enrichment!$A$1:$GZ$1,0))&amp;"",""))</f>
        <v/>
      </c>
      <c r="BD668" s="0" t="str">
        <f aca="false">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P668" s="0" t="str">
        <f aca="false">IF($A668="","",IFERROR(INDEX(Enrichment!$A$2:$GZ$2000,MATCH($A668,INDEX(Enrichment!$A$2:$GZ$2000,0,MATCH("row_id",Enrichment!$A$1:$GZ$1,0)),0),MATCH("backup_work_email",Enrichment!$A$1:$GZ$1,0))&amp;"",""))</f>
        <v/>
      </c>
      <c r="BQ668" s="0" t="str">
        <f aca="false">IF($A668="","",IF(BP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DU668" s="0" t="str">
        <f aca="false">IF($A668="","",IF(R668="Y",10,0))</f>
        <v/>
      </c>
      <c r="EV668" s="0" t="str">
        <f aca="false">IF($A668="","",IF(ISNUMBER(MATCH(U668,{"queued","contacted","replied","call_booked","call_done","yes_in_principle","materials_sent"},0)),"Y","N"))</f>
        <v/>
      </c>
      <c r="EW668" s="0" t="str">
        <f aca="false">IF($A668="","",IF(OR(T668="Y",U668="do_not_contact",AQ668&amp;""&lt;&gt;""),"Y","N"))</f>
        <v/>
      </c>
      <c r="EX668" s="0" t="str">
        <f aca="false">IF($A668="","",IF(AN668&amp;""&lt;&gt;"",AN668&amp;"",$A668))</f>
        <v/>
      </c>
      <c r="EY668" s="0" t="str">
        <f aca="false">IF($A668="","",IF(COUNTIFS($EX$2:$EX$1000,EX668,$EV$2:$EV$1000,"Y")+COUNTIFS($EX$2:$EX$1000,EX668,$EW$2:$EW$1000,"Y")&gt;0,"Y","N"))</f>
        <v/>
      </c>
      <c r="EZ668" s="0" t="str">
        <f aca="false">IF($A668="","",IF(AND(U668="new",T668="N",EW668="N",AR668="Y",EY668="N"),"Y","N"))</f>
        <v/>
      </c>
      <c r="FA668" s="0" t="str">
        <f aca="false">IF($A668="","",IF(EZ668&lt;&gt;"Y","N",IF(COUNTIFS($EX$2:$EX$1000,EX668,$EZ$2:$EZ$1000,"Y",$J$2:$J$1000,"&gt;"&amp;J668)+COUNTIFS($EX$2:$EX$1000,EX668,$EZ$2:$EZ$1000,"Y",$J$2:$J$1000,J668,$FG$2:$FG$1000,"&lt;"&amp;FG668)=0,"Y","N")))</f>
        <v/>
      </c>
      <c r="FB668" s="0" t="str">
        <f aca="false">IF($A668="","",IF(AND(EZ668="Y",FA668="Y",Y668&amp;""&lt;&gt;""),IF(Y668&lt;=10,"Y","N"),"N"))</f>
        <v/>
      </c>
      <c r="FC668" s="0" t="str">
        <f aca="false">IF(FB668="Y",Y668,"")</f>
        <v/>
      </c>
      <c r="FD668" s="0" t="str">
        <f aca="false">IF($A668="","",IF(AND(CK668="pass",AU668="Y",AV668&lt;&gt;"Y",U668="new",EW668="N"),"Y","N"))</f>
        <v/>
      </c>
      <c r="FE668" s="0" t="str">
        <f aca="false">IF(FD668&lt;&gt;"Y","",IF(COUNTIFS($FD$2:$FD$1000,"Y",$J$2:$J$1000,"&gt;"&amp;J668)+COUNTIFS($FD$2:$FD$1000,"Y",$J$2:$J$1000,J668,$FG$2:$FG$1000,"&lt;"&amp;FG668)+1&lt;=30,COUNTIFS($FD$2:$FD$1000,"Y",$J$2:$J$1000,"&gt;"&amp;J668)+COUNTIFS($FD$2:$FD$1000,"Y",$J$2:$J$1000,J668,$FG$2:$FG$1000,"&lt;"&amp;FG668)+1,""))</f>
        <v/>
      </c>
      <c r="FF668" s="0" t="str">
        <f aca="false">IF(AND(_xlfn.ISFORMULA(C668),_xlfn.ISFORMULA(J668)),"Y","N")</f>
        <v>Y</v>
      </c>
      <c r="FG668" s="0" t="n">
        <f aca="false">ROW()-1</f>
        <v>667</v>
      </c>
    </row>
    <row r="669" customFormat="false" ht="15" hidden="false" customHeight="false" outlineLevel="0" collapsed="false">
      <c r="C669" s="0" t="str">
        <f aca="false">IF($A669="","",IF(AT669="Y",BL669&amp;"",AY669&amp;""))</f>
        <v/>
      </c>
      <c r="D669" s="0" t="str">
        <f aca="false">IF($A669="","",IF(AT669="Y",BM669&amp;"",AZ669&amp;""))</f>
        <v/>
      </c>
      <c r="E669" s="0" t="str">
        <f aca="false">IF($A669="","",IF(AT669="Y",BN669&amp;"",BA669&amp;""))</f>
        <v/>
      </c>
      <c r="F669" s="0" t="str">
        <f aca="false">IF($A669="","",IF(AT669="Y",BO669&amp;"",BB669&amp;""))</f>
        <v/>
      </c>
      <c r="G669" s="0" t="str">
        <f aca="false">IF($A669="","",IF(AT669="Y",BP669&amp;"",BC669&amp;""))</f>
        <v/>
      </c>
      <c r="H669" s="0" t="str">
        <f aca="false">IF($A669="","",IF(AT669="Y",BQ669&amp;"",BD669&amp;""))</f>
        <v/>
      </c>
      <c r="I669" s="0" t="str">
        <f aca="false">IF($A669="","",IF(R669="Y","warm-intro",IF(H669="verified","email",IF(C669&lt;&gt;"","linkedin",CA669&amp;""))))</f>
        <v/>
      </c>
      <c r="J669" s="0" t="str">
        <f aca="false">IF($A669="","",IF(CK669="pass",ROUND(N(DO669)+N(DP669)+N(DQ669)+N(DR669)+N(DS669)+N(DT669)+N(DU669)+N(DV669),0),0))</f>
        <v/>
      </c>
      <c r="K669" s="0" t="str">
        <f aca="false">IF($A669="","",IF(CK669&lt;&gt;"pass",BY669&amp;"",BY669&amp;", "&amp;IF(AT669="Y",BX669&amp;"",BK669&amp;"")&amp;BZ669&amp;IF(R669="Y","; known to the founder (+10)","")&amp;"."))</f>
        <v/>
      </c>
      <c r="R669" s="5"/>
      <c r="T669" s="5"/>
      <c r="U669" s="5"/>
      <c r="Y669" s="0" t="str">
        <f aca="false">IF(FA669&lt;&gt;"Y","",COUNTIFS($FA$2:$FA$1000,"Y",$J$2:$J$1000,"&gt;"&amp;J669)+COUNTIFS($FA$2:$FA$1000,"Y",$J$2:$J$1000,J669,$FG$2:$FG$1000,"&lt;"&amp;FG669)+1)</f>
        <v/>
      </c>
      <c r="AB669" s="0" t="str">
        <f aca="false">IF($A669="","",IF(AT669="Y",BW669&amp;"",BJ669&amp;""))</f>
        <v/>
      </c>
      <c r="AC669" s="0" t="str">
        <f aca="false">IF($A669="","",IF(AT669="Y",BR669&amp;"",BE669&amp;""))</f>
        <v/>
      </c>
      <c r="AD669" s="0" t="str">
        <f aca="false">IF($A669="","",IF(AT669="Y",BS669&amp;"",BF669&amp;""))</f>
        <v/>
      </c>
      <c r="AE669" s="0" t="str">
        <f aca="false">IF($A669="","",IF(AT669="Y",BT669&amp;"",BG669&amp;""))</f>
        <v/>
      </c>
      <c r="AF669" s="0" t="str">
        <f aca="false">IF($A669="","",IF(AT669="Y",BU669&amp;"",BH669&amp;""))</f>
        <v/>
      </c>
      <c r="AG669" s="0" t="str">
        <f aca="false">IF($A669="","",IF(AT669="Y",BV669&amp;"",BI669&amp;""))</f>
        <v/>
      </c>
      <c r="AO669" s="5"/>
      <c r="AR669" s="0" t="str">
        <f aca="false">IF($A669="","",IF(AND(CK669="pass",AO669&lt;&gt;"Y",C669&lt;&gt;"",OR(AU669&lt;&gt;"Y",AV669="Y")),"Y","N"))</f>
        <v/>
      </c>
      <c r="AS669" s="0" t="str">
        <f aca="false">IF($A669="","",_xlfn.TEXTJOIN("; ",TRUE(),IF(CK669&lt;&gt;"pass","gated out",""),IF(AO669="Y","on hold: "&amp;AP669,""),IF(C669="","no contact named on an opened page",""),IF(AND(AU669="Y",AV669&lt;&gt;"Y"),"founder review pending (Founder review tab)","")))</f>
        <v/>
      </c>
      <c r="BC669" s="0" t="str">
        <f aca="false">IF($A669="","",IFERROR(INDEX(Enrichment!$A$2:$GZ$2000,MATCH($A669,INDEX(Enrichment!$A$2:$GZ$2000,0,MATCH("row_id",Enrichment!$A$1:$GZ$1,0)),0),MATCH("work_email",Enrichment!$A$1:$GZ$1,0))&amp;"",""))</f>
        <v/>
      </c>
      <c r="BD669" s="0" t="str">
        <f aca="false">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P669" s="0" t="str">
        <f aca="false">IF($A669="","",IFERROR(INDEX(Enrichment!$A$2:$GZ$2000,MATCH($A669,INDEX(Enrichment!$A$2:$GZ$2000,0,MATCH("row_id",Enrichment!$A$1:$GZ$1,0)),0),MATCH("backup_work_email",Enrichment!$A$1:$GZ$1,0))&amp;"",""))</f>
        <v/>
      </c>
      <c r="BQ669" s="0" t="str">
        <f aca="false">IF($A669="","",IF(BP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DU669" s="0" t="str">
        <f aca="false">IF($A669="","",IF(R669="Y",10,0))</f>
        <v/>
      </c>
      <c r="EV669" s="0" t="str">
        <f aca="false">IF($A669="","",IF(ISNUMBER(MATCH(U669,{"queued","contacted","replied","call_booked","call_done","yes_in_principle","materials_sent"},0)),"Y","N"))</f>
        <v/>
      </c>
      <c r="EW669" s="0" t="str">
        <f aca="false">IF($A669="","",IF(OR(T669="Y",U669="do_not_contact",AQ669&amp;""&lt;&gt;""),"Y","N"))</f>
        <v/>
      </c>
      <c r="EX669" s="0" t="str">
        <f aca="false">IF($A669="","",IF(AN669&amp;""&lt;&gt;"",AN669&amp;"",$A669))</f>
        <v/>
      </c>
      <c r="EY669" s="0" t="str">
        <f aca="false">IF($A669="","",IF(COUNTIFS($EX$2:$EX$1000,EX669,$EV$2:$EV$1000,"Y")+COUNTIFS($EX$2:$EX$1000,EX669,$EW$2:$EW$1000,"Y")&gt;0,"Y","N"))</f>
        <v/>
      </c>
      <c r="EZ669" s="0" t="str">
        <f aca="false">IF($A669="","",IF(AND(U669="new",T669="N",EW669="N",AR669="Y",EY669="N"),"Y","N"))</f>
        <v/>
      </c>
      <c r="FA669" s="0" t="str">
        <f aca="false">IF($A669="","",IF(EZ669&lt;&gt;"Y","N",IF(COUNTIFS($EX$2:$EX$1000,EX669,$EZ$2:$EZ$1000,"Y",$J$2:$J$1000,"&gt;"&amp;J669)+COUNTIFS($EX$2:$EX$1000,EX669,$EZ$2:$EZ$1000,"Y",$J$2:$J$1000,J669,$FG$2:$FG$1000,"&lt;"&amp;FG669)=0,"Y","N")))</f>
        <v/>
      </c>
      <c r="FB669" s="0" t="str">
        <f aca="false">IF($A669="","",IF(AND(EZ669="Y",FA669="Y",Y669&amp;""&lt;&gt;""),IF(Y669&lt;=10,"Y","N"),"N"))</f>
        <v/>
      </c>
      <c r="FC669" s="0" t="str">
        <f aca="false">IF(FB669="Y",Y669,"")</f>
        <v/>
      </c>
      <c r="FD669" s="0" t="str">
        <f aca="false">IF($A669="","",IF(AND(CK669="pass",AU669="Y",AV669&lt;&gt;"Y",U669="new",EW669="N"),"Y","N"))</f>
        <v/>
      </c>
      <c r="FE669" s="0" t="str">
        <f aca="false">IF(FD669&lt;&gt;"Y","",IF(COUNTIFS($FD$2:$FD$1000,"Y",$J$2:$J$1000,"&gt;"&amp;J669)+COUNTIFS($FD$2:$FD$1000,"Y",$J$2:$J$1000,J669,$FG$2:$FG$1000,"&lt;"&amp;FG669)+1&lt;=30,COUNTIFS($FD$2:$FD$1000,"Y",$J$2:$J$1000,"&gt;"&amp;J669)+COUNTIFS($FD$2:$FD$1000,"Y",$J$2:$J$1000,J669,$FG$2:$FG$1000,"&lt;"&amp;FG669)+1,""))</f>
        <v/>
      </c>
      <c r="FF669" s="0" t="str">
        <f aca="false">IF(AND(_xlfn.ISFORMULA(C669),_xlfn.ISFORMULA(J669)),"Y","N")</f>
        <v>Y</v>
      </c>
      <c r="FG669" s="0" t="n">
        <f aca="false">ROW()-1</f>
        <v>668</v>
      </c>
    </row>
    <row r="670" customFormat="false" ht="15" hidden="false" customHeight="false" outlineLevel="0" collapsed="false">
      <c r="C670" s="0" t="str">
        <f aca="false">IF($A670="","",IF(AT670="Y",BL670&amp;"",AY670&amp;""))</f>
        <v/>
      </c>
      <c r="D670" s="0" t="str">
        <f aca="false">IF($A670="","",IF(AT670="Y",BM670&amp;"",AZ670&amp;""))</f>
        <v/>
      </c>
      <c r="E670" s="0" t="str">
        <f aca="false">IF($A670="","",IF(AT670="Y",BN670&amp;"",BA670&amp;""))</f>
        <v/>
      </c>
      <c r="F670" s="0" t="str">
        <f aca="false">IF($A670="","",IF(AT670="Y",BO670&amp;"",BB670&amp;""))</f>
        <v/>
      </c>
      <c r="G670" s="0" t="str">
        <f aca="false">IF($A670="","",IF(AT670="Y",BP670&amp;"",BC670&amp;""))</f>
        <v/>
      </c>
      <c r="H670" s="0" t="str">
        <f aca="false">IF($A670="","",IF(AT670="Y",BQ670&amp;"",BD670&amp;""))</f>
        <v/>
      </c>
      <c r="I670" s="0" t="str">
        <f aca="false">IF($A670="","",IF(R670="Y","warm-intro",IF(H670="verified","email",IF(C670&lt;&gt;"","linkedin",CA670&amp;""))))</f>
        <v/>
      </c>
      <c r="J670" s="0" t="str">
        <f aca="false">IF($A670="","",IF(CK670="pass",ROUND(N(DO670)+N(DP670)+N(DQ670)+N(DR670)+N(DS670)+N(DT670)+N(DU670)+N(DV670),0),0))</f>
        <v/>
      </c>
      <c r="K670" s="0" t="str">
        <f aca="false">IF($A670="","",IF(CK670&lt;&gt;"pass",BY670&amp;"",BY670&amp;", "&amp;IF(AT670="Y",BX670&amp;"",BK670&amp;"")&amp;BZ670&amp;IF(R670="Y","; known to the founder (+10)","")&amp;"."))</f>
        <v/>
      </c>
      <c r="R670" s="5"/>
      <c r="T670" s="5"/>
      <c r="U670" s="5"/>
      <c r="Y670" s="0" t="str">
        <f aca="false">IF(FA670&lt;&gt;"Y","",COUNTIFS($FA$2:$FA$1000,"Y",$J$2:$J$1000,"&gt;"&amp;J670)+COUNTIFS($FA$2:$FA$1000,"Y",$J$2:$J$1000,J670,$FG$2:$FG$1000,"&lt;"&amp;FG670)+1)</f>
        <v/>
      </c>
      <c r="AB670" s="0" t="str">
        <f aca="false">IF($A670="","",IF(AT670="Y",BW670&amp;"",BJ670&amp;""))</f>
        <v/>
      </c>
      <c r="AC670" s="0" t="str">
        <f aca="false">IF($A670="","",IF(AT670="Y",BR670&amp;"",BE670&amp;""))</f>
        <v/>
      </c>
      <c r="AD670" s="0" t="str">
        <f aca="false">IF($A670="","",IF(AT670="Y",BS670&amp;"",BF670&amp;""))</f>
        <v/>
      </c>
      <c r="AE670" s="0" t="str">
        <f aca="false">IF($A670="","",IF(AT670="Y",BT670&amp;"",BG670&amp;""))</f>
        <v/>
      </c>
      <c r="AF670" s="0" t="str">
        <f aca="false">IF($A670="","",IF(AT670="Y",BU670&amp;"",BH670&amp;""))</f>
        <v/>
      </c>
      <c r="AG670" s="0" t="str">
        <f aca="false">IF($A670="","",IF(AT670="Y",BV670&amp;"",BI670&amp;""))</f>
        <v/>
      </c>
      <c r="AO670" s="5"/>
      <c r="AR670" s="0" t="str">
        <f aca="false">IF($A670="","",IF(AND(CK670="pass",AO670&lt;&gt;"Y",C670&lt;&gt;"",OR(AU670&lt;&gt;"Y",AV670="Y")),"Y","N"))</f>
        <v/>
      </c>
      <c r="AS670" s="0" t="str">
        <f aca="false">IF($A670="","",_xlfn.TEXTJOIN("; ",TRUE(),IF(CK670&lt;&gt;"pass","gated out",""),IF(AO670="Y","on hold: "&amp;AP670,""),IF(C670="","no contact named on an opened page",""),IF(AND(AU670="Y",AV670&lt;&gt;"Y"),"founder review pending (Founder review tab)","")))</f>
        <v/>
      </c>
      <c r="BC670" s="0" t="str">
        <f aca="false">IF($A670="","",IFERROR(INDEX(Enrichment!$A$2:$GZ$2000,MATCH($A670,INDEX(Enrichment!$A$2:$GZ$2000,0,MATCH("row_id",Enrichment!$A$1:$GZ$1,0)),0),MATCH("work_email",Enrichment!$A$1:$GZ$1,0))&amp;"",""))</f>
        <v/>
      </c>
      <c r="BD670" s="0" t="str">
        <f aca="false">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P670" s="0" t="str">
        <f aca="false">IF($A670="","",IFERROR(INDEX(Enrichment!$A$2:$GZ$2000,MATCH($A670,INDEX(Enrichment!$A$2:$GZ$2000,0,MATCH("row_id",Enrichment!$A$1:$GZ$1,0)),0),MATCH("backup_work_email",Enrichment!$A$1:$GZ$1,0))&amp;"",""))</f>
        <v/>
      </c>
      <c r="BQ670" s="0" t="str">
        <f aca="false">IF($A670="","",IF(BP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DU670" s="0" t="str">
        <f aca="false">IF($A670="","",IF(R670="Y",10,0))</f>
        <v/>
      </c>
      <c r="EV670" s="0" t="str">
        <f aca="false">IF($A670="","",IF(ISNUMBER(MATCH(U670,{"queued","contacted","replied","call_booked","call_done","yes_in_principle","materials_sent"},0)),"Y","N"))</f>
        <v/>
      </c>
      <c r="EW670" s="0" t="str">
        <f aca="false">IF($A670="","",IF(OR(T670="Y",U670="do_not_contact",AQ670&amp;""&lt;&gt;""),"Y","N"))</f>
        <v/>
      </c>
      <c r="EX670" s="0" t="str">
        <f aca="false">IF($A670="","",IF(AN670&amp;""&lt;&gt;"",AN670&amp;"",$A670))</f>
        <v/>
      </c>
      <c r="EY670" s="0" t="str">
        <f aca="false">IF($A670="","",IF(COUNTIFS($EX$2:$EX$1000,EX670,$EV$2:$EV$1000,"Y")+COUNTIFS($EX$2:$EX$1000,EX670,$EW$2:$EW$1000,"Y")&gt;0,"Y","N"))</f>
        <v/>
      </c>
      <c r="EZ670" s="0" t="str">
        <f aca="false">IF($A670="","",IF(AND(U670="new",T670="N",EW670="N",AR670="Y",EY670="N"),"Y","N"))</f>
        <v/>
      </c>
      <c r="FA670" s="0" t="str">
        <f aca="false">IF($A670="","",IF(EZ670&lt;&gt;"Y","N",IF(COUNTIFS($EX$2:$EX$1000,EX670,$EZ$2:$EZ$1000,"Y",$J$2:$J$1000,"&gt;"&amp;J670)+COUNTIFS($EX$2:$EX$1000,EX670,$EZ$2:$EZ$1000,"Y",$J$2:$J$1000,J670,$FG$2:$FG$1000,"&lt;"&amp;FG670)=0,"Y","N")))</f>
        <v/>
      </c>
      <c r="FB670" s="0" t="str">
        <f aca="false">IF($A670="","",IF(AND(EZ670="Y",FA670="Y",Y670&amp;""&lt;&gt;""),IF(Y670&lt;=10,"Y","N"),"N"))</f>
        <v/>
      </c>
      <c r="FC670" s="0" t="str">
        <f aca="false">IF(FB670="Y",Y670,"")</f>
        <v/>
      </c>
      <c r="FD670" s="0" t="str">
        <f aca="false">IF($A670="","",IF(AND(CK670="pass",AU670="Y",AV670&lt;&gt;"Y",U670="new",EW670="N"),"Y","N"))</f>
        <v/>
      </c>
      <c r="FE670" s="0" t="str">
        <f aca="false">IF(FD670&lt;&gt;"Y","",IF(COUNTIFS($FD$2:$FD$1000,"Y",$J$2:$J$1000,"&gt;"&amp;J670)+COUNTIFS($FD$2:$FD$1000,"Y",$J$2:$J$1000,J670,$FG$2:$FG$1000,"&lt;"&amp;FG670)+1&lt;=30,COUNTIFS($FD$2:$FD$1000,"Y",$J$2:$J$1000,"&gt;"&amp;J670)+COUNTIFS($FD$2:$FD$1000,"Y",$J$2:$J$1000,J670,$FG$2:$FG$1000,"&lt;"&amp;FG670)+1,""))</f>
        <v/>
      </c>
      <c r="FF670" s="0" t="str">
        <f aca="false">IF(AND(_xlfn.ISFORMULA(C670),_xlfn.ISFORMULA(J670)),"Y","N")</f>
        <v>Y</v>
      </c>
      <c r="FG670" s="0" t="n">
        <f aca="false">ROW()-1</f>
        <v>669</v>
      </c>
    </row>
    <row r="671" customFormat="false" ht="15" hidden="false" customHeight="false" outlineLevel="0" collapsed="false">
      <c r="C671" s="0" t="str">
        <f aca="false">IF($A671="","",IF(AT671="Y",BL671&amp;"",AY671&amp;""))</f>
        <v/>
      </c>
      <c r="D671" s="0" t="str">
        <f aca="false">IF($A671="","",IF(AT671="Y",BM671&amp;"",AZ671&amp;""))</f>
        <v/>
      </c>
      <c r="E671" s="0" t="str">
        <f aca="false">IF($A671="","",IF(AT671="Y",BN671&amp;"",BA671&amp;""))</f>
        <v/>
      </c>
      <c r="F671" s="0" t="str">
        <f aca="false">IF($A671="","",IF(AT671="Y",BO671&amp;"",BB671&amp;""))</f>
        <v/>
      </c>
      <c r="G671" s="0" t="str">
        <f aca="false">IF($A671="","",IF(AT671="Y",BP671&amp;"",BC671&amp;""))</f>
        <v/>
      </c>
      <c r="H671" s="0" t="str">
        <f aca="false">IF($A671="","",IF(AT671="Y",BQ671&amp;"",BD671&amp;""))</f>
        <v/>
      </c>
      <c r="I671" s="0" t="str">
        <f aca="false">IF($A671="","",IF(R671="Y","warm-intro",IF(H671="verified","email",IF(C671&lt;&gt;"","linkedin",CA671&amp;""))))</f>
        <v/>
      </c>
      <c r="J671" s="0" t="str">
        <f aca="false">IF($A671="","",IF(CK671="pass",ROUND(N(DO671)+N(DP671)+N(DQ671)+N(DR671)+N(DS671)+N(DT671)+N(DU671)+N(DV671),0),0))</f>
        <v/>
      </c>
      <c r="K671" s="0" t="str">
        <f aca="false">IF($A671="","",IF(CK671&lt;&gt;"pass",BY671&amp;"",BY671&amp;", "&amp;IF(AT671="Y",BX671&amp;"",BK671&amp;"")&amp;BZ671&amp;IF(R671="Y","; known to the founder (+10)","")&amp;"."))</f>
        <v/>
      </c>
      <c r="R671" s="5"/>
      <c r="T671" s="5"/>
      <c r="U671" s="5"/>
      <c r="Y671" s="0" t="str">
        <f aca="false">IF(FA671&lt;&gt;"Y","",COUNTIFS($FA$2:$FA$1000,"Y",$J$2:$J$1000,"&gt;"&amp;J671)+COUNTIFS($FA$2:$FA$1000,"Y",$J$2:$J$1000,J671,$FG$2:$FG$1000,"&lt;"&amp;FG671)+1)</f>
        <v/>
      </c>
      <c r="AB671" s="0" t="str">
        <f aca="false">IF($A671="","",IF(AT671="Y",BW671&amp;"",BJ671&amp;""))</f>
        <v/>
      </c>
      <c r="AC671" s="0" t="str">
        <f aca="false">IF($A671="","",IF(AT671="Y",BR671&amp;"",BE671&amp;""))</f>
        <v/>
      </c>
      <c r="AD671" s="0" t="str">
        <f aca="false">IF($A671="","",IF(AT671="Y",BS671&amp;"",BF671&amp;""))</f>
        <v/>
      </c>
      <c r="AE671" s="0" t="str">
        <f aca="false">IF($A671="","",IF(AT671="Y",BT671&amp;"",BG671&amp;""))</f>
        <v/>
      </c>
      <c r="AF671" s="0" t="str">
        <f aca="false">IF($A671="","",IF(AT671="Y",BU671&amp;"",BH671&amp;""))</f>
        <v/>
      </c>
      <c r="AG671" s="0" t="str">
        <f aca="false">IF($A671="","",IF(AT671="Y",BV671&amp;"",BI671&amp;""))</f>
        <v/>
      </c>
      <c r="AO671" s="5"/>
      <c r="AR671" s="0" t="str">
        <f aca="false">IF($A671="","",IF(AND(CK671="pass",AO671&lt;&gt;"Y",C671&lt;&gt;"",OR(AU671&lt;&gt;"Y",AV671="Y")),"Y","N"))</f>
        <v/>
      </c>
      <c r="AS671" s="0" t="str">
        <f aca="false">IF($A671="","",_xlfn.TEXTJOIN("; ",TRUE(),IF(CK671&lt;&gt;"pass","gated out",""),IF(AO671="Y","on hold: "&amp;AP671,""),IF(C671="","no contact named on an opened page",""),IF(AND(AU671="Y",AV671&lt;&gt;"Y"),"founder review pending (Founder review tab)","")))</f>
        <v/>
      </c>
      <c r="BC671" s="0" t="str">
        <f aca="false">IF($A671="","",IFERROR(INDEX(Enrichment!$A$2:$GZ$2000,MATCH($A671,INDEX(Enrichment!$A$2:$GZ$2000,0,MATCH("row_id",Enrichment!$A$1:$GZ$1,0)),0),MATCH("work_email",Enrichment!$A$1:$GZ$1,0))&amp;"",""))</f>
        <v/>
      </c>
      <c r="BD671" s="0" t="str">
        <f aca="false">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P671" s="0" t="str">
        <f aca="false">IF($A671="","",IFERROR(INDEX(Enrichment!$A$2:$GZ$2000,MATCH($A671,INDEX(Enrichment!$A$2:$GZ$2000,0,MATCH("row_id",Enrichment!$A$1:$GZ$1,0)),0),MATCH("backup_work_email",Enrichment!$A$1:$GZ$1,0))&amp;"",""))</f>
        <v/>
      </c>
      <c r="BQ671" s="0" t="str">
        <f aca="false">IF($A671="","",IF(BP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DU671" s="0" t="str">
        <f aca="false">IF($A671="","",IF(R671="Y",10,0))</f>
        <v/>
      </c>
      <c r="EV671" s="0" t="str">
        <f aca="false">IF($A671="","",IF(ISNUMBER(MATCH(U671,{"queued","contacted","replied","call_booked","call_done","yes_in_principle","materials_sent"},0)),"Y","N"))</f>
        <v/>
      </c>
      <c r="EW671" s="0" t="str">
        <f aca="false">IF($A671="","",IF(OR(T671="Y",U671="do_not_contact",AQ671&amp;""&lt;&gt;""),"Y","N"))</f>
        <v/>
      </c>
      <c r="EX671" s="0" t="str">
        <f aca="false">IF($A671="","",IF(AN671&amp;""&lt;&gt;"",AN671&amp;"",$A671))</f>
        <v/>
      </c>
      <c r="EY671" s="0" t="str">
        <f aca="false">IF($A671="","",IF(COUNTIFS($EX$2:$EX$1000,EX671,$EV$2:$EV$1000,"Y")+COUNTIFS($EX$2:$EX$1000,EX671,$EW$2:$EW$1000,"Y")&gt;0,"Y","N"))</f>
        <v/>
      </c>
      <c r="EZ671" s="0" t="str">
        <f aca="false">IF($A671="","",IF(AND(U671="new",T671="N",EW671="N",AR671="Y",EY671="N"),"Y","N"))</f>
        <v/>
      </c>
      <c r="FA671" s="0" t="str">
        <f aca="false">IF($A671="","",IF(EZ671&lt;&gt;"Y","N",IF(COUNTIFS($EX$2:$EX$1000,EX671,$EZ$2:$EZ$1000,"Y",$J$2:$J$1000,"&gt;"&amp;J671)+COUNTIFS($EX$2:$EX$1000,EX671,$EZ$2:$EZ$1000,"Y",$J$2:$J$1000,J671,$FG$2:$FG$1000,"&lt;"&amp;FG671)=0,"Y","N")))</f>
        <v/>
      </c>
      <c r="FB671" s="0" t="str">
        <f aca="false">IF($A671="","",IF(AND(EZ671="Y",FA671="Y",Y671&amp;""&lt;&gt;""),IF(Y671&lt;=10,"Y","N"),"N"))</f>
        <v/>
      </c>
      <c r="FC671" s="0" t="str">
        <f aca="false">IF(FB671="Y",Y671,"")</f>
        <v/>
      </c>
      <c r="FD671" s="0" t="str">
        <f aca="false">IF($A671="","",IF(AND(CK671="pass",AU671="Y",AV671&lt;&gt;"Y",U671="new",EW671="N"),"Y","N"))</f>
        <v/>
      </c>
      <c r="FE671" s="0" t="str">
        <f aca="false">IF(FD671&lt;&gt;"Y","",IF(COUNTIFS($FD$2:$FD$1000,"Y",$J$2:$J$1000,"&gt;"&amp;J671)+COUNTIFS($FD$2:$FD$1000,"Y",$J$2:$J$1000,J671,$FG$2:$FG$1000,"&lt;"&amp;FG671)+1&lt;=30,COUNTIFS($FD$2:$FD$1000,"Y",$J$2:$J$1000,"&gt;"&amp;J671)+COUNTIFS($FD$2:$FD$1000,"Y",$J$2:$J$1000,J671,$FG$2:$FG$1000,"&lt;"&amp;FG671)+1,""))</f>
        <v/>
      </c>
      <c r="FF671" s="0" t="str">
        <f aca="false">IF(AND(_xlfn.ISFORMULA(C671),_xlfn.ISFORMULA(J671)),"Y","N")</f>
        <v>Y</v>
      </c>
      <c r="FG671" s="0" t="n">
        <f aca="false">ROW()-1</f>
        <v>670</v>
      </c>
    </row>
    <row r="672" customFormat="false" ht="15" hidden="false" customHeight="false" outlineLevel="0" collapsed="false">
      <c r="C672" s="0" t="str">
        <f aca="false">IF($A672="","",IF(AT672="Y",BL672&amp;"",AY672&amp;""))</f>
        <v/>
      </c>
      <c r="D672" s="0" t="str">
        <f aca="false">IF($A672="","",IF(AT672="Y",BM672&amp;"",AZ672&amp;""))</f>
        <v/>
      </c>
      <c r="E672" s="0" t="str">
        <f aca="false">IF($A672="","",IF(AT672="Y",BN672&amp;"",BA672&amp;""))</f>
        <v/>
      </c>
      <c r="F672" s="0" t="str">
        <f aca="false">IF($A672="","",IF(AT672="Y",BO672&amp;"",BB672&amp;""))</f>
        <v/>
      </c>
      <c r="G672" s="0" t="str">
        <f aca="false">IF($A672="","",IF(AT672="Y",BP672&amp;"",BC672&amp;""))</f>
        <v/>
      </c>
      <c r="H672" s="0" t="str">
        <f aca="false">IF($A672="","",IF(AT672="Y",BQ672&amp;"",BD672&amp;""))</f>
        <v/>
      </c>
      <c r="I672" s="0" t="str">
        <f aca="false">IF($A672="","",IF(R672="Y","warm-intro",IF(H672="verified","email",IF(C672&lt;&gt;"","linkedin",CA672&amp;""))))</f>
        <v/>
      </c>
      <c r="J672" s="0" t="str">
        <f aca="false">IF($A672="","",IF(CK672="pass",ROUND(N(DO672)+N(DP672)+N(DQ672)+N(DR672)+N(DS672)+N(DT672)+N(DU672)+N(DV672),0),0))</f>
        <v/>
      </c>
      <c r="K672" s="0" t="str">
        <f aca="false">IF($A672="","",IF(CK672&lt;&gt;"pass",BY672&amp;"",BY672&amp;", "&amp;IF(AT672="Y",BX672&amp;"",BK672&amp;"")&amp;BZ672&amp;IF(R672="Y","; known to the founder (+10)","")&amp;"."))</f>
        <v/>
      </c>
      <c r="R672" s="5"/>
      <c r="T672" s="5"/>
      <c r="U672" s="5"/>
      <c r="Y672" s="0" t="str">
        <f aca="false">IF(FA672&lt;&gt;"Y","",COUNTIFS($FA$2:$FA$1000,"Y",$J$2:$J$1000,"&gt;"&amp;J672)+COUNTIFS($FA$2:$FA$1000,"Y",$J$2:$J$1000,J672,$FG$2:$FG$1000,"&lt;"&amp;FG672)+1)</f>
        <v/>
      </c>
      <c r="AB672" s="0" t="str">
        <f aca="false">IF($A672="","",IF(AT672="Y",BW672&amp;"",BJ672&amp;""))</f>
        <v/>
      </c>
      <c r="AC672" s="0" t="str">
        <f aca="false">IF($A672="","",IF(AT672="Y",BR672&amp;"",BE672&amp;""))</f>
        <v/>
      </c>
      <c r="AD672" s="0" t="str">
        <f aca="false">IF($A672="","",IF(AT672="Y",BS672&amp;"",BF672&amp;""))</f>
        <v/>
      </c>
      <c r="AE672" s="0" t="str">
        <f aca="false">IF($A672="","",IF(AT672="Y",BT672&amp;"",BG672&amp;""))</f>
        <v/>
      </c>
      <c r="AF672" s="0" t="str">
        <f aca="false">IF($A672="","",IF(AT672="Y",BU672&amp;"",BH672&amp;""))</f>
        <v/>
      </c>
      <c r="AG672" s="0" t="str">
        <f aca="false">IF($A672="","",IF(AT672="Y",BV672&amp;"",BI672&amp;""))</f>
        <v/>
      </c>
      <c r="AO672" s="5"/>
      <c r="AR672" s="0" t="str">
        <f aca="false">IF($A672="","",IF(AND(CK672="pass",AO672&lt;&gt;"Y",C672&lt;&gt;"",OR(AU672&lt;&gt;"Y",AV672="Y")),"Y","N"))</f>
        <v/>
      </c>
      <c r="AS672" s="0" t="str">
        <f aca="false">IF($A672="","",_xlfn.TEXTJOIN("; ",TRUE(),IF(CK672&lt;&gt;"pass","gated out",""),IF(AO672="Y","on hold: "&amp;AP672,""),IF(C672="","no contact named on an opened page",""),IF(AND(AU672="Y",AV672&lt;&gt;"Y"),"founder review pending (Founder review tab)","")))</f>
        <v/>
      </c>
      <c r="BC672" s="0" t="str">
        <f aca="false">IF($A672="","",IFERROR(INDEX(Enrichment!$A$2:$GZ$2000,MATCH($A672,INDEX(Enrichment!$A$2:$GZ$2000,0,MATCH("row_id",Enrichment!$A$1:$GZ$1,0)),0),MATCH("work_email",Enrichment!$A$1:$GZ$1,0))&amp;"",""))</f>
        <v/>
      </c>
      <c r="BD672" s="0" t="str">
        <f aca="false">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P672" s="0" t="str">
        <f aca="false">IF($A672="","",IFERROR(INDEX(Enrichment!$A$2:$GZ$2000,MATCH($A672,INDEX(Enrichment!$A$2:$GZ$2000,0,MATCH("row_id",Enrichment!$A$1:$GZ$1,0)),0),MATCH("backup_work_email",Enrichment!$A$1:$GZ$1,0))&amp;"",""))</f>
        <v/>
      </c>
      <c r="BQ672" s="0" t="str">
        <f aca="false">IF($A672="","",IF(BP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DU672" s="0" t="str">
        <f aca="false">IF($A672="","",IF(R672="Y",10,0))</f>
        <v/>
      </c>
      <c r="EV672" s="0" t="str">
        <f aca="false">IF($A672="","",IF(ISNUMBER(MATCH(U672,{"queued","contacted","replied","call_booked","call_done","yes_in_principle","materials_sent"},0)),"Y","N"))</f>
        <v/>
      </c>
      <c r="EW672" s="0" t="str">
        <f aca="false">IF($A672="","",IF(OR(T672="Y",U672="do_not_contact",AQ672&amp;""&lt;&gt;""),"Y","N"))</f>
        <v/>
      </c>
      <c r="EX672" s="0" t="str">
        <f aca="false">IF($A672="","",IF(AN672&amp;""&lt;&gt;"",AN672&amp;"",$A672))</f>
        <v/>
      </c>
      <c r="EY672" s="0" t="str">
        <f aca="false">IF($A672="","",IF(COUNTIFS($EX$2:$EX$1000,EX672,$EV$2:$EV$1000,"Y")+COUNTIFS($EX$2:$EX$1000,EX672,$EW$2:$EW$1000,"Y")&gt;0,"Y","N"))</f>
        <v/>
      </c>
      <c r="EZ672" s="0" t="str">
        <f aca="false">IF($A672="","",IF(AND(U672="new",T672="N",EW672="N",AR672="Y",EY672="N"),"Y","N"))</f>
        <v/>
      </c>
      <c r="FA672" s="0" t="str">
        <f aca="false">IF($A672="","",IF(EZ672&lt;&gt;"Y","N",IF(COUNTIFS($EX$2:$EX$1000,EX672,$EZ$2:$EZ$1000,"Y",$J$2:$J$1000,"&gt;"&amp;J672)+COUNTIFS($EX$2:$EX$1000,EX672,$EZ$2:$EZ$1000,"Y",$J$2:$J$1000,J672,$FG$2:$FG$1000,"&lt;"&amp;FG672)=0,"Y","N")))</f>
        <v/>
      </c>
      <c r="FB672" s="0" t="str">
        <f aca="false">IF($A672="","",IF(AND(EZ672="Y",FA672="Y",Y672&amp;""&lt;&gt;""),IF(Y672&lt;=10,"Y","N"),"N"))</f>
        <v/>
      </c>
      <c r="FC672" s="0" t="str">
        <f aca="false">IF(FB672="Y",Y672,"")</f>
        <v/>
      </c>
      <c r="FD672" s="0" t="str">
        <f aca="false">IF($A672="","",IF(AND(CK672="pass",AU672="Y",AV672&lt;&gt;"Y",U672="new",EW672="N"),"Y","N"))</f>
        <v/>
      </c>
      <c r="FE672" s="0" t="str">
        <f aca="false">IF(FD672&lt;&gt;"Y","",IF(COUNTIFS($FD$2:$FD$1000,"Y",$J$2:$J$1000,"&gt;"&amp;J672)+COUNTIFS($FD$2:$FD$1000,"Y",$J$2:$J$1000,J672,$FG$2:$FG$1000,"&lt;"&amp;FG672)+1&lt;=30,COUNTIFS($FD$2:$FD$1000,"Y",$J$2:$J$1000,"&gt;"&amp;J672)+COUNTIFS($FD$2:$FD$1000,"Y",$J$2:$J$1000,J672,$FG$2:$FG$1000,"&lt;"&amp;FG672)+1,""))</f>
        <v/>
      </c>
      <c r="FF672" s="0" t="str">
        <f aca="false">IF(AND(_xlfn.ISFORMULA(C672),_xlfn.ISFORMULA(J672)),"Y","N")</f>
        <v>Y</v>
      </c>
      <c r="FG672" s="0" t="n">
        <f aca="false">ROW()-1</f>
        <v>671</v>
      </c>
    </row>
    <row r="673" customFormat="false" ht="15" hidden="false" customHeight="false" outlineLevel="0" collapsed="false">
      <c r="C673" s="0" t="str">
        <f aca="false">IF($A673="","",IF(AT673="Y",BL673&amp;"",AY673&amp;""))</f>
        <v/>
      </c>
      <c r="D673" s="0" t="str">
        <f aca="false">IF($A673="","",IF(AT673="Y",BM673&amp;"",AZ673&amp;""))</f>
        <v/>
      </c>
      <c r="E673" s="0" t="str">
        <f aca="false">IF($A673="","",IF(AT673="Y",BN673&amp;"",BA673&amp;""))</f>
        <v/>
      </c>
      <c r="F673" s="0" t="str">
        <f aca="false">IF($A673="","",IF(AT673="Y",BO673&amp;"",BB673&amp;""))</f>
        <v/>
      </c>
      <c r="G673" s="0" t="str">
        <f aca="false">IF($A673="","",IF(AT673="Y",BP673&amp;"",BC673&amp;""))</f>
        <v/>
      </c>
      <c r="H673" s="0" t="str">
        <f aca="false">IF($A673="","",IF(AT673="Y",BQ673&amp;"",BD673&amp;""))</f>
        <v/>
      </c>
      <c r="I673" s="0" t="str">
        <f aca="false">IF($A673="","",IF(R673="Y","warm-intro",IF(H673="verified","email",IF(C673&lt;&gt;"","linkedin",CA673&amp;""))))</f>
        <v/>
      </c>
      <c r="J673" s="0" t="str">
        <f aca="false">IF($A673="","",IF(CK673="pass",ROUND(N(DO673)+N(DP673)+N(DQ673)+N(DR673)+N(DS673)+N(DT673)+N(DU673)+N(DV673),0),0))</f>
        <v/>
      </c>
      <c r="K673" s="0" t="str">
        <f aca="false">IF($A673="","",IF(CK673&lt;&gt;"pass",BY673&amp;"",BY673&amp;", "&amp;IF(AT673="Y",BX673&amp;"",BK673&amp;"")&amp;BZ673&amp;IF(R673="Y","; known to the founder (+10)","")&amp;"."))</f>
        <v/>
      </c>
      <c r="R673" s="5"/>
      <c r="T673" s="5"/>
      <c r="U673" s="5"/>
      <c r="Y673" s="0" t="str">
        <f aca="false">IF(FA673&lt;&gt;"Y","",COUNTIFS($FA$2:$FA$1000,"Y",$J$2:$J$1000,"&gt;"&amp;J673)+COUNTIFS($FA$2:$FA$1000,"Y",$J$2:$J$1000,J673,$FG$2:$FG$1000,"&lt;"&amp;FG673)+1)</f>
        <v/>
      </c>
      <c r="AB673" s="0" t="str">
        <f aca="false">IF($A673="","",IF(AT673="Y",BW673&amp;"",BJ673&amp;""))</f>
        <v/>
      </c>
      <c r="AC673" s="0" t="str">
        <f aca="false">IF($A673="","",IF(AT673="Y",BR673&amp;"",BE673&amp;""))</f>
        <v/>
      </c>
      <c r="AD673" s="0" t="str">
        <f aca="false">IF($A673="","",IF(AT673="Y",BS673&amp;"",BF673&amp;""))</f>
        <v/>
      </c>
      <c r="AE673" s="0" t="str">
        <f aca="false">IF($A673="","",IF(AT673="Y",BT673&amp;"",BG673&amp;""))</f>
        <v/>
      </c>
      <c r="AF673" s="0" t="str">
        <f aca="false">IF($A673="","",IF(AT673="Y",BU673&amp;"",BH673&amp;""))</f>
        <v/>
      </c>
      <c r="AG673" s="0" t="str">
        <f aca="false">IF($A673="","",IF(AT673="Y",BV673&amp;"",BI673&amp;""))</f>
        <v/>
      </c>
      <c r="AO673" s="5"/>
      <c r="AR673" s="0" t="str">
        <f aca="false">IF($A673="","",IF(AND(CK673="pass",AO673&lt;&gt;"Y",C673&lt;&gt;"",OR(AU673&lt;&gt;"Y",AV673="Y")),"Y","N"))</f>
        <v/>
      </c>
      <c r="AS673" s="0" t="str">
        <f aca="false">IF($A673="","",_xlfn.TEXTJOIN("; ",TRUE(),IF(CK673&lt;&gt;"pass","gated out",""),IF(AO673="Y","on hold: "&amp;AP673,""),IF(C673="","no contact named on an opened page",""),IF(AND(AU673="Y",AV673&lt;&gt;"Y"),"founder review pending (Founder review tab)","")))</f>
        <v/>
      </c>
      <c r="BC673" s="0" t="str">
        <f aca="false">IF($A673="","",IFERROR(INDEX(Enrichment!$A$2:$GZ$2000,MATCH($A673,INDEX(Enrichment!$A$2:$GZ$2000,0,MATCH("row_id",Enrichment!$A$1:$GZ$1,0)),0),MATCH("work_email",Enrichment!$A$1:$GZ$1,0))&amp;"",""))</f>
        <v/>
      </c>
      <c r="BD673" s="0" t="str">
        <f aca="false">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P673" s="0" t="str">
        <f aca="false">IF($A673="","",IFERROR(INDEX(Enrichment!$A$2:$GZ$2000,MATCH($A673,INDEX(Enrichment!$A$2:$GZ$2000,0,MATCH("row_id",Enrichment!$A$1:$GZ$1,0)),0),MATCH("backup_work_email",Enrichment!$A$1:$GZ$1,0))&amp;"",""))</f>
        <v/>
      </c>
      <c r="BQ673" s="0" t="str">
        <f aca="false">IF($A673="","",IF(BP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DU673" s="0" t="str">
        <f aca="false">IF($A673="","",IF(R673="Y",10,0))</f>
        <v/>
      </c>
      <c r="EV673" s="0" t="str">
        <f aca="false">IF($A673="","",IF(ISNUMBER(MATCH(U673,{"queued","contacted","replied","call_booked","call_done","yes_in_principle","materials_sent"},0)),"Y","N"))</f>
        <v/>
      </c>
      <c r="EW673" s="0" t="str">
        <f aca="false">IF($A673="","",IF(OR(T673="Y",U673="do_not_contact",AQ673&amp;""&lt;&gt;""),"Y","N"))</f>
        <v/>
      </c>
      <c r="EX673" s="0" t="str">
        <f aca="false">IF($A673="","",IF(AN673&amp;""&lt;&gt;"",AN673&amp;"",$A673))</f>
        <v/>
      </c>
      <c r="EY673" s="0" t="str">
        <f aca="false">IF($A673="","",IF(COUNTIFS($EX$2:$EX$1000,EX673,$EV$2:$EV$1000,"Y")+COUNTIFS($EX$2:$EX$1000,EX673,$EW$2:$EW$1000,"Y")&gt;0,"Y","N"))</f>
        <v/>
      </c>
      <c r="EZ673" s="0" t="str">
        <f aca="false">IF($A673="","",IF(AND(U673="new",T673="N",EW673="N",AR673="Y",EY673="N"),"Y","N"))</f>
        <v/>
      </c>
      <c r="FA673" s="0" t="str">
        <f aca="false">IF($A673="","",IF(EZ673&lt;&gt;"Y","N",IF(COUNTIFS($EX$2:$EX$1000,EX673,$EZ$2:$EZ$1000,"Y",$J$2:$J$1000,"&gt;"&amp;J673)+COUNTIFS($EX$2:$EX$1000,EX673,$EZ$2:$EZ$1000,"Y",$J$2:$J$1000,J673,$FG$2:$FG$1000,"&lt;"&amp;FG673)=0,"Y","N")))</f>
        <v/>
      </c>
      <c r="FB673" s="0" t="str">
        <f aca="false">IF($A673="","",IF(AND(EZ673="Y",FA673="Y",Y673&amp;""&lt;&gt;""),IF(Y673&lt;=10,"Y","N"),"N"))</f>
        <v/>
      </c>
      <c r="FC673" s="0" t="str">
        <f aca="false">IF(FB673="Y",Y673,"")</f>
        <v/>
      </c>
      <c r="FD673" s="0" t="str">
        <f aca="false">IF($A673="","",IF(AND(CK673="pass",AU673="Y",AV673&lt;&gt;"Y",U673="new",EW673="N"),"Y","N"))</f>
        <v/>
      </c>
      <c r="FE673" s="0" t="str">
        <f aca="false">IF(FD673&lt;&gt;"Y","",IF(COUNTIFS($FD$2:$FD$1000,"Y",$J$2:$J$1000,"&gt;"&amp;J673)+COUNTIFS($FD$2:$FD$1000,"Y",$J$2:$J$1000,J673,$FG$2:$FG$1000,"&lt;"&amp;FG673)+1&lt;=30,COUNTIFS($FD$2:$FD$1000,"Y",$J$2:$J$1000,"&gt;"&amp;J673)+COUNTIFS($FD$2:$FD$1000,"Y",$J$2:$J$1000,J673,$FG$2:$FG$1000,"&lt;"&amp;FG673)+1,""))</f>
        <v/>
      </c>
      <c r="FF673" s="0" t="str">
        <f aca="false">IF(AND(_xlfn.ISFORMULA(C673),_xlfn.ISFORMULA(J673)),"Y","N")</f>
        <v>Y</v>
      </c>
      <c r="FG673" s="0" t="n">
        <f aca="false">ROW()-1</f>
        <v>672</v>
      </c>
    </row>
    <row r="674" customFormat="false" ht="15" hidden="false" customHeight="false" outlineLevel="0" collapsed="false">
      <c r="C674" s="0" t="str">
        <f aca="false">IF($A674="","",IF(AT674="Y",BL674&amp;"",AY674&amp;""))</f>
        <v/>
      </c>
      <c r="D674" s="0" t="str">
        <f aca="false">IF($A674="","",IF(AT674="Y",BM674&amp;"",AZ674&amp;""))</f>
        <v/>
      </c>
      <c r="E674" s="0" t="str">
        <f aca="false">IF($A674="","",IF(AT674="Y",BN674&amp;"",BA674&amp;""))</f>
        <v/>
      </c>
      <c r="F674" s="0" t="str">
        <f aca="false">IF($A674="","",IF(AT674="Y",BO674&amp;"",BB674&amp;""))</f>
        <v/>
      </c>
      <c r="G674" s="0" t="str">
        <f aca="false">IF($A674="","",IF(AT674="Y",BP674&amp;"",BC674&amp;""))</f>
        <v/>
      </c>
      <c r="H674" s="0" t="str">
        <f aca="false">IF($A674="","",IF(AT674="Y",BQ674&amp;"",BD674&amp;""))</f>
        <v/>
      </c>
      <c r="I674" s="0" t="str">
        <f aca="false">IF($A674="","",IF(R674="Y","warm-intro",IF(H674="verified","email",IF(C674&lt;&gt;"","linkedin",CA674&amp;""))))</f>
        <v/>
      </c>
      <c r="J674" s="0" t="str">
        <f aca="false">IF($A674="","",IF(CK674="pass",ROUND(N(DO674)+N(DP674)+N(DQ674)+N(DR674)+N(DS674)+N(DT674)+N(DU674)+N(DV674),0),0))</f>
        <v/>
      </c>
      <c r="K674" s="0" t="str">
        <f aca="false">IF($A674="","",IF(CK674&lt;&gt;"pass",BY674&amp;"",BY674&amp;", "&amp;IF(AT674="Y",BX674&amp;"",BK674&amp;"")&amp;BZ674&amp;IF(R674="Y","; known to the founder (+10)","")&amp;"."))</f>
        <v/>
      </c>
      <c r="R674" s="5"/>
      <c r="T674" s="5"/>
      <c r="U674" s="5"/>
      <c r="Y674" s="0" t="str">
        <f aca="false">IF(FA674&lt;&gt;"Y","",COUNTIFS($FA$2:$FA$1000,"Y",$J$2:$J$1000,"&gt;"&amp;J674)+COUNTIFS($FA$2:$FA$1000,"Y",$J$2:$J$1000,J674,$FG$2:$FG$1000,"&lt;"&amp;FG674)+1)</f>
        <v/>
      </c>
      <c r="AB674" s="0" t="str">
        <f aca="false">IF($A674="","",IF(AT674="Y",BW674&amp;"",BJ674&amp;""))</f>
        <v/>
      </c>
      <c r="AC674" s="0" t="str">
        <f aca="false">IF($A674="","",IF(AT674="Y",BR674&amp;"",BE674&amp;""))</f>
        <v/>
      </c>
      <c r="AD674" s="0" t="str">
        <f aca="false">IF($A674="","",IF(AT674="Y",BS674&amp;"",BF674&amp;""))</f>
        <v/>
      </c>
      <c r="AE674" s="0" t="str">
        <f aca="false">IF($A674="","",IF(AT674="Y",BT674&amp;"",BG674&amp;""))</f>
        <v/>
      </c>
      <c r="AF674" s="0" t="str">
        <f aca="false">IF($A674="","",IF(AT674="Y",BU674&amp;"",BH674&amp;""))</f>
        <v/>
      </c>
      <c r="AG674" s="0" t="str">
        <f aca="false">IF($A674="","",IF(AT674="Y",BV674&amp;"",BI674&amp;""))</f>
        <v/>
      </c>
      <c r="AO674" s="5"/>
      <c r="AR674" s="0" t="str">
        <f aca="false">IF($A674="","",IF(AND(CK674="pass",AO674&lt;&gt;"Y",C674&lt;&gt;"",OR(AU674&lt;&gt;"Y",AV674="Y")),"Y","N"))</f>
        <v/>
      </c>
      <c r="AS674" s="0" t="str">
        <f aca="false">IF($A674="","",_xlfn.TEXTJOIN("; ",TRUE(),IF(CK674&lt;&gt;"pass","gated out",""),IF(AO674="Y","on hold: "&amp;AP674,""),IF(C674="","no contact named on an opened page",""),IF(AND(AU674="Y",AV674&lt;&gt;"Y"),"founder review pending (Founder review tab)","")))</f>
        <v/>
      </c>
      <c r="BC674" s="0" t="str">
        <f aca="false">IF($A674="","",IFERROR(INDEX(Enrichment!$A$2:$GZ$2000,MATCH($A674,INDEX(Enrichment!$A$2:$GZ$2000,0,MATCH("row_id",Enrichment!$A$1:$GZ$1,0)),0),MATCH("work_email",Enrichment!$A$1:$GZ$1,0))&amp;"",""))</f>
        <v/>
      </c>
      <c r="BD674" s="0" t="str">
        <f aca="false">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P674" s="0" t="str">
        <f aca="false">IF($A674="","",IFERROR(INDEX(Enrichment!$A$2:$GZ$2000,MATCH($A674,INDEX(Enrichment!$A$2:$GZ$2000,0,MATCH("row_id",Enrichment!$A$1:$GZ$1,0)),0),MATCH("backup_work_email",Enrichment!$A$1:$GZ$1,0))&amp;"",""))</f>
        <v/>
      </c>
      <c r="BQ674" s="0" t="str">
        <f aca="false">IF($A674="","",IF(BP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DU674" s="0" t="str">
        <f aca="false">IF($A674="","",IF(R674="Y",10,0))</f>
        <v/>
      </c>
      <c r="EV674" s="0" t="str">
        <f aca="false">IF($A674="","",IF(ISNUMBER(MATCH(U674,{"queued","contacted","replied","call_booked","call_done","yes_in_principle","materials_sent"},0)),"Y","N"))</f>
        <v/>
      </c>
      <c r="EW674" s="0" t="str">
        <f aca="false">IF($A674="","",IF(OR(T674="Y",U674="do_not_contact",AQ674&amp;""&lt;&gt;""),"Y","N"))</f>
        <v/>
      </c>
      <c r="EX674" s="0" t="str">
        <f aca="false">IF($A674="","",IF(AN674&amp;""&lt;&gt;"",AN674&amp;"",$A674))</f>
        <v/>
      </c>
      <c r="EY674" s="0" t="str">
        <f aca="false">IF($A674="","",IF(COUNTIFS($EX$2:$EX$1000,EX674,$EV$2:$EV$1000,"Y")+COUNTIFS($EX$2:$EX$1000,EX674,$EW$2:$EW$1000,"Y")&gt;0,"Y","N"))</f>
        <v/>
      </c>
      <c r="EZ674" s="0" t="str">
        <f aca="false">IF($A674="","",IF(AND(U674="new",T674="N",EW674="N",AR674="Y",EY674="N"),"Y","N"))</f>
        <v/>
      </c>
      <c r="FA674" s="0" t="str">
        <f aca="false">IF($A674="","",IF(EZ674&lt;&gt;"Y","N",IF(COUNTIFS($EX$2:$EX$1000,EX674,$EZ$2:$EZ$1000,"Y",$J$2:$J$1000,"&gt;"&amp;J674)+COUNTIFS($EX$2:$EX$1000,EX674,$EZ$2:$EZ$1000,"Y",$J$2:$J$1000,J674,$FG$2:$FG$1000,"&lt;"&amp;FG674)=0,"Y","N")))</f>
        <v/>
      </c>
      <c r="FB674" s="0" t="str">
        <f aca="false">IF($A674="","",IF(AND(EZ674="Y",FA674="Y",Y674&amp;""&lt;&gt;""),IF(Y674&lt;=10,"Y","N"),"N"))</f>
        <v/>
      </c>
      <c r="FC674" s="0" t="str">
        <f aca="false">IF(FB674="Y",Y674,"")</f>
        <v/>
      </c>
      <c r="FD674" s="0" t="str">
        <f aca="false">IF($A674="","",IF(AND(CK674="pass",AU674="Y",AV674&lt;&gt;"Y",U674="new",EW674="N"),"Y","N"))</f>
        <v/>
      </c>
      <c r="FE674" s="0" t="str">
        <f aca="false">IF(FD674&lt;&gt;"Y","",IF(COUNTIFS($FD$2:$FD$1000,"Y",$J$2:$J$1000,"&gt;"&amp;J674)+COUNTIFS($FD$2:$FD$1000,"Y",$J$2:$J$1000,J674,$FG$2:$FG$1000,"&lt;"&amp;FG674)+1&lt;=30,COUNTIFS($FD$2:$FD$1000,"Y",$J$2:$J$1000,"&gt;"&amp;J674)+COUNTIFS($FD$2:$FD$1000,"Y",$J$2:$J$1000,J674,$FG$2:$FG$1000,"&lt;"&amp;FG674)+1,""))</f>
        <v/>
      </c>
      <c r="FF674" s="0" t="str">
        <f aca="false">IF(AND(_xlfn.ISFORMULA(C674),_xlfn.ISFORMULA(J674)),"Y","N")</f>
        <v>Y</v>
      </c>
      <c r="FG674" s="0" t="n">
        <f aca="false">ROW()-1</f>
        <v>673</v>
      </c>
    </row>
    <row r="675" customFormat="false" ht="15" hidden="false" customHeight="false" outlineLevel="0" collapsed="false">
      <c r="C675" s="0" t="str">
        <f aca="false">IF($A675="","",IF(AT675="Y",BL675&amp;"",AY675&amp;""))</f>
        <v/>
      </c>
      <c r="D675" s="0" t="str">
        <f aca="false">IF($A675="","",IF(AT675="Y",BM675&amp;"",AZ675&amp;""))</f>
        <v/>
      </c>
      <c r="E675" s="0" t="str">
        <f aca="false">IF($A675="","",IF(AT675="Y",BN675&amp;"",BA675&amp;""))</f>
        <v/>
      </c>
      <c r="F675" s="0" t="str">
        <f aca="false">IF($A675="","",IF(AT675="Y",BO675&amp;"",BB675&amp;""))</f>
        <v/>
      </c>
      <c r="G675" s="0" t="str">
        <f aca="false">IF($A675="","",IF(AT675="Y",BP675&amp;"",BC675&amp;""))</f>
        <v/>
      </c>
      <c r="H675" s="0" t="str">
        <f aca="false">IF($A675="","",IF(AT675="Y",BQ675&amp;"",BD675&amp;""))</f>
        <v/>
      </c>
      <c r="I675" s="0" t="str">
        <f aca="false">IF($A675="","",IF(R675="Y","warm-intro",IF(H675="verified","email",IF(C675&lt;&gt;"","linkedin",CA675&amp;""))))</f>
        <v/>
      </c>
      <c r="J675" s="0" t="str">
        <f aca="false">IF($A675="","",IF(CK675="pass",ROUND(N(DO675)+N(DP675)+N(DQ675)+N(DR675)+N(DS675)+N(DT675)+N(DU675)+N(DV675),0),0))</f>
        <v/>
      </c>
      <c r="K675" s="0" t="str">
        <f aca="false">IF($A675="","",IF(CK675&lt;&gt;"pass",BY675&amp;"",BY675&amp;", "&amp;IF(AT675="Y",BX675&amp;"",BK675&amp;"")&amp;BZ675&amp;IF(R675="Y","; known to the founder (+10)","")&amp;"."))</f>
        <v/>
      </c>
      <c r="R675" s="5"/>
      <c r="T675" s="5"/>
      <c r="U675" s="5"/>
      <c r="Y675" s="0" t="str">
        <f aca="false">IF(FA675&lt;&gt;"Y","",COUNTIFS($FA$2:$FA$1000,"Y",$J$2:$J$1000,"&gt;"&amp;J675)+COUNTIFS($FA$2:$FA$1000,"Y",$J$2:$J$1000,J675,$FG$2:$FG$1000,"&lt;"&amp;FG675)+1)</f>
        <v/>
      </c>
      <c r="AB675" s="0" t="str">
        <f aca="false">IF($A675="","",IF(AT675="Y",BW675&amp;"",BJ675&amp;""))</f>
        <v/>
      </c>
      <c r="AC675" s="0" t="str">
        <f aca="false">IF($A675="","",IF(AT675="Y",BR675&amp;"",BE675&amp;""))</f>
        <v/>
      </c>
      <c r="AD675" s="0" t="str">
        <f aca="false">IF($A675="","",IF(AT675="Y",BS675&amp;"",BF675&amp;""))</f>
        <v/>
      </c>
      <c r="AE675" s="0" t="str">
        <f aca="false">IF($A675="","",IF(AT675="Y",BT675&amp;"",BG675&amp;""))</f>
        <v/>
      </c>
      <c r="AF675" s="0" t="str">
        <f aca="false">IF($A675="","",IF(AT675="Y",BU675&amp;"",BH675&amp;""))</f>
        <v/>
      </c>
      <c r="AG675" s="0" t="str">
        <f aca="false">IF($A675="","",IF(AT675="Y",BV675&amp;"",BI675&amp;""))</f>
        <v/>
      </c>
      <c r="AO675" s="5"/>
      <c r="AR675" s="0" t="str">
        <f aca="false">IF($A675="","",IF(AND(CK675="pass",AO675&lt;&gt;"Y",C675&lt;&gt;"",OR(AU675&lt;&gt;"Y",AV675="Y")),"Y","N"))</f>
        <v/>
      </c>
      <c r="AS675" s="0" t="str">
        <f aca="false">IF($A675="","",_xlfn.TEXTJOIN("; ",TRUE(),IF(CK675&lt;&gt;"pass","gated out",""),IF(AO675="Y","on hold: "&amp;AP675,""),IF(C675="","no contact named on an opened page",""),IF(AND(AU675="Y",AV675&lt;&gt;"Y"),"founder review pending (Founder review tab)","")))</f>
        <v/>
      </c>
      <c r="BC675" s="0" t="str">
        <f aca="false">IF($A675="","",IFERROR(INDEX(Enrichment!$A$2:$GZ$2000,MATCH($A675,INDEX(Enrichment!$A$2:$GZ$2000,0,MATCH("row_id",Enrichment!$A$1:$GZ$1,0)),0),MATCH("work_email",Enrichment!$A$1:$GZ$1,0))&amp;"",""))</f>
        <v/>
      </c>
      <c r="BD675" s="0" t="str">
        <f aca="false">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P675" s="0" t="str">
        <f aca="false">IF($A675="","",IFERROR(INDEX(Enrichment!$A$2:$GZ$2000,MATCH($A675,INDEX(Enrichment!$A$2:$GZ$2000,0,MATCH("row_id",Enrichment!$A$1:$GZ$1,0)),0),MATCH("backup_work_email",Enrichment!$A$1:$GZ$1,0))&amp;"",""))</f>
        <v/>
      </c>
      <c r="BQ675" s="0" t="str">
        <f aca="false">IF($A675="","",IF(BP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DU675" s="0" t="str">
        <f aca="false">IF($A675="","",IF(R675="Y",10,0))</f>
        <v/>
      </c>
      <c r="EV675" s="0" t="str">
        <f aca="false">IF($A675="","",IF(ISNUMBER(MATCH(U675,{"queued","contacted","replied","call_booked","call_done","yes_in_principle","materials_sent"},0)),"Y","N"))</f>
        <v/>
      </c>
      <c r="EW675" s="0" t="str">
        <f aca="false">IF($A675="","",IF(OR(T675="Y",U675="do_not_contact",AQ675&amp;""&lt;&gt;""),"Y","N"))</f>
        <v/>
      </c>
      <c r="EX675" s="0" t="str">
        <f aca="false">IF($A675="","",IF(AN675&amp;""&lt;&gt;"",AN675&amp;"",$A675))</f>
        <v/>
      </c>
      <c r="EY675" s="0" t="str">
        <f aca="false">IF($A675="","",IF(COUNTIFS($EX$2:$EX$1000,EX675,$EV$2:$EV$1000,"Y")+COUNTIFS($EX$2:$EX$1000,EX675,$EW$2:$EW$1000,"Y")&gt;0,"Y","N"))</f>
        <v/>
      </c>
      <c r="EZ675" s="0" t="str">
        <f aca="false">IF($A675="","",IF(AND(U675="new",T675="N",EW675="N",AR675="Y",EY675="N"),"Y","N"))</f>
        <v/>
      </c>
      <c r="FA675" s="0" t="str">
        <f aca="false">IF($A675="","",IF(EZ675&lt;&gt;"Y","N",IF(COUNTIFS($EX$2:$EX$1000,EX675,$EZ$2:$EZ$1000,"Y",$J$2:$J$1000,"&gt;"&amp;J675)+COUNTIFS($EX$2:$EX$1000,EX675,$EZ$2:$EZ$1000,"Y",$J$2:$J$1000,J675,$FG$2:$FG$1000,"&lt;"&amp;FG675)=0,"Y","N")))</f>
        <v/>
      </c>
      <c r="FB675" s="0" t="str">
        <f aca="false">IF($A675="","",IF(AND(EZ675="Y",FA675="Y",Y675&amp;""&lt;&gt;""),IF(Y675&lt;=10,"Y","N"),"N"))</f>
        <v/>
      </c>
      <c r="FC675" s="0" t="str">
        <f aca="false">IF(FB675="Y",Y675,"")</f>
        <v/>
      </c>
      <c r="FD675" s="0" t="str">
        <f aca="false">IF($A675="","",IF(AND(CK675="pass",AU675="Y",AV675&lt;&gt;"Y",U675="new",EW675="N"),"Y","N"))</f>
        <v/>
      </c>
      <c r="FE675" s="0" t="str">
        <f aca="false">IF(FD675&lt;&gt;"Y","",IF(COUNTIFS($FD$2:$FD$1000,"Y",$J$2:$J$1000,"&gt;"&amp;J675)+COUNTIFS($FD$2:$FD$1000,"Y",$J$2:$J$1000,J675,$FG$2:$FG$1000,"&lt;"&amp;FG675)+1&lt;=30,COUNTIFS($FD$2:$FD$1000,"Y",$J$2:$J$1000,"&gt;"&amp;J675)+COUNTIFS($FD$2:$FD$1000,"Y",$J$2:$J$1000,J675,$FG$2:$FG$1000,"&lt;"&amp;FG675)+1,""))</f>
        <v/>
      </c>
      <c r="FF675" s="0" t="str">
        <f aca="false">IF(AND(_xlfn.ISFORMULA(C675),_xlfn.ISFORMULA(J675)),"Y","N")</f>
        <v>Y</v>
      </c>
      <c r="FG675" s="0" t="n">
        <f aca="false">ROW()-1</f>
        <v>674</v>
      </c>
    </row>
    <row r="676" customFormat="false" ht="15" hidden="false" customHeight="false" outlineLevel="0" collapsed="false">
      <c r="C676" s="0" t="str">
        <f aca="false">IF($A676="","",IF(AT676="Y",BL676&amp;"",AY676&amp;""))</f>
        <v/>
      </c>
      <c r="D676" s="0" t="str">
        <f aca="false">IF($A676="","",IF(AT676="Y",BM676&amp;"",AZ676&amp;""))</f>
        <v/>
      </c>
      <c r="E676" s="0" t="str">
        <f aca="false">IF($A676="","",IF(AT676="Y",BN676&amp;"",BA676&amp;""))</f>
        <v/>
      </c>
      <c r="F676" s="0" t="str">
        <f aca="false">IF($A676="","",IF(AT676="Y",BO676&amp;"",BB676&amp;""))</f>
        <v/>
      </c>
      <c r="G676" s="0" t="str">
        <f aca="false">IF($A676="","",IF(AT676="Y",BP676&amp;"",BC676&amp;""))</f>
        <v/>
      </c>
      <c r="H676" s="0" t="str">
        <f aca="false">IF($A676="","",IF(AT676="Y",BQ676&amp;"",BD676&amp;""))</f>
        <v/>
      </c>
      <c r="I676" s="0" t="str">
        <f aca="false">IF($A676="","",IF(R676="Y","warm-intro",IF(H676="verified","email",IF(C676&lt;&gt;"","linkedin",CA676&amp;""))))</f>
        <v/>
      </c>
      <c r="J676" s="0" t="str">
        <f aca="false">IF($A676="","",IF(CK676="pass",ROUND(N(DO676)+N(DP676)+N(DQ676)+N(DR676)+N(DS676)+N(DT676)+N(DU676)+N(DV676),0),0))</f>
        <v/>
      </c>
      <c r="K676" s="0" t="str">
        <f aca="false">IF($A676="","",IF(CK676&lt;&gt;"pass",BY676&amp;"",BY676&amp;", "&amp;IF(AT676="Y",BX676&amp;"",BK676&amp;"")&amp;BZ676&amp;IF(R676="Y","; known to the founder (+10)","")&amp;"."))</f>
        <v/>
      </c>
      <c r="R676" s="5"/>
      <c r="T676" s="5"/>
      <c r="U676" s="5"/>
      <c r="Y676" s="0" t="str">
        <f aca="false">IF(FA676&lt;&gt;"Y","",COUNTIFS($FA$2:$FA$1000,"Y",$J$2:$J$1000,"&gt;"&amp;J676)+COUNTIFS($FA$2:$FA$1000,"Y",$J$2:$J$1000,J676,$FG$2:$FG$1000,"&lt;"&amp;FG676)+1)</f>
        <v/>
      </c>
      <c r="AB676" s="0" t="str">
        <f aca="false">IF($A676="","",IF(AT676="Y",BW676&amp;"",BJ676&amp;""))</f>
        <v/>
      </c>
      <c r="AC676" s="0" t="str">
        <f aca="false">IF($A676="","",IF(AT676="Y",BR676&amp;"",BE676&amp;""))</f>
        <v/>
      </c>
      <c r="AD676" s="0" t="str">
        <f aca="false">IF($A676="","",IF(AT676="Y",BS676&amp;"",BF676&amp;""))</f>
        <v/>
      </c>
      <c r="AE676" s="0" t="str">
        <f aca="false">IF($A676="","",IF(AT676="Y",BT676&amp;"",BG676&amp;""))</f>
        <v/>
      </c>
      <c r="AF676" s="0" t="str">
        <f aca="false">IF($A676="","",IF(AT676="Y",BU676&amp;"",BH676&amp;""))</f>
        <v/>
      </c>
      <c r="AG676" s="0" t="str">
        <f aca="false">IF($A676="","",IF(AT676="Y",BV676&amp;"",BI676&amp;""))</f>
        <v/>
      </c>
      <c r="AO676" s="5"/>
      <c r="AR676" s="0" t="str">
        <f aca="false">IF($A676="","",IF(AND(CK676="pass",AO676&lt;&gt;"Y",C676&lt;&gt;"",OR(AU676&lt;&gt;"Y",AV676="Y")),"Y","N"))</f>
        <v/>
      </c>
      <c r="AS676" s="0" t="str">
        <f aca="false">IF($A676="","",_xlfn.TEXTJOIN("; ",TRUE(),IF(CK676&lt;&gt;"pass","gated out",""),IF(AO676="Y","on hold: "&amp;AP676,""),IF(C676="","no contact named on an opened page",""),IF(AND(AU676="Y",AV676&lt;&gt;"Y"),"founder review pending (Founder review tab)","")))</f>
        <v/>
      </c>
      <c r="BC676" s="0" t="str">
        <f aca="false">IF($A676="","",IFERROR(INDEX(Enrichment!$A$2:$GZ$2000,MATCH($A676,INDEX(Enrichment!$A$2:$GZ$2000,0,MATCH("row_id",Enrichment!$A$1:$GZ$1,0)),0),MATCH("work_email",Enrichment!$A$1:$GZ$1,0))&amp;"",""))</f>
        <v/>
      </c>
      <c r="BD676" s="0" t="str">
        <f aca="false">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P676" s="0" t="str">
        <f aca="false">IF($A676="","",IFERROR(INDEX(Enrichment!$A$2:$GZ$2000,MATCH($A676,INDEX(Enrichment!$A$2:$GZ$2000,0,MATCH("row_id",Enrichment!$A$1:$GZ$1,0)),0),MATCH("backup_work_email",Enrichment!$A$1:$GZ$1,0))&amp;"",""))</f>
        <v/>
      </c>
      <c r="BQ676" s="0" t="str">
        <f aca="false">IF($A676="","",IF(BP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DU676" s="0" t="str">
        <f aca="false">IF($A676="","",IF(R676="Y",10,0))</f>
        <v/>
      </c>
      <c r="EV676" s="0" t="str">
        <f aca="false">IF($A676="","",IF(ISNUMBER(MATCH(U676,{"queued","contacted","replied","call_booked","call_done","yes_in_principle","materials_sent"},0)),"Y","N"))</f>
        <v/>
      </c>
      <c r="EW676" s="0" t="str">
        <f aca="false">IF($A676="","",IF(OR(T676="Y",U676="do_not_contact",AQ676&amp;""&lt;&gt;""),"Y","N"))</f>
        <v/>
      </c>
      <c r="EX676" s="0" t="str">
        <f aca="false">IF($A676="","",IF(AN676&amp;""&lt;&gt;"",AN676&amp;"",$A676))</f>
        <v/>
      </c>
      <c r="EY676" s="0" t="str">
        <f aca="false">IF($A676="","",IF(COUNTIFS($EX$2:$EX$1000,EX676,$EV$2:$EV$1000,"Y")+COUNTIFS($EX$2:$EX$1000,EX676,$EW$2:$EW$1000,"Y")&gt;0,"Y","N"))</f>
        <v/>
      </c>
      <c r="EZ676" s="0" t="str">
        <f aca="false">IF($A676="","",IF(AND(U676="new",T676="N",EW676="N",AR676="Y",EY676="N"),"Y","N"))</f>
        <v/>
      </c>
      <c r="FA676" s="0" t="str">
        <f aca="false">IF($A676="","",IF(EZ676&lt;&gt;"Y","N",IF(COUNTIFS($EX$2:$EX$1000,EX676,$EZ$2:$EZ$1000,"Y",$J$2:$J$1000,"&gt;"&amp;J676)+COUNTIFS($EX$2:$EX$1000,EX676,$EZ$2:$EZ$1000,"Y",$J$2:$J$1000,J676,$FG$2:$FG$1000,"&lt;"&amp;FG676)=0,"Y","N")))</f>
        <v/>
      </c>
      <c r="FB676" s="0" t="str">
        <f aca="false">IF($A676="","",IF(AND(EZ676="Y",FA676="Y",Y676&amp;""&lt;&gt;""),IF(Y676&lt;=10,"Y","N"),"N"))</f>
        <v/>
      </c>
      <c r="FC676" s="0" t="str">
        <f aca="false">IF(FB676="Y",Y676,"")</f>
        <v/>
      </c>
      <c r="FD676" s="0" t="str">
        <f aca="false">IF($A676="","",IF(AND(CK676="pass",AU676="Y",AV676&lt;&gt;"Y",U676="new",EW676="N"),"Y","N"))</f>
        <v/>
      </c>
      <c r="FE676" s="0" t="str">
        <f aca="false">IF(FD676&lt;&gt;"Y","",IF(COUNTIFS($FD$2:$FD$1000,"Y",$J$2:$J$1000,"&gt;"&amp;J676)+COUNTIFS($FD$2:$FD$1000,"Y",$J$2:$J$1000,J676,$FG$2:$FG$1000,"&lt;"&amp;FG676)+1&lt;=30,COUNTIFS($FD$2:$FD$1000,"Y",$J$2:$J$1000,"&gt;"&amp;J676)+COUNTIFS($FD$2:$FD$1000,"Y",$J$2:$J$1000,J676,$FG$2:$FG$1000,"&lt;"&amp;FG676)+1,""))</f>
        <v/>
      </c>
      <c r="FF676" s="0" t="str">
        <f aca="false">IF(AND(_xlfn.ISFORMULA(C676),_xlfn.ISFORMULA(J676)),"Y","N")</f>
        <v>Y</v>
      </c>
      <c r="FG676" s="0" t="n">
        <f aca="false">ROW()-1</f>
        <v>675</v>
      </c>
    </row>
    <row r="677" customFormat="false" ht="15" hidden="false" customHeight="false" outlineLevel="0" collapsed="false">
      <c r="C677" s="0" t="str">
        <f aca="false">IF($A677="","",IF(AT677="Y",BL677&amp;"",AY677&amp;""))</f>
        <v/>
      </c>
      <c r="D677" s="0" t="str">
        <f aca="false">IF($A677="","",IF(AT677="Y",BM677&amp;"",AZ677&amp;""))</f>
        <v/>
      </c>
      <c r="E677" s="0" t="str">
        <f aca="false">IF($A677="","",IF(AT677="Y",BN677&amp;"",BA677&amp;""))</f>
        <v/>
      </c>
      <c r="F677" s="0" t="str">
        <f aca="false">IF($A677="","",IF(AT677="Y",BO677&amp;"",BB677&amp;""))</f>
        <v/>
      </c>
      <c r="G677" s="0" t="str">
        <f aca="false">IF($A677="","",IF(AT677="Y",BP677&amp;"",BC677&amp;""))</f>
        <v/>
      </c>
      <c r="H677" s="0" t="str">
        <f aca="false">IF($A677="","",IF(AT677="Y",BQ677&amp;"",BD677&amp;""))</f>
        <v/>
      </c>
      <c r="I677" s="0" t="str">
        <f aca="false">IF($A677="","",IF(R677="Y","warm-intro",IF(H677="verified","email",IF(C677&lt;&gt;"","linkedin",CA677&amp;""))))</f>
        <v/>
      </c>
      <c r="J677" s="0" t="str">
        <f aca="false">IF($A677="","",IF(CK677="pass",ROUND(N(DO677)+N(DP677)+N(DQ677)+N(DR677)+N(DS677)+N(DT677)+N(DU677)+N(DV677),0),0))</f>
        <v/>
      </c>
      <c r="K677" s="0" t="str">
        <f aca="false">IF($A677="","",IF(CK677&lt;&gt;"pass",BY677&amp;"",BY677&amp;", "&amp;IF(AT677="Y",BX677&amp;"",BK677&amp;"")&amp;BZ677&amp;IF(R677="Y","; known to the founder (+10)","")&amp;"."))</f>
        <v/>
      </c>
      <c r="R677" s="5"/>
      <c r="T677" s="5"/>
      <c r="U677" s="5"/>
      <c r="Y677" s="0" t="str">
        <f aca="false">IF(FA677&lt;&gt;"Y","",COUNTIFS($FA$2:$FA$1000,"Y",$J$2:$J$1000,"&gt;"&amp;J677)+COUNTIFS($FA$2:$FA$1000,"Y",$J$2:$J$1000,J677,$FG$2:$FG$1000,"&lt;"&amp;FG677)+1)</f>
        <v/>
      </c>
      <c r="AB677" s="0" t="str">
        <f aca="false">IF($A677="","",IF(AT677="Y",BW677&amp;"",BJ677&amp;""))</f>
        <v/>
      </c>
      <c r="AC677" s="0" t="str">
        <f aca="false">IF($A677="","",IF(AT677="Y",BR677&amp;"",BE677&amp;""))</f>
        <v/>
      </c>
      <c r="AD677" s="0" t="str">
        <f aca="false">IF($A677="","",IF(AT677="Y",BS677&amp;"",BF677&amp;""))</f>
        <v/>
      </c>
      <c r="AE677" s="0" t="str">
        <f aca="false">IF($A677="","",IF(AT677="Y",BT677&amp;"",BG677&amp;""))</f>
        <v/>
      </c>
      <c r="AF677" s="0" t="str">
        <f aca="false">IF($A677="","",IF(AT677="Y",BU677&amp;"",BH677&amp;""))</f>
        <v/>
      </c>
      <c r="AG677" s="0" t="str">
        <f aca="false">IF($A677="","",IF(AT677="Y",BV677&amp;"",BI677&amp;""))</f>
        <v/>
      </c>
      <c r="AO677" s="5"/>
      <c r="AR677" s="0" t="str">
        <f aca="false">IF($A677="","",IF(AND(CK677="pass",AO677&lt;&gt;"Y",C677&lt;&gt;"",OR(AU677&lt;&gt;"Y",AV677="Y")),"Y","N"))</f>
        <v/>
      </c>
      <c r="AS677" s="0" t="str">
        <f aca="false">IF($A677="","",_xlfn.TEXTJOIN("; ",TRUE(),IF(CK677&lt;&gt;"pass","gated out",""),IF(AO677="Y","on hold: "&amp;AP677,""),IF(C677="","no contact named on an opened page",""),IF(AND(AU677="Y",AV677&lt;&gt;"Y"),"founder review pending (Founder review tab)","")))</f>
        <v/>
      </c>
      <c r="BC677" s="0" t="str">
        <f aca="false">IF($A677="","",IFERROR(INDEX(Enrichment!$A$2:$GZ$2000,MATCH($A677,INDEX(Enrichment!$A$2:$GZ$2000,0,MATCH("row_id",Enrichment!$A$1:$GZ$1,0)),0),MATCH("work_email",Enrichment!$A$1:$GZ$1,0))&amp;"",""))</f>
        <v/>
      </c>
      <c r="BD677" s="0" t="str">
        <f aca="false">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P677" s="0" t="str">
        <f aca="false">IF($A677="","",IFERROR(INDEX(Enrichment!$A$2:$GZ$2000,MATCH($A677,INDEX(Enrichment!$A$2:$GZ$2000,0,MATCH("row_id",Enrichment!$A$1:$GZ$1,0)),0),MATCH("backup_work_email",Enrichment!$A$1:$GZ$1,0))&amp;"",""))</f>
        <v/>
      </c>
      <c r="BQ677" s="0" t="str">
        <f aca="false">IF($A677="","",IF(BP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DU677" s="0" t="str">
        <f aca="false">IF($A677="","",IF(R677="Y",10,0))</f>
        <v/>
      </c>
      <c r="EV677" s="0" t="str">
        <f aca="false">IF($A677="","",IF(ISNUMBER(MATCH(U677,{"queued","contacted","replied","call_booked","call_done","yes_in_principle","materials_sent"},0)),"Y","N"))</f>
        <v/>
      </c>
      <c r="EW677" s="0" t="str">
        <f aca="false">IF($A677="","",IF(OR(T677="Y",U677="do_not_contact",AQ677&amp;""&lt;&gt;""),"Y","N"))</f>
        <v/>
      </c>
      <c r="EX677" s="0" t="str">
        <f aca="false">IF($A677="","",IF(AN677&amp;""&lt;&gt;"",AN677&amp;"",$A677))</f>
        <v/>
      </c>
      <c r="EY677" s="0" t="str">
        <f aca="false">IF($A677="","",IF(COUNTIFS($EX$2:$EX$1000,EX677,$EV$2:$EV$1000,"Y")+COUNTIFS($EX$2:$EX$1000,EX677,$EW$2:$EW$1000,"Y")&gt;0,"Y","N"))</f>
        <v/>
      </c>
      <c r="EZ677" s="0" t="str">
        <f aca="false">IF($A677="","",IF(AND(U677="new",T677="N",EW677="N",AR677="Y",EY677="N"),"Y","N"))</f>
        <v/>
      </c>
      <c r="FA677" s="0" t="str">
        <f aca="false">IF($A677="","",IF(EZ677&lt;&gt;"Y","N",IF(COUNTIFS($EX$2:$EX$1000,EX677,$EZ$2:$EZ$1000,"Y",$J$2:$J$1000,"&gt;"&amp;J677)+COUNTIFS($EX$2:$EX$1000,EX677,$EZ$2:$EZ$1000,"Y",$J$2:$J$1000,J677,$FG$2:$FG$1000,"&lt;"&amp;FG677)=0,"Y","N")))</f>
        <v/>
      </c>
      <c r="FB677" s="0" t="str">
        <f aca="false">IF($A677="","",IF(AND(EZ677="Y",FA677="Y",Y677&amp;""&lt;&gt;""),IF(Y677&lt;=10,"Y","N"),"N"))</f>
        <v/>
      </c>
      <c r="FC677" s="0" t="str">
        <f aca="false">IF(FB677="Y",Y677,"")</f>
        <v/>
      </c>
      <c r="FD677" s="0" t="str">
        <f aca="false">IF($A677="","",IF(AND(CK677="pass",AU677="Y",AV677&lt;&gt;"Y",U677="new",EW677="N"),"Y","N"))</f>
        <v/>
      </c>
      <c r="FE677" s="0" t="str">
        <f aca="false">IF(FD677&lt;&gt;"Y","",IF(COUNTIFS($FD$2:$FD$1000,"Y",$J$2:$J$1000,"&gt;"&amp;J677)+COUNTIFS($FD$2:$FD$1000,"Y",$J$2:$J$1000,J677,$FG$2:$FG$1000,"&lt;"&amp;FG677)+1&lt;=30,COUNTIFS($FD$2:$FD$1000,"Y",$J$2:$J$1000,"&gt;"&amp;J677)+COUNTIFS($FD$2:$FD$1000,"Y",$J$2:$J$1000,J677,$FG$2:$FG$1000,"&lt;"&amp;FG677)+1,""))</f>
        <v/>
      </c>
      <c r="FF677" s="0" t="str">
        <f aca="false">IF(AND(_xlfn.ISFORMULA(C677),_xlfn.ISFORMULA(J677)),"Y","N")</f>
        <v>Y</v>
      </c>
      <c r="FG677" s="0" t="n">
        <f aca="false">ROW()-1</f>
        <v>676</v>
      </c>
    </row>
    <row r="678" customFormat="false" ht="15" hidden="false" customHeight="false" outlineLevel="0" collapsed="false">
      <c r="C678" s="0" t="str">
        <f aca="false">IF($A678="","",IF(AT678="Y",BL678&amp;"",AY678&amp;""))</f>
        <v/>
      </c>
      <c r="D678" s="0" t="str">
        <f aca="false">IF($A678="","",IF(AT678="Y",BM678&amp;"",AZ678&amp;""))</f>
        <v/>
      </c>
      <c r="E678" s="0" t="str">
        <f aca="false">IF($A678="","",IF(AT678="Y",BN678&amp;"",BA678&amp;""))</f>
        <v/>
      </c>
      <c r="F678" s="0" t="str">
        <f aca="false">IF($A678="","",IF(AT678="Y",BO678&amp;"",BB678&amp;""))</f>
        <v/>
      </c>
      <c r="G678" s="0" t="str">
        <f aca="false">IF($A678="","",IF(AT678="Y",BP678&amp;"",BC678&amp;""))</f>
        <v/>
      </c>
      <c r="H678" s="0" t="str">
        <f aca="false">IF($A678="","",IF(AT678="Y",BQ678&amp;"",BD678&amp;""))</f>
        <v/>
      </c>
      <c r="I678" s="0" t="str">
        <f aca="false">IF($A678="","",IF(R678="Y","warm-intro",IF(H678="verified","email",IF(C678&lt;&gt;"","linkedin",CA678&amp;""))))</f>
        <v/>
      </c>
      <c r="J678" s="0" t="str">
        <f aca="false">IF($A678="","",IF(CK678="pass",ROUND(N(DO678)+N(DP678)+N(DQ678)+N(DR678)+N(DS678)+N(DT678)+N(DU678)+N(DV678),0),0))</f>
        <v/>
      </c>
      <c r="K678" s="0" t="str">
        <f aca="false">IF($A678="","",IF(CK678&lt;&gt;"pass",BY678&amp;"",BY678&amp;", "&amp;IF(AT678="Y",BX678&amp;"",BK678&amp;"")&amp;BZ678&amp;IF(R678="Y","; known to the founder (+10)","")&amp;"."))</f>
        <v/>
      </c>
      <c r="R678" s="5"/>
      <c r="T678" s="5"/>
      <c r="U678" s="5"/>
      <c r="Y678" s="0" t="str">
        <f aca="false">IF(FA678&lt;&gt;"Y","",COUNTIFS($FA$2:$FA$1000,"Y",$J$2:$J$1000,"&gt;"&amp;J678)+COUNTIFS($FA$2:$FA$1000,"Y",$J$2:$J$1000,J678,$FG$2:$FG$1000,"&lt;"&amp;FG678)+1)</f>
        <v/>
      </c>
      <c r="AB678" s="0" t="str">
        <f aca="false">IF($A678="","",IF(AT678="Y",BW678&amp;"",BJ678&amp;""))</f>
        <v/>
      </c>
      <c r="AC678" s="0" t="str">
        <f aca="false">IF($A678="","",IF(AT678="Y",BR678&amp;"",BE678&amp;""))</f>
        <v/>
      </c>
      <c r="AD678" s="0" t="str">
        <f aca="false">IF($A678="","",IF(AT678="Y",BS678&amp;"",BF678&amp;""))</f>
        <v/>
      </c>
      <c r="AE678" s="0" t="str">
        <f aca="false">IF($A678="","",IF(AT678="Y",BT678&amp;"",BG678&amp;""))</f>
        <v/>
      </c>
      <c r="AF678" s="0" t="str">
        <f aca="false">IF($A678="","",IF(AT678="Y",BU678&amp;"",BH678&amp;""))</f>
        <v/>
      </c>
      <c r="AG678" s="0" t="str">
        <f aca="false">IF($A678="","",IF(AT678="Y",BV678&amp;"",BI678&amp;""))</f>
        <v/>
      </c>
      <c r="AO678" s="5"/>
      <c r="AR678" s="0" t="str">
        <f aca="false">IF($A678="","",IF(AND(CK678="pass",AO678&lt;&gt;"Y",C678&lt;&gt;"",OR(AU678&lt;&gt;"Y",AV678="Y")),"Y","N"))</f>
        <v/>
      </c>
      <c r="AS678" s="0" t="str">
        <f aca="false">IF($A678="","",_xlfn.TEXTJOIN("; ",TRUE(),IF(CK678&lt;&gt;"pass","gated out",""),IF(AO678="Y","on hold: "&amp;AP678,""),IF(C678="","no contact named on an opened page",""),IF(AND(AU678="Y",AV678&lt;&gt;"Y"),"founder review pending (Founder review tab)","")))</f>
        <v/>
      </c>
      <c r="BC678" s="0" t="str">
        <f aca="false">IF($A678="","",IFERROR(INDEX(Enrichment!$A$2:$GZ$2000,MATCH($A678,INDEX(Enrichment!$A$2:$GZ$2000,0,MATCH("row_id",Enrichment!$A$1:$GZ$1,0)),0),MATCH("work_email",Enrichment!$A$1:$GZ$1,0))&amp;"",""))</f>
        <v/>
      </c>
      <c r="BD678" s="0" t="str">
        <f aca="false">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P678" s="0" t="str">
        <f aca="false">IF($A678="","",IFERROR(INDEX(Enrichment!$A$2:$GZ$2000,MATCH($A678,INDEX(Enrichment!$A$2:$GZ$2000,0,MATCH("row_id",Enrichment!$A$1:$GZ$1,0)),0),MATCH("backup_work_email",Enrichment!$A$1:$GZ$1,0))&amp;"",""))</f>
        <v/>
      </c>
      <c r="BQ678" s="0" t="str">
        <f aca="false">IF($A678="","",IF(BP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DU678" s="0" t="str">
        <f aca="false">IF($A678="","",IF(R678="Y",10,0))</f>
        <v/>
      </c>
      <c r="EV678" s="0" t="str">
        <f aca="false">IF($A678="","",IF(ISNUMBER(MATCH(U678,{"queued","contacted","replied","call_booked","call_done","yes_in_principle","materials_sent"},0)),"Y","N"))</f>
        <v/>
      </c>
      <c r="EW678" s="0" t="str">
        <f aca="false">IF($A678="","",IF(OR(T678="Y",U678="do_not_contact",AQ678&amp;""&lt;&gt;""),"Y","N"))</f>
        <v/>
      </c>
      <c r="EX678" s="0" t="str">
        <f aca="false">IF($A678="","",IF(AN678&amp;""&lt;&gt;"",AN678&amp;"",$A678))</f>
        <v/>
      </c>
      <c r="EY678" s="0" t="str">
        <f aca="false">IF($A678="","",IF(COUNTIFS($EX$2:$EX$1000,EX678,$EV$2:$EV$1000,"Y")+COUNTIFS($EX$2:$EX$1000,EX678,$EW$2:$EW$1000,"Y")&gt;0,"Y","N"))</f>
        <v/>
      </c>
      <c r="EZ678" s="0" t="str">
        <f aca="false">IF($A678="","",IF(AND(U678="new",T678="N",EW678="N",AR678="Y",EY678="N"),"Y","N"))</f>
        <v/>
      </c>
      <c r="FA678" s="0" t="str">
        <f aca="false">IF($A678="","",IF(EZ678&lt;&gt;"Y","N",IF(COUNTIFS($EX$2:$EX$1000,EX678,$EZ$2:$EZ$1000,"Y",$J$2:$J$1000,"&gt;"&amp;J678)+COUNTIFS($EX$2:$EX$1000,EX678,$EZ$2:$EZ$1000,"Y",$J$2:$J$1000,J678,$FG$2:$FG$1000,"&lt;"&amp;FG678)=0,"Y","N")))</f>
        <v/>
      </c>
      <c r="FB678" s="0" t="str">
        <f aca="false">IF($A678="","",IF(AND(EZ678="Y",FA678="Y",Y678&amp;""&lt;&gt;""),IF(Y678&lt;=10,"Y","N"),"N"))</f>
        <v/>
      </c>
      <c r="FC678" s="0" t="str">
        <f aca="false">IF(FB678="Y",Y678,"")</f>
        <v/>
      </c>
      <c r="FD678" s="0" t="str">
        <f aca="false">IF($A678="","",IF(AND(CK678="pass",AU678="Y",AV678&lt;&gt;"Y",U678="new",EW678="N"),"Y","N"))</f>
        <v/>
      </c>
      <c r="FE678" s="0" t="str">
        <f aca="false">IF(FD678&lt;&gt;"Y","",IF(COUNTIFS($FD$2:$FD$1000,"Y",$J$2:$J$1000,"&gt;"&amp;J678)+COUNTIFS($FD$2:$FD$1000,"Y",$J$2:$J$1000,J678,$FG$2:$FG$1000,"&lt;"&amp;FG678)+1&lt;=30,COUNTIFS($FD$2:$FD$1000,"Y",$J$2:$J$1000,"&gt;"&amp;J678)+COUNTIFS($FD$2:$FD$1000,"Y",$J$2:$J$1000,J678,$FG$2:$FG$1000,"&lt;"&amp;FG678)+1,""))</f>
        <v/>
      </c>
      <c r="FF678" s="0" t="str">
        <f aca="false">IF(AND(_xlfn.ISFORMULA(C678),_xlfn.ISFORMULA(J678)),"Y","N")</f>
        <v>Y</v>
      </c>
      <c r="FG678" s="0" t="n">
        <f aca="false">ROW()-1</f>
        <v>677</v>
      </c>
    </row>
    <row r="679" customFormat="false" ht="15" hidden="false" customHeight="false" outlineLevel="0" collapsed="false">
      <c r="C679" s="0" t="str">
        <f aca="false">IF($A679="","",IF(AT679="Y",BL679&amp;"",AY679&amp;""))</f>
        <v/>
      </c>
      <c r="D679" s="0" t="str">
        <f aca="false">IF($A679="","",IF(AT679="Y",BM679&amp;"",AZ679&amp;""))</f>
        <v/>
      </c>
      <c r="E679" s="0" t="str">
        <f aca="false">IF($A679="","",IF(AT679="Y",BN679&amp;"",BA679&amp;""))</f>
        <v/>
      </c>
      <c r="F679" s="0" t="str">
        <f aca="false">IF($A679="","",IF(AT679="Y",BO679&amp;"",BB679&amp;""))</f>
        <v/>
      </c>
      <c r="G679" s="0" t="str">
        <f aca="false">IF($A679="","",IF(AT679="Y",BP679&amp;"",BC679&amp;""))</f>
        <v/>
      </c>
      <c r="H679" s="0" t="str">
        <f aca="false">IF($A679="","",IF(AT679="Y",BQ679&amp;"",BD679&amp;""))</f>
        <v/>
      </c>
      <c r="I679" s="0" t="str">
        <f aca="false">IF($A679="","",IF(R679="Y","warm-intro",IF(H679="verified","email",IF(C679&lt;&gt;"","linkedin",CA679&amp;""))))</f>
        <v/>
      </c>
      <c r="J679" s="0" t="str">
        <f aca="false">IF($A679="","",IF(CK679="pass",ROUND(N(DO679)+N(DP679)+N(DQ679)+N(DR679)+N(DS679)+N(DT679)+N(DU679)+N(DV679),0),0))</f>
        <v/>
      </c>
      <c r="K679" s="0" t="str">
        <f aca="false">IF($A679="","",IF(CK679&lt;&gt;"pass",BY679&amp;"",BY679&amp;", "&amp;IF(AT679="Y",BX679&amp;"",BK679&amp;"")&amp;BZ679&amp;IF(R679="Y","; known to the founder (+10)","")&amp;"."))</f>
        <v/>
      </c>
      <c r="R679" s="5"/>
      <c r="T679" s="5"/>
      <c r="U679" s="5"/>
      <c r="Y679" s="0" t="str">
        <f aca="false">IF(FA679&lt;&gt;"Y","",COUNTIFS($FA$2:$FA$1000,"Y",$J$2:$J$1000,"&gt;"&amp;J679)+COUNTIFS($FA$2:$FA$1000,"Y",$J$2:$J$1000,J679,$FG$2:$FG$1000,"&lt;"&amp;FG679)+1)</f>
        <v/>
      </c>
      <c r="AB679" s="0" t="str">
        <f aca="false">IF($A679="","",IF(AT679="Y",BW679&amp;"",BJ679&amp;""))</f>
        <v/>
      </c>
      <c r="AC679" s="0" t="str">
        <f aca="false">IF($A679="","",IF(AT679="Y",BR679&amp;"",BE679&amp;""))</f>
        <v/>
      </c>
      <c r="AD679" s="0" t="str">
        <f aca="false">IF($A679="","",IF(AT679="Y",BS679&amp;"",BF679&amp;""))</f>
        <v/>
      </c>
      <c r="AE679" s="0" t="str">
        <f aca="false">IF($A679="","",IF(AT679="Y",BT679&amp;"",BG679&amp;""))</f>
        <v/>
      </c>
      <c r="AF679" s="0" t="str">
        <f aca="false">IF($A679="","",IF(AT679="Y",BU679&amp;"",BH679&amp;""))</f>
        <v/>
      </c>
      <c r="AG679" s="0" t="str">
        <f aca="false">IF($A679="","",IF(AT679="Y",BV679&amp;"",BI679&amp;""))</f>
        <v/>
      </c>
      <c r="AO679" s="5"/>
      <c r="AR679" s="0" t="str">
        <f aca="false">IF($A679="","",IF(AND(CK679="pass",AO679&lt;&gt;"Y",C679&lt;&gt;"",OR(AU679&lt;&gt;"Y",AV679="Y")),"Y","N"))</f>
        <v/>
      </c>
      <c r="AS679" s="0" t="str">
        <f aca="false">IF($A679="","",_xlfn.TEXTJOIN("; ",TRUE(),IF(CK679&lt;&gt;"pass","gated out",""),IF(AO679="Y","on hold: "&amp;AP679,""),IF(C679="","no contact named on an opened page",""),IF(AND(AU679="Y",AV679&lt;&gt;"Y"),"founder review pending (Founder review tab)","")))</f>
        <v/>
      </c>
      <c r="BC679" s="0" t="str">
        <f aca="false">IF($A679="","",IFERROR(INDEX(Enrichment!$A$2:$GZ$2000,MATCH($A679,INDEX(Enrichment!$A$2:$GZ$2000,0,MATCH("row_id",Enrichment!$A$1:$GZ$1,0)),0),MATCH("work_email",Enrichment!$A$1:$GZ$1,0))&amp;"",""))</f>
        <v/>
      </c>
      <c r="BD679" s="0" t="str">
        <f aca="false">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P679" s="0" t="str">
        <f aca="false">IF($A679="","",IFERROR(INDEX(Enrichment!$A$2:$GZ$2000,MATCH($A679,INDEX(Enrichment!$A$2:$GZ$2000,0,MATCH("row_id",Enrichment!$A$1:$GZ$1,0)),0),MATCH("backup_work_email",Enrichment!$A$1:$GZ$1,0))&amp;"",""))</f>
        <v/>
      </c>
      <c r="BQ679" s="0" t="str">
        <f aca="false">IF($A679="","",IF(BP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DU679" s="0" t="str">
        <f aca="false">IF($A679="","",IF(R679="Y",10,0))</f>
        <v/>
      </c>
      <c r="EV679" s="0" t="str">
        <f aca="false">IF($A679="","",IF(ISNUMBER(MATCH(U679,{"queued","contacted","replied","call_booked","call_done","yes_in_principle","materials_sent"},0)),"Y","N"))</f>
        <v/>
      </c>
      <c r="EW679" s="0" t="str">
        <f aca="false">IF($A679="","",IF(OR(T679="Y",U679="do_not_contact",AQ679&amp;""&lt;&gt;""),"Y","N"))</f>
        <v/>
      </c>
      <c r="EX679" s="0" t="str">
        <f aca="false">IF($A679="","",IF(AN679&amp;""&lt;&gt;"",AN679&amp;"",$A679))</f>
        <v/>
      </c>
      <c r="EY679" s="0" t="str">
        <f aca="false">IF($A679="","",IF(COUNTIFS($EX$2:$EX$1000,EX679,$EV$2:$EV$1000,"Y")+COUNTIFS($EX$2:$EX$1000,EX679,$EW$2:$EW$1000,"Y")&gt;0,"Y","N"))</f>
        <v/>
      </c>
      <c r="EZ679" s="0" t="str">
        <f aca="false">IF($A679="","",IF(AND(U679="new",T679="N",EW679="N",AR679="Y",EY679="N"),"Y","N"))</f>
        <v/>
      </c>
      <c r="FA679" s="0" t="str">
        <f aca="false">IF($A679="","",IF(EZ679&lt;&gt;"Y","N",IF(COUNTIFS($EX$2:$EX$1000,EX679,$EZ$2:$EZ$1000,"Y",$J$2:$J$1000,"&gt;"&amp;J679)+COUNTIFS($EX$2:$EX$1000,EX679,$EZ$2:$EZ$1000,"Y",$J$2:$J$1000,J679,$FG$2:$FG$1000,"&lt;"&amp;FG679)=0,"Y","N")))</f>
        <v/>
      </c>
      <c r="FB679" s="0" t="str">
        <f aca="false">IF($A679="","",IF(AND(EZ679="Y",FA679="Y",Y679&amp;""&lt;&gt;""),IF(Y679&lt;=10,"Y","N"),"N"))</f>
        <v/>
      </c>
      <c r="FC679" s="0" t="str">
        <f aca="false">IF(FB679="Y",Y679,"")</f>
        <v/>
      </c>
      <c r="FD679" s="0" t="str">
        <f aca="false">IF($A679="","",IF(AND(CK679="pass",AU679="Y",AV679&lt;&gt;"Y",U679="new",EW679="N"),"Y","N"))</f>
        <v/>
      </c>
      <c r="FE679" s="0" t="str">
        <f aca="false">IF(FD679&lt;&gt;"Y","",IF(COUNTIFS($FD$2:$FD$1000,"Y",$J$2:$J$1000,"&gt;"&amp;J679)+COUNTIFS($FD$2:$FD$1000,"Y",$J$2:$J$1000,J679,$FG$2:$FG$1000,"&lt;"&amp;FG679)+1&lt;=30,COUNTIFS($FD$2:$FD$1000,"Y",$J$2:$J$1000,"&gt;"&amp;J679)+COUNTIFS($FD$2:$FD$1000,"Y",$J$2:$J$1000,J679,$FG$2:$FG$1000,"&lt;"&amp;FG679)+1,""))</f>
        <v/>
      </c>
      <c r="FF679" s="0" t="str">
        <f aca="false">IF(AND(_xlfn.ISFORMULA(C679),_xlfn.ISFORMULA(J679)),"Y","N")</f>
        <v>Y</v>
      </c>
      <c r="FG679" s="0" t="n">
        <f aca="false">ROW()-1</f>
        <v>678</v>
      </c>
    </row>
    <row r="680" customFormat="false" ht="15" hidden="false" customHeight="false" outlineLevel="0" collapsed="false">
      <c r="C680" s="0" t="str">
        <f aca="false">IF($A680="","",IF(AT680="Y",BL680&amp;"",AY680&amp;""))</f>
        <v/>
      </c>
      <c r="D680" s="0" t="str">
        <f aca="false">IF($A680="","",IF(AT680="Y",BM680&amp;"",AZ680&amp;""))</f>
        <v/>
      </c>
      <c r="E680" s="0" t="str">
        <f aca="false">IF($A680="","",IF(AT680="Y",BN680&amp;"",BA680&amp;""))</f>
        <v/>
      </c>
      <c r="F680" s="0" t="str">
        <f aca="false">IF($A680="","",IF(AT680="Y",BO680&amp;"",BB680&amp;""))</f>
        <v/>
      </c>
      <c r="G680" s="0" t="str">
        <f aca="false">IF($A680="","",IF(AT680="Y",BP680&amp;"",BC680&amp;""))</f>
        <v/>
      </c>
      <c r="H680" s="0" t="str">
        <f aca="false">IF($A680="","",IF(AT680="Y",BQ680&amp;"",BD680&amp;""))</f>
        <v/>
      </c>
      <c r="I680" s="0" t="str">
        <f aca="false">IF($A680="","",IF(R680="Y","warm-intro",IF(H680="verified","email",IF(C680&lt;&gt;"","linkedin",CA680&amp;""))))</f>
        <v/>
      </c>
      <c r="J680" s="0" t="str">
        <f aca="false">IF($A680="","",IF(CK680="pass",ROUND(N(DO680)+N(DP680)+N(DQ680)+N(DR680)+N(DS680)+N(DT680)+N(DU680)+N(DV680),0),0))</f>
        <v/>
      </c>
      <c r="K680" s="0" t="str">
        <f aca="false">IF($A680="","",IF(CK680&lt;&gt;"pass",BY680&amp;"",BY680&amp;", "&amp;IF(AT680="Y",BX680&amp;"",BK680&amp;"")&amp;BZ680&amp;IF(R680="Y","; known to the founder (+10)","")&amp;"."))</f>
        <v/>
      </c>
      <c r="R680" s="5"/>
      <c r="T680" s="5"/>
      <c r="U680" s="5"/>
      <c r="Y680" s="0" t="str">
        <f aca="false">IF(FA680&lt;&gt;"Y","",COUNTIFS($FA$2:$FA$1000,"Y",$J$2:$J$1000,"&gt;"&amp;J680)+COUNTIFS($FA$2:$FA$1000,"Y",$J$2:$J$1000,J680,$FG$2:$FG$1000,"&lt;"&amp;FG680)+1)</f>
        <v/>
      </c>
      <c r="AB680" s="0" t="str">
        <f aca="false">IF($A680="","",IF(AT680="Y",BW680&amp;"",BJ680&amp;""))</f>
        <v/>
      </c>
      <c r="AC680" s="0" t="str">
        <f aca="false">IF($A680="","",IF(AT680="Y",BR680&amp;"",BE680&amp;""))</f>
        <v/>
      </c>
      <c r="AD680" s="0" t="str">
        <f aca="false">IF($A680="","",IF(AT680="Y",BS680&amp;"",BF680&amp;""))</f>
        <v/>
      </c>
      <c r="AE680" s="0" t="str">
        <f aca="false">IF($A680="","",IF(AT680="Y",BT680&amp;"",BG680&amp;""))</f>
        <v/>
      </c>
      <c r="AF680" s="0" t="str">
        <f aca="false">IF($A680="","",IF(AT680="Y",BU680&amp;"",BH680&amp;""))</f>
        <v/>
      </c>
      <c r="AG680" s="0" t="str">
        <f aca="false">IF($A680="","",IF(AT680="Y",BV680&amp;"",BI680&amp;""))</f>
        <v/>
      </c>
      <c r="AO680" s="5"/>
      <c r="AR680" s="0" t="str">
        <f aca="false">IF($A680="","",IF(AND(CK680="pass",AO680&lt;&gt;"Y",C680&lt;&gt;"",OR(AU680&lt;&gt;"Y",AV680="Y")),"Y","N"))</f>
        <v/>
      </c>
      <c r="AS680" s="0" t="str">
        <f aca="false">IF($A680="","",_xlfn.TEXTJOIN("; ",TRUE(),IF(CK680&lt;&gt;"pass","gated out",""),IF(AO680="Y","on hold: "&amp;AP680,""),IF(C680="","no contact named on an opened page",""),IF(AND(AU680="Y",AV680&lt;&gt;"Y"),"founder review pending (Founder review tab)","")))</f>
        <v/>
      </c>
      <c r="BC680" s="0" t="str">
        <f aca="false">IF($A680="","",IFERROR(INDEX(Enrichment!$A$2:$GZ$2000,MATCH($A680,INDEX(Enrichment!$A$2:$GZ$2000,0,MATCH("row_id",Enrichment!$A$1:$GZ$1,0)),0),MATCH("work_email",Enrichment!$A$1:$GZ$1,0))&amp;"",""))</f>
        <v/>
      </c>
      <c r="BD680" s="0" t="str">
        <f aca="false">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P680" s="0" t="str">
        <f aca="false">IF($A680="","",IFERROR(INDEX(Enrichment!$A$2:$GZ$2000,MATCH($A680,INDEX(Enrichment!$A$2:$GZ$2000,0,MATCH("row_id",Enrichment!$A$1:$GZ$1,0)),0),MATCH("backup_work_email",Enrichment!$A$1:$GZ$1,0))&amp;"",""))</f>
        <v/>
      </c>
      <c r="BQ680" s="0" t="str">
        <f aca="false">IF($A680="","",IF(BP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DU680" s="0" t="str">
        <f aca="false">IF($A680="","",IF(R680="Y",10,0))</f>
        <v/>
      </c>
      <c r="EV680" s="0" t="str">
        <f aca="false">IF($A680="","",IF(ISNUMBER(MATCH(U680,{"queued","contacted","replied","call_booked","call_done","yes_in_principle","materials_sent"},0)),"Y","N"))</f>
        <v/>
      </c>
      <c r="EW680" s="0" t="str">
        <f aca="false">IF($A680="","",IF(OR(T680="Y",U680="do_not_contact",AQ680&amp;""&lt;&gt;""),"Y","N"))</f>
        <v/>
      </c>
      <c r="EX680" s="0" t="str">
        <f aca="false">IF($A680="","",IF(AN680&amp;""&lt;&gt;"",AN680&amp;"",$A680))</f>
        <v/>
      </c>
      <c r="EY680" s="0" t="str">
        <f aca="false">IF($A680="","",IF(COUNTIFS($EX$2:$EX$1000,EX680,$EV$2:$EV$1000,"Y")+COUNTIFS($EX$2:$EX$1000,EX680,$EW$2:$EW$1000,"Y")&gt;0,"Y","N"))</f>
        <v/>
      </c>
      <c r="EZ680" s="0" t="str">
        <f aca="false">IF($A680="","",IF(AND(U680="new",T680="N",EW680="N",AR680="Y",EY680="N"),"Y","N"))</f>
        <v/>
      </c>
      <c r="FA680" s="0" t="str">
        <f aca="false">IF($A680="","",IF(EZ680&lt;&gt;"Y","N",IF(COUNTIFS($EX$2:$EX$1000,EX680,$EZ$2:$EZ$1000,"Y",$J$2:$J$1000,"&gt;"&amp;J680)+COUNTIFS($EX$2:$EX$1000,EX680,$EZ$2:$EZ$1000,"Y",$J$2:$J$1000,J680,$FG$2:$FG$1000,"&lt;"&amp;FG680)=0,"Y","N")))</f>
        <v/>
      </c>
      <c r="FB680" s="0" t="str">
        <f aca="false">IF($A680="","",IF(AND(EZ680="Y",FA680="Y",Y680&amp;""&lt;&gt;""),IF(Y680&lt;=10,"Y","N"),"N"))</f>
        <v/>
      </c>
      <c r="FC680" s="0" t="str">
        <f aca="false">IF(FB680="Y",Y680,"")</f>
        <v/>
      </c>
      <c r="FD680" s="0" t="str">
        <f aca="false">IF($A680="","",IF(AND(CK680="pass",AU680="Y",AV680&lt;&gt;"Y",U680="new",EW680="N"),"Y","N"))</f>
        <v/>
      </c>
      <c r="FE680" s="0" t="str">
        <f aca="false">IF(FD680&lt;&gt;"Y","",IF(COUNTIFS($FD$2:$FD$1000,"Y",$J$2:$J$1000,"&gt;"&amp;J680)+COUNTIFS($FD$2:$FD$1000,"Y",$J$2:$J$1000,J680,$FG$2:$FG$1000,"&lt;"&amp;FG680)+1&lt;=30,COUNTIFS($FD$2:$FD$1000,"Y",$J$2:$J$1000,"&gt;"&amp;J680)+COUNTIFS($FD$2:$FD$1000,"Y",$J$2:$J$1000,J680,$FG$2:$FG$1000,"&lt;"&amp;FG680)+1,""))</f>
        <v/>
      </c>
      <c r="FF680" s="0" t="str">
        <f aca="false">IF(AND(_xlfn.ISFORMULA(C680),_xlfn.ISFORMULA(J680)),"Y","N")</f>
        <v>Y</v>
      </c>
      <c r="FG680" s="0" t="n">
        <f aca="false">ROW()-1</f>
        <v>679</v>
      </c>
    </row>
    <row r="681" customFormat="false" ht="15" hidden="false" customHeight="false" outlineLevel="0" collapsed="false">
      <c r="C681" s="0" t="str">
        <f aca="false">IF($A681="","",IF(AT681="Y",BL681&amp;"",AY681&amp;""))</f>
        <v/>
      </c>
      <c r="D681" s="0" t="str">
        <f aca="false">IF($A681="","",IF(AT681="Y",BM681&amp;"",AZ681&amp;""))</f>
        <v/>
      </c>
      <c r="E681" s="0" t="str">
        <f aca="false">IF($A681="","",IF(AT681="Y",BN681&amp;"",BA681&amp;""))</f>
        <v/>
      </c>
      <c r="F681" s="0" t="str">
        <f aca="false">IF($A681="","",IF(AT681="Y",BO681&amp;"",BB681&amp;""))</f>
        <v/>
      </c>
      <c r="G681" s="0" t="str">
        <f aca="false">IF($A681="","",IF(AT681="Y",BP681&amp;"",BC681&amp;""))</f>
        <v/>
      </c>
      <c r="H681" s="0" t="str">
        <f aca="false">IF($A681="","",IF(AT681="Y",BQ681&amp;"",BD681&amp;""))</f>
        <v/>
      </c>
      <c r="I681" s="0" t="str">
        <f aca="false">IF($A681="","",IF(R681="Y","warm-intro",IF(H681="verified","email",IF(C681&lt;&gt;"","linkedin",CA681&amp;""))))</f>
        <v/>
      </c>
      <c r="J681" s="0" t="str">
        <f aca="false">IF($A681="","",IF(CK681="pass",ROUND(N(DO681)+N(DP681)+N(DQ681)+N(DR681)+N(DS681)+N(DT681)+N(DU681)+N(DV681),0),0))</f>
        <v/>
      </c>
      <c r="K681" s="0" t="str">
        <f aca="false">IF($A681="","",IF(CK681&lt;&gt;"pass",BY681&amp;"",BY681&amp;", "&amp;IF(AT681="Y",BX681&amp;"",BK681&amp;"")&amp;BZ681&amp;IF(R681="Y","; known to the founder (+10)","")&amp;"."))</f>
        <v/>
      </c>
      <c r="R681" s="5"/>
      <c r="T681" s="5"/>
      <c r="U681" s="5"/>
      <c r="Y681" s="0" t="str">
        <f aca="false">IF(FA681&lt;&gt;"Y","",COUNTIFS($FA$2:$FA$1000,"Y",$J$2:$J$1000,"&gt;"&amp;J681)+COUNTIFS($FA$2:$FA$1000,"Y",$J$2:$J$1000,J681,$FG$2:$FG$1000,"&lt;"&amp;FG681)+1)</f>
        <v/>
      </c>
      <c r="AB681" s="0" t="str">
        <f aca="false">IF($A681="","",IF(AT681="Y",BW681&amp;"",BJ681&amp;""))</f>
        <v/>
      </c>
      <c r="AC681" s="0" t="str">
        <f aca="false">IF($A681="","",IF(AT681="Y",BR681&amp;"",BE681&amp;""))</f>
        <v/>
      </c>
      <c r="AD681" s="0" t="str">
        <f aca="false">IF($A681="","",IF(AT681="Y",BS681&amp;"",BF681&amp;""))</f>
        <v/>
      </c>
      <c r="AE681" s="0" t="str">
        <f aca="false">IF($A681="","",IF(AT681="Y",BT681&amp;"",BG681&amp;""))</f>
        <v/>
      </c>
      <c r="AF681" s="0" t="str">
        <f aca="false">IF($A681="","",IF(AT681="Y",BU681&amp;"",BH681&amp;""))</f>
        <v/>
      </c>
      <c r="AG681" s="0" t="str">
        <f aca="false">IF($A681="","",IF(AT681="Y",BV681&amp;"",BI681&amp;""))</f>
        <v/>
      </c>
      <c r="AO681" s="5"/>
      <c r="AR681" s="0" t="str">
        <f aca="false">IF($A681="","",IF(AND(CK681="pass",AO681&lt;&gt;"Y",C681&lt;&gt;"",OR(AU681&lt;&gt;"Y",AV681="Y")),"Y","N"))</f>
        <v/>
      </c>
      <c r="AS681" s="0" t="str">
        <f aca="false">IF($A681="","",_xlfn.TEXTJOIN("; ",TRUE(),IF(CK681&lt;&gt;"pass","gated out",""),IF(AO681="Y","on hold: "&amp;AP681,""),IF(C681="","no contact named on an opened page",""),IF(AND(AU681="Y",AV681&lt;&gt;"Y"),"founder review pending (Founder review tab)","")))</f>
        <v/>
      </c>
      <c r="BC681" s="0" t="str">
        <f aca="false">IF($A681="","",IFERROR(INDEX(Enrichment!$A$2:$GZ$2000,MATCH($A681,INDEX(Enrichment!$A$2:$GZ$2000,0,MATCH("row_id",Enrichment!$A$1:$GZ$1,0)),0),MATCH("work_email",Enrichment!$A$1:$GZ$1,0))&amp;"",""))</f>
        <v/>
      </c>
      <c r="BD681" s="0" t="str">
        <f aca="false">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P681" s="0" t="str">
        <f aca="false">IF($A681="","",IFERROR(INDEX(Enrichment!$A$2:$GZ$2000,MATCH($A681,INDEX(Enrichment!$A$2:$GZ$2000,0,MATCH("row_id",Enrichment!$A$1:$GZ$1,0)),0),MATCH("backup_work_email",Enrichment!$A$1:$GZ$1,0))&amp;"",""))</f>
        <v/>
      </c>
      <c r="BQ681" s="0" t="str">
        <f aca="false">IF($A681="","",IF(BP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DU681" s="0" t="str">
        <f aca="false">IF($A681="","",IF(R681="Y",10,0))</f>
        <v/>
      </c>
      <c r="EV681" s="0" t="str">
        <f aca="false">IF($A681="","",IF(ISNUMBER(MATCH(U681,{"queued","contacted","replied","call_booked","call_done","yes_in_principle","materials_sent"},0)),"Y","N"))</f>
        <v/>
      </c>
      <c r="EW681" s="0" t="str">
        <f aca="false">IF($A681="","",IF(OR(T681="Y",U681="do_not_contact",AQ681&amp;""&lt;&gt;""),"Y","N"))</f>
        <v/>
      </c>
      <c r="EX681" s="0" t="str">
        <f aca="false">IF($A681="","",IF(AN681&amp;""&lt;&gt;"",AN681&amp;"",$A681))</f>
        <v/>
      </c>
      <c r="EY681" s="0" t="str">
        <f aca="false">IF($A681="","",IF(COUNTIFS($EX$2:$EX$1000,EX681,$EV$2:$EV$1000,"Y")+COUNTIFS($EX$2:$EX$1000,EX681,$EW$2:$EW$1000,"Y")&gt;0,"Y","N"))</f>
        <v/>
      </c>
      <c r="EZ681" s="0" t="str">
        <f aca="false">IF($A681="","",IF(AND(U681="new",T681="N",EW681="N",AR681="Y",EY681="N"),"Y","N"))</f>
        <v/>
      </c>
      <c r="FA681" s="0" t="str">
        <f aca="false">IF($A681="","",IF(EZ681&lt;&gt;"Y","N",IF(COUNTIFS($EX$2:$EX$1000,EX681,$EZ$2:$EZ$1000,"Y",$J$2:$J$1000,"&gt;"&amp;J681)+COUNTIFS($EX$2:$EX$1000,EX681,$EZ$2:$EZ$1000,"Y",$J$2:$J$1000,J681,$FG$2:$FG$1000,"&lt;"&amp;FG681)=0,"Y","N")))</f>
        <v/>
      </c>
      <c r="FB681" s="0" t="str">
        <f aca="false">IF($A681="","",IF(AND(EZ681="Y",FA681="Y",Y681&amp;""&lt;&gt;""),IF(Y681&lt;=10,"Y","N"),"N"))</f>
        <v/>
      </c>
      <c r="FC681" s="0" t="str">
        <f aca="false">IF(FB681="Y",Y681,"")</f>
        <v/>
      </c>
      <c r="FD681" s="0" t="str">
        <f aca="false">IF($A681="","",IF(AND(CK681="pass",AU681="Y",AV681&lt;&gt;"Y",U681="new",EW681="N"),"Y","N"))</f>
        <v/>
      </c>
      <c r="FE681" s="0" t="str">
        <f aca="false">IF(FD681&lt;&gt;"Y","",IF(COUNTIFS($FD$2:$FD$1000,"Y",$J$2:$J$1000,"&gt;"&amp;J681)+COUNTIFS($FD$2:$FD$1000,"Y",$J$2:$J$1000,J681,$FG$2:$FG$1000,"&lt;"&amp;FG681)+1&lt;=30,COUNTIFS($FD$2:$FD$1000,"Y",$J$2:$J$1000,"&gt;"&amp;J681)+COUNTIFS($FD$2:$FD$1000,"Y",$J$2:$J$1000,J681,$FG$2:$FG$1000,"&lt;"&amp;FG681)+1,""))</f>
        <v/>
      </c>
      <c r="FF681" s="0" t="str">
        <f aca="false">IF(AND(_xlfn.ISFORMULA(C681),_xlfn.ISFORMULA(J681)),"Y","N")</f>
        <v>Y</v>
      </c>
      <c r="FG681" s="0" t="n">
        <f aca="false">ROW()-1</f>
        <v>680</v>
      </c>
    </row>
    <row r="682" customFormat="false" ht="15" hidden="false" customHeight="false" outlineLevel="0" collapsed="false">
      <c r="C682" s="0" t="str">
        <f aca="false">IF($A682="","",IF(AT682="Y",BL682&amp;"",AY682&amp;""))</f>
        <v/>
      </c>
      <c r="D682" s="0" t="str">
        <f aca="false">IF($A682="","",IF(AT682="Y",BM682&amp;"",AZ682&amp;""))</f>
        <v/>
      </c>
      <c r="E682" s="0" t="str">
        <f aca="false">IF($A682="","",IF(AT682="Y",BN682&amp;"",BA682&amp;""))</f>
        <v/>
      </c>
      <c r="F682" s="0" t="str">
        <f aca="false">IF($A682="","",IF(AT682="Y",BO682&amp;"",BB682&amp;""))</f>
        <v/>
      </c>
      <c r="G682" s="0" t="str">
        <f aca="false">IF($A682="","",IF(AT682="Y",BP682&amp;"",BC682&amp;""))</f>
        <v/>
      </c>
      <c r="H682" s="0" t="str">
        <f aca="false">IF($A682="","",IF(AT682="Y",BQ682&amp;"",BD682&amp;""))</f>
        <v/>
      </c>
      <c r="I682" s="0" t="str">
        <f aca="false">IF($A682="","",IF(R682="Y","warm-intro",IF(H682="verified","email",IF(C682&lt;&gt;"","linkedin",CA682&amp;""))))</f>
        <v/>
      </c>
      <c r="J682" s="0" t="str">
        <f aca="false">IF($A682="","",IF(CK682="pass",ROUND(N(DO682)+N(DP682)+N(DQ682)+N(DR682)+N(DS682)+N(DT682)+N(DU682)+N(DV682),0),0))</f>
        <v/>
      </c>
      <c r="K682" s="0" t="str">
        <f aca="false">IF($A682="","",IF(CK682&lt;&gt;"pass",BY682&amp;"",BY682&amp;", "&amp;IF(AT682="Y",BX682&amp;"",BK682&amp;"")&amp;BZ682&amp;IF(R682="Y","; known to the founder (+10)","")&amp;"."))</f>
        <v/>
      </c>
      <c r="R682" s="5"/>
      <c r="T682" s="5"/>
      <c r="U682" s="5"/>
      <c r="Y682" s="0" t="str">
        <f aca="false">IF(FA682&lt;&gt;"Y","",COUNTIFS($FA$2:$FA$1000,"Y",$J$2:$J$1000,"&gt;"&amp;J682)+COUNTIFS($FA$2:$FA$1000,"Y",$J$2:$J$1000,J682,$FG$2:$FG$1000,"&lt;"&amp;FG682)+1)</f>
        <v/>
      </c>
      <c r="AB682" s="0" t="str">
        <f aca="false">IF($A682="","",IF(AT682="Y",BW682&amp;"",BJ682&amp;""))</f>
        <v/>
      </c>
      <c r="AC682" s="0" t="str">
        <f aca="false">IF($A682="","",IF(AT682="Y",BR682&amp;"",BE682&amp;""))</f>
        <v/>
      </c>
      <c r="AD682" s="0" t="str">
        <f aca="false">IF($A682="","",IF(AT682="Y",BS682&amp;"",BF682&amp;""))</f>
        <v/>
      </c>
      <c r="AE682" s="0" t="str">
        <f aca="false">IF($A682="","",IF(AT682="Y",BT682&amp;"",BG682&amp;""))</f>
        <v/>
      </c>
      <c r="AF682" s="0" t="str">
        <f aca="false">IF($A682="","",IF(AT682="Y",BU682&amp;"",BH682&amp;""))</f>
        <v/>
      </c>
      <c r="AG682" s="0" t="str">
        <f aca="false">IF($A682="","",IF(AT682="Y",BV682&amp;"",BI682&amp;""))</f>
        <v/>
      </c>
      <c r="AO682" s="5"/>
      <c r="AR682" s="0" t="str">
        <f aca="false">IF($A682="","",IF(AND(CK682="pass",AO682&lt;&gt;"Y",C682&lt;&gt;"",OR(AU682&lt;&gt;"Y",AV682="Y")),"Y","N"))</f>
        <v/>
      </c>
      <c r="AS682" s="0" t="str">
        <f aca="false">IF($A682="","",_xlfn.TEXTJOIN("; ",TRUE(),IF(CK682&lt;&gt;"pass","gated out",""),IF(AO682="Y","on hold: "&amp;AP682,""),IF(C682="","no contact named on an opened page",""),IF(AND(AU682="Y",AV682&lt;&gt;"Y"),"founder review pending (Founder review tab)","")))</f>
        <v/>
      </c>
      <c r="BC682" s="0" t="str">
        <f aca="false">IF($A682="","",IFERROR(INDEX(Enrichment!$A$2:$GZ$2000,MATCH($A682,INDEX(Enrichment!$A$2:$GZ$2000,0,MATCH("row_id",Enrichment!$A$1:$GZ$1,0)),0),MATCH("work_email",Enrichment!$A$1:$GZ$1,0))&amp;"",""))</f>
        <v/>
      </c>
      <c r="BD682" s="0" t="str">
        <f aca="false">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P682" s="0" t="str">
        <f aca="false">IF($A682="","",IFERROR(INDEX(Enrichment!$A$2:$GZ$2000,MATCH($A682,INDEX(Enrichment!$A$2:$GZ$2000,0,MATCH("row_id",Enrichment!$A$1:$GZ$1,0)),0),MATCH("backup_work_email",Enrichment!$A$1:$GZ$1,0))&amp;"",""))</f>
        <v/>
      </c>
      <c r="BQ682" s="0" t="str">
        <f aca="false">IF($A682="","",IF(BP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DU682" s="0" t="str">
        <f aca="false">IF($A682="","",IF(R682="Y",10,0))</f>
        <v/>
      </c>
      <c r="EV682" s="0" t="str">
        <f aca="false">IF($A682="","",IF(ISNUMBER(MATCH(U682,{"queued","contacted","replied","call_booked","call_done","yes_in_principle","materials_sent"},0)),"Y","N"))</f>
        <v/>
      </c>
      <c r="EW682" s="0" t="str">
        <f aca="false">IF($A682="","",IF(OR(T682="Y",U682="do_not_contact",AQ682&amp;""&lt;&gt;""),"Y","N"))</f>
        <v/>
      </c>
      <c r="EX682" s="0" t="str">
        <f aca="false">IF($A682="","",IF(AN682&amp;""&lt;&gt;"",AN682&amp;"",$A682))</f>
        <v/>
      </c>
      <c r="EY682" s="0" t="str">
        <f aca="false">IF($A682="","",IF(COUNTIFS($EX$2:$EX$1000,EX682,$EV$2:$EV$1000,"Y")+COUNTIFS($EX$2:$EX$1000,EX682,$EW$2:$EW$1000,"Y")&gt;0,"Y","N"))</f>
        <v/>
      </c>
      <c r="EZ682" s="0" t="str">
        <f aca="false">IF($A682="","",IF(AND(U682="new",T682="N",EW682="N",AR682="Y",EY682="N"),"Y","N"))</f>
        <v/>
      </c>
      <c r="FA682" s="0" t="str">
        <f aca="false">IF($A682="","",IF(EZ682&lt;&gt;"Y","N",IF(COUNTIFS($EX$2:$EX$1000,EX682,$EZ$2:$EZ$1000,"Y",$J$2:$J$1000,"&gt;"&amp;J682)+COUNTIFS($EX$2:$EX$1000,EX682,$EZ$2:$EZ$1000,"Y",$J$2:$J$1000,J682,$FG$2:$FG$1000,"&lt;"&amp;FG682)=0,"Y","N")))</f>
        <v/>
      </c>
      <c r="FB682" s="0" t="str">
        <f aca="false">IF($A682="","",IF(AND(EZ682="Y",FA682="Y",Y682&amp;""&lt;&gt;""),IF(Y682&lt;=10,"Y","N"),"N"))</f>
        <v/>
      </c>
      <c r="FC682" s="0" t="str">
        <f aca="false">IF(FB682="Y",Y682,"")</f>
        <v/>
      </c>
      <c r="FD682" s="0" t="str">
        <f aca="false">IF($A682="","",IF(AND(CK682="pass",AU682="Y",AV682&lt;&gt;"Y",U682="new",EW682="N"),"Y","N"))</f>
        <v/>
      </c>
      <c r="FE682" s="0" t="str">
        <f aca="false">IF(FD682&lt;&gt;"Y","",IF(COUNTIFS($FD$2:$FD$1000,"Y",$J$2:$J$1000,"&gt;"&amp;J682)+COUNTIFS($FD$2:$FD$1000,"Y",$J$2:$J$1000,J682,$FG$2:$FG$1000,"&lt;"&amp;FG682)+1&lt;=30,COUNTIFS($FD$2:$FD$1000,"Y",$J$2:$J$1000,"&gt;"&amp;J682)+COUNTIFS($FD$2:$FD$1000,"Y",$J$2:$J$1000,J682,$FG$2:$FG$1000,"&lt;"&amp;FG682)+1,""))</f>
        <v/>
      </c>
      <c r="FF682" s="0" t="str">
        <f aca="false">IF(AND(_xlfn.ISFORMULA(C682),_xlfn.ISFORMULA(J682)),"Y","N")</f>
        <v>Y</v>
      </c>
      <c r="FG682" s="0" t="n">
        <f aca="false">ROW()-1</f>
        <v>681</v>
      </c>
    </row>
    <row r="683" customFormat="false" ht="15" hidden="false" customHeight="false" outlineLevel="0" collapsed="false">
      <c r="C683" s="0" t="str">
        <f aca="false">IF($A683="","",IF(AT683="Y",BL683&amp;"",AY683&amp;""))</f>
        <v/>
      </c>
      <c r="D683" s="0" t="str">
        <f aca="false">IF($A683="","",IF(AT683="Y",BM683&amp;"",AZ683&amp;""))</f>
        <v/>
      </c>
      <c r="E683" s="0" t="str">
        <f aca="false">IF($A683="","",IF(AT683="Y",BN683&amp;"",BA683&amp;""))</f>
        <v/>
      </c>
      <c r="F683" s="0" t="str">
        <f aca="false">IF($A683="","",IF(AT683="Y",BO683&amp;"",BB683&amp;""))</f>
        <v/>
      </c>
      <c r="G683" s="0" t="str">
        <f aca="false">IF($A683="","",IF(AT683="Y",BP683&amp;"",BC683&amp;""))</f>
        <v/>
      </c>
      <c r="H683" s="0" t="str">
        <f aca="false">IF($A683="","",IF(AT683="Y",BQ683&amp;"",BD683&amp;""))</f>
        <v/>
      </c>
      <c r="I683" s="0" t="str">
        <f aca="false">IF($A683="","",IF(R683="Y","warm-intro",IF(H683="verified","email",IF(C683&lt;&gt;"","linkedin",CA683&amp;""))))</f>
        <v/>
      </c>
      <c r="J683" s="0" t="str">
        <f aca="false">IF($A683="","",IF(CK683="pass",ROUND(N(DO683)+N(DP683)+N(DQ683)+N(DR683)+N(DS683)+N(DT683)+N(DU683)+N(DV683),0),0))</f>
        <v/>
      </c>
      <c r="K683" s="0" t="str">
        <f aca="false">IF($A683="","",IF(CK683&lt;&gt;"pass",BY683&amp;"",BY683&amp;", "&amp;IF(AT683="Y",BX683&amp;"",BK683&amp;"")&amp;BZ683&amp;IF(R683="Y","; known to the founder (+10)","")&amp;"."))</f>
        <v/>
      </c>
      <c r="R683" s="5"/>
      <c r="T683" s="5"/>
      <c r="U683" s="5"/>
      <c r="Y683" s="0" t="str">
        <f aca="false">IF(FA683&lt;&gt;"Y","",COUNTIFS($FA$2:$FA$1000,"Y",$J$2:$J$1000,"&gt;"&amp;J683)+COUNTIFS($FA$2:$FA$1000,"Y",$J$2:$J$1000,J683,$FG$2:$FG$1000,"&lt;"&amp;FG683)+1)</f>
        <v/>
      </c>
      <c r="AB683" s="0" t="str">
        <f aca="false">IF($A683="","",IF(AT683="Y",BW683&amp;"",BJ683&amp;""))</f>
        <v/>
      </c>
      <c r="AC683" s="0" t="str">
        <f aca="false">IF($A683="","",IF(AT683="Y",BR683&amp;"",BE683&amp;""))</f>
        <v/>
      </c>
      <c r="AD683" s="0" t="str">
        <f aca="false">IF($A683="","",IF(AT683="Y",BS683&amp;"",BF683&amp;""))</f>
        <v/>
      </c>
      <c r="AE683" s="0" t="str">
        <f aca="false">IF($A683="","",IF(AT683="Y",BT683&amp;"",BG683&amp;""))</f>
        <v/>
      </c>
      <c r="AF683" s="0" t="str">
        <f aca="false">IF($A683="","",IF(AT683="Y",BU683&amp;"",BH683&amp;""))</f>
        <v/>
      </c>
      <c r="AG683" s="0" t="str">
        <f aca="false">IF($A683="","",IF(AT683="Y",BV683&amp;"",BI683&amp;""))</f>
        <v/>
      </c>
      <c r="AO683" s="5"/>
      <c r="AR683" s="0" t="str">
        <f aca="false">IF($A683="","",IF(AND(CK683="pass",AO683&lt;&gt;"Y",C683&lt;&gt;"",OR(AU683&lt;&gt;"Y",AV683="Y")),"Y","N"))</f>
        <v/>
      </c>
      <c r="AS683" s="0" t="str">
        <f aca="false">IF($A683="","",_xlfn.TEXTJOIN("; ",TRUE(),IF(CK683&lt;&gt;"pass","gated out",""),IF(AO683="Y","on hold: "&amp;AP683,""),IF(C683="","no contact named on an opened page",""),IF(AND(AU683="Y",AV683&lt;&gt;"Y"),"founder review pending (Founder review tab)","")))</f>
        <v/>
      </c>
      <c r="BC683" s="0" t="str">
        <f aca="false">IF($A683="","",IFERROR(INDEX(Enrichment!$A$2:$GZ$2000,MATCH($A683,INDEX(Enrichment!$A$2:$GZ$2000,0,MATCH("row_id",Enrichment!$A$1:$GZ$1,0)),0),MATCH("work_email",Enrichment!$A$1:$GZ$1,0))&amp;"",""))</f>
        <v/>
      </c>
      <c r="BD683" s="0" t="str">
        <f aca="false">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P683" s="0" t="str">
        <f aca="false">IF($A683="","",IFERROR(INDEX(Enrichment!$A$2:$GZ$2000,MATCH($A683,INDEX(Enrichment!$A$2:$GZ$2000,0,MATCH("row_id",Enrichment!$A$1:$GZ$1,0)),0),MATCH("backup_work_email",Enrichment!$A$1:$GZ$1,0))&amp;"",""))</f>
        <v/>
      </c>
      <c r="BQ683" s="0" t="str">
        <f aca="false">IF($A683="","",IF(BP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DU683" s="0" t="str">
        <f aca="false">IF($A683="","",IF(R683="Y",10,0))</f>
        <v/>
      </c>
      <c r="EV683" s="0" t="str">
        <f aca="false">IF($A683="","",IF(ISNUMBER(MATCH(U683,{"queued","contacted","replied","call_booked","call_done","yes_in_principle","materials_sent"},0)),"Y","N"))</f>
        <v/>
      </c>
      <c r="EW683" s="0" t="str">
        <f aca="false">IF($A683="","",IF(OR(T683="Y",U683="do_not_contact",AQ683&amp;""&lt;&gt;""),"Y","N"))</f>
        <v/>
      </c>
      <c r="EX683" s="0" t="str">
        <f aca="false">IF($A683="","",IF(AN683&amp;""&lt;&gt;"",AN683&amp;"",$A683))</f>
        <v/>
      </c>
      <c r="EY683" s="0" t="str">
        <f aca="false">IF($A683="","",IF(COUNTIFS($EX$2:$EX$1000,EX683,$EV$2:$EV$1000,"Y")+COUNTIFS($EX$2:$EX$1000,EX683,$EW$2:$EW$1000,"Y")&gt;0,"Y","N"))</f>
        <v/>
      </c>
      <c r="EZ683" s="0" t="str">
        <f aca="false">IF($A683="","",IF(AND(U683="new",T683="N",EW683="N",AR683="Y",EY683="N"),"Y","N"))</f>
        <v/>
      </c>
      <c r="FA683" s="0" t="str">
        <f aca="false">IF($A683="","",IF(EZ683&lt;&gt;"Y","N",IF(COUNTIFS($EX$2:$EX$1000,EX683,$EZ$2:$EZ$1000,"Y",$J$2:$J$1000,"&gt;"&amp;J683)+COUNTIFS($EX$2:$EX$1000,EX683,$EZ$2:$EZ$1000,"Y",$J$2:$J$1000,J683,$FG$2:$FG$1000,"&lt;"&amp;FG683)=0,"Y","N")))</f>
        <v/>
      </c>
      <c r="FB683" s="0" t="str">
        <f aca="false">IF($A683="","",IF(AND(EZ683="Y",FA683="Y",Y683&amp;""&lt;&gt;""),IF(Y683&lt;=10,"Y","N"),"N"))</f>
        <v/>
      </c>
      <c r="FC683" s="0" t="str">
        <f aca="false">IF(FB683="Y",Y683,"")</f>
        <v/>
      </c>
      <c r="FD683" s="0" t="str">
        <f aca="false">IF($A683="","",IF(AND(CK683="pass",AU683="Y",AV683&lt;&gt;"Y",U683="new",EW683="N"),"Y","N"))</f>
        <v/>
      </c>
      <c r="FE683" s="0" t="str">
        <f aca="false">IF(FD683&lt;&gt;"Y","",IF(COUNTIFS($FD$2:$FD$1000,"Y",$J$2:$J$1000,"&gt;"&amp;J683)+COUNTIFS($FD$2:$FD$1000,"Y",$J$2:$J$1000,J683,$FG$2:$FG$1000,"&lt;"&amp;FG683)+1&lt;=30,COUNTIFS($FD$2:$FD$1000,"Y",$J$2:$J$1000,"&gt;"&amp;J683)+COUNTIFS($FD$2:$FD$1000,"Y",$J$2:$J$1000,J683,$FG$2:$FG$1000,"&lt;"&amp;FG683)+1,""))</f>
        <v/>
      </c>
      <c r="FF683" s="0" t="str">
        <f aca="false">IF(AND(_xlfn.ISFORMULA(C683),_xlfn.ISFORMULA(J683)),"Y","N")</f>
        <v>Y</v>
      </c>
      <c r="FG683" s="0" t="n">
        <f aca="false">ROW()-1</f>
        <v>682</v>
      </c>
    </row>
    <row r="684" customFormat="false" ht="15" hidden="false" customHeight="false" outlineLevel="0" collapsed="false">
      <c r="C684" s="0" t="str">
        <f aca="false">IF($A684="","",IF(AT684="Y",BL684&amp;"",AY684&amp;""))</f>
        <v/>
      </c>
      <c r="D684" s="0" t="str">
        <f aca="false">IF($A684="","",IF(AT684="Y",BM684&amp;"",AZ684&amp;""))</f>
        <v/>
      </c>
      <c r="E684" s="0" t="str">
        <f aca="false">IF($A684="","",IF(AT684="Y",BN684&amp;"",BA684&amp;""))</f>
        <v/>
      </c>
      <c r="F684" s="0" t="str">
        <f aca="false">IF($A684="","",IF(AT684="Y",BO684&amp;"",BB684&amp;""))</f>
        <v/>
      </c>
      <c r="G684" s="0" t="str">
        <f aca="false">IF($A684="","",IF(AT684="Y",BP684&amp;"",BC684&amp;""))</f>
        <v/>
      </c>
      <c r="H684" s="0" t="str">
        <f aca="false">IF($A684="","",IF(AT684="Y",BQ684&amp;"",BD684&amp;""))</f>
        <v/>
      </c>
      <c r="I684" s="0" t="str">
        <f aca="false">IF($A684="","",IF(R684="Y","warm-intro",IF(H684="verified","email",IF(C684&lt;&gt;"","linkedin",CA684&amp;""))))</f>
        <v/>
      </c>
      <c r="J684" s="0" t="str">
        <f aca="false">IF($A684="","",IF(CK684="pass",ROUND(N(DO684)+N(DP684)+N(DQ684)+N(DR684)+N(DS684)+N(DT684)+N(DU684)+N(DV684),0),0))</f>
        <v/>
      </c>
      <c r="K684" s="0" t="str">
        <f aca="false">IF($A684="","",IF(CK684&lt;&gt;"pass",BY684&amp;"",BY684&amp;", "&amp;IF(AT684="Y",BX684&amp;"",BK684&amp;"")&amp;BZ684&amp;IF(R684="Y","; known to the founder (+10)","")&amp;"."))</f>
        <v/>
      </c>
      <c r="R684" s="5"/>
      <c r="T684" s="5"/>
      <c r="U684" s="5"/>
      <c r="Y684" s="0" t="str">
        <f aca="false">IF(FA684&lt;&gt;"Y","",COUNTIFS($FA$2:$FA$1000,"Y",$J$2:$J$1000,"&gt;"&amp;J684)+COUNTIFS($FA$2:$FA$1000,"Y",$J$2:$J$1000,J684,$FG$2:$FG$1000,"&lt;"&amp;FG684)+1)</f>
        <v/>
      </c>
      <c r="AB684" s="0" t="str">
        <f aca="false">IF($A684="","",IF(AT684="Y",BW684&amp;"",BJ684&amp;""))</f>
        <v/>
      </c>
      <c r="AC684" s="0" t="str">
        <f aca="false">IF($A684="","",IF(AT684="Y",BR684&amp;"",BE684&amp;""))</f>
        <v/>
      </c>
      <c r="AD684" s="0" t="str">
        <f aca="false">IF($A684="","",IF(AT684="Y",BS684&amp;"",BF684&amp;""))</f>
        <v/>
      </c>
      <c r="AE684" s="0" t="str">
        <f aca="false">IF($A684="","",IF(AT684="Y",BT684&amp;"",BG684&amp;""))</f>
        <v/>
      </c>
      <c r="AF684" s="0" t="str">
        <f aca="false">IF($A684="","",IF(AT684="Y",BU684&amp;"",BH684&amp;""))</f>
        <v/>
      </c>
      <c r="AG684" s="0" t="str">
        <f aca="false">IF($A684="","",IF(AT684="Y",BV684&amp;"",BI684&amp;""))</f>
        <v/>
      </c>
      <c r="AO684" s="5"/>
      <c r="AR684" s="0" t="str">
        <f aca="false">IF($A684="","",IF(AND(CK684="pass",AO684&lt;&gt;"Y",C684&lt;&gt;"",OR(AU684&lt;&gt;"Y",AV684="Y")),"Y","N"))</f>
        <v/>
      </c>
      <c r="AS684" s="0" t="str">
        <f aca="false">IF($A684="","",_xlfn.TEXTJOIN("; ",TRUE(),IF(CK684&lt;&gt;"pass","gated out",""),IF(AO684="Y","on hold: "&amp;AP684,""),IF(C684="","no contact named on an opened page",""),IF(AND(AU684="Y",AV684&lt;&gt;"Y"),"founder review pending (Founder review tab)","")))</f>
        <v/>
      </c>
      <c r="BC684" s="0" t="str">
        <f aca="false">IF($A684="","",IFERROR(INDEX(Enrichment!$A$2:$GZ$2000,MATCH($A684,INDEX(Enrichment!$A$2:$GZ$2000,0,MATCH("row_id",Enrichment!$A$1:$GZ$1,0)),0),MATCH("work_email",Enrichment!$A$1:$GZ$1,0))&amp;"",""))</f>
        <v/>
      </c>
      <c r="BD684" s="0" t="str">
        <f aca="false">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P684" s="0" t="str">
        <f aca="false">IF($A684="","",IFERROR(INDEX(Enrichment!$A$2:$GZ$2000,MATCH($A684,INDEX(Enrichment!$A$2:$GZ$2000,0,MATCH("row_id",Enrichment!$A$1:$GZ$1,0)),0),MATCH("backup_work_email",Enrichment!$A$1:$GZ$1,0))&amp;"",""))</f>
        <v/>
      </c>
      <c r="BQ684" s="0" t="str">
        <f aca="false">IF($A684="","",IF(BP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DU684" s="0" t="str">
        <f aca="false">IF($A684="","",IF(R684="Y",10,0))</f>
        <v/>
      </c>
      <c r="EV684" s="0" t="str">
        <f aca="false">IF($A684="","",IF(ISNUMBER(MATCH(U684,{"queued","contacted","replied","call_booked","call_done","yes_in_principle","materials_sent"},0)),"Y","N"))</f>
        <v/>
      </c>
      <c r="EW684" s="0" t="str">
        <f aca="false">IF($A684="","",IF(OR(T684="Y",U684="do_not_contact",AQ684&amp;""&lt;&gt;""),"Y","N"))</f>
        <v/>
      </c>
      <c r="EX684" s="0" t="str">
        <f aca="false">IF($A684="","",IF(AN684&amp;""&lt;&gt;"",AN684&amp;"",$A684))</f>
        <v/>
      </c>
      <c r="EY684" s="0" t="str">
        <f aca="false">IF($A684="","",IF(COUNTIFS($EX$2:$EX$1000,EX684,$EV$2:$EV$1000,"Y")+COUNTIFS($EX$2:$EX$1000,EX684,$EW$2:$EW$1000,"Y")&gt;0,"Y","N"))</f>
        <v/>
      </c>
      <c r="EZ684" s="0" t="str">
        <f aca="false">IF($A684="","",IF(AND(U684="new",T684="N",EW684="N",AR684="Y",EY684="N"),"Y","N"))</f>
        <v/>
      </c>
      <c r="FA684" s="0" t="str">
        <f aca="false">IF($A684="","",IF(EZ684&lt;&gt;"Y","N",IF(COUNTIFS($EX$2:$EX$1000,EX684,$EZ$2:$EZ$1000,"Y",$J$2:$J$1000,"&gt;"&amp;J684)+COUNTIFS($EX$2:$EX$1000,EX684,$EZ$2:$EZ$1000,"Y",$J$2:$J$1000,J684,$FG$2:$FG$1000,"&lt;"&amp;FG684)=0,"Y","N")))</f>
        <v/>
      </c>
      <c r="FB684" s="0" t="str">
        <f aca="false">IF($A684="","",IF(AND(EZ684="Y",FA684="Y",Y684&amp;""&lt;&gt;""),IF(Y684&lt;=10,"Y","N"),"N"))</f>
        <v/>
      </c>
      <c r="FC684" s="0" t="str">
        <f aca="false">IF(FB684="Y",Y684,"")</f>
        <v/>
      </c>
      <c r="FD684" s="0" t="str">
        <f aca="false">IF($A684="","",IF(AND(CK684="pass",AU684="Y",AV684&lt;&gt;"Y",U684="new",EW684="N"),"Y","N"))</f>
        <v/>
      </c>
      <c r="FE684" s="0" t="str">
        <f aca="false">IF(FD684&lt;&gt;"Y","",IF(COUNTIFS($FD$2:$FD$1000,"Y",$J$2:$J$1000,"&gt;"&amp;J684)+COUNTIFS($FD$2:$FD$1000,"Y",$J$2:$J$1000,J684,$FG$2:$FG$1000,"&lt;"&amp;FG684)+1&lt;=30,COUNTIFS($FD$2:$FD$1000,"Y",$J$2:$J$1000,"&gt;"&amp;J684)+COUNTIFS($FD$2:$FD$1000,"Y",$J$2:$J$1000,J684,$FG$2:$FG$1000,"&lt;"&amp;FG684)+1,""))</f>
        <v/>
      </c>
      <c r="FF684" s="0" t="str">
        <f aca="false">IF(AND(_xlfn.ISFORMULA(C684),_xlfn.ISFORMULA(J684)),"Y","N")</f>
        <v>Y</v>
      </c>
      <c r="FG684" s="0" t="n">
        <f aca="false">ROW()-1</f>
        <v>683</v>
      </c>
    </row>
    <row r="685" customFormat="false" ht="15" hidden="false" customHeight="false" outlineLevel="0" collapsed="false">
      <c r="C685" s="0" t="str">
        <f aca="false">IF($A685="","",IF(AT685="Y",BL685&amp;"",AY685&amp;""))</f>
        <v/>
      </c>
      <c r="D685" s="0" t="str">
        <f aca="false">IF($A685="","",IF(AT685="Y",BM685&amp;"",AZ685&amp;""))</f>
        <v/>
      </c>
      <c r="E685" s="0" t="str">
        <f aca="false">IF($A685="","",IF(AT685="Y",BN685&amp;"",BA685&amp;""))</f>
        <v/>
      </c>
      <c r="F685" s="0" t="str">
        <f aca="false">IF($A685="","",IF(AT685="Y",BO685&amp;"",BB685&amp;""))</f>
        <v/>
      </c>
      <c r="G685" s="0" t="str">
        <f aca="false">IF($A685="","",IF(AT685="Y",BP685&amp;"",BC685&amp;""))</f>
        <v/>
      </c>
      <c r="H685" s="0" t="str">
        <f aca="false">IF($A685="","",IF(AT685="Y",BQ685&amp;"",BD685&amp;""))</f>
        <v/>
      </c>
      <c r="I685" s="0" t="str">
        <f aca="false">IF($A685="","",IF(R685="Y","warm-intro",IF(H685="verified","email",IF(C685&lt;&gt;"","linkedin",CA685&amp;""))))</f>
        <v/>
      </c>
      <c r="J685" s="0" t="str">
        <f aca="false">IF($A685="","",IF(CK685="pass",ROUND(N(DO685)+N(DP685)+N(DQ685)+N(DR685)+N(DS685)+N(DT685)+N(DU685)+N(DV685),0),0))</f>
        <v/>
      </c>
      <c r="K685" s="0" t="str">
        <f aca="false">IF($A685="","",IF(CK685&lt;&gt;"pass",BY685&amp;"",BY685&amp;", "&amp;IF(AT685="Y",BX685&amp;"",BK685&amp;"")&amp;BZ685&amp;IF(R685="Y","; known to the founder (+10)","")&amp;"."))</f>
        <v/>
      </c>
      <c r="R685" s="5"/>
      <c r="T685" s="5"/>
      <c r="U685" s="5"/>
      <c r="Y685" s="0" t="str">
        <f aca="false">IF(FA685&lt;&gt;"Y","",COUNTIFS($FA$2:$FA$1000,"Y",$J$2:$J$1000,"&gt;"&amp;J685)+COUNTIFS($FA$2:$FA$1000,"Y",$J$2:$J$1000,J685,$FG$2:$FG$1000,"&lt;"&amp;FG685)+1)</f>
        <v/>
      </c>
      <c r="AB685" s="0" t="str">
        <f aca="false">IF($A685="","",IF(AT685="Y",BW685&amp;"",BJ685&amp;""))</f>
        <v/>
      </c>
      <c r="AC685" s="0" t="str">
        <f aca="false">IF($A685="","",IF(AT685="Y",BR685&amp;"",BE685&amp;""))</f>
        <v/>
      </c>
      <c r="AD685" s="0" t="str">
        <f aca="false">IF($A685="","",IF(AT685="Y",BS685&amp;"",BF685&amp;""))</f>
        <v/>
      </c>
      <c r="AE685" s="0" t="str">
        <f aca="false">IF($A685="","",IF(AT685="Y",BT685&amp;"",BG685&amp;""))</f>
        <v/>
      </c>
      <c r="AF685" s="0" t="str">
        <f aca="false">IF($A685="","",IF(AT685="Y",BU685&amp;"",BH685&amp;""))</f>
        <v/>
      </c>
      <c r="AG685" s="0" t="str">
        <f aca="false">IF($A685="","",IF(AT685="Y",BV685&amp;"",BI685&amp;""))</f>
        <v/>
      </c>
      <c r="AO685" s="5"/>
      <c r="AR685" s="0" t="str">
        <f aca="false">IF($A685="","",IF(AND(CK685="pass",AO685&lt;&gt;"Y",C685&lt;&gt;"",OR(AU685&lt;&gt;"Y",AV685="Y")),"Y","N"))</f>
        <v/>
      </c>
      <c r="AS685" s="0" t="str">
        <f aca="false">IF($A685="","",_xlfn.TEXTJOIN("; ",TRUE(),IF(CK685&lt;&gt;"pass","gated out",""),IF(AO685="Y","on hold: "&amp;AP685,""),IF(C685="","no contact named on an opened page",""),IF(AND(AU685="Y",AV685&lt;&gt;"Y"),"founder review pending (Founder review tab)","")))</f>
        <v/>
      </c>
      <c r="BC685" s="0" t="str">
        <f aca="false">IF($A685="","",IFERROR(INDEX(Enrichment!$A$2:$GZ$2000,MATCH($A685,INDEX(Enrichment!$A$2:$GZ$2000,0,MATCH("row_id",Enrichment!$A$1:$GZ$1,0)),0),MATCH("work_email",Enrichment!$A$1:$GZ$1,0))&amp;"",""))</f>
        <v/>
      </c>
      <c r="BD685" s="0" t="str">
        <f aca="false">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P685" s="0" t="str">
        <f aca="false">IF($A685="","",IFERROR(INDEX(Enrichment!$A$2:$GZ$2000,MATCH($A685,INDEX(Enrichment!$A$2:$GZ$2000,0,MATCH("row_id",Enrichment!$A$1:$GZ$1,0)),0),MATCH("backup_work_email",Enrichment!$A$1:$GZ$1,0))&amp;"",""))</f>
        <v/>
      </c>
      <c r="BQ685" s="0" t="str">
        <f aca="false">IF($A685="","",IF(BP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DU685" s="0" t="str">
        <f aca="false">IF($A685="","",IF(R685="Y",10,0))</f>
        <v/>
      </c>
      <c r="EV685" s="0" t="str">
        <f aca="false">IF($A685="","",IF(ISNUMBER(MATCH(U685,{"queued","contacted","replied","call_booked","call_done","yes_in_principle","materials_sent"},0)),"Y","N"))</f>
        <v/>
      </c>
      <c r="EW685" s="0" t="str">
        <f aca="false">IF($A685="","",IF(OR(T685="Y",U685="do_not_contact",AQ685&amp;""&lt;&gt;""),"Y","N"))</f>
        <v/>
      </c>
      <c r="EX685" s="0" t="str">
        <f aca="false">IF($A685="","",IF(AN685&amp;""&lt;&gt;"",AN685&amp;"",$A685))</f>
        <v/>
      </c>
      <c r="EY685" s="0" t="str">
        <f aca="false">IF($A685="","",IF(COUNTIFS($EX$2:$EX$1000,EX685,$EV$2:$EV$1000,"Y")+COUNTIFS($EX$2:$EX$1000,EX685,$EW$2:$EW$1000,"Y")&gt;0,"Y","N"))</f>
        <v/>
      </c>
      <c r="EZ685" s="0" t="str">
        <f aca="false">IF($A685="","",IF(AND(U685="new",T685="N",EW685="N",AR685="Y",EY685="N"),"Y","N"))</f>
        <v/>
      </c>
      <c r="FA685" s="0" t="str">
        <f aca="false">IF($A685="","",IF(EZ685&lt;&gt;"Y","N",IF(COUNTIFS($EX$2:$EX$1000,EX685,$EZ$2:$EZ$1000,"Y",$J$2:$J$1000,"&gt;"&amp;J685)+COUNTIFS($EX$2:$EX$1000,EX685,$EZ$2:$EZ$1000,"Y",$J$2:$J$1000,J685,$FG$2:$FG$1000,"&lt;"&amp;FG685)=0,"Y","N")))</f>
        <v/>
      </c>
      <c r="FB685" s="0" t="str">
        <f aca="false">IF($A685="","",IF(AND(EZ685="Y",FA685="Y",Y685&amp;""&lt;&gt;""),IF(Y685&lt;=10,"Y","N"),"N"))</f>
        <v/>
      </c>
      <c r="FC685" s="0" t="str">
        <f aca="false">IF(FB685="Y",Y685,"")</f>
        <v/>
      </c>
      <c r="FD685" s="0" t="str">
        <f aca="false">IF($A685="","",IF(AND(CK685="pass",AU685="Y",AV685&lt;&gt;"Y",U685="new",EW685="N"),"Y","N"))</f>
        <v/>
      </c>
      <c r="FE685" s="0" t="str">
        <f aca="false">IF(FD685&lt;&gt;"Y","",IF(COUNTIFS($FD$2:$FD$1000,"Y",$J$2:$J$1000,"&gt;"&amp;J685)+COUNTIFS($FD$2:$FD$1000,"Y",$J$2:$J$1000,J685,$FG$2:$FG$1000,"&lt;"&amp;FG685)+1&lt;=30,COUNTIFS($FD$2:$FD$1000,"Y",$J$2:$J$1000,"&gt;"&amp;J685)+COUNTIFS($FD$2:$FD$1000,"Y",$J$2:$J$1000,J685,$FG$2:$FG$1000,"&lt;"&amp;FG685)+1,""))</f>
        <v/>
      </c>
      <c r="FF685" s="0" t="str">
        <f aca="false">IF(AND(_xlfn.ISFORMULA(C685),_xlfn.ISFORMULA(J685)),"Y","N")</f>
        <v>Y</v>
      </c>
      <c r="FG685" s="0" t="n">
        <f aca="false">ROW()-1</f>
        <v>684</v>
      </c>
    </row>
    <row r="686" customFormat="false" ht="15" hidden="false" customHeight="false" outlineLevel="0" collapsed="false">
      <c r="C686" s="0" t="str">
        <f aca="false">IF($A686="","",IF(AT686="Y",BL686&amp;"",AY686&amp;""))</f>
        <v/>
      </c>
      <c r="D686" s="0" t="str">
        <f aca="false">IF($A686="","",IF(AT686="Y",BM686&amp;"",AZ686&amp;""))</f>
        <v/>
      </c>
      <c r="E686" s="0" t="str">
        <f aca="false">IF($A686="","",IF(AT686="Y",BN686&amp;"",BA686&amp;""))</f>
        <v/>
      </c>
      <c r="F686" s="0" t="str">
        <f aca="false">IF($A686="","",IF(AT686="Y",BO686&amp;"",BB686&amp;""))</f>
        <v/>
      </c>
      <c r="G686" s="0" t="str">
        <f aca="false">IF($A686="","",IF(AT686="Y",BP686&amp;"",BC686&amp;""))</f>
        <v/>
      </c>
      <c r="H686" s="0" t="str">
        <f aca="false">IF($A686="","",IF(AT686="Y",BQ686&amp;"",BD686&amp;""))</f>
        <v/>
      </c>
      <c r="I686" s="0" t="str">
        <f aca="false">IF($A686="","",IF(R686="Y","warm-intro",IF(H686="verified","email",IF(C686&lt;&gt;"","linkedin",CA686&amp;""))))</f>
        <v/>
      </c>
      <c r="J686" s="0" t="str">
        <f aca="false">IF($A686="","",IF(CK686="pass",ROUND(N(DO686)+N(DP686)+N(DQ686)+N(DR686)+N(DS686)+N(DT686)+N(DU686)+N(DV686),0),0))</f>
        <v/>
      </c>
      <c r="K686" s="0" t="str">
        <f aca="false">IF($A686="","",IF(CK686&lt;&gt;"pass",BY686&amp;"",BY686&amp;", "&amp;IF(AT686="Y",BX686&amp;"",BK686&amp;"")&amp;BZ686&amp;IF(R686="Y","; known to the founder (+10)","")&amp;"."))</f>
        <v/>
      </c>
      <c r="R686" s="5"/>
      <c r="T686" s="5"/>
      <c r="U686" s="5"/>
      <c r="Y686" s="0" t="str">
        <f aca="false">IF(FA686&lt;&gt;"Y","",COUNTIFS($FA$2:$FA$1000,"Y",$J$2:$J$1000,"&gt;"&amp;J686)+COUNTIFS($FA$2:$FA$1000,"Y",$J$2:$J$1000,J686,$FG$2:$FG$1000,"&lt;"&amp;FG686)+1)</f>
        <v/>
      </c>
      <c r="AB686" s="0" t="str">
        <f aca="false">IF($A686="","",IF(AT686="Y",BW686&amp;"",BJ686&amp;""))</f>
        <v/>
      </c>
      <c r="AC686" s="0" t="str">
        <f aca="false">IF($A686="","",IF(AT686="Y",BR686&amp;"",BE686&amp;""))</f>
        <v/>
      </c>
      <c r="AD686" s="0" t="str">
        <f aca="false">IF($A686="","",IF(AT686="Y",BS686&amp;"",BF686&amp;""))</f>
        <v/>
      </c>
      <c r="AE686" s="0" t="str">
        <f aca="false">IF($A686="","",IF(AT686="Y",BT686&amp;"",BG686&amp;""))</f>
        <v/>
      </c>
      <c r="AF686" s="0" t="str">
        <f aca="false">IF($A686="","",IF(AT686="Y",BU686&amp;"",BH686&amp;""))</f>
        <v/>
      </c>
      <c r="AG686" s="0" t="str">
        <f aca="false">IF($A686="","",IF(AT686="Y",BV686&amp;"",BI686&amp;""))</f>
        <v/>
      </c>
      <c r="AO686" s="5"/>
      <c r="AR686" s="0" t="str">
        <f aca="false">IF($A686="","",IF(AND(CK686="pass",AO686&lt;&gt;"Y",C686&lt;&gt;"",OR(AU686&lt;&gt;"Y",AV686="Y")),"Y","N"))</f>
        <v/>
      </c>
      <c r="AS686" s="0" t="str">
        <f aca="false">IF($A686="","",_xlfn.TEXTJOIN("; ",TRUE(),IF(CK686&lt;&gt;"pass","gated out",""),IF(AO686="Y","on hold: "&amp;AP686,""),IF(C686="","no contact named on an opened page",""),IF(AND(AU686="Y",AV686&lt;&gt;"Y"),"founder review pending (Founder review tab)","")))</f>
        <v/>
      </c>
      <c r="BC686" s="0" t="str">
        <f aca="false">IF($A686="","",IFERROR(INDEX(Enrichment!$A$2:$GZ$2000,MATCH($A686,INDEX(Enrichment!$A$2:$GZ$2000,0,MATCH("row_id",Enrichment!$A$1:$GZ$1,0)),0),MATCH("work_email",Enrichment!$A$1:$GZ$1,0))&amp;"",""))</f>
        <v/>
      </c>
      <c r="BD686" s="0" t="str">
        <f aca="false">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P686" s="0" t="str">
        <f aca="false">IF($A686="","",IFERROR(INDEX(Enrichment!$A$2:$GZ$2000,MATCH($A686,INDEX(Enrichment!$A$2:$GZ$2000,0,MATCH("row_id",Enrichment!$A$1:$GZ$1,0)),0),MATCH("backup_work_email",Enrichment!$A$1:$GZ$1,0))&amp;"",""))</f>
        <v/>
      </c>
      <c r="BQ686" s="0" t="str">
        <f aca="false">IF($A686="","",IF(BP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DU686" s="0" t="str">
        <f aca="false">IF($A686="","",IF(R686="Y",10,0))</f>
        <v/>
      </c>
      <c r="EV686" s="0" t="str">
        <f aca="false">IF($A686="","",IF(ISNUMBER(MATCH(U686,{"queued","contacted","replied","call_booked","call_done","yes_in_principle","materials_sent"},0)),"Y","N"))</f>
        <v/>
      </c>
      <c r="EW686" s="0" t="str">
        <f aca="false">IF($A686="","",IF(OR(T686="Y",U686="do_not_contact",AQ686&amp;""&lt;&gt;""),"Y","N"))</f>
        <v/>
      </c>
      <c r="EX686" s="0" t="str">
        <f aca="false">IF($A686="","",IF(AN686&amp;""&lt;&gt;"",AN686&amp;"",$A686))</f>
        <v/>
      </c>
      <c r="EY686" s="0" t="str">
        <f aca="false">IF($A686="","",IF(COUNTIFS($EX$2:$EX$1000,EX686,$EV$2:$EV$1000,"Y")+COUNTIFS($EX$2:$EX$1000,EX686,$EW$2:$EW$1000,"Y")&gt;0,"Y","N"))</f>
        <v/>
      </c>
      <c r="EZ686" s="0" t="str">
        <f aca="false">IF($A686="","",IF(AND(U686="new",T686="N",EW686="N",AR686="Y",EY686="N"),"Y","N"))</f>
        <v/>
      </c>
      <c r="FA686" s="0" t="str">
        <f aca="false">IF($A686="","",IF(EZ686&lt;&gt;"Y","N",IF(COUNTIFS($EX$2:$EX$1000,EX686,$EZ$2:$EZ$1000,"Y",$J$2:$J$1000,"&gt;"&amp;J686)+COUNTIFS($EX$2:$EX$1000,EX686,$EZ$2:$EZ$1000,"Y",$J$2:$J$1000,J686,$FG$2:$FG$1000,"&lt;"&amp;FG686)=0,"Y","N")))</f>
        <v/>
      </c>
      <c r="FB686" s="0" t="str">
        <f aca="false">IF($A686="","",IF(AND(EZ686="Y",FA686="Y",Y686&amp;""&lt;&gt;""),IF(Y686&lt;=10,"Y","N"),"N"))</f>
        <v/>
      </c>
      <c r="FC686" s="0" t="str">
        <f aca="false">IF(FB686="Y",Y686,"")</f>
        <v/>
      </c>
      <c r="FD686" s="0" t="str">
        <f aca="false">IF($A686="","",IF(AND(CK686="pass",AU686="Y",AV686&lt;&gt;"Y",U686="new",EW686="N"),"Y","N"))</f>
        <v/>
      </c>
      <c r="FE686" s="0" t="str">
        <f aca="false">IF(FD686&lt;&gt;"Y","",IF(COUNTIFS($FD$2:$FD$1000,"Y",$J$2:$J$1000,"&gt;"&amp;J686)+COUNTIFS($FD$2:$FD$1000,"Y",$J$2:$J$1000,J686,$FG$2:$FG$1000,"&lt;"&amp;FG686)+1&lt;=30,COUNTIFS($FD$2:$FD$1000,"Y",$J$2:$J$1000,"&gt;"&amp;J686)+COUNTIFS($FD$2:$FD$1000,"Y",$J$2:$J$1000,J686,$FG$2:$FG$1000,"&lt;"&amp;FG686)+1,""))</f>
        <v/>
      </c>
      <c r="FF686" s="0" t="str">
        <f aca="false">IF(AND(_xlfn.ISFORMULA(C686),_xlfn.ISFORMULA(J686)),"Y","N")</f>
        <v>Y</v>
      </c>
      <c r="FG686" s="0" t="n">
        <f aca="false">ROW()-1</f>
        <v>685</v>
      </c>
    </row>
    <row r="687" customFormat="false" ht="15" hidden="false" customHeight="false" outlineLevel="0" collapsed="false">
      <c r="C687" s="0" t="str">
        <f aca="false">IF($A687="","",IF(AT687="Y",BL687&amp;"",AY687&amp;""))</f>
        <v/>
      </c>
      <c r="D687" s="0" t="str">
        <f aca="false">IF($A687="","",IF(AT687="Y",BM687&amp;"",AZ687&amp;""))</f>
        <v/>
      </c>
      <c r="E687" s="0" t="str">
        <f aca="false">IF($A687="","",IF(AT687="Y",BN687&amp;"",BA687&amp;""))</f>
        <v/>
      </c>
      <c r="F687" s="0" t="str">
        <f aca="false">IF($A687="","",IF(AT687="Y",BO687&amp;"",BB687&amp;""))</f>
        <v/>
      </c>
      <c r="G687" s="0" t="str">
        <f aca="false">IF($A687="","",IF(AT687="Y",BP687&amp;"",BC687&amp;""))</f>
        <v/>
      </c>
      <c r="H687" s="0" t="str">
        <f aca="false">IF($A687="","",IF(AT687="Y",BQ687&amp;"",BD687&amp;""))</f>
        <v/>
      </c>
      <c r="I687" s="0" t="str">
        <f aca="false">IF($A687="","",IF(R687="Y","warm-intro",IF(H687="verified","email",IF(C687&lt;&gt;"","linkedin",CA687&amp;""))))</f>
        <v/>
      </c>
      <c r="J687" s="0" t="str">
        <f aca="false">IF($A687="","",IF(CK687="pass",ROUND(N(DO687)+N(DP687)+N(DQ687)+N(DR687)+N(DS687)+N(DT687)+N(DU687)+N(DV687),0),0))</f>
        <v/>
      </c>
      <c r="K687" s="0" t="str">
        <f aca="false">IF($A687="","",IF(CK687&lt;&gt;"pass",BY687&amp;"",BY687&amp;", "&amp;IF(AT687="Y",BX687&amp;"",BK687&amp;"")&amp;BZ687&amp;IF(R687="Y","; known to the founder (+10)","")&amp;"."))</f>
        <v/>
      </c>
      <c r="R687" s="5"/>
      <c r="T687" s="5"/>
      <c r="U687" s="5"/>
      <c r="Y687" s="0" t="str">
        <f aca="false">IF(FA687&lt;&gt;"Y","",COUNTIFS($FA$2:$FA$1000,"Y",$J$2:$J$1000,"&gt;"&amp;J687)+COUNTIFS($FA$2:$FA$1000,"Y",$J$2:$J$1000,J687,$FG$2:$FG$1000,"&lt;"&amp;FG687)+1)</f>
        <v/>
      </c>
      <c r="AB687" s="0" t="str">
        <f aca="false">IF($A687="","",IF(AT687="Y",BW687&amp;"",BJ687&amp;""))</f>
        <v/>
      </c>
      <c r="AC687" s="0" t="str">
        <f aca="false">IF($A687="","",IF(AT687="Y",BR687&amp;"",BE687&amp;""))</f>
        <v/>
      </c>
      <c r="AD687" s="0" t="str">
        <f aca="false">IF($A687="","",IF(AT687="Y",BS687&amp;"",BF687&amp;""))</f>
        <v/>
      </c>
      <c r="AE687" s="0" t="str">
        <f aca="false">IF($A687="","",IF(AT687="Y",BT687&amp;"",BG687&amp;""))</f>
        <v/>
      </c>
      <c r="AF687" s="0" t="str">
        <f aca="false">IF($A687="","",IF(AT687="Y",BU687&amp;"",BH687&amp;""))</f>
        <v/>
      </c>
      <c r="AG687" s="0" t="str">
        <f aca="false">IF($A687="","",IF(AT687="Y",BV687&amp;"",BI687&amp;""))</f>
        <v/>
      </c>
      <c r="AO687" s="5"/>
      <c r="AR687" s="0" t="str">
        <f aca="false">IF($A687="","",IF(AND(CK687="pass",AO687&lt;&gt;"Y",C687&lt;&gt;"",OR(AU687&lt;&gt;"Y",AV687="Y")),"Y","N"))</f>
        <v/>
      </c>
      <c r="AS687" s="0" t="str">
        <f aca="false">IF($A687="","",_xlfn.TEXTJOIN("; ",TRUE(),IF(CK687&lt;&gt;"pass","gated out",""),IF(AO687="Y","on hold: "&amp;AP687,""),IF(C687="","no contact named on an opened page",""),IF(AND(AU687="Y",AV687&lt;&gt;"Y"),"founder review pending (Founder review tab)","")))</f>
        <v/>
      </c>
      <c r="BC687" s="0" t="str">
        <f aca="false">IF($A687="","",IFERROR(INDEX(Enrichment!$A$2:$GZ$2000,MATCH($A687,INDEX(Enrichment!$A$2:$GZ$2000,0,MATCH("row_id",Enrichment!$A$1:$GZ$1,0)),0),MATCH("work_email",Enrichment!$A$1:$GZ$1,0))&amp;"",""))</f>
        <v/>
      </c>
      <c r="BD687" s="0" t="str">
        <f aca="false">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P687" s="0" t="str">
        <f aca="false">IF($A687="","",IFERROR(INDEX(Enrichment!$A$2:$GZ$2000,MATCH($A687,INDEX(Enrichment!$A$2:$GZ$2000,0,MATCH("row_id",Enrichment!$A$1:$GZ$1,0)),0),MATCH("backup_work_email",Enrichment!$A$1:$GZ$1,0))&amp;"",""))</f>
        <v/>
      </c>
      <c r="BQ687" s="0" t="str">
        <f aca="false">IF($A687="","",IF(BP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DU687" s="0" t="str">
        <f aca="false">IF($A687="","",IF(R687="Y",10,0))</f>
        <v/>
      </c>
      <c r="EV687" s="0" t="str">
        <f aca="false">IF($A687="","",IF(ISNUMBER(MATCH(U687,{"queued","contacted","replied","call_booked","call_done","yes_in_principle","materials_sent"},0)),"Y","N"))</f>
        <v/>
      </c>
      <c r="EW687" s="0" t="str">
        <f aca="false">IF($A687="","",IF(OR(T687="Y",U687="do_not_contact",AQ687&amp;""&lt;&gt;""),"Y","N"))</f>
        <v/>
      </c>
      <c r="EX687" s="0" t="str">
        <f aca="false">IF($A687="","",IF(AN687&amp;""&lt;&gt;"",AN687&amp;"",$A687))</f>
        <v/>
      </c>
      <c r="EY687" s="0" t="str">
        <f aca="false">IF($A687="","",IF(COUNTIFS($EX$2:$EX$1000,EX687,$EV$2:$EV$1000,"Y")+COUNTIFS($EX$2:$EX$1000,EX687,$EW$2:$EW$1000,"Y")&gt;0,"Y","N"))</f>
        <v/>
      </c>
      <c r="EZ687" s="0" t="str">
        <f aca="false">IF($A687="","",IF(AND(U687="new",T687="N",EW687="N",AR687="Y",EY687="N"),"Y","N"))</f>
        <v/>
      </c>
      <c r="FA687" s="0" t="str">
        <f aca="false">IF($A687="","",IF(EZ687&lt;&gt;"Y","N",IF(COUNTIFS($EX$2:$EX$1000,EX687,$EZ$2:$EZ$1000,"Y",$J$2:$J$1000,"&gt;"&amp;J687)+COUNTIFS($EX$2:$EX$1000,EX687,$EZ$2:$EZ$1000,"Y",$J$2:$J$1000,J687,$FG$2:$FG$1000,"&lt;"&amp;FG687)=0,"Y","N")))</f>
        <v/>
      </c>
      <c r="FB687" s="0" t="str">
        <f aca="false">IF($A687="","",IF(AND(EZ687="Y",FA687="Y",Y687&amp;""&lt;&gt;""),IF(Y687&lt;=10,"Y","N"),"N"))</f>
        <v/>
      </c>
      <c r="FC687" s="0" t="str">
        <f aca="false">IF(FB687="Y",Y687,"")</f>
        <v/>
      </c>
      <c r="FD687" s="0" t="str">
        <f aca="false">IF($A687="","",IF(AND(CK687="pass",AU687="Y",AV687&lt;&gt;"Y",U687="new",EW687="N"),"Y","N"))</f>
        <v/>
      </c>
      <c r="FE687" s="0" t="str">
        <f aca="false">IF(FD687&lt;&gt;"Y","",IF(COUNTIFS($FD$2:$FD$1000,"Y",$J$2:$J$1000,"&gt;"&amp;J687)+COUNTIFS($FD$2:$FD$1000,"Y",$J$2:$J$1000,J687,$FG$2:$FG$1000,"&lt;"&amp;FG687)+1&lt;=30,COUNTIFS($FD$2:$FD$1000,"Y",$J$2:$J$1000,"&gt;"&amp;J687)+COUNTIFS($FD$2:$FD$1000,"Y",$J$2:$J$1000,J687,$FG$2:$FG$1000,"&lt;"&amp;FG687)+1,""))</f>
        <v/>
      </c>
      <c r="FF687" s="0" t="str">
        <f aca="false">IF(AND(_xlfn.ISFORMULA(C687),_xlfn.ISFORMULA(J687)),"Y","N")</f>
        <v>Y</v>
      </c>
      <c r="FG687" s="0" t="n">
        <f aca="false">ROW()-1</f>
        <v>686</v>
      </c>
    </row>
    <row r="688" customFormat="false" ht="15" hidden="false" customHeight="false" outlineLevel="0" collapsed="false">
      <c r="C688" s="0" t="str">
        <f aca="false">IF($A688="","",IF(AT688="Y",BL688&amp;"",AY688&amp;""))</f>
        <v/>
      </c>
      <c r="D688" s="0" t="str">
        <f aca="false">IF($A688="","",IF(AT688="Y",BM688&amp;"",AZ688&amp;""))</f>
        <v/>
      </c>
      <c r="E688" s="0" t="str">
        <f aca="false">IF($A688="","",IF(AT688="Y",BN688&amp;"",BA688&amp;""))</f>
        <v/>
      </c>
      <c r="F688" s="0" t="str">
        <f aca="false">IF($A688="","",IF(AT688="Y",BO688&amp;"",BB688&amp;""))</f>
        <v/>
      </c>
      <c r="G688" s="0" t="str">
        <f aca="false">IF($A688="","",IF(AT688="Y",BP688&amp;"",BC688&amp;""))</f>
        <v/>
      </c>
      <c r="H688" s="0" t="str">
        <f aca="false">IF($A688="","",IF(AT688="Y",BQ688&amp;"",BD688&amp;""))</f>
        <v/>
      </c>
      <c r="I688" s="0" t="str">
        <f aca="false">IF($A688="","",IF(R688="Y","warm-intro",IF(H688="verified","email",IF(C688&lt;&gt;"","linkedin",CA688&amp;""))))</f>
        <v/>
      </c>
      <c r="J688" s="0" t="str">
        <f aca="false">IF($A688="","",IF(CK688="pass",ROUND(N(DO688)+N(DP688)+N(DQ688)+N(DR688)+N(DS688)+N(DT688)+N(DU688)+N(DV688),0),0))</f>
        <v/>
      </c>
      <c r="K688" s="0" t="str">
        <f aca="false">IF($A688="","",IF(CK688&lt;&gt;"pass",BY688&amp;"",BY688&amp;", "&amp;IF(AT688="Y",BX688&amp;"",BK688&amp;"")&amp;BZ688&amp;IF(R688="Y","; known to the founder (+10)","")&amp;"."))</f>
        <v/>
      </c>
      <c r="R688" s="5"/>
      <c r="T688" s="5"/>
      <c r="U688" s="5"/>
      <c r="Y688" s="0" t="str">
        <f aca="false">IF(FA688&lt;&gt;"Y","",COUNTIFS($FA$2:$FA$1000,"Y",$J$2:$J$1000,"&gt;"&amp;J688)+COUNTIFS($FA$2:$FA$1000,"Y",$J$2:$J$1000,J688,$FG$2:$FG$1000,"&lt;"&amp;FG688)+1)</f>
        <v/>
      </c>
      <c r="AB688" s="0" t="str">
        <f aca="false">IF($A688="","",IF(AT688="Y",BW688&amp;"",BJ688&amp;""))</f>
        <v/>
      </c>
      <c r="AC688" s="0" t="str">
        <f aca="false">IF($A688="","",IF(AT688="Y",BR688&amp;"",BE688&amp;""))</f>
        <v/>
      </c>
      <c r="AD688" s="0" t="str">
        <f aca="false">IF($A688="","",IF(AT688="Y",BS688&amp;"",BF688&amp;""))</f>
        <v/>
      </c>
      <c r="AE688" s="0" t="str">
        <f aca="false">IF($A688="","",IF(AT688="Y",BT688&amp;"",BG688&amp;""))</f>
        <v/>
      </c>
      <c r="AF688" s="0" t="str">
        <f aca="false">IF($A688="","",IF(AT688="Y",BU688&amp;"",BH688&amp;""))</f>
        <v/>
      </c>
      <c r="AG688" s="0" t="str">
        <f aca="false">IF($A688="","",IF(AT688="Y",BV688&amp;"",BI688&amp;""))</f>
        <v/>
      </c>
      <c r="AO688" s="5"/>
      <c r="AR688" s="0" t="str">
        <f aca="false">IF($A688="","",IF(AND(CK688="pass",AO688&lt;&gt;"Y",C688&lt;&gt;"",OR(AU688&lt;&gt;"Y",AV688="Y")),"Y","N"))</f>
        <v/>
      </c>
      <c r="AS688" s="0" t="str">
        <f aca="false">IF($A688="","",_xlfn.TEXTJOIN("; ",TRUE(),IF(CK688&lt;&gt;"pass","gated out",""),IF(AO688="Y","on hold: "&amp;AP688,""),IF(C688="","no contact named on an opened page",""),IF(AND(AU688="Y",AV688&lt;&gt;"Y"),"founder review pending (Founder review tab)","")))</f>
        <v/>
      </c>
      <c r="BC688" s="0" t="str">
        <f aca="false">IF($A688="","",IFERROR(INDEX(Enrichment!$A$2:$GZ$2000,MATCH($A688,INDEX(Enrichment!$A$2:$GZ$2000,0,MATCH("row_id",Enrichment!$A$1:$GZ$1,0)),0),MATCH("work_email",Enrichment!$A$1:$GZ$1,0))&amp;"",""))</f>
        <v/>
      </c>
      <c r="BD688" s="0" t="str">
        <f aca="false">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P688" s="0" t="str">
        <f aca="false">IF($A688="","",IFERROR(INDEX(Enrichment!$A$2:$GZ$2000,MATCH($A688,INDEX(Enrichment!$A$2:$GZ$2000,0,MATCH("row_id",Enrichment!$A$1:$GZ$1,0)),0),MATCH("backup_work_email",Enrichment!$A$1:$GZ$1,0))&amp;"",""))</f>
        <v/>
      </c>
      <c r="BQ688" s="0" t="str">
        <f aca="false">IF($A688="","",IF(BP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DU688" s="0" t="str">
        <f aca="false">IF($A688="","",IF(R688="Y",10,0))</f>
        <v/>
      </c>
      <c r="EV688" s="0" t="str">
        <f aca="false">IF($A688="","",IF(ISNUMBER(MATCH(U688,{"queued","contacted","replied","call_booked","call_done","yes_in_principle","materials_sent"},0)),"Y","N"))</f>
        <v/>
      </c>
      <c r="EW688" s="0" t="str">
        <f aca="false">IF($A688="","",IF(OR(T688="Y",U688="do_not_contact",AQ688&amp;""&lt;&gt;""),"Y","N"))</f>
        <v/>
      </c>
      <c r="EX688" s="0" t="str">
        <f aca="false">IF($A688="","",IF(AN688&amp;""&lt;&gt;"",AN688&amp;"",$A688))</f>
        <v/>
      </c>
      <c r="EY688" s="0" t="str">
        <f aca="false">IF($A688="","",IF(COUNTIFS($EX$2:$EX$1000,EX688,$EV$2:$EV$1000,"Y")+COUNTIFS($EX$2:$EX$1000,EX688,$EW$2:$EW$1000,"Y")&gt;0,"Y","N"))</f>
        <v/>
      </c>
      <c r="EZ688" s="0" t="str">
        <f aca="false">IF($A688="","",IF(AND(U688="new",T688="N",EW688="N",AR688="Y",EY688="N"),"Y","N"))</f>
        <v/>
      </c>
      <c r="FA688" s="0" t="str">
        <f aca="false">IF($A688="","",IF(EZ688&lt;&gt;"Y","N",IF(COUNTIFS($EX$2:$EX$1000,EX688,$EZ$2:$EZ$1000,"Y",$J$2:$J$1000,"&gt;"&amp;J688)+COUNTIFS($EX$2:$EX$1000,EX688,$EZ$2:$EZ$1000,"Y",$J$2:$J$1000,J688,$FG$2:$FG$1000,"&lt;"&amp;FG688)=0,"Y","N")))</f>
        <v/>
      </c>
      <c r="FB688" s="0" t="str">
        <f aca="false">IF($A688="","",IF(AND(EZ688="Y",FA688="Y",Y688&amp;""&lt;&gt;""),IF(Y688&lt;=10,"Y","N"),"N"))</f>
        <v/>
      </c>
      <c r="FC688" s="0" t="str">
        <f aca="false">IF(FB688="Y",Y688,"")</f>
        <v/>
      </c>
      <c r="FD688" s="0" t="str">
        <f aca="false">IF($A688="","",IF(AND(CK688="pass",AU688="Y",AV688&lt;&gt;"Y",U688="new",EW688="N"),"Y","N"))</f>
        <v/>
      </c>
      <c r="FE688" s="0" t="str">
        <f aca="false">IF(FD688&lt;&gt;"Y","",IF(COUNTIFS($FD$2:$FD$1000,"Y",$J$2:$J$1000,"&gt;"&amp;J688)+COUNTIFS($FD$2:$FD$1000,"Y",$J$2:$J$1000,J688,$FG$2:$FG$1000,"&lt;"&amp;FG688)+1&lt;=30,COUNTIFS($FD$2:$FD$1000,"Y",$J$2:$J$1000,"&gt;"&amp;J688)+COUNTIFS($FD$2:$FD$1000,"Y",$J$2:$J$1000,J688,$FG$2:$FG$1000,"&lt;"&amp;FG688)+1,""))</f>
        <v/>
      </c>
      <c r="FF688" s="0" t="str">
        <f aca="false">IF(AND(_xlfn.ISFORMULA(C688),_xlfn.ISFORMULA(J688)),"Y","N")</f>
        <v>Y</v>
      </c>
      <c r="FG688" s="0" t="n">
        <f aca="false">ROW()-1</f>
        <v>687</v>
      </c>
    </row>
    <row r="689" customFormat="false" ht="15" hidden="false" customHeight="false" outlineLevel="0" collapsed="false">
      <c r="C689" s="0" t="str">
        <f aca="false">IF($A689="","",IF(AT689="Y",BL689&amp;"",AY689&amp;""))</f>
        <v/>
      </c>
      <c r="D689" s="0" t="str">
        <f aca="false">IF($A689="","",IF(AT689="Y",BM689&amp;"",AZ689&amp;""))</f>
        <v/>
      </c>
      <c r="E689" s="0" t="str">
        <f aca="false">IF($A689="","",IF(AT689="Y",BN689&amp;"",BA689&amp;""))</f>
        <v/>
      </c>
      <c r="F689" s="0" t="str">
        <f aca="false">IF($A689="","",IF(AT689="Y",BO689&amp;"",BB689&amp;""))</f>
        <v/>
      </c>
      <c r="G689" s="0" t="str">
        <f aca="false">IF($A689="","",IF(AT689="Y",BP689&amp;"",BC689&amp;""))</f>
        <v/>
      </c>
      <c r="H689" s="0" t="str">
        <f aca="false">IF($A689="","",IF(AT689="Y",BQ689&amp;"",BD689&amp;""))</f>
        <v/>
      </c>
      <c r="I689" s="0" t="str">
        <f aca="false">IF($A689="","",IF(R689="Y","warm-intro",IF(H689="verified","email",IF(C689&lt;&gt;"","linkedin",CA689&amp;""))))</f>
        <v/>
      </c>
      <c r="J689" s="0" t="str">
        <f aca="false">IF($A689="","",IF(CK689="pass",ROUND(N(DO689)+N(DP689)+N(DQ689)+N(DR689)+N(DS689)+N(DT689)+N(DU689)+N(DV689),0),0))</f>
        <v/>
      </c>
      <c r="K689" s="0" t="str">
        <f aca="false">IF($A689="","",IF(CK689&lt;&gt;"pass",BY689&amp;"",BY689&amp;", "&amp;IF(AT689="Y",BX689&amp;"",BK689&amp;"")&amp;BZ689&amp;IF(R689="Y","; known to the founder (+10)","")&amp;"."))</f>
        <v/>
      </c>
      <c r="R689" s="5"/>
      <c r="T689" s="5"/>
      <c r="U689" s="5"/>
      <c r="Y689" s="0" t="str">
        <f aca="false">IF(FA689&lt;&gt;"Y","",COUNTIFS($FA$2:$FA$1000,"Y",$J$2:$J$1000,"&gt;"&amp;J689)+COUNTIFS($FA$2:$FA$1000,"Y",$J$2:$J$1000,J689,$FG$2:$FG$1000,"&lt;"&amp;FG689)+1)</f>
        <v/>
      </c>
      <c r="AB689" s="0" t="str">
        <f aca="false">IF($A689="","",IF(AT689="Y",BW689&amp;"",BJ689&amp;""))</f>
        <v/>
      </c>
      <c r="AC689" s="0" t="str">
        <f aca="false">IF($A689="","",IF(AT689="Y",BR689&amp;"",BE689&amp;""))</f>
        <v/>
      </c>
      <c r="AD689" s="0" t="str">
        <f aca="false">IF($A689="","",IF(AT689="Y",BS689&amp;"",BF689&amp;""))</f>
        <v/>
      </c>
      <c r="AE689" s="0" t="str">
        <f aca="false">IF($A689="","",IF(AT689="Y",BT689&amp;"",BG689&amp;""))</f>
        <v/>
      </c>
      <c r="AF689" s="0" t="str">
        <f aca="false">IF($A689="","",IF(AT689="Y",BU689&amp;"",BH689&amp;""))</f>
        <v/>
      </c>
      <c r="AG689" s="0" t="str">
        <f aca="false">IF($A689="","",IF(AT689="Y",BV689&amp;"",BI689&amp;""))</f>
        <v/>
      </c>
      <c r="AO689" s="5"/>
      <c r="AR689" s="0" t="str">
        <f aca="false">IF($A689="","",IF(AND(CK689="pass",AO689&lt;&gt;"Y",C689&lt;&gt;"",OR(AU689&lt;&gt;"Y",AV689="Y")),"Y","N"))</f>
        <v/>
      </c>
      <c r="AS689" s="0" t="str">
        <f aca="false">IF($A689="","",_xlfn.TEXTJOIN("; ",TRUE(),IF(CK689&lt;&gt;"pass","gated out",""),IF(AO689="Y","on hold: "&amp;AP689,""),IF(C689="","no contact named on an opened page",""),IF(AND(AU689="Y",AV689&lt;&gt;"Y"),"founder review pending (Founder review tab)","")))</f>
        <v/>
      </c>
      <c r="BC689" s="0" t="str">
        <f aca="false">IF($A689="","",IFERROR(INDEX(Enrichment!$A$2:$GZ$2000,MATCH($A689,INDEX(Enrichment!$A$2:$GZ$2000,0,MATCH("row_id",Enrichment!$A$1:$GZ$1,0)),0),MATCH("work_email",Enrichment!$A$1:$GZ$1,0))&amp;"",""))</f>
        <v/>
      </c>
      <c r="BD689" s="0" t="str">
        <f aca="false">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P689" s="0" t="str">
        <f aca="false">IF($A689="","",IFERROR(INDEX(Enrichment!$A$2:$GZ$2000,MATCH($A689,INDEX(Enrichment!$A$2:$GZ$2000,0,MATCH("row_id",Enrichment!$A$1:$GZ$1,0)),0),MATCH("backup_work_email",Enrichment!$A$1:$GZ$1,0))&amp;"",""))</f>
        <v/>
      </c>
      <c r="BQ689" s="0" t="str">
        <f aca="false">IF($A689="","",IF(BP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DU689" s="0" t="str">
        <f aca="false">IF($A689="","",IF(R689="Y",10,0))</f>
        <v/>
      </c>
      <c r="EV689" s="0" t="str">
        <f aca="false">IF($A689="","",IF(ISNUMBER(MATCH(U689,{"queued","contacted","replied","call_booked","call_done","yes_in_principle","materials_sent"},0)),"Y","N"))</f>
        <v/>
      </c>
      <c r="EW689" s="0" t="str">
        <f aca="false">IF($A689="","",IF(OR(T689="Y",U689="do_not_contact",AQ689&amp;""&lt;&gt;""),"Y","N"))</f>
        <v/>
      </c>
      <c r="EX689" s="0" t="str">
        <f aca="false">IF($A689="","",IF(AN689&amp;""&lt;&gt;"",AN689&amp;"",$A689))</f>
        <v/>
      </c>
      <c r="EY689" s="0" t="str">
        <f aca="false">IF($A689="","",IF(COUNTIFS($EX$2:$EX$1000,EX689,$EV$2:$EV$1000,"Y")+COUNTIFS($EX$2:$EX$1000,EX689,$EW$2:$EW$1000,"Y")&gt;0,"Y","N"))</f>
        <v/>
      </c>
      <c r="EZ689" s="0" t="str">
        <f aca="false">IF($A689="","",IF(AND(U689="new",T689="N",EW689="N",AR689="Y",EY689="N"),"Y","N"))</f>
        <v/>
      </c>
      <c r="FA689" s="0" t="str">
        <f aca="false">IF($A689="","",IF(EZ689&lt;&gt;"Y","N",IF(COUNTIFS($EX$2:$EX$1000,EX689,$EZ$2:$EZ$1000,"Y",$J$2:$J$1000,"&gt;"&amp;J689)+COUNTIFS($EX$2:$EX$1000,EX689,$EZ$2:$EZ$1000,"Y",$J$2:$J$1000,J689,$FG$2:$FG$1000,"&lt;"&amp;FG689)=0,"Y","N")))</f>
        <v/>
      </c>
      <c r="FB689" s="0" t="str">
        <f aca="false">IF($A689="","",IF(AND(EZ689="Y",FA689="Y",Y689&amp;""&lt;&gt;""),IF(Y689&lt;=10,"Y","N"),"N"))</f>
        <v/>
      </c>
      <c r="FC689" s="0" t="str">
        <f aca="false">IF(FB689="Y",Y689,"")</f>
        <v/>
      </c>
      <c r="FD689" s="0" t="str">
        <f aca="false">IF($A689="","",IF(AND(CK689="pass",AU689="Y",AV689&lt;&gt;"Y",U689="new",EW689="N"),"Y","N"))</f>
        <v/>
      </c>
      <c r="FE689" s="0" t="str">
        <f aca="false">IF(FD689&lt;&gt;"Y","",IF(COUNTIFS($FD$2:$FD$1000,"Y",$J$2:$J$1000,"&gt;"&amp;J689)+COUNTIFS($FD$2:$FD$1000,"Y",$J$2:$J$1000,J689,$FG$2:$FG$1000,"&lt;"&amp;FG689)+1&lt;=30,COUNTIFS($FD$2:$FD$1000,"Y",$J$2:$J$1000,"&gt;"&amp;J689)+COUNTIFS($FD$2:$FD$1000,"Y",$J$2:$J$1000,J689,$FG$2:$FG$1000,"&lt;"&amp;FG689)+1,""))</f>
        <v/>
      </c>
      <c r="FF689" s="0" t="str">
        <f aca="false">IF(AND(_xlfn.ISFORMULA(C689),_xlfn.ISFORMULA(J689)),"Y","N")</f>
        <v>Y</v>
      </c>
      <c r="FG689" s="0" t="n">
        <f aca="false">ROW()-1</f>
        <v>688</v>
      </c>
    </row>
    <row r="690" customFormat="false" ht="15" hidden="false" customHeight="false" outlineLevel="0" collapsed="false">
      <c r="C690" s="0" t="str">
        <f aca="false">IF($A690="","",IF(AT690="Y",BL690&amp;"",AY690&amp;""))</f>
        <v/>
      </c>
      <c r="D690" s="0" t="str">
        <f aca="false">IF($A690="","",IF(AT690="Y",BM690&amp;"",AZ690&amp;""))</f>
        <v/>
      </c>
      <c r="E690" s="0" t="str">
        <f aca="false">IF($A690="","",IF(AT690="Y",BN690&amp;"",BA690&amp;""))</f>
        <v/>
      </c>
      <c r="F690" s="0" t="str">
        <f aca="false">IF($A690="","",IF(AT690="Y",BO690&amp;"",BB690&amp;""))</f>
        <v/>
      </c>
      <c r="G690" s="0" t="str">
        <f aca="false">IF($A690="","",IF(AT690="Y",BP690&amp;"",BC690&amp;""))</f>
        <v/>
      </c>
      <c r="H690" s="0" t="str">
        <f aca="false">IF($A690="","",IF(AT690="Y",BQ690&amp;"",BD690&amp;""))</f>
        <v/>
      </c>
      <c r="I690" s="0" t="str">
        <f aca="false">IF($A690="","",IF(R690="Y","warm-intro",IF(H690="verified","email",IF(C690&lt;&gt;"","linkedin",CA690&amp;""))))</f>
        <v/>
      </c>
      <c r="J690" s="0" t="str">
        <f aca="false">IF($A690="","",IF(CK690="pass",ROUND(N(DO690)+N(DP690)+N(DQ690)+N(DR690)+N(DS690)+N(DT690)+N(DU690)+N(DV690),0),0))</f>
        <v/>
      </c>
      <c r="K690" s="0" t="str">
        <f aca="false">IF($A690="","",IF(CK690&lt;&gt;"pass",BY690&amp;"",BY690&amp;", "&amp;IF(AT690="Y",BX690&amp;"",BK690&amp;"")&amp;BZ690&amp;IF(R690="Y","; known to the founder (+10)","")&amp;"."))</f>
        <v/>
      </c>
      <c r="R690" s="5"/>
      <c r="T690" s="5"/>
      <c r="U690" s="5"/>
      <c r="Y690" s="0" t="str">
        <f aca="false">IF(FA690&lt;&gt;"Y","",COUNTIFS($FA$2:$FA$1000,"Y",$J$2:$J$1000,"&gt;"&amp;J690)+COUNTIFS($FA$2:$FA$1000,"Y",$J$2:$J$1000,J690,$FG$2:$FG$1000,"&lt;"&amp;FG690)+1)</f>
        <v/>
      </c>
      <c r="AB690" s="0" t="str">
        <f aca="false">IF($A690="","",IF(AT690="Y",BW690&amp;"",BJ690&amp;""))</f>
        <v/>
      </c>
      <c r="AC690" s="0" t="str">
        <f aca="false">IF($A690="","",IF(AT690="Y",BR690&amp;"",BE690&amp;""))</f>
        <v/>
      </c>
      <c r="AD690" s="0" t="str">
        <f aca="false">IF($A690="","",IF(AT690="Y",BS690&amp;"",BF690&amp;""))</f>
        <v/>
      </c>
      <c r="AE690" s="0" t="str">
        <f aca="false">IF($A690="","",IF(AT690="Y",BT690&amp;"",BG690&amp;""))</f>
        <v/>
      </c>
      <c r="AF690" s="0" t="str">
        <f aca="false">IF($A690="","",IF(AT690="Y",BU690&amp;"",BH690&amp;""))</f>
        <v/>
      </c>
      <c r="AG690" s="0" t="str">
        <f aca="false">IF($A690="","",IF(AT690="Y",BV690&amp;"",BI690&amp;""))</f>
        <v/>
      </c>
      <c r="AO690" s="5"/>
      <c r="AR690" s="0" t="str">
        <f aca="false">IF($A690="","",IF(AND(CK690="pass",AO690&lt;&gt;"Y",C690&lt;&gt;"",OR(AU690&lt;&gt;"Y",AV690="Y")),"Y","N"))</f>
        <v/>
      </c>
      <c r="AS690" s="0" t="str">
        <f aca="false">IF($A690="","",_xlfn.TEXTJOIN("; ",TRUE(),IF(CK690&lt;&gt;"pass","gated out",""),IF(AO690="Y","on hold: "&amp;AP690,""),IF(C690="","no contact named on an opened page",""),IF(AND(AU690="Y",AV690&lt;&gt;"Y"),"founder review pending (Founder review tab)","")))</f>
        <v/>
      </c>
      <c r="BC690" s="0" t="str">
        <f aca="false">IF($A690="","",IFERROR(INDEX(Enrichment!$A$2:$GZ$2000,MATCH($A690,INDEX(Enrichment!$A$2:$GZ$2000,0,MATCH("row_id",Enrichment!$A$1:$GZ$1,0)),0),MATCH("work_email",Enrichment!$A$1:$GZ$1,0))&amp;"",""))</f>
        <v/>
      </c>
      <c r="BD690" s="0" t="str">
        <f aca="false">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P690" s="0" t="str">
        <f aca="false">IF($A690="","",IFERROR(INDEX(Enrichment!$A$2:$GZ$2000,MATCH($A690,INDEX(Enrichment!$A$2:$GZ$2000,0,MATCH("row_id",Enrichment!$A$1:$GZ$1,0)),0),MATCH("backup_work_email",Enrichment!$A$1:$GZ$1,0))&amp;"",""))</f>
        <v/>
      </c>
      <c r="BQ690" s="0" t="str">
        <f aca="false">IF($A690="","",IF(BP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DU690" s="0" t="str">
        <f aca="false">IF($A690="","",IF(R690="Y",10,0))</f>
        <v/>
      </c>
      <c r="EV690" s="0" t="str">
        <f aca="false">IF($A690="","",IF(ISNUMBER(MATCH(U690,{"queued","contacted","replied","call_booked","call_done","yes_in_principle","materials_sent"},0)),"Y","N"))</f>
        <v/>
      </c>
      <c r="EW690" s="0" t="str">
        <f aca="false">IF($A690="","",IF(OR(T690="Y",U690="do_not_contact",AQ690&amp;""&lt;&gt;""),"Y","N"))</f>
        <v/>
      </c>
      <c r="EX690" s="0" t="str">
        <f aca="false">IF($A690="","",IF(AN690&amp;""&lt;&gt;"",AN690&amp;"",$A690))</f>
        <v/>
      </c>
      <c r="EY690" s="0" t="str">
        <f aca="false">IF($A690="","",IF(COUNTIFS($EX$2:$EX$1000,EX690,$EV$2:$EV$1000,"Y")+COUNTIFS($EX$2:$EX$1000,EX690,$EW$2:$EW$1000,"Y")&gt;0,"Y","N"))</f>
        <v/>
      </c>
      <c r="EZ690" s="0" t="str">
        <f aca="false">IF($A690="","",IF(AND(U690="new",T690="N",EW690="N",AR690="Y",EY690="N"),"Y","N"))</f>
        <v/>
      </c>
      <c r="FA690" s="0" t="str">
        <f aca="false">IF($A690="","",IF(EZ690&lt;&gt;"Y","N",IF(COUNTIFS($EX$2:$EX$1000,EX690,$EZ$2:$EZ$1000,"Y",$J$2:$J$1000,"&gt;"&amp;J690)+COUNTIFS($EX$2:$EX$1000,EX690,$EZ$2:$EZ$1000,"Y",$J$2:$J$1000,J690,$FG$2:$FG$1000,"&lt;"&amp;FG690)=0,"Y","N")))</f>
        <v/>
      </c>
      <c r="FB690" s="0" t="str">
        <f aca="false">IF($A690="","",IF(AND(EZ690="Y",FA690="Y",Y690&amp;""&lt;&gt;""),IF(Y690&lt;=10,"Y","N"),"N"))</f>
        <v/>
      </c>
      <c r="FC690" s="0" t="str">
        <f aca="false">IF(FB690="Y",Y690,"")</f>
        <v/>
      </c>
      <c r="FD690" s="0" t="str">
        <f aca="false">IF($A690="","",IF(AND(CK690="pass",AU690="Y",AV690&lt;&gt;"Y",U690="new",EW690="N"),"Y","N"))</f>
        <v/>
      </c>
      <c r="FE690" s="0" t="str">
        <f aca="false">IF(FD690&lt;&gt;"Y","",IF(COUNTIFS($FD$2:$FD$1000,"Y",$J$2:$J$1000,"&gt;"&amp;J690)+COUNTIFS($FD$2:$FD$1000,"Y",$J$2:$J$1000,J690,$FG$2:$FG$1000,"&lt;"&amp;FG690)+1&lt;=30,COUNTIFS($FD$2:$FD$1000,"Y",$J$2:$J$1000,"&gt;"&amp;J690)+COUNTIFS($FD$2:$FD$1000,"Y",$J$2:$J$1000,J690,$FG$2:$FG$1000,"&lt;"&amp;FG690)+1,""))</f>
        <v/>
      </c>
      <c r="FF690" s="0" t="str">
        <f aca="false">IF(AND(_xlfn.ISFORMULA(C690),_xlfn.ISFORMULA(J690)),"Y","N")</f>
        <v>Y</v>
      </c>
      <c r="FG690" s="0" t="n">
        <f aca="false">ROW()-1</f>
        <v>689</v>
      </c>
    </row>
    <row r="691" customFormat="false" ht="15" hidden="false" customHeight="false" outlineLevel="0" collapsed="false">
      <c r="C691" s="0" t="str">
        <f aca="false">IF($A691="","",IF(AT691="Y",BL691&amp;"",AY691&amp;""))</f>
        <v/>
      </c>
      <c r="D691" s="0" t="str">
        <f aca="false">IF($A691="","",IF(AT691="Y",BM691&amp;"",AZ691&amp;""))</f>
        <v/>
      </c>
      <c r="E691" s="0" t="str">
        <f aca="false">IF($A691="","",IF(AT691="Y",BN691&amp;"",BA691&amp;""))</f>
        <v/>
      </c>
      <c r="F691" s="0" t="str">
        <f aca="false">IF($A691="","",IF(AT691="Y",BO691&amp;"",BB691&amp;""))</f>
        <v/>
      </c>
      <c r="G691" s="0" t="str">
        <f aca="false">IF($A691="","",IF(AT691="Y",BP691&amp;"",BC691&amp;""))</f>
        <v/>
      </c>
      <c r="H691" s="0" t="str">
        <f aca="false">IF($A691="","",IF(AT691="Y",BQ691&amp;"",BD691&amp;""))</f>
        <v/>
      </c>
      <c r="I691" s="0" t="str">
        <f aca="false">IF($A691="","",IF(R691="Y","warm-intro",IF(H691="verified","email",IF(C691&lt;&gt;"","linkedin",CA691&amp;""))))</f>
        <v/>
      </c>
      <c r="J691" s="0" t="str">
        <f aca="false">IF($A691="","",IF(CK691="pass",ROUND(N(DO691)+N(DP691)+N(DQ691)+N(DR691)+N(DS691)+N(DT691)+N(DU691)+N(DV691),0),0))</f>
        <v/>
      </c>
      <c r="K691" s="0" t="str">
        <f aca="false">IF($A691="","",IF(CK691&lt;&gt;"pass",BY691&amp;"",BY691&amp;", "&amp;IF(AT691="Y",BX691&amp;"",BK691&amp;"")&amp;BZ691&amp;IF(R691="Y","; known to the founder (+10)","")&amp;"."))</f>
        <v/>
      </c>
      <c r="R691" s="5"/>
      <c r="T691" s="5"/>
      <c r="U691" s="5"/>
      <c r="Y691" s="0" t="str">
        <f aca="false">IF(FA691&lt;&gt;"Y","",COUNTIFS($FA$2:$FA$1000,"Y",$J$2:$J$1000,"&gt;"&amp;J691)+COUNTIFS($FA$2:$FA$1000,"Y",$J$2:$J$1000,J691,$FG$2:$FG$1000,"&lt;"&amp;FG691)+1)</f>
        <v/>
      </c>
      <c r="AB691" s="0" t="str">
        <f aca="false">IF($A691="","",IF(AT691="Y",BW691&amp;"",BJ691&amp;""))</f>
        <v/>
      </c>
      <c r="AC691" s="0" t="str">
        <f aca="false">IF($A691="","",IF(AT691="Y",BR691&amp;"",BE691&amp;""))</f>
        <v/>
      </c>
      <c r="AD691" s="0" t="str">
        <f aca="false">IF($A691="","",IF(AT691="Y",BS691&amp;"",BF691&amp;""))</f>
        <v/>
      </c>
      <c r="AE691" s="0" t="str">
        <f aca="false">IF($A691="","",IF(AT691="Y",BT691&amp;"",BG691&amp;""))</f>
        <v/>
      </c>
      <c r="AF691" s="0" t="str">
        <f aca="false">IF($A691="","",IF(AT691="Y",BU691&amp;"",BH691&amp;""))</f>
        <v/>
      </c>
      <c r="AG691" s="0" t="str">
        <f aca="false">IF($A691="","",IF(AT691="Y",BV691&amp;"",BI691&amp;""))</f>
        <v/>
      </c>
      <c r="AO691" s="5"/>
      <c r="AR691" s="0" t="str">
        <f aca="false">IF($A691="","",IF(AND(CK691="pass",AO691&lt;&gt;"Y",C691&lt;&gt;"",OR(AU691&lt;&gt;"Y",AV691="Y")),"Y","N"))</f>
        <v/>
      </c>
      <c r="AS691" s="0" t="str">
        <f aca="false">IF($A691="","",_xlfn.TEXTJOIN("; ",TRUE(),IF(CK691&lt;&gt;"pass","gated out",""),IF(AO691="Y","on hold: "&amp;AP691,""),IF(C691="","no contact named on an opened page",""),IF(AND(AU691="Y",AV691&lt;&gt;"Y"),"founder review pending (Founder review tab)","")))</f>
        <v/>
      </c>
      <c r="BC691" s="0" t="str">
        <f aca="false">IF($A691="","",IFERROR(INDEX(Enrichment!$A$2:$GZ$2000,MATCH($A691,INDEX(Enrichment!$A$2:$GZ$2000,0,MATCH("row_id",Enrichment!$A$1:$GZ$1,0)),0),MATCH("work_email",Enrichment!$A$1:$GZ$1,0))&amp;"",""))</f>
        <v/>
      </c>
      <c r="BD691" s="0" t="str">
        <f aca="false">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P691" s="0" t="str">
        <f aca="false">IF($A691="","",IFERROR(INDEX(Enrichment!$A$2:$GZ$2000,MATCH($A691,INDEX(Enrichment!$A$2:$GZ$2000,0,MATCH("row_id",Enrichment!$A$1:$GZ$1,0)),0),MATCH("backup_work_email",Enrichment!$A$1:$GZ$1,0))&amp;"",""))</f>
        <v/>
      </c>
      <c r="BQ691" s="0" t="str">
        <f aca="false">IF($A691="","",IF(BP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DU691" s="0" t="str">
        <f aca="false">IF($A691="","",IF(R691="Y",10,0))</f>
        <v/>
      </c>
      <c r="EV691" s="0" t="str">
        <f aca="false">IF($A691="","",IF(ISNUMBER(MATCH(U691,{"queued","contacted","replied","call_booked","call_done","yes_in_principle","materials_sent"},0)),"Y","N"))</f>
        <v/>
      </c>
      <c r="EW691" s="0" t="str">
        <f aca="false">IF($A691="","",IF(OR(T691="Y",U691="do_not_contact",AQ691&amp;""&lt;&gt;""),"Y","N"))</f>
        <v/>
      </c>
      <c r="EX691" s="0" t="str">
        <f aca="false">IF($A691="","",IF(AN691&amp;""&lt;&gt;"",AN691&amp;"",$A691))</f>
        <v/>
      </c>
      <c r="EY691" s="0" t="str">
        <f aca="false">IF($A691="","",IF(COUNTIFS($EX$2:$EX$1000,EX691,$EV$2:$EV$1000,"Y")+COUNTIFS($EX$2:$EX$1000,EX691,$EW$2:$EW$1000,"Y")&gt;0,"Y","N"))</f>
        <v/>
      </c>
      <c r="EZ691" s="0" t="str">
        <f aca="false">IF($A691="","",IF(AND(U691="new",T691="N",EW691="N",AR691="Y",EY691="N"),"Y","N"))</f>
        <v/>
      </c>
      <c r="FA691" s="0" t="str">
        <f aca="false">IF($A691="","",IF(EZ691&lt;&gt;"Y","N",IF(COUNTIFS($EX$2:$EX$1000,EX691,$EZ$2:$EZ$1000,"Y",$J$2:$J$1000,"&gt;"&amp;J691)+COUNTIFS($EX$2:$EX$1000,EX691,$EZ$2:$EZ$1000,"Y",$J$2:$J$1000,J691,$FG$2:$FG$1000,"&lt;"&amp;FG691)=0,"Y","N")))</f>
        <v/>
      </c>
      <c r="FB691" s="0" t="str">
        <f aca="false">IF($A691="","",IF(AND(EZ691="Y",FA691="Y",Y691&amp;""&lt;&gt;""),IF(Y691&lt;=10,"Y","N"),"N"))</f>
        <v/>
      </c>
      <c r="FC691" s="0" t="str">
        <f aca="false">IF(FB691="Y",Y691,"")</f>
        <v/>
      </c>
      <c r="FD691" s="0" t="str">
        <f aca="false">IF($A691="","",IF(AND(CK691="pass",AU691="Y",AV691&lt;&gt;"Y",U691="new",EW691="N"),"Y","N"))</f>
        <v/>
      </c>
      <c r="FE691" s="0" t="str">
        <f aca="false">IF(FD691&lt;&gt;"Y","",IF(COUNTIFS($FD$2:$FD$1000,"Y",$J$2:$J$1000,"&gt;"&amp;J691)+COUNTIFS($FD$2:$FD$1000,"Y",$J$2:$J$1000,J691,$FG$2:$FG$1000,"&lt;"&amp;FG691)+1&lt;=30,COUNTIFS($FD$2:$FD$1000,"Y",$J$2:$J$1000,"&gt;"&amp;J691)+COUNTIFS($FD$2:$FD$1000,"Y",$J$2:$J$1000,J691,$FG$2:$FG$1000,"&lt;"&amp;FG691)+1,""))</f>
        <v/>
      </c>
      <c r="FF691" s="0" t="str">
        <f aca="false">IF(AND(_xlfn.ISFORMULA(C691),_xlfn.ISFORMULA(J691)),"Y","N")</f>
        <v>Y</v>
      </c>
      <c r="FG691" s="0" t="n">
        <f aca="false">ROW()-1</f>
        <v>690</v>
      </c>
    </row>
    <row r="692" customFormat="false" ht="15" hidden="false" customHeight="false" outlineLevel="0" collapsed="false">
      <c r="C692" s="0" t="str">
        <f aca="false">IF($A692="","",IF(AT692="Y",BL692&amp;"",AY692&amp;""))</f>
        <v/>
      </c>
      <c r="D692" s="0" t="str">
        <f aca="false">IF($A692="","",IF(AT692="Y",BM692&amp;"",AZ692&amp;""))</f>
        <v/>
      </c>
      <c r="E692" s="0" t="str">
        <f aca="false">IF($A692="","",IF(AT692="Y",BN692&amp;"",BA692&amp;""))</f>
        <v/>
      </c>
      <c r="F692" s="0" t="str">
        <f aca="false">IF($A692="","",IF(AT692="Y",BO692&amp;"",BB692&amp;""))</f>
        <v/>
      </c>
      <c r="G692" s="0" t="str">
        <f aca="false">IF($A692="","",IF(AT692="Y",BP692&amp;"",BC692&amp;""))</f>
        <v/>
      </c>
      <c r="H692" s="0" t="str">
        <f aca="false">IF($A692="","",IF(AT692="Y",BQ692&amp;"",BD692&amp;""))</f>
        <v/>
      </c>
      <c r="I692" s="0" t="str">
        <f aca="false">IF($A692="","",IF(R692="Y","warm-intro",IF(H692="verified","email",IF(C692&lt;&gt;"","linkedin",CA692&amp;""))))</f>
        <v/>
      </c>
      <c r="J692" s="0" t="str">
        <f aca="false">IF($A692="","",IF(CK692="pass",ROUND(N(DO692)+N(DP692)+N(DQ692)+N(DR692)+N(DS692)+N(DT692)+N(DU692)+N(DV692),0),0))</f>
        <v/>
      </c>
      <c r="K692" s="0" t="str">
        <f aca="false">IF($A692="","",IF(CK692&lt;&gt;"pass",BY692&amp;"",BY692&amp;", "&amp;IF(AT692="Y",BX692&amp;"",BK692&amp;"")&amp;BZ692&amp;IF(R692="Y","; known to the founder (+10)","")&amp;"."))</f>
        <v/>
      </c>
      <c r="R692" s="5"/>
      <c r="T692" s="5"/>
      <c r="U692" s="5"/>
      <c r="Y692" s="0" t="str">
        <f aca="false">IF(FA692&lt;&gt;"Y","",COUNTIFS($FA$2:$FA$1000,"Y",$J$2:$J$1000,"&gt;"&amp;J692)+COUNTIFS($FA$2:$FA$1000,"Y",$J$2:$J$1000,J692,$FG$2:$FG$1000,"&lt;"&amp;FG692)+1)</f>
        <v/>
      </c>
      <c r="AB692" s="0" t="str">
        <f aca="false">IF($A692="","",IF(AT692="Y",BW692&amp;"",BJ692&amp;""))</f>
        <v/>
      </c>
      <c r="AC692" s="0" t="str">
        <f aca="false">IF($A692="","",IF(AT692="Y",BR692&amp;"",BE692&amp;""))</f>
        <v/>
      </c>
      <c r="AD692" s="0" t="str">
        <f aca="false">IF($A692="","",IF(AT692="Y",BS692&amp;"",BF692&amp;""))</f>
        <v/>
      </c>
      <c r="AE692" s="0" t="str">
        <f aca="false">IF($A692="","",IF(AT692="Y",BT692&amp;"",BG692&amp;""))</f>
        <v/>
      </c>
      <c r="AF692" s="0" t="str">
        <f aca="false">IF($A692="","",IF(AT692="Y",BU692&amp;"",BH692&amp;""))</f>
        <v/>
      </c>
      <c r="AG692" s="0" t="str">
        <f aca="false">IF($A692="","",IF(AT692="Y",BV692&amp;"",BI692&amp;""))</f>
        <v/>
      </c>
      <c r="AO692" s="5"/>
      <c r="AR692" s="0" t="str">
        <f aca="false">IF($A692="","",IF(AND(CK692="pass",AO692&lt;&gt;"Y",C692&lt;&gt;"",OR(AU692&lt;&gt;"Y",AV692="Y")),"Y","N"))</f>
        <v/>
      </c>
      <c r="AS692" s="0" t="str">
        <f aca="false">IF($A692="","",_xlfn.TEXTJOIN("; ",TRUE(),IF(CK692&lt;&gt;"pass","gated out",""),IF(AO692="Y","on hold: "&amp;AP692,""),IF(C692="","no contact named on an opened page",""),IF(AND(AU692="Y",AV692&lt;&gt;"Y"),"founder review pending (Founder review tab)","")))</f>
        <v/>
      </c>
      <c r="BC692" s="0" t="str">
        <f aca="false">IF($A692="","",IFERROR(INDEX(Enrichment!$A$2:$GZ$2000,MATCH($A692,INDEX(Enrichment!$A$2:$GZ$2000,0,MATCH("row_id",Enrichment!$A$1:$GZ$1,0)),0),MATCH("work_email",Enrichment!$A$1:$GZ$1,0))&amp;"",""))</f>
        <v/>
      </c>
      <c r="BD692" s="0" t="str">
        <f aca="false">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P692" s="0" t="str">
        <f aca="false">IF($A692="","",IFERROR(INDEX(Enrichment!$A$2:$GZ$2000,MATCH($A692,INDEX(Enrichment!$A$2:$GZ$2000,0,MATCH("row_id",Enrichment!$A$1:$GZ$1,0)),0),MATCH("backup_work_email",Enrichment!$A$1:$GZ$1,0))&amp;"",""))</f>
        <v/>
      </c>
      <c r="BQ692" s="0" t="str">
        <f aca="false">IF($A692="","",IF(BP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DU692" s="0" t="str">
        <f aca="false">IF($A692="","",IF(R692="Y",10,0))</f>
        <v/>
      </c>
      <c r="EV692" s="0" t="str">
        <f aca="false">IF($A692="","",IF(ISNUMBER(MATCH(U692,{"queued","contacted","replied","call_booked","call_done","yes_in_principle","materials_sent"},0)),"Y","N"))</f>
        <v/>
      </c>
      <c r="EW692" s="0" t="str">
        <f aca="false">IF($A692="","",IF(OR(T692="Y",U692="do_not_contact",AQ692&amp;""&lt;&gt;""),"Y","N"))</f>
        <v/>
      </c>
      <c r="EX692" s="0" t="str">
        <f aca="false">IF($A692="","",IF(AN692&amp;""&lt;&gt;"",AN692&amp;"",$A692))</f>
        <v/>
      </c>
      <c r="EY692" s="0" t="str">
        <f aca="false">IF($A692="","",IF(COUNTIFS($EX$2:$EX$1000,EX692,$EV$2:$EV$1000,"Y")+COUNTIFS($EX$2:$EX$1000,EX692,$EW$2:$EW$1000,"Y")&gt;0,"Y","N"))</f>
        <v/>
      </c>
      <c r="EZ692" s="0" t="str">
        <f aca="false">IF($A692="","",IF(AND(U692="new",T692="N",EW692="N",AR692="Y",EY692="N"),"Y","N"))</f>
        <v/>
      </c>
      <c r="FA692" s="0" t="str">
        <f aca="false">IF($A692="","",IF(EZ692&lt;&gt;"Y","N",IF(COUNTIFS($EX$2:$EX$1000,EX692,$EZ$2:$EZ$1000,"Y",$J$2:$J$1000,"&gt;"&amp;J692)+COUNTIFS($EX$2:$EX$1000,EX692,$EZ$2:$EZ$1000,"Y",$J$2:$J$1000,J692,$FG$2:$FG$1000,"&lt;"&amp;FG692)=0,"Y","N")))</f>
        <v/>
      </c>
      <c r="FB692" s="0" t="str">
        <f aca="false">IF($A692="","",IF(AND(EZ692="Y",FA692="Y",Y692&amp;""&lt;&gt;""),IF(Y692&lt;=10,"Y","N"),"N"))</f>
        <v/>
      </c>
      <c r="FC692" s="0" t="str">
        <f aca="false">IF(FB692="Y",Y692,"")</f>
        <v/>
      </c>
      <c r="FD692" s="0" t="str">
        <f aca="false">IF($A692="","",IF(AND(CK692="pass",AU692="Y",AV692&lt;&gt;"Y",U692="new",EW692="N"),"Y","N"))</f>
        <v/>
      </c>
      <c r="FE692" s="0" t="str">
        <f aca="false">IF(FD692&lt;&gt;"Y","",IF(COUNTIFS($FD$2:$FD$1000,"Y",$J$2:$J$1000,"&gt;"&amp;J692)+COUNTIFS($FD$2:$FD$1000,"Y",$J$2:$J$1000,J692,$FG$2:$FG$1000,"&lt;"&amp;FG692)+1&lt;=30,COUNTIFS($FD$2:$FD$1000,"Y",$J$2:$J$1000,"&gt;"&amp;J692)+COUNTIFS($FD$2:$FD$1000,"Y",$J$2:$J$1000,J692,$FG$2:$FG$1000,"&lt;"&amp;FG692)+1,""))</f>
        <v/>
      </c>
      <c r="FF692" s="0" t="str">
        <f aca="false">IF(AND(_xlfn.ISFORMULA(C692),_xlfn.ISFORMULA(J692)),"Y","N")</f>
        <v>Y</v>
      </c>
      <c r="FG692" s="0" t="n">
        <f aca="false">ROW()-1</f>
        <v>691</v>
      </c>
    </row>
    <row r="693" customFormat="false" ht="15" hidden="false" customHeight="false" outlineLevel="0" collapsed="false">
      <c r="C693" s="0" t="str">
        <f aca="false">IF($A693="","",IF(AT693="Y",BL693&amp;"",AY693&amp;""))</f>
        <v/>
      </c>
      <c r="D693" s="0" t="str">
        <f aca="false">IF($A693="","",IF(AT693="Y",BM693&amp;"",AZ693&amp;""))</f>
        <v/>
      </c>
      <c r="E693" s="0" t="str">
        <f aca="false">IF($A693="","",IF(AT693="Y",BN693&amp;"",BA693&amp;""))</f>
        <v/>
      </c>
      <c r="F693" s="0" t="str">
        <f aca="false">IF($A693="","",IF(AT693="Y",BO693&amp;"",BB693&amp;""))</f>
        <v/>
      </c>
      <c r="G693" s="0" t="str">
        <f aca="false">IF($A693="","",IF(AT693="Y",BP693&amp;"",BC693&amp;""))</f>
        <v/>
      </c>
      <c r="H693" s="0" t="str">
        <f aca="false">IF($A693="","",IF(AT693="Y",BQ693&amp;"",BD693&amp;""))</f>
        <v/>
      </c>
      <c r="I693" s="0" t="str">
        <f aca="false">IF($A693="","",IF(R693="Y","warm-intro",IF(H693="verified","email",IF(C693&lt;&gt;"","linkedin",CA693&amp;""))))</f>
        <v/>
      </c>
      <c r="J693" s="0" t="str">
        <f aca="false">IF($A693="","",IF(CK693="pass",ROUND(N(DO693)+N(DP693)+N(DQ693)+N(DR693)+N(DS693)+N(DT693)+N(DU693)+N(DV693),0),0))</f>
        <v/>
      </c>
      <c r="K693" s="0" t="str">
        <f aca="false">IF($A693="","",IF(CK693&lt;&gt;"pass",BY693&amp;"",BY693&amp;", "&amp;IF(AT693="Y",BX693&amp;"",BK693&amp;"")&amp;BZ693&amp;IF(R693="Y","; known to the founder (+10)","")&amp;"."))</f>
        <v/>
      </c>
      <c r="R693" s="5"/>
      <c r="T693" s="5"/>
      <c r="U693" s="5"/>
      <c r="Y693" s="0" t="str">
        <f aca="false">IF(FA693&lt;&gt;"Y","",COUNTIFS($FA$2:$FA$1000,"Y",$J$2:$J$1000,"&gt;"&amp;J693)+COUNTIFS($FA$2:$FA$1000,"Y",$J$2:$J$1000,J693,$FG$2:$FG$1000,"&lt;"&amp;FG693)+1)</f>
        <v/>
      </c>
      <c r="AB693" s="0" t="str">
        <f aca="false">IF($A693="","",IF(AT693="Y",BW693&amp;"",BJ693&amp;""))</f>
        <v/>
      </c>
      <c r="AC693" s="0" t="str">
        <f aca="false">IF($A693="","",IF(AT693="Y",BR693&amp;"",BE693&amp;""))</f>
        <v/>
      </c>
      <c r="AD693" s="0" t="str">
        <f aca="false">IF($A693="","",IF(AT693="Y",BS693&amp;"",BF693&amp;""))</f>
        <v/>
      </c>
      <c r="AE693" s="0" t="str">
        <f aca="false">IF($A693="","",IF(AT693="Y",BT693&amp;"",BG693&amp;""))</f>
        <v/>
      </c>
      <c r="AF693" s="0" t="str">
        <f aca="false">IF($A693="","",IF(AT693="Y",BU693&amp;"",BH693&amp;""))</f>
        <v/>
      </c>
      <c r="AG693" s="0" t="str">
        <f aca="false">IF($A693="","",IF(AT693="Y",BV693&amp;"",BI693&amp;""))</f>
        <v/>
      </c>
      <c r="AO693" s="5"/>
      <c r="AR693" s="0" t="str">
        <f aca="false">IF($A693="","",IF(AND(CK693="pass",AO693&lt;&gt;"Y",C693&lt;&gt;"",OR(AU693&lt;&gt;"Y",AV693="Y")),"Y","N"))</f>
        <v/>
      </c>
      <c r="AS693" s="0" t="str">
        <f aca="false">IF($A693="","",_xlfn.TEXTJOIN("; ",TRUE(),IF(CK693&lt;&gt;"pass","gated out",""),IF(AO693="Y","on hold: "&amp;AP693,""),IF(C693="","no contact named on an opened page",""),IF(AND(AU693="Y",AV693&lt;&gt;"Y"),"founder review pending (Founder review tab)","")))</f>
        <v/>
      </c>
      <c r="BC693" s="0" t="str">
        <f aca="false">IF($A693="","",IFERROR(INDEX(Enrichment!$A$2:$GZ$2000,MATCH($A693,INDEX(Enrichment!$A$2:$GZ$2000,0,MATCH("row_id",Enrichment!$A$1:$GZ$1,0)),0),MATCH("work_email",Enrichment!$A$1:$GZ$1,0))&amp;"",""))</f>
        <v/>
      </c>
      <c r="BD693" s="0" t="str">
        <f aca="false">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P693" s="0" t="str">
        <f aca="false">IF($A693="","",IFERROR(INDEX(Enrichment!$A$2:$GZ$2000,MATCH($A693,INDEX(Enrichment!$A$2:$GZ$2000,0,MATCH("row_id",Enrichment!$A$1:$GZ$1,0)),0),MATCH("backup_work_email",Enrichment!$A$1:$GZ$1,0))&amp;"",""))</f>
        <v/>
      </c>
      <c r="BQ693" s="0" t="str">
        <f aca="false">IF($A693="","",IF(BP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DU693" s="0" t="str">
        <f aca="false">IF($A693="","",IF(R693="Y",10,0))</f>
        <v/>
      </c>
      <c r="EV693" s="0" t="str">
        <f aca="false">IF($A693="","",IF(ISNUMBER(MATCH(U693,{"queued","contacted","replied","call_booked","call_done","yes_in_principle","materials_sent"},0)),"Y","N"))</f>
        <v/>
      </c>
      <c r="EW693" s="0" t="str">
        <f aca="false">IF($A693="","",IF(OR(T693="Y",U693="do_not_contact",AQ693&amp;""&lt;&gt;""),"Y","N"))</f>
        <v/>
      </c>
      <c r="EX693" s="0" t="str">
        <f aca="false">IF($A693="","",IF(AN693&amp;""&lt;&gt;"",AN693&amp;"",$A693))</f>
        <v/>
      </c>
      <c r="EY693" s="0" t="str">
        <f aca="false">IF($A693="","",IF(COUNTIFS($EX$2:$EX$1000,EX693,$EV$2:$EV$1000,"Y")+COUNTIFS($EX$2:$EX$1000,EX693,$EW$2:$EW$1000,"Y")&gt;0,"Y","N"))</f>
        <v/>
      </c>
      <c r="EZ693" s="0" t="str">
        <f aca="false">IF($A693="","",IF(AND(U693="new",T693="N",EW693="N",AR693="Y",EY693="N"),"Y","N"))</f>
        <v/>
      </c>
      <c r="FA693" s="0" t="str">
        <f aca="false">IF($A693="","",IF(EZ693&lt;&gt;"Y","N",IF(COUNTIFS($EX$2:$EX$1000,EX693,$EZ$2:$EZ$1000,"Y",$J$2:$J$1000,"&gt;"&amp;J693)+COUNTIFS($EX$2:$EX$1000,EX693,$EZ$2:$EZ$1000,"Y",$J$2:$J$1000,J693,$FG$2:$FG$1000,"&lt;"&amp;FG693)=0,"Y","N")))</f>
        <v/>
      </c>
      <c r="FB693" s="0" t="str">
        <f aca="false">IF($A693="","",IF(AND(EZ693="Y",FA693="Y",Y693&amp;""&lt;&gt;""),IF(Y693&lt;=10,"Y","N"),"N"))</f>
        <v/>
      </c>
      <c r="FC693" s="0" t="str">
        <f aca="false">IF(FB693="Y",Y693,"")</f>
        <v/>
      </c>
      <c r="FD693" s="0" t="str">
        <f aca="false">IF($A693="","",IF(AND(CK693="pass",AU693="Y",AV693&lt;&gt;"Y",U693="new",EW693="N"),"Y","N"))</f>
        <v/>
      </c>
      <c r="FE693" s="0" t="str">
        <f aca="false">IF(FD693&lt;&gt;"Y","",IF(COUNTIFS($FD$2:$FD$1000,"Y",$J$2:$J$1000,"&gt;"&amp;J693)+COUNTIFS($FD$2:$FD$1000,"Y",$J$2:$J$1000,J693,$FG$2:$FG$1000,"&lt;"&amp;FG693)+1&lt;=30,COUNTIFS($FD$2:$FD$1000,"Y",$J$2:$J$1000,"&gt;"&amp;J693)+COUNTIFS($FD$2:$FD$1000,"Y",$J$2:$J$1000,J693,$FG$2:$FG$1000,"&lt;"&amp;FG693)+1,""))</f>
        <v/>
      </c>
      <c r="FF693" s="0" t="str">
        <f aca="false">IF(AND(_xlfn.ISFORMULA(C693),_xlfn.ISFORMULA(J693)),"Y","N")</f>
        <v>Y</v>
      </c>
      <c r="FG693" s="0" t="n">
        <f aca="false">ROW()-1</f>
        <v>692</v>
      </c>
    </row>
    <row r="694" customFormat="false" ht="15" hidden="false" customHeight="false" outlineLevel="0" collapsed="false">
      <c r="C694" s="0" t="str">
        <f aca="false">IF($A694="","",IF(AT694="Y",BL694&amp;"",AY694&amp;""))</f>
        <v/>
      </c>
      <c r="D694" s="0" t="str">
        <f aca="false">IF($A694="","",IF(AT694="Y",BM694&amp;"",AZ694&amp;""))</f>
        <v/>
      </c>
      <c r="E694" s="0" t="str">
        <f aca="false">IF($A694="","",IF(AT694="Y",BN694&amp;"",BA694&amp;""))</f>
        <v/>
      </c>
      <c r="F694" s="0" t="str">
        <f aca="false">IF($A694="","",IF(AT694="Y",BO694&amp;"",BB694&amp;""))</f>
        <v/>
      </c>
      <c r="G694" s="0" t="str">
        <f aca="false">IF($A694="","",IF(AT694="Y",BP694&amp;"",BC694&amp;""))</f>
        <v/>
      </c>
      <c r="H694" s="0" t="str">
        <f aca="false">IF($A694="","",IF(AT694="Y",BQ694&amp;"",BD694&amp;""))</f>
        <v/>
      </c>
      <c r="I694" s="0" t="str">
        <f aca="false">IF($A694="","",IF(R694="Y","warm-intro",IF(H694="verified","email",IF(C694&lt;&gt;"","linkedin",CA694&amp;""))))</f>
        <v/>
      </c>
      <c r="J694" s="0" t="str">
        <f aca="false">IF($A694="","",IF(CK694="pass",ROUND(N(DO694)+N(DP694)+N(DQ694)+N(DR694)+N(DS694)+N(DT694)+N(DU694)+N(DV694),0),0))</f>
        <v/>
      </c>
      <c r="K694" s="0" t="str">
        <f aca="false">IF($A694="","",IF(CK694&lt;&gt;"pass",BY694&amp;"",BY694&amp;", "&amp;IF(AT694="Y",BX694&amp;"",BK694&amp;"")&amp;BZ694&amp;IF(R694="Y","; known to the founder (+10)","")&amp;"."))</f>
        <v/>
      </c>
      <c r="R694" s="5"/>
      <c r="T694" s="5"/>
      <c r="U694" s="5"/>
      <c r="Y694" s="0" t="str">
        <f aca="false">IF(FA694&lt;&gt;"Y","",COUNTIFS($FA$2:$FA$1000,"Y",$J$2:$J$1000,"&gt;"&amp;J694)+COUNTIFS($FA$2:$FA$1000,"Y",$J$2:$J$1000,J694,$FG$2:$FG$1000,"&lt;"&amp;FG694)+1)</f>
        <v/>
      </c>
      <c r="AB694" s="0" t="str">
        <f aca="false">IF($A694="","",IF(AT694="Y",BW694&amp;"",BJ694&amp;""))</f>
        <v/>
      </c>
      <c r="AC694" s="0" t="str">
        <f aca="false">IF($A694="","",IF(AT694="Y",BR694&amp;"",BE694&amp;""))</f>
        <v/>
      </c>
      <c r="AD694" s="0" t="str">
        <f aca="false">IF($A694="","",IF(AT694="Y",BS694&amp;"",BF694&amp;""))</f>
        <v/>
      </c>
      <c r="AE694" s="0" t="str">
        <f aca="false">IF($A694="","",IF(AT694="Y",BT694&amp;"",BG694&amp;""))</f>
        <v/>
      </c>
      <c r="AF694" s="0" t="str">
        <f aca="false">IF($A694="","",IF(AT694="Y",BU694&amp;"",BH694&amp;""))</f>
        <v/>
      </c>
      <c r="AG694" s="0" t="str">
        <f aca="false">IF($A694="","",IF(AT694="Y",BV694&amp;"",BI694&amp;""))</f>
        <v/>
      </c>
      <c r="AO694" s="5"/>
      <c r="AR694" s="0" t="str">
        <f aca="false">IF($A694="","",IF(AND(CK694="pass",AO694&lt;&gt;"Y",C694&lt;&gt;"",OR(AU694&lt;&gt;"Y",AV694="Y")),"Y","N"))</f>
        <v/>
      </c>
      <c r="AS694" s="0" t="str">
        <f aca="false">IF($A694="","",_xlfn.TEXTJOIN("; ",TRUE(),IF(CK694&lt;&gt;"pass","gated out",""),IF(AO694="Y","on hold: "&amp;AP694,""),IF(C694="","no contact named on an opened page",""),IF(AND(AU694="Y",AV694&lt;&gt;"Y"),"founder review pending (Founder review tab)","")))</f>
        <v/>
      </c>
      <c r="BC694" s="0" t="str">
        <f aca="false">IF($A694="","",IFERROR(INDEX(Enrichment!$A$2:$GZ$2000,MATCH($A694,INDEX(Enrichment!$A$2:$GZ$2000,0,MATCH("row_id",Enrichment!$A$1:$GZ$1,0)),0),MATCH("work_email",Enrichment!$A$1:$GZ$1,0))&amp;"",""))</f>
        <v/>
      </c>
      <c r="BD694" s="0" t="str">
        <f aca="false">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P694" s="0" t="str">
        <f aca="false">IF($A694="","",IFERROR(INDEX(Enrichment!$A$2:$GZ$2000,MATCH($A694,INDEX(Enrichment!$A$2:$GZ$2000,0,MATCH("row_id",Enrichment!$A$1:$GZ$1,0)),0),MATCH("backup_work_email",Enrichment!$A$1:$GZ$1,0))&amp;"",""))</f>
        <v/>
      </c>
      <c r="BQ694" s="0" t="str">
        <f aca="false">IF($A694="","",IF(BP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DU694" s="0" t="str">
        <f aca="false">IF($A694="","",IF(R694="Y",10,0))</f>
        <v/>
      </c>
      <c r="EV694" s="0" t="str">
        <f aca="false">IF($A694="","",IF(ISNUMBER(MATCH(U694,{"queued","contacted","replied","call_booked","call_done","yes_in_principle","materials_sent"},0)),"Y","N"))</f>
        <v/>
      </c>
      <c r="EW694" s="0" t="str">
        <f aca="false">IF($A694="","",IF(OR(T694="Y",U694="do_not_contact",AQ694&amp;""&lt;&gt;""),"Y","N"))</f>
        <v/>
      </c>
      <c r="EX694" s="0" t="str">
        <f aca="false">IF($A694="","",IF(AN694&amp;""&lt;&gt;"",AN694&amp;"",$A694))</f>
        <v/>
      </c>
      <c r="EY694" s="0" t="str">
        <f aca="false">IF($A694="","",IF(COUNTIFS($EX$2:$EX$1000,EX694,$EV$2:$EV$1000,"Y")+COUNTIFS($EX$2:$EX$1000,EX694,$EW$2:$EW$1000,"Y")&gt;0,"Y","N"))</f>
        <v/>
      </c>
      <c r="EZ694" s="0" t="str">
        <f aca="false">IF($A694="","",IF(AND(U694="new",T694="N",EW694="N",AR694="Y",EY694="N"),"Y","N"))</f>
        <v/>
      </c>
      <c r="FA694" s="0" t="str">
        <f aca="false">IF($A694="","",IF(EZ694&lt;&gt;"Y","N",IF(COUNTIFS($EX$2:$EX$1000,EX694,$EZ$2:$EZ$1000,"Y",$J$2:$J$1000,"&gt;"&amp;J694)+COUNTIFS($EX$2:$EX$1000,EX694,$EZ$2:$EZ$1000,"Y",$J$2:$J$1000,J694,$FG$2:$FG$1000,"&lt;"&amp;FG694)=0,"Y","N")))</f>
        <v/>
      </c>
      <c r="FB694" s="0" t="str">
        <f aca="false">IF($A694="","",IF(AND(EZ694="Y",FA694="Y",Y694&amp;""&lt;&gt;""),IF(Y694&lt;=10,"Y","N"),"N"))</f>
        <v/>
      </c>
      <c r="FC694" s="0" t="str">
        <f aca="false">IF(FB694="Y",Y694,"")</f>
        <v/>
      </c>
      <c r="FD694" s="0" t="str">
        <f aca="false">IF($A694="","",IF(AND(CK694="pass",AU694="Y",AV694&lt;&gt;"Y",U694="new",EW694="N"),"Y","N"))</f>
        <v/>
      </c>
      <c r="FE694" s="0" t="str">
        <f aca="false">IF(FD694&lt;&gt;"Y","",IF(COUNTIFS($FD$2:$FD$1000,"Y",$J$2:$J$1000,"&gt;"&amp;J694)+COUNTIFS($FD$2:$FD$1000,"Y",$J$2:$J$1000,J694,$FG$2:$FG$1000,"&lt;"&amp;FG694)+1&lt;=30,COUNTIFS($FD$2:$FD$1000,"Y",$J$2:$J$1000,"&gt;"&amp;J694)+COUNTIFS($FD$2:$FD$1000,"Y",$J$2:$J$1000,J694,$FG$2:$FG$1000,"&lt;"&amp;FG694)+1,""))</f>
        <v/>
      </c>
      <c r="FF694" s="0" t="str">
        <f aca="false">IF(AND(_xlfn.ISFORMULA(C694),_xlfn.ISFORMULA(J694)),"Y","N")</f>
        <v>Y</v>
      </c>
      <c r="FG694" s="0" t="n">
        <f aca="false">ROW()-1</f>
        <v>693</v>
      </c>
    </row>
    <row r="695" customFormat="false" ht="15" hidden="false" customHeight="false" outlineLevel="0" collapsed="false">
      <c r="C695" s="0" t="str">
        <f aca="false">IF($A695="","",IF(AT695="Y",BL695&amp;"",AY695&amp;""))</f>
        <v/>
      </c>
      <c r="D695" s="0" t="str">
        <f aca="false">IF($A695="","",IF(AT695="Y",BM695&amp;"",AZ695&amp;""))</f>
        <v/>
      </c>
      <c r="E695" s="0" t="str">
        <f aca="false">IF($A695="","",IF(AT695="Y",BN695&amp;"",BA695&amp;""))</f>
        <v/>
      </c>
      <c r="F695" s="0" t="str">
        <f aca="false">IF($A695="","",IF(AT695="Y",BO695&amp;"",BB695&amp;""))</f>
        <v/>
      </c>
      <c r="G695" s="0" t="str">
        <f aca="false">IF($A695="","",IF(AT695="Y",BP695&amp;"",BC695&amp;""))</f>
        <v/>
      </c>
      <c r="H695" s="0" t="str">
        <f aca="false">IF($A695="","",IF(AT695="Y",BQ695&amp;"",BD695&amp;""))</f>
        <v/>
      </c>
      <c r="I695" s="0" t="str">
        <f aca="false">IF($A695="","",IF(R695="Y","warm-intro",IF(H695="verified","email",IF(C695&lt;&gt;"","linkedin",CA695&amp;""))))</f>
        <v/>
      </c>
      <c r="J695" s="0" t="str">
        <f aca="false">IF($A695="","",IF(CK695="pass",ROUND(N(DO695)+N(DP695)+N(DQ695)+N(DR695)+N(DS695)+N(DT695)+N(DU695)+N(DV695),0),0))</f>
        <v/>
      </c>
      <c r="K695" s="0" t="str">
        <f aca="false">IF($A695="","",IF(CK695&lt;&gt;"pass",BY695&amp;"",BY695&amp;", "&amp;IF(AT695="Y",BX695&amp;"",BK695&amp;"")&amp;BZ695&amp;IF(R695="Y","; known to the founder (+10)","")&amp;"."))</f>
        <v/>
      </c>
      <c r="R695" s="5"/>
      <c r="T695" s="5"/>
      <c r="U695" s="5"/>
      <c r="Y695" s="0" t="str">
        <f aca="false">IF(FA695&lt;&gt;"Y","",COUNTIFS($FA$2:$FA$1000,"Y",$J$2:$J$1000,"&gt;"&amp;J695)+COUNTIFS($FA$2:$FA$1000,"Y",$J$2:$J$1000,J695,$FG$2:$FG$1000,"&lt;"&amp;FG695)+1)</f>
        <v/>
      </c>
      <c r="AB695" s="0" t="str">
        <f aca="false">IF($A695="","",IF(AT695="Y",BW695&amp;"",BJ695&amp;""))</f>
        <v/>
      </c>
      <c r="AC695" s="0" t="str">
        <f aca="false">IF($A695="","",IF(AT695="Y",BR695&amp;"",BE695&amp;""))</f>
        <v/>
      </c>
      <c r="AD695" s="0" t="str">
        <f aca="false">IF($A695="","",IF(AT695="Y",BS695&amp;"",BF695&amp;""))</f>
        <v/>
      </c>
      <c r="AE695" s="0" t="str">
        <f aca="false">IF($A695="","",IF(AT695="Y",BT695&amp;"",BG695&amp;""))</f>
        <v/>
      </c>
      <c r="AF695" s="0" t="str">
        <f aca="false">IF($A695="","",IF(AT695="Y",BU695&amp;"",BH695&amp;""))</f>
        <v/>
      </c>
      <c r="AG695" s="0" t="str">
        <f aca="false">IF($A695="","",IF(AT695="Y",BV695&amp;"",BI695&amp;""))</f>
        <v/>
      </c>
      <c r="AO695" s="5"/>
      <c r="AR695" s="0" t="str">
        <f aca="false">IF($A695="","",IF(AND(CK695="pass",AO695&lt;&gt;"Y",C695&lt;&gt;"",OR(AU695&lt;&gt;"Y",AV695="Y")),"Y","N"))</f>
        <v/>
      </c>
      <c r="AS695" s="0" t="str">
        <f aca="false">IF($A695="","",_xlfn.TEXTJOIN("; ",TRUE(),IF(CK695&lt;&gt;"pass","gated out",""),IF(AO695="Y","on hold: "&amp;AP695,""),IF(C695="","no contact named on an opened page",""),IF(AND(AU695="Y",AV695&lt;&gt;"Y"),"founder review pending (Founder review tab)","")))</f>
        <v/>
      </c>
      <c r="BC695" s="0" t="str">
        <f aca="false">IF($A695="","",IFERROR(INDEX(Enrichment!$A$2:$GZ$2000,MATCH($A695,INDEX(Enrichment!$A$2:$GZ$2000,0,MATCH("row_id",Enrichment!$A$1:$GZ$1,0)),0),MATCH("work_email",Enrichment!$A$1:$GZ$1,0))&amp;"",""))</f>
        <v/>
      </c>
      <c r="BD695" s="0" t="str">
        <f aca="false">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P695" s="0" t="str">
        <f aca="false">IF($A695="","",IFERROR(INDEX(Enrichment!$A$2:$GZ$2000,MATCH($A695,INDEX(Enrichment!$A$2:$GZ$2000,0,MATCH("row_id",Enrichment!$A$1:$GZ$1,0)),0),MATCH("backup_work_email",Enrichment!$A$1:$GZ$1,0))&amp;"",""))</f>
        <v/>
      </c>
      <c r="BQ695" s="0" t="str">
        <f aca="false">IF($A695="","",IF(BP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DU695" s="0" t="str">
        <f aca="false">IF($A695="","",IF(R695="Y",10,0))</f>
        <v/>
      </c>
      <c r="EV695" s="0" t="str">
        <f aca="false">IF($A695="","",IF(ISNUMBER(MATCH(U695,{"queued","contacted","replied","call_booked","call_done","yes_in_principle","materials_sent"},0)),"Y","N"))</f>
        <v/>
      </c>
      <c r="EW695" s="0" t="str">
        <f aca="false">IF($A695="","",IF(OR(T695="Y",U695="do_not_contact",AQ695&amp;""&lt;&gt;""),"Y","N"))</f>
        <v/>
      </c>
      <c r="EX695" s="0" t="str">
        <f aca="false">IF($A695="","",IF(AN695&amp;""&lt;&gt;"",AN695&amp;"",$A695))</f>
        <v/>
      </c>
      <c r="EY695" s="0" t="str">
        <f aca="false">IF($A695="","",IF(COUNTIFS($EX$2:$EX$1000,EX695,$EV$2:$EV$1000,"Y")+COUNTIFS($EX$2:$EX$1000,EX695,$EW$2:$EW$1000,"Y")&gt;0,"Y","N"))</f>
        <v/>
      </c>
      <c r="EZ695" s="0" t="str">
        <f aca="false">IF($A695="","",IF(AND(U695="new",T695="N",EW695="N",AR695="Y",EY695="N"),"Y","N"))</f>
        <v/>
      </c>
      <c r="FA695" s="0" t="str">
        <f aca="false">IF($A695="","",IF(EZ695&lt;&gt;"Y","N",IF(COUNTIFS($EX$2:$EX$1000,EX695,$EZ$2:$EZ$1000,"Y",$J$2:$J$1000,"&gt;"&amp;J695)+COUNTIFS($EX$2:$EX$1000,EX695,$EZ$2:$EZ$1000,"Y",$J$2:$J$1000,J695,$FG$2:$FG$1000,"&lt;"&amp;FG695)=0,"Y","N")))</f>
        <v/>
      </c>
      <c r="FB695" s="0" t="str">
        <f aca="false">IF($A695="","",IF(AND(EZ695="Y",FA695="Y",Y695&amp;""&lt;&gt;""),IF(Y695&lt;=10,"Y","N"),"N"))</f>
        <v/>
      </c>
      <c r="FC695" s="0" t="str">
        <f aca="false">IF(FB695="Y",Y695,"")</f>
        <v/>
      </c>
      <c r="FD695" s="0" t="str">
        <f aca="false">IF($A695="","",IF(AND(CK695="pass",AU695="Y",AV695&lt;&gt;"Y",U695="new",EW695="N"),"Y","N"))</f>
        <v/>
      </c>
      <c r="FE695" s="0" t="str">
        <f aca="false">IF(FD695&lt;&gt;"Y","",IF(COUNTIFS($FD$2:$FD$1000,"Y",$J$2:$J$1000,"&gt;"&amp;J695)+COUNTIFS($FD$2:$FD$1000,"Y",$J$2:$J$1000,J695,$FG$2:$FG$1000,"&lt;"&amp;FG695)+1&lt;=30,COUNTIFS($FD$2:$FD$1000,"Y",$J$2:$J$1000,"&gt;"&amp;J695)+COUNTIFS($FD$2:$FD$1000,"Y",$J$2:$J$1000,J695,$FG$2:$FG$1000,"&lt;"&amp;FG695)+1,""))</f>
        <v/>
      </c>
      <c r="FF695" s="0" t="str">
        <f aca="false">IF(AND(_xlfn.ISFORMULA(C695),_xlfn.ISFORMULA(J695)),"Y","N")</f>
        <v>Y</v>
      </c>
      <c r="FG695" s="0" t="n">
        <f aca="false">ROW()-1</f>
        <v>694</v>
      </c>
    </row>
    <row r="696" customFormat="false" ht="15" hidden="false" customHeight="false" outlineLevel="0" collapsed="false">
      <c r="C696" s="0" t="str">
        <f aca="false">IF($A696="","",IF(AT696="Y",BL696&amp;"",AY696&amp;""))</f>
        <v/>
      </c>
      <c r="D696" s="0" t="str">
        <f aca="false">IF($A696="","",IF(AT696="Y",BM696&amp;"",AZ696&amp;""))</f>
        <v/>
      </c>
      <c r="E696" s="0" t="str">
        <f aca="false">IF($A696="","",IF(AT696="Y",BN696&amp;"",BA696&amp;""))</f>
        <v/>
      </c>
      <c r="F696" s="0" t="str">
        <f aca="false">IF($A696="","",IF(AT696="Y",BO696&amp;"",BB696&amp;""))</f>
        <v/>
      </c>
      <c r="G696" s="0" t="str">
        <f aca="false">IF($A696="","",IF(AT696="Y",BP696&amp;"",BC696&amp;""))</f>
        <v/>
      </c>
      <c r="H696" s="0" t="str">
        <f aca="false">IF($A696="","",IF(AT696="Y",BQ696&amp;"",BD696&amp;""))</f>
        <v/>
      </c>
      <c r="I696" s="0" t="str">
        <f aca="false">IF($A696="","",IF(R696="Y","warm-intro",IF(H696="verified","email",IF(C696&lt;&gt;"","linkedin",CA696&amp;""))))</f>
        <v/>
      </c>
      <c r="J696" s="0" t="str">
        <f aca="false">IF($A696="","",IF(CK696="pass",ROUND(N(DO696)+N(DP696)+N(DQ696)+N(DR696)+N(DS696)+N(DT696)+N(DU696)+N(DV696),0),0))</f>
        <v/>
      </c>
      <c r="K696" s="0" t="str">
        <f aca="false">IF($A696="","",IF(CK696&lt;&gt;"pass",BY696&amp;"",BY696&amp;", "&amp;IF(AT696="Y",BX696&amp;"",BK696&amp;"")&amp;BZ696&amp;IF(R696="Y","; known to the founder (+10)","")&amp;"."))</f>
        <v/>
      </c>
      <c r="R696" s="5"/>
      <c r="T696" s="5"/>
      <c r="U696" s="5"/>
      <c r="Y696" s="0" t="str">
        <f aca="false">IF(FA696&lt;&gt;"Y","",COUNTIFS($FA$2:$FA$1000,"Y",$J$2:$J$1000,"&gt;"&amp;J696)+COUNTIFS($FA$2:$FA$1000,"Y",$J$2:$J$1000,J696,$FG$2:$FG$1000,"&lt;"&amp;FG696)+1)</f>
        <v/>
      </c>
      <c r="AB696" s="0" t="str">
        <f aca="false">IF($A696="","",IF(AT696="Y",BW696&amp;"",BJ696&amp;""))</f>
        <v/>
      </c>
      <c r="AC696" s="0" t="str">
        <f aca="false">IF($A696="","",IF(AT696="Y",BR696&amp;"",BE696&amp;""))</f>
        <v/>
      </c>
      <c r="AD696" s="0" t="str">
        <f aca="false">IF($A696="","",IF(AT696="Y",BS696&amp;"",BF696&amp;""))</f>
        <v/>
      </c>
      <c r="AE696" s="0" t="str">
        <f aca="false">IF($A696="","",IF(AT696="Y",BT696&amp;"",BG696&amp;""))</f>
        <v/>
      </c>
      <c r="AF696" s="0" t="str">
        <f aca="false">IF($A696="","",IF(AT696="Y",BU696&amp;"",BH696&amp;""))</f>
        <v/>
      </c>
      <c r="AG696" s="0" t="str">
        <f aca="false">IF($A696="","",IF(AT696="Y",BV696&amp;"",BI696&amp;""))</f>
        <v/>
      </c>
      <c r="AO696" s="5"/>
      <c r="AR696" s="0" t="str">
        <f aca="false">IF($A696="","",IF(AND(CK696="pass",AO696&lt;&gt;"Y",C696&lt;&gt;"",OR(AU696&lt;&gt;"Y",AV696="Y")),"Y","N"))</f>
        <v/>
      </c>
      <c r="AS696" s="0" t="str">
        <f aca="false">IF($A696="","",_xlfn.TEXTJOIN("; ",TRUE(),IF(CK696&lt;&gt;"pass","gated out",""),IF(AO696="Y","on hold: "&amp;AP696,""),IF(C696="","no contact named on an opened page",""),IF(AND(AU696="Y",AV696&lt;&gt;"Y"),"founder review pending (Founder review tab)","")))</f>
        <v/>
      </c>
      <c r="BC696" s="0" t="str">
        <f aca="false">IF($A696="","",IFERROR(INDEX(Enrichment!$A$2:$GZ$2000,MATCH($A696,INDEX(Enrichment!$A$2:$GZ$2000,0,MATCH("row_id",Enrichment!$A$1:$GZ$1,0)),0),MATCH("work_email",Enrichment!$A$1:$GZ$1,0))&amp;"",""))</f>
        <v/>
      </c>
      <c r="BD696" s="0" t="str">
        <f aca="false">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P696" s="0" t="str">
        <f aca="false">IF($A696="","",IFERROR(INDEX(Enrichment!$A$2:$GZ$2000,MATCH($A696,INDEX(Enrichment!$A$2:$GZ$2000,0,MATCH("row_id",Enrichment!$A$1:$GZ$1,0)),0),MATCH("backup_work_email",Enrichment!$A$1:$GZ$1,0))&amp;"",""))</f>
        <v/>
      </c>
      <c r="BQ696" s="0" t="str">
        <f aca="false">IF($A696="","",IF(BP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DU696" s="0" t="str">
        <f aca="false">IF($A696="","",IF(R696="Y",10,0))</f>
        <v/>
      </c>
      <c r="EV696" s="0" t="str">
        <f aca="false">IF($A696="","",IF(ISNUMBER(MATCH(U696,{"queued","contacted","replied","call_booked","call_done","yes_in_principle","materials_sent"},0)),"Y","N"))</f>
        <v/>
      </c>
      <c r="EW696" s="0" t="str">
        <f aca="false">IF($A696="","",IF(OR(T696="Y",U696="do_not_contact",AQ696&amp;""&lt;&gt;""),"Y","N"))</f>
        <v/>
      </c>
      <c r="EX696" s="0" t="str">
        <f aca="false">IF($A696="","",IF(AN696&amp;""&lt;&gt;"",AN696&amp;"",$A696))</f>
        <v/>
      </c>
      <c r="EY696" s="0" t="str">
        <f aca="false">IF($A696="","",IF(COUNTIFS($EX$2:$EX$1000,EX696,$EV$2:$EV$1000,"Y")+COUNTIFS($EX$2:$EX$1000,EX696,$EW$2:$EW$1000,"Y")&gt;0,"Y","N"))</f>
        <v/>
      </c>
      <c r="EZ696" s="0" t="str">
        <f aca="false">IF($A696="","",IF(AND(U696="new",T696="N",EW696="N",AR696="Y",EY696="N"),"Y","N"))</f>
        <v/>
      </c>
      <c r="FA696" s="0" t="str">
        <f aca="false">IF($A696="","",IF(EZ696&lt;&gt;"Y","N",IF(COUNTIFS($EX$2:$EX$1000,EX696,$EZ$2:$EZ$1000,"Y",$J$2:$J$1000,"&gt;"&amp;J696)+COUNTIFS($EX$2:$EX$1000,EX696,$EZ$2:$EZ$1000,"Y",$J$2:$J$1000,J696,$FG$2:$FG$1000,"&lt;"&amp;FG696)=0,"Y","N")))</f>
        <v/>
      </c>
      <c r="FB696" s="0" t="str">
        <f aca="false">IF($A696="","",IF(AND(EZ696="Y",FA696="Y",Y696&amp;""&lt;&gt;""),IF(Y696&lt;=10,"Y","N"),"N"))</f>
        <v/>
      </c>
      <c r="FC696" s="0" t="str">
        <f aca="false">IF(FB696="Y",Y696,"")</f>
        <v/>
      </c>
      <c r="FD696" s="0" t="str">
        <f aca="false">IF($A696="","",IF(AND(CK696="pass",AU696="Y",AV696&lt;&gt;"Y",U696="new",EW696="N"),"Y","N"))</f>
        <v/>
      </c>
      <c r="FE696" s="0" t="str">
        <f aca="false">IF(FD696&lt;&gt;"Y","",IF(COUNTIFS($FD$2:$FD$1000,"Y",$J$2:$J$1000,"&gt;"&amp;J696)+COUNTIFS($FD$2:$FD$1000,"Y",$J$2:$J$1000,J696,$FG$2:$FG$1000,"&lt;"&amp;FG696)+1&lt;=30,COUNTIFS($FD$2:$FD$1000,"Y",$J$2:$J$1000,"&gt;"&amp;J696)+COUNTIFS($FD$2:$FD$1000,"Y",$J$2:$J$1000,J696,$FG$2:$FG$1000,"&lt;"&amp;FG696)+1,""))</f>
        <v/>
      </c>
      <c r="FF696" s="0" t="str">
        <f aca="false">IF(AND(_xlfn.ISFORMULA(C696),_xlfn.ISFORMULA(J696)),"Y","N")</f>
        <v>Y</v>
      </c>
      <c r="FG696" s="0" t="n">
        <f aca="false">ROW()-1</f>
        <v>695</v>
      </c>
    </row>
    <row r="697" customFormat="false" ht="15" hidden="false" customHeight="false" outlineLevel="0" collapsed="false">
      <c r="C697" s="0" t="str">
        <f aca="false">IF($A697="","",IF(AT697="Y",BL697&amp;"",AY697&amp;""))</f>
        <v/>
      </c>
      <c r="D697" s="0" t="str">
        <f aca="false">IF($A697="","",IF(AT697="Y",BM697&amp;"",AZ697&amp;""))</f>
        <v/>
      </c>
      <c r="E697" s="0" t="str">
        <f aca="false">IF($A697="","",IF(AT697="Y",BN697&amp;"",BA697&amp;""))</f>
        <v/>
      </c>
      <c r="F697" s="0" t="str">
        <f aca="false">IF($A697="","",IF(AT697="Y",BO697&amp;"",BB697&amp;""))</f>
        <v/>
      </c>
      <c r="G697" s="0" t="str">
        <f aca="false">IF($A697="","",IF(AT697="Y",BP697&amp;"",BC697&amp;""))</f>
        <v/>
      </c>
      <c r="H697" s="0" t="str">
        <f aca="false">IF($A697="","",IF(AT697="Y",BQ697&amp;"",BD697&amp;""))</f>
        <v/>
      </c>
      <c r="I697" s="0" t="str">
        <f aca="false">IF($A697="","",IF(R697="Y","warm-intro",IF(H697="verified","email",IF(C697&lt;&gt;"","linkedin",CA697&amp;""))))</f>
        <v/>
      </c>
      <c r="J697" s="0" t="str">
        <f aca="false">IF($A697="","",IF(CK697="pass",ROUND(N(DO697)+N(DP697)+N(DQ697)+N(DR697)+N(DS697)+N(DT697)+N(DU697)+N(DV697),0),0))</f>
        <v/>
      </c>
      <c r="K697" s="0" t="str">
        <f aca="false">IF($A697="","",IF(CK697&lt;&gt;"pass",BY697&amp;"",BY697&amp;", "&amp;IF(AT697="Y",BX697&amp;"",BK697&amp;"")&amp;BZ697&amp;IF(R697="Y","; known to the founder (+10)","")&amp;"."))</f>
        <v/>
      </c>
      <c r="R697" s="5"/>
      <c r="T697" s="5"/>
      <c r="U697" s="5"/>
      <c r="Y697" s="0" t="str">
        <f aca="false">IF(FA697&lt;&gt;"Y","",COUNTIFS($FA$2:$FA$1000,"Y",$J$2:$J$1000,"&gt;"&amp;J697)+COUNTIFS($FA$2:$FA$1000,"Y",$J$2:$J$1000,J697,$FG$2:$FG$1000,"&lt;"&amp;FG697)+1)</f>
        <v/>
      </c>
      <c r="AB697" s="0" t="str">
        <f aca="false">IF($A697="","",IF(AT697="Y",BW697&amp;"",BJ697&amp;""))</f>
        <v/>
      </c>
      <c r="AC697" s="0" t="str">
        <f aca="false">IF($A697="","",IF(AT697="Y",BR697&amp;"",BE697&amp;""))</f>
        <v/>
      </c>
      <c r="AD697" s="0" t="str">
        <f aca="false">IF($A697="","",IF(AT697="Y",BS697&amp;"",BF697&amp;""))</f>
        <v/>
      </c>
      <c r="AE697" s="0" t="str">
        <f aca="false">IF($A697="","",IF(AT697="Y",BT697&amp;"",BG697&amp;""))</f>
        <v/>
      </c>
      <c r="AF697" s="0" t="str">
        <f aca="false">IF($A697="","",IF(AT697="Y",BU697&amp;"",BH697&amp;""))</f>
        <v/>
      </c>
      <c r="AG697" s="0" t="str">
        <f aca="false">IF($A697="","",IF(AT697="Y",BV697&amp;"",BI697&amp;""))</f>
        <v/>
      </c>
      <c r="AO697" s="5"/>
      <c r="AR697" s="0" t="str">
        <f aca="false">IF($A697="","",IF(AND(CK697="pass",AO697&lt;&gt;"Y",C697&lt;&gt;"",OR(AU697&lt;&gt;"Y",AV697="Y")),"Y","N"))</f>
        <v/>
      </c>
      <c r="AS697" s="0" t="str">
        <f aca="false">IF($A697="","",_xlfn.TEXTJOIN("; ",TRUE(),IF(CK697&lt;&gt;"pass","gated out",""),IF(AO697="Y","on hold: "&amp;AP697,""),IF(C697="","no contact named on an opened page",""),IF(AND(AU697="Y",AV697&lt;&gt;"Y"),"founder review pending (Founder review tab)","")))</f>
        <v/>
      </c>
      <c r="BC697" s="0" t="str">
        <f aca="false">IF($A697="","",IFERROR(INDEX(Enrichment!$A$2:$GZ$2000,MATCH($A697,INDEX(Enrichment!$A$2:$GZ$2000,0,MATCH("row_id",Enrichment!$A$1:$GZ$1,0)),0),MATCH("work_email",Enrichment!$A$1:$GZ$1,0))&amp;"",""))</f>
        <v/>
      </c>
      <c r="BD697" s="0" t="str">
        <f aca="false">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P697" s="0" t="str">
        <f aca="false">IF($A697="","",IFERROR(INDEX(Enrichment!$A$2:$GZ$2000,MATCH($A697,INDEX(Enrichment!$A$2:$GZ$2000,0,MATCH("row_id",Enrichment!$A$1:$GZ$1,0)),0),MATCH("backup_work_email",Enrichment!$A$1:$GZ$1,0))&amp;"",""))</f>
        <v/>
      </c>
      <c r="BQ697" s="0" t="str">
        <f aca="false">IF($A697="","",IF(BP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DU697" s="0" t="str">
        <f aca="false">IF($A697="","",IF(R697="Y",10,0))</f>
        <v/>
      </c>
      <c r="EV697" s="0" t="str">
        <f aca="false">IF($A697="","",IF(ISNUMBER(MATCH(U697,{"queued","contacted","replied","call_booked","call_done","yes_in_principle","materials_sent"},0)),"Y","N"))</f>
        <v/>
      </c>
      <c r="EW697" s="0" t="str">
        <f aca="false">IF($A697="","",IF(OR(T697="Y",U697="do_not_contact",AQ697&amp;""&lt;&gt;""),"Y","N"))</f>
        <v/>
      </c>
      <c r="EX697" s="0" t="str">
        <f aca="false">IF($A697="","",IF(AN697&amp;""&lt;&gt;"",AN697&amp;"",$A697))</f>
        <v/>
      </c>
      <c r="EY697" s="0" t="str">
        <f aca="false">IF($A697="","",IF(COUNTIFS($EX$2:$EX$1000,EX697,$EV$2:$EV$1000,"Y")+COUNTIFS($EX$2:$EX$1000,EX697,$EW$2:$EW$1000,"Y")&gt;0,"Y","N"))</f>
        <v/>
      </c>
      <c r="EZ697" s="0" t="str">
        <f aca="false">IF($A697="","",IF(AND(U697="new",T697="N",EW697="N",AR697="Y",EY697="N"),"Y","N"))</f>
        <v/>
      </c>
      <c r="FA697" s="0" t="str">
        <f aca="false">IF($A697="","",IF(EZ697&lt;&gt;"Y","N",IF(COUNTIFS($EX$2:$EX$1000,EX697,$EZ$2:$EZ$1000,"Y",$J$2:$J$1000,"&gt;"&amp;J697)+COUNTIFS($EX$2:$EX$1000,EX697,$EZ$2:$EZ$1000,"Y",$J$2:$J$1000,J697,$FG$2:$FG$1000,"&lt;"&amp;FG697)=0,"Y","N")))</f>
        <v/>
      </c>
      <c r="FB697" s="0" t="str">
        <f aca="false">IF($A697="","",IF(AND(EZ697="Y",FA697="Y",Y697&amp;""&lt;&gt;""),IF(Y697&lt;=10,"Y","N"),"N"))</f>
        <v/>
      </c>
      <c r="FC697" s="0" t="str">
        <f aca="false">IF(FB697="Y",Y697,"")</f>
        <v/>
      </c>
      <c r="FD697" s="0" t="str">
        <f aca="false">IF($A697="","",IF(AND(CK697="pass",AU697="Y",AV697&lt;&gt;"Y",U697="new",EW697="N"),"Y","N"))</f>
        <v/>
      </c>
      <c r="FE697" s="0" t="str">
        <f aca="false">IF(FD697&lt;&gt;"Y","",IF(COUNTIFS($FD$2:$FD$1000,"Y",$J$2:$J$1000,"&gt;"&amp;J697)+COUNTIFS($FD$2:$FD$1000,"Y",$J$2:$J$1000,J697,$FG$2:$FG$1000,"&lt;"&amp;FG697)+1&lt;=30,COUNTIFS($FD$2:$FD$1000,"Y",$J$2:$J$1000,"&gt;"&amp;J697)+COUNTIFS($FD$2:$FD$1000,"Y",$J$2:$J$1000,J697,$FG$2:$FG$1000,"&lt;"&amp;FG697)+1,""))</f>
        <v/>
      </c>
      <c r="FF697" s="0" t="str">
        <f aca="false">IF(AND(_xlfn.ISFORMULA(C697),_xlfn.ISFORMULA(J697)),"Y","N")</f>
        <v>Y</v>
      </c>
      <c r="FG697" s="0" t="n">
        <f aca="false">ROW()-1</f>
        <v>696</v>
      </c>
    </row>
    <row r="698" customFormat="false" ht="15" hidden="false" customHeight="false" outlineLevel="0" collapsed="false">
      <c r="C698" s="0" t="str">
        <f aca="false">IF($A698="","",IF(AT698="Y",BL698&amp;"",AY698&amp;""))</f>
        <v/>
      </c>
      <c r="D698" s="0" t="str">
        <f aca="false">IF($A698="","",IF(AT698="Y",BM698&amp;"",AZ698&amp;""))</f>
        <v/>
      </c>
      <c r="E698" s="0" t="str">
        <f aca="false">IF($A698="","",IF(AT698="Y",BN698&amp;"",BA698&amp;""))</f>
        <v/>
      </c>
      <c r="F698" s="0" t="str">
        <f aca="false">IF($A698="","",IF(AT698="Y",BO698&amp;"",BB698&amp;""))</f>
        <v/>
      </c>
      <c r="G698" s="0" t="str">
        <f aca="false">IF($A698="","",IF(AT698="Y",BP698&amp;"",BC698&amp;""))</f>
        <v/>
      </c>
      <c r="H698" s="0" t="str">
        <f aca="false">IF($A698="","",IF(AT698="Y",BQ698&amp;"",BD698&amp;""))</f>
        <v/>
      </c>
      <c r="I698" s="0" t="str">
        <f aca="false">IF($A698="","",IF(R698="Y","warm-intro",IF(H698="verified","email",IF(C698&lt;&gt;"","linkedin",CA698&amp;""))))</f>
        <v/>
      </c>
      <c r="J698" s="0" t="str">
        <f aca="false">IF($A698="","",IF(CK698="pass",ROUND(N(DO698)+N(DP698)+N(DQ698)+N(DR698)+N(DS698)+N(DT698)+N(DU698)+N(DV698),0),0))</f>
        <v/>
      </c>
      <c r="K698" s="0" t="str">
        <f aca="false">IF($A698="","",IF(CK698&lt;&gt;"pass",BY698&amp;"",BY698&amp;", "&amp;IF(AT698="Y",BX698&amp;"",BK698&amp;"")&amp;BZ698&amp;IF(R698="Y","; known to the founder (+10)","")&amp;"."))</f>
        <v/>
      </c>
      <c r="R698" s="5"/>
      <c r="T698" s="5"/>
      <c r="U698" s="5"/>
      <c r="Y698" s="0" t="str">
        <f aca="false">IF(FA698&lt;&gt;"Y","",COUNTIFS($FA$2:$FA$1000,"Y",$J$2:$J$1000,"&gt;"&amp;J698)+COUNTIFS($FA$2:$FA$1000,"Y",$J$2:$J$1000,J698,$FG$2:$FG$1000,"&lt;"&amp;FG698)+1)</f>
        <v/>
      </c>
      <c r="AB698" s="0" t="str">
        <f aca="false">IF($A698="","",IF(AT698="Y",BW698&amp;"",BJ698&amp;""))</f>
        <v/>
      </c>
      <c r="AC698" s="0" t="str">
        <f aca="false">IF($A698="","",IF(AT698="Y",BR698&amp;"",BE698&amp;""))</f>
        <v/>
      </c>
      <c r="AD698" s="0" t="str">
        <f aca="false">IF($A698="","",IF(AT698="Y",BS698&amp;"",BF698&amp;""))</f>
        <v/>
      </c>
      <c r="AE698" s="0" t="str">
        <f aca="false">IF($A698="","",IF(AT698="Y",BT698&amp;"",BG698&amp;""))</f>
        <v/>
      </c>
      <c r="AF698" s="0" t="str">
        <f aca="false">IF($A698="","",IF(AT698="Y",BU698&amp;"",BH698&amp;""))</f>
        <v/>
      </c>
      <c r="AG698" s="0" t="str">
        <f aca="false">IF($A698="","",IF(AT698="Y",BV698&amp;"",BI698&amp;""))</f>
        <v/>
      </c>
      <c r="AO698" s="5"/>
      <c r="AR698" s="0" t="str">
        <f aca="false">IF($A698="","",IF(AND(CK698="pass",AO698&lt;&gt;"Y",C698&lt;&gt;"",OR(AU698&lt;&gt;"Y",AV698="Y")),"Y","N"))</f>
        <v/>
      </c>
      <c r="AS698" s="0" t="str">
        <f aca="false">IF($A698="","",_xlfn.TEXTJOIN("; ",TRUE(),IF(CK698&lt;&gt;"pass","gated out",""),IF(AO698="Y","on hold: "&amp;AP698,""),IF(C698="","no contact named on an opened page",""),IF(AND(AU698="Y",AV698&lt;&gt;"Y"),"founder review pending (Founder review tab)","")))</f>
        <v/>
      </c>
      <c r="BC698" s="0" t="str">
        <f aca="false">IF($A698="","",IFERROR(INDEX(Enrichment!$A$2:$GZ$2000,MATCH($A698,INDEX(Enrichment!$A$2:$GZ$2000,0,MATCH("row_id",Enrichment!$A$1:$GZ$1,0)),0),MATCH("work_email",Enrichment!$A$1:$GZ$1,0))&amp;"",""))</f>
        <v/>
      </c>
      <c r="BD698" s="0" t="str">
        <f aca="false">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P698" s="0" t="str">
        <f aca="false">IF($A698="","",IFERROR(INDEX(Enrichment!$A$2:$GZ$2000,MATCH($A698,INDEX(Enrichment!$A$2:$GZ$2000,0,MATCH("row_id",Enrichment!$A$1:$GZ$1,0)),0),MATCH("backup_work_email",Enrichment!$A$1:$GZ$1,0))&amp;"",""))</f>
        <v/>
      </c>
      <c r="BQ698" s="0" t="str">
        <f aca="false">IF($A698="","",IF(BP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DU698" s="0" t="str">
        <f aca="false">IF($A698="","",IF(R698="Y",10,0))</f>
        <v/>
      </c>
      <c r="EV698" s="0" t="str">
        <f aca="false">IF($A698="","",IF(ISNUMBER(MATCH(U698,{"queued","contacted","replied","call_booked","call_done","yes_in_principle","materials_sent"},0)),"Y","N"))</f>
        <v/>
      </c>
      <c r="EW698" s="0" t="str">
        <f aca="false">IF($A698="","",IF(OR(T698="Y",U698="do_not_contact",AQ698&amp;""&lt;&gt;""),"Y","N"))</f>
        <v/>
      </c>
      <c r="EX698" s="0" t="str">
        <f aca="false">IF($A698="","",IF(AN698&amp;""&lt;&gt;"",AN698&amp;"",$A698))</f>
        <v/>
      </c>
      <c r="EY698" s="0" t="str">
        <f aca="false">IF($A698="","",IF(COUNTIFS($EX$2:$EX$1000,EX698,$EV$2:$EV$1000,"Y")+COUNTIFS($EX$2:$EX$1000,EX698,$EW$2:$EW$1000,"Y")&gt;0,"Y","N"))</f>
        <v/>
      </c>
      <c r="EZ698" s="0" t="str">
        <f aca="false">IF($A698="","",IF(AND(U698="new",T698="N",EW698="N",AR698="Y",EY698="N"),"Y","N"))</f>
        <v/>
      </c>
      <c r="FA698" s="0" t="str">
        <f aca="false">IF($A698="","",IF(EZ698&lt;&gt;"Y","N",IF(COUNTIFS($EX$2:$EX$1000,EX698,$EZ$2:$EZ$1000,"Y",$J$2:$J$1000,"&gt;"&amp;J698)+COUNTIFS($EX$2:$EX$1000,EX698,$EZ$2:$EZ$1000,"Y",$J$2:$J$1000,J698,$FG$2:$FG$1000,"&lt;"&amp;FG698)=0,"Y","N")))</f>
        <v/>
      </c>
      <c r="FB698" s="0" t="str">
        <f aca="false">IF($A698="","",IF(AND(EZ698="Y",FA698="Y",Y698&amp;""&lt;&gt;""),IF(Y698&lt;=10,"Y","N"),"N"))</f>
        <v/>
      </c>
      <c r="FC698" s="0" t="str">
        <f aca="false">IF(FB698="Y",Y698,"")</f>
        <v/>
      </c>
      <c r="FD698" s="0" t="str">
        <f aca="false">IF($A698="","",IF(AND(CK698="pass",AU698="Y",AV698&lt;&gt;"Y",U698="new",EW698="N"),"Y","N"))</f>
        <v/>
      </c>
      <c r="FE698" s="0" t="str">
        <f aca="false">IF(FD698&lt;&gt;"Y","",IF(COUNTIFS($FD$2:$FD$1000,"Y",$J$2:$J$1000,"&gt;"&amp;J698)+COUNTIFS($FD$2:$FD$1000,"Y",$J$2:$J$1000,J698,$FG$2:$FG$1000,"&lt;"&amp;FG698)+1&lt;=30,COUNTIFS($FD$2:$FD$1000,"Y",$J$2:$J$1000,"&gt;"&amp;J698)+COUNTIFS($FD$2:$FD$1000,"Y",$J$2:$J$1000,J698,$FG$2:$FG$1000,"&lt;"&amp;FG698)+1,""))</f>
        <v/>
      </c>
      <c r="FF698" s="0" t="str">
        <f aca="false">IF(AND(_xlfn.ISFORMULA(C698),_xlfn.ISFORMULA(J698)),"Y","N")</f>
        <v>Y</v>
      </c>
      <c r="FG698" s="0" t="n">
        <f aca="false">ROW()-1</f>
        <v>697</v>
      </c>
    </row>
    <row r="699" customFormat="false" ht="15" hidden="false" customHeight="false" outlineLevel="0" collapsed="false">
      <c r="C699" s="0" t="str">
        <f aca="false">IF($A699="","",IF(AT699="Y",BL699&amp;"",AY699&amp;""))</f>
        <v/>
      </c>
      <c r="D699" s="0" t="str">
        <f aca="false">IF($A699="","",IF(AT699="Y",BM699&amp;"",AZ699&amp;""))</f>
        <v/>
      </c>
      <c r="E699" s="0" t="str">
        <f aca="false">IF($A699="","",IF(AT699="Y",BN699&amp;"",BA699&amp;""))</f>
        <v/>
      </c>
      <c r="F699" s="0" t="str">
        <f aca="false">IF($A699="","",IF(AT699="Y",BO699&amp;"",BB699&amp;""))</f>
        <v/>
      </c>
      <c r="G699" s="0" t="str">
        <f aca="false">IF($A699="","",IF(AT699="Y",BP699&amp;"",BC699&amp;""))</f>
        <v/>
      </c>
      <c r="H699" s="0" t="str">
        <f aca="false">IF($A699="","",IF(AT699="Y",BQ699&amp;"",BD699&amp;""))</f>
        <v/>
      </c>
      <c r="I699" s="0" t="str">
        <f aca="false">IF($A699="","",IF(R699="Y","warm-intro",IF(H699="verified","email",IF(C699&lt;&gt;"","linkedin",CA699&amp;""))))</f>
        <v/>
      </c>
      <c r="J699" s="0" t="str">
        <f aca="false">IF($A699="","",IF(CK699="pass",ROUND(N(DO699)+N(DP699)+N(DQ699)+N(DR699)+N(DS699)+N(DT699)+N(DU699)+N(DV699),0),0))</f>
        <v/>
      </c>
      <c r="K699" s="0" t="str">
        <f aca="false">IF($A699="","",IF(CK699&lt;&gt;"pass",BY699&amp;"",BY699&amp;", "&amp;IF(AT699="Y",BX699&amp;"",BK699&amp;"")&amp;BZ699&amp;IF(R699="Y","; known to the founder (+10)","")&amp;"."))</f>
        <v/>
      </c>
      <c r="R699" s="5"/>
      <c r="T699" s="5"/>
      <c r="U699" s="5"/>
      <c r="Y699" s="0" t="str">
        <f aca="false">IF(FA699&lt;&gt;"Y","",COUNTIFS($FA$2:$FA$1000,"Y",$J$2:$J$1000,"&gt;"&amp;J699)+COUNTIFS($FA$2:$FA$1000,"Y",$J$2:$J$1000,J699,$FG$2:$FG$1000,"&lt;"&amp;FG699)+1)</f>
        <v/>
      </c>
      <c r="AB699" s="0" t="str">
        <f aca="false">IF($A699="","",IF(AT699="Y",BW699&amp;"",BJ699&amp;""))</f>
        <v/>
      </c>
      <c r="AC699" s="0" t="str">
        <f aca="false">IF($A699="","",IF(AT699="Y",BR699&amp;"",BE699&amp;""))</f>
        <v/>
      </c>
      <c r="AD699" s="0" t="str">
        <f aca="false">IF($A699="","",IF(AT699="Y",BS699&amp;"",BF699&amp;""))</f>
        <v/>
      </c>
      <c r="AE699" s="0" t="str">
        <f aca="false">IF($A699="","",IF(AT699="Y",BT699&amp;"",BG699&amp;""))</f>
        <v/>
      </c>
      <c r="AF699" s="0" t="str">
        <f aca="false">IF($A699="","",IF(AT699="Y",BU699&amp;"",BH699&amp;""))</f>
        <v/>
      </c>
      <c r="AG699" s="0" t="str">
        <f aca="false">IF($A699="","",IF(AT699="Y",BV699&amp;"",BI699&amp;""))</f>
        <v/>
      </c>
      <c r="AO699" s="5"/>
      <c r="AR699" s="0" t="str">
        <f aca="false">IF($A699="","",IF(AND(CK699="pass",AO699&lt;&gt;"Y",C699&lt;&gt;"",OR(AU699&lt;&gt;"Y",AV699="Y")),"Y","N"))</f>
        <v/>
      </c>
      <c r="AS699" s="0" t="str">
        <f aca="false">IF($A699="","",_xlfn.TEXTJOIN("; ",TRUE(),IF(CK699&lt;&gt;"pass","gated out",""),IF(AO699="Y","on hold: "&amp;AP699,""),IF(C699="","no contact named on an opened page",""),IF(AND(AU699="Y",AV699&lt;&gt;"Y"),"founder review pending (Founder review tab)","")))</f>
        <v/>
      </c>
      <c r="BC699" s="0" t="str">
        <f aca="false">IF($A699="","",IFERROR(INDEX(Enrichment!$A$2:$GZ$2000,MATCH($A699,INDEX(Enrichment!$A$2:$GZ$2000,0,MATCH("row_id",Enrichment!$A$1:$GZ$1,0)),0),MATCH("work_email",Enrichment!$A$1:$GZ$1,0))&amp;"",""))</f>
        <v/>
      </c>
      <c r="BD699" s="0" t="str">
        <f aca="false">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P699" s="0" t="str">
        <f aca="false">IF($A699="","",IFERROR(INDEX(Enrichment!$A$2:$GZ$2000,MATCH($A699,INDEX(Enrichment!$A$2:$GZ$2000,0,MATCH("row_id",Enrichment!$A$1:$GZ$1,0)),0),MATCH("backup_work_email",Enrichment!$A$1:$GZ$1,0))&amp;"",""))</f>
        <v/>
      </c>
      <c r="BQ699" s="0" t="str">
        <f aca="false">IF($A699="","",IF(BP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DU699" s="0" t="str">
        <f aca="false">IF($A699="","",IF(R699="Y",10,0))</f>
        <v/>
      </c>
      <c r="EV699" s="0" t="str">
        <f aca="false">IF($A699="","",IF(ISNUMBER(MATCH(U699,{"queued","contacted","replied","call_booked","call_done","yes_in_principle","materials_sent"},0)),"Y","N"))</f>
        <v/>
      </c>
      <c r="EW699" s="0" t="str">
        <f aca="false">IF($A699="","",IF(OR(T699="Y",U699="do_not_contact",AQ699&amp;""&lt;&gt;""),"Y","N"))</f>
        <v/>
      </c>
      <c r="EX699" s="0" t="str">
        <f aca="false">IF($A699="","",IF(AN699&amp;""&lt;&gt;"",AN699&amp;"",$A699))</f>
        <v/>
      </c>
      <c r="EY699" s="0" t="str">
        <f aca="false">IF($A699="","",IF(COUNTIFS($EX$2:$EX$1000,EX699,$EV$2:$EV$1000,"Y")+COUNTIFS($EX$2:$EX$1000,EX699,$EW$2:$EW$1000,"Y")&gt;0,"Y","N"))</f>
        <v/>
      </c>
      <c r="EZ699" s="0" t="str">
        <f aca="false">IF($A699="","",IF(AND(U699="new",T699="N",EW699="N",AR699="Y",EY699="N"),"Y","N"))</f>
        <v/>
      </c>
      <c r="FA699" s="0" t="str">
        <f aca="false">IF($A699="","",IF(EZ699&lt;&gt;"Y","N",IF(COUNTIFS($EX$2:$EX$1000,EX699,$EZ$2:$EZ$1000,"Y",$J$2:$J$1000,"&gt;"&amp;J699)+COUNTIFS($EX$2:$EX$1000,EX699,$EZ$2:$EZ$1000,"Y",$J$2:$J$1000,J699,$FG$2:$FG$1000,"&lt;"&amp;FG699)=0,"Y","N")))</f>
        <v/>
      </c>
      <c r="FB699" s="0" t="str">
        <f aca="false">IF($A699="","",IF(AND(EZ699="Y",FA699="Y",Y699&amp;""&lt;&gt;""),IF(Y699&lt;=10,"Y","N"),"N"))</f>
        <v/>
      </c>
      <c r="FC699" s="0" t="str">
        <f aca="false">IF(FB699="Y",Y699,"")</f>
        <v/>
      </c>
      <c r="FD699" s="0" t="str">
        <f aca="false">IF($A699="","",IF(AND(CK699="pass",AU699="Y",AV699&lt;&gt;"Y",U699="new",EW699="N"),"Y","N"))</f>
        <v/>
      </c>
      <c r="FE699" s="0" t="str">
        <f aca="false">IF(FD699&lt;&gt;"Y","",IF(COUNTIFS($FD$2:$FD$1000,"Y",$J$2:$J$1000,"&gt;"&amp;J699)+COUNTIFS($FD$2:$FD$1000,"Y",$J$2:$J$1000,J699,$FG$2:$FG$1000,"&lt;"&amp;FG699)+1&lt;=30,COUNTIFS($FD$2:$FD$1000,"Y",$J$2:$J$1000,"&gt;"&amp;J699)+COUNTIFS($FD$2:$FD$1000,"Y",$J$2:$J$1000,J699,$FG$2:$FG$1000,"&lt;"&amp;FG699)+1,""))</f>
        <v/>
      </c>
      <c r="FF699" s="0" t="str">
        <f aca="false">IF(AND(_xlfn.ISFORMULA(C699),_xlfn.ISFORMULA(J699)),"Y","N")</f>
        <v>Y</v>
      </c>
      <c r="FG699" s="0" t="n">
        <f aca="false">ROW()-1</f>
        <v>698</v>
      </c>
    </row>
    <row r="700" customFormat="false" ht="15" hidden="false" customHeight="false" outlineLevel="0" collapsed="false">
      <c r="C700" s="0" t="str">
        <f aca="false">IF($A700="","",IF(AT700="Y",BL700&amp;"",AY700&amp;""))</f>
        <v/>
      </c>
      <c r="D700" s="0" t="str">
        <f aca="false">IF($A700="","",IF(AT700="Y",BM700&amp;"",AZ700&amp;""))</f>
        <v/>
      </c>
      <c r="E700" s="0" t="str">
        <f aca="false">IF($A700="","",IF(AT700="Y",BN700&amp;"",BA700&amp;""))</f>
        <v/>
      </c>
      <c r="F700" s="0" t="str">
        <f aca="false">IF($A700="","",IF(AT700="Y",BO700&amp;"",BB700&amp;""))</f>
        <v/>
      </c>
      <c r="G700" s="0" t="str">
        <f aca="false">IF($A700="","",IF(AT700="Y",BP700&amp;"",BC700&amp;""))</f>
        <v/>
      </c>
      <c r="H700" s="0" t="str">
        <f aca="false">IF($A700="","",IF(AT700="Y",BQ700&amp;"",BD700&amp;""))</f>
        <v/>
      </c>
      <c r="I700" s="0" t="str">
        <f aca="false">IF($A700="","",IF(R700="Y","warm-intro",IF(H700="verified","email",IF(C700&lt;&gt;"","linkedin",CA700&amp;""))))</f>
        <v/>
      </c>
      <c r="J700" s="0" t="str">
        <f aca="false">IF($A700="","",IF(CK700="pass",ROUND(N(DO700)+N(DP700)+N(DQ700)+N(DR700)+N(DS700)+N(DT700)+N(DU700)+N(DV700),0),0))</f>
        <v/>
      </c>
      <c r="K700" s="0" t="str">
        <f aca="false">IF($A700="","",IF(CK700&lt;&gt;"pass",BY700&amp;"",BY700&amp;", "&amp;IF(AT700="Y",BX700&amp;"",BK700&amp;"")&amp;BZ700&amp;IF(R700="Y","; known to the founder (+10)","")&amp;"."))</f>
        <v/>
      </c>
      <c r="R700" s="5"/>
      <c r="T700" s="5"/>
      <c r="U700" s="5"/>
      <c r="Y700" s="0" t="str">
        <f aca="false">IF(FA700&lt;&gt;"Y","",COUNTIFS($FA$2:$FA$1000,"Y",$J$2:$J$1000,"&gt;"&amp;J700)+COUNTIFS($FA$2:$FA$1000,"Y",$J$2:$J$1000,J700,$FG$2:$FG$1000,"&lt;"&amp;FG700)+1)</f>
        <v/>
      </c>
      <c r="AB700" s="0" t="str">
        <f aca="false">IF($A700="","",IF(AT700="Y",BW700&amp;"",BJ700&amp;""))</f>
        <v/>
      </c>
      <c r="AC700" s="0" t="str">
        <f aca="false">IF($A700="","",IF(AT700="Y",BR700&amp;"",BE700&amp;""))</f>
        <v/>
      </c>
      <c r="AD700" s="0" t="str">
        <f aca="false">IF($A700="","",IF(AT700="Y",BS700&amp;"",BF700&amp;""))</f>
        <v/>
      </c>
      <c r="AE700" s="0" t="str">
        <f aca="false">IF($A700="","",IF(AT700="Y",BT700&amp;"",BG700&amp;""))</f>
        <v/>
      </c>
      <c r="AF700" s="0" t="str">
        <f aca="false">IF($A700="","",IF(AT700="Y",BU700&amp;"",BH700&amp;""))</f>
        <v/>
      </c>
      <c r="AG700" s="0" t="str">
        <f aca="false">IF($A700="","",IF(AT700="Y",BV700&amp;"",BI700&amp;""))</f>
        <v/>
      </c>
      <c r="AO700" s="5"/>
      <c r="AR700" s="0" t="str">
        <f aca="false">IF($A700="","",IF(AND(CK700="pass",AO700&lt;&gt;"Y",C700&lt;&gt;"",OR(AU700&lt;&gt;"Y",AV700="Y")),"Y","N"))</f>
        <v/>
      </c>
      <c r="AS700" s="0" t="str">
        <f aca="false">IF($A700="","",_xlfn.TEXTJOIN("; ",TRUE(),IF(CK700&lt;&gt;"pass","gated out",""),IF(AO700="Y","on hold: "&amp;AP700,""),IF(C700="","no contact named on an opened page",""),IF(AND(AU700="Y",AV700&lt;&gt;"Y"),"founder review pending (Founder review tab)","")))</f>
        <v/>
      </c>
      <c r="BC700" s="0" t="str">
        <f aca="false">IF($A700="","",IFERROR(INDEX(Enrichment!$A$2:$GZ$2000,MATCH($A700,INDEX(Enrichment!$A$2:$GZ$2000,0,MATCH("row_id",Enrichment!$A$1:$GZ$1,0)),0),MATCH("work_email",Enrichment!$A$1:$GZ$1,0))&amp;"",""))</f>
        <v/>
      </c>
      <c r="BD700" s="0" t="str">
        <f aca="false">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P700" s="0" t="str">
        <f aca="false">IF($A700="","",IFERROR(INDEX(Enrichment!$A$2:$GZ$2000,MATCH($A700,INDEX(Enrichment!$A$2:$GZ$2000,0,MATCH("row_id",Enrichment!$A$1:$GZ$1,0)),0),MATCH("backup_work_email",Enrichment!$A$1:$GZ$1,0))&amp;"",""))</f>
        <v/>
      </c>
      <c r="BQ700" s="0" t="str">
        <f aca="false">IF($A700="","",IF(BP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DU700" s="0" t="str">
        <f aca="false">IF($A700="","",IF(R700="Y",10,0))</f>
        <v/>
      </c>
      <c r="EV700" s="0" t="str">
        <f aca="false">IF($A700="","",IF(ISNUMBER(MATCH(U700,{"queued","contacted","replied","call_booked","call_done","yes_in_principle","materials_sent"},0)),"Y","N"))</f>
        <v/>
      </c>
      <c r="EW700" s="0" t="str">
        <f aca="false">IF($A700="","",IF(OR(T700="Y",U700="do_not_contact",AQ700&amp;""&lt;&gt;""),"Y","N"))</f>
        <v/>
      </c>
      <c r="EX700" s="0" t="str">
        <f aca="false">IF($A700="","",IF(AN700&amp;""&lt;&gt;"",AN700&amp;"",$A700))</f>
        <v/>
      </c>
      <c r="EY700" s="0" t="str">
        <f aca="false">IF($A700="","",IF(COUNTIFS($EX$2:$EX$1000,EX700,$EV$2:$EV$1000,"Y")+COUNTIFS($EX$2:$EX$1000,EX700,$EW$2:$EW$1000,"Y")&gt;0,"Y","N"))</f>
        <v/>
      </c>
      <c r="EZ700" s="0" t="str">
        <f aca="false">IF($A700="","",IF(AND(U700="new",T700="N",EW700="N",AR700="Y",EY700="N"),"Y","N"))</f>
        <v/>
      </c>
      <c r="FA700" s="0" t="str">
        <f aca="false">IF($A700="","",IF(EZ700&lt;&gt;"Y","N",IF(COUNTIFS($EX$2:$EX$1000,EX700,$EZ$2:$EZ$1000,"Y",$J$2:$J$1000,"&gt;"&amp;J700)+COUNTIFS($EX$2:$EX$1000,EX700,$EZ$2:$EZ$1000,"Y",$J$2:$J$1000,J700,$FG$2:$FG$1000,"&lt;"&amp;FG700)=0,"Y","N")))</f>
        <v/>
      </c>
      <c r="FB700" s="0" t="str">
        <f aca="false">IF($A700="","",IF(AND(EZ700="Y",FA700="Y",Y700&amp;""&lt;&gt;""),IF(Y700&lt;=10,"Y","N"),"N"))</f>
        <v/>
      </c>
      <c r="FC700" s="0" t="str">
        <f aca="false">IF(FB700="Y",Y700,"")</f>
        <v/>
      </c>
      <c r="FD700" s="0" t="str">
        <f aca="false">IF($A700="","",IF(AND(CK700="pass",AU700="Y",AV700&lt;&gt;"Y",U700="new",EW700="N"),"Y","N"))</f>
        <v/>
      </c>
      <c r="FE700" s="0" t="str">
        <f aca="false">IF(FD700&lt;&gt;"Y","",IF(COUNTIFS($FD$2:$FD$1000,"Y",$J$2:$J$1000,"&gt;"&amp;J700)+COUNTIFS($FD$2:$FD$1000,"Y",$J$2:$J$1000,J700,$FG$2:$FG$1000,"&lt;"&amp;FG700)+1&lt;=30,COUNTIFS($FD$2:$FD$1000,"Y",$J$2:$J$1000,"&gt;"&amp;J700)+COUNTIFS($FD$2:$FD$1000,"Y",$J$2:$J$1000,J700,$FG$2:$FG$1000,"&lt;"&amp;FG700)+1,""))</f>
        <v/>
      </c>
      <c r="FF700" s="0" t="str">
        <f aca="false">IF(AND(_xlfn.ISFORMULA(C700),_xlfn.ISFORMULA(J700)),"Y","N")</f>
        <v>Y</v>
      </c>
      <c r="FG700" s="0" t="n">
        <f aca="false">ROW()-1</f>
        <v>699</v>
      </c>
    </row>
    <row r="701" customFormat="false" ht="15" hidden="false" customHeight="false" outlineLevel="0" collapsed="false">
      <c r="C701" s="0" t="str">
        <f aca="false">IF($A701="","",IF(AT701="Y",BL701&amp;"",AY701&amp;""))</f>
        <v/>
      </c>
      <c r="D701" s="0" t="str">
        <f aca="false">IF($A701="","",IF(AT701="Y",BM701&amp;"",AZ701&amp;""))</f>
        <v/>
      </c>
      <c r="E701" s="0" t="str">
        <f aca="false">IF($A701="","",IF(AT701="Y",BN701&amp;"",BA701&amp;""))</f>
        <v/>
      </c>
      <c r="F701" s="0" t="str">
        <f aca="false">IF($A701="","",IF(AT701="Y",BO701&amp;"",BB701&amp;""))</f>
        <v/>
      </c>
      <c r="G701" s="0" t="str">
        <f aca="false">IF($A701="","",IF(AT701="Y",BP701&amp;"",BC701&amp;""))</f>
        <v/>
      </c>
      <c r="H701" s="0" t="str">
        <f aca="false">IF($A701="","",IF(AT701="Y",BQ701&amp;"",BD701&amp;""))</f>
        <v/>
      </c>
      <c r="I701" s="0" t="str">
        <f aca="false">IF($A701="","",IF(R701="Y","warm-intro",IF(H701="verified","email",IF(C701&lt;&gt;"","linkedin",CA701&amp;""))))</f>
        <v/>
      </c>
      <c r="J701" s="0" t="str">
        <f aca="false">IF($A701="","",IF(CK701="pass",ROUND(N(DO701)+N(DP701)+N(DQ701)+N(DR701)+N(DS701)+N(DT701)+N(DU701)+N(DV701),0),0))</f>
        <v/>
      </c>
      <c r="K701" s="0" t="str">
        <f aca="false">IF($A701="","",IF(CK701&lt;&gt;"pass",BY701&amp;"",BY701&amp;", "&amp;IF(AT701="Y",BX701&amp;"",BK701&amp;"")&amp;BZ701&amp;IF(R701="Y","; known to the founder (+10)","")&amp;"."))</f>
        <v/>
      </c>
      <c r="R701" s="5"/>
      <c r="T701" s="5"/>
      <c r="U701" s="5"/>
      <c r="Y701" s="0" t="str">
        <f aca="false">IF(FA701&lt;&gt;"Y","",COUNTIFS($FA$2:$FA$1000,"Y",$J$2:$J$1000,"&gt;"&amp;J701)+COUNTIFS($FA$2:$FA$1000,"Y",$J$2:$J$1000,J701,$FG$2:$FG$1000,"&lt;"&amp;FG701)+1)</f>
        <v/>
      </c>
      <c r="AB701" s="0" t="str">
        <f aca="false">IF($A701="","",IF(AT701="Y",BW701&amp;"",BJ701&amp;""))</f>
        <v/>
      </c>
      <c r="AC701" s="0" t="str">
        <f aca="false">IF($A701="","",IF(AT701="Y",BR701&amp;"",BE701&amp;""))</f>
        <v/>
      </c>
      <c r="AD701" s="0" t="str">
        <f aca="false">IF($A701="","",IF(AT701="Y",BS701&amp;"",BF701&amp;""))</f>
        <v/>
      </c>
      <c r="AE701" s="0" t="str">
        <f aca="false">IF($A701="","",IF(AT701="Y",BT701&amp;"",BG701&amp;""))</f>
        <v/>
      </c>
      <c r="AF701" s="0" t="str">
        <f aca="false">IF($A701="","",IF(AT701="Y",BU701&amp;"",BH701&amp;""))</f>
        <v/>
      </c>
      <c r="AG701" s="0" t="str">
        <f aca="false">IF($A701="","",IF(AT701="Y",BV701&amp;"",BI701&amp;""))</f>
        <v/>
      </c>
      <c r="AO701" s="5"/>
      <c r="AR701" s="0" t="str">
        <f aca="false">IF($A701="","",IF(AND(CK701="pass",AO701&lt;&gt;"Y",C701&lt;&gt;"",OR(AU701&lt;&gt;"Y",AV701="Y")),"Y","N"))</f>
        <v/>
      </c>
      <c r="AS701" s="0" t="str">
        <f aca="false">IF($A701="","",_xlfn.TEXTJOIN("; ",TRUE(),IF(CK701&lt;&gt;"pass","gated out",""),IF(AO701="Y","on hold: "&amp;AP701,""),IF(C701="","no contact named on an opened page",""),IF(AND(AU701="Y",AV701&lt;&gt;"Y"),"founder review pending (Founder review tab)","")))</f>
        <v/>
      </c>
      <c r="BC701" s="0" t="str">
        <f aca="false">IF($A701="","",IFERROR(INDEX(Enrichment!$A$2:$GZ$2000,MATCH($A701,INDEX(Enrichment!$A$2:$GZ$2000,0,MATCH("row_id",Enrichment!$A$1:$GZ$1,0)),0),MATCH("work_email",Enrichment!$A$1:$GZ$1,0))&amp;"",""))</f>
        <v/>
      </c>
      <c r="BD701" s="0" t="str">
        <f aca="false">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P701" s="0" t="str">
        <f aca="false">IF($A701="","",IFERROR(INDEX(Enrichment!$A$2:$GZ$2000,MATCH($A701,INDEX(Enrichment!$A$2:$GZ$2000,0,MATCH("row_id",Enrichment!$A$1:$GZ$1,0)),0),MATCH("backup_work_email",Enrichment!$A$1:$GZ$1,0))&amp;"",""))</f>
        <v/>
      </c>
      <c r="BQ701" s="0" t="str">
        <f aca="false">IF($A701="","",IF(BP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DU701" s="0" t="str">
        <f aca="false">IF($A701="","",IF(R701="Y",10,0))</f>
        <v/>
      </c>
      <c r="EV701" s="0" t="str">
        <f aca="false">IF($A701="","",IF(ISNUMBER(MATCH(U701,{"queued","contacted","replied","call_booked","call_done","yes_in_principle","materials_sent"},0)),"Y","N"))</f>
        <v/>
      </c>
      <c r="EW701" s="0" t="str">
        <f aca="false">IF($A701="","",IF(OR(T701="Y",U701="do_not_contact",AQ701&amp;""&lt;&gt;""),"Y","N"))</f>
        <v/>
      </c>
      <c r="EX701" s="0" t="str">
        <f aca="false">IF($A701="","",IF(AN701&amp;""&lt;&gt;"",AN701&amp;"",$A701))</f>
        <v/>
      </c>
      <c r="EY701" s="0" t="str">
        <f aca="false">IF($A701="","",IF(COUNTIFS($EX$2:$EX$1000,EX701,$EV$2:$EV$1000,"Y")+COUNTIFS($EX$2:$EX$1000,EX701,$EW$2:$EW$1000,"Y")&gt;0,"Y","N"))</f>
        <v/>
      </c>
      <c r="EZ701" s="0" t="str">
        <f aca="false">IF($A701="","",IF(AND(U701="new",T701="N",EW701="N",AR701="Y",EY701="N"),"Y","N"))</f>
        <v/>
      </c>
      <c r="FA701" s="0" t="str">
        <f aca="false">IF($A701="","",IF(EZ701&lt;&gt;"Y","N",IF(COUNTIFS($EX$2:$EX$1000,EX701,$EZ$2:$EZ$1000,"Y",$J$2:$J$1000,"&gt;"&amp;J701)+COUNTIFS($EX$2:$EX$1000,EX701,$EZ$2:$EZ$1000,"Y",$J$2:$J$1000,J701,$FG$2:$FG$1000,"&lt;"&amp;FG701)=0,"Y","N")))</f>
        <v/>
      </c>
      <c r="FB701" s="0" t="str">
        <f aca="false">IF($A701="","",IF(AND(EZ701="Y",FA701="Y",Y701&amp;""&lt;&gt;""),IF(Y701&lt;=10,"Y","N"),"N"))</f>
        <v/>
      </c>
      <c r="FC701" s="0" t="str">
        <f aca="false">IF(FB701="Y",Y701,"")</f>
        <v/>
      </c>
      <c r="FD701" s="0" t="str">
        <f aca="false">IF($A701="","",IF(AND(CK701="pass",AU701="Y",AV701&lt;&gt;"Y",U701="new",EW701="N"),"Y","N"))</f>
        <v/>
      </c>
      <c r="FE701" s="0" t="str">
        <f aca="false">IF(FD701&lt;&gt;"Y","",IF(COUNTIFS($FD$2:$FD$1000,"Y",$J$2:$J$1000,"&gt;"&amp;J701)+COUNTIFS($FD$2:$FD$1000,"Y",$J$2:$J$1000,J701,$FG$2:$FG$1000,"&lt;"&amp;FG701)+1&lt;=30,COUNTIFS($FD$2:$FD$1000,"Y",$J$2:$J$1000,"&gt;"&amp;J701)+COUNTIFS($FD$2:$FD$1000,"Y",$J$2:$J$1000,J701,$FG$2:$FG$1000,"&lt;"&amp;FG701)+1,""))</f>
        <v/>
      </c>
      <c r="FF701" s="0" t="str">
        <f aca="false">IF(AND(_xlfn.ISFORMULA(C701),_xlfn.ISFORMULA(J701)),"Y","N")</f>
        <v>Y</v>
      </c>
      <c r="FG701" s="0" t="n">
        <f aca="false">ROW()-1</f>
        <v>700</v>
      </c>
    </row>
    <row r="702" customFormat="false" ht="15" hidden="false" customHeight="false" outlineLevel="0" collapsed="false">
      <c r="C702" s="0" t="str">
        <f aca="false">IF($A702="","",IF(AT702="Y",BL702&amp;"",AY702&amp;""))</f>
        <v/>
      </c>
      <c r="D702" s="0" t="str">
        <f aca="false">IF($A702="","",IF(AT702="Y",BM702&amp;"",AZ702&amp;""))</f>
        <v/>
      </c>
      <c r="E702" s="0" t="str">
        <f aca="false">IF($A702="","",IF(AT702="Y",BN702&amp;"",BA702&amp;""))</f>
        <v/>
      </c>
      <c r="F702" s="0" t="str">
        <f aca="false">IF($A702="","",IF(AT702="Y",BO702&amp;"",BB702&amp;""))</f>
        <v/>
      </c>
      <c r="G702" s="0" t="str">
        <f aca="false">IF($A702="","",IF(AT702="Y",BP702&amp;"",BC702&amp;""))</f>
        <v/>
      </c>
      <c r="H702" s="0" t="str">
        <f aca="false">IF($A702="","",IF(AT702="Y",BQ702&amp;"",BD702&amp;""))</f>
        <v/>
      </c>
      <c r="I702" s="0" t="str">
        <f aca="false">IF($A702="","",IF(R702="Y","warm-intro",IF(H702="verified","email",IF(C702&lt;&gt;"","linkedin",CA702&amp;""))))</f>
        <v/>
      </c>
      <c r="J702" s="0" t="str">
        <f aca="false">IF($A702="","",IF(CK702="pass",ROUND(N(DO702)+N(DP702)+N(DQ702)+N(DR702)+N(DS702)+N(DT702)+N(DU702)+N(DV702),0),0))</f>
        <v/>
      </c>
      <c r="K702" s="0" t="str">
        <f aca="false">IF($A702="","",IF(CK702&lt;&gt;"pass",BY702&amp;"",BY702&amp;", "&amp;IF(AT702="Y",BX702&amp;"",BK702&amp;"")&amp;BZ702&amp;IF(R702="Y","; known to the founder (+10)","")&amp;"."))</f>
        <v/>
      </c>
      <c r="R702" s="5"/>
      <c r="T702" s="5"/>
      <c r="U702" s="5"/>
      <c r="Y702" s="0" t="str">
        <f aca="false">IF(FA702&lt;&gt;"Y","",COUNTIFS($FA$2:$FA$1000,"Y",$J$2:$J$1000,"&gt;"&amp;J702)+COUNTIFS($FA$2:$FA$1000,"Y",$J$2:$J$1000,J702,$FG$2:$FG$1000,"&lt;"&amp;FG702)+1)</f>
        <v/>
      </c>
      <c r="AB702" s="0" t="str">
        <f aca="false">IF($A702="","",IF(AT702="Y",BW702&amp;"",BJ702&amp;""))</f>
        <v/>
      </c>
      <c r="AC702" s="0" t="str">
        <f aca="false">IF($A702="","",IF(AT702="Y",BR702&amp;"",BE702&amp;""))</f>
        <v/>
      </c>
      <c r="AD702" s="0" t="str">
        <f aca="false">IF($A702="","",IF(AT702="Y",BS702&amp;"",BF702&amp;""))</f>
        <v/>
      </c>
      <c r="AE702" s="0" t="str">
        <f aca="false">IF($A702="","",IF(AT702="Y",BT702&amp;"",BG702&amp;""))</f>
        <v/>
      </c>
      <c r="AF702" s="0" t="str">
        <f aca="false">IF($A702="","",IF(AT702="Y",BU702&amp;"",BH702&amp;""))</f>
        <v/>
      </c>
      <c r="AG702" s="0" t="str">
        <f aca="false">IF($A702="","",IF(AT702="Y",BV702&amp;"",BI702&amp;""))</f>
        <v/>
      </c>
      <c r="AO702" s="5"/>
      <c r="AR702" s="0" t="str">
        <f aca="false">IF($A702="","",IF(AND(CK702="pass",AO702&lt;&gt;"Y",C702&lt;&gt;"",OR(AU702&lt;&gt;"Y",AV702="Y")),"Y","N"))</f>
        <v/>
      </c>
      <c r="AS702" s="0" t="str">
        <f aca="false">IF($A702="","",_xlfn.TEXTJOIN("; ",TRUE(),IF(CK702&lt;&gt;"pass","gated out",""),IF(AO702="Y","on hold: "&amp;AP702,""),IF(C702="","no contact named on an opened page",""),IF(AND(AU702="Y",AV702&lt;&gt;"Y"),"founder review pending (Founder review tab)","")))</f>
        <v/>
      </c>
      <c r="BC702" s="0" t="str">
        <f aca="false">IF($A702="","",IFERROR(INDEX(Enrichment!$A$2:$GZ$2000,MATCH($A702,INDEX(Enrichment!$A$2:$GZ$2000,0,MATCH("row_id",Enrichment!$A$1:$GZ$1,0)),0),MATCH("work_email",Enrichment!$A$1:$GZ$1,0))&amp;"",""))</f>
        <v/>
      </c>
      <c r="BD702" s="0" t="str">
        <f aca="false">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P702" s="0" t="str">
        <f aca="false">IF($A702="","",IFERROR(INDEX(Enrichment!$A$2:$GZ$2000,MATCH($A702,INDEX(Enrichment!$A$2:$GZ$2000,0,MATCH("row_id",Enrichment!$A$1:$GZ$1,0)),0),MATCH("backup_work_email",Enrichment!$A$1:$GZ$1,0))&amp;"",""))</f>
        <v/>
      </c>
      <c r="BQ702" s="0" t="str">
        <f aca="false">IF($A702="","",IF(BP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DU702" s="0" t="str">
        <f aca="false">IF($A702="","",IF(R702="Y",10,0))</f>
        <v/>
      </c>
      <c r="EV702" s="0" t="str">
        <f aca="false">IF($A702="","",IF(ISNUMBER(MATCH(U702,{"queued","contacted","replied","call_booked","call_done","yes_in_principle","materials_sent"},0)),"Y","N"))</f>
        <v/>
      </c>
      <c r="EW702" s="0" t="str">
        <f aca="false">IF($A702="","",IF(OR(T702="Y",U702="do_not_contact",AQ702&amp;""&lt;&gt;""),"Y","N"))</f>
        <v/>
      </c>
      <c r="EX702" s="0" t="str">
        <f aca="false">IF($A702="","",IF(AN702&amp;""&lt;&gt;"",AN702&amp;"",$A702))</f>
        <v/>
      </c>
      <c r="EY702" s="0" t="str">
        <f aca="false">IF($A702="","",IF(COUNTIFS($EX$2:$EX$1000,EX702,$EV$2:$EV$1000,"Y")+COUNTIFS($EX$2:$EX$1000,EX702,$EW$2:$EW$1000,"Y")&gt;0,"Y","N"))</f>
        <v/>
      </c>
      <c r="EZ702" s="0" t="str">
        <f aca="false">IF($A702="","",IF(AND(U702="new",T702="N",EW702="N",AR702="Y",EY702="N"),"Y","N"))</f>
        <v/>
      </c>
      <c r="FA702" s="0" t="str">
        <f aca="false">IF($A702="","",IF(EZ702&lt;&gt;"Y","N",IF(COUNTIFS($EX$2:$EX$1000,EX702,$EZ$2:$EZ$1000,"Y",$J$2:$J$1000,"&gt;"&amp;J702)+COUNTIFS($EX$2:$EX$1000,EX702,$EZ$2:$EZ$1000,"Y",$J$2:$J$1000,J702,$FG$2:$FG$1000,"&lt;"&amp;FG702)=0,"Y","N")))</f>
        <v/>
      </c>
      <c r="FB702" s="0" t="str">
        <f aca="false">IF($A702="","",IF(AND(EZ702="Y",FA702="Y",Y702&amp;""&lt;&gt;""),IF(Y702&lt;=10,"Y","N"),"N"))</f>
        <v/>
      </c>
      <c r="FC702" s="0" t="str">
        <f aca="false">IF(FB702="Y",Y702,"")</f>
        <v/>
      </c>
      <c r="FD702" s="0" t="str">
        <f aca="false">IF($A702="","",IF(AND(CK702="pass",AU702="Y",AV702&lt;&gt;"Y",U702="new",EW702="N"),"Y","N"))</f>
        <v/>
      </c>
      <c r="FE702" s="0" t="str">
        <f aca="false">IF(FD702&lt;&gt;"Y","",IF(COUNTIFS($FD$2:$FD$1000,"Y",$J$2:$J$1000,"&gt;"&amp;J702)+COUNTIFS($FD$2:$FD$1000,"Y",$J$2:$J$1000,J702,$FG$2:$FG$1000,"&lt;"&amp;FG702)+1&lt;=30,COUNTIFS($FD$2:$FD$1000,"Y",$J$2:$J$1000,"&gt;"&amp;J702)+COUNTIFS($FD$2:$FD$1000,"Y",$J$2:$J$1000,J702,$FG$2:$FG$1000,"&lt;"&amp;FG702)+1,""))</f>
        <v/>
      </c>
      <c r="FF702" s="0" t="str">
        <f aca="false">IF(AND(_xlfn.ISFORMULA(C702),_xlfn.ISFORMULA(J702)),"Y","N")</f>
        <v>Y</v>
      </c>
      <c r="FG702" s="0" t="n">
        <f aca="false">ROW()-1</f>
        <v>701</v>
      </c>
    </row>
    <row r="703" customFormat="false" ht="15" hidden="false" customHeight="false" outlineLevel="0" collapsed="false">
      <c r="C703" s="0" t="str">
        <f aca="false">IF($A703="","",IF(AT703="Y",BL703&amp;"",AY703&amp;""))</f>
        <v/>
      </c>
      <c r="D703" s="0" t="str">
        <f aca="false">IF($A703="","",IF(AT703="Y",BM703&amp;"",AZ703&amp;""))</f>
        <v/>
      </c>
      <c r="E703" s="0" t="str">
        <f aca="false">IF($A703="","",IF(AT703="Y",BN703&amp;"",BA703&amp;""))</f>
        <v/>
      </c>
      <c r="F703" s="0" t="str">
        <f aca="false">IF($A703="","",IF(AT703="Y",BO703&amp;"",BB703&amp;""))</f>
        <v/>
      </c>
      <c r="G703" s="0" t="str">
        <f aca="false">IF($A703="","",IF(AT703="Y",BP703&amp;"",BC703&amp;""))</f>
        <v/>
      </c>
      <c r="H703" s="0" t="str">
        <f aca="false">IF($A703="","",IF(AT703="Y",BQ703&amp;"",BD703&amp;""))</f>
        <v/>
      </c>
      <c r="I703" s="0" t="str">
        <f aca="false">IF($A703="","",IF(R703="Y","warm-intro",IF(H703="verified","email",IF(C703&lt;&gt;"","linkedin",CA703&amp;""))))</f>
        <v/>
      </c>
      <c r="J703" s="0" t="str">
        <f aca="false">IF($A703="","",IF(CK703="pass",ROUND(N(DO703)+N(DP703)+N(DQ703)+N(DR703)+N(DS703)+N(DT703)+N(DU703)+N(DV703),0),0))</f>
        <v/>
      </c>
      <c r="K703" s="0" t="str">
        <f aca="false">IF($A703="","",IF(CK703&lt;&gt;"pass",BY703&amp;"",BY703&amp;", "&amp;IF(AT703="Y",BX703&amp;"",BK703&amp;"")&amp;BZ703&amp;IF(R703="Y","; known to the founder (+10)","")&amp;"."))</f>
        <v/>
      </c>
      <c r="R703" s="5"/>
      <c r="T703" s="5"/>
      <c r="U703" s="5"/>
      <c r="Y703" s="0" t="str">
        <f aca="false">IF(FA703&lt;&gt;"Y","",COUNTIFS($FA$2:$FA$1000,"Y",$J$2:$J$1000,"&gt;"&amp;J703)+COUNTIFS($FA$2:$FA$1000,"Y",$J$2:$J$1000,J703,$FG$2:$FG$1000,"&lt;"&amp;FG703)+1)</f>
        <v/>
      </c>
      <c r="AB703" s="0" t="str">
        <f aca="false">IF($A703="","",IF(AT703="Y",BW703&amp;"",BJ703&amp;""))</f>
        <v/>
      </c>
      <c r="AC703" s="0" t="str">
        <f aca="false">IF($A703="","",IF(AT703="Y",BR703&amp;"",BE703&amp;""))</f>
        <v/>
      </c>
      <c r="AD703" s="0" t="str">
        <f aca="false">IF($A703="","",IF(AT703="Y",BS703&amp;"",BF703&amp;""))</f>
        <v/>
      </c>
      <c r="AE703" s="0" t="str">
        <f aca="false">IF($A703="","",IF(AT703="Y",BT703&amp;"",BG703&amp;""))</f>
        <v/>
      </c>
      <c r="AF703" s="0" t="str">
        <f aca="false">IF($A703="","",IF(AT703="Y",BU703&amp;"",BH703&amp;""))</f>
        <v/>
      </c>
      <c r="AG703" s="0" t="str">
        <f aca="false">IF($A703="","",IF(AT703="Y",BV703&amp;"",BI703&amp;""))</f>
        <v/>
      </c>
      <c r="AO703" s="5"/>
      <c r="AR703" s="0" t="str">
        <f aca="false">IF($A703="","",IF(AND(CK703="pass",AO703&lt;&gt;"Y",C703&lt;&gt;"",OR(AU703&lt;&gt;"Y",AV703="Y")),"Y","N"))</f>
        <v/>
      </c>
      <c r="AS703" s="0" t="str">
        <f aca="false">IF($A703="","",_xlfn.TEXTJOIN("; ",TRUE(),IF(CK703&lt;&gt;"pass","gated out",""),IF(AO703="Y","on hold: "&amp;AP703,""),IF(C703="","no contact named on an opened page",""),IF(AND(AU703="Y",AV703&lt;&gt;"Y"),"founder review pending (Founder review tab)","")))</f>
        <v/>
      </c>
      <c r="BC703" s="0" t="str">
        <f aca="false">IF($A703="","",IFERROR(INDEX(Enrichment!$A$2:$GZ$2000,MATCH($A703,INDEX(Enrichment!$A$2:$GZ$2000,0,MATCH("row_id",Enrichment!$A$1:$GZ$1,0)),0),MATCH("work_email",Enrichment!$A$1:$GZ$1,0))&amp;"",""))</f>
        <v/>
      </c>
      <c r="BD703" s="0" t="str">
        <f aca="false">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P703" s="0" t="str">
        <f aca="false">IF($A703="","",IFERROR(INDEX(Enrichment!$A$2:$GZ$2000,MATCH($A703,INDEX(Enrichment!$A$2:$GZ$2000,0,MATCH("row_id",Enrichment!$A$1:$GZ$1,0)),0),MATCH("backup_work_email",Enrichment!$A$1:$GZ$1,0))&amp;"",""))</f>
        <v/>
      </c>
      <c r="BQ703" s="0" t="str">
        <f aca="false">IF($A703="","",IF(BP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DU703" s="0" t="str">
        <f aca="false">IF($A703="","",IF(R703="Y",10,0))</f>
        <v/>
      </c>
      <c r="EV703" s="0" t="str">
        <f aca="false">IF($A703="","",IF(ISNUMBER(MATCH(U703,{"queued","contacted","replied","call_booked","call_done","yes_in_principle","materials_sent"},0)),"Y","N"))</f>
        <v/>
      </c>
      <c r="EW703" s="0" t="str">
        <f aca="false">IF($A703="","",IF(OR(T703="Y",U703="do_not_contact",AQ703&amp;""&lt;&gt;""),"Y","N"))</f>
        <v/>
      </c>
      <c r="EX703" s="0" t="str">
        <f aca="false">IF($A703="","",IF(AN703&amp;""&lt;&gt;"",AN703&amp;"",$A703))</f>
        <v/>
      </c>
      <c r="EY703" s="0" t="str">
        <f aca="false">IF($A703="","",IF(COUNTIFS($EX$2:$EX$1000,EX703,$EV$2:$EV$1000,"Y")+COUNTIFS($EX$2:$EX$1000,EX703,$EW$2:$EW$1000,"Y")&gt;0,"Y","N"))</f>
        <v/>
      </c>
      <c r="EZ703" s="0" t="str">
        <f aca="false">IF($A703="","",IF(AND(U703="new",T703="N",EW703="N",AR703="Y",EY703="N"),"Y","N"))</f>
        <v/>
      </c>
      <c r="FA703" s="0" t="str">
        <f aca="false">IF($A703="","",IF(EZ703&lt;&gt;"Y","N",IF(COUNTIFS($EX$2:$EX$1000,EX703,$EZ$2:$EZ$1000,"Y",$J$2:$J$1000,"&gt;"&amp;J703)+COUNTIFS($EX$2:$EX$1000,EX703,$EZ$2:$EZ$1000,"Y",$J$2:$J$1000,J703,$FG$2:$FG$1000,"&lt;"&amp;FG703)=0,"Y","N")))</f>
        <v/>
      </c>
      <c r="FB703" s="0" t="str">
        <f aca="false">IF($A703="","",IF(AND(EZ703="Y",FA703="Y",Y703&amp;""&lt;&gt;""),IF(Y703&lt;=10,"Y","N"),"N"))</f>
        <v/>
      </c>
      <c r="FC703" s="0" t="str">
        <f aca="false">IF(FB703="Y",Y703,"")</f>
        <v/>
      </c>
      <c r="FD703" s="0" t="str">
        <f aca="false">IF($A703="","",IF(AND(CK703="pass",AU703="Y",AV703&lt;&gt;"Y",U703="new",EW703="N"),"Y","N"))</f>
        <v/>
      </c>
      <c r="FE703" s="0" t="str">
        <f aca="false">IF(FD703&lt;&gt;"Y","",IF(COUNTIFS($FD$2:$FD$1000,"Y",$J$2:$J$1000,"&gt;"&amp;J703)+COUNTIFS($FD$2:$FD$1000,"Y",$J$2:$J$1000,J703,$FG$2:$FG$1000,"&lt;"&amp;FG703)+1&lt;=30,COUNTIFS($FD$2:$FD$1000,"Y",$J$2:$J$1000,"&gt;"&amp;J703)+COUNTIFS($FD$2:$FD$1000,"Y",$J$2:$J$1000,J703,$FG$2:$FG$1000,"&lt;"&amp;FG703)+1,""))</f>
        <v/>
      </c>
      <c r="FF703" s="0" t="str">
        <f aca="false">IF(AND(_xlfn.ISFORMULA(C703),_xlfn.ISFORMULA(J703)),"Y","N")</f>
        <v>Y</v>
      </c>
      <c r="FG703" s="0" t="n">
        <f aca="false">ROW()-1</f>
        <v>702</v>
      </c>
    </row>
    <row r="704" customFormat="false" ht="15" hidden="false" customHeight="false" outlineLevel="0" collapsed="false">
      <c r="C704" s="0" t="str">
        <f aca="false">IF($A704="","",IF(AT704="Y",BL704&amp;"",AY704&amp;""))</f>
        <v/>
      </c>
      <c r="D704" s="0" t="str">
        <f aca="false">IF($A704="","",IF(AT704="Y",BM704&amp;"",AZ704&amp;""))</f>
        <v/>
      </c>
      <c r="E704" s="0" t="str">
        <f aca="false">IF($A704="","",IF(AT704="Y",BN704&amp;"",BA704&amp;""))</f>
        <v/>
      </c>
      <c r="F704" s="0" t="str">
        <f aca="false">IF($A704="","",IF(AT704="Y",BO704&amp;"",BB704&amp;""))</f>
        <v/>
      </c>
      <c r="G704" s="0" t="str">
        <f aca="false">IF($A704="","",IF(AT704="Y",BP704&amp;"",BC704&amp;""))</f>
        <v/>
      </c>
      <c r="H704" s="0" t="str">
        <f aca="false">IF($A704="","",IF(AT704="Y",BQ704&amp;"",BD704&amp;""))</f>
        <v/>
      </c>
      <c r="I704" s="0" t="str">
        <f aca="false">IF($A704="","",IF(R704="Y","warm-intro",IF(H704="verified","email",IF(C704&lt;&gt;"","linkedin",CA704&amp;""))))</f>
        <v/>
      </c>
      <c r="J704" s="0" t="str">
        <f aca="false">IF($A704="","",IF(CK704="pass",ROUND(N(DO704)+N(DP704)+N(DQ704)+N(DR704)+N(DS704)+N(DT704)+N(DU704)+N(DV704),0),0))</f>
        <v/>
      </c>
      <c r="K704" s="0" t="str">
        <f aca="false">IF($A704="","",IF(CK704&lt;&gt;"pass",BY704&amp;"",BY704&amp;", "&amp;IF(AT704="Y",BX704&amp;"",BK704&amp;"")&amp;BZ704&amp;IF(R704="Y","; known to the founder (+10)","")&amp;"."))</f>
        <v/>
      </c>
      <c r="R704" s="5"/>
      <c r="T704" s="5"/>
      <c r="U704" s="5"/>
      <c r="Y704" s="0" t="str">
        <f aca="false">IF(FA704&lt;&gt;"Y","",COUNTIFS($FA$2:$FA$1000,"Y",$J$2:$J$1000,"&gt;"&amp;J704)+COUNTIFS($FA$2:$FA$1000,"Y",$J$2:$J$1000,J704,$FG$2:$FG$1000,"&lt;"&amp;FG704)+1)</f>
        <v/>
      </c>
      <c r="AB704" s="0" t="str">
        <f aca="false">IF($A704="","",IF(AT704="Y",BW704&amp;"",BJ704&amp;""))</f>
        <v/>
      </c>
      <c r="AC704" s="0" t="str">
        <f aca="false">IF($A704="","",IF(AT704="Y",BR704&amp;"",BE704&amp;""))</f>
        <v/>
      </c>
      <c r="AD704" s="0" t="str">
        <f aca="false">IF($A704="","",IF(AT704="Y",BS704&amp;"",BF704&amp;""))</f>
        <v/>
      </c>
      <c r="AE704" s="0" t="str">
        <f aca="false">IF($A704="","",IF(AT704="Y",BT704&amp;"",BG704&amp;""))</f>
        <v/>
      </c>
      <c r="AF704" s="0" t="str">
        <f aca="false">IF($A704="","",IF(AT704="Y",BU704&amp;"",BH704&amp;""))</f>
        <v/>
      </c>
      <c r="AG704" s="0" t="str">
        <f aca="false">IF($A704="","",IF(AT704="Y",BV704&amp;"",BI704&amp;""))</f>
        <v/>
      </c>
      <c r="AO704" s="5"/>
      <c r="AR704" s="0" t="str">
        <f aca="false">IF($A704="","",IF(AND(CK704="pass",AO704&lt;&gt;"Y",C704&lt;&gt;"",OR(AU704&lt;&gt;"Y",AV704="Y")),"Y","N"))</f>
        <v/>
      </c>
      <c r="AS704" s="0" t="str">
        <f aca="false">IF($A704="","",_xlfn.TEXTJOIN("; ",TRUE(),IF(CK704&lt;&gt;"pass","gated out",""),IF(AO704="Y","on hold: "&amp;AP704,""),IF(C704="","no contact named on an opened page",""),IF(AND(AU704="Y",AV704&lt;&gt;"Y"),"founder review pending (Founder review tab)","")))</f>
        <v/>
      </c>
      <c r="BC704" s="0" t="str">
        <f aca="false">IF($A704="","",IFERROR(INDEX(Enrichment!$A$2:$GZ$2000,MATCH($A704,INDEX(Enrichment!$A$2:$GZ$2000,0,MATCH("row_id",Enrichment!$A$1:$GZ$1,0)),0),MATCH("work_email",Enrichment!$A$1:$GZ$1,0))&amp;"",""))</f>
        <v/>
      </c>
      <c r="BD704" s="0" t="str">
        <f aca="false">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P704" s="0" t="str">
        <f aca="false">IF($A704="","",IFERROR(INDEX(Enrichment!$A$2:$GZ$2000,MATCH($A704,INDEX(Enrichment!$A$2:$GZ$2000,0,MATCH("row_id",Enrichment!$A$1:$GZ$1,0)),0),MATCH("backup_work_email",Enrichment!$A$1:$GZ$1,0))&amp;"",""))</f>
        <v/>
      </c>
      <c r="BQ704" s="0" t="str">
        <f aca="false">IF($A704="","",IF(BP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DU704" s="0" t="str">
        <f aca="false">IF($A704="","",IF(R704="Y",10,0))</f>
        <v/>
      </c>
      <c r="EV704" s="0" t="str">
        <f aca="false">IF($A704="","",IF(ISNUMBER(MATCH(U704,{"queued","contacted","replied","call_booked","call_done","yes_in_principle","materials_sent"},0)),"Y","N"))</f>
        <v/>
      </c>
      <c r="EW704" s="0" t="str">
        <f aca="false">IF($A704="","",IF(OR(T704="Y",U704="do_not_contact",AQ704&amp;""&lt;&gt;""),"Y","N"))</f>
        <v/>
      </c>
      <c r="EX704" s="0" t="str">
        <f aca="false">IF($A704="","",IF(AN704&amp;""&lt;&gt;"",AN704&amp;"",$A704))</f>
        <v/>
      </c>
      <c r="EY704" s="0" t="str">
        <f aca="false">IF($A704="","",IF(COUNTIFS($EX$2:$EX$1000,EX704,$EV$2:$EV$1000,"Y")+COUNTIFS($EX$2:$EX$1000,EX704,$EW$2:$EW$1000,"Y")&gt;0,"Y","N"))</f>
        <v/>
      </c>
      <c r="EZ704" s="0" t="str">
        <f aca="false">IF($A704="","",IF(AND(U704="new",T704="N",EW704="N",AR704="Y",EY704="N"),"Y","N"))</f>
        <v/>
      </c>
      <c r="FA704" s="0" t="str">
        <f aca="false">IF($A704="","",IF(EZ704&lt;&gt;"Y","N",IF(COUNTIFS($EX$2:$EX$1000,EX704,$EZ$2:$EZ$1000,"Y",$J$2:$J$1000,"&gt;"&amp;J704)+COUNTIFS($EX$2:$EX$1000,EX704,$EZ$2:$EZ$1000,"Y",$J$2:$J$1000,J704,$FG$2:$FG$1000,"&lt;"&amp;FG704)=0,"Y","N")))</f>
        <v/>
      </c>
      <c r="FB704" s="0" t="str">
        <f aca="false">IF($A704="","",IF(AND(EZ704="Y",FA704="Y",Y704&amp;""&lt;&gt;""),IF(Y704&lt;=10,"Y","N"),"N"))</f>
        <v/>
      </c>
      <c r="FC704" s="0" t="str">
        <f aca="false">IF(FB704="Y",Y704,"")</f>
        <v/>
      </c>
      <c r="FD704" s="0" t="str">
        <f aca="false">IF($A704="","",IF(AND(CK704="pass",AU704="Y",AV704&lt;&gt;"Y",U704="new",EW704="N"),"Y","N"))</f>
        <v/>
      </c>
      <c r="FE704" s="0" t="str">
        <f aca="false">IF(FD704&lt;&gt;"Y","",IF(COUNTIFS($FD$2:$FD$1000,"Y",$J$2:$J$1000,"&gt;"&amp;J704)+COUNTIFS($FD$2:$FD$1000,"Y",$J$2:$J$1000,J704,$FG$2:$FG$1000,"&lt;"&amp;FG704)+1&lt;=30,COUNTIFS($FD$2:$FD$1000,"Y",$J$2:$J$1000,"&gt;"&amp;J704)+COUNTIFS($FD$2:$FD$1000,"Y",$J$2:$J$1000,J704,$FG$2:$FG$1000,"&lt;"&amp;FG704)+1,""))</f>
        <v/>
      </c>
      <c r="FF704" s="0" t="str">
        <f aca="false">IF(AND(_xlfn.ISFORMULA(C704),_xlfn.ISFORMULA(J704)),"Y","N")</f>
        <v>Y</v>
      </c>
      <c r="FG704" s="0" t="n">
        <f aca="false">ROW()-1</f>
        <v>703</v>
      </c>
    </row>
    <row r="705" customFormat="false" ht="15" hidden="false" customHeight="false" outlineLevel="0" collapsed="false">
      <c r="C705" s="0" t="str">
        <f aca="false">IF($A705="","",IF(AT705="Y",BL705&amp;"",AY705&amp;""))</f>
        <v/>
      </c>
      <c r="D705" s="0" t="str">
        <f aca="false">IF($A705="","",IF(AT705="Y",BM705&amp;"",AZ705&amp;""))</f>
        <v/>
      </c>
      <c r="E705" s="0" t="str">
        <f aca="false">IF($A705="","",IF(AT705="Y",BN705&amp;"",BA705&amp;""))</f>
        <v/>
      </c>
      <c r="F705" s="0" t="str">
        <f aca="false">IF($A705="","",IF(AT705="Y",BO705&amp;"",BB705&amp;""))</f>
        <v/>
      </c>
      <c r="G705" s="0" t="str">
        <f aca="false">IF($A705="","",IF(AT705="Y",BP705&amp;"",BC705&amp;""))</f>
        <v/>
      </c>
      <c r="H705" s="0" t="str">
        <f aca="false">IF($A705="","",IF(AT705="Y",BQ705&amp;"",BD705&amp;""))</f>
        <v/>
      </c>
      <c r="I705" s="0" t="str">
        <f aca="false">IF($A705="","",IF(R705="Y","warm-intro",IF(H705="verified","email",IF(C705&lt;&gt;"","linkedin",CA705&amp;""))))</f>
        <v/>
      </c>
      <c r="J705" s="0" t="str">
        <f aca="false">IF($A705="","",IF(CK705="pass",ROUND(N(DO705)+N(DP705)+N(DQ705)+N(DR705)+N(DS705)+N(DT705)+N(DU705)+N(DV705),0),0))</f>
        <v/>
      </c>
      <c r="K705" s="0" t="str">
        <f aca="false">IF($A705="","",IF(CK705&lt;&gt;"pass",BY705&amp;"",BY705&amp;", "&amp;IF(AT705="Y",BX705&amp;"",BK705&amp;"")&amp;BZ705&amp;IF(R705="Y","; known to the founder (+10)","")&amp;"."))</f>
        <v/>
      </c>
      <c r="R705" s="5"/>
      <c r="T705" s="5"/>
      <c r="U705" s="5"/>
      <c r="Y705" s="0" t="str">
        <f aca="false">IF(FA705&lt;&gt;"Y","",COUNTIFS($FA$2:$FA$1000,"Y",$J$2:$J$1000,"&gt;"&amp;J705)+COUNTIFS($FA$2:$FA$1000,"Y",$J$2:$J$1000,J705,$FG$2:$FG$1000,"&lt;"&amp;FG705)+1)</f>
        <v/>
      </c>
      <c r="AB705" s="0" t="str">
        <f aca="false">IF($A705="","",IF(AT705="Y",BW705&amp;"",BJ705&amp;""))</f>
        <v/>
      </c>
      <c r="AC705" s="0" t="str">
        <f aca="false">IF($A705="","",IF(AT705="Y",BR705&amp;"",BE705&amp;""))</f>
        <v/>
      </c>
      <c r="AD705" s="0" t="str">
        <f aca="false">IF($A705="","",IF(AT705="Y",BS705&amp;"",BF705&amp;""))</f>
        <v/>
      </c>
      <c r="AE705" s="0" t="str">
        <f aca="false">IF($A705="","",IF(AT705="Y",BT705&amp;"",BG705&amp;""))</f>
        <v/>
      </c>
      <c r="AF705" s="0" t="str">
        <f aca="false">IF($A705="","",IF(AT705="Y",BU705&amp;"",BH705&amp;""))</f>
        <v/>
      </c>
      <c r="AG705" s="0" t="str">
        <f aca="false">IF($A705="","",IF(AT705="Y",BV705&amp;"",BI705&amp;""))</f>
        <v/>
      </c>
      <c r="AO705" s="5"/>
      <c r="AR705" s="0" t="str">
        <f aca="false">IF($A705="","",IF(AND(CK705="pass",AO705&lt;&gt;"Y",C705&lt;&gt;"",OR(AU705&lt;&gt;"Y",AV705="Y")),"Y","N"))</f>
        <v/>
      </c>
      <c r="AS705" s="0" t="str">
        <f aca="false">IF($A705="","",_xlfn.TEXTJOIN("; ",TRUE(),IF(CK705&lt;&gt;"pass","gated out",""),IF(AO705="Y","on hold: "&amp;AP705,""),IF(C705="","no contact named on an opened page",""),IF(AND(AU705="Y",AV705&lt;&gt;"Y"),"founder review pending (Founder review tab)","")))</f>
        <v/>
      </c>
      <c r="BC705" s="0" t="str">
        <f aca="false">IF($A705="","",IFERROR(INDEX(Enrichment!$A$2:$GZ$2000,MATCH($A705,INDEX(Enrichment!$A$2:$GZ$2000,0,MATCH("row_id",Enrichment!$A$1:$GZ$1,0)),0),MATCH("work_email",Enrichment!$A$1:$GZ$1,0))&amp;"",""))</f>
        <v/>
      </c>
      <c r="BD705" s="0" t="str">
        <f aca="false">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P705" s="0" t="str">
        <f aca="false">IF($A705="","",IFERROR(INDEX(Enrichment!$A$2:$GZ$2000,MATCH($A705,INDEX(Enrichment!$A$2:$GZ$2000,0,MATCH("row_id",Enrichment!$A$1:$GZ$1,0)),0),MATCH("backup_work_email",Enrichment!$A$1:$GZ$1,0))&amp;"",""))</f>
        <v/>
      </c>
      <c r="BQ705" s="0" t="str">
        <f aca="false">IF($A705="","",IF(BP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DU705" s="0" t="str">
        <f aca="false">IF($A705="","",IF(R705="Y",10,0))</f>
        <v/>
      </c>
      <c r="EV705" s="0" t="str">
        <f aca="false">IF($A705="","",IF(ISNUMBER(MATCH(U705,{"queued","contacted","replied","call_booked","call_done","yes_in_principle","materials_sent"},0)),"Y","N"))</f>
        <v/>
      </c>
      <c r="EW705" s="0" t="str">
        <f aca="false">IF($A705="","",IF(OR(T705="Y",U705="do_not_contact",AQ705&amp;""&lt;&gt;""),"Y","N"))</f>
        <v/>
      </c>
      <c r="EX705" s="0" t="str">
        <f aca="false">IF($A705="","",IF(AN705&amp;""&lt;&gt;"",AN705&amp;"",$A705))</f>
        <v/>
      </c>
      <c r="EY705" s="0" t="str">
        <f aca="false">IF($A705="","",IF(COUNTIFS($EX$2:$EX$1000,EX705,$EV$2:$EV$1000,"Y")+COUNTIFS($EX$2:$EX$1000,EX705,$EW$2:$EW$1000,"Y")&gt;0,"Y","N"))</f>
        <v/>
      </c>
      <c r="EZ705" s="0" t="str">
        <f aca="false">IF($A705="","",IF(AND(U705="new",T705="N",EW705="N",AR705="Y",EY705="N"),"Y","N"))</f>
        <v/>
      </c>
      <c r="FA705" s="0" t="str">
        <f aca="false">IF($A705="","",IF(EZ705&lt;&gt;"Y","N",IF(COUNTIFS($EX$2:$EX$1000,EX705,$EZ$2:$EZ$1000,"Y",$J$2:$J$1000,"&gt;"&amp;J705)+COUNTIFS($EX$2:$EX$1000,EX705,$EZ$2:$EZ$1000,"Y",$J$2:$J$1000,J705,$FG$2:$FG$1000,"&lt;"&amp;FG705)=0,"Y","N")))</f>
        <v/>
      </c>
      <c r="FB705" s="0" t="str">
        <f aca="false">IF($A705="","",IF(AND(EZ705="Y",FA705="Y",Y705&amp;""&lt;&gt;""),IF(Y705&lt;=10,"Y","N"),"N"))</f>
        <v/>
      </c>
      <c r="FC705" s="0" t="str">
        <f aca="false">IF(FB705="Y",Y705,"")</f>
        <v/>
      </c>
      <c r="FD705" s="0" t="str">
        <f aca="false">IF($A705="","",IF(AND(CK705="pass",AU705="Y",AV705&lt;&gt;"Y",U705="new",EW705="N"),"Y","N"))</f>
        <v/>
      </c>
      <c r="FE705" s="0" t="str">
        <f aca="false">IF(FD705&lt;&gt;"Y","",IF(COUNTIFS($FD$2:$FD$1000,"Y",$J$2:$J$1000,"&gt;"&amp;J705)+COUNTIFS($FD$2:$FD$1000,"Y",$J$2:$J$1000,J705,$FG$2:$FG$1000,"&lt;"&amp;FG705)+1&lt;=30,COUNTIFS($FD$2:$FD$1000,"Y",$J$2:$J$1000,"&gt;"&amp;J705)+COUNTIFS($FD$2:$FD$1000,"Y",$J$2:$J$1000,J705,$FG$2:$FG$1000,"&lt;"&amp;FG705)+1,""))</f>
        <v/>
      </c>
      <c r="FF705" s="0" t="str">
        <f aca="false">IF(AND(_xlfn.ISFORMULA(C705),_xlfn.ISFORMULA(J705)),"Y","N")</f>
        <v>Y</v>
      </c>
      <c r="FG705" s="0" t="n">
        <f aca="false">ROW()-1</f>
        <v>704</v>
      </c>
    </row>
    <row r="706" customFormat="false" ht="15" hidden="false" customHeight="false" outlineLevel="0" collapsed="false">
      <c r="C706" s="0" t="str">
        <f aca="false">IF($A706="","",IF(AT706="Y",BL706&amp;"",AY706&amp;""))</f>
        <v/>
      </c>
      <c r="D706" s="0" t="str">
        <f aca="false">IF($A706="","",IF(AT706="Y",BM706&amp;"",AZ706&amp;""))</f>
        <v/>
      </c>
      <c r="E706" s="0" t="str">
        <f aca="false">IF($A706="","",IF(AT706="Y",BN706&amp;"",BA706&amp;""))</f>
        <v/>
      </c>
      <c r="F706" s="0" t="str">
        <f aca="false">IF($A706="","",IF(AT706="Y",BO706&amp;"",BB706&amp;""))</f>
        <v/>
      </c>
      <c r="G706" s="0" t="str">
        <f aca="false">IF($A706="","",IF(AT706="Y",BP706&amp;"",BC706&amp;""))</f>
        <v/>
      </c>
      <c r="H706" s="0" t="str">
        <f aca="false">IF($A706="","",IF(AT706="Y",BQ706&amp;"",BD706&amp;""))</f>
        <v/>
      </c>
      <c r="I706" s="0" t="str">
        <f aca="false">IF($A706="","",IF(R706="Y","warm-intro",IF(H706="verified","email",IF(C706&lt;&gt;"","linkedin",CA706&amp;""))))</f>
        <v/>
      </c>
      <c r="J706" s="0" t="str">
        <f aca="false">IF($A706="","",IF(CK706="pass",ROUND(N(DO706)+N(DP706)+N(DQ706)+N(DR706)+N(DS706)+N(DT706)+N(DU706)+N(DV706),0),0))</f>
        <v/>
      </c>
      <c r="K706" s="0" t="str">
        <f aca="false">IF($A706="","",IF(CK706&lt;&gt;"pass",BY706&amp;"",BY706&amp;", "&amp;IF(AT706="Y",BX706&amp;"",BK706&amp;"")&amp;BZ706&amp;IF(R706="Y","; known to the founder (+10)","")&amp;"."))</f>
        <v/>
      </c>
      <c r="R706" s="5"/>
      <c r="T706" s="5"/>
      <c r="U706" s="5"/>
      <c r="Y706" s="0" t="str">
        <f aca="false">IF(FA706&lt;&gt;"Y","",COUNTIFS($FA$2:$FA$1000,"Y",$J$2:$J$1000,"&gt;"&amp;J706)+COUNTIFS($FA$2:$FA$1000,"Y",$J$2:$J$1000,J706,$FG$2:$FG$1000,"&lt;"&amp;FG706)+1)</f>
        <v/>
      </c>
      <c r="AB706" s="0" t="str">
        <f aca="false">IF($A706="","",IF(AT706="Y",BW706&amp;"",BJ706&amp;""))</f>
        <v/>
      </c>
      <c r="AC706" s="0" t="str">
        <f aca="false">IF($A706="","",IF(AT706="Y",BR706&amp;"",BE706&amp;""))</f>
        <v/>
      </c>
      <c r="AD706" s="0" t="str">
        <f aca="false">IF($A706="","",IF(AT706="Y",BS706&amp;"",BF706&amp;""))</f>
        <v/>
      </c>
      <c r="AE706" s="0" t="str">
        <f aca="false">IF($A706="","",IF(AT706="Y",BT706&amp;"",BG706&amp;""))</f>
        <v/>
      </c>
      <c r="AF706" s="0" t="str">
        <f aca="false">IF($A706="","",IF(AT706="Y",BU706&amp;"",BH706&amp;""))</f>
        <v/>
      </c>
      <c r="AG706" s="0" t="str">
        <f aca="false">IF($A706="","",IF(AT706="Y",BV706&amp;"",BI706&amp;""))</f>
        <v/>
      </c>
      <c r="AO706" s="5"/>
      <c r="AR706" s="0" t="str">
        <f aca="false">IF($A706="","",IF(AND(CK706="pass",AO706&lt;&gt;"Y",C706&lt;&gt;"",OR(AU706&lt;&gt;"Y",AV706="Y")),"Y","N"))</f>
        <v/>
      </c>
      <c r="AS706" s="0" t="str">
        <f aca="false">IF($A706="","",_xlfn.TEXTJOIN("; ",TRUE(),IF(CK706&lt;&gt;"pass","gated out",""),IF(AO706="Y","on hold: "&amp;AP706,""),IF(C706="","no contact named on an opened page",""),IF(AND(AU706="Y",AV706&lt;&gt;"Y"),"founder review pending (Founder review tab)","")))</f>
        <v/>
      </c>
      <c r="BC706" s="0" t="str">
        <f aca="false">IF($A706="","",IFERROR(INDEX(Enrichment!$A$2:$GZ$2000,MATCH($A706,INDEX(Enrichment!$A$2:$GZ$2000,0,MATCH("row_id",Enrichment!$A$1:$GZ$1,0)),0),MATCH("work_email",Enrichment!$A$1:$GZ$1,0))&amp;"",""))</f>
        <v/>
      </c>
      <c r="BD706" s="0" t="str">
        <f aca="false">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P706" s="0" t="str">
        <f aca="false">IF($A706="","",IFERROR(INDEX(Enrichment!$A$2:$GZ$2000,MATCH($A706,INDEX(Enrichment!$A$2:$GZ$2000,0,MATCH("row_id",Enrichment!$A$1:$GZ$1,0)),0),MATCH("backup_work_email",Enrichment!$A$1:$GZ$1,0))&amp;"",""))</f>
        <v/>
      </c>
      <c r="BQ706" s="0" t="str">
        <f aca="false">IF($A706="","",IF(BP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DU706" s="0" t="str">
        <f aca="false">IF($A706="","",IF(R706="Y",10,0))</f>
        <v/>
      </c>
      <c r="EV706" s="0" t="str">
        <f aca="false">IF($A706="","",IF(ISNUMBER(MATCH(U706,{"queued","contacted","replied","call_booked","call_done","yes_in_principle","materials_sent"},0)),"Y","N"))</f>
        <v/>
      </c>
      <c r="EW706" s="0" t="str">
        <f aca="false">IF($A706="","",IF(OR(T706="Y",U706="do_not_contact",AQ706&amp;""&lt;&gt;""),"Y","N"))</f>
        <v/>
      </c>
      <c r="EX706" s="0" t="str">
        <f aca="false">IF($A706="","",IF(AN706&amp;""&lt;&gt;"",AN706&amp;"",$A706))</f>
        <v/>
      </c>
      <c r="EY706" s="0" t="str">
        <f aca="false">IF($A706="","",IF(COUNTIFS($EX$2:$EX$1000,EX706,$EV$2:$EV$1000,"Y")+COUNTIFS($EX$2:$EX$1000,EX706,$EW$2:$EW$1000,"Y")&gt;0,"Y","N"))</f>
        <v/>
      </c>
      <c r="EZ706" s="0" t="str">
        <f aca="false">IF($A706="","",IF(AND(U706="new",T706="N",EW706="N",AR706="Y",EY706="N"),"Y","N"))</f>
        <v/>
      </c>
      <c r="FA706" s="0" t="str">
        <f aca="false">IF($A706="","",IF(EZ706&lt;&gt;"Y","N",IF(COUNTIFS($EX$2:$EX$1000,EX706,$EZ$2:$EZ$1000,"Y",$J$2:$J$1000,"&gt;"&amp;J706)+COUNTIFS($EX$2:$EX$1000,EX706,$EZ$2:$EZ$1000,"Y",$J$2:$J$1000,J706,$FG$2:$FG$1000,"&lt;"&amp;FG706)=0,"Y","N")))</f>
        <v/>
      </c>
      <c r="FB706" s="0" t="str">
        <f aca="false">IF($A706="","",IF(AND(EZ706="Y",FA706="Y",Y706&amp;""&lt;&gt;""),IF(Y706&lt;=10,"Y","N"),"N"))</f>
        <v/>
      </c>
      <c r="FC706" s="0" t="str">
        <f aca="false">IF(FB706="Y",Y706,"")</f>
        <v/>
      </c>
      <c r="FD706" s="0" t="str">
        <f aca="false">IF($A706="","",IF(AND(CK706="pass",AU706="Y",AV706&lt;&gt;"Y",U706="new",EW706="N"),"Y","N"))</f>
        <v/>
      </c>
      <c r="FE706" s="0" t="str">
        <f aca="false">IF(FD706&lt;&gt;"Y","",IF(COUNTIFS($FD$2:$FD$1000,"Y",$J$2:$J$1000,"&gt;"&amp;J706)+COUNTIFS($FD$2:$FD$1000,"Y",$J$2:$J$1000,J706,$FG$2:$FG$1000,"&lt;"&amp;FG706)+1&lt;=30,COUNTIFS($FD$2:$FD$1000,"Y",$J$2:$J$1000,"&gt;"&amp;J706)+COUNTIFS($FD$2:$FD$1000,"Y",$J$2:$J$1000,J706,$FG$2:$FG$1000,"&lt;"&amp;FG706)+1,""))</f>
        <v/>
      </c>
      <c r="FF706" s="0" t="str">
        <f aca="false">IF(AND(_xlfn.ISFORMULA(C706),_xlfn.ISFORMULA(J706)),"Y","N")</f>
        <v>Y</v>
      </c>
      <c r="FG706" s="0" t="n">
        <f aca="false">ROW()-1</f>
        <v>705</v>
      </c>
    </row>
    <row r="707" customFormat="false" ht="15" hidden="false" customHeight="false" outlineLevel="0" collapsed="false">
      <c r="C707" s="0" t="str">
        <f aca="false">IF($A707="","",IF(AT707="Y",BL707&amp;"",AY707&amp;""))</f>
        <v/>
      </c>
      <c r="D707" s="0" t="str">
        <f aca="false">IF($A707="","",IF(AT707="Y",BM707&amp;"",AZ707&amp;""))</f>
        <v/>
      </c>
      <c r="E707" s="0" t="str">
        <f aca="false">IF($A707="","",IF(AT707="Y",BN707&amp;"",BA707&amp;""))</f>
        <v/>
      </c>
      <c r="F707" s="0" t="str">
        <f aca="false">IF($A707="","",IF(AT707="Y",BO707&amp;"",BB707&amp;""))</f>
        <v/>
      </c>
      <c r="G707" s="0" t="str">
        <f aca="false">IF($A707="","",IF(AT707="Y",BP707&amp;"",BC707&amp;""))</f>
        <v/>
      </c>
      <c r="H707" s="0" t="str">
        <f aca="false">IF($A707="","",IF(AT707="Y",BQ707&amp;"",BD707&amp;""))</f>
        <v/>
      </c>
      <c r="I707" s="0" t="str">
        <f aca="false">IF($A707="","",IF(R707="Y","warm-intro",IF(H707="verified","email",IF(C707&lt;&gt;"","linkedin",CA707&amp;""))))</f>
        <v/>
      </c>
      <c r="J707" s="0" t="str">
        <f aca="false">IF($A707="","",IF(CK707="pass",ROUND(N(DO707)+N(DP707)+N(DQ707)+N(DR707)+N(DS707)+N(DT707)+N(DU707)+N(DV707),0),0))</f>
        <v/>
      </c>
      <c r="K707" s="0" t="str">
        <f aca="false">IF($A707="","",IF(CK707&lt;&gt;"pass",BY707&amp;"",BY707&amp;", "&amp;IF(AT707="Y",BX707&amp;"",BK707&amp;"")&amp;BZ707&amp;IF(R707="Y","; known to the founder (+10)","")&amp;"."))</f>
        <v/>
      </c>
      <c r="R707" s="5"/>
      <c r="T707" s="5"/>
      <c r="U707" s="5"/>
      <c r="Y707" s="0" t="str">
        <f aca="false">IF(FA707&lt;&gt;"Y","",COUNTIFS($FA$2:$FA$1000,"Y",$J$2:$J$1000,"&gt;"&amp;J707)+COUNTIFS($FA$2:$FA$1000,"Y",$J$2:$J$1000,J707,$FG$2:$FG$1000,"&lt;"&amp;FG707)+1)</f>
        <v/>
      </c>
      <c r="AB707" s="0" t="str">
        <f aca="false">IF($A707="","",IF(AT707="Y",BW707&amp;"",BJ707&amp;""))</f>
        <v/>
      </c>
      <c r="AC707" s="0" t="str">
        <f aca="false">IF($A707="","",IF(AT707="Y",BR707&amp;"",BE707&amp;""))</f>
        <v/>
      </c>
      <c r="AD707" s="0" t="str">
        <f aca="false">IF($A707="","",IF(AT707="Y",BS707&amp;"",BF707&amp;""))</f>
        <v/>
      </c>
      <c r="AE707" s="0" t="str">
        <f aca="false">IF($A707="","",IF(AT707="Y",BT707&amp;"",BG707&amp;""))</f>
        <v/>
      </c>
      <c r="AF707" s="0" t="str">
        <f aca="false">IF($A707="","",IF(AT707="Y",BU707&amp;"",BH707&amp;""))</f>
        <v/>
      </c>
      <c r="AG707" s="0" t="str">
        <f aca="false">IF($A707="","",IF(AT707="Y",BV707&amp;"",BI707&amp;""))</f>
        <v/>
      </c>
      <c r="AO707" s="5"/>
      <c r="AR707" s="0" t="str">
        <f aca="false">IF($A707="","",IF(AND(CK707="pass",AO707&lt;&gt;"Y",C707&lt;&gt;"",OR(AU707&lt;&gt;"Y",AV707="Y")),"Y","N"))</f>
        <v/>
      </c>
      <c r="AS707" s="0" t="str">
        <f aca="false">IF($A707="","",_xlfn.TEXTJOIN("; ",TRUE(),IF(CK707&lt;&gt;"pass","gated out",""),IF(AO707="Y","on hold: "&amp;AP707,""),IF(C707="","no contact named on an opened page",""),IF(AND(AU707="Y",AV707&lt;&gt;"Y"),"founder review pending (Founder review tab)","")))</f>
        <v/>
      </c>
      <c r="BC707" s="0" t="str">
        <f aca="false">IF($A707="","",IFERROR(INDEX(Enrichment!$A$2:$GZ$2000,MATCH($A707,INDEX(Enrichment!$A$2:$GZ$2000,0,MATCH("row_id",Enrichment!$A$1:$GZ$1,0)),0),MATCH("work_email",Enrichment!$A$1:$GZ$1,0))&amp;"",""))</f>
        <v/>
      </c>
      <c r="BD707" s="0" t="str">
        <f aca="false">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P707" s="0" t="str">
        <f aca="false">IF($A707="","",IFERROR(INDEX(Enrichment!$A$2:$GZ$2000,MATCH($A707,INDEX(Enrichment!$A$2:$GZ$2000,0,MATCH("row_id",Enrichment!$A$1:$GZ$1,0)),0),MATCH("backup_work_email",Enrichment!$A$1:$GZ$1,0))&amp;"",""))</f>
        <v/>
      </c>
      <c r="BQ707" s="0" t="str">
        <f aca="false">IF($A707="","",IF(BP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DU707" s="0" t="str">
        <f aca="false">IF($A707="","",IF(R707="Y",10,0))</f>
        <v/>
      </c>
      <c r="EV707" s="0" t="str">
        <f aca="false">IF($A707="","",IF(ISNUMBER(MATCH(U707,{"queued","contacted","replied","call_booked","call_done","yes_in_principle","materials_sent"},0)),"Y","N"))</f>
        <v/>
      </c>
      <c r="EW707" s="0" t="str">
        <f aca="false">IF($A707="","",IF(OR(T707="Y",U707="do_not_contact",AQ707&amp;""&lt;&gt;""),"Y","N"))</f>
        <v/>
      </c>
      <c r="EX707" s="0" t="str">
        <f aca="false">IF($A707="","",IF(AN707&amp;""&lt;&gt;"",AN707&amp;"",$A707))</f>
        <v/>
      </c>
      <c r="EY707" s="0" t="str">
        <f aca="false">IF($A707="","",IF(COUNTIFS($EX$2:$EX$1000,EX707,$EV$2:$EV$1000,"Y")+COUNTIFS($EX$2:$EX$1000,EX707,$EW$2:$EW$1000,"Y")&gt;0,"Y","N"))</f>
        <v/>
      </c>
      <c r="EZ707" s="0" t="str">
        <f aca="false">IF($A707="","",IF(AND(U707="new",T707="N",EW707="N",AR707="Y",EY707="N"),"Y","N"))</f>
        <v/>
      </c>
      <c r="FA707" s="0" t="str">
        <f aca="false">IF($A707="","",IF(EZ707&lt;&gt;"Y","N",IF(COUNTIFS($EX$2:$EX$1000,EX707,$EZ$2:$EZ$1000,"Y",$J$2:$J$1000,"&gt;"&amp;J707)+COUNTIFS($EX$2:$EX$1000,EX707,$EZ$2:$EZ$1000,"Y",$J$2:$J$1000,J707,$FG$2:$FG$1000,"&lt;"&amp;FG707)=0,"Y","N")))</f>
        <v/>
      </c>
      <c r="FB707" s="0" t="str">
        <f aca="false">IF($A707="","",IF(AND(EZ707="Y",FA707="Y",Y707&amp;""&lt;&gt;""),IF(Y707&lt;=10,"Y","N"),"N"))</f>
        <v/>
      </c>
      <c r="FC707" s="0" t="str">
        <f aca="false">IF(FB707="Y",Y707,"")</f>
        <v/>
      </c>
      <c r="FD707" s="0" t="str">
        <f aca="false">IF($A707="","",IF(AND(CK707="pass",AU707="Y",AV707&lt;&gt;"Y",U707="new",EW707="N"),"Y","N"))</f>
        <v/>
      </c>
      <c r="FE707" s="0" t="str">
        <f aca="false">IF(FD707&lt;&gt;"Y","",IF(COUNTIFS($FD$2:$FD$1000,"Y",$J$2:$J$1000,"&gt;"&amp;J707)+COUNTIFS($FD$2:$FD$1000,"Y",$J$2:$J$1000,J707,$FG$2:$FG$1000,"&lt;"&amp;FG707)+1&lt;=30,COUNTIFS($FD$2:$FD$1000,"Y",$J$2:$J$1000,"&gt;"&amp;J707)+COUNTIFS($FD$2:$FD$1000,"Y",$J$2:$J$1000,J707,$FG$2:$FG$1000,"&lt;"&amp;FG707)+1,""))</f>
        <v/>
      </c>
      <c r="FF707" s="0" t="str">
        <f aca="false">IF(AND(_xlfn.ISFORMULA(C707),_xlfn.ISFORMULA(J707)),"Y","N")</f>
        <v>Y</v>
      </c>
      <c r="FG707" s="0" t="n">
        <f aca="false">ROW()-1</f>
        <v>706</v>
      </c>
    </row>
    <row r="708" customFormat="false" ht="15" hidden="false" customHeight="false" outlineLevel="0" collapsed="false">
      <c r="C708" s="0" t="str">
        <f aca="false">IF($A708="","",IF(AT708="Y",BL708&amp;"",AY708&amp;""))</f>
        <v/>
      </c>
      <c r="D708" s="0" t="str">
        <f aca="false">IF($A708="","",IF(AT708="Y",BM708&amp;"",AZ708&amp;""))</f>
        <v/>
      </c>
      <c r="E708" s="0" t="str">
        <f aca="false">IF($A708="","",IF(AT708="Y",BN708&amp;"",BA708&amp;""))</f>
        <v/>
      </c>
      <c r="F708" s="0" t="str">
        <f aca="false">IF($A708="","",IF(AT708="Y",BO708&amp;"",BB708&amp;""))</f>
        <v/>
      </c>
      <c r="G708" s="0" t="str">
        <f aca="false">IF($A708="","",IF(AT708="Y",BP708&amp;"",BC708&amp;""))</f>
        <v/>
      </c>
      <c r="H708" s="0" t="str">
        <f aca="false">IF($A708="","",IF(AT708="Y",BQ708&amp;"",BD708&amp;""))</f>
        <v/>
      </c>
      <c r="I708" s="0" t="str">
        <f aca="false">IF($A708="","",IF(R708="Y","warm-intro",IF(H708="verified","email",IF(C708&lt;&gt;"","linkedin",CA708&amp;""))))</f>
        <v/>
      </c>
      <c r="J708" s="0" t="str">
        <f aca="false">IF($A708="","",IF(CK708="pass",ROUND(N(DO708)+N(DP708)+N(DQ708)+N(DR708)+N(DS708)+N(DT708)+N(DU708)+N(DV708),0),0))</f>
        <v/>
      </c>
      <c r="K708" s="0" t="str">
        <f aca="false">IF($A708="","",IF(CK708&lt;&gt;"pass",BY708&amp;"",BY708&amp;", "&amp;IF(AT708="Y",BX708&amp;"",BK708&amp;"")&amp;BZ708&amp;IF(R708="Y","; known to the founder (+10)","")&amp;"."))</f>
        <v/>
      </c>
      <c r="R708" s="5"/>
      <c r="T708" s="5"/>
      <c r="U708" s="5"/>
      <c r="Y708" s="0" t="str">
        <f aca="false">IF(FA708&lt;&gt;"Y","",COUNTIFS($FA$2:$FA$1000,"Y",$J$2:$J$1000,"&gt;"&amp;J708)+COUNTIFS($FA$2:$FA$1000,"Y",$J$2:$J$1000,J708,$FG$2:$FG$1000,"&lt;"&amp;FG708)+1)</f>
        <v/>
      </c>
      <c r="AB708" s="0" t="str">
        <f aca="false">IF($A708="","",IF(AT708="Y",BW708&amp;"",BJ708&amp;""))</f>
        <v/>
      </c>
      <c r="AC708" s="0" t="str">
        <f aca="false">IF($A708="","",IF(AT708="Y",BR708&amp;"",BE708&amp;""))</f>
        <v/>
      </c>
      <c r="AD708" s="0" t="str">
        <f aca="false">IF($A708="","",IF(AT708="Y",BS708&amp;"",BF708&amp;""))</f>
        <v/>
      </c>
      <c r="AE708" s="0" t="str">
        <f aca="false">IF($A708="","",IF(AT708="Y",BT708&amp;"",BG708&amp;""))</f>
        <v/>
      </c>
      <c r="AF708" s="0" t="str">
        <f aca="false">IF($A708="","",IF(AT708="Y",BU708&amp;"",BH708&amp;""))</f>
        <v/>
      </c>
      <c r="AG708" s="0" t="str">
        <f aca="false">IF($A708="","",IF(AT708="Y",BV708&amp;"",BI708&amp;""))</f>
        <v/>
      </c>
      <c r="AO708" s="5"/>
      <c r="AR708" s="0" t="str">
        <f aca="false">IF($A708="","",IF(AND(CK708="pass",AO708&lt;&gt;"Y",C708&lt;&gt;"",OR(AU708&lt;&gt;"Y",AV708="Y")),"Y","N"))</f>
        <v/>
      </c>
      <c r="AS708" s="0" t="str">
        <f aca="false">IF($A708="","",_xlfn.TEXTJOIN("; ",TRUE(),IF(CK708&lt;&gt;"pass","gated out",""),IF(AO708="Y","on hold: "&amp;AP708,""),IF(C708="","no contact named on an opened page",""),IF(AND(AU708="Y",AV708&lt;&gt;"Y"),"founder review pending (Founder review tab)","")))</f>
        <v/>
      </c>
      <c r="BC708" s="0" t="str">
        <f aca="false">IF($A708="","",IFERROR(INDEX(Enrichment!$A$2:$GZ$2000,MATCH($A708,INDEX(Enrichment!$A$2:$GZ$2000,0,MATCH("row_id",Enrichment!$A$1:$GZ$1,0)),0),MATCH("work_email",Enrichment!$A$1:$GZ$1,0))&amp;"",""))</f>
        <v/>
      </c>
      <c r="BD708" s="0" t="str">
        <f aca="false">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P708" s="0" t="str">
        <f aca="false">IF($A708="","",IFERROR(INDEX(Enrichment!$A$2:$GZ$2000,MATCH($A708,INDEX(Enrichment!$A$2:$GZ$2000,0,MATCH("row_id",Enrichment!$A$1:$GZ$1,0)),0),MATCH("backup_work_email",Enrichment!$A$1:$GZ$1,0))&amp;"",""))</f>
        <v/>
      </c>
      <c r="BQ708" s="0" t="str">
        <f aca="false">IF($A708="","",IF(BP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DU708" s="0" t="str">
        <f aca="false">IF($A708="","",IF(R708="Y",10,0))</f>
        <v/>
      </c>
      <c r="EV708" s="0" t="str">
        <f aca="false">IF($A708="","",IF(ISNUMBER(MATCH(U708,{"queued","contacted","replied","call_booked","call_done","yes_in_principle","materials_sent"},0)),"Y","N"))</f>
        <v/>
      </c>
      <c r="EW708" s="0" t="str">
        <f aca="false">IF($A708="","",IF(OR(T708="Y",U708="do_not_contact",AQ708&amp;""&lt;&gt;""),"Y","N"))</f>
        <v/>
      </c>
      <c r="EX708" s="0" t="str">
        <f aca="false">IF($A708="","",IF(AN708&amp;""&lt;&gt;"",AN708&amp;"",$A708))</f>
        <v/>
      </c>
      <c r="EY708" s="0" t="str">
        <f aca="false">IF($A708="","",IF(COUNTIFS($EX$2:$EX$1000,EX708,$EV$2:$EV$1000,"Y")+COUNTIFS($EX$2:$EX$1000,EX708,$EW$2:$EW$1000,"Y")&gt;0,"Y","N"))</f>
        <v/>
      </c>
      <c r="EZ708" s="0" t="str">
        <f aca="false">IF($A708="","",IF(AND(U708="new",T708="N",EW708="N",AR708="Y",EY708="N"),"Y","N"))</f>
        <v/>
      </c>
      <c r="FA708" s="0" t="str">
        <f aca="false">IF($A708="","",IF(EZ708&lt;&gt;"Y","N",IF(COUNTIFS($EX$2:$EX$1000,EX708,$EZ$2:$EZ$1000,"Y",$J$2:$J$1000,"&gt;"&amp;J708)+COUNTIFS($EX$2:$EX$1000,EX708,$EZ$2:$EZ$1000,"Y",$J$2:$J$1000,J708,$FG$2:$FG$1000,"&lt;"&amp;FG708)=0,"Y","N")))</f>
        <v/>
      </c>
      <c r="FB708" s="0" t="str">
        <f aca="false">IF($A708="","",IF(AND(EZ708="Y",FA708="Y",Y708&amp;""&lt;&gt;""),IF(Y708&lt;=10,"Y","N"),"N"))</f>
        <v/>
      </c>
      <c r="FC708" s="0" t="str">
        <f aca="false">IF(FB708="Y",Y708,"")</f>
        <v/>
      </c>
      <c r="FD708" s="0" t="str">
        <f aca="false">IF($A708="","",IF(AND(CK708="pass",AU708="Y",AV708&lt;&gt;"Y",U708="new",EW708="N"),"Y","N"))</f>
        <v/>
      </c>
      <c r="FE708" s="0" t="str">
        <f aca="false">IF(FD708&lt;&gt;"Y","",IF(COUNTIFS($FD$2:$FD$1000,"Y",$J$2:$J$1000,"&gt;"&amp;J708)+COUNTIFS($FD$2:$FD$1000,"Y",$J$2:$J$1000,J708,$FG$2:$FG$1000,"&lt;"&amp;FG708)+1&lt;=30,COUNTIFS($FD$2:$FD$1000,"Y",$J$2:$J$1000,"&gt;"&amp;J708)+COUNTIFS($FD$2:$FD$1000,"Y",$J$2:$J$1000,J708,$FG$2:$FG$1000,"&lt;"&amp;FG708)+1,""))</f>
        <v/>
      </c>
      <c r="FF708" s="0" t="str">
        <f aca="false">IF(AND(_xlfn.ISFORMULA(C708),_xlfn.ISFORMULA(J708)),"Y","N")</f>
        <v>Y</v>
      </c>
      <c r="FG708" s="0" t="n">
        <f aca="false">ROW()-1</f>
        <v>707</v>
      </c>
    </row>
    <row r="709" customFormat="false" ht="15" hidden="false" customHeight="false" outlineLevel="0" collapsed="false">
      <c r="C709" s="0" t="str">
        <f aca="false">IF($A709="","",IF(AT709="Y",BL709&amp;"",AY709&amp;""))</f>
        <v/>
      </c>
      <c r="D709" s="0" t="str">
        <f aca="false">IF($A709="","",IF(AT709="Y",BM709&amp;"",AZ709&amp;""))</f>
        <v/>
      </c>
      <c r="E709" s="0" t="str">
        <f aca="false">IF($A709="","",IF(AT709="Y",BN709&amp;"",BA709&amp;""))</f>
        <v/>
      </c>
      <c r="F709" s="0" t="str">
        <f aca="false">IF($A709="","",IF(AT709="Y",BO709&amp;"",BB709&amp;""))</f>
        <v/>
      </c>
      <c r="G709" s="0" t="str">
        <f aca="false">IF($A709="","",IF(AT709="Y",BP709&amp;"",BC709&amp;""))</f>
        <v/>
      </c>
      <c r="H709" s="0" t="str">
        <f aca="false">IF($A709="","",IF(AT709="Y",BQ709&amp;"",BD709&amp;""))</f>
        <v/>
      </c>
      <c r="I709" s="0" t="str">
        <f aca="false">IF($A709="","",IF(R709="Y","warm-intro",IF(H709="verified","email",IF(C709&lt;&gt;"","linkedin",CA709&amp;""))))</f>
        <v/>
      </c>
      <c r="J709" s="0" t="str">
        <f aca="false">IF($A709="","",IF(CK709="pass",ROUND(N(DO709)+N(DP709)+N(DQ709)+N(DR709)+N(DS709)+N(DT709)+N(DU709)+N(DV709),0),0))</f>
        <v/>
      </c>
      <c r="K709" s="0" t="str">
        <f aca="false">IF($A709="","",IF(CK709&lt;&gt;"pass",BY709&amp;"",BY709&amp;", "&amp;IF(AT709="Y",BX709&amp;"",BK709&amp;"")&amp;BZ709&amp;IF(R709="Y","; known to the founder (+10)","")&amp;"."))</f>
        <v/>
      </c>
      <c r="R709" s="5"/>
      <c r="T709" s="5"/>
      <c r="U709" s="5"/>
      <c r="Y709" s="0" t="str">
        <f aca="false">IF(FA709&lt;&gt;"Y","",COUNTIFS($FA$2:$FA$1000,"Y",$J$2:$J$1000,"&gt;"&amp;J709)+COUNTIFS($FA$2:$FA$1000,"Y",$J$2:$J$1000,J709,$FG$2:$FG$1000,"&lt;"&amp;FG709)+1)</f>
        <v/>
      </c>
      <c r="AB709" s="0" t="str">
        <f aca="false">IF($A709="","",IF(AT709="Y",BW709&amp;"",BJ709&amp;""))</f>
        <v/>
      </c>
      <c r="AC709" s="0" t="str">
        <f aca="false">IF($A709="","",IF(AT709="Y",BR709&amp;"",BE709&amp;""))</f>
        <v/>
      </c>
      <c r="AD709" s="0" t="str">
        <f aca="false">IF($A709="","",IF(AT709="Y",BS709&amp;"",BF709&amp;""))</f>
        <v/>
      </c>
      <c r="AE709" s="0" t="str">
        <f aca="false">IF($A709="","",IF(AT709="Y",BT709&amp;"",BG709&amp;""))</f>
        <v/>
      </c>
      <c r="AF709" s="0" t="str">
        <f aca="false">IF($A709="","",IF(AT709="Y",BU709&amp;"",BH709&amp;""))</f>
        <v/>
      </c>
      <c r="AG709" s="0" t="str">
        <f aca="false">IF($A709="","",IF(AT709="Y",BV709&amp;"",BI709&amp;""))</f>
        <v/>
      </c>
      <c r="AO709" s="5"/>
      <c r="AR709" s="0" t="str">
        <f aca="false">IF($A709="","",IF(AND(CK709="pass",AO709&lt;&gt;"Y",C709&lt;&gt;"",OR(AU709&lt;&gt;"Y",AV709="Y")),"Y","N"))</f>
        <v/>
      </c>
      <c r="AS709" s="0" t="str">
        <f aca="false">IF($A709="","",_xlfn.TEXTJOIN("; ",TRUE(),IF(CK709&lt;&gt;"pass","gated out",""),IF(AO709="Y","on hold: "&amp;AP709,""),IF(C709="","no contact named on an opened page",""),IF(AND(AU709="Y",AV709&lt;&gt;"Y"),"founder review pending (Founder review tab)","")))</f>
        <v/>
      </c>
      <c r="BC709" s="0" t="str">
        <f aca="false">IF($A709="","",IFERROR(INDEX(Enrichment!$A$2:$GZ$2000,MATCH($A709,INDEX(Enrichment!$A$2:$GZ$2000,0,MATCH("row_id",Enrichment!$A$1:$GZ$1,0)),0),MATCH("work_email",Enrichment!$A$1:$GZ$1,0))&amp;"",""))</f>
        <v/>
      </c>
      <c r="BD709" s="0" t="str">
        <f aca="false">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P709" s="0" t="str">
        <f aca="false">IF($A709="","",IFERROR(INDEX(Enrichment!$A$2:$GZ$2000,MATCH($A709,INDEX(Enrichment!$A$2:$GZ$2000,0,MATCH("row_id",Enrichment!$A$1:$GZ$1,0)),0),MATCH("backup_work_email",Enrichment!$A$1:$GZ$1,0))&amp;"",""))</f>
        <v/>
      </c>
      <c r="BQ709" s="0" t="str">
        <f aca="false">IF($A709="","",IF(BP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DU709" s="0" t="str">
        <f aca="false">IF($A709="","",IF(R709="Y",10,0))</f>
        <v/>
      </c>
      <c r="EV709" s="0" t="str">
        <f aca="false">IF($A709="","",IF(ISNUMBER(MATCH(U709,{"queued","contacted","replied","call_booked","call_done","yes_in_principle","materials_sent"},0)),"Y","N"))</f>
        <v/>
      </c>
      <c r="EW709" s="0" t="str">
        <f aca="false">IF($A709="","",IF(OR(T709="Y",U709="do_not_contact",AQ709&amp;""&lt;&gt;""),"Y","N"))</f>
        <v/>
      </c>
      <c r="EX709" s="0" t="str">
        <f aca="false">IF($A709="","",IF(AN709&amp;""&lt;&gt;"",AN709&amp;"",$A709))</f>
        <v/>
      </c>
      <c r="EY709" s="0" t="str">
        <f aca="false">IF($A709="","",IF(COUNTIFS($EX$2:$EX$1000,EX709,$EV$2:$EV$1000,"Y")+COUNTIFS($EX$2:$EX$1000,EX709,$EW$2:$EW$1000,"Y")&gt;0,"Y","N"))</f>
        <v/>
      </c>
      <c r="EZ709" s="0" t="str">
        <f aca="false">IF($A709="","",IF(AND(U709="new",T709="N",EW709="N",AR709="Y",EY709="N"),"Y","N"))</f>
        <v/>
      </c>
      <c r="FA709" s="0" t="str">
        <f aca="false">IF($A709="","",IF(EZ709&lt;&gt;"Y","N",IF(COUNTIFS($EX$2:$EX$1000,EX709,$EZ$2:$EZ$1000,"Y",$J$2:$J$1000,"&gt;"&amp;J709)+COUNTIFS($EX$2:$EX$1000,EX709,$EZ$2:$EZ$1000,"Y",$J$2:$J$1000,J709,$FG$2:$FG$1000,"&lt;"&amp;FG709)=0,"Y","N")))</f>
        <v/>
      </c>
      <c r="FB709" s="0" t="str">
        <f aca="false">IF($A709="","",IF(AND(EZ709="Y",FA709="Y",Y709&amp;""&lt;&gt;""),IF(Y709&lt;=10,"Y","N"),"N"))</f>
        <v/>
      </c>
      <c r="FC709" s="0" t="str">
        <f aca="false">IF(FB709="Y",Y709,"")</f>
        <v/>
      </c>
      <c r="FD709" s="0" t="str">
        <f aca="false">IF($A709="","",IF(AND(CK709="pass",AU709="Y",AV709&lt;&gt;"Y",U709="new",EW709="N"),"Y","N"))</f>
        <v/>
      </c>
      <c r="FE709" s="0" t="str">
        <f aca="false">IF(FD709&lt;&gt;"Y","",IF(COUNTIFS($FD$2:$FD$1000,"Y",$J$2:$J$1000,"&gt;"&amp;J709)+COUNTIFS($FD$2:$FD$1000,"Y",$J$2:$J$1000,J709,$FG$2:$FG$1000,"&lt;"&amp;FG709)+1&lt;=30,COUNTIFS($FD$2:$FD$1000,"Y",$J$2:$J$1000,"&gt;"&amp;J709)+COUNTIFS($FD$2:$FD$1000,"Y",$J$2:$J$1000,J709,$FG$2:$FG$1000,"&lt;"&amp;FG709)+1,""))</f>
        <v/>
      </c>
      <c r="FF709" s="0" t="str">
        <f aca="false">IF(AND(_xlfn.ISFORMULA(C709),_xlfn.ISFORMULA(J709)),"Y","N")</f>
        <v>Y</v>
      </c>
      <c r="FG709" s="0" t="n">
        <f aca="false">ROW()-1</f>
        <v>708</v>
      </c>
    </row>
    <row r="710" customFormat="false" ht="15" hidden="false" customHeight="false" outlineLevel="0" collapsed="false">
      <c r="C710" s="0" t="str">
        <f aca="false">IF($A710="","",IF(AT710="Y",BL710&amp;"",AY710&amp;""))</f>
        <v/>
      </c>
      <c r="D710" s="0" t="str">
        <f aca="false">IF($A710="","",IF(AT710="Y",BM710&amp;"",AZ710&amp;""))</f>
        <v/>
      </c>
      <c r="E710" s="0" t="str">
        <f aca="false">IF($A710="","",IF(AT710="Y",BN710&amp;"",BA710&amp;""))</f>
        <v/>
      </c>
      <c r="F710" s="0" t="str">
        <f aca="false">IF($A710="","",IF(AT710="Y",BO710&amp;"",BB710&amp;""))</f>
        <v/>
      </c>
      <c r="G710" s="0" t="str">
        <f aca="false">IF($A710="","",IF(AT710="Y",BP710&amp;"",BC710&amp;""))</f>
        <v/>
      </c>
      <c r="H710" s="0" t="str">
        <f aca="false">IF($A710="","",IF(AT710="Y",BQ710&amp;"",BD710&amp;""))</f>
        <v/>
      </c>
      <c r="I710" s="0" t="str">
        <f aca="false">IF($A710="","",IF(R710="Y","warm-intro",IF(H710="verified","email",IF(C710&lt;&gt;"","linkedin",CA710&amp;""))))</f>
        <v/>
      </c>
      <c r="J710" s="0" t="str">
        <f aca="false">IF($A710="","",IF(CK710="pass",ROUND(N(DO710)+N(DP710)+N(DQ710)+N(DR710)+N(DS710)+N(DT710)+N(DU710)+N(DV710),0),0))</f>
        <v/>
      </c>
      <c r="K710" s="0" t="str">
        <f aca="false">IF($A710="","",IF(CK710&lt;&gt;"pass",BY710&amp;"",BY710&amp;", "&amp;IF(AT710="Y",BX710&amp;"",BK710&amp;"")&amp;BZ710&amp;IF(R710="Y","; known to the founder (+10)","")&amp;"."))</f>
        <v/>
      </c>
      <c r="R710" s="5"/>
      <c r="T710" s="5"/>
      <c r="U710" s="5"/>
      <c r="Y710" s="0" t="str">
        <f aca="false">IF(FA710&lt;&gt;"Y","",COUNTIFS($FA$2:$FA$1000,"Y",$J$2:$J$1000,"&gt;"&amp;J710)+COUNTIFS($FA$2:$FA$1000,"Y",$J$2:$J$1000,J710,$FG$2:$FG$1000,"&lt;"&amp;FG710)+1)</f>
        <v/>
      </c>
      <c r="AB710" s="0" t="str">
        <f aca="false">IF($A710="","",IF(AT710="Y",BW710&amp;"",BJ710&amp;""))</f>
        <v/>
      </c>
      <c r="AC710" s="0" t="str">
        <f aca="false">IF($A710="","",IF(AT710="Y",BR710&amp;"",BE710&amp;""))</f>
        <v/>
      </c>
      <c r="AD710" s="0" t="str">
        <f aca="false">IF($A710="","",IF(AT710="Y",BS710&amp;"",BF710&amp;""))</f>
        <v/>
      </c>
      <c r="AE710" s="0" t="str">
        <f aca="false">IF($A710="","",IF(AT710="Y",BT710&amp;"",BG710&amp;""))</f>
        <v/>
      </c>
      <c r="AF710" s="0" t="str">
        <f aca="false">IF($A710="","",IF(AT710="Y",BU710&amp;"",BH710&amp;""))</f>
        <v/>
      </c>
      <c r="AG710" s="0" t="str">
        <f aca="false">IF($A710="","",IF(AT710="Y",BV710&amp;"",BI710&amp;""))</f>
        <v/>
      </c>
      <c r="AO710" s="5"/>
      <c r="AR710" s="0" t="str">
        <f aca="false">IF($A710="","",IF(AND(CK710="pass",AO710&lt;&gt;"Y",C710&lt;&gt;"",OR(AU710&lt;&gt;"Y",AV710="Y")),"Y","N"))</f>
        <v/>
      </c>
      <c r="AS710" s="0" t="str">
        <f aca="false">IF($A710="","",_xlfn.TEXTJOIN("; ",TRUE(),IF(CK710&lt;&gt;"pass","gated out",""),IF(AO710="Y","on hold: "&amp;AP710,""),IF(C710="","no contact named on an opened page",""),IF(AND(AU710="Y",AV710&lt;&gt;"Y"),"founder review pending (Founder review tab)","")))</f>
        <v/>
      </c>
      <c r="BC710" s="0" t="str">
        <f aca="false">IF($A710="","",IFERROR(INDEX(Enrichment!$A$2:$GZ$2000,MATCH($A710,INDEX(Enrichment!$A$2:$GZ$2000,0,MATCH("row_id",Enrichment!$A$1:$GZ$1,0)),0),MATCH("work_email",Enrichment!$A$1:$GZ$1,0))&amp;"",""))</f>
        <v/>
      </c>
      <c r="BD710" s="0" t="str">
        <f aca="false">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P710" s="0" t="str">
        <f aca="false">IF($A710="","",IFERROR(INDEX(Enrichment!$A$2:$GZ$2000,MATCH($A710,INDEX(Enrichment!$A$2:$GZ$2000,0,MATCH("row_id",Enrichment!$A$1:$GZ$1,0)),0),MATCH("backup_work_email",Enrichment!$A$1:$GZ$1,0))&amp;"",""))</f>
        <v/>
      </c>
      <c r="BQ710" s="0" t="str">
        <f aca="false">IF($A710="","",IF(BP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DU710" s="0" t="str">
        <f aca="false">IF($A710="","",IF(R710="Y",10,0))</f>
        <v/>
      </c>
      <c r="EV710" s="0" t="str">
        <f aca="false">IF($A710="","",IF(ISNUMBER(MATCH(U710,{"queued","contacted","replied","call_booked","call_done","yes_in_principle","materials_sent"},0)),"Y","N"))</f>
        <v/>
      </c>
      <c r="EW710" s="0" t="str">
        <f aca="false">IF($A710="","",IF(OR(T710="Y",U710="do_not_contact",AQ710&amp;""&lt;&gt;""),"Y","N"))</f>
        <v/>
      </c>
      <c r="EX710" s="0" t="str">
        <f aca="false">IF($A710="","",IF(AN710&amp;""&lt;&gt;"",AN710&amp;"",$A710))</f>
        <v/>
      </c>
      <c r="EY710" s="0" t="str">
        <f aca="false">IF($A710="","",IF(COUNTIFS($EX$2:$EX$1000,EX710,$EV$2:$EV$1000,"Y")+COUNTIFS($EX$2:$EX$1000,EX710,$EW$2:$EW$1000,"Y")&gt;0,"Y","N"))</f>
        <v/>
      </c>
      <c r="EZ710" s="0" t="str">
        <f aca="false">IF($A710="","",IF(AND(U710="new",T710="N",EW710="N",AR710="Y",EY710="N"),"Y","N"))</f>
        <v/>
      </c>
      <c r="FA710" s="0" t="str">
        <f aca="false">IF($A710="","",IF(EZ710&lt;&gt;"Y","N",IF(COUNTIFS($EX$2:$EX$1000,EX710,$EZ$2:$EZ$1000,"Y",$J$2:$J$1000,"&gt;"&amp;J710)+COUNTIFS($EX$2:$EX$1000,EX710,$EZ$2:$EZ$1000,"Y",$J$2:$J$1000,J710,$FG$2:$FG$1000,"&lt;"&amp;FG710)=0,"Y","N")))</f>
        <v/>
      </c>
      <c r="FB710" s="0" t="str">
        <f aca="false">IF($A710="","",IF(AND(EZ710="Y",FA710="Y",Y710&amp;""&lt;&gt;""),IF(Y710&lt;=10,"Y","N"),"N"))</f>
        <v/>
      </c>
      <c r="FC710" s="0" t="str">
        <f aca="false">IF(FB710="Y",Y710,"")</f>
        <v/>
      </c>
      <c r="FD710" s="0" t="str">
        <f aca="false">IF($A710="","",IF(AND(CK710="pass",AU710="Y",AV710&lt;&gt;"Y",U710="new",EW710="N"),"Y","N"))</f>
        <v/>
      </c>
      <c r="FE710" s="0" t="str">
        <f aca="false">IF(FD710&lt;&gt;"Y","",IF(COUNTIFS($FD$2:$FD$1000,"Y",$J$2:$J$1000,"&gt;"&amp;J710)+COUNTIFS($FD$2:$FD$1000,"Y",$J$2:$J$1000,J710,$FG$2:$FG$1000,"&lt;"&amp;FG710)+1&lt;=30,COUNTIFS($FD$2:$FD$1000,"Y",$J$2:$J$1000,"&gt;"&amp;J710)+COUNTIFS($FD$2:$FD$1000,"Y",$J$2:$J$1000,J710,$FG$2:$FG$1000,"&lt;"&amp;FG710)+1,""))</f>
        <v/>
      </c>
      <c r="FF710" s="0" t="str">
        <f aca="false">IF(AND(_xlfn.ISFORMULA(C710),_xlfn.ISFORMULA(J710)),"Y","N")</f>
        <v>Y</v>
      </c>
      <c r="FG710" s="0" t="n">
        <f aca="false">ROW()-1</f>
        <v>709</v>
      </c>
    </row>
    <row r="711" customFormat="false" ht="15" hidden="false" customHeight="false" outlineLevel="0" collapsed="false">
      <c r="C711" s="0" t="str">
        <f aca="false">IF($A711="","",IF(AT711="Y",BL711&amp;"",AY711&amp;""))</f>
        <v/>
      </c>
      <c r="D711" s="0" t="str">
        <f aca="false">IF($A711="","",IF(AT711="Y",BM711&amp;"",AZ711&amp;""))</f>
        <v/>
      </c>
      <c r="E711" s="0" t="str">
        <f aca="false">IF($A711="","",IF(AT711="Y",BN711&amp;"",BA711&amp;""))</f>
        <v/>
      </c>
      <c r="F711" s="0" t="str">
        <f aca="false">IF($A711="","",IF(AT711="Y",BO711&amp;"",BB711&amp;""))</f>
        <v/>
      </c>
      <c r="G711" s="0" t="str">
        <f aca="false">IF($A711="","",IF(AT711="Y",BP711&amp;"",BC711&amp;""))</f>
        <v/>
      </c>
      <c r="H711" s="0" t="str">
        <f aca="false">IF($A711="","",IF(AT711="Y",BQ711&amp;"",BD711&amp;""))</f>
        <v/>
      </c>
      <c r="I711" s="0" t="str">
        <f aca="false">IF($A711="","",IF(R711="Y","warm-intro",IF(H711="verified","email",IF(C711&lt;&gt;"","linkedin",CA711&amp;""))))</f>
        <v/>
      </c>
      <c r="J711" s="0" t="str">
        <f aca="false">IF($A711="","",IF(CK711="pass",ROUND(N(DO711)+N(DP711)+N(DQ711)+N(DR711)+N(DS711)+N(DT711)+N(DU711)+N(DV711),0),0))</f>
        <v/>
      </c>
      <c r="K711" s="0" t="str">
        <f aca="false">IF($A711="","",IF(CK711&lt;&gt;"pass",BY711&amp;"",BY711&amp;", "&amp;IF(AT711="Y",BX711&amp;"",BK711&amp;"")&amp;BZ711&amp;IF(R711="Y","; known to the founder (+10)","")&amp;"."))</f>
        <v/>
      </c>
      <c r="R711" s="5"/>
      <c r="T711" s="5"/>
      <c r="U711" s="5"/>
      <c r="Y711" s="0" t="str">
        <f aca="false">IF(FA711&lt;&gt;"Y","",COUNTIFS($FA$2:$FA$1000,"Y",$J$2:$J$1000,"&gt;"&amp;J711)+COUNTIFS($FA$2:$FA$1000,"Y",$J$2:$J$1000,J711,$FG$2:$FG$1000,"&lt;"&amp;FG711)+1)</f>
        <v/>
      </c>
      <c r="AB711" s="0" t="str">
        <f aca="false">IF($A711="","",IF(AT711="Y",BW711&amp;"",BJ711&amp;""))</f>
        <v/>
      </c>
      <c r="AC711" s="0" t="str">
        <f aca="false">IF($A711="","",IF(AT711="Y",BR711&amp;"",BE711&amp;""))</f>
        <v/>
      </c>
      <c r="AD711" s="0" t="str">
        <f aca="false">IF($A711="","",IF(AT711="Y",BS711&amp;"",BF711&amp;""))</f>
        <v/>
      </c>
      <c r="AE711" s="0" t="str">
        <f aca="false">IF($A711="","",IF(AT711="Y",BT711&amp;"",BG711&amp;""))</f>
        <v/>
      </c>
      <c r="AF711" s="0" t="str">
        <f aca="false">IF($A711="","",IF(AT711="Y",BU711&amp;"",BH711&amp;""))</f>
        <v/>
      </c>
      <c r="AG711" s="0" t="str">
        <f aca="false">IF($A711="","",IF(AT711="Y",BV711&amp;"",BI711&amp;""))</f>
        <v/>
      </c>
      <c r="AO711" s="5"/>
      <c r="AR711" s="0" t="str">
        <f aca="false">IF($A711="","",IF(AND(CK711="pass",AO711&lt;&gt;"Y",C711&lt;&gt;"",OR(AU711&lt;&gt;"Y",AV711="Y")),"Y","N"))</f>
        <v/>
      </c>
      <c r="AS711" s="0" t="str">
        <f aca="false">IF($A711="","",_xlfn.TEXTJOIN("; ",TRUE(),IF(CK711&lt;&gt;"pass","gated out",""),IF(AO711="Y","on hold: "&amp;AP711,""),IF(C711="","no contact named on an opened page",""),IF(AND(AU711="Y",AV711&lt;&gt;"Y"),"founder review pending (Founder review tab)","")))</f>
        <v/>
      </c>
      <c r="BC711" s="0" t="str">
        <f aca="false">IF($A711="","",IFERROR(INDEX(Enrichment!$A$2:$GZ$2000,MATCH($A711,INDEX(Enrichment!$A$2:$GZ$2000,0,MATCH("row_id",Enrichment!$A$1:$GZ$1,0)),0),MATCH("work_email",Enrichment!$A$1:$GZ$1,0))&amp;"",""))</f>
        <v/>
      </c>
      <c r="BD711" s="0" t="str">
        <f aca="false">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P711" s="0" t="str">
        <f aca="false">IF($A711="","",IFERROR(INDEX(Enrichment!$A$2:$GZ$2000,MATCH($A711,INDEX(Enrichment!$A$2:$GZ$2000,0,MATCH("row_id",Enrichment!$A$1:$GZ$1,0)),0),MATCH("backup_work_email",Enrichment!$A$1:$GZ$1,0))&amp;"",""))</f>
        <v/>
      </c>
      <c r="BQ711" s="0" t="str">
        <f aca="false">IF($A711="","",IF(BP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DU711" s="0" t="str">
        <f aca="false">IF($A711="","",IF(R711="Y",10,0))</f>
        <v/>
      </c>
      <c r="EV711" s="0" t="str">
        <f aca="false">IF($A711="","",IF(ISNUMBER(MATCH(U711,{"queued","contacted","replied","call_booked","call_done","yes_in_principle","materials_sent"},0)),"Y","N"))</f>
        <v/>
      </c>
      <c r="EW711" s="0" t="str">
        <f aca="false">IF($A711="","",IF(OR(T711="Y",U711="do_not_contact",AQ711&amp;""&lt;&gt;""),"Y","N"))</f>
        <v/>
      </c>
      <c r="EX711" s="0" t="str">
        <f aca="false">IF($A711="","",IF(AN711&amp;""&lt;&gt;"",AN711&amp;"",$A711))</f>
        <v/>
      </c>
      <c r="EY711" s="0" t="str">
        <f aca="false">IF($A711="","",IF(COUNTIFS($EX$2:$EX$1000,EX711,$EV$2:$EV$1000,"Y")+COUNTIFS($EX$2:$EX$1000,EX711,$EW$2:$EW$1000,"Y")&gt;0,"Y","N"))</f>
        <v/>
      </c>
      <c r="EZ711" s="0" t="str">
        <f aca="false">IF($A711="","",IF(AND(U711="new",T711="N",EW711="N",AR711="Y",EY711="N"),"Y","N"))</f>
        <v/>
      </c>
      <c r="FA711" s="0" t="str">
        <f aca="false">IF($A711="","",IF(EZ711&lt;&gt;"Y","N",IF(COUNTIFS($EX$2:$EX$1000,EX711,$EZ$2:$EZ$1000,"Y",$J$2:$J$1000,"&gt;"&amp;J711)+COUNTIFS($EX$2:$EX$1000,EX711,$EZ$2:$EZ$1000,"Y",$J$2:$J$1000,J711,$FG$2:$FG$1000,"&lt;"&amp;FG711)=0,"Y","N")))</f>
        <v/>
      </c>
      <c r="FB711" s="0" t="str">
        <f aca="false">IF($A711="","",IF(AND(EZ711="Y",FA711="Y",Y711&amp;""&lt;&gt;""),IF(Y711&lt;=10,"Y","N"),"N"))</f>
        <v/>
      </c>
      <c r="FC711" s="0" t="str">
        <f aca="false">IF(FB711="Y",Y711,"")</f>
        <v/>
      </c>
      <c r="FD711" s="0" t="str">
        <f aca="false">IF($A711="","",IF(AND(CK711="pass",AU711="Y",AV711&lt;&gt;"Y",U711="new",EW711="N"),"Y","N"))</f>
        <v/>
      </c>
      <c r="FE711" s="0" t="str">
        <f aca="false">IF(FD711&lt;&gt;"Y","",IF(COUNTIFS($FD$2:$FD$1000,"Y",$J$2:$J$1000,"&gt;"&amp;J711)+COUNTIFS($FD$2:$FD$1000,"Y",$J$2:$J$1000,J711,$FG$2:$FG$1000,"&lt;"&amp;FG711)+1&lt;=30,COUNTIFS($FD$2:$FD$1000,"Y",$J$2:$J$1000,"&gt;"&amp;J711)+COUNTIFS($FD$2:$FD$1000,"Y",$J$2:$J$1000,J711,$FG$2:$FG$1000,"&lt;"&amp;FG711)+1,""))</f>
        <v/>
      </c>
      <c r="FF711" s="0" t="str">
        <f aca="false">IF(AND(_xlfn.ISFORMULA(C711),_xlfn.ISFORMULA(J711)),"Y","N")</f>
        <v>Y</v>
      </c>
      <c r="FG711" s="0" t="n">
        <f aca="false">ROW()-1</f>
        <v>710</v>
      </c>
    </row>
    <row r="712" customFormat="false" ht="15" hidden="false" customHeight="false" outlineLevel="0" collapsed="false">
      <c r="C712" s="0" t="str">
        <f aca="false">IF($A712="","",IF(AT712="Y",BL712&amp;"",AY712&amp;""))</f>
        <v/>
      </c>
      <c r="D712" s="0" t="str">
        <f aca="false">IF($A712="","",IF(AT712="Y",BM712&amp;"",AZ712&amp;""))</f>
        <v/>
      </c>
      <c r="E712" s="0" t="str">
        <f aca="false">IF($A712="","",IF(AT712="Y",BN712&amp;"",BA712&amp;""))</f>
        <v/>
      </c>
      <c r="F712" s="0" t="str">
        <f aca="false">IF($A712="","",IF(AT712="Y",BO712&amp;"",BB712&amp;""))</f>
        <v/>
      </c>
      <c r="G712" s="0" t="str">
        <f aca="false">IF($A712="","",IF(AT712="Y",BP712&amp;"",BC712&amp;""))</f>
        <v/>
      </c>
      <c r="H712" s="0" t="str">
        <f aca="false">IF($A712="","",IF(AT712="Y",BQ712&amp;"",BD712&amp;""))</f>
        <v/>
      </c>
      <c r="I712" s="0" t="str">
        <f aca="false">IF($A712="","",IF(R712="Y","warm-intro",IF(H712="verified","email",IF(C712&lt;&gt;"","linkedin",CA712&amp;""))))</f>
        <v/>
      </c>
      <c r="J712" s="0" t="str">
        <f aca="false">IF($A712="","",IF(CK712="pass",ROUND(N(DO712)+N(DP712)+N(DQ712)+N(DR712)+N(DS712)+N(DT712)+N(DU712)+N(DV712),0),0))</f>
        <v/>
      </c>
      <c r="K712" s="0" t="str">
        <f aca="false">IF($A712="","",IF(CK712&lt;&gt;"pass",BY712&amp;"",BY712&amp;", "&amp;IF(AT712="Y",BX712&amp;"",BK712&amp;"")&amp;BZ712&amp;IF(R712="Y","; known to the founder (+10)","")&amp;"."))</f>
        <v/>
      </c>
      <c r="R712" s="5"/>
      <c r="T712" s="5"/>
      <c r="U712" s="5"/>
      <c r="Y712" s="0" t="str">
        <f aca="false">IF(FA712&lt;&gt;"Y","",COUNTIFS($FA$2:$FA$1000,"Y",$J$2:$J$1000,"&gt;"&amp;J712)+COUNTIFS($FA$2:$FA$1000,"Y",$J$2:$J$1000,J712,$FG$2:$FG$1000,"&lt;"&amp;FG712)+1)</f>
        <v/>
      </c>
      <c r="AB712" s="0" t="str">
        <f aca="false">IF($A712="","",IF(AT712="Y",BW712&amp;"",BJ712&amp;""))</f>
        <v/>
      </c>
      <c r="AC712" s="0" t="str">
        <f aca="false">IF($A712="","",IF(AT712="Y",BR712&amp;"",BE712&amp;""))</f>
        <v/>
      </c>
      <c r="AD712" s="0" t="str">
        <f aca="false">IF($A712="","",IF(AT712="Y",BS712&amp;"",BF712&amp;""))</f>
        <v/>
      </c>
      <c r="AE712" s="0" t="str">
        <f aca="false">IF($A712="","",IF(AT712="Y",BT712&amp;"",BG712&amp;""))</f>
        <v/>
      </c>
      <c r="AF712" s="0" t="str">
        <f aca="false">IF($A712="","",IF(AT712="Y",BU712&amp;"",BH712&amp;""))</f>
        <v/>
      </c>
      <c r="AG712" s="0" t="str">
        <f aca="false">IF($A712="","",IF(AT712="Y",BV712&amp;"",BI712&amp;""))</f>
        <v/>
      </c>
      <c r="AO712" s="5"/>
      <c r="AR712" s="0" t="str">
        <f aca="false">IF($A712="","",IF(AND(CK712="pass",AO712&lt;&gt;"Y",C712&lt;&gt;"",OR(AU712&lt;&gt;"Y",AV712="Y")),"Y","N"))</f>
        <v/>
      </c>
      <c r="AS712" s="0" t="str">
        <f aca="false">IF($A712="","",_xlfn.TEXTJOIN("; ",TRUE(),IF(CK712&lt;&gt;"pass","gated out",""),IF(AO712="Y","on hold: "&amp;AP712,""),IF(C712="","no contact named on an opened page",""),IF(AND(AU712="Y",AV712&lt;&gt;"Y"),"founder review pending (Founder review tab)","")))</f>
        <v/>
      </c>
      <c r="BC712" s="0" t="str">
        <f aca="false">IF($A712="","",IFERROR(INDEX(Enrichment!$A$2:$GZ$2000,MATCH($A712,INDEX(Enrichment!$A$2:$GZ$2000,0,MATCH("row_id",Enrichment!$A$1:$GZ$1,0)),0),MATCH("work_email",Enrichment!$A$1:$GZ$1,0))&amp;"",""))</f>
        <v/>
      </c>
      <c r="BD712" s="0" t="str">
        <f aca="false">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P712" s="0" t="str">
        <f aca="false">IF($A712="","",IFERROR(INDEX(Enrichment!$A$2:$GZ$2000,MATCH($A712,INDEX(Enrichment!$A$2:$GZ$2000,0,MATCH("row_id",Enrichment!$A$1:$GZ$1,0)),0),MATCH("backup_work_email",Enrichment!$A$1:$GZ$1,0))&amp;"",""))</f>
        <v/>
      </c>
      <c r="BQ712" s="0" t="str">
        <f aca="false">IF($A712="","",IF(BP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DU712" s="0" t="str">
        <f aca="false">IF($A712="","",IF(R712="Y",10,0))</f>
        <v/>
      </c>
      <c r="EV712" s="0" t="str">
        <f aca="false">IF($A712="","",IF(ISNUMBER(MATCH(U712,{"queued","contacted","replied","call_booked","call_done","yes_in_principle","materials_sent"},0)),"Y","N"))</f>
        <v/>
      </c>
      <c r="EW712" s="0" t="str">
        <f aca="false">IF($A712="","",IF(OR(T712="Y",U712="do_not_contact",AQ712&amp;""&lt;&gt;""),"Y","N"))</f>
        <v/>
      </c>
      <c r="EX712" s="0" t="str">
        <f aca="false">IF($A712="","",IF(AN712&amp;""&lt;&gt;"",AN712&amp;"",$A712))</f>
        <v/>
      </c>
      <c r="EY712" s="0" t="str">
        <f aca="false">IF($A712="","",IF(COUNTIFS($EX$2:$EX$1000,EX712,$EV$2:$EV$1000,"Y")+COUNTIFS($EX$2:$EX$1000,EX712,$EW$2:$EW$1000,"Y")&gt;0,"Y","N"))</f>
        <v/>
      </c>
      <c r="EZ712" s="0" t="str">
        <f aca="false">IF($A712="","",IF(AND(U712="new",T712="N",EW712="N",AR712="Y",EY712="N"),"Y","N"))</f>
        <v/>
      </c>
      <c r="FA712" s="0" t="str">
        <f aca="false">IF($A712="","",IF(EZ712&lt;&gt;"Y","N",IF(COUNTIFS($EX$2:$EX$1000,EX712,$EZ$2:$EZ$1000,"Y",$J$2:$J$1000,"&gt;"&amp;J712)+COUNTIFS($EX$2:$EX$1000,EX712,$EZ$2:$EZ$1000,"Y",$J$2:$J$1000,J712,$FG$2:$FG$1000,"&lt;"&amp;FG712)=0,"Y","N")))</f>
        <v/>
      </c>
      <c r="FB712" s="0" t="str">
        <f aca="false">IF($A712="","",IF(AND(EZ712="Y",FA712="Y",Y712&amp;""&lt;&gt;""),IF(Y712&lt;=10,"Y","N"),"N"))</f>
        <v/>
      </c>
      <c r="FC712" s="0" t="str">
        <f aca="false">IF(FB712="Y",Y712,"")</f>
        <v/>
      </c>
      <c r="FD712" s="0" t="str">
        <f aca="false">IF($A712="","",IF(AND(CK712="pass",AU712="Y",AV712&lt;&gt;"Y",U712="new",EW712="N"),"Y","N"))</f>
        <v/>
      </c>
      <c r="FE712" s="0" t="str">
        <f aca="false">IF(FD712&lt;&gt;"Y","",IF(COUNTIFS($FD$2:$FD$1000,"Y",$J$2:$J$1000,"&gt;"&amp;J712)+COUNTIFS($FD$2:$FD$1000,"Y",$J$2:$J$1000,J712,$FG$2:$FG$1000,"&lt;"&amp;FG712)+1&lt;=30,COUNTIFS($FD$2:$FD$1000,"Y",$J$2:$J$1000,"&gt;"&amp;J712)+COUNTIFS($FD$2:$FD$1000,"Y",$J$2:$J$1000,J712,$FG$2:$FG$1000,"&lt;"&amp;FG712)+1,""))</f>
        <v/>
      </c>
      <c r="FF712" s="0" t="str">
        <f aca="false">IF(AND(_xlfn.ISFORMULA(C712),_xlfn.ISFORMULA(J712)),"Y","N")</f>
        <v>Y</v>
      </c>
      <c r="FG712" s="0" t="n">
        <f aca="false">ROW()-1</f>
        <v>711</v>
      </c>
    </row>
    <row r="713" customFormat="false" ht="15" hidden="false" customHeight="false" outlineLevel="0" collapsed="false">
      <c r="C713" s="0" t="str">
        <f aca="false">IF($A713="","",IF(AT713="Y",BL713&amp;"",AY713&amp;""))</f>
        <v/>
      </c>
      <c r="D713" s="0" t="str">
        <f aca="false">IF($A713="","",IF(AT713="Y",BM713&amp;"",AZ713&amp;""))</f>
        <v/>
      </c>
      <c r="E713" s="0" t="str">
        <f aca="false">IF($A713="","",IF(AT713="Y",BN713&amp;"",BA713&amp;""))</f>
        <v/>
      </c>
      <c r="F713" s="0" t="str">
        <f aca="false">IF($A713="","",IF(AT713="Y",BO713&amp;"",BB713&amp;""))</f>
        <v/>
      </c>
      <c r="G713" s="0" t="str">
        <f aca="false">IF($A713="","",IF(AT713="Y",BP713&amp;"",BC713&amp;""))</f>
        <v/>
      </c>
      <c r="H713" s="0" t="str">
        <f aca="false">IF($A713="","",IF(AT713="Y",BQ713&amp;"",BD713&amp;""))</f>
        <v/>
      </c>
      <c r="I713" s="0" t="str">
        <f aca="false">IF($A713="","",IF(R713="Y","warm-intro",IF(H713="verified","email",IF(C713&lt;&gt;"","linkedin",CA713&amp;""))))</f>
        <v/>
      </c>
      <c r="J713" s="0" t="str">
        <f aca="false">IF($A713="","",IF(CK713="pass",ROUND(N(DO713)+N(DP713)+N(DQ713)+N(DR713)+N(DS713)+N(DT713)+N(DU713)+N(DV713),0),0))</f>
        <v/>
      </c>
      <c r="K713" s="0" t="str">
        <f aca="false">IF($A713="","",IF(CK713&lt;&gt;"pass",BY713&amp;"",BY713&amp;", "&amp;IF(AT713="Y",BX713&amp;"",BK713&amp;"")&amp;BZ713&amp;IF(R713="Y","; known to the founder (+10)","")&amp;"."))</f>
        <v/>
      </c>
      <c r="R713" s="5"/>
      <c r="T713" s="5"/>
      <c r="U713" s="5"/>
      <c r="Y713" s="0" t="str">
        <f aca="false">IF(FA713&lt;&gt;"Y","",COUNTIFS($FA$2:$FA$1000,"Y",$J$2:$J$1000,"&gt;"&amp;J713)+COUNTIFS($FA$2:$FA$1000,"Y",$J$2:$J$1000,J713,$FG$2:$FG$1000,"&lt;"&amp;FG713)+1)</f>
        <v/>
      </c>
      <c r="AB713" s="0" t="str">
        <f aca="false">IF($A713="","",IF(AT713="Y",BW713&amp;"",BJ713&amp;""))</f>
        <v/>
      </c>
      <c r="AC713" s="0" t="str">
        <f aca="false">IF($A713="","",IF(AT713="Y",BR713&amp;"",BE713&amp;""))</f>
        <v/>
      </c>
      <c r="AD713" s="0" t="str">
        <f aca="false">IF($A713="","",IF(AT713="Y",BS713&amp;"",BF713&amp;""))</f>
        <v/>
      </c>
      <c r="AE713" s="0" t="str">
        <f aca="false">IF($A713="","",IF(AT713="Y",BT713&amp;"",BG713&amp;""))</f>
        <v/>
      </c>
      <c r="AF713" s="0" t="str">
        <f aca="false">IF($A713="","",IF(AT713="Y",BU713&amp;"",BH713&amp;""))</f>
        <v/>
      </c>
      <c r="AG713" s="0" t="str">
        <f aca="false">IF($A713="","",IF(AT713="Y",BV713&amp;"",BI713&amp;""))</f>
        <v/>
      </c>
      <c r="AO713" s="5"/>
      <c r="AR713" s="0" t="str">
        <f aca="false">IF($A713="","",IF(AND(CK713="pass",AO713&lt;&gt;"Y",C713&lt;&gt;"",OR(AU713&lt;&gt;"Y",AV713="Y")),"Y","N"))</f>
        <v/>
      </c>
      <c r="AS713" s="0" t="str">
        <f aca="false">IF($A713="","",_xlfn.TEXTJOIN("; ",TRUE(),IF(CK713&lt;&gt;"pass","gated out",""),IF(AO713="Y","on hold: "&amp;AP713,""),IF(C713="","no contact named on an opened page",""),IF(AND(AU713="Y",AV713&lt;&gt;"Y"),"founder review pending (Founder review tab)","")))</f>
        <v/>
      </c>
      <c r="BC713" s="0" t="str">
        <f aca="false">IF($A713="","",IFERROR(INDEX(Enrichment!$A$2:$GZ$2000,MATCH($A713,INDEX(Enrichment!$A$2:$GZ$2000,0,MATCH("row_id",Enrichment!$A$1:$GZ$1,0)),0),MATCH("work_email",Enrichment!$A$1:$GZ$1,0))&amp;"",""))</f>
        <v/>
      </c>
      <c r="BD713" s="0" t="str">
        <f aca="false">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P713" s="0" t="str">
        <f aca="false">IF($A713="","",IFERROR(INDEX(Enrichment!$A$2:$GZ$2000,MATCH($A713,INDEX(Enrichment!$A$2:$GZ$2000,0,MATCH("row_id",Enrichment!$A$1:$GZ$1,0)),0),MATCH("backup_work_email",Enrichment!$A$1:$GZ$1,0))&amp;"",""))</f>
        <v/>
      </c>
      <c r="BQ713" s="0" t="str">
        <f aca="false">IF($A713="","",IF(BP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DU713" s="0" t="str">
        <f aca="false">IF($A713="","",IF(R713="Y",10,0))</f>
        <v/>
      </c>
      <c r="EV713" s="0" t="str">
        <f aca="false">IF($A713="","",IF(ISNUMBER(MATCH(U713,{"queued","contacted","replied","call_booked","call_done","yes_in_principle","materials_sent"},0)),"Y","N"))</f>
        <v/>
      </c>
      <c r="EW713" s="0" t="str">
        <f aca="false">IF($A713="","",IF(OR(T713="Y",U713="do_not_contact",AQ713&amp;""&lt;&gt;""),"Y","N"))</f>
        <v/>
      </c>
      <c r="EX713" s="0" t="str">
        <f aca="false">IF($A713="","",IF(AN713&amp;""&lt;&gt;"",AN713&amp;"",$A713))</f>
        <v/>
      </c>
      <c r="EY713" s="0" t="str">
        <f aca="false">IF($A713="","",IF(COUNTIFS($EX$2:$EX$1000,EX713,$EV$2:$EV$1000,"Y")+COUNTIFS($EX$2:$EX$1000,EX713,$EW$2:$EW$1000,"Y")&gt;0,"Y","N"))</f>
        <v/>
      </c>
      <c r="EZ713" s="0" t="str">
        <f aca="false">IF($A713="","",IF(AND(U713="new",T713="N",EW713="N",AR713="Y",EY713="N"),"Y","N"))</f>
        <v/>
      </c>
      <c r="FA713" s="0" t="str">
        <f aca="false">IF($A713="","",IF(EZ713&lt;&gt;"Y","N",IF(COUNTIFS($EX$2:$EX$1000,EX713,$EZ$2:$EZ$1000,"Y",$J$2:$J$1000,"&gt;"&amp;J713)+COUNTIFS($EX$2:$EX$1000,EX713,$EZ$2:$EZ$1000,"Y",$J$2:$J$1000,J713,$FG$2:$FG$1000,"&lt;"&amp;FG713)=0,"Y","N")))</f>
        <v/>
      </c>
      <c r="FB713" s="0" t="str">
        <f aca="false">IF($A713="","",IF(AND(EZ713="Y",FA713="Y",Y713&amp;""&lt;&gt;""),IF(Y713&lt;=10,"Y","N"),"N"))</f>
        <v/>
      </c>
      <c r="FC713" s="0" t="str">
        <f aca="false">IF(FB713="Y",Y713,"")</f>
        <v/>
      </c>
      <c r="FD713" s="0" t="str">
        <f aca="false">IF($A713="","",IF(AND(CK713="pass",AU713="Y",AV713&lt;&gt;"Y",U713="new",EW713="N"),"Y","N"))</f>
        <v/>
      </c>
      <c r="FE713" s="0" t="str">
        <f aca="false">IF(FD713&lt;&gt;"Y","",IF(COUNTIFS($FD$2:$FD$1000,"Y",$J$2:$J$1000,"&gt;"&amp;J713)+COUNTIFS($FD$2:$FD$1000,"Y",$J$2:$J$1000,J713,$FG$2:$FG$1000,"&lt;"&amp;FG713)+1&lt;=30,COUNTIFS($FD$2:$FD$1000,"Y",$J$2:$J$1000,"&gt;"&amp;J713)+COUNTIFS($FD$2:$FD$1000,"Y",$J$2:$J$1000,J713,$FG$2:$FG$1000,"&lt;"&amp;FG713)+1,""))</f>
        <v/>
      </c>
      <c r="FF713" s="0" t="str">
        <f aca="false">IF(AND(_xlfn.ISFORMULA(C713),_xlfn.ISFORMULA(J713)),"Y","N")</f>
        <v>Y</v>
      </c>
      <c r="FG713" s="0" t="n">
        <f aca="false">ROW()-1</f>
        <v>712</v>
      </c>
    </row>
    <row r="714" customFormat="false" ht="15" hidden="false" customHeight="false" outlineLevel="0" collapsed="false">
      <c r="C714" s="0" t="str">
        <f aca="false">IF($A714="","",IF(AT714="Y",BL714&amp;"",AY714&amp;""))</f>
        <v/>
      </c>
      <c r="D714" s="0" t="str">
        <f aca="false">IF($A714="","",IF(AT714="Y",BM714&amp;"",AZ714&amp;""))</f>
        <v/>
      </c>
      <c r="E714" s="0" t="str">
        <f aca="false">IF($A714="","",IF(AT714="Y",BN714&amp;"",BA714&amp;""))</f>
        <v/>
      </c>
      <c r="F714" s="0" t="str">
        <f aca="false">IF($A714="","",IF(AT714="Y",BO714&amp;"",BB714&amp;""))</f>
        <v/>
      </c>
      <c r="G714" s="0" t="str">
        <f aca="false">IF($A714="","",IF(AT714="Y",BP714&amp;"",BC714&amp;""))</f>
        <v/>
      </c>
      <c r="H714" s="0" t="str">
        <f aca="false">IF($A714="","",IF(AT714="Y",BQ714&amp;"",BD714&amp;""))</f>
        <v/>
      </c>
      <c r="I714" s="0" t="str">
        <f aca="false">IF($A714="","",IF(R714="Y","warm-intro",IF(H714="verified","email",IF(C714&lt;&gt;"","linkedin",CA714&amp;""))))</f>
        <v/>
      </c>
      <c r="J714" s="0" t="str">
        <f aca="false">IF($A714="","",IF(CK714="pass",ROUND(N(DO714)+N(DP714)+N(DQ714)+N(DR714)+N(DS714)+N(DT714)+N(DU714)+N(DV714),0),0))</f>
        <v/>
      </c>
      <c r="K714" s="0" t="str">
        <f aca="false">IF($A714="","",IF(CK714&lt;&gt;"pass",BY714&amp;"",BY714&amp;", "&amp;IF(AT714="Y",BX714&amp;"",BK714&amp;"")&amp;BZ714&amp;IF(R714="Y","; known to the founder (+10)","")&amp;"."))</f>
        <v/>
      </c>
      <c r="R714" s="5"/>
      <c r="T714" s="5"/>
      <c r="U714" s="5"/>
      <c r="Y714" s="0" t="str">
        <f aca="false">IF(FA714&lt;&gt;"Y","",COUNTIFS($FA$2:$FA$1000,"Y",$J$2:$J$1000,"&gt;"&amp;J714)+COUNTIFS($FA$2:$FA$1000,"Y",$J$2:$J$1000,J714,$FG$2:$FG$1000,"&lt;"&amp;FG714)+1)</f>
        <v/>
      </c>
      <c r="AB714" s="0" t="str">
        <f aca="false">IF($A714="","",IF(AT714="Y",BW714&amp;"",BJ714&amp;""))</f>
        <v/>
      </c>
      <c r="AC714" s="0" t="str">
        <f aca="false">IF($A714="","",IF(AT714="Y",BR714&amp;"",BE714&amp;""))</f>
        <v/>
      </c>
      <c r="AD714" s="0" t="str">
        <f aca="false">IF($A714="","",IF(AT714="Y",BS714&amp;"",BF714&amp;""))</f>
        <v/>
      </c>
      <c r="AE714" s="0" t="str">
        <f aca="false">IF($A714="","",IF(AT714="Y",BT714&amp;"",BG714&amp;""))</f>
        <v/>
      </c>
      <c r="AF714" s="0" t="str">
        <f aca="false">IF($A714="","",IF(AT714="Y",BU714&amp;"",BH714&amp;""))</f>
        <v/>
      </c>
      <c r="AG714" s="0" t="str">
        <f aca="false">IF($A714="","",IF(AT714="Y",BV714&amp;"",BI714&amp;""))</f>
        <v/>
      </c>
      <c r="AO714" s="5"/>
      <c r="AR714" s="0" t="str">
        <f aca="false">IF($A714="","",IF(AND(CK714="pass",AO714&lt;&gt;"Y",C714&lt;&gt;"",OR(AU714&lt;&gt;"Y",AV714="Y")),"Y","N"))</f>
        <v/>
      </c>
      <c r="AS714" s="0" t="str">
        <f aca="false">IF($A714="","",_xlfn.TEXTJOIN("; ",TRUE(),IF(CK714&lt;&gt;"pass","gated out",""),IF(AO714="Y","on hold: "&amp;AP714,""),IF(C714="","no contact named on an opened page",""),IF(AND(AU714="Y",AV714&lt;&gt;"Y"),"founder review pending (Founder review tab)","")))</f>
        <v/>
      </c>
      <c r="BC714" s="0" t="str">
        <f aca="false">IF($A714="","",IFERROR(INDEX(Enrichment!$A$2:$GZ$2000,MATCH($A714,INDEX(Enrichment!$A$2:$GZ$2000,0,MATCH("row_id",Enrichment!$A$1:$GZ$1,0)),0),MATCH("work_email",Enrichment!$A$1:$GZ$1,0))&amp;"",""))</f>
        <v/>
      </c>
      <c r="BD714" s="0" t="str">
        <f aca="false">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P714" s="0" t="str">
        <f aca="false">IF($A714="","",IFERROR(INDEX(Enrichment!$A$2:$GZ$2000,MATCH($A714,INDEX(Enrichment!$A$2:$GZ$2000,0,MATCH("row_id",Enrichment!$A$1:$GZ$1,0)),0),MATCH("backup_work_email",Enrichment!$A$1:$GZ$1,0))&amp;"",""))</f>
        <v/>
      </c>
      <c r="BQ714" s="0" t="str">
        <f aca="false">IF($A714="","",IF(BP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DU714" s="0" t="str">
        <f aca="false">IF($A714="","",IF(R714="Y",10,0))</f>
        <v/>
      </c>
      <c r="EV714" s="0" t="str">
        <f aca="false">IF($A714="","",IF(ISNUMBER(MATCH(U714,{"queued","contacted","replied","call_booked","call_done","yes_in_principle","materials_sent"},0)),"Y","N"))</f>
        <v/>
      </c>
      <c r="EW714" s="0" t="str">
        <f aca="false">IF($A714="","",IF(OR(T714="Y",U714="do_not_contact",AQ714&amp;""&lt;&gt;""),"Y","N"))</f>
        <v/>
      </c>
      <c r="EX714" s="0" t="str">
        <f aca="false">IF($A714="","",IF(AN714&amp;""&lt;&gt;"",AN714&amp;"",$A714))</f>
        <v/>
      </c>
      <c r="EY714" s="0" t="str">
        <f aca="false">IF($A714="","",IF(COUNTIFS($EX$2:$EX$1000,EX714,$EV$2:$EV$1000,"Y")+COUNTIFS($EX$2:$EX$1000,EX714,$EW$2:$EW$1000,"Y")&gt;0,"Y","N"))</f>
        <v/>
      </c>
      <c r="EZ714" s="0" t="str">
        <f aca="false">IF($A714="","",IF(AND(U714="new",T714="N",EW714="N",AR714="Y",EY714="N"),"Y","N"))</f>
        <v/>
      </c>
      <c r="FA714" s="0" t="str">
        <f aca="false">IF($A714="","",IF(EZ714&lt;&gt;"Y","N",IF(COUNTIFS($EX$2:$EX$1000,EX714,$EZ$2:$EZ$1000,"Y",$J$2:$J$1000,"&gt;"&amp;J714)+COUNTIFS($EX$2:$EX$1000,EX714,$EZ$2:$EZ$1000,"Y",$J$2:$J$1000,J714,$FG$2:$FG$1000,"&lt;"&amp;FG714)=0,"Y","N")))</f>
        <v/>
      </c>
      <c r="FB714" s="0" t="str">
        <f aca="false">IF($A714="","",IF(AND(EZ714="Y",FA714="Y",Y714&amp;""&lt;&gt;""),IF(Y714&lt;=10,"Y","N"),"N"))</f>
        <v/>
      </c>
      <c r="FC714" s="0" t="str">
        <f aca="false">IF(FB714="Y",Y714,"")</f>
        <v/>
      </c>
      <c r="FD714" s="0" t="str">
        <f aca="false">IF($A714="","",IF(AND(CK714="pass",AU714="Y",AV714&lt;&gt;"Y",U714="new",EW714="N"),"Y","N"))</f>
        <v/>
      </c>
      <c r="FE714" s="0" t="str">
        <f aca="false">IF(FD714&lt;&gt;"Y","",IF(COUNTIFS($FD$2:$FD$1000,"Y",$J$2:$J$1000,"&gt;"&amp;J714)+COUNTIFS($FD$2:$FD$1000,"Y",$J$2:$J$1000,J714,$FG$2:$FG$1000,"&lt;"&amp;FG714)+1&lt;=30,COUNTIFS($FD$2:$FD$1000,"Y",$J$2:$J$1000,"&gt;"&amp;J714)+COUNTIFS($FD$2:$FD$1000,"Y",$J$2:$J$1000,J714,$FG$2:$FG$1000,"&lt;"&amp;FG714)+1,""))</f>
        <v/>
      </c>
      <c r="FF714" s="0" t="str">
        <f aca="false">IF(AND(_xlfn.ISFORMULA(C714),_xlfn.ISFORMULA(J714)),"Y","N")</f>
        <v>Y</v>
      </c>
      <c r="FG714" s="0" t="n">
        <f aca="false">ROW()-1</f>
        <v>713</v>
      </c>
    </row>
    <row r="715" customFormat="false" ht="15" hidden="false" customHeight="false" outlineLevel="0" collapsed="false">
      <c r="C715" s="0" t="str">
        <f aca="false">IF($A715="","",IF(AT715="Y",BL715&amp;"",AY715&amp;""))</f>
        <v/>
      </c>
      <c r="D715" s="0" t="str">
        <f aca="false">IF($A715="","",IF(AT715="Y",BM715&amp;"",AZ715&amp;""))</f>
        <v/>
      </c>
      <c r="E715" s="0" t="str">
        <f aca="false">IF($A715="","",IF(AT715="Y",BN715&amp;"",BA715&amp;""))</f>
        <v/>
      </c>
      <c r="F715" s="0" t="str">
        <f aca="false">IF($A715="","",IF(AT715="Y",BO715&amp;"",BB715&amp;""))</f>
        <v/>
      </c>
      <c r="G715" s="0" t="str">
        <f aca="false">IF($A715="","",IF(AT715="Y",BP715&amp;"",BC715&amp;""))</f>
        <v/>
      </c>
      <c r="H715" s="0" t="str">
        <f aca="false">IF($A715="","",IF(AT715="Y",BQ715&amp;"",BD715&amp;""))</f>
        <v/>
      </c>
      <c r="I715" s="0" t="str">
        <f aca="false">IF($A715="","",IF(R715="Y","warm-intro",IF(H715="verified","email",IF(C715&lt;&gt;"","linkedin",CA715&amp;""))))</f>
        <v/>
      </c>
      <c r="J715" s="0" t="str">
        <f aca="false">IF($A715="","",IF(CK715="pass",ROUND(N(DO715)+N(DP715)+N(DQ715)+N(DR715)+N(DS715)+N(DT715)+N(DU715)+N(DV715),0),0))</f>
        <v/>
      </c>
      <c r="K715" s="0" t="str">
        <f aca="false">IF($A715="","",IF(CK715&lt;&gt;"pass",BY715&amp;"",BY715&amp;", "&amp;IF(AT715="Y",BX715&amp;"",BK715&amp;"")&amp;BZ715&amp;IF(R715="Y","; known to the founder (+10)","")&amp;"."))</f>
        <v/>
      </c>
      <c r="R715" s="5"/>
      <c r="T715" s="5"/>
      <c r="U715" s="5"/>
      <c r="Y715" s="0" t="str">
        <f aca="false">IF(FA715&lt;&gt;"Y","",COUNTIFS($FA$2:$FA$1000,"Y",$J$2:$J$1000,"&gt;"&amp;J715)+COUNTIFS($FA$2:$FA$1000,"Y",$J$2:$J$1000,J715,$FG$2:$FG$1000,"&lt;"&amp;FG715)+1)</f>
        <v/>
      </c>
      <c r="AB715" s="0" t="str">
        <f aca="false">IF($A715="","",IF(AT715="Y",BW715&amp;"",BJ715&amp;""))</f>
        <v/>
      </c>
      <c r="AC715" s="0" t="str">
        <f aca="false">IF($A715="","",IF(AT715="Y",BR715&amp;"",BE715&amp;""))</f>
        <v/>
      </c>
      <c r="AD715" s="0" t="str">
        <f aca="false">IF($A715="","",IF(AT715="Y",BS715&amp;"",BF715&amp;""))</f>
        <v/>
      </c>
      <c r="AE715" s="0" t="str">
        <f aca="false">IF($A715="","",IF(AT715="Y",BT715&amp;"",BG715&amp;""))</f>
        <v/>
      </c>
      <c r="AF715" s="0" t="str">
        <f aca="false">IF($A715="","",IF(AT715="Y",BU715&amp;"",BH715&amp;""))</f>
        <v/>
      </c>
      <c r="AG715" s="0" t="str">
        <f aca="false">IF($A715="","",IF(AT715="Y",BV715&amp;"",BI715&amp;""))</f>
        <v/>
      </c>
      <c r="AO715" s="5"/>
      <c r="AR715" s="0" t="str">
        <f aca="false">IF($A715="","",IF(AND(CK715="pass",AO715&lt;&gt;"Y",C715&lt;&gt;"",OR(AU715&lt;&gt;"Y",AV715="Y")),"Y","N"))</f>
        <v/>
      </c>
      <c r="AS715" s="0" t="str">
        <f aca="false">IF($A715="","",_xlfn.TEXTJOIN("; ",TRUE(),IF(CK715&lt;&gt;"pass","gated out",""),IF(AO715="Y","on hold: "&amp;AP715,""),IF(C715="","no contact named on an opened page",""),IF(AND(AU715="Y",AV715&lt;&gt;"Y"),"founder review pending (Founder review tab)","")))</f>
        <v/>
      </c>
      <c r="BC715" s="0" t="str">
        <f aca="false">IF($A715="","",IFERROR(INDEX(Enrichment!$A$2:$GZ$2000,MATCH($A715,INDEX(Enrichment!$A$2:$GZ$2000,0,MATCH("row_id",Enrichment!$A$1:$GZ$1,0)),0),MATCH("work_email",Enrichment!$A$1:$GZ$1,0))&amp;"",""))</f>
        <v/>
      </c>
      <c r="BD715" s="0" t="str">
        <f aca="false">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P715" s="0" t="str">
        <f aca="false">IF($A715="","",IFERROR(INDEX(Enrichment!$A$2:$GZ$2000,MATCH($A715,INDEX(Enrichment!$A$2:$GZ$2000,0,MATCH("row_id",Enrichment!$A$1:$GZ$1,0)),0),MATCH("backup_work_email",Enrichment!$A$1:$GZ$1,0))&amp;"",""))</f>
        <v/>
      </c>
      <c r="BQ715" s="0" t="str">
        <f aca="false">IF($A715="","",IF(BP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DU715" s="0" t="str">
        <f aca="false">IF($A715="","",IF(R715="Y",10,0))</f>
        <v/>
      </c>
      <c r="EV715" s="0" t="str">
        <f aca="false">IF($A715="","",IF(ISNUMBER(MATCH(U715,{"queued","contacted","replied","call_booked","call_done","yes_in_principle","materials_sent"},0)),"Y","N"))</f>
        <v/>
      </c>
      <c r="EW715" s="0" t="str">
        <f aca="false">IF($A715="","",IF(OR(T715="Y",U715="do_not_contact",AQ715&amp;""&lt;&gt;""),"Y","N"))</f>
        <v/>
      </c>
      <c r="EX715" s="0" t="str">
        <f aca="false">IF($A715="","",IF(AN715&amp;""&lt;&gt;"",AN715&amp;"",$A715))</f>
        <v/>
      </c>
      <c r="EY715" s="0" t="str">
        <f aca="false">IF($A715="","",IF(COUNTIFS($EX$2:$EX$1000,EX715,$EV$2:$EV$1000,"Y")+COUNTIFS($EX$2:$EX$1000,EX715,$EW$2:$EW$1000,"Y")&gt;0,"Y","N"))</f>
        <v/>
      </c>
      <c r="EZ715" s="0" t="str">
        <f aca="false">IF($A715="","",IF(AND(U715="new",T715="N",EW715="N",AR715="Y",EY715="N"),"Y","N"))</f>
        <v/>
      </c>
      <c r="FA715" s="0" t="str">
        <f aca="false">IF($A715="","",IF(EZ715&lt;&gt;"Y","N",IF(COUNTIFS($EX$2:$EX$1000,EX715,$EZ$2:$EZ$1000,"Y",$J$2:$J$1000,"&gt;"&amp;J715)+COUNTIFS($EX$2:$EX$1000,EX715,$EZ$2:$EZ$1000,"Y",$J$2:$J$1000,J715,$FG$2:$FG$1000,"&lt;"&amp;FG715)=0,"Y","N")))</f>
        <v/>
      </c>
      <c r="FB715" s="0" t="str">
        <f aca="false">IF($A715="","",IF(AND(EZ715="Y",FA715="Y",Y715&amp;""&lt;&gt;""),IF(Y715&lt;=10,"Y","N"),"N"))</f>
        <v/>
      </c>
      <c r="FC715" s="0" t="str">
        <f aca="false">IF(FB715="Y",Y715,"")</f>
        <v/>
      </c>
      <c r="FD715" s="0" t="str">
        <f aca="false">IF($A715="","",IF(AND(CK715="pass",AU715="Y",AV715&lt;&gt;"Y",U715="new",EW715="N"),"Y","N"))</f>
        <v/>
      </c>
      <c r="FE715" s="0" t="str">
        <f aca="false">IF(FD715&lt;&gt;"Y","",IF(COUNTIFS($FD$2:$FD$1000,"Y",$J$2:$J$1000,"&gt;"&amp;J715)+COUNTIFS($FD$2:$FD$1000,"Y",$J$2:$J$1000,J715,$FG$2:$FG$1000,"&lt;"&amp;FG715)+1&lt;=30,COUNTIFS($FD$2:$FD$1000,"Y",$J$2:$J$1000,"&gt;"&amp;J715)+COUNTIFS($FD$2:$FD$1000,"Y",$J$2:$J$1000,J715,$FG$2:$FG$1000,"&lt;"&amp;FG715)+1,""))</f>
        <v/>
      </c>
      <c r="FF715" s="0" t="str">
        <f aca="false">IF(AND(_xlfn.ISFORMULA(C715),_xlfn.ISFORMULA(J715)),"Y","N")</f>
        <v>Y</v>
      </c>
      <c r="FG715" s="0" t="n">
        <f aca="false">ROW()-1</f>
        <v>714</v>
      </c>
    </row>
    <row r="716" customFormat="false" ht="15" hidden="false" customHeight="false" outlineLevel="0" collapsed="false">
      <c r="C716" s="0" t="str">
        <f aca="false">IF($A716="","",IF(AT716="Y",BL716&amp;"",AY716&amp;""))</f>
        <v/>
      </c>
      <c r="D716" s="0" t="str">
        <f aca="false">IF($A716="","",IF(AT716="Y",BM716&amp;"",AZ716&amp;""))</f>
        <v/>
      </c>
      <c r="E716" s="0" t="str">
        <f aca="false">IF($A716="","",IF(AT716="Y",BN716&amp;"",BA716&amp;""))</f>
        <v/>
      </c>
      <c r="F716" s="0" t="str">
        <f aca="false">IF($A716="","",IF(AT716="Y",BO716&amp;"",BB716&amp;""))</f>
        <v/>
      </c>
      <c r="G716" s="0" t="str">
        <f aca="false">IF($A716="","",IF(AT716="Y",BP716&amp;"",BC716&amp;""))</f>
        <v/>
      </c>
      <c r="H716" s="0" t="str">
        <f aca="false">IF($A716="","",IF(AT716="Y",BQ716&amp;"",BD716&amp;""))</f>
        <v/>
      </c>
      <c r="I716" s="0" t="str">
        <f aca="false">IF($A716="","",IF(R716="Y","warm-intro",IF(H716="verified","email",IF(C716&lt;&gt;"","linkedin",CA716&amp;""))))</f>
        <v/>
      </c>
      <c r="J716" s="0" t="str">
        <f aca="false">IF($A716="","",IF(CK716="pass",ROUND(N(DO716)+N(DP716)+N(DQ716)+N(DR716)+N(DS716)+N(DT716)+N(DU716)+N(DV716),0),0))</f>
        <v/>
      </c>
      <c r="K716" s="0" t="str">
        <f aca="false">IF($A716="","",IF(CK716&lt;&gt;"pass",BY716&amp;"",BY716&amp;", "&amp;IF(AT716="Y",BX716&amp;"",BK716&amp;"")&amp;BZ716&amp;IF(R716="Y","; known to the founder (+10)","")&amp;"."))</f>
        <v/>
      </c>
      <c r="R716" s="5"/>
      <c r="T716" s="5"/>
      <c r="U716" s="5"/>
      <c r="Y716" s="0" t="str">
        <f aca="false">IF(FA716&lt;&gt;"Y","",COUNTIFS($FA$2:$FA$1000,"Y",$J$2:$J$1000,"&gt;"&amp;J716)+COUNTIFS($FA$2:$FA$1000,"Y",$J$2:$J$1000,J716,$FG$2:$FG$1000,"&lt;"&amp;FG716)+1)</f>
        <v/>
      </c>
      <c r="AB716" s="0" t="str">
        <f aca="false">IF($A716="","",IF(AT716="Y",BW716&amp;"",BJ716&amp;""))</f>
        <v/>
      </c>
      <c r="AC716" s="0" t="str">
        <f aca="false">IF($A716="","",IF(AT716="Y",BR716&amp;"",BE716&amp;""))</f>
        <v/>
      </c>
      <c r="AD716" s="0" t="str">
        <f aca="false">IF($A716="","",IF(AT716="Y",BS716&amp;"",BF716&amp;""))</f>
        <v/>
      </c>
      <c r="AE716" s="0" t="str">
        <f aca="false">IF($A716="","",IF(AT716="Y",BT716&amp;"",BG716&amp;""))</f>
        <v/>
      </c>
      <c r="AF716" s="0" t="str">
        <f aca="false">IF($A716="","",IF(AT716="Y",BU716&amp;"",BH716&amp;""))</f>
        <v/>
      </c>
      <c r="AG716" s="0" t="str">
        <f aca="false">IF($A716="","",IF(AT716="Y",BV716&amp;"",BI716&amp;""))</f>
        <v/>
      </c>
      <c r="AO716" s="5"/>
      <c r="AR716" s="0" t="str">
        <f aca="false">IF($A716="","",IF(AND(CK716="pass",AO716&lt;&gt;"Y",C716&lt;&gt;"",OR(AU716&lt;&gt;"Y",AV716="Y")),"Y","N"))</f>
        <v/>
      </c>
      <c r="AS716" s="0" t="str">
        <f aca="false">IF($A716="","",_xlfn.TEXTJOIN("; ",TRUE(),IF(CK716&lt;&gt;"pass","gated out",""),IF(AO716="Y","on hold: "&amp;AP716,""),IF(C716="","no contact named on an opened page",""),IF(AND(AU716="Y",AV716&lt;&gt;"Y"),"founder review pending (Founder review tab)","")))</f>
        <v/>
      </c>
      <c r="BC716" s="0" t="str">
        <f aca="false">IF($A716="","",IFERROR(INDEX(Enrichment!$A$2:$GZ$2000,MATCH($A716,INDEX(Enrichment!$A$2:$GZ$2000,0,MATCH("row_id",Enrichment!$A$1:$GZ$1,0)),0),MATCH("work_email",Enrichment!$A$1:$GZ$1,0))&amp;"",""))</f>
        <v/>
      </c>
      <c r="BD716" s="0" t="str">
        <f aca="false">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P716" s="0" t="str">
        <f aca="false">IF($A716="","",IFERROR(INDEX(Enrichment!$A$2:$GZ$2000,MATCH($A716,INDEX(Enrichment!$A$2:$GZ$2000,0,MATCH("row_id",Enrichment!$A$1:$GZ$1,0)),0),MATCH("backup_work_email",Enrichment!$A$1:$GZ$1,0))&amp;"",""))</f>
        <v/>
      </c>
      <c r="BQ716" s="0" t="str">
        <f aca="false">IF($A716="","",IF(BP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DU716" s="0" t="str">
        <f aca="false">IF($A716="","",IF(R716="Y",10,0))</f>
        <v/>
      </c>
      <c r="EV716" s="0" t="str">
        <f aca="false">IF($A716="","",IF(ISNUMBER(MATCH(U716,{"queued","contacted","replied","call_booked","call_done","yes_in_principle","materials_sent"},0)),"Y","N"))</f>
        <v/>
      </c>
      <c r="EW716" s="0" t="str">
        <f aca="false">IF($A716="","",IF(OR(T716="Y",U716="do_not_contact",AQ716&amp;""&lt;&gt;""),"Y","N"))</f>
        <v/>
      </c>
      <c r="EX716" s="0" t="str">
        <f aca="false">IF($A716="","",IF(AN716&amp;""&lt;&gt;"",AN716&amp;"",$A716))</f>
        <v/>
      </c>
      <c r="EY716" s="0" t="str">
        <f aca="false">IF($A716="","",IF(COUNTIFS($EX$2:$EX$1000,EX716,$EV$2:$EV$1000,"Y")+COUNTIFS($EX$2:$EX$1000,EX716,$EW$2:$EW$1000,"Y")&gt;0,"Y","N"))</f>
        <v/>
      </c>
      <c r="EZ716" s="0" t="str">
        <f aca="false">IF($A716="","",IF(AND(U716="new",T716="N",EW716="N",AR716="Y",EY716="N"),"Y","N"))</f>
        <v/>
      </c>
      <c r="FA716" s="0" t="str">
        <f aca="false">IF($A716="","",IF(EZ716&lt;&gt;"Y","N",IF(COUNTIFS($EX$2:$EX$1000,EX716,$EZ$2:$EZ$1000,"Y",$J$2:$J$1000,"&gt;"&amp;J716)+COUNTIFS($EX$2:$EX$1000,EX716,$EZ$2:$EZ$1000,"Y",$J$2:$J$1000,J716,$FG$2:$FG$1000,"&lt;"&amp;FG716)=0,"Y","N")))</f>
        <v/>
      </c>
      <c r="FB716" s="0" t="str">
        <f aca="false">IF($A716="","",IF(AND(EZ716="Y",FA716="Y",Y716&amp;""&lt;&gt;""),IF(Y716&lt;=10,"Y","N"),"N"))</f>
        <v/>
      </c>
      <c r="FC716" s="0" t="str">
        <f aca="false">IF(FB716="Y",Y716,"")</f>
        <v/>
      </c>
      <c r="FD716" s="0" t="str">
        <f aca="false">IF($A716="","",IF(AND(CK716="pass",AU716="Y",AV716&lt;&gt;"Y",U716="new",EW716="N"),"Y","N"))</f>
        <v/>
      </c>
      <c r="FE716" s="0" t="str">
        <f aca="false">IF(FD716&lt;&gt;"Y","",IF(COUNTIFS($FD$2:$FD$1000,"Y",$J$2:$J$1000,"&gt;"&amp;J716)+COUNTIFS($FD$2:$FD$1000,"Y",$J$2:$J$1000,J716,$FG$2:$FG$1000,"&lt;"&amp;FG716)+1&lt;=30,COUNTIFS($FD$2:$FD$1000,"Y",$J$2:$J$1000,"&gt;"&amp;J716)+COUNTIFS($FD$2:$FD$1000,"Y",$J$2:$J$1000,J716,$FG$2:$FG$1000,"&lt;"&amp;FG716)+1,""))</f>
        <v/>
      </c>
      <c r="FF716" s="0" t="str">
        <f aca="false">IF(AND(_xlfn.ISFORMULA(C716),_xlfn.ISFORMULA(J716)),"Y","N")</f>
        <v>Y</v>
      </c>
      <c r="FG716" s="0" t="n">
        <f aca="false">ROW()-1</f>
        <v>715</v>
      </c>
    </row>
    <row r="717" customFormat="false" ht="15" hidden="false" customHeight="false" outlineLevel="0" collapsed="false">
      <c r="C717" s="0" t="str">
        <f aca="false">IF($A717="","",IF(AT717="Y",BL717&amp;"",AY717&amp;""))</f>
        <v/>
      </c>
      <c r="D717" s="0" t="str">
        <f aca="false">IF($A717="","",IF(AT717="Y",BM717&amp;"",AZ717&amp;""))</f>
        <v/>
      </c>
      <c r="E717" s="0" t="str">
        <f aca="false">IF($A717="","",IF(AT717="Y",BN717&amp;"",BA717&amp;""))</f>
        <v/>
      </c>
      <c r="F717" s="0" t="str">
        <f aca="false">IF($A717="","",IF(AT717="Y",BO717&amp;"",BB717&amp;""))</f>
        <v/>
      </c>
      <c r="G717" s="0" t="str">
        <f aca="false">IF($A717="","",IF(AT717="Y",BP717&amp;"",BC717&amp;""))</f>
        <v/>
      </c>
      <c r="H717" s="0" t="str">
        <f aca="false">IF($A717="","",IF(AT717="Y",BQ717&amp;"",BD717&amp;""))</f>
        <v/>
      </c>
      <c r="I717" s="0" t="str">
        <f aca="false">IF($A717="","",IF(R717="Y","warm-intro",IF(H717="verified","email",IF(C717&lt;&gt;"","linkedin",CA717&amp;""))))</f>
        <v/>
      </c>
      <c r="J717" s="0" t="str">
        <f aca="false">IF($A717="","",IF(CK717="pass",ROUND(N(DO717)+N(DP717)+N(DQ717)+N(DR717)+N(DS717)+N(DT717)+N(DU717)+N(DV717),0),0))</f>
        <v/>
      </c>
      <c r="K717" s="0" t="str">
        <f aca="false">IF($A717="","",IF(CK717&lt;&gt;"pass",BY717&amp;"",BY717&amp;", "&amp;IF(AT717="Y",BX717&amp;"",BK717&amp;"")&amp;BZ717&amp;IF(R717="Y","; known to the founder (+10)","")&amp;"."))</f>
        <v/>
      </c>
      <c r="R717" s="5"/>
      <c r="T717" s="5"/>
      <c r="U717" s="5"/>
      <c r="Y717" s="0" t="str">
        <f aca="false">IF(FA717&lt;&gt;"Y","",COUNTIFS($FA$2:$FA$1000,"Y",$J$2:$J$1000,"&gt;"&amp;J717)+COUNTIFS($FA$2:$FA$1000,"Y",$J$2:$J$1000,J717,$FG$2:$FG$1000,"&lt;"&amp;FG717)+1)</f>
        <v/>
      </c>
      <c r="AB717" s="0" t="str">
        <f aca="false">IF($A717="","",IF(AT717="Y",BW717&amp;"",BJ717&amp;""))</f>
        <v/>
      </c>
      <c r="AC717" s="0" t="str">
        <f aca="false">IF($A717="","",IF(AT717="Y",BR717&amp;"",BE717&amp;""))</f>
        <v/>
      </c>
      <c r="AD717" s="0" t="str">
        <f aca="false">IF($A717="","",IF(AT717="Y",BS717&amp;"",BF717&amp;""))</f>
        <v/>
      </c>
      <c r="AE717" s="0" t="str">
        <f aca="false">IF($A717="","",IF(AT717="Y",BT717&amp;"",BG717&amp;""))</f>
        <v/>
      </c>
      <c r="AF717" s="0" t="str">
        <f aca="false">IF($A717="","",IF(AT717="Y",BU717&amp;"",BH717&amp;""))</f>
        <v/>
      </c>
      <c r="AG717" s="0" t="str">
        <f aca="false">IF($A717="","",IF(AT717="Y",BV717&amp;"",BI717&amp;""))</f>
        <v/>
      </c>
      <c r="AO717" s="5"/>
      <c r="AR717" s="0" t="str">
        <f aca="false">IF($A717="","",IF(AND(CK717="pass",AO717&lt;&gt;"Y",C717&lt;&gt;"",OR(AU717&lt;&gt;"Y",AV717="Y")),"Y","N"))</f>
        <v/>
      </c>
      <c r="AS717" s="0" t="str">
        <f aca="false">IF($A717="","",_xlfn.TEXTJOIN("; ",TRUE(),IF(CK717&lt;&gt;"pass","gated out",""),IF(AO717="Y","on hold: "&amp;AP717,""),IF(C717="","no contact named on an opened page",""),IF(AND(AU717="Y",AV717&lt;&gt;"Y"),"founder review pending (Founder review tab)","")))</f>
        <v/>
      </c>
      <c r="BC717" s="0" t="str">
        <f aca="false">IF($A717="","",IFERROR(INDEX(Enrichment!$A$2:$GZ$2000,MATCH($A717,INDEX(Enrichment!$A$2:$GZ$2000,0,MATCH("row_id",Enrichment!$A$1:$GZ$1,0)),0),MATCH("work_email",Enrichment!$A$1:$GZ$1,0))&amp;"",""))</f>
        <v/>
      </c>
      <c r="BD717" s="0" t="str">
        <f aca="false">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P717" s="0" t="str">
        <f aca="false">IF($A717="","",IFERROR(INDEX(Enrichment!$A$2:$GZ$2000,MATCH($A717,INDEX(Enrichment!$A$2:$GZ$2000,0,MATCH("row_id",Enrichment!$A$1:$GZ$1,0)),0),MATCH("backup_work_email",Enrichment!$A$1:$GZ$1,0))&amp;"",""))</f>
        <v/>
      </c>
      <c r="BQ717" s="0" t="str">
        <f aca="false">IF($A717="","",IF(BP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DU717" s="0" t="str">
        <f aca="false">IF($A717="","",IF(R717="Y",10,0))</f>
        <v/>
      </c>
      <c r="EV717" s="0" t="str">
        <f aca="false">IF($A717="","",IF(ISNUMBER(MATCH(U717,{"queued","contacted","replied","call_booked","call_done","yes_in_principle","materials_sent"},0)),"Y","N"))</f>
        <v/>
      </c>
      <c r="EW717" s="0" t="str">
        <f aca="false">IF($A717="","",IF(OR(T717="Y",U717="do_not_contact",AQ717&amp;""&lt;&gt;""),"Y","N"))</f>
        <v/>
      </c>
      <c r="EX717" s="0" t="str">
        <f aca="false">IF($A717="","",IF(AN717&amp;""&lt;&gt;"",AN717&amp;"",$A717))</f>
        <v/>
      </c>
      <c r="EY717" s="0" t="str">
        <f aca="false">IF($A717="","",IF(COUNTIFS($EX$2:$EX$1000,EX717,$EV$2:$EV$1000,"Y")+COUNTIFS($EX$2:$EX$1000,EX717,$EW$2:$EW$1000,"Y")&gt;0,"Y","N"))</f>
        <v/>
      </c>
      <c r="EZ717" s="0" t="str">
        <f aca="false">IF($A717="","",IF(AND(U717="new",T717="N",EW717="N",AR717="Y",EY717="N"),"Y","N"))</f>
        <v/>
      </c>
      <c r="FA717" s="0" t="str">
        <f aca="false">IF($A717="","",IF(EZ717&lt;&gt;"Y","N",IF(COUNTIFS($EX$2:$EX$1000,EX717,$EZ$2:$EZ$1000,"Y",$J$2:$J$1000,"&gt;"&amp;J717)+COUNTIFS($EX$2:$EX$1000,EX717,$EZ$2:$EZ$1000,"Y",$J$2:$J$1000,J717,$FG$2:$FG$1000,"&lt;"&amp;FG717)=0,"Y","N")))</f>
        <v/>
      </c>
      <c r="FB717" s="0" t="str">
        <f aca="false">IF($A717="","",IF(AND(EZ717="Y",FA717="Y",Y717&amp;""&lt;&gt;""),IF(Y717&lt;=10,"Y","N"),"N"))</f>
        <v/>
      </c>
      <c r="FC717" s="0" t="str">
        <f aca="false">IF(FB717="Y",Y717,"")</f>
        <v/>
      </c>
      <c r="FD717" s="0" t="str">
        <f aca="false">IF($A717="","",IF(AND(CK717="pass",AU717="Y",AV717&lt;&gt;"Y",U717="new",EW717="N"),"Y","N"))</f>
        <v/>
      </c>
      <c r="FE717" s="0" t="str">
        <f aca="false">IF(FD717&lt;&gt;"Y","",IF(COUNTIFS($FD$2:$FD$1000,"Y",$J$2:$J$1000,"&gt;"&amp;J717)+COUNTIFS($FD$2:$FD$1000,"Y",$J$2:$J$1000,J717,$FG$2:$FG$1000,"&lt;"&amp;FG717)+1&lt;=30,COUNTIFS($FD$2:$FD$1000,"Y",$J$2:$J$1000,"&gt;"&amp;J717)+COUNTIFS($FD$2:$FD$1000,"Y",$J$2:$J$1000,J717,$FG$2:$FG$1000,"&lt;"&amp;FG717)+1,""))</f>
        <v/>
      </c>
      <c r="FF717" s="0" t="str">
        <f aca="false">IF(AND(_xlfn.ISFORMULA(C717),_xlfn.ISFORMULA(J717)),"Y","N")</f>
        <v>Y</v>
      </c>
      <c r="FG717" s="0" t="n">
        <f aca="false">ROW()-1</f>
        <v>716</v>
      </c>
    </row>
    <row r="718" customFormat="false" ht="15" hidden="false" customHeight="false" outlineLevel="0" collapsed="false">
      <c r="C718" s="0" t="str">
        <f aca="false">IF($A718="","",IF(AT718="Y",BL718&amp;"",AY718&amp;""))</f>
        <v/>
      </c>
      <c r="D718" s="0" t="str">
        <f aca="false">IF($A718="","",IF(AT718="Y",BM718&amp;"",AZ718&amp;""))</f>
        <v/>
      </c>
      <c r="E718" s="0" t="str">
        <f aca="false">IF($A718="","",IF(AT718="Y",BN718&amp;"",BA718&amp;""))</f>
        <v/>
      </c>
      <c r="F718" s="0" t="str">
        <f aca="false">IF($A718="","",IF(AT718="Y",BO718&amp;"",BB718&amp;""))</f>
        <v/>
      </c>
      <c r="G718" s="0" t="str">
        <f aca="false">IF($A718="","",IF(AT718="Y",BP718&amp;"",BC718&amp;""))</f>
        <v/>
      </c>
      <c r="H718" s="0" t="str">
        <f aca="false">IF($A718="","",IF(AT718="Y",BQ718&amp;"",BD718&amp;""))</f>
        <v/>
      </c>
      <c r="I718" s="0" t="str">
        <f aca="false">IF($A718="","",IF(R718="Y","warm-intro",IF(H718="verified","email",IF(C718&lt;&gt;"","linkedin",CA718&amp;""))))</f>
        <v/>
      </c>
      <c r="J718" s="0" t="str">
        <f aca="false">IF($A718="","",IF(CK718="pass",ROUND(N(DO718)+N(DP718)+N(DQ718)+N(DR718)+N(DS718)+N(DT718)+N(DU718)+N(DV718),0),0))</f>
        <v/>
      </c>
      <c r="K718" s="0" t="str">
        <f aca="false">IF($A718="","",IF(CK718&lt;&gt;"pass",BY718&amp;"",BY718&amp;", "&amp;IF(AT718="Y",BX718&amp;"",BK718&amp;"")&amp;BZ718&amp;IF(R718="Y","; known to the founder (+10)","")&amp;"."))</f>
        <v/>
      </c>
      <c r="R718" s="5"/>
      <c r="T718" s="5"/>
      <c r="U718" s="5"/>
      <c r="Y718" s="0" t="str">
        <f aca="false">IF(FA718&lt;&gt;"Y","",COUNTIFS($FA$2:$FA$1000,"Y",$J$2:$J$1000,"&gt;"&amp;J718)+COUNTIFS($FA$2:$FA$1000,"Y",$J$2:$J$1000,J718,$FG$2:$FG$1000,"&lt;"&amp;FG718)+1)</f>
        <v/>
      </c>
      <c r="AB718" s="0" t="str">
        <f aca="false">IF($A718="","",IF(AT718="Y",BW718&amp;"",BJ718&amp;""))</f>
        <v/>
      </c>
      <c r="AC718" s="0" t="str">
        <f aca="false">IF($A718="","",IF(AT718="Y",BR718&amp;"",BE718&amp;""))</f>
        <v/>
      </c>
      <c r="AD718" s="0" t="str">
        <f aca="false">IF($A718="","",IF(AT718="Y",BS718&amp;"",BF718&amp;""))</f>
        <v/>
      </c>
      <c r="AE718" s="0" t="str">
        <f aca="false">IF($A718="","",IF(AT718="Y",BT718&amp;"",BG718&amp;""))</f>
        <v/>
      </c>
      <c r="AF718" s="0" t="str">
        <f aca="false">IF($A718="","",IF(AT718="Y",BU718&amp;"",BH718&amp;""))</f>
        <v/>
      </c>
      <c r="AG718" s="0" t="str">
        <f aca="false">IF($A718="","",IF(AT718="Y",BV718&amp;"",BI718&amp;""))</f>
        <v/>
      </c>
      <c r="AO718" s="5"/>
      <c r="AR718" s="0" t="str">
        <f aca="false">IF($A718="","",IF(AND(CK718="pass",AO718&lt;&gt;"Y",C718&lt;&gt;"",OR(AU718&lt;&gt;"Y",AV718="Y")),"Y","N"))</f>
        <v/>
      </c>
      <c r="AS718" s="0" t="str">
        <f aca="false">IF($A718="","",_xlfn.TEXTJOIN("; ",TRUE(),IF(CK718&lt;&gt;"pass","gated out",""),IF(AO718="Y","on hold: "&amp;AP718,""),IF(C718="","no contact named on an opened page",""),IF(AND(AU718="Y",AV718&lt;&gt;"Y"),"founder review pending (Founder review tab)","")))</f>
        <v/>
      </c>
      <c r="BC718" s="0" t="str">
        <f aca="false">IF($A718="","",IFERROR(INDEX(Enrichment!$A$2:$GZ$2000,MATCH($A718,INDEX(Enrichment!$A$2:$GZ$2000,0,MATCH("row_id",Enrichment!$A$1:$GZ$1,0)),0),MATCH("work_email",Enrichment!$A$1:$GZ$1,0))&amp;"",""))</f>
        <v/>
      </c>
      <c r="BD718" s="0" t="str">
        <f aca="false">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P718" s="0" t="str">
        <f aca="false">IF($A718="","",IFERROR(INDEX(Enrichment!$A$2:$GZ$2000,MATCH($A718,INDEX(Enrichment!$A$2:$GZ$2000,0,MATCH("row_id",Enrichment!$A$1:$GZ$1,0)),0),MATCH("backup_work_email",Enrichment!$A$1:$GZ$1,0))&amp;"",""))</f>
        <v/>
      </c>
      <c r="BQ718" s="0" t="str">
        <f aca="false">IF($A718="","",IF(BP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DU718" s="0" t="str">
        <f aca="false">IF($A718="","",IF(R718="Y",10,0))</f>
        <v/>
      </c>
      <c r="EV718" s="0" t="str">
        <f aca="false">IF($A718="","",IF(ISNUMBER(MATCH(U718,{"queued","contacted","replied","call_booked","call_done","yes_in_principle","materials_sent"},0)),"Y","N"))</f>
        <v/>
      </c>
      <c r="EW718" s="0" t="str">
        <f aca="false">IF($A718="","",IF(OR(T718="Y",U718="do_not_contact",AQ718&amp;""&lt;&gt;""),"Y","N"))</f>
        <v/>
      </c>
      <c r="EX718" s="0" t="str">
        <f aca="false">IF($A718="","",IF(AN718&amp;""&lt;&gt;"",AN718&amp;"",$A718))</f>
        <v/>
      </c>
      <c r="EY718" s="0" t="str">
        <f aca="false">IF($A718="","",IF(COUNTIFS($EX$2:$EX$1000,EX718,$EV$2:$EV$1000,"Y")+COUNTIFS($EX$2:$EX$1000,EX718,$EW$2:$EW$1000,"Y")&gt;0,"Y","N"))</f>
        <v/>
      </c>
      <c r="EZ718" s="0" t="str">
        <f aca="false">IF($A718="","",IF(AND(U718="new",T718="N",EW718="N",AR718="Y",EY718="N"),"Y","N"))</f>
        <v/>
      </c>
      <c r="FA718" s="0" t="str">
        <f aca="false">IF($A718="","",IF(EZ718&lt;&gt;"Y","N",IF(COUNTIFS($EX$2:$EX$1000,EX718,$EZ$2:$EZ$1000,"Y",$J$2:$J$1000,"&gt;"&amp;J718)+COUNTIFS($EX$2:$EX$1000,EX718,$EZ$2:$EZ$1000,"Y",$J$2:$J$1000,J718,$FG$2:$FG$1000,"&lt;"&amp;FG718)=0,"Y","N")))</f>
        <v/>
      </c>
      <c r="FB718" s="0" t="str">
        <f aca="false">IF($A718="","",IF(AND(EZ718="Y",FA718="Y",Y718&amp;""&lt;&gt;""),IF(Y718&lt;=10,"Y","N"),"N"))</f>
        <v/>
      </c>
      <c r="FC718" s="0" t="str">
        <f aca="false">IF(FB718="Y",Y718,"")</f>
        <v/>
      </c>
      <c r="FD718" s="0" t="str">
        <f aca="false">IF($A718="","",IF(AND(CK718="pass",AU718="Y",AV718&lt;&gt;"Y",U718="new",EW718="N"),"Y","N"))</f>
        <v/>
      </c>
      <c r="FE718" s="0" t="str">
        <f aca="false">IF(FD718&lt;&gt;"Y","",IF(COUNTIFS($FD$2:$FD$1000,"Y",$J$2:$J$1000,"&gt;"&amp;J718)+COUNTIFS($FD$2:$FD$1000,"Y",$J$2:$J$1000,J718,$FG$2:$FG$1000,"&lt;"&amp;FG718)+1&lt;=30,COUNTIFS($FD$2:$FD$1000,"Y",$J$2:$J$1000,"&gt;"&amp;J718)+COUNTIFS($FD$2:$FD$1000,"Y",$J$2:$J$1000,J718,$FG$2:$FG$1000,"&lt;"&amp;FG718)+1,""))</f>
        <v/>
      </c>
      <c r="FF718" s="0" t="str">
        <f aca="false">IF(AND(_xlfn.ISFORMULA(C718),_xlfn.ISFORMULA(J718)),"Y","N")</f>
        <v>Y</v>
      </c>
      <c r="FG718" s="0" t="n">
        <f aca="false">ROW()-1</f>
        <v>717</v>
      </c>
    </row>
    <row r="719" customFormat="false" ht="15" hidden="false" customHeight="false" outlineLevel="0" collapsed="false">
      <c r="C719" s="0" t="str">
        <f aca="false">IF($A719="","",IF(AT719="Y",BL719&amp;"",AY719&amp;""))</f>
        <v/>
      </c>
      <c r="D719" s="0" t="str">
        <f aca="false">IF($A719="","",IF(AT719="Y",BM719&amp;"",AZ719&amp;""))</f>
        <v/>
      </c>
      <c r="E719" s="0" t="str">
        <f aca="false">IF($A719="","",IF(AT719="Y",BN719&amp;"",BA719&amp;""))</f>
        <v/>
      </c>
      <c r="F719" s="0" t="str">
        <f aca="false">IF($A719="","",IF(AT719="Y",BO719&amp;"",BB719&amp;""))</f>
        <v/>
      </c>
      <c r="G719" s="0" t="str">
        <f aca="false">IF($A719="","",IF(AT719="Y",BP719&amp;"",BC719&amp;""))</f>
        <v/>
      </c>
      <c r="H719" s="0" t="str">
        <f aca="false">IF($A719="","",IF(AT719="Y",BQ719&amp;"",BD719&amp;""))</f>
        <v/>
      </c>
      <c r="I719" s="0" t="str">
        <f aca="false">IF($A719="","",IF(R719="Y","warm-intro",IF(H719="verified","email",IF(C719&lt;&gt;"","linkedin",CA719&amp;""))))</f>
        <v/>
      </c>
      <c r="J719" s="0" t="str">
        <f aca="false">IF($A719="","",IF(CK719="pass",ROUND(N(DO719)+N(DP719)+N(DQ719)+N(DR719)+N(DS719)+N(DT719)+N(DU719)+N(DV719),0),0))</f>
        <v/>
      </c>
      <c r="K719" s="0" t="str">
        <f aca="false">IF($A719="","",IF(CK719&lt;&gt;"pass",BY719&amp;"",BY719&amp;", "&amp;IF(AT719="Y",BX719&amp;"",BK719&amp;"")&amp;BZ719&amp;IF(R719="Y","; known to the founder (+10)","")&amp;"."))</f>
        <v/>
      </c>
      <c r="R719" s="5"/>
      <c r="T719" s="5"/>
      <c r="U719" s="5"/>
      <c r="Y719" s="0" t="str">
        <f aca="false">IF(FA719&lt;&gt;"Y","",COUNTIFS($FA$2:$FA$1000,"Y",$J$2:$J$1000,"&gt;"&amp;J719)+COUNTIFS($FA$2:$FA$1000,"Y",$J$2:$J$1000,J719,$FG$2:$FG$1000,"&lt;"&amp;FG719)+1)</f>
        <v/>
      </c>
      <c r="AB719" s="0" t="str">
        <f aca="false">IF($A719="","",IF(AT719="Y",BW719&amp;"",BJ719&amp;""))</f>
        <v/>
      </c>
      <c r="AC719" s="0" t="str">
        <f aca="false">IF($A719="","",IF(AT719="Y",BR719&amp;"",BE719&amp;""))</f>
        <v/>
      </c>
      <c r="AD719" s="0" t="str">
        <f aca="false">IF($A719="","",IF(AT719="Y",BS719&amp;"",BF719&amp;""))</f>
        <v/>
      </c>
      <c r="AE719" s="0" t="str">
        <f aca="false">IF($A719="","",IF(AT719="Y",BT719&amp;"",BG719&amp;""))</f>
        <v/>
      </c>
      <c r="AF719" s="0" t="str">
        <f aca="false">IF($A719="","",IF(AT719="Y",BU719&amp;"",BH719&amp;""))</f>
        <v/>
      </c>
      <c r="AG719" s="0" t="str">
        <f aca="false">IF($A719="","",IF(AT719="Y",BV719&amp;"",BI719&amp;""))</f>
        <v/>
      </c>
      <c r="AO719" s="5"/>
      <c r="AR719" s="0" t="str">
        <f aca="false">IF($A719="","",IF(AND(CK719="pass",AO719&lt;&gt;"Y",C719&lt;&gt;"",OR(AU719&lt;&gt;"Y",AV719="Y")),"Y","N"))</f>
        <v/>
      </c>
      <c r="AS719" s="0" t="str">
        <f aca="false">IF($A719="","",_xlfn.TEXTJOIN("; ",TRUE(),IF(CK719&lt;&gt;"pass","gated out",""),IF(AO719="Y","on hold: "&amp;AP719,""),IF(C719="","no contact named on an opened page",""),IF(AND(AU719="Y",AV719&lt;&gt;"Y"),"founder review pending (Founder review tab)","")))</f>
        <v/>
      </c>
      <c r="BC719" s="0" t="str">
        <f aca="false">IF($A719="","",IFERROR(INDEX(Enrichment!$A$2:$GZ$2000,MATCH($A719,INDEX(Enrichment!$A$2:$GZ$2000,0,MATCH("row_id",Enrichment!$A$1:$GZ$1,0)),0),MATCH("work_email",Enrichment!$A$1:$GZ$1,0))&amp;"",""))</f>
        <v/>
      </c>
      <c r="BD719" s="0" t="str">
        <f aca="false">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P719" s="0" t="str">
        <f aca="false">IF($A719="","",IFERROR(INDEX(Enrichment!$A$2:$GZ$2000,MATCH($A719,INDEX(Enrichment!$A$2:$GZ$2000,0,MATCH("row_id",Enrichment!$A$1:$GZ$1,0)),0),MATCH("backup_work_email",Enrichment!$A$1:$GZ$1,0))&amp;"",""))</f>
        <v/>
      </c>
      <c r="BQ719" s="0" t="str">
        <f aca="false">IF($A719="","",IF(BP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DU719" s="0" t="str">
        <f aca="false">IF($A719="","",IF(R719="Y",10,0))</f>
        <v/>
      </c>
      <c r="EV719" s="0" t="str">
        <f aca="false">IF($A719="","",IF(ISNUMBER(MATCH(U719,{"queued","contacted","replied","call_booked","call_done","yes_in_principle","materials_sent"},0)),"Y","N"))</f>
        <v/>
      </c>
      <c r="EW719" s="0" t="str">
        <f aca="false">IF($A719="","",IF(OR(T719="Y",U719="do_not_contact",AQ719&amp;""&lt;&gt;""),"Y","N"))</f>
        <v/>
      </c>
      <c r="EX719" s="0" t="str">
        <f aca="false">IF($A719="","",IF(AN719&amp;""&lt;&gt;"",AN719&amp;"",$A719))</f>
        <v/>
      </c>
      <c r="EY719" s="0" t="str">
        <f aca="false">IF($A719="","",IF(COUNTIFS($EX$2:$EX$1000,EX719,$EV$2:$EV$1000,"Y")+COUNTIFS($EX$2:$EX$1000,EX719,$EW$2:$EW$1000,"Y")&gt;0,"Y","N"))</f>
        <v/>
      </c>
      <c r="EZ719" s="0" t="str">
        <f aca="false">IF($A719="","",IF(AND(U719="new",T719="N",EW719="N",AR719="Y",EY719="N"),"Y","N"))</f>
        <v/>
      </c>
      <c r="FA719" s="0" t="str">
        <f aca="false">IF($A719="","",IF(EZ719&lt;&gt;"Y","N",IF(COUNTIFS($EX$2:$EX$1000,EX719,$EZ$2:$EZ$1000,"Y",$J$2:$J$1000,"&gt;"&amp;J719)+COUNTIFS($EX$2:$EX$1000,EX719,$EZ$2:$EZ$1000,"Y",$J$2:$J$1000,J719,$FG$2:$FG$1000,"&lt;"&amp;FG719)=0,"Y","N")))</f>
        <v/>
      </c>
      <c r="FB719" s="0" t="str">
        <f aca="false">IF($A719="","",IF(AND(EZ719="Y",FA719="Y",Y719&amp;""&lt;&gt;""),IF(Y719&lt;=10,"Y","N"),"N"))</f>
        <v/>
      </c>
      <c r="FC719" s="0" t="str">
        <f aca="false">IF(FB719="Y",Y719,"")</f>
        <v/>
      </c>
      <c r="FD719" s="0" t="str">
        <f aca="false">IF($A719="","",IF(AND(CK719="pass",AU719="Y",AV719&lt;&gt;"Y",U719="new",EW719="N"),"Y","N"))</f>
        <v/>
      </c>
      <c r="FE719" s="0" t="str">
        <f aca="false">IF(FD719&lt;&gt;"Y","",IF(COUNTIFS($FD$2:$FD$1000,"Y",$J$2:$J$1000,"&gt;"&amp;J719)+COUNTIFS($FD$2:$FD$1000,"Y",$J$2:$J$1000,J719,$FG$2:$FG$1000,"&lt;"&amp;FG719)+1&lt;=30,COUNTIFS($FD$2:$FD$1000,"Y",$J$2:$J$1000,"&gt;"&amp;J719)+COUNTIFS($FD$2:$FD$1000,"Y",$J$2:$J$1000,J719,$FG$2:$FG$1000,"&lt;"&amp;FG719)+1,""))</f>
        <v/>
      </c>
      <c r="FF719" s="0" t="str">
        <f aca="false">IF(AND(_xlfn.ISFORMULA(C719),_xlfn.ISFORMULA(J719)),"Y","N")</f>
        <v>Y</v>
      </c>
      <c r="FG719" s="0" t="n">
        <f aca="false">ROW()-1</f>
        <v>718</v>
      </c>
    </row>
    <row r="720" customFormat="false" ht="15" hidden="false" customHeight="false" outlineLevel="0" collapsed="false">
      <c r="C720" s="0" t="str">
        <f aca="false">IF($A720="","",IF(AT720="Y",BL720&amp;"",AY720&amp;""))</f>
        <v/>
      </c>
      <c r="D720" s="0" t="str">
        <f aca="false">IF($A720="","",IF(AT720="Y",BM720&amp;"",AZ720&amp;""))</f>
        <v/>
      </c>
      <c r="E720" s="0" t="str">
        <f aca="false">IF($A720="","",IF(AT720="Y",BN720&amp;"",BA720&amp;""))</f>
        <v/>
      </c>
      <c r="F720" s="0" t="str">
        <f aca="false">IF($A720="","",IF(AT720="Y",BO720&amp;"",BB720&amp;""))</f>
        <v/>
      </c>
      <c r="G720" s="0" t="str">
        <f aca="false">IF($A720="","",IF(AT720="Y",BP720&amp;"",BC720&amp;""))</f>
        <v/>
      </c>
      <c r="H720" s="0" t="str">
        <f aca="false">IF($A720="","",IF(AT720="Y",BQ720&amp;"",BD720&amp;""))</f>
        <v/>
      </c>
      <c r="I720" s="0" t="str">
        <f aca="false">IF($A720="","",IF(R720="Y","warm-intro",IF(H720="verified","email",IF(C720&lt;&gt;"","linkedin",CA720&amp;""))))</f>
        <v/>
      </c>
      <c r="J720" s="0" t="str">
        <f aca="false">IF($A720="","",IF(CK720="pass",ROUND(N(DO720)+N(DP720)+N(DQ720)+N(DR720)+N(DS720)+N(DT720)+N(DU720)+N(DV720),0),0))</f>
        <v/>
      </c>
      <c r="K720" s="0" t="str">
        <f aca="false">IF($A720="","",IF(CK720&lt;&gt;"pass",BY720&amp;"",BY720&amp;", "&amp;IF(AT720="Y",BX720&amp;"",BK720&amp;"")&amp;BZ720&amp;IF(R720="Y","; known to the founder (+10)","")&amp;"."))</f>
        <v/>
      </c>
      <c r="R720" s="5"/>
      <c r="T720" s="5"/>
      <c r="U720" s="5"/>
      <c r="Y720" s="0" t="str">
        <f aca="false">IF(FA720&lt;&gt;"Y","",COUNTIFS($FA$2:$FA$1000,"Y",$J$2:$J$1000,"&gt;"&amp;J720)+COUNTIFS($FA$2:$FA$1000,"Y",$J$2:$J$1000,J720,$FG$2:$FG$1000,"&lt;"&amp;FG720)+1)</f>
        <v/>
      </c>
      <c r="AB720" s="0" t="str">
        <f aca="false">IF($A720="","",IF(AT720="Y",BW720&amp;"",BJ720&amp;""))</f>
        <v/>
      </c>
      <c r="AC720" s="0" t="str">
        <f aca="false">IF($A720="","",IF(AT720="Y",BR720&amp;"",BE720&amp;""))</f>
        <v/>
      </c>
      <c r="AD720" s="0" t="str">
        <f aca="false">IF($A720="","",IF(AT720="Y",BS720&amp;"",BF720&amp;""))</f>
        <v/>
      </c>
      <c r="AE720" s="0" t="str">
        <f aca="false">IF($A720="","",IF(AT720="Y",BT720&amp;"",BG720&amp;""))</f>
        <v/>
      </c>
      <c r="AF720" s="0" t="str">
        <f aca="false">IF($A720="","",IF(AT720="Y",BU720&amp;"",BH720&amp;""))</f>
        <v/>
      </c>
      <c r="AG720" s="0" t="str">
        <f aca="false">IF($A720="","",IF(AT720="Y",BV720&amp;"",BI720&amp;""))</f>
        <v/>
      </c>
      <c r="AO720" s="5"/>
      <c r="AR720" s="0" t="str">
        <f aca="false">IF($A720="","",IF(AND(CK720="pass",AO720&lt;&gt;"Y",C720&lt;&gt;"",OR(AU720&lt;&gt;"Y",AV720="Y")),"Y","N"))</f>
        <v/>
      </c>
      <c r="AS720" s="0" t="str">
        <f aca="false">IF($A720="","",_xlfn.TEXTJOIN("; ",TRUE(),IF(CK720&lt;&gt;"pass","gated out",""),IF(AO720="Y","on hold: "&amp;AP720,""),IF(C720="","no contact named on an opened page",""),IF(AND(AU720="Y",AV720&lt;&gt;"Y"),"founder review pending (Founder review tab)","")))</f>
        <v/>
      </c>
      <c r="BC720" s="0" t="str">
        <f aca="false">IF($A720="","",IFERROR(INDEX(Enrichment!$A$2:$GZ$2000,MATCH($A720,INDEX(Enrichment!$A$2:$GZ$2000,0,MATCH("row_id",Enrichment!$A$1:$GZ$1,0)),0),MATCH("work_email",Enrichment!$A$1:$GZ$1,0))&amp;"",""))</f>
        <v/>
      </c>
      <c r="BD720" s="0" t="str">
        <f aca="false">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P720" s="0" t="str">
        <f aca="false">IF($A720="","",IFERROR(INDEX(Enrichment!$A$2:$GZ$2000,MATCH($A720,INDEX(Enrichment!$A$2:$GZ$2000,0,MATCH("row_id",Enrichment!$A$1:$GZ$1,0)),0),MATCH("backup_work_email",Enrichment!$A$1:$GZ$1,0))&amp;"",""))</f>
        <v/>
      </c>
      <c r="BQ720" s="0" t="str">
        <f aca="false">IF($A720="","",IF(BP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DU720" s="0" t="str">
        <f aca="false">IF($A720="","",IF(R720="Y",10,0))</f>
        <v/>
      </c>
      <c r="EV720" s="0" t="str">
        <f aca="false">IF($A720="","",IF(ISNUMBER(MATCH(U720,{"queued","contacted","replied","call_booked","call_done","yes_in_principle","materials_sent"},0)),"Y","N"))</f>
        <v/>
      </c>
      <c r="EW720" s="0" t="str">
        <f aca="false">IF($A720="","",IF(OR(T720="Y",U720="do_not_contact",AQ720&amp;""&lt;&gt;""),"Y","N"))</f>
        <v/>
      </c>
      <c r="EX720" s="0" t="str">
        <f aca="false">IF($A720="","",IF(AN720&amp;""&lt;&gt;"",AN720&amp;"",$A720))</f>
        <v/>
      </c>
      <c r="EY720" s="0" t="str">
        <f aca="false">IF($A720="","",IF(COUNTIFS($EX$2:$EX$1000,EX720,$EV$2:$EV$1000,"Y")+COUNTIFS($EX$2:$EX$1000,EX720,$EW$2:$EW$1000,"Y")&gt;0,"Y","N"))</f>
        <v/>
      </c>
      <c r="EZ720" s="0" t="str">
        <f aca="false">IF($A720="","",IF(AND(U720="new",T720="N",EW720="N",AR720="Y",EY720="N"),"Y","N"))</f>
        <v/>
      </c>
      <c r="FA720" s="0" t="str">
        <f aca="false">IF($A720="","",IF(EZ720&lt;&gt;"Y","N",IF(COUNTIFS($EX$2:$EX$1000,EX720,$EZ$2:$EZ$1000,"Y",$J$2:$J$1000,"&gt;"&amp;J720)+COUNTIFS($EX$2:$EX$1000,EX720,$EZ$2:$EZ$1000,"Y",$J$2:$J$1000,J720,$FG$2:$FG$1000,"&lt;"&amp;FG720)=0,"Y","N")))</f>
        <v/>
      </c>
      <c r="FB720" s="0" t="str">
        <f aca="false">IF($A720="","",IF(AND(EZ720="Y",FA720="Y",Y720&amp;""&lt;&gt;""),IF(Y720&lt;=10,"Y","N"),"N"))</f>
        <v/>
      </c>
      <c r="FC720" s="0" t="str">
        <f aca="false">IF(FB720="Y",Y720,"")</f>
        <v/>
      </c>
      <c r="FD720" s="0" t="str">
        <f aca="false">IF($A720="","",IF(AND(CK720="pass",AU720="Y",AV720&lt;&gt;"Y",U720="new",EW720="N"),"Y","N"))</f>
        <v/>
      </c>
      <c r="FE720" s="0" t="str">
        <f aca="false">IF(FD720&lt;&gt;"Y","",IF(COUNTIFS($FD$2:$FD$1000,"Y",$J$2:$J$1000,"&gt;"&amp;J720)+COUNTIFS($FD$2:$FD$1000,"Y",$J$2:$J$1000,J720,$FG$2:$FG$1000,"&lt;"&amp;FG720)+1&lt;=30,COUNTIFS($FD$2:$FD$1000,"Y",$J$2:$J$1000,"&gt;"&amp;J720)+COUNTIFS($FD$2:$FD$1000,"Y",$J$2:$J$1000,J720,$FG$2:$FG$1000,"&lt;"&amp;FG720)+1,""))</f>
        <v/>
      </c>
      <c r="FF720" s="0" t="str">
        <f aca="false">IF(AND(_xlfn.ISFORMULA(C720),_xlfn.ISFORMULA(J720)),"Y","N")</f>
        <v>Y</v>
      </c>
      <c r="FG720" s="0" t="n">
        <f aca="false">ROW()-1</f>
        <v>719</v>
      </c>
    </row>
    <row r="721" customFormat="false" ht="15" hidden="false" customHeight="false" outlineLevel="0" collapsed="false">
      <c r="C721" s="0" t="str">
        <f aca="false">IF($A721="","",IF(AT721="Y",BL721&amp;"",AY721&amp;""))</f>
        <v/>
      </c>
      <c r="D721" s="0" t="str">
        <f aca="false">IF($A721="","",IF(AT721="Y",BM721&amp;"",AZ721&amp;""))</f>
        <v/>
      </c>
      <c r="E721" s="0" t="str">
        <f aca="false">IF($A721="","",IF(AT721="Y",BN721&amp;"",BA721&amp;""))</f>
        <v/>
      </c>
      <c r="F721" s="0" t="str">
        <f aca="false">IF($A721="","",IF(AT721="Y",BO721&amp;"",BB721&amp;""))</f>
        <v/>
      </c>
      <c r="G721" s="0" t="str">
        <f aca="false">IF($A721="","",IF(AT721="Y",BP721&amp;"",BC721&amp;""))</f>
        <v/>
      </c>
      <c r="H721" s="0" t="str">
        <f aca="false">IF($A721="","",IF(AT721="Y",BQ721&amp;"",BD721&amp;""))</f>
        <v/>
      </c>
      <c r="I721" s="0" t="str">
        <f aca="false">IF($A721="","",IF(R721="Y","warm-intro",IF(H721="verified","email",IF(C721&lt;&gt;"","linkedin",CA721&amp;""))))</f>
        <v/>
      </c>
      <c r="J721" s="0" t="str">
        <f aca="false">IF($A721="","",IF(CK721="pass",ROUND(N(DO721)+N(DP721)+N(DQ721)+N(DR721)+N(DS721)+N(DT721)+N(DU721)+N(DV721),0),0))</f>
        <v/>
      </c>
      <c r="K721" s="0" t="str">
        <f aca="false">IF($A721="","",IF(CK721&lt;&gt;"pass",BY721&amp;"",BY721&amp;", "&amp;IF(AT721="Y",BX721&amp;"",BK721&amp;"")&amp;BZ721&amp;IF(R721="Y","; known to the founder (+10)","")&amp;"."))</f>
        <v/>
      </c>
      <c r="R721" s="5"/>
      <c r="T721" s="5"/>
      <c r="U721" s="5"/>
      <c r="Y721" s="0" t="str">
        <f aca="false">IF(FA721&lt;&gt;"Y","",COUNTIFS($FA$2:$FA$1000,"Y",$J$2:$J$1000,"&gt;"&amp;J721)+COUNTIFS($FA$2:$FA$1000,"Y",$J$2:$J$1000,J721,$FG$2:$FG$1000,"&lt;"&amp;FG721)+1)</f>
        <v/>
      </c>
      <c r="AB721" s="0" t="str">
        <f aca="false">IF($A721="","",IF(AT721="Y",BW721&amp;"",BJ721&amp;""))</f>
        <v/>
      </c>
      <c r="AC721" s="0" t="str">
        <f aca="false">IF($A721="","",IF(AT721="Y",BR721&amp;"",BE721&amp;""))</f>
        <v/>
      </c>
      <c r="AD721" s="0" t="str">
        <f aca="false">IF($A721="","",IF(AT721="Y",BS721&amp;"",BF721&amp;""))</f>
        <v/>
      </c>
      <c r="AE721" s="0" t="str">
        <f aca="false">IF($A721="","",IF(AT721="Y",BT721&amp;"",BG721&amp;""))</f>
        <v/>
      </c>
      <c r="AF721" s="0" t="str">
        <f aca="false">IF($A721="","",IF(AT721="Y",BU721&amp;"",BH721&amp;""))</f>
        <v/>
      </c>
      <c r="AG721" s="0" t="str">
        <f aca="false">IF($A721="","",IF(AT721="Y",BV721&amp;"",BI721&amp;""))</f>
        <v/>
      </c>
      <c r="AO721" s="5"/>
      <c r="AR721" s="0" t="str">
        <f aca="false">IF($A721="","",IF(AND(CK721="pass",AO721&lt;&gt;"Y",C721&lt;&gt;"",OR(AU721&lt;&gt;"Y",AV721="Y")),"Y","N"))</f>
        <v/>
      </c>
      <c r="AS721" s="0" t="str">
        <f aca="false">IF($A721="","",_xlfn.TEXTJOIN("; ",TRUE(),IF(CK721&lt;&gt;"pass","gated out",""),IF(AO721="Y","on hold: "&amp;AP721,""),IF(C721="","no contact named on an opened page",""),IF(AND(AU721="Y",AV721&lt;&gt;"Y"),"founder review pending (Founder review tab)","")))</f>
        <v/>
      </c>
      <c r="BC721" s="0" t="str">
        <f aca="false">IF($A721="","",IFERROR(INDEX(Enrichment!$A$2:$GZ$2000,MATCH($A721,INDEX(Enrichment!$A$2:$GZ$2000,0,MATCH("row_id",Enrichment!$A$1:$GZ$1,0)),0),MATCH("work_email",Enrichment!$A$1:$GZ$1,0))&amp;"",""))</f>
        <v/>
      </c>
      <c r="BD721" s="0" t="str">
        <f aca="false">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P721" s="0" t="str">
        <f aca="false">IF($A721="","",IFERROR(INDEX(Enrichment!$A$2:$GZ$2000,MATCH($A721,INDEX(Enrichment!$A$2:$GZ$2000,0,MATCH("row_id",Enrichment!$A$1:$GZ$1,0)),0),MATCH("backup_work_email",Enrichment!$A$1:$GZ$1,0))&amp;"",""))</f>
        <v/>
      </c>
      <c r="BQ721" s="0" t="str">
        <f aca="false">IF($A721="","",IF(BP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DU721" s="0" t="str">
        <f aca="false">IF($A721="","",IF(R721="Y",10,0))</f>
        <v/>
      </c>
      <c r="EV721" s="0" t="str">
        <f aca="false">IF($A721="","",IF(ISNUMBER(MATCH(U721,{"queued","contacted","replied","call_booked","call_done","yes_in_principle","materials_sent"},0)),"Y","N"))</f>
        <v/>
      </c>
      <c r="EW721" s="0" t="str">
        <f aca="false">IF($A721="","",IF(OR(T721="Y",U721="do_not_contact",AQ721&amp;""&lt;&gt;""),"Y","N"))</f>
        <v/>
      </c>
      <c r="EX721" s="0" t="str">
        <f aca="false">IF($A721="","",IF(AN721&amp;""&lt;&gt;"",AN721&amp;"",$A721))</f>
        <v/>
      </c>
      <c r="EY721" s="0" t="str">
        <f aca="false">IF($A721="","",IF(COUNTIFS($EX$2:$EX$1000,EX721,$EV$2:$EV$1000,"Y")+COUNTIFS($EX$2:$EX$1000,EX721,$EW$2:$EW$1000,"Y")&gt;0,"Y","N"))</f>
        <v/>
      </c>
      <c r="EZ721" s="0" t="str">
        <f aca="false">IF($A721="","",IF(AND(U721="new",T721="N",EW721="N",AR721="Y",EY721="N"),"Y","N"))</f>
        <v/>
      </c>
      <c r="FA721" s="0" t="str">
        <f aca="false">IF($A721="","",IF(EZ721&lt;&gt;"Y","N",IF(COUNTIFS($EX$2:$EX$1000,EX721,$EZ$2:$EZ$1000,"Y",$J$2:$J$1000,"&gt;"&amp;J721)+COUNTIFS($EX$2:$EX$1000,EX721,$EZ$2:$EZ$1000,"Y",$J$2:$J$1000,J721,$FG$2:$FG$1000,"&lt;"&amp;FG721)=0,"Y","N")))</f>
        <v/>
      </c>
      <c r="FB721" s="0" t="str">
        <f aca="false">IF($A721="","",IF(AND(EZ721="Y",FA721="Y",Y721&amp;""&lt;&gt;""),IF(Y721&lt;=10,"Y","N"),"N"))</f>
        <v/>
      </c>
      <c r="FC721" s="0" t="str">
        <f aca="false">IF(FB721="Y",Y721,"")</f>
        <v/>
      </c>
      <c r="FD721" s="0" t="str">
        <f aca="false">IF($A721="","",IF(AND(CK721="pass",AU721="Y",AV721&lt;&gt;"Y",U721="new",EW721="N"),"Y","N"))</f>
        <v/>
      </c>
      <c r="FE721" s="0" t="str">
        <f aca="false">IF(FD721&lt;&gt;"Y","",IF(COUNTIFS($FD$2:$FD$1000,"Y",$J$2:$J$1000,"&gt;"&amp;J721)+COUNTIFS($FD$2:$FD$1000,"Y",$J$2:$J$1000,J721,$FG$2:$FG$1000,"&lt;"&amp;FG721)+1&lt;=30,COUNTIFS($FD$2:$FD$1000,"Y",$J$2:$J$1000,"&gt;"&amp;J721)+COUNTIFS($FD$2:$FD$1000,"Y",$J$2:$J$1000,J721,$FG$2:$FG$1000,"&lt;"&amp;FG721)+1,""))</f>
        <v/>
      </c>
      <c r="FF721" s="0" t="str">
        <f aca="false">IF(AND(_xlfn.ISFORMULA(C721),_xlfn.ISFORMULA(J721)),"Y","N")</f>
        <v>Y</v>
      </c>
      <c r="FG721" s="0" t="n">
        <f aca="false">ROW()-1</f>
        <v>720</v>
      </c>
    </row>
    <row r="722" customFormat="false" ht="15" hidden="false" customHeight="false" outlineLevel="0" collapsed="false">
      <c r="C722" s="0" t="str">
        <f aca="false">IF($A722="","",IF(AT722="Y",BL722&amp;"",AY722&amp;""))</f>
        <v/>
      </c>
      <c r="D722" s="0" t="str">
        <f aca="false">IF($A722="","",IF(AT722="Y",BM722&amp;"",AZ722&amp;""))</f>
        <v/>
      </c>
      <c r="E722" s="0" t="str">
        <f aca="false">IF($A722="","",IF(AT722="Y",BN722&amp;"",BA722&amp;""))</f>
        <v/>
      </c>
      <c r="F722" s="0" t="str">
        <f aca="false">IF($A722="","",IF(AT722="Y",BO722&amp;"",BB722&amp;""))</f>
        <v/>
      </c>
      <c r="G722" s="0" t="str">
        <f aca="false">IF($A722="","",IF(AT722="Y",BP722&amp;"",BC722&amp;""))</f>
        <v/>
      </c>
      <c r="H722" s="0" t="str">
        <f aca="false">IF($A722="","",IF(AT722="Y",BQ722&amp;"",BD722&amp;""))</f>
        <v/>
      </c>
      <c r="I722" s="0" t="str">
        <f aca="false">IF($A722="","",IF(R722="Y","warm-intro",IF(H722="verified","email",IF(C722&lt;&gt;"","linkedin",CA722&amp;""))))</f>
        <v/>
      </c>
      <c r="J722" s="0" t="str">
        <f aca="false">IF($A722="","",IF(CK722="pass",ROUND(N(DO722)+N(DP722)+N(DQ722)+N(DR722)+N(DS722)+N(DT722)+N(DU722)+N(DV722),0),0))</f>
        <v/>
      </c>
      <c r="K722" s="0" t="str">
        <f aca="false">IF($A722="","",IF(CK722&lt;&gt;"pass",BY722&amp;"",BY722&amp;", "&amp;IF(AT722="Y",BX722&amp;"",BK722&amp;"")&amp;BZ722&amp;IF(R722="Y","; known to the founder (+10)","")&amp;"."))</f>
        <v/>
      </c>
      <c r="R722" s="5"/>
      <c r="T722" s="5"/>
      <c r="U722" s="5"/>
      <c r="Y722" s="0" t="str">
        <f aca="false">IF(FA722&lt;&gt;"Y","",COUNTIFS($FA$2:$FA$1000,"Y",$J$2:$J$1000,"&gt;"&amp;J722)+COUNTIFS($FA$2:$FA$1000,"Y",$J$2:$J$1000,J722,$FG$2:$FG$1000,"&lt;"&amp;FG722)+1)</f>
        <v/>
      </c>
      <c r="AB722" s="0" t="str">
        <f aca="false">IF($A722="","",IF(AT722="Y",BW722&amp;"",BJ722&amp;""))</f>
        <v/>
      </c>
      <c r="AC722" s="0" t="str">
        <f aca="false">IF($A722="","",IF(AT722="Y",BR722&amp;"",BE722&amp;""))</f>
        <v/>
      </c>
      <c r="AD722" s="0" t="str">
        <f aca="false">IF($A722="","",IF(AT722="Y",BS722&amp;"",BF722&amp;""))</f>
        <v/>
      </c>
      <c r="AE722" s="0" t="str">
        <f aca="false">IF($A722="","",IF(AT722="Y",BT722&amp;"",BG722&amp;""))</f>
        <v/>
      </c>
      <c r="AF722" s="0" t="str">
        <f aca="false">IF($A722="","",IF(AT722="Y",BU722&amp;"",BH722&amp;""))</f>
        <v/>
      </c>
      <c r="AG722" s="0" t="str">
        <f aca="false">IF($A722="","",IF(AT722="Y",BV722&amp;"",BI722&amp;""))</f>
        <v/>
      </c>
      <c r="AO722" s="5"/>
      <c r="AR722" s="0" t="str">
        <f aca="false">IF($A722="","",IF(AND(CK722="pass",AO722&lt;&gt;"Y",C722&lt;&gt;"",OR(AU722&lt;&gt;"Y",AV722="Y")),"Y","N"))</f>
        <v/>
      </c>
      <c r="AS722" s="0" t="str">
        <f aca="false">IF($A722="","",_xlfn.TEXTJOIN("; ",TRUE(),IF(CK722&lt;&gt;"pass","gated out",""),IF(AO722="Y","on hold: "&amp;AP722,""),IF(C722="","no contact named on an opened page",""),IF(AND(AU722="Y",AV722&lt;&gt;"Y"),"founder review pending (Founder review tab)","")))</f>
        <v/>
      </c>
      <c r="BC722" s="0" t="str">
        <f aca="false">IF($A722="","",IFERROR(INDEX(Enrichment!$A$2:$GZ$2000,MATCH($A722,INDEX(Enrichment!$A$2:$GZ$2000,0,MATCH("row_id",Enrichment!$A$1:$GZ$1,0)),0),MATCH("work_email",Enrichment!$A$1:$GZ$1,0))&amp;"",""))</f>
        <v/>
      </c>
      <c r="BD722" s="0" t="str">
        <f aca="false">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P722" s="0" t="str">
        <f aca="false">IF($A722="","",IFERROR(INDEX(Enrichment!$A$2:$GZ$2000,MATCH($A722,INDEX(Enrichment!$A$2:$GZ$2000,0,MATCH("row_id",Enrichment!$A$1:$GZ$1,0)),0),MATCH("backup_work_email",Enrichment!$A$1:$GZ$1,0))&amp;"",""))</f>
        <v/>
      </c>
      <c r="BQ722" s="0" t="str">
        <f aca="false">IF($A722="","",IF(BP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DU722" s="0" t="str">
        <f aca="false">IF($A722="","",IF(R722="Y",10,0))</f>
        <v/>
      </c>
      <c r="EV722" s="0" t="str">
        <f aca="false">IF($A722="","",IF(ISNUMBER(MATCH(U722,{"queued","contacted","replied","call_booked","call_done","yes_in_principle","materials_sent"},0)),"Y","N"))</f>
        <v/>
      </c>
      <c r="EW722" s="0" t="str">
        <f aca="false">IF($A722="","",IF(OR(T722="Y",U722="do_not_contact",AQ722&amp;""&lt;&gt;""),"Y","N"))</f>
        <v/>
      </c>
      <c r="EX722" s="0" t="str">
        <f aca="false">IF($A722="","",IF(AN722&amp;""&lt;&gt;"",AN722&amp;"",$A722))</f>
        <v/>
      </c>
      <c r="EY722" s="0" t="str">
        <f aca="false">IF($A722="","",IF(COUNTIFS($EX$2:$EX$1000,EX722,$EV$2:$EV$1000,"Y")+COUNTIFS($EX$2:$EX$1000,EX722,$EW$2:$EW$1000,"Y")&gt;0,"Y","N"))</f>
        <v/>
      </c>
      <c r="EZ722" s="0" t="str">
        <f aca="false">IF($A722="","",IF(AND(U722="new",T722="N",EW722="N",AR722="Y",EY722="N"),"Y","N"))</f>
        <v/>
      </c>
      <c r="FA722" s="0" t="str">
        <f aca="false">IF($A722="","",IF(EZ722&lt;&gt;"Y","N",IF(COUNTIFS($EX$2:$EX$1000,EX722,$EZ$2:$EZ$1000,"Y",$J$2:$J$1000,"&gt;"&amp;J722)+COUNTIFS($EX$2:$EX$1000,EX722,$EZ$2:$EZ$1000,"Y",$J$2:$J$1000,J722,$FG$2:$FG$1000,"&lt;"&amp;FG722)=0,"Y","N")))</f>
        <v/>
      </c>
      <c r="FB722" s="0" t="str">
        <f aca="false">IF($A722="","",IF(AND(EZ722="Y",FA722="Y",Y722&amp;""&lt;&gt;""),IF(Y722&lt;=10,"Y","N"),"N"))</f>
        <v/>
      </c>
      <c r="FC722" s="0" t="str">
        <f aca="false">IF(FB722="Y",Y722,"")</f>
        <v/>
      </c>
      <c r="FD722" s="0" t="str">
        <f aca="false">IF($A722="","",IF(AND(CK722="pass",AU722="Y",AV722&lt;&gt;"Y",U722="new",EW722="N"),"Y","N"))</f>
        <v/>
      </c>
      <c r="FE722" s="0" t="str">
        <f aca="false">IF(FD722&lt;&gt;"Y","",IF(COUNTIFS($FD$2:$FD$1000,"Y",$J$2:$J$1000,"&gt;"&amp;J722)+COUNTIFS($FD$2:$FD$1000,"Y",$J$2:$J$1000,J722,$FG$2:$FG$1000,"&lt;"&amp;FG722)+1&lt;=30,COUNTIFS($FD$2:$FD$1000,"Y",$J$2:$J$1000,"&gt;"&amp;J722)+COUNTIFS($FD$2:$FD$1000,"Y",$J$2:$J$1000,J722,$FG$2:$FG$1000,"&lt;"&amp;FG722)+1,""))</f>
        <v/>
      </c>
      <c r="FF722" s="0" t="str">
        <f aca="false">IF(AND(_xlfn.ISFORMULA(C722),_xlfn.ISFORMULA(J722)),"Y","N")</f>
        <v>Y</v>
      </c>
      <c r="FG722" s="0" t="n">
        <f aca="false">ROW()-1</f>
        <v>721</v>
      </c>
    </row>
    <row r="723" customFormat="false" ht="15" hidden="false" customHeight="false" outlineLevel="0" collapsed="false">
      <c r="C723" s="0" t="str">
        <f aca="false">IF($A723="","",IF(AT723="Y",BL723&amp;"",AY723&amp;""))</f>
        <v/>
      </c>
      <c r="D723" s="0" t="str">
        <f aca="false">IF($A723="","",IF(AT723="Y",BM723&amp;"",AZ723&amp;""))</f>
        <v/>
      </c>
      <c r="E723" s="0" t="str">
        <f aca="false">IF($A723="","",IF(AT723="Y",BN723&amp;"",BA723&amp;""))</f>
        <v/>
      </c>
      <c r="F723" s="0" t="str">
        <f aca="false">IF($A723="","",IF(AT723="Y",BO723&amp;"",BB723&amp;""))</f>
        <v/>
      </c>
      <c r="G723" s="0" t="str">
        <f aca="false">IF($A723="","",IF(AT723="Y",BP723&amp;"",BC723&amp;""))</f>
        <v/>
      </c>
      <c r="H723" s="0" t="str">
        <f aca="false">IF($A723="","",IF(AT723="Y",BQ723&amp;"",BD723&amp;""))</f>
        <v/>
      </c>
      <c r="I723" s="0" t="str">
        <f aca="false">IF($A723="","",IF(R723="Y","warm-intro",IF(H723="verified","email",IF(C723&lt;&gt;"","linkedin",CA723&amp;""))))</f>
        <v/>
      </c>
      <c r="J723" s="0" t="str">
        <f aca="false">IF($A723="","",IF(CK723="pass",ROUND(N(DO723)+N(DP723)+N(DQ723)+N(DR723)+N(DS723)+N(DT723)+N(DU723)+N(DV723),0),0))</f>
        <v/>
      </c>
      <c r="K723" s="0" t="str">
        <f aca="false">IF($A723="","",IF(CK723&lt;&gt;"pass",BY723&amp;"",BY723&amp;", "&amp;IF(AT723="Y",BX723&amp;"",BK723&amp;"")&amp;BZ723&amp;IF(R723="Y","; known to the founder (+10)","")&amp;"."))</f>
        <v/>
      </c>
      <c r="R723" s="5"/>
      <c r="T723" s="5"/>
      <c r="U723" s="5"/>
      <c r="Y723" s="0" t="str">
        <f aca="false">IF(FA723&lt;&gt;"Y","",COUNTIFS($FA$2:$FA$1000,"Y",$J$2:$J$1000,"&gt;"&amp;J723)+COUNTIFS($FA$2:$FA$1000,"Y",$J$2:$J$1000,J723,$FG$2:$FG$1000,"&lt;"&amp;FG723)+1)</f>
        <v/>
      </c>
      <c r="AB723" s="0" t="str">
        <f aca="false">IF($A723="","",IF(AT723="Y",BW723&amp;"",BJ723&amp;""))</f>
        <v/>
      </c>
      <c r="AC723" s="0" t="str">
        <f aca="false">IF($A723="","",IF(AT723="Y",BR723&amp;"",BE723&amp;""))</f>
        <v/>
      </c>
      <c r="AD723" s="0" t="str">
        <f aca="false">IF($A723="","",IF(AT723="Y",BS723&amp;"",BF723&amp;""))</f>
        <v/>
      </c>
      <c r="AE723" s="0" t="str">
        <f aca="false">IF($A723="","",IF(AT723="Y",BT723&amp;"",BG723&amp;""))</f>
        <v/>
      </c>
      <c r="AF723" s="0" t="str">
        <f aca="false">IF($A723="","",IF(AT723="Y",BU723&amp;"",BH723&amp;""))</f>
        <v/>
      </c>
      <c r="AG723" s="0" t="str">
        <f aca="false">IF($A723="","",IF(AT723="Y",BV723&amp;"",BI723&amp;""))</f>
        <v/>
      </c>
      <c r="AO723" s="5"/>
      <c r="AR723" s="0" t="str">
        <f aca="false">IF($A723="","",IF(AND(CK723="pass",AO723&lt;&gt;"Y",C723&lt;&gt;"",OR(AU723&lt;&gt;"Y",AV723="Y")),"Y","N"))</f>
        <v/>
      </c>
      <c r="AS723" s="0" t="str">
        <f aca="false">IF($A723="","",_xlfn.TEXTJOIN("; ",TRUE(),IF(CK723&lt;&gt;"pass","gated out",""),IF(AO723="Y","on hold: "&amp;AP723,""),IF(C723="","no contact named on an opened page",""),IF(AND(AU723="Y",AV723&lt;&gt;"Y"),"founder review pending (Founder review tab)","")))</f>
        <v/>
      </c>
      <c r="BC723" s="0" t="str">
        <f aca="false">IF($A723="","",IFERROR(INDEX(Enrichment!$A$2:$GZ$2000,MATCH($A723,INDEX(Enrichment!$A$2:$GZ$2000,0,MATCH("row_id",Enrichment!$A$1:$GZ$1,0)),0),MATCH("work_email",Enrichment!$A$1:$GZ$1,0))&amp;"",""))</f>
        <v/>
      </c>
      <c r="BD723" s="0" t="str">
        <f aca="false">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P723" s="0" t="str">
        <f aca="false">IF($A723="","",IFERROR(INDEX(Enrichment!$A$2:$GZ$2000,MATCH($A723,INDEX(Enrichment!$A$2:$GZ$2000,0,MATCH("row_id",Enrichment!$A$1:$GZ$1,0)),0),MATCH("backup_work_email",Enrichment!$A$1:$GZ$1,0))&amp;"",""))</f>
        <v/>
      </c>
      <c r="BQ723" s="0" t="str">
        <f aca="false">IF($A723="","",IF(BP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DU723" s="0" t="str">
        <f aca="false">IF($A723="","",IF(R723="Y",10,0))</f>
        <v/>
      </c>
      <c r="EV723" s="0" t="str">
        <f aca="false">IF($A723="","",IF(ISNUMBER(MATCH(U723,{"queued","contacted","replied","call_booked","call_done","yes_in_principle","materials_sent"},0)),"Y","N"))</f>
        <v/>
      </c>
      <c r="EW723" s="0" t="str">
        <f aca="false">IF($A723="","",IF(OR(T723="Y",U723="do_not_contact",AQ723&amp;""&lt;&gt;""),"Y","N"))</f>
        <v/>
      </c>
      <c r="EX723" s="0" t="str">
        <f aca="false">IF($A723="","",IF(AN723&amp;""&lt;&gt;"",AN723&amp;"",$A723))</f>
        <v/>
      </c>
      <c r="EY723" s="0" t="str">
        <f aca="false">IF($A723="","",IF(COUNTIFS($EX$2:$EX$1000,EX723,$EV$2:$EV$1000,"Y")+COUNTIFS($EX$2:$EX$1000,EX723,$EW$2:$EW$1000,"Y")&gt;0,"Y","N"))</f>
        <v/>
      </c>
      <c r="EZ723" s="0" t="str">
        <f aca="false">IF($A723="","",IF(AND(U723="new",T723="N",EW723="N",AR723="Y",EY723="N"),"Y","N"))</f>
        <v/>
      </c>
      <c r="FA723" s="0" t="str">
        <f aca="false">IF($A723="","",IF(EZ723&lt;&gt;"Y","N",IF(COUNTIFS($EX$2:$EX$1000,EX723,$EZ$2:$EZ$1000,"Y",$J$2:$J$1000,"&gt;"&amp;J723)+COUNTIFS($EX$2:$EX$1000,EX723,$EZ$2:$EZ$1000,"Y",$J$2:$J$1000,J723,$FG$2:$FG$1000,"&lt;"&amp;FG723)=0,"Y","N")))</f>
        <v/>
      </c>
      <c r="FB723" s="0" t="str">
        <f aca="false">IF($A723="","",IF(AND(EZ723="Y",FA723="Y",Y723&amp;""&lt;&gt;""),IF(Y723&lt;=10,"Y","N"),"N"))</f>
        <v/>
      </c>
      <c r="FC723" s="0" t="str">
        <f aca="false">IF(FB723="Y",Y723,"")</f>
        <v/>
      </c>
      <c r="FD723" s="0" t="str">
        <f aca="false">IF($A723="","",IF(AND(CK723="pass",AU723="Y",AV723&lt;&gt;"Y",U723="new",EW723="N"),"Y","N"))</f>
        <v/>
      </c>
      <c r="FE723" s="0" t="str">
        <f aca="false">IF(FD723&lt;&gt;"Y","",IF(COUNTIFS($FD$2:$FD$1000,"Y",$J$2:$J$1000,"&gt;"&amp;J723)+COUNTIFS($FD$2:$FD$1000,"Y",$J$2:$J$1000,J723,$FG$2:$FG$1000,"&lt;"&amp;FG723)+1&lt;=30,COUNTIFS($FD$2:$FD$1000,"Y",$J$2:$J$1000,"&gt;"&amp;J723)+COUNTIFS($FD$2:$FD$1000,"Y",$J$2:$J$1000,J723,$FG$2:$FG$1000,"&lt;"&amp;FG723)+1,""))</f>
        <v/>
      </c>
      <c r="FF723" s="0" t="str">
        <f aca="false">IF(AND(_xlfn.ISFORMULA(C723),_xlfn.ISFORMULA(J723)),"Y","N")</f>
        <v>Y</v>
      </c>
      <c r="FG723" s="0" t="n">
        <f aca="false">ROW()-1</f>
        <v>722</v>
      </c>
    </row>
    <row r="724" customFormat="false" ht="15" hidden="false" customHeight="false" outlineLevel="0" collapsed="false">
      <c r="C724" s="0" t="str">
        <f aca="false">IF($A724="","",IF(AT724="Y",BL724&amp;"",AY724&amp;""))</f>
        <v/>
      </c>
      <c r="D724" s="0" t="str">
        <f aca="false">IF($A724="","",IF(AT724="Y",BM724&amp;"",AZ724&amp;""))</f>
        <v/>
      </c>
      <c r="E724" s="0" t="str">
        <f aca="false">IF($A724="","",IF(AT724="Y",BN724&amp;"",BA724&amp;""))</f>
        <v/>
      </c>
      <c r="F724" s="0" t="str">
        <f aca="false">IF($A724="","",IF(AT724="Y",BO724&amp;"",BB724&amp;""))</f>
        <v/>
      </c>
      <c r="G724" s="0" t="str">
        <f aca="false">IF($A724="","",IF(AT724="Y",BP724&amp;"",BC724&amp;""))</f>
        <v/>
      </c>
      <c r="H724" s="0" t="str">
        <f aca="false">IF($A724="","",IF(AT724="Y",BQ724&amp;"",BD724&amp;""))</f>
        <v/>
      </c>
      <c r="I724" s="0" t="str">
        <f aca="false">IF($A724="","",IF(R724="Y","warm-intro",IF(H724="verified","email",IF(C724&lt;&gt;"","linkedin",CA724&amp;""))))</f>
        <v/>
      </c>
      <c r="J724" s="0" t="str">
        <f aca="false">IF($A724="","",IF(CK724="pass",ROUND(N(DO724)+N(DP724)+N(DQ724)+N(DR724)+N(DS724)+N(DT724)+N(DU724)+N(DV724),0),0))</f>
        <v/>
      </c>
      <c r="K724" s="0" t="str">
        <f aca="false">IF($A724="","",IF(CK724&lt;&gt;"pass",BY724&amp;"",BY724&amp;", "&amp;IF(AT724="Y",BX724&amp;"",BK724&amp;"")&amp;BZ724&amp;IF(R724="Y","; known to the founder (+10)","")&amp;"."))</f>
        <v/>
      </c>
      <c r="R724" s="5"/>
      <c r="T724" s="5"/>
      <c r="U724" s="5"/>
      <c r="Y724" s="0" t="str">
        <f aca="false">IF(FA724&lt;&gt;"Y","",COUNTIFS($FA$2:$FA$1000,"Y",$J$2:$J$1000,"&gt;"&amp;J724)+COUNTIFS($FA$2:$FA$1000,"Y",$J$2:$J$1000,J724,$FG$2:$FG$1000,"&lt;"&amp;FG724)+1)</f>
        <v/>
      </c>
      <c r="AB724" s="0" t="str">
        <f aca="false">IF($A724="","",IF(AT724="Y",BW724&amp;"",BJ724&amp;""))</f>
        <v/>
      </c>
      <c r="AC724" s="0" t="str">
        <f aca="false">IF($A724="","",IF(AT724="Y",BR724&amp;"",BE724&amp;""))</f>
        <v/>
      </c>
      <c r="AD724" s="0" t="str">
        <f aca="false">IF($A724="","",IF(AT724="Y",BS724&amp;"",BF724&amp;""))</f>
        <v/>
      </c>
      <c r="AE724" s="0" t="str">
        <f aca="false">IF($A724="","",IF(AT724="Y",BT724&amp;"",BG724&amp;""))</f>
        <v/>
      </c>
      <c r="AF724" s="0" t="str">
        <f aca="false">IF($A724="","",IF(AT724="Y",BU724&amp;"",BH724&amp;""))</f>
        <v/>
      </c>
      <c r="AG724" s="0" t="str">
        <f aca="false">IF($A724="","",IF(AT724="Y",BV724&amp;"",BI724&amp;""))</f>
        <v/>
      </c>
      <c r="AO724" s="5"/>
      <c r="AR724" s="0" t="str">
        <f aca="false">IF($A724="","",IF(AND(CK724="pass",AO724&lt;&gt;"Y",C724&lt;&gt;"",OR(AU724&lt;&gt;"Y",AV724="Y")),"Y","N"))</f>
        <v/>
      </c>
      <c r="AS724" s="0" t="str">
        <f aca="false">IF($A724="","",_xlfn.TEXTJOIN("; ",TRUE(),IF(CK724&lt;&gt;"pass","gated out",""),IF(AO724="Y","on hold: "&amp;AP724,""),IF(C724="","no contact named on an opened page",""),IF(AND(AU724="Y",AV724&lt;&gt;"Y"),"founder review pending (Founder review tab)","")))</f>
        <v/>
      </c>
      <c r="BC724" s="0" t="str">
        <f aca="false">IF($A724="","",IFERROR(INDEX(Enrichment!$A$2:$GZ$2000,MATCH($A724,INDEX(Enrichment!$A$2:$GZ$2000,0,MATCH("row_id",Enrichment!$A$1:$GZ$1,0)),0),MATCH("work_email",Enrichment!$A$1:$GZ$1,0))&amp;"",""))</f>
        <v/>
      </c>
      <c r="BD724" s="0" t="str">
        <f aca="false">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P724" s="0" t="str">
        <f aca="false">IF($A724="","",IFERROR(INDEX(Enrichment!$A$2:$GZ$2000,MATCH($A724,INDEX(Enrichment!$A$2:$GZ$2000,0,MATCH("row_id",Enrichment!$A$1:$GZ$1,0)),0),MATCH("backup_work_email",Enrichment!$A$1:$GZ$1,0))&amp;"",""))</f>
        <v/>
      </c>
      <c r="BQ724" s="0" t="str">
        <f aca="false">IF($A724="","",IF(BP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DU724" s="0" t="str">
        <f aca="false">IF($A724="","",IF(R724="Y",10,0))</f>
        <v/>
      </c>
      <c r="EV724" s="0" t="str">
        <f aca="false">IF($A724="","",IF(ISNUMBER(MATCH(U724,{"queued","contacted","replied","call_booked","call_done","yes_in_principle","materials_sent"},0)),"Y","N"))</f>
        <v/>
      </c>
      <c r="EW724" s="0" t="str">
        <f aca="false">IF($A724="","",IF(OR(T724="Y",U724="do_not_contact",AQ724&amp;""&lt;&gt;""),"Y","N"))</f>
        <v/>
      </c>
      <c r="EX724" s="0" t="str">
        <f aca="false">IF($A724="","",IF(AN724&amp;""&lt;&gt;"",AN724&amp;"",$A724))</f>
        <v/>
      </c>
      <c r="EY724" s="0" t="str">
        <f aca="false">IF($A724="","",IF(COUNTIFS($EX$2:$EX$1000,EX724,$EV$2:$EV$1000,"Y")+COUNTIFS($EX$2:$EX$1000,EX724,$EW$2:$EW$1000,"Y")&gt;0,"Y","N"))</f>
        <v/>
      </c>
      <c r="EZ724" s="0" t="str">
        <f aca="false">IF($A724="","",IF(AND(U724="new",T724="N",EW724="N",AR724="Y",EY724="N"),"Y","N"))</f>
        <v/>
      </c>
      <c r="FA724" s="0" t="str">
        <f aca="false">IF($A724="","",IF(EZ724&lt;&gt;"Y","N",IF(COUNTIFS($EX$2:$EX$1000,EX724,$EZ$2:$EZ$1000,"Y",$J$2:$J$1000,"&gt;"&amp;J724)+COUNTIFS($EX$2:$EX$1000,EX724,$EZ$2:$EZ$1000,"Y",$J$2:$J$1000,J724,$FG$2:$FG$1000,"&lt;"&amp;FG724)=0,"Y","N")))</f>
        <v/>
      </c>
      <c r="FB724" s="0" t="str">
        <f aca="false">IF($A724="","",IF(AND(EZ724="Y",FA724="Y",Y724&amp;""&lt;&gt;""),IF(Y724&lt;=10,"Y","N"),"N"))</f>
        <v/>
      </c>
      <c r="FC724" s="0" t="str">
        <f aca="false">IF(FB724="Y",Y724,"")</f>
        <v/>
      </c>
      <c r="FD724" s="0" t="str">
        <f aca="false">IF($A724="","",IF(AND(CK724="pass",AU724="Y",AV724&lt;&gt;"Y",U724="new",EW724="N"),"Y","N"))</f>
        <v/>
      </c>
      <c r="FE724" s="0" t="str">
        <f aca="false">IF(FD724&lt;&gt;"Y","",IF(COUNTIFS($FD$2:$FD$1000,"Y",$J$2:$J$1000,"&gt;"&amp;J724)+COUNTIFS($FD$2:$FD$1000,"Y",$J$2:$J$1000,J724,$FG$2:$FG$1000,"&lt;"&amp;FG724)+1&lt;=30,COUNTIFS($FD$2:$FD$1000,"Y",$J$2:$J$1000,"&gt;"&amp;J724)+COUNTIFS($FD$2:$FD$1000,"Y",$J$2:$J$1000,J724,$FG$2:$FG$1000,"&lt;"&amp;FG724)+1,""))</f>
        <v/>
      </c>
      <c r="FF724" s="0" t="str">
        <f aca="false">IF(AND(_xlfn.ISFORMULA(C724),_xlfn.ISFORMULA(J724)),"Y","N")</f>
        <v>Y</v>
      </c>
      <c r="FG724" s="0" t="n">
        <f aca="false">ROW()-1</f>
        <v>723</v>
      </c>
    </row>
    <row r="725" customFormat="false" ht="15" hidden="false" customHeight="false" outlineLevel="0" collapsed="false">
      <c r="C725" s="0" t="str">
        <f aca="false">IF($A725="","",IF(AT725="Y",BL725&amp;"",AY725&amp;""))</f>
        <v/>
      </c>
      <c r="D725" s="0" t="str">
        <f aca="false">IF($A725="","",IF(AT725="Y",BM725&amp;"",AZ725&amp;""))</f>
        <v/>
      </c>
      <c r="E725" s="0" t="str">
        <f aca="false">IF($A725="","",IF(AT725="Y",BN725&amp;"",BA725&amp;""))</f>
        <v/>
      </c>
      <c r="F725" s="0" t="str">
        <f aca="false">IF($A725="","",IF(AT725="Y",BO725&amp;"",BB725&amp;""))</f>
        <v/>
      </c>
      <c r="G725" s="0" t="str">
        <f aca="false">IF($A725="","",IF(AT725="Y",BP725&amp;"",BC725&amp;""))</f>
        <v/>
      </c>
      <c r="H725" s="0" t="str">
        <f aca="false">IF($A725="","",IF(AT725="Y",BQ725&amp;"",BD725&amp;""))</f>
        <v/>
      </c>
      <c r="I725" s="0" t="str">
        <f aca="false">IF($A725="","",IF(R725="Y","warm-intro",IF(H725="verified","email",IF(C725&lt;&gt;"","linkedin",CA725&amp;""))))</f>
        <v/>
      </c>
      <c r="J725" s="0" t="str">
        <f aca="false">IF($A725="","",IF(CK725="pass",ROUND(N(DO725)+N(DP725)+N(DQ725)+N(DR725)+N(DS725)+N(DT725)+N(DU725)+N(DV725),0),0))</f>
        <v/>
      </c>
      <c r="K725" s="0" t="str">
        <f aca="false">IF($A725="","",IF(CK725&lt;&gt;"pass",BY725&amp;"",BY725&amp;", "&amp;IF(AT725="Y",BX725&amp;"",BK725&amp;"")&amp;BZ725&amp;IF(R725="Y","; known to the founder (+10)","")&amp;"."))</f>
        <v/>
      </c>
      <c r="R725" s="5"/>
      <c r="T725" s="5"/>
      <c r="U725" s="5"/>
      <c r="Y725" s="0" t="str">
        <f aca="false">IF(FA725&lt;&gt;"Y","",COUNTIFS($FA$2:$FA$1000,"Y",$J$2:$J$1000,"&gt;"&amp;J725)+COUNTIFS($FA$2:$FA$1000,"Y",$J$2:$J$1000,J725,$FG$2:$FG$1000,"&lt;"&amp;FG725)+1)</f>
        <v/>
      </c>
      <c r="AB725" s="0" t="str">
        <f aca="false">IF($A725="","",IF(AT725="Y",BW725&amp;"",BJ725&amp;""))</f>
        <v/>
      </c>
      <c r="AC725" s="0" t="str">
        <f aca="false">IF($A725="","",IF(AT725="Y",BR725&amp;"",BE725&amp;""))</f>
        <v/>
      </c>
      <c r="AD725" s="0" t="str">
        <f aca="false">IF($A725="","",IF(AT725="Y",BS725&amp;"",BF725&amp;""))</f>
        <v/>
      </c>
      <c r="AE725" s="0" t="str">
        <f aca="false">IF($A725="","",IF(AT725="Y",BT725&amp;"",BG725&amp;""))</f>
        <v/>
      </c>
      <c r="AF725" s="0" t="str">
        <f aca="false">IF($A725="","",IF(AT725="Y",BU725&amp;"",BH725&amp;""))</f>
        <v/>
      </c>
      <c r="AG725" s="0" t="str">
        <f aca="false">IF($A725="","",IF(AT725="Y",BV725&amp;"",BI725&amp;""))</f>
        <v/>
      </c>
      <c r="AO725" s="5"/>
      <c r="AR725" s="0" t="str">
        <f aca="false">IF($A725="","",IF(AND(CK725="pass",AO725&lt;&gt;"Y",C725&lt;&gt;"",OR(AU725&lt;&gt;"Y",AV725="Y")),"Y","N"))</f>
        <v/>
      </c>
      <c r="AS725" s="0" t="str">
        <f aca="false">IF($A725="","",_xlfn.TEXTJOIN("; ",TRUE(),IF(CK725&lt;&gt;"pass","gated out",""),IF(AO725="Y","on hold: "&amp;AP725,""),IF(C725="","no contact named on an opened page",""),IF(AND(AU725="Y",AV725&lt;&gt;"Y"),"founder review pending (Founder review tab)","")))</f>
        <v/>
      </c>
      <c r="BC725" s="0" t="str">
        <f aca="false">IF($A725="","",IFERROR(INDEX(Enrichment!$A$2:$GZ$2000,MATCH($A725,INDEX(Enrichment!$A$2:$GZ$2000,0,MATCH("row_id",Enrichment!$A$1:$GZ$1,0)),0),MATCH("work_email",Enrichment!$A$1:$GZ$1,0))&amp;"",""))</f>
        <v/>
      </c>
      <c r="BD725" s="0" t="str">
        <f aca="false">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P725" s="0" t="str">
        <f aca="false">IF($A725="","",IFERROR(INDEX(Enrichment!$A$2:$GZ$2000,MATCH($A725,INDEX(Enrichment!$A$2:$GZ$2000,0,MATCH("row_id",Enrichment!$A$1:$GZ$1,0)),0),MATCH("backup_work_email",Enrichment!$A$1:$GZ$1,0))&amp;"",""))</f>
        <v/>
      </c>
      <c r="BQ725" s="0" t="str">
        <f aca="false">IF($A725="","",IF(BP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DU725" s="0" t="str">
        <f aca="false">IF($A725="","",IF(R725="Y",10,0))</f>
        <v/>
      </c>
      <c r="EV725" s="0" t="str">
        <f aca="false">IF($A725="","",IF(ISNUMBER(MATCH(U725,{"queued","contacted","replied","call_booked","call_done","yes_in_principle","materials_sent"},0)),"Y","N"))</f>
        <v/>
      </c>
      <c r="EW725" s="0" t="str">
        <f aca="false">IF($A725="","",IF(OR(T725="Y",U725="do_not_contact",AQ725&amp;""&lt;&gt;""),"Y","N"))</f>
        <v/>
      </c>
      <c r="EX725" s="0" t="str">
        <f aca="false">IF($A725="","",IF(AN725&amp;""&lt;&gt;"",AN725&amp;"",$A725))</f>
        <v/>
      </c>
      <c r="EY725" s="0" t="str">
        <f aca="false">IF($A725="","",IF(COUNTIFS($EX$2:$EX$1000,EX725,$EV$2:$EV$1000,"Y")+COUNTIFS($EX$2:$EX$1000,EX725,$EW$2:$EW$1000,"Y")&gt;0,"Y","N"))</f>
        <v/>
      </c>
      <c r="EZ725" s="0" t="str">
        <f aca="false">IF($A725="","",IF(AND(U725="new",T725="N",EW725="N",AR725="Y",EY725="N"),"Y","N"))</f>
        <v/>
      </c>
      <c r="FA725" s="0" t="str">
        <f aca="false">IF($A725="","",IF(EZ725&lt;&gt;"Y","N",IF(COUNTIFS($EX$2:$EX$1000,EX725,$EZ$2:$EZ$1000,"Y",$J$2:$J$1000,"&gt;"&amp;J725)+COUNTIFS($EX$2:$EX$1000,EX725,$EZ$2:$EZ$1000,"Y",$J$2:$J$1000,J725,$FG$2:$FG$1000,"&lt;"&amp;FG725)=0,"Y","N")))</f>
        <v/>
      </c>
      <c r="FB725" s="0" t="str">
        <f aca="false">IF($A725="","",IF(AND(EZ725="Y",FA725="Y",Y725&amp;""&lt;&gt;""),IF(Y725&lt;=10,"Y","N"),"N"))</f>
        <v/>
      </c>
      <c r="FC725" s="0" t="str">
        <f aca="false">IF(FB725="Y",Y725,"")</f>
        <v/>
      </c>
      <c r="FD725" s="0" t="str">
        <f aca="false">IF($A725="","",IF(AND(CK725="pass",AU725="Y",AV725&lt;&gt;"Y",U725="new",EW725="N"),"Y","N"))</f>
        <v/>
      </c>
      <c r="FE725" s="0" t="str">
        <f aca="false">IF(FD725&lt;&gt;"Y","",IF(COUNTIFS($FD$2:$FD$1000,"Y",$J$2:$J$1000,"&gt;"&amp;J725)+COUNTIFS($FD$2:$FD$1000,"Y",$J$2:$J$1000,J725,$FG$2:$FG$1000,"&lt;"&amp;FG725)+1&lt;=30,COUNTIFS($FD$2:$FD$1000,"Y",$J$2:$J$1000,"&gt;"&amp;J725)+COUNTIFS($FD$2:$FD$1000,"Y",$J$2:$J$1000,J725,$FG$2:$FG$1000,"&lt;"&amp;FG725)+1,""))</f>
        <v/>
      </c>
      <c r="FF725" s="0" t="str">
        <f aca="false">IF(AND(_xlfn.ISFORMULA(C725),_xlfn.ISFORMULA(J725)),"Y","N")</f>
        <v>Y</v>
      </c>
      <c r="FG725" s="0" t="n">
        <f aca="false">ROW()-1</f>
        <v>724</v>
      </c>
    </row>
    <row r="726" customFormat="false" ht="15" hidden="false" customHeight="false" outlineLevel="0" collapsed="false">
      <c r="C726" s="0" t="str">
        <f aca="false">IF($A726="","",IF(AT726="Y",BL726&amp;"",AY726&amp;""))</f>
        <v/>
      </c>
      <c r="D726" s="0" t="str">
        <f aca="false">IF($A726="","",IF(AT726="Y",BM726&amp;"",AZ726&amp;""))</f>
        <v/>
      </c>
      <c r="E726" s="0" t="str">
        <f aca="false">IF($A726="","",IF(AT726="Y",BN726&amp;"",BA726&amp;""))</f>
        <v/>
      </c>
      <c r="F726" s="0" t="str">
        <f aca="false">IF($A726="","",IF(AT726="Y",BO726&amp;"",BB726&amp;""))</f>
        <v/>
      </c>
      <c r="G726" s="0" t="str">
        <f aca="false">IF($A726="","",IF(AT726="Y",BP726&amp;"",BC726&amp;""))</f>
        <v/>
      </c>
      <c r="H726" s="0" t="str">
        <f aca="false">IF($A726="","",IF(AT726="Y",BQ726&amp;"",BD726&amp;""))</f>
        <v/>
      </c>
      <c r="I726" s="0" t="str">
        <f aca="false">IF($A726="","",IF(R726="Y","warm-intro",IF(H726="verified","email",IF(C726&lt;&gt;"","linkedin",CA726&amp;""))))</f>
        <v/>
      </c>
      <c r="J726" s="0" t="str">
        <f aca="false">IF($A726="","",IF(CK726="pass",ROUND(N(DO726)+N(DP726)+N(DQ726)+N(DR726)+N(DS726)+N(DT726)+N(DU726)+N(DV726),0),0))</f>
        <v/>
      </c>
      <c r="K726" s="0" t="str">
        <f aca="false">IF($A726="","",IF(CK726&lt;&gt;"pass",BY726&amp;"",BY726&amp;", "&amp;IF(AT726="Y",BX726&amp;"",BK726&amp;"")&amp;BZ726&amp;IF(R726="Y","; known to the founder (+10)","")&amp;"."))</f>
        <v/>
      </c>
      <c r="R726" s="5"/>
      <c r="T726" s="5"/>
      <c r="U726" s="5"/>
      <c r="Y726" s="0" t="str">
        <f aca="false">IF(FA726&lt;&gt;"Y","",COUNTIFS($FA$2:$FA$1000,"Y",$J$2:$J$1000,"&gt;"&amp;J726)+COUNTIFS($FA$2:$FA$1000,"Y",$J$2:$J$1000,J726,$FG$2:$FG$1000,"&lt;"&amp;FG726)+1)</f>
        <v/>
      </c>
      <c r="AB726" s="0" t="str">
        <f aca="false">IF($A726="","",IF(AT726="Y",BW726&amp;"",BJ726&amp;""))</f>
        <v/>
      </c>
      <c r="AC726" s="0" t="str">
        <f aca="false">IF($A726="","",IF(AT726="Y",BR726&amp;"",BE726&amp;""))</f>
        <v/>
      </c>
      <c r="AD726" s="0" t="str">
        <f aca="false">IF($A726="","",IF(AT726="Y",BS726&amp;"",BF726&amp;""))</f>
        <v/>
      </c>
      <c r="AE726" s="0" t="str">
        <f aca="false">IF($A726="","",IF(AT726="Y",BT726&amp;"",BG726&amp;""))</f>
        <v/>
      </c>
      <c r="AF726" s="0" t="str">
        <f aca="false">IF($A726="","",IF(AT726="Y",BU726&amp;"",BH726&amp;""))</f>
        <v/>
      </c>
      <c r="AG726" s="0" t="str">
        <f aca="false">IF($A726="","",IF(AT726="Y",BV726&amp;"",BI726&amp;""))</f>
        <v/>
      </c>
      <c r="AO726" s="5"/>
      <c r="AR726" s="0" t="str">
        <f aca="false">IF($A726="","",IF(AND(CK726="pass",AO726&lt;&gt;"Y",C726&lt;&gt;"",OR(AU726&lt;&gt;"Y",AV726="Y")),"Y","N"))</f>
        <v/>
      </c>
      <c r="AS726" s="0" t="str">
        <f aca="false">IF($A726="","",_xlfn.TEXTJOIN("; ",TRUE(),IF(CK726&lt;&gt;"pass","gated out",""),IF(AO726="Y","on hold: "&amp;AP726,""),IF(C726="","no contact named on an opened page",""),IF(AND(AU726="Y",AV726&lt;&gt;"Y"),"founder review pending (Founder review tab)","")))</f>
        <v/>
      </c>
      <c r="BC726" s="0" t="str">
        <f aca="false">IF($A726="","",IFERROR(INDEX(Enrichment!$A$2:$GZ$2000,MATCH($A726,INDEX(Enrichment!$A$2:$GZ$2000,0,MATCH("row_id",Enrichment!$A$1:$GZ$1,0)),0),MATCH("work_email",Enrichment!$A$1:$GZ$1,0))&amp;"",""))</f>
        <v/>
      </c>
      <c r="BD726" s="0" t="str">
        <f aca="false">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P726" s="0" t="str">
        <f aca="false">IF($A726="","",IFERROR(INDEX(Enrichment!$A$2:$GZ$2000,MATCH($A726,INDEX(Enrichment!$A$2:$GZ$2000,0,MATCH("row_id",Enrichment!$A$1:$GZ$1,0)),0),MATCH("backup_work_email",Enrichment!$A$1:$GZ$1,0))&amp;"",""))</f>
        <v/>
      </c>
      <c r="BQ726" s="0" t="str">
        <f aca="false">IF($A726="","",IF(BP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DU726" s="0" t="str">
        <f aca="false">IF($A726="","",IF(R726="Y",10,0))</f>
        <v/>
      </c>
      <c r="EV726" s="0" t="str">
        <f aca="false">IF($A726="","",IF(ISNUMBER(MATCH(U726,{"queued","contacted","replied","call_booked","call_done","yes_in_principle","materials_sent"},0)),"Y","N"))</f>
        <v/>
      </c>
      <c r="EW726" s="0" t="str">
        <f aca="false">IF($A726="","",IF(OR(T726="Y",U726="do_not_contact",AQ726&amp;""&lt;&gt;""),"Y","N"))</f>
        <v/>
      </c>
      <c r="EX726" s="0" t="str">
        <f aca="false">IF($A726="","",IF(AN726&amp;""&lt;&gt;"",AN726&amp;"",$A726))</f>
        <v/>
      </c>
      <c r="EY726" s="0" t="str">
        <f aca="false">IF($A726="","",IF(COUNTIFS($EX$2:$EX$1000,EX726,$EV$2:$EV$1000,"Y")+COUNTIFS($EX$2:$EX$1000,EX726,$EW$2:$EW$1000,"Y")&gt;0,"Y","N"))</f>
        <v/>
      </c>
      <c r="EZ726" s="0" t="str">
        <f aca="false">IF($A726="","",IF(AND(U726="new",T726="N",EW726="N",AR726="Y",EY726="N"),"Y","N"))</f>
        <v/>
      </c>
      <c r="FA726" s="0" t="str">
        <f aca="false">IF($A726="","",IF(EZ726&lt;&gt;"Y","N",IF(COUNTIFS($EX$2:$EX$1000,EX726,$EZ$2:$EZ$1000,"Y",$J$2:$J$1000,"&gt;"&amp;J726)+COUNTIFS($EX$2:$EX$1000,EX726,$EZ$2:$EZ$1000,"Y",$J$2:$J$1000,J726,$FG$2:$FG$1000,"&lt;"&amp;FG726)=0,"Y","N")))</f>
        <v/>
      </c>
      <c r="FB726" s="0" t="str">
        <f aca="false">IF($A726="","",IF(AND(EZ726="Y",FA726="Y",Y726&amp;""&lt;&gt;""),IF(Y726&lt;=10,"Y","N"),"N"))</f>
        <v/>
      </c>
      <c r="FC726" s="0" t="str">
        <f aca="false">IF(FB726="Y",Y726,"")</f>
        <v/>
      </c>
      <c r="FD726" s="0" t="str">
        <f aca="false">IF($A726="","",IF(AND(CK726="pass",AU726="Y",AV726&lt;&gt;"Y",U726="new",EW726="N"),"Y","N"))</f>
        <v/>
      </c>
      <c r="FE726" s="0" t="str">
        <f aca="false">IF(FD726&lt;&gt;"Y","",IF(COUNTIFS($FD$2:$FD$1000,"Y",$J$2:$J$1000,"&gt;"&amp;J726)+COUNTIFS($FD$2:$FD$1000,"Y",$J$2:$J$1000,J726,$FG$2:$FG$1000,"&lt;"&amp;FG726)+1&lt;=30,COUNTIFS($FD$2:$FD$1000,"Y",$J$2:$J$1000,"&gt;"&amp;J726)+COUNTIFS($FD$2:$FD$1000,"Y",$J$2:$J$1000,J726,$FG$2:$FG$1000,"&lt;"&amp;FG726)+1,""))</f>
        <v/>
      </c>
      <c r="FF726" s="0" t="str">
        <f aca="false">IF(AND(_xlfn.ISFORMULA(C726),_xlfn.ISFORMULA(J726)),"Y","N")</f>
        <v>Y</v>
      </c>
      <c r="FG726" s="0" t="n">
        <f aca="false">ROW()-1</f>
        <v>725</v>
      </c>
    </row>
    <row r="727" customFormat="false" ht="15" hidden="false" customHeight="false" outlineLevel="0" collapsed="false">
      <c r="C727" s="0" t="str">
        <f aca="false">IF($A727="","",IF(AT727="Y",BL727&amp;"",AY727&amp;""))</f>
        <v/>
      </c>
      <c r="D727" s="0" t="str">
        <f aca="false">IF($A727="","",IF(AT727="Y",BM727&amp;"",AZ727&amp;""))</f>
        <v/>
      </c>
      <c r="E727" s="0" t="str">
        <f aca="false">IF($A727="","",IF(AT727="Y",BN727&amp;"",BA727&amp;""))</f>
        <v/>
      </c>
      <c r="F727" s="0" t="str">
        <f aca="false">IF($A727="","",IF(AT727="Y",BO727&amp;"",BB727&amp;""))</f>
        <v/>
      </c>
      <c r="G727" s="0" t="str">
        <f aca="false">IF($A727="","",IF(AT727="Y",BP727&amp;"",BC727&amp;""))</f>
        <v/>
      </c>
      <c r="H727" s="0" t="str">
        <f aca="false">IF($A727="","",IF(AT727="Y",BQ727&amp;"",BD727&amp;""))</f>
        <v/>
      </c>
      <c r="I727" s="0" t="str">
        <f aca="false">IF($A727="","",IF(R727="Y","warm-intro",IF(H727="verified","email",IF(C727&lt;&gt;"","linkedin",CA727&amp;""))))</f>
        <v/>
      </c>
      <c r="J727" s="0" t="str">
        <f aca="false">IF($A727="","",IF(CK727="pass",ROUND(N(DO727)+N(DP727)+N(DQ727)+N(DR727)+N(DS727)+N(DT727)+N(DU727)+N(DV727),0),0))</f>
        <v/>
      </c>
      <c r="K727" s="0" t="str">
        <f aca="false">IF($A727="","",IF(CK727&lt;&gt;"pass",BY727&amp;"",BY727&amp;", "&amp;IF(AT727="Y",BX727&amp;"",BK727&amp;"")&amp;BZ727&amp;IF(R727="Y","; known to the founder (+10)","")&amp;"."))</f>
        <v/>
      </c>
      <c r="R727" s="5"/>
      <c r="T727" s="5"/>
      <c r="U727" s="5"/>
      <c r="Y727" s="0" t="str">
        <f aca="false">IF(FA727&lt;&gt;"Y","",COUNTIFS($FA$2:$FA$1000,"Y",$J$2:$J$1000,"&gt;"&amp;J727)+COUNTIFS($FA$2:$FA$1000,"Y",$J$2:$J$1000,J727,$FG$2:$FG$1000,"&lt;"&amp;FG727)+1)</f>
        <v/>
      </c>
      <c r="AB727" s="0" t="str">
        <f aca="false">IF($A727="","",IF(AT727="Y",BW727&amp;"",BJ727&amp;""))</f>
        <v/>
      </c>
      <c r="AC727" s="0" t="str">
        <f aca="false">IF($A727="","",IF(AT727="Y",BR727&amp;"",BE727&amp;""))</f>
        <v/>
      </c>
      <c r="AD727" s="0" t="str">
        <f aca="false">IF($A727="","",IF(AT727="Y",BS727&amp;"",BF727&amp;""))</f>
        <v/>
      </c>
      <c r="AE727" s="0" t="str">
        <f aca="false">IF($A727="","",IF(AT727="Y",BT727&amp;"",BG727&amp;""))</f>
        <v/>
      </c>
      <c r="AF727" s="0" t="str">
        <f aca="false">IF($A727="","",IF(AT727="Y",BU727&amp;"",BH727&amp;""))</f>
        <v/>
      </c>
      <c r="AG727" s="0" t="str">
        <f aca="false">IF($A727="","",IF(AT727="Y",BV727&amp;"",BI727&amp;""))</f>
        <v/>
      </c>
      <c r="AO727" s="5"/>
      <c r="AR727" s="0" t="str">
        <f aca="false">IF($A727="","",IF(AND(CK727="pass",AO727&lt;&gt;"Y",C727&lt;&gt;"",OR(AU727&lt;&gt;"Y",AV727="Y")),"Y","N"))</f>
        <v/>
      </c>
      <c r="AS727" s="0" t="str">
        <f aca="false">IF($A727="","",_xlfn.TEXTJOIN("; ",TRUE(),IF(CK727&lt;&gt;"pass","gated out",""),IF(AO727="Y","on hold: "&amp;AP727,""),IF(C727="","no contact named on an opened page",""),IF(AND(AU727="Y",AV727&lt;&gt;"Y"),"founder review pending (Founder review tab)","")))</f>
        <v/>
      </c>
      <c r="BC727" s="0" t="str">
        <f aca="false">IF($A727="","",IFERROR(INDEX(Enrichment!$A$2:$GZ$2000,MATCH($A727,INDEX(Enrichment!$A$2:$GZ$2000,0,MATCH("row_id",Enrichment!$A$1:$GZ$1,0)),0),MATCH("work_email",Enrichment!$A$1:$GZ$1,0))&amp;"",""))</f>
        <v/>
      </c>
      <c r="BD727" s="0" t="str">
        <f aca="false">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P727" s="0" t="str">
        <f aca="false">IF($A727="","",IFERROR(INDEX(Enrichment!$A$2:$GZ$2000,MATCH($A727,INDEX(Enrichment!$A$2:$GZ$2000,0,MATCH("row_id",Enrichment!$A$1:$GZ$1,0)),0),MATCH("backup_work_email",Enrichment!$A$1:$GZ$1,0))&amp;"",""))</f>
        <v/>
      </c>
      <c r="BQ727" s="0" t="str">
        <f aca="false">IF($A727="","",IF(BP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DU727" s="0" t="str">
        <f aca="false">IF($A727="","",IF(R727="Y",10,0))</f>
        <v/>
      </c>
      <c r="EV727" s="0" t="str">
        <f aca="false">IF($A727="","",IF(ISNUMBER(MATCH(U727,{"queued","contacted","replied","call_booked","call_done","yes_in_principle","materials_sent"},0)),"Y","N"))</f>
        <v/>
      </c>
      <c r="EW727" s="0" t="str">
        <f aca="false">IF($A727="","",IF(OR(T727="Y",U727="do_not_contact",AQ727&amp;""&lt;&gt;""),"Y","N"))</f>
        <v/>
      </c>
      <c r="EX727" s="0" t="str">
        <f aca="false">IF($A727="","",IF(AN727&amp;""&lt;&gt;"",AN727&amp;"",$A727))</f>
        <v/>
      </c>
      <c r="EY727" s="0" t="str">
        <f aca="false">IF($A727="","",IF(COUNTIFS($EX$2:$EX$1000,EX727,$EV$2:$EV$1000,"Y")+COUNTIFS($EX$2:$EX$1000,EX727,$EW$2:$EW$1000,"Y")&gt;0,"Y","N"))</f>
        <v/>
      </c>
      <c r="EZ727" s="0" t="str">
        <f aca="false">IF($A727="","",IF(AND(U727="new",T727="N",EW727="N",AR727="Y",EY727="N"),"Y","N"))</f>
        <v/>
      </c>
      <c r="FA727" s="0" t="str">
        <f aca="false">IF($A727="","",IF(EZ727&lt;&gt;"Y","N",IF(COUNTIFS($EX$2:$EX$1000,EX727,$EZ$2:$EZ$1000,"Y",$J$2:$J$1000,"&gt;"&amp;J727)+COUNTIFS($EX$2:$EX$1000,EX727,$EZ$2:$EZ$1000,"Y",$J$2:$J$1000,J727,$FG$2:$FG$1000,"&lt;"&amp;FG727)=0,"Y","N")))</f>
        <v/>
      </c>
      <c r="FB727" s="0" t="str">
        <f aca="false">IF($A727="","",IF(AND(EZ727="Y",FA727="Y",Y727&amp;""&lt;&gt;""),IF(Y727&lt;=10,"Y","N"),"N"))</f>
        <v/>
      </c>
      <c r="FC727" s="0" t="str">
        <f aca="false">IF(FB727="Y",Y727,"")</f>
        <v/>
      </c>
      <c r="FD727" s="0" t="str">
        <f aca="false">IF($A727="","",IF(AND(CK727="pass",AU727="Y",AV727&lt;&gt;"Y",U727="new",EW727="N"),"Y","N"))</f>
        <v/>
      </c>
      <c r="FE727" s="0" t="str">
        <f aca="false">IF(FD727&lt;&gt;"Y","",IF(COUNTIFS($FD$2:$FD$1000,"Y",$J$2:$J$1000,"&gt;"&amp;J727)+COUNTIFS($FD$2:$FD$1000,"Y",$J$2:$J$1000,J727,$FG$2:$FG$1000,"&lt;"&amp;FG727)+1&lt;=30,COUNTIFS($FD$2:$FD$1000,"Y",$J$2:$J$1000,"&gt;"&amp;J727)+COUNTIFS($FD$2:$FD$1000,"Y",$J$2:$J$1000,J727,$FG$2:$FG$1000,"&lt;"&amp;FG727)+1,""))</f>
        <v/>
      </c>
      <c r="FF727" s="0" t="str">
        <f aca="false">IF(AND(_xlfn.ISFORMULA(C727),_xlfn.ISFORMULA(J727)),"Y","N")</f>
        <v>Y</v>
      </c>
      <c r="FG727" s="0" t="n">
        <f aca="false">ROW()-1</f>
        <v>726</v>
      </c>
    </row>
    <row r="728" customFormat="false" ht="15" hidden="false" customHeight="false" outlineLevel="0" collapsed="false">
      <c r="C728" s="0" t="str">
        <f aca="false">IF($A728="","",IF(AT728="Y",BL728&amp;"",AY728&amp;""))</f>
        <v/>
      </c>
      <c r="D728" s="0" t="str">
        <f aca="false">IF($A728="","",IF(AT728="Y",BM728&amp;"",AZ728&amp;""))</f>
        <v/>
      </c>
      <c r="E728" s="0" t="str">
        <f aca="false">IF($A728="","",IF(AT728="Y",BN728&amp;"",BA728&amp;""))</f>
        <v/>
      </c>
      <c r="F728" s="0" t="str">
        <f aca="false">IF($A728="","",IF(AT728="Y",BO728&amp;"",BB728&amp;""))</f>
        <v/>
      </c>
      <c r="G728" s="0" t="str">
        <f aca="false">IF($A728="","",IF(AT728="Y",BP728&amp;"",BC728&amp;""))</f>
        <v/>
      </c>
      <c r="H728" s="0" t="str">
        <f aca="false">IF($A728="","",IF(AT728="Y",BQ728&amp;"",BD728&amp;""))</f>
        <v/>
      </c>
      <c r="I728" s="0" t="str">
        <f aca="false">IF($A728="","",IF(R728="Y","warm-intro",IF(H728="verified","email",IF(C728&lt;&gt;"","linkedin",CA728&amp;""))))</f>
        <v/>
      </c>
      <c r="J728" s="0" t="str">
        <f aca="false">IF($A728="","",IF(CK728="pass",ROUND(N(DO728)+N(DP728)+N(DQ728)+N(DR728)+N(DS728)+N(DT728)+N(DU728)+N(DV728),0),0))</f>
        <v/>
      </c>
      <c r="K728" s="0" t="str">
        <f aca="false">IF($A728="","",IF(CK728&lt;&gt;"pass",BY728&amp;"",BY728&amp;", "&amp;IF(AT728="Y",BX728&amp;"",BK728&amp;"")&amp;BZ728&amp;IF(R728="Y","; known to the founder (+10)","")&amp;"."))</f>
        <v/>
      </c>
      <c r="R728" s="5"/>
      <c r="T728" s="5"/>
      <c r="U728" s="5"/>
      <c r="Y728" s="0" t="str">
        <f aca="false">IF(FA728&lt;&gt;"Y","",COUNTIFS($FA$2:$FA$1000,"Y",$J$2:$J$1000,"&gt;"&amp;J728)+COUNTIFS($FA$2:$FA$1000,"Y",$J$2:$J$1000,J728,$FG$2:$FG$1000,"&lt;"&amp;FG728)+1)</f>
        <v/>
      </c>
      <c r="AB728" s="0" t="str">
        <f aca="false">IF($A728="","",IF(AT728="Y",BW728&amp;"",BJ728&amp;""))</f>
        <v/>
      </c>
      <c r="AC728" s="0" t="str">
        <f aca="false">IF($A728="","",IF(AT728="Y",BR728&amp;"",BE728&amp;""))</f>
        <v/>
      </c>
      <c r="AD728" s="0" t="str">
        <f aca="false">IF($A728="","",IF(AT728="Y",BS728&amp;"",BF728&amp;""))</f>
        <v/>
      </c>
      <c r="AE728" s="0" t="str">
        <f aca="false">IF($A728="","",IF(AT728="Y",BT728&amp;"",BG728&amp;""))</f>
        <v/>
      </c>
      <c r="AF728" s="0" t="str">
        <f aca="false">IF($A728="","",IF(AT728="Y",BU728&amp;"",BH728&amp;""))</f>
        <v/>
      </c>
      <c r="AG728" s="0" t="str">
        <f aca="false">IF($A728="","",IF(AT728="Y",BV728&amp;"",BI728&amp;""))</f>
        <v/>
      </c>
      <c r="AO728" s="5"/>
      <c r="AR728" s="0" t="str">
        <f aca="false">IF($A728="","",IF(AND(CK728="pass",AO728&lt;&gt;"Y",C728&lt;&gt;"",OR(AU728&lt;&gt;"Y",AV728="Y")),"Y","N"))</f>
        <v/>
      </c>
      <c r="AS728" s="0" t="str">
        <f aca="false">IF($A728="","",_xlfn.TEXTJOIN("; ",TRUE(),IF(CK728&lt;&gt;"pass","gated out",""),IF(AO728="Y","on hold: "&amp;AP728,""),IF(C728="","no contact named on an opened page",""),IF(AND(AU728="Y",AV728&lt;&gt;"Y"),"founder review pending (Founder review tab)","")))</f>
        <v/>
      </c>
      <c r="BC728" s="0" t="str">
        <f aca="false">IF($A728="","",IFERROR(INDEX(Enrichment!$A$2:$GZ$2000,MATCH($A728,INDEX(Enrichment!$A$2:$GZ$2000,0,MATCH("row_id",Enrichment!$A$1:$GZ$1,0)),0),MATCH("work_email",Enrichment!$A$1:$GZ$1,0))&amp;"",""))</f>
        <v/>
      </c>
      <c r="BD728" s="0" t="str">
        <f aca="false">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P728" s="0" t="str">
        <f aca="false">IF($A728="","",IFERROR(INDEX(Enrichment!$A$2:$GZ$2000,MATCH($A728,INDEX(Enrichment!$A$2:$GZ$2000,0,MATCH("row_id",Enrichment!$A$1:$GZ$1,0)),0),MATCH("backup_work_email",Enrichment!$A$1:$GZ$1,0))&amp;"",""))</f>
        <v/>
      </c>
      <c r="BQ728" s="0" t="str">
        <f aca="false">IF($A728="","",IF(BP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DU728" s="0" t="str">
        <f aca="false">IF($A728="","",IF(R728="Y",10,0))</f>
        <v/>
      </c>
      <c r="EV728" s="0" t="str">
        <f aca="false">IF($A728="","",IF(ISNUMBER(MATCH(U728,{"queued","contacted","replied","call_booked","call_done","yes_in_principle","materials_sent"},0)),"Y","N"))</f>
        <v/>
      </c>
      <c r="EW728" s="0" t="str">
        <f aca="false">IF($A728="","",IF(OR(T728="Y",U728="do_not_contact",AQ728&amp;""&lt;&gt;""),"Y","N"))</f>
        <v/>
      </c>
      <c r="EX728" s="0" t="str">
        <f aca="false">IF($A728="","",IF(AN728&amp;""&lt;&gt;"",AN728&amp;"",$A728))</f>
        <v/>
      </c>
      <c r="EY728" s="0" t="str">
        <f aca="false">IF($A728="","",IF(COUNTIFS($EX$2:$EX$1000,EX728,$EV$2:$EV$1000,"Y")+COUNTIFS($EX$2:$EX$1000,EX728,$EW$2:$EW$1000,"Y")&gt;0,"Y","N"))</f>
        <v/>
      </c>
      <c r="EZ728" s="0" t="str">
        <f aca="false">IF($A728="","",IF(AND(U728="new",T728="N",EW728="N",AR728="Y",EY728="N"),"Y","N"))</f>
        <v/>
      </c>
      <c r="FA728" s="0" t="str">
        <f aca="false">IF($A728="","",IF(EZ728&lt;&gt;"Y","N",IF(COUNTIFS($EX$2:$EX$1000,EX728,$EZ$2:$EZ$1000,"Y",$J$2:$J$1000,"&gt;"&amp;J728)+COUNTIFS($EX$2:$EX$1000,EX728,$EZ$2:$EZ$1000,"Y",$J$2:$J$1000,J728,$FG$2:$FG$1000,"&lt;"&amp;FG728)=0,"Y","N")))</f>
        <v/>
      </c>
      <c r="FB728" s="0" t="str">
        <f aca="false">IF($A728="","",IF(AND(EZ728="Y",FA728="Y",Y728&amp;""&lt;&gt;""),IF(Y728&lt;=10,"Y","N"),"N"))</f>
        <v/>
      </c>
      <c r="FC728" s="0" t="str">
        <f aca="false">IF(FB728="Y",Y728,"")</f>
        <v/>
      </c>
      <c r="FD728" s="0" t="str">
        <f aca="false">IF($A728="","",IF(AND(CK728="pass",AU728="Y",AV728&lt;&gt;"Y",U728="new",EW728="N"),"Y","N"))</f>
        <v/>
      </c>
      <c r="FE728" s="0" t="str">
        <f aca="false">IF(FD728&lt;&gt;"Y","",IF(COUNTIFS($FD$2:$FD$1000,"Y",$J$2:$J$1000,"&gt;"&amp;J728)+COUNTIFS($FD$2:$FD$1000,"Y",$J$2:$J$1000,J728,$FG$2:$FG$1000,"&lt;"&amp;FG728)+1&lt;=30,COUNTIFS($FD$2:$FD$1000,"Y",$J$2:$J$1000,"&gt;"&amp;J728)+COUNTIFS($FD$2:$FD$1000,"Y",$J$2:$J$1000,J728,$FG$2:$FG$1000,"&lt;"&amp;FG728)+1,""))</f>
        <v/>
      </c>
      <c r="FF728" s="0" t="str">
        <f aca="false">IF(AND(_xlfn.ISFORMULA(C728),_xlfn.ISFORMULA(J728)),"Y","N")</f>
        <v>Y</v>
      </c>
      <c r="FG728" s="0" t="n">
        <f aca="false">ROW()-1</f>
        <v>727</v>
      </c>
    </row>
    <row r="729" customFormat="false" ht="15" hidden="false" customHeight="false" outlineLevel="0" collapsed="false">
      <c r="C729" s="0" t="str">
        <f aca="false">IF($A729="","",IF(AT729="Y",BL729&amp;"",AY729&amp;""))</f>
        <v/>
      </c>
      <c r="D729" s="0" t="str">
        <f aca="false">IF($A729="","",IF(AT729="Y",BM729&amp;"",AZ729&amp;""))</f>
        <v/>
      </c>
      <c r="E729" s="0" t="str">
        <f aca="false">IF($A729="","",IF(AT729="Y",BN729&amp;"",BA729&amp;""))</f>
        <v/>
      </c>
      <c r="F729" s="0" t="str">
        <f aca="false">IF($A729="","",IF(AT729="Y",BO729&amp;"",BB729&amp;""))</f>
        <v/>
      </c>
      <c r="G729" s="0" t="str">
        <f aca="false">IF($A729="","",IF(AT729="Y",BP729&amp;"",BC729&amp;""))</f>
        <v/>
      </c>
      <c r="H729" s="0" t="str">
        <f aca="false">IF($A729="","",IF(AT729="Y",BQ729&amp;"",BD729&amp;""))</f>
        <v/>
      </c>
      <c r="I729" s="0" t="str">
        <f aca="false">IF($A729="","",IF(R729="Y","warm-intro",IF(H729="verified","email",IF(C729&lt;&gt;"","linkedin",CA729&amp;""))))</f>
        <v/>
      </c>
      <c r="J729" s="0" t="str">
        <f aca="false">IF($A729="","",IF(CK729="pass",ROUND(N(DO729)+N(DP729)+N(DQ729)+N(DR729)+N(DS729)+N(DT729)+N(DU729)+N(DV729),0),0))</f>
        <v/>
      </c>
      <c r="K729" s="0" t="str">
        <f aca="false">IF($A729="","",IF(CK729&lt;&gt;"pass",BY729&amp;"",BY729&amp;", "&amp;IF(AT729="Y",BX729&amp;"",BK729&amp;"")&amp;BZ729&amp;IF(R729="Y","; known to the founder (+10)","")&amp;"."))</f>
        <v/>
      </c>
      <c r="R729" s="5"/>
      <c r="T729" s="5"/>
      <c r="U729" s="5"/>
      <c r="Y729" s="0" t="str">
        <f aca="false">IF(FA729&lt;&gt;"Y","",COUNTIFS($FA$2:$FA$1000,"Y",$J$2:$J$1000,"&gt;"&amp;J729)+COUNTIFS($FA$2:$FA$1000,"Y",$J$2:$J$1000,J729,$FG$2:$FG$1000,"&lt;"&amp;FG729)+1)</f>
        <v/>
      </c>
      <c r="AB729" s="0" t="str">
        <f aca="false">IF($A729="","",IF(AT729="Y",BW729&amp;"",BJ729&amp;""))</f>
        <v/>
      </c>
      <c r="AC729" s="0" t="str">
        <f aca="false">IF($A729="","",IF(AT729="Y",BR729&amp;"",BE729&amp;""))</f>
        <v/>
      </c>
      <c r="AD729" s="0" t="str">
        <f aca="false">IF($A729="","",IF(AT729="Y",BS729&amp;"",BF729&amp;""))</f>
        <v/>
      </c>
      <c r="AE729" s="0" t="str">
        <f aca="false">IF($A729="","",IF(AT729="Y",BT729&amp;"",BG729&amp;""))</f>
        <v/>
      </c>
      <c r="AF729" s="0" t="str">
        <f aca="false">IF($A729="","",IF(AT729="Y",BU729&amp;"",BH729&amp;""))</f>
        <v/>
      </c>
      <c r="AG729" s="0" t="str">
        <f aca="false">IF($A729="","",IF(AT729="Y",BV729&amp;"",BI729&amp;""))</f>
        <v/>
      </c>
      <c r="AO729" s="5"/>
      <c r="AR729" s="0" t="str">
        <f aca="false">IF($A729="","",IF(AND(CK729="pass",AO729&lt;&gt;"Y",C729&lt;&gt;"",OR(AU729&lt;&gt;"Y",AV729="Y")),"Y","N"))</f>
        <v/>
      </c>
      <c r="AS729" s="0" t="str">
        <f aca="false">IF($A729="","",_xlfn.TEXTJOIN("; ",TRUE(),IF(CK729&lt;&gt;"pass","gated out",""),IF(AO729="Y","on hold: "&amp;AP729,""),IF(C729="","no contact named on an opened page",""),IF(AND(AU729="Y",AV729&lt;&gt;"Y"),"founder review pending (Founder review tab)","")))</f>
        <v/>
      </c>
      <c r="BC729" s="0" t="str">
        <f aca="false">IF($A729="","",IFERROR(INDEX(Enrichment!$A$2:$GZ$2000,MATCH($A729,INDEX(Enrichment!$A$2:$GZ$2000,0,MATCH("row_id",Enrichment!$A$1:$GZ$1,0)),0),MATCH("work_email",Enrichment!$A$1:$GZ$1,0))&amp;"",""))</f>
        <v/>
      </c>
      <c r="BD729" s="0" t="str">
        <f aca="false">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P729" s="0" t="str">
        <f aca="false">IF($A729="","",IFERROR(INDEX(Enrichment!$A$2:$GZ$2000,MATCH($A729,INDEX(Enrichment!$A$2:$GZ$2000,0,MATCH("row_id",Enrichment!$A$1:$GZ$1,0)),0),MATCH("backup_work_email",Enrichment!$A$1:$GZ$1,0))&amp;"",""))</f>
        <v/>
      </c>
      <c r="BQ729" s="0" t="str">
        <f aca="false">IF($A729="","",IF(BP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DU729" s="0" t="str">
        <f aca="false">IF($A729="","",IF(R729="Y",10,0))</f>
        <v/>
      </c>
      <c r="EV729" s="0" t="str">
        <f aca="false">IF($A729="","",IF(ISNUMBER(MATCH(U729,{"queued","contacted","replied","call_booked","call_done","yes_in_principle","materials_sent"},0)),"Y","N"))</f>
        <v/>
      </c>
      <c r="EW729" s="0" t="str">
        <f aca="false">IF($A729="","",IF(OR(T729="Y",U729="do_not_contact",AQ729&amp;""&lt;&gt;""),"Y","N"))</f>
        <v/>
      </c>
      <c r="EX729" s="0" t="str">
        <f aca="false">IF($A729="","",IF(AN729&amp;""&lt;&gt;"",AN729&amp;"",$A729))</f>
        <v/>
      </c>
      <c r="EY729" s="0" t="str">
        <f aca="false">IF($A729="","",IF(COUNTIFS($EX$2:$EX$1000,EX729,$EV$2:$EV$1000,"Y")+COUNTIFS($EX$2:$EX$1000,EX729,$EW$2:$EW$1000,"Y")&gt;0,"Y","N"))</f>
        <v/>
      </c>
      <c r="EZ729" s="0" t="str">
        <f aca="false">IF($A729="","",IF(AND(U729="new",T729="N",EW729="N",AR729="Y",EY729="N"),"Y","N"))</f>
        <v/>
      </c>
      <c r="FA729" s="0" t="str">
        <f aca="false">IF($A729="","",IF(EZ729&lt;&gt;"Y","N",IF(COUNTIFS($EX$2:$EX$1000,EX729,$EZ$2:$EZ$1000,"Y",$J$2:$J$1000,"&gt;"&amp;J729)+COUNTIFS($EX$2:$EX$1000,EX729,$EZ$2:$EZ$1000,"Y",$J$2:$J$1000,J729,$FG$2:$FG$1000,"&lt;"&amp;FG729)=0,"Y","N")))</f>
        <v/>
      </c>
      <c r="FB729" s="0" t="str">
        <f aca="false">IF($A729="","",IF(AND(EZ729="Y",FA729="Y",Y729&amp;""&lt;&gt;""),IF(Y729&lt;=10,"Y","N"),"N"))</f>
        <v/>
      </c>
      <c r="FC729" s="0" t="str">
        <f aca="false">IF(FB729="Y",Y729,"")</f>
        <v/>
      </c>
      <c r="FD729" s="0" t="str">
        <f aca="false">IF($A729="","",IF(AND(CK729="pass",AU729="Y",AV729&lt;&gt;"Y",U729="new",EW729="N"),"Y","N"))</f>
        <v/>
      </c>
      <c r="FE729" s="0" t="str">
        <f aca="false">IF(FD729&lt;&gt;"Y","",IF(COUNTIFS($FD$2:$FD$1000,"Y",$J$2:$J$1000,"&gt;"&amp;J729)+COUNTIFS($FD$2:$FD$1000,"Y",$J$2:$J$1000,J729,$FG$2:$FG$1000,"&lt;"&amp;FG729)+1&lt;=30,COUNTIFS($FD$2:$FD$1000,"Y",$J$2:$J$1000,"&gt;"&amp;J729)+COUNTIFS($FD$2:$FD$1000,"Y",$J$2:$J$1000,J729,$FG$2:$FG$1000,"&lt;"&amp;FG729)+1,""))</f>
        <v/>
      </c>
      <c r="FF729" s="0" t="str">
        <f aca="false">IF(AND(_xlfn.ISFORMULA(C729),_xlfn.ISFORMULA(J729)),"Y","N")</f>
        <v>Y</v>
      </c>
      <c r="FG729" s="0" t="n">
        <f aca="false">ROW()-1</f>
        <v>728</v>
      </c>
    </row>
    <row r="730" customFormat="false" ht="15" hidden="false" customHeight="false" outlineLevel="0" collapsed="false">
      <c r="C730" s="0" t="str">
        <f aca="false">IF($A730="","",IF(AT730="Y",BL730&amp;"",AY730&amp;""))</f>
        <v/>
      </c>
      <c r="D730" s="0" t="str">
        <f aca="false">IF($A730="","",IF(AT730="Y",BM730&amp;"",AZ730&amp;""))</f>
        <v/>
      </c>
      <c r="E730" s="0" t="str">
        <f aca="false">IF($A730="","",IF(AT730="Y",BN730&amp;"",BA730&amp;""))</f>
        <v/>
      </c>
      <c r="F730" s="0" t="str">
        <f aca="false">IF($A730="","",IF(AT730="Y",BO730&amp;"",BB730&amp;""))</f>
        <v/>
      </c>
      <c r="G730" s="0" t="str">
        <f aca="false">IF($A730="","",IF(AT730="Y",BP730&amp;"",BC730&amp;""))</f>
        <v/>
      </c>
      <c r="H730" s="0" t="str">
        <f aca="false">IF($A730="","",IF(AT730="Y",BQ730&amp;"",BD730&amp;""))</f>
        <v/>
      </c>
      <c r="I730" s="0" t="str">
        <f aca="false">IF($A730="","",IF(R730="Y","warm-intro",IF(H730="verified","email",IF(C730&lt;&gt;"","linkedin",CA730&amp;""))))</f>
        <v/>
      </c>
      <c r="J730" s="0" t="str">
        <f aca="false">IF($A730="","",IF(CK730="pass",ROUND(N(DO730)+N(DP730)+N(DQ730)+N(DR730)+N(DS730)+N(DT730)+N(DU730)+N(DV730),0),0))</f>
        <v/>
      </c>
      <c r="K730" s="0" t="str">
        <f aca="false">IF($A730="","",IF(CK730&lt;&gt;"pass",BY730&amp;"",BY730&amp;", "&amp;IF(AT730="Y",BX730&amp;"",BK730&amp;"")&amp;BZ730&amp;IF(R730="Y","; known to the founder (+10)","")&amp;"."))</f>
        <v/>
      </c>
      <c r="R730" s="5"/>
      <c r="T730" s="5"/>
      <c r="U730" s="5"/>
      <c r="Y730" s="0" t="str">
        <f aca="false">IF(FA730&lt;&gt;"Y","",COUNTIFS($FA$2:$FA$1000,"Y",$J$2:$J$1000,"&gt;"&amp;J730)+COUNTIFS($FA$2:$FA$1000,"Y",$J$2:$J$1000,J730,$FG$2:$FG$1000,"&lt;"&amp;FG730)+1)</f>
        <v/>
      </c>
      <c r="AB730" s="0" t="str">
        <f aca="false">IF($A730="","",IF(AT730="Y",BW730&amp;"",BJ730&amp;""))</f>
        <v/>
      </c>
      <c r="AC730" s="0" t="str">
        <f aca="false">IF($A730="","",IF(AT730="Y",BR730&amp;"",BE730&amp;""))</f>
        <v/>
      </c>
      <c r="AD730" s="0" t="str">
        <f aca="false">IF($A730="","",IF(AT730="Y",BS730&amp;"",BF730&amp;""))</f>
        <v/>
      </c>
      <c r="AE730" s="0" t="str">
        <f aca="false">IF($A730="","",IF(AT730="Y",BT730&amp;"",BG730&amp;""))</f>
        <v/>
      </c>
      <c r="AF730" s="0" t="str">
        <f aca="false">IF($A730="","",IF(AT730="Y",BU730&amp;"",BH730&amp;""))</f>
        <v/>
      </c>
      <c r="AG730" s="0" t="str">
        <f aca="false">IF($A730="","",IF(AT730="Y",BV730&amp;"",BI730&amp;""))</f>
        <v/>
      </c>
      <c r="AO730" s="5"/>
      <c r="AR730" s="0" t="str">
        <f aca="false">IF($A730="","",IF(AND(CK730="pass",AO730&lt;&gt;"Y",C730&lt;&gt;"",OR(AU730&lt;&gt;"Y",AV730="Y")),"Y","N"))</f>
        <v/>
      </c>
      <c r="AS730" s="0" t="str">
        <f aca="false">IF($A730="","",_xlfn.TEXTJOIN("; ",TRUE(),IF(CK730&lt;&gt;"pass","gated out",""),IF(AO730="Y","on hold: "&amp;AP730,""),IF(C730="","no contact named on an opened page",""),IF(AND(AU730="Y",AV730&lt;&gt;"Y"),"founder review pending (Founder review tab)","")))</f>
        <v/>
      </c>
      <c r="BC730" s="0" t="str">
        <f aca="false">IF($A730="","",IFERROR(INDEX(Enrichment!$A$2:$GZ$2000,MATCH($A730,INDEX(Enrichment!$A$2:$GZ$2000,0,MATCH("row_id",Enrichment!$A$1:$GZ$1,0)),0),MATCH("work_email",Enrichment!$A$1:$GZ$1,0))&amp;"",""))</f>
        <v/>
      </c>
      <c r="BD730" s="0" t="str">
        <f aca="false">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P730" s="0" t="str">
        <f aca="false">IF($A730="","",IFERROR(INDEX(Enrichment!$A$2:$GZ$2000,MATCH($A730,INDEX(Enrichment!$A$2:$GZ$2000,0,MATCH("row_id",Enrichment!$A$1:$GZ$1,0)),0),MATCH("backup_work_email",Enrichment!$A$1:$GZ$1,0))&amp;"",""))</f>
        <v/>
      </c>
      <c r="BQ730" s="0" t="str">
        <f aca="false">IF($A730="","",IF(BP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DU730" s="0" t="str">
        <f aca="false">IF($A730="","",IF(R730="Y",10,0))</f>
        <v/>
      </c>
      <c r="EV730" s="0" t="str">
        <f aca="false">IF($A730="","",IF(ISNUMBER(MATCH(U730,{"queued","contacted","replied","call_booked","call_done","yes_in_principle","materials_sent"},0)),"Y","N"))</f>
        <v/>
      </c>
      <c r="EW730" s="0" t="str">
        <f aca="false">IF($A730="","",IF(OR(T730="Y",U730="do_not_contact",AQ730&amp;""&lt;&gt;""),"Y","N"))</f>
        <v/>
      </c>
      <c r="EX730" s="0" t="str">
        <f aca="false">IF($A730="","",IF(AN730&amp;""&lt;&gt;"",AN730&amp;"",$A730))</f>
        <v/>
      </c>
      <c r="EY730" s="0" t="str">
        <f aca="false">IF($A730="","",IF(COUNTIFS($EX$2:$EX$1000,EX730,$EV$2:$EV$1000,"Y")+COUNTIFS($EX$2:$EX$1000,EX730,$EW$2:$EW$1000,"Y")&gt;0,"Y","N"))</f>
        <v/>
      </c>
      <c r="EZ730" s="0" t="str">
        <f aca="false">IF($A730="","",IF(AND(U730="new",T730="N",EW730="N",AR730="Y",EY730="N"),"Y","N"))</f>
        <v/>
      </c>
      <c r="FA730" s="0" t="str">
        <f aca="false">IF($A730="","",IF(EZ730&lt;&gt;"Y","N",IF(COUNTIFS($EX$2:$EX$1000,EX730,$EZ$2:$EZ$1000,"Y",$J$2:$J$1000,"&gt;"&amp;J730)+COUNTIFS($EX$2:$EX$1000,EX730,$EZ$2:$EZ$1000,"Y",$J$2:$J$1000,J730,$FG$2:$FG$1000,"&lt;"&amp;FG730)=0,"Y","N")))</f>
        <v/>
      </c>
      <c r="FB730" s="0" t="str">
        <f aca="false">IF($A730="","",IF(AND(EZ730="Y",FA730="Y",Y730&amp;""&lt;&gt;""),IF(Y730&lt;=10,"Y","N"),"N"))</f>
        <v/>
      </c>
      <c r="FC730" s="0" t="str">
        <f aca="false">IF(FB730="Y",Y730,"")</f>
        <v/>
      </c>
      <c r="FD730" s="0" t="str">
        <f aca="false">IF($A730="","",IF(AND(CK730="pass",AU730="Y",AV730&lt;&gt;"Y",U730="new",EW730="N"),"Y","N"))</f>
        <v/>
      </c>
      <c r="FE730" s="0" t="str">
        <f aca="false">IF(FD730&lt;&gt;"Y","",IF(COUNTIFS($FD$2:$FD$1000,"Y",$J$2:$J$1000,"&gt;"&amp;J730)+COUNTIFS($FD$2:$FD$1000,"Y",$J$2:$J$1000,J730,$FG$2:$FG$1000,"&lt;"&amp;FG730)+1&lt;=30,COUNTIFS($FD$2:$FD$1000,"Y",$J$2:$J$1000,"&gt;"&amp;J730)+COUNTIFS($FD$2:$FD$1000,"Y",$J$2:$J$1000,J730,$FG$2:$FG$1000,"&lt;"&amp;FG730)+1,""))</f>
        <v/>
      </c>
      <c r="FF730" s="0" t="str">
        <f aca="false">IF(AND(_xlfn.ISFORMULA(C730),_xlfn.ISFORMULA(J730)),"Y","N")</f>
        <v>Y</v>
      </c>
      <c r="FG730" s="0" t="n">
        <f aca="false">ROW()-1</f>
        <v>729</v>
      </c>
    </row>
    <row r="731" customFormat="false" ht="15" hidden="false" customHeight="false" outlineLevel="0" collapsed="false">
      <c r="C731" s="0" t="str">
        <f aca="false">IF($A731="","",IF(AT731="Y",BL731&amp;"",AY731&amp;""))</f>
        <v/>
      </c>
      <c r="D731" s="0" t="str">
        <f aca="false">IF($A731="","",IF(AT731="Y",BM731&amp;"",AZ731&amp;""))</f>
        <v/>
      </c>
      <c r="E731" s="0" t="str">
        <f aca="false">IF($A731="","",IF(AT731="Y",BN731&amp;"",BA731&amp;""))</f>
        <v/>
      </c>
      <c r="F731" s="0" t="str">
        <f aca="false">IF($A731="","",IF(AT731="Y",BO731&amp;"",BB731&amp;""))</f>
        <v/>
      </c>
      <c r="G731" s="0" t="str">
        <f aca="false">IF($A731="","",IF(AT731="Y",BP731&amp;"",BC731&amp;""))</f>
        <v/>
      </c>
      <c r="H731" s="0" t="str">
        <f aca="false">IF($A731="","",IF(AT731="Y",BQ731&amp;"",BD731&amp;""))</f>
        <v/>
      </c>
      <c r="I731" s="0" t="str">
        <f aca="false">IF($A731="","",IF(R731="Y","warm-intro",IF(H731="verified","email",IF(C731&lt;&gt;"","linkedin",CA731&amp;""))))</f>
        <v/>
      </c>
      <c r="J731" s="0" t="str">
        <f aca="false">IF($A731="","",IF(CK731="pass",ROUND(N(DO731)+N(DP731)+N(DQ731)+N(DR731)+N(DS731)+N(DT731)+N(DU731)+N(DV731),0),0))</f>
        <v/>
      </c>
      <c r="K731" s="0" t="str">
        <f aca="false">IF($A731="","",IF(CK731&lt;&gt;"pass",BY731&amp;"",BY731&amp;", "&amp;IF(AT731="Y",BX731&amp;"",BK731&amp;"")&amp;BZ731&amp;IF(R731="Y","; known to the founder (+10)","")&amp;"."))</f>
        <v/>
      </c>
      <c r="R731" s="5"/>
      <c r="T731" s="5"/>
      <c r="U731" s="5"/>
      <c r="Y731" s="0" t="str">
        <f aca="false">IF(FA731&lt;&gt;"Y","",COUNTIFS($FA$2:$FA$1000,"Y",$J$2:$J$1000,"&gt;"&amp;J731)+COUNTIFS($FA$2:$FA$1000,"Y",$J$2:$J$1000,J731,$FG$2:$FG$1000,"&lt;"&amp;FG731)+1)</f>
        <v/>
      </c>
      <c r="AB731" s="0" t="str">
        <f aca="false">IF($A731="","",IF(AT731="Y",BW731&amp;"",BJ731&amp;""))</f>
        <v/>
      </c>
      <c r="AC731" s="0" t="str">
        <f aca="false">IF($A731="","",IF(AT731="Y",BR731&amp;"",BE731&amp;""))</f>
        <v/>
      </c>
      <c r="AD731" s="0" t="str">
        <f aca="false">IF($A731="","",IF(AT731="Y",BS731&amp;"",BF731&amp;""))</f>
        <v/>
      </c>
      <c r="AE731" s="0" t="str">
        <f aca="false">IF($A731="","",IF(AT731="Y",BT731&amp;"",BG731&amp;""))</f>
        <v/>
      </c>
      <c r="AF731" s="0" t="str">
        <f aca="false">IF($A731="","",IF(AT731="Y",BU731&amp;"",BH731&amp;""))</f>
        <v/>
      </c>
      <c r="AG731" s="0" t="str">
        <f aca="false">IF($A731="","",IF(AT731="Y",BV731&amp;"",BI731&amp;""))</f>
        <v/>
      </c>
      <c r="AO731" s="5"/>
      <c r="AR731" s="0" t="str">
        <f aca="false">IF($A731="","",IF(AND(CK731="pass",AO731&lt;&gt;"Y",C731&lt;&gt;"",OR(AU731&lt;&gt;"Y",AV731="Y")),"Y","N"))</f>
        <v/>
      </c>
      <c r="AS731" s="0" t="str">
        <f aca="false">IF($A731="","",_xlfn.TEXTJOIN("; ",TRUE(),IF(CK731&lt;&gt;"pass","gated out",""),IF(AO731="Y","on hold: "&amp;AP731,""),IF(C731="","no contact named on an opened page",""),IF(AND(AU731="Y",AV731&lt;&gt;"Y"),"founder review pending (Founder review tab)","")))</f>
        <v/>
      </c>
      <c r="BC731" s="0" t="str">
        <f aca="false">IF($A731="","",IFERROR(INDEX(Enrichment!$A$2:$GZ$2000,MATCH($A731,INDEX(Enrichment!$A$2:$GZ$2000,0,MATCH("row_id",Enrichment!$A$1:$GZ$1,0)),0),MATCH("work_email",Enrichment!$A$1:$GZ$1,0))&amp;"",""))</f>
        <v/>
      </c>
      <c r="BD731" s="0" t="str">
        <f aca="false">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P731" s="0" t="str">
        <f aca="false">IF($A731="","",IFERROR(INDEX(Enrichment!$A$2:$GZ$2000,MATCH($A731,INDEX(Enrichment!$A$2:$GZ$2000,0,MATCH("row_id",Enrichment!$A$1:$GZ$1,0)),0),MATCH("backup_work_email",Enrichment!$A$1:$GZ$1,0))&amp;"",""))</f>
        <v/>
      </c>
      <c r="BQ731" s="0" t="str">
        <f aca="false">IF($A731="","",IF(BP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DU731" s="0" t="str">
        <f aca="false">IF($A731="","",IF(R731="Y",10,0))</f>
        <v/>
      </c>
      <c r="EV731" s="0" t="str">
        <f aca="false">IF($A731="","",IF(ISNUMBER(MATCH(U731,{"queued","contacted","replied","call_booked","call_done","yes_in_principle","materials_sent"},0)),"Y","N"))</f>
        <v/>
      </c>
      <c r="EW731" s="0" t="str">
        <f aca="false">IF($A731="","",IF(OR(T731="Y",U731="do_not_contact",AQ731&amp;""&lt;&gt;""),"Y","N"))</f>
        <v/>
      </c>
      <c r="EX731" s="0" t="str">
        <f aca="false">IF($A731="","",IF(AN731&amp;""&lt;&gt;"",AN731&amp;"",$A731))</f>
        <v/>
      </c>
      <c r="EY731" s="0" t="str">
        <f aca="false">IF($A731="","",IF(COUNTIFS($EX$2:$EX$1000,EX731,$EV$2:$EV$1000,"Y")+COUNTIFS($EX$2:$EX$1000,EX731,$EW$2:$EW$1000,"Y")&gt;0,"Y","N"))</f>
        <v/>
      </c>
      <c r="EZ731" s="0" t="str">
        <f aca="false">IF($A731="","",IF(AND(U731="new",T731="N",EW731="N",AR731="Y",EY731="N"),"Y","N"))</f>
        <v/>
      </c>
      <c r="FA731" s="0" t="str">
        <f aca="false">IF($A731="","",IF(EZ731&lt;&gt;"Y","N",IF(COUNTIFS($EX$2:$EX$1000,EX731,$EZ$2:$EZ$1000,"Y",$J$2:$J$1000,"&gt;"&amp;J731)+COUNTIFS($EX$2:$EX$1000,EX731,$EZ$2:$EZ$1000,"Y",$J$2:$J$1000,J731,$FG$2:$FG$1000,"&lt;"&amp;FG731)=0,"Y","N")))</f>
        <v/>
      </c>
      <c r="FB731" s="0" t="str">
        <f aca="false">IF($A731="","",IF(AND(EZ731="Y",FA731="Y",Y731&amp;""&lt;&gt;""),IF(Y731&lt;=10,"Y","N"),"N"))</f>
        <v/>
      </c>
      <c r="FC731" s="0" t="str">
        <f aca="false">IF(FB731="Y",Y731,"")</f>
        <v/>
      </c>
      <c r="FD731" s="0" t="str">
        <f aca="false">IF($A731="","",IF(AND(CK731="pass",AU731="Y",AV731&lt;&gt;"Y",U731="new",EW731="N"),"Y","N"))</f>
        <v/>
      </c>
      <c r="FE731" s="0" t="str">
        <f aca="false">IF(FD731&lt;&gt;"Y","",IF(COUNTIFS($FD$2:$FD$1000,"Y",$J$2:$J$1000,"&gt;"&amp;J731)+COUNTIFS($FD$2:$FD$1000,"Y",$J$2:$J$1000,J731,$FG$2:$FG$1000,"&lt;"&amp;FG731)+1&lt;=30,COUNTIFS($FD$2:$FD$1000,"Y",$J$2:$J$1000,"&gt;"&amp;J731)+COUNTIFS($FD$2:$FD$1000,"Y",$J$2:$J$1000,J731,$FG$2:$FG$1000,"&lt;"&amp;FG731)+1,""))</f>
        <v/>
      </c>
      <c r="FF731" s="0" t="str">
        <f aca="false">IF(AND(_xlfn.ISFORMULA(C731),_xlfn.ISFORMULA(J731)),"Y","N")</f>
        <v>Y</v>
      </c>
      <c r="FG731" s="0" t="n">
        <f aca="false">ROW()-1</f>
        <v>730</v>
      </c>
    </row>
    <row r="732" customFormat="false" ht="15" hidden="false" customHeight="false" outlineLevel="0" collapsed="false">
      <c r="C732" s="0" t="str">
        <f aca="false">IF($A732="","",IF(AT732="Y",BL732&amp;"",AY732&amp;""))</f>
        <v/>
      </c>
      <c r="D732" s="0" t="str">
        <f aca="false">IF($A732="","",IF(AT732="Y",BM732&amp;"",AZ732&amp;""))</f>
        <v/>
      </c>
      <c r="E732" s="0" t="str">
        <f aca="false">IF($A732="","",IF(AT732="Y",BN732&amp;"",BA732&amp;""))</f>
        <v/>
      </c>
      <c r="F732" s="0" t="str">
        <f aca="false">IF($A732="","",IF(AT732="Y",BO732&amp;"",BB732&amp;""))</f>
        <v/>
      </c>
      <c r="G732" s="0" t="str">
        <f aca="false">IF($A732="","",IF(AT732="Y",BP732&amp;"",BC732&amp;""))</f>
        <v/>
      </c>
      <c r="H732" s="0" t="str">
        <f aca="false">IF($A732="","",IF(AT732="Y",BQ732&amp;"",BD732&amp;""))</f>
        <v/>
      </c>
      <c r="I732" s="0" t="str">
        <f aca="false">IF($A732="","",IF(R732="Y","warm-intro",IF(H732="verified","email",IF(C732&lt;&gt;"","linkedin",CA732&amp;""))))</f>
        <v/>
      </c>
      <c r="J732" s="0" t="str">
        <f aca="false">IF($A732="","",IF(CK732="pass",ROUND(N(DO732)+N(DP732)+N(DQ732)+N(DR732)+N(DS732)+N(DT732)+N(DU732)+N(DV732),0),0))</f>
        <v/>
      </c>
      <c r="K732" s="0" t="str">
        <f aca="false">IF($A732="","",IF(CK732&lt;&gt;"pass",BY732&amp;"",BY732&amp;", "&amp;IF(AT732="Y",BX732&amp;"",BK732&amp;"")&amp;BZ732&amp;IF(R732="Y","; known to the founder (+10)","")&amp;"."))</f>
        <v/>
      </c>
      <c r="R732" s="5"/>
      <c r="T732" s="5"/>
      <c r="U732" s="5"/>
      <c r="Y732" s="0" t="str">
        <f aca="false">IF(FA732&lt;&gt;"Y","",COUNTIFS($FA$2:$FA$1000,"Y",$J$2:$J$1000,"&gt;"&amp;J732)+COUNTIFS($FA$2:$FA$1000,"Y",$J$2:$J$1000,J732,$FG$2:$FG$1000,"&lt;"&amp;FG732)+1)</f>
        <v/>
      </c>
      <c r="AB732" s="0" t="str">
        <f aca="false">IF($A732="","",IF(AT732="Y",BW732&amp;"",BJ732&amp;""))</f>
        <v/>
      </c>
      <c r="AC732" s="0" t="str">
        <f aca="false">IF($A732="","",IF(AT732="Y",BR732&amp;"",BE732&amp;""))</f>
        <v/>
      </c>
      <c r="AD732" s="0" t="str">
        <f aca="false">IF($A732="","",IF(AT732="Y",BS732&amp;"",BF732&amp;""))</f>
        <v/>
      </c>
      <c r="AE732" s="0" t="str">
        <f aca="false">IF($A732="","",IF(AT732="Y",BT732&amp;"",BG732&amp;""))</f>
        <v/>
      </c>
      <c r="AF732" s="0" t="str">
        <f aca="false">IF($A732="","",IF(AT732="Y",BU732&amp;"",BH732&amp;""))</f>
        <v/>
      </c>
      <c r="AG732" s="0" t="str">
        <f aca="false">IF($A732="","",IF(AT732="Y",BV732&amp;"",BI732&amp;""))</f>
        <v/>
      </c>
      <c r="AO732" s="5"/>
      <c r="AR732" s="0" t="str">
        <f aca="false">IF($A732="","",IF(AND(CK732="pass",AO732&lt;&gt;"Y",C732&lt;&gt;"",OR(AU732&lt;&gt;"Y",AV732="Y")),"Y","N"))</f>
        <v/>
      </c>
      <c r="AS732" s="0" t="str">
        <f aca="false">IF($A732="","",_xlfn.TEXTJOIN("; ",TRUE(),IF(CK732&lt;&gt;"pass","gated out",""),IF(AO732="Y","on hold: "&amp;AP732,""),IF(C732="","no contact named on an opened page",""),IF(AND(AU732="Y",AV732&lt;&gt;"Y"),"founder review pending (Founder review tab)","")))</f>
        <v/>
      </c>
      <c r="BC732" s="0" t="str">
        <f aca="false">IF($A732="","",IFERROR(INDEX(Enrichment!$A$2:$GZ$2000,MATCH($A732,INDEX(Enrichment!$A$2:$GZ$2000,0,MATCH("row_id",Enrichment!$A$1:$GZ$1,0)),0),MATCH("work_email",Enrichment!$A$1:$GZ$1,0))&amp;"",""))</f>
        <v/>
      </c>
      <c r="BD732" s="0" t="str">
        <f aca="false">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P732" s="0" t="str">
        <f aca="false">IF($A732="","",IFERROR(INDEX(Enrichment!$A$2:$GZ$2000,MATCH($A732,INDEX(Enrichment!$A$2:$GZ$2000,0,MATCH("row_id",Enrichment!$A$1:$GZ$1,0)),0),MATCH("backup_work_email",Enrichment!$A$1:$GZ$1,0))&amp;"",""))</f>
        <v/>
      </c>
      <c r="BQ732" s="0" t="str">
        <f aca="false">IF($A732="","",IF(BP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DU732" s="0" t="str">
        <f aca="false">IF($A732="","",IF(R732="Y",10,0))</f>
        <v/>
      </c>
      <c r="EV732" s="0" t="str">
        <f aca="false">IF($A732="","",IF(ISNUMBER(MATCH(U732,{"queued","contacted","replied","call_booked","call_done","yes_in_principle","materials_sent"},0)),"Y","N"))</f>
        <v/>
      </c>
      <c r="EW732" s="0" t="str">
        <f aca="false">IF($A732="","",IF(OR(T732="Y",U732="do_not_contact",AQ732&amp;""&lt;&gt;""),"Y","N"))</f>
        <v/>
      </c>
      <c r="EX732" s="0" t="str">
        <f aca="false">IF($A732="","",IF(AN732&amp;""&lt;&gt;"",AN732&amp;"",$A732))</f>
        <v/>
      </c>
      <c r="EY732" s="0" t="str">
        <f aca="false">IF($A732="","",IF(COUNTIFS($EX$2:$EX$1000,EX732,$EV$2:$EV$1000,"Y")+COUNTIFS($EX$2:$EX$1000,EX732,$EW$2:$EW$1000,"Y")&gt;0,"Y","N"))</f>
        <v/>
      </c>
      <c r="EZ732" s="0" t="str">
        <f aca="false">IF($A732="","",IF(AND(U732="new",T732="N",EW732="N",AR732="Y",EY732="N"),"Y","N"))</f>
        <v/>
      </c>
      <c r="FA732" s="0" t="str">
        <f aca="false">IF($A732="","",IF(EZ732&lt;&gt;"Y","N",IF(COUNTIFS($EX$2:$EX$1000,EX732,$EZ$2:$EZ$1000,"Y",$J$2:$J$1000,"&gt;"&amp;J732)+COUNTIFS($EX$2:$EX$1000,EX732,$EZ$2:$EZ$1000,"Y",$J$2:$J$1000,J732,$FG$2:$FG$1000,"&lt;"&amp;FG732)=0,"Y","N")))</f>
        <v/>
      </c>
      <c r="FB732" s="0" t="str">
        <f aca="false">IF($A732="","",IF(AND(EZ732="Y",FA732="Y",Y732&amp;""&lt;&gt;""),IF(Y732&lt;=10,"Y","N"),"N"))</f>
        <v/>
      </c>
      <c r="FC732" s="0" t="str">
        <f aca="false">IF(FB732="Y",Y732,"")</f>
        <v/>
      </c>
      <c r="FD732" s="0" t="str">
        <f aca="false">IF($A732="","",IF(AND(CK732="pass",AU732="Y",AV732&lt;&gt;"Y",U732="new",EW732="N"),"Y","N"))</f>
        <v/>
      </c>
      <c r="FE732" s="0" t="str">
        <f aca="false">IF(FD732&lt;&gt;"Y","",IF(COUNTIFS($FD$2:$FD$1000,"Y",$J$2:$J$1000,"&gt;"&amp;J732)+COUNTIFS($FD$2:$FD$1000,"Y",$J$2:$J$1000,J732,$FG$2:$FG$1000,"&lt;"&amp;FG732)+1&lt;=30,COUNTIFS($FD$2:$FD$1000,"Y",$J$2:$J$1000,"&gt;"&amp;J732)+COUNTIFS($FD$2:$FD$1000,"Y",$J$2:$J$1000,J732,$FG$2:$FG$1000,"&lt;"&amp;FG732)+1,""))</f>
        <v/>
      </c>
      <c r="FF732" s="0" t="str">
        <f aca="false">IF(AND(_xlfn.ISFORMULA(C732),_xlfn.ISFORMULA(J732)),"Y","N")</f>
        <v>Y</v>
      </c>
      <c r="FG732" s="0" t="n">
        <f aca="false">ROW()-1</f>
        <v>731</v>
      </c>
    </row>
    <row r="733" customFormat="false" ht="15" hidden="false" customHeight="false" outlineLevel="0" collapsed="false">
      <c r="C733" s="0" t="str">
        <f aca="false">IF($A733="","",IF(AT733="Y",BL733&amp;"",AY733&amp;""))</f>
        <v/>
      </c>
      <c r="D733" s="0" t="str">
        <f aca="false">IF($A733="","",IF(AT733="Y",BM733&amp;"",AZ733&amp;""))</f>
        <v/>
      </c>
      <c r="E733" s="0" t="str">
        <f aca="false">IF($A733="","",IF(AT733="Y",BN733&amp;"",BA733&amp;""))</f>
        <v/>
      </c>
      <c r="F733" s="0" t="str">
        <f aca="false">IF($A733="","",IF(AT733="Y",BO733&amp;"",BB733&amp;""))</f>
        <v/>
      </c>
      <c r="G733" s="0" t="str">
        <f aca="false">IF($A733="","",IF(AT733="Y",BP733&amp;"",BC733&amp;""))</f>
        <v/>
      </c>
      <c r="H733" s="0" t="str">
        <f aca="false">IF($A733="","",IF(AT733="Y",BQ733&amp;"",BD733&amp;""))</f>
        <v/>
      </c>
      <c r="I733" s="0" t="str">
        <f aca="false">IF($A733="","",IF(R733="Y","warm-intro",IF(H733="verified","email",IF(C733&lt;&gt;"","linkedin",CA733&amp;""))))</f>
        <v/>
      </c>
      <c r="J733" s="0" t="str">
        <f aca="false">IF($A733="","",IF(CK733="pass",ROUND(N(DO733)+N(DP733)+N(DQ733)+N(DR733)+N(DS733)+N(DT733)+N(DU733)+N(DV733),0),0))</f>
        <v/>
      </c>
      <c r="K733" s="0" t="str">
        <f aca="false">IF($A733="","",IF(CK733&lt;&gt;"pass",BY733&amp;"",BY733&amp;", "&amp;IF(AT733="Y",BX733&amp;"",BK733&amp;"")&amp;BZ733&amp;IF(R733="Y","; known to the founder (+10)","")&amp;"."))</f>
        <v/>
      </c>
      <c r="R733" s="5"/>
      <c r="T733" s="5"/>
      <c r="U733" s="5"/>
      <c r="Y733" s="0" t="str">
        <f aca="false">IF(FA733&lt;&gt;"Y","",COUNTIFS($FA$2:$FA$1000,"Y",$J$2:$J$1000,"&gt;"&amp;J733)+COUNTIFS($FA$2:$FA$1000,"Y",$J$2:$J$1000,J733,$FG$2:$FG$1000,"&lt;"&amp;FG733)+1)</f>
        <v/>
      </c>
      <c r="AB733" s="0" t="str">
        <f aca="false">IF($A733="","",IF(AT733="Y",BW733&amp;"",BJ733&amp;""))</f>
        <v/>
      </c>
      <c r="AC733" s="0" t="str">
        <f aca="false">IF($A733="","",IF(AT733="Y",BR733&amp;"",BE733&amp;""))</f>
        <v/>
      </c>
      <c r="AD733" s="0" t="str">
        <f aca="false">IF($A733="","",IF(AT733="Y",BS733&amp;"",BF733&amp;""))</f>
        <v/>
      </c>
      <c r="AE733" s="0" t="str">
        <f aca="false">IF($A733="","",IF(AT733="Y",BT733&amp;"",BG733&amp;""))</f>
        <v/>
      </c>
      <c r="AF733" s="0" t="str">
        <f aca="false">IF($A733="","",IF(AT733="Y",BU733&amp;"",BH733&amp;""))</f>
        <v/>
      </c>
      <c r="AG733" s="0" t="str">
        <f aca="false">IF($A733="","",IF(AT733="Y",BV733&amp;"",BI733&amp;""))</f>
        <v/>
      </c>
      <c r="AO733" s="5"/>
      <c r="AR733" s="0" t="str">
        <f aca="false">IF($A733="","",IF(AND(CK733="pass",AO733&lt;&gt;"Y",C733&lt;&gt;"",OR(AU733&lt;&gt;"Y",AV733="Y")),"Y","N"))</f>
        <v/>
      </c>
      <c r="AS733" s="0" t="str">
        <f aca="false">IF($A733="","",_xlfn.TEXTJOIN("; ",TRUE(),IF(CK733&lt;&gt;"pass","gated out",""),IF(AO733="Y","on hold: "&amp;AP733,""),IF(C733="","no contact named on an opened page",""),IF(AND(AU733="Y",AV733&lt;&gt;"Y"),"founder review pending (Founder review tab)","")))</f>
        <v/>
      </c>
      <c r="BC733" s="0" t="str">
        <f aca="false">IF($A733="","",IFERROR(INDEX(Enrichment!$A$2:$GZ$2000,MATCH($A733,INDEX(Enrichment!$A$2:$GZ$2000,0,MATCH("row_id",Enrichment!$A$1:$GZ$1,0)),0),MATCH("work_email",Enrichment!$A$1:$GZ$1,0))&amp;"",""))</f>
        <v/>
      </c>
      <c r="BD733" s="0" t="str">
        <f aca="false">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P733" s="0" t="str">
        <f aca="false">IF($A733="","",IFERROR(INDEX(Enrichment!$A$2:$GZ$2000,MATCH($A733,INDEX(Enrichment!$A$2:$GZ$2000,0,MATCH("row_id",Enrichment!$A$1:$GZ$1,0)),0),MATCH("backup_work_email",Enrichment!$A$1:$GZ$1,0))&amp;"",""))</f>
        <v/>
      </c>
      <c r="BQ733" s="0" t="str">
        <f aca="false">IF($A733="","",IF(BP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DU733" s="0" t="str">
        <f aca="false">IF($A733="","",IF(R733="Y",10,0))</f>
        <v/>
      </c>
      <c r="EV733" s="0" t="str">
        <f aca="false">IF($A733="","",IF(ISNUMBER(MATCH(U733,{"queued","contacted","replied","call_booked","call_done","yes_in_principle","materials_sent"},0)),"Y","N"))</f>
        <v/>
      </c>
      <c r="EW733" s="0" t="str">
        <f aca="false">IF($A733="","",IF(OR(T733="Y",U733="do_not_contact",AQ733&amp;""&lt;&gt;""),"Y","N"))</f>
        <v/>
      </c>
      <c r="EX733" s="0" t="str">
        <f aca="false">IF($A733="","",IF(AN733&amp;""&lt;&gt;"",AN733&amp;"",$A733))</f>
        <v/>
      </c>
      <c r="EY733" s="0" t="str">
        <f aca="false">IF($A733="","",IF(COUNTIFS($EX$2:$EX$1000,EX733,$EV$2:$EV$1000,"Y")+COUNTIFS($EX$2:$EX$1000,EX733,$EW$2:$EW$1000,"Y")&gt;0,"Y","N"))</f>
        <v/>
      </c>
      <c r="EZ733" s="0" t="str">
        <f aca="false">IF($A733="","",IF(AND(U733="new",T733="N",EW733="N",AR733="Y",EY733="N"),"Y","N"))</f>
        <v/>
      </c>
      <c r="FA733" s="0" t="str">
        <f aca="false">IF($A733="","",IF(EZ733&lt;&gt;"Y","N",IF(COUNTIFS($EX$2:$EX$1000,EX733,$EZ$2:$EZ$1000,"Y",$J$2:$J$1000,"&gt;"&amp;J733)+COUNTIFS($EX$2:$EX$1000,EX733,$EZ$2:$EZ$1000,"Y",$J$2:$J$1000,J733,$FG$2:$FG$1000,"&lt;"&amp;FG733)=0,"Y","N")))</f>
        <v/>
      </c>
      <c r="FB733" s="0" t="str">
        <f aca="false">IF($A733="","",IF(AND(EZ733="Y",FA733="Y",Y733&amp;""&lt;&gt;""),IF(Y733&lt;=10,"Y","N"),"N"))</f>
        <v/>
      </c>
      <c r="FC733" s="0" t="str">
        <f aca="false">IF(FB733="Y",Y733,"")</f>
        <v/>
      </c>
      <c r="FD733" s="0" t="str">
        <f aca="false">IF($A733="","",IF(AND(CK733="pass",AU733="Y",AV733&lt;&gt;"Y",U733="new",EW733="N"),"Y","N"))</f>
        <v/>
      </c>
      <c r="FE733" s="0" t="str">
        <f aca="false">IF(FD733&lt;&gt;"Y","",IF(COUNTIFS($FD$2:$FD$1000,"Y",$J$2:$J$1000,"&gt;"&amp;J733)+COUNTIFS($FD$2:$FD$1000,"Y",$J$2:$J$1000,J733,$FG$2:$FG$1000,"&lt;"&amp;FG733)+1&lt;=30,COUNTIFS($FD$2:$FD$1000,"Y",$J$2:$J$1000,"&gt;"&amp;J733)+COUNTIFS($FD$2:$FD$1000,"Y",$J$2:$J$1000,J733,$FG$2:$FG$1000,"&lt;"&amp;FG733)+1,""))</f>
        <v/>
      </c>
      <c r="FF733" s="0" t="str">
        <f aca="false">IF(AND(_xlfn.ISFORMULA(C733),_xlfn.ISFORMULA(J733)),"Y","N")</f>
        <v>Y</v>
      </c>
      <c r="FG733" s="0" t="n">
        <f aca="false">ROW()-1</f>
        <v>732</v>
      </c>
    </row>
    <row r="734" customFormat="false" ht="15" hidden="false" customHeight="false" outlineLevel="0" collapsed="false">
      <c r="C734" s="0" t="str">
        <f aca="false">IF($A734="","",IF(AT734="Y",BL734&amp;"",AY734&amp;""))</f>
        <v/>
      </c>
      <c r="D734" s="0" t="str">
        <f aca="false">IF($A734="","",IF(AT734="Y",BM734&amp;"",AZ734&amp;""))</f>
        <v/>
      </c>
      <c r="E734" s="0" t="str">
        <f aca="false">IF($A734="","",IF(AT734="Y",BN734&amp;"",BA734&amp;""))</f>
        <v/>
      </c>
      <c r="F734" s="0" t="str">
        <f aca="false">IF($A734="","",IF(AT734="Y",BO734&amp;"",BB734&amp;""))</f>
        <v/>
      </c>
      <c r="G734" s="0" t="str">
        <f aca="false">IF($A734="","",IF(AT734="Y",BP734&amp;"",BC734&amp;""))</f>
        <v/>
      </c>
      <c r="H734" s="0" t="str">
        <f aca="false">IF($A734="","",IF(AT734="Y",BQ734&amp;"",BD734&amp;""))</f>
        <v/>
      </c>
      <c r="I734" s="0" t="str">
        <f aca="false">IF($A734="","",IF(R734="Y","warm-intro",IF(H734="verified","email",IF(C734&lt;&gt;"","linkedin",CA734&amp;""))))</f>
        <v/>
      </c>
      <c r="J734" s="0" t="str">
        <f aca="false">IF($A734="","",IF(CK734="pass",ROUND(N(DO734)+N(DP734)+N(DQ734)+N(DR734)+N(DS734)+N(DT734)+N(DU734)+N(DV734),0),0))</f>
        <v/>
      </c>
      <c r="K734" s="0" t="str">
        <f aca="false">IF($A734="","",IF(CK734&lt;&gt;"pass",BY734&amp;"",BY734&amp;", "&amp;IF(AT734="Y",BX734&amp;"",BK734&amp;"")&amp;BZ734&amp;IF(R734="Y","; known to the founder (+10)","")&amp;"."))</f>
        <v/>
      </c>
      <c r="R734" s="5"/>
      <c r="T734" s="5"/>
      <c r="U734" s="5"/>
      <c r="Y734" s="0" t="str">
        <f aca="false">IF(FA734&lt;&gt;"Y","",COUNTIFS($FA$2:$FA$1000,"Y",$J$2:$J$1000,"&gt;"&amp;J734)+COUNTIFS($FA$2:$FA$1000,"Y",$J$2:$J$1000,J734,$FG$2:$FG$1000,"&lt;"&amp;FG734)+1)</f>
        <v/>
      </c>
      <c r="AB734" s="0" t="str">
        <f aca="false">IF($A734="","",IF(AT734="Y",BW734&amp;"",BJ734&amp;""))</f>
        <v/>
      </c>
      <c r="AC734" s="0" t="str">
        <f aca="false">IF($A734="","",IF(AT734="Y",BR734&amp;"",BE734&amp;""))</f>
        <v/>
      </c>
      <c r="AD734" s="0" t="str">
        <f aca="false">IF($A734="","",IF(AT734="Y",BS734&amp;"",BF734&amp;""))</f>
        <v/>
      </c>
      <c r="AE734" s="0" t="str">
        <f aca="false">IF($A734="","",IF(AT734="Y",BT734&amp;"",BG734&amp;""))</f>
        <v/>
      </c>
      <c r="AF734" s="0" t="str">
        <f aca="false">IF($A734="","",IF(AT734="Y",BU734&amp;"",BH734&amp;""))</f>
        <v/>
      </c>
      <c r="AG734" s="0" t="str">
        <f aca="false">IF($A734="","",IF(AT734="Y",BV734&amp;"",BI734&amp;""))</f>
        <v/>
      </c>
      <c r="AO734" s="5"/>
      <c r="AR734" s="0" t="str">
        <f aca="false">IF($A734="","",IF(AND(CK734="pass",AO734&lt;&gt;"Y",C734&lt;&gt;"",OR(AU734&lt;&gt;"Y",AV734="Y")),"Y","N"))</f>
        <v/>
      </c>
      <c r="AS734" s="0" t="str">
        <f aca="false">IF($A734="","",_xlfn.TEXTJOIN("; ",TRUE(),IF(CK734&lt;&gt;"pass","gated out",""),IF(AO734="Y","on hold: "&amp;AP734,""),IF(C734="","no contact named on an opened page",""),IF(AND(AU734="Y",AV734&lt;&gt;"Y"),"founder review pending (Founder review tab)","")))</f>
        <v/>
      </c>
      <c r="BC734" s="0" t="str">
        <f aca="false">IF($A734="","",IFERROR(INDEX(Enrichment!$A$2:$GZ$2000,MATCH($A734,INDEX(Enrichment!$A$2:$GZ$2000,0,MATCH("row_id",Enrichment!$A$1:$GZ$1,0)),0),MATCH("work_email",Enrichment!$A$1:$GZ$1,0))&amp;"",""))</f>
        <v/>
      </c>
      <c r="BD734" s="0" t="str">
        <f aca="false">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P734" s="0" t="str">
        <f aca="false">IF($A734="","",IFERROR(INDEX(Enrichment!$A$2:$GZ$2000,MATCH($A734,INDEX(Enrichment!$A$2:$GZ$2000,0,MATCH("row_id",Enrichment!$A$1:$GZ$1,0)),0),MATCH("backup_work_email",Enrichment!$A$1:$GZ$1,0))&amp;"",""))</f>
        <v/>
      </c>
      <c r="BQ734" s="0" t="str">
        <f aca="false">IF($A734="","",IF(BP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DU734" s="0" t="str">
        <f aca="false">IF($A734="","",IF(R734="Y",10,0))</f>
        <v/>
      </c>
      <c r="EV734" s="0" t="str">
        <f aca="false">IF($A734="","",IF(ISNUMBER(MATCH(U734,{"queued","contacted","replied","call_booked","call_done","yes_in_principle","materials_sent"},0)),"Y","N"))</f>
        <v/>
      </c>
      <c r="EW734" s="0" t="str">
        <f aca="false">IF($A734="","",IF(OR(T734="Y",U734="do_not_contact",AQ734&amp;""&lt;&gt;""),"Y","N"))</f>
        <v/>
      </c>
      <c r="EX734" s="0" t="str">
        <f aca="false">IF($A734="","",IF(AN734&amp;""&lt;&gt;"",AN734&amp;"",$A734))</f>
        <v/>
      </c>
      <c r="EY734" s="0" t="str">
        <f aca="false">IF($A734="","",IF(COUNTIFS($EX$2:$EX$1000,EX734,$EV$2:$EV$1000,"Y")+COUNTIFS($EX$2:$EX$1000,EX734,$EW$2:$EW$1000,"Y")&gt;0,"Y","N"))</f>
        <v/>
      </c>
      <c r="EZ734" s="0" t="str">
        <f aca="false">IF($A734="","",IF(AND(U734="new",T734="N",EW734="N",AR734="Y",EY734="N"),"Y","N"))</f>
        <v/>
      </c>
      <c r="FA734" s="0" t="str">
        <f aca="false">IF($A734="","",IF(EZ734&lt;&gt;"Y","N",IF(COUNTIFS($EX$2:$EX$1000,EX734,$EZ$2:$EZ$1000,"Y",$J$2:$J$1000,"&gt;"&amp;J734)+COUNTIFS($EX$2:$EX$1000,EX734,$EZ$2:$EZ$1000,"Y",$J$2:$J$1000,J734,$FG$2:$FG$1000,"&lt;"&amp;FG734)=0,"Y","N")))</f>
        <v/>
      </c>
      <c r="FB734" s="0" t="str">
        <f aca="false">IF($A734="","",IF(AND(EZ734="Y",FA734="Y",Y734&amp;""&lt;&gt;""),IF(Y734&lt;=10,"Y","N"),"N"))</f>
        <v/>
      </c>
      <c r="FC734" s="0" t="str">
        <f aca="false">IF(FB734="Y",Y734,"")</f>
        <v/>
      </c>
      <c r="FD734" s="0" t="str">
        <f aca="false">IF($A734="","",IF(AND(CK734="pass",AU734="Y",AV734&lt;&gt;"Y",U734="new",EW734="N"),"Y","N"))</f>
        <v/>
      </c>
      <c r="FE734" s="0" t="str">
        <f aca="false">IF(FD734&lt;&gt;"Y","",IF(COUNTIFS($FD$2:$FD$1000,"Y",$J$2:$J$1000,"&gt;"&amp;J734)+COUNTIFS($FD$2:$FD$1000,"Y",$J$2:$J$1000,J734,$FG$2:$FG$1000,"&lt;"&amp;FG734)+1&lt;=30,COUNTIFS($FD$2:$FD$1000,"Y",$J$2:$J$1000,"&gt;"&amp;J734)+COUNTIFS($FD$2:$FD$1000,"Y",$J$2:$J$1000,J734,$FG$2:$FG$1000,"&lt;"&amp;FG734)+1,""))</f>
        <v/>
      </c>
      <c r="FF734" s="0" t="str">
        <f aca="false">IF(AND(_xlfn.ISFORMULA(C734),_xlfn.ISFORMULA(J734)),"Y","N")</f>
        <v>Y</v>
      </c>
      <c r="FG734" s="0" t="n">
        <f aca="false">ROW()-1</f>
        <v>733</v>
      </c>
    </row>
    <row r="735" customFormat="false" ht="15" hidden="false" customHeight="false" outlineLevel="0" collapsed="false">
      <c r="C735" s="0" t="str">
        <f aca="false">IF($A735="","",IF(AT735="Y",BL735&amp;"",AY735&amp;""))</f>
        <v/>
      </c>
      <c r="D735" s="0" t="str">
        <f aca="false">IF($A735="","",IF(AT735="Y",BM735&amp;"",AZ735&amp;""))</f>
        <v/>
      </c>
      <c r="E735" s="0" t="str">
        <f aca="false">IF($A735="","",IF(AT735="Y",BN735&amp;"",BA735&amp;""))</f>
        <v/>
      </c>
      <c r="F735" s="0" t="str">
        <f aca="false">IF($A735="","",IF(AT735="Y",BO735&amp;"",BB735&amp;""))</f>
        <v/>
      </c>
      <c r="G735" s="0" t="str">
        <f aca="false">IF($A735="","",IF(AT735="Y",BP735&amp;"",BC735&amp;""))</f>
        <v/>
      </c>
      <c r="H735" s="0" t="str">
        <f aca="false">IF($A735="","",IF(AT735="Y",BQ735&amp;"",BD735&amp;""))</f>
        <v/>
      </c>
      <c r="I735" s="0" t="str">
        <f aca="false">IF($A735="","",IF(R735="Y","warm-intro",IF(H735="verified","email",IF(C735&lt;&gt;"","linkedin",CA735&amp;""))))</f>
        <v/>
      </c>
      <c r="J735" s="0" t="str">
        <f aca="false">IF($A735="","",IF(CK735="pass",ROUND(N(DO735)+N(DP735)+N(DQ735)+N(DR735)+N(DS735)+N(DT735)+N(DU735)+N(DV735),0),0))</f>
        <v/>
      </c>
      <c r="K735" s="0" t="str">
        <f aca="false">IF($A735="","",IF(CK735&lt;&gt;"pass",BY735&amp;"",BY735&amp;", "&amp;IF(AT735="Y",BX735&amp;"",BK735&amp;"")&amp;BZ735&amp;IF(R735="Y","; known to the founder (+10)","")&amp;"."))</f>
        <v/>
      </c>
      <c r="R735" s="5"/>
      <c r="T735" s="5"/>
      <c r="U735" s="5"/>
      <c r="Y735" s="0" t="str">
        <f aca="false">IF(FA735&lt;&gt;"Y","",COUNTIFS($FA$2:$FA$1000,"Y",$J$2:$J$1000,"&gt;"&amp;J735)+COUNTIFS($FA$2:$FA$1000,"Y",$J$2:$J$1000,J735,$FG$2:$FG$1000,"&lt;"&amp;FG735)+1)</f>
        <v/>
      </c>
      <c r="AB735" s="0" t="str">
        <f aca="false">IF($A735="","",IF(AT735="Y",BW735&amp;"",BJ735&amp;""))</f>
        <v/>
      </c>
      <c r="AC735" s="0" t="str">
        <f aca="false">IF($A735="","",IF(AT735="Y",BR735&amp;"",BE735&amp;""))</f>
        <v/>
      </c>
      <c r="AD735" s="0" t="str">
        <f aca="false">IF($A735="","",IF(AT735="Y",BS735&amp;"",BF735&amp;""))</f>
        <v/>
      </c>
      <c r="AE735" s="0" t="str">
        <f aca="false">IF($A735="","",IF(AT735="Y",BT735&amp;"",BG735&amp;""))</f>
        <v/>
      </c>
      <c r="AF735" s="0" t="str">
        <f aca="false">IF($A735="","",IF(AT735="Y",BU735&amp;"",BH735&amp;""))</f>
        <v/>
      </c>
      <c r="AG735" s="0" t="str">
        <f aca="false">IF($A735="","",IF(AT735="Y",BV735&amp;"",BI735&amp;""))</f>
        <v/>
      </c>
      <c r="AO735" s="5"/>
      <c r="AR735" s="0" t="str">
        <f aca="false">IF($A735="","",IF(AND(CK735="pass",AO735&lt;&gt;"Y",C735&lt;&gt;"",OR(AU735&lt;&gt;"Y",AV735="Y")),"Y","N"))</f>
        <v/>
      </c>
      <c r="AS735" s="0" t="str">
        <f aca="false">IF($A735="","",_xlfn.TEXTJOIN("; ",TRUE(),IF(CK735&lt;&gt;"pass","gated out",""),IF(AO735="Y","on hold: "&amp;AP735,""),IF(C735="","no contact named on an opened page",""),IF(AND(AU735="Y",AV735&lt;&gt;"Y"),"founder review pending (Founder review tab)","")))</f>
        <v/>
      </c>
      <c r="BC735" s="0" t="str">
        <f aca="false">IF($A735="","",IFERROR(INDEX(Enrichment!$A$2:$GZ$2000,MATCH($A735,INDEX(Enrichment!$A$2:$GZ$2000,0,MATCH("row_id",Enrichment!$A$1:$GZ$1,0)),0),MATCH("work_email",Enrichment!$A$1:$GZ$1,0))&amp;"",""))</f>
        <v/>
      </c>
      <c r="BD735" s="0" t="str">
        <f aca="false">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P735" s="0" t="str">
        <f aca="false">IF($A735="","",IFERROR(INDEX(Enrichment!$A$2:$GZ$2000,MATCH($A735,INDEX(Enrichment!$A$2:$GZ$2000,0,MATCH("row_id",Enrichment!$A$1:$GZ$1,0)),0),MATCH("backup_work_email",Enrichment!$A$1:$GZ$1,0))&amp;"",""))</f>
        <v/>
      </c>
      <c r="BQ735" s="0" t="str">
        <f aca="false">IF($A735="","",IF(BP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DU735" s="0" t="str">
        <f aca="false">IF($A735="","",IF(R735="Y",10,0))</f>
        <v/>
      </c>
      <c r="EV735" s="0" t="str">
        <f aca="false">IF($A735="","",IF(ISNUMBER(MATCH(U735,{"queued","contacted","replied","call_booked","call_done","yes_in_principle","materials_sent"},0)),"Y","N"))</f>
        <v/>
      </c>
      <c r="EW735" s="0" t="str">
        <f aca="false">IF($A735="","",IF(OR(T735="Y",U735="do_not_contact",AQ735&amp;""&lt;&gt;""),"Y","N"))</f>
        <v/>
      </c>
      <c r="EX735" s="0" t="str">
        <f aca="false">IF($A735="","",IF(AN735&amp;""&lt;&gt;"",AN735&amp;"",$A735))</f>
        <v/>
      </c>
      <c r="EY735" s="0" t="str">
        <f aca="false">IF($A735="","",IF(COUNTIFS($EX$2:$EX$1000,EX735,$EV$2:$EV$1000,"Y")+COUNTIFS($EX$2:$EX$1000,EX735,$EW$2:$EW$1000,"Y")&gt;0,"Y","N"))</f>
        <v/>
      </c>
      <c r="EZ735" s="0" t="str">
        <f aca="false">IF($A735="","",IF(AND(U735="new",T735="N",EW735="N",AR735="Y",EY735="N"),"Y","N"))</f>
        <v/>
      </c>
      <c r="FA735" s="0" t="str">
        <f aca="false">IF($A735="","",IF(EZ735&lt;&gt;"Y","N",IF(COUNTIFS($EX$2:$EX$1000,EX735,$EZ$2:$EZ$1000,"Y",$J$2:$J$1000,"&gt;"&amp;J735)+COUNTIFS($EX$2:$EX$1000,EX735,$EZ$2:$EZ$1000,"Y",$J$2:$J$1000,J735,$FG$2:$FG$1000,"&lt;"&amp;FG735)=0,"Y","N")))</f>
        <v/>
      </c>
      <c r="FB735" s="0" t="str">
        <f aca="false">IF($A735="","",IF(AND(EZ735="Y",FA735="Y",Y735&amp;""&lt;&gt;""),IF(Y735&lt;=10,"Y","N"),"N"))</f>
        <v/>
      </c>
      <c r="FC735" s="0" t="str">
        <f aca="false">IF(FB735="Y",Y735,"")</f>
        <v/>
      </c>
      <c r="FD735" s="0" t="str">
        <f aca="false">IF($A735="","",IF(AND(CK735="pass",AU735="Y",AV735&lt;&gt;"Y",U735="new",EW735="N"),"Y","N"))</f>
        <v/>
      </c>
      <c r="FE735" s="0" t="str">
        <f aca="false">IF(FD735&lt;&gt;"Y","",IF(COUNTIFS($FD$2:$FD$1000,"Y",$J$2:$J$1000,"&gt;"&amp;J735)+COUNTIFS($FD$2:$FD$1000,"Y",$J$2:$J$1000,J735,$FG$2:$FG$1000,"&lt;"&amp;FG735)+1&lt;=30,COUNTIFS($FD$2:$FD$1000,"Y",$J$2:$J$1000,"&gt;"&amp;J735)+COUNTIFS($FD$2:$FD$1000,"Y",$J$2:$J$1000,J735,$FG$2:$FG$1000,"&lt;"&amp;FG735)+1,""))</f>
        <v/>
      </c>
      <c r="FF735" s="0" t="str">
        <f aca="false">IF(AND(_xlfn.ISFORMULA(C735),_xlfn.ISFORMULA(J735)),"Y","N")</f>
        <v>Y</v>
      </c>
      <c r="FG735" s="0" t="n">
        <f aca="false">ROW()-1</f>
        <v>734</v>
      </c>
    </row>
    <row r="736" customFormat="false" ht="15" hidden="false" customHeight="false" outlineLevel="0" collapsed="false">
      <c r="C736" s="0" t="str">
        <f aca="false">IF($A736="","",IF(AT736="Y",BL736&amp;"",AY736&amp;""))</f>
        <v/>
      </c>
      <c r="D736" s="0" t="str">
        <f aca="false">IF($A736="","",IF(AT736="Y",BM736&amp;"",AZ736&amp;""))</f>
        <v/>
      </c>
      <c r="E736" s="0" t="str">
        <f aca="false">IF($A736="","",IF(AT736="Y",BN736&amp;"",BA736&amp;""))</f>
        <v/>
      </c>
      <c r="F736" s="0" t="str">
        <f aca="false">IF($A736="","",IF(AT736="Y",BO736&amp;"",BB736&amp;""))</f>
        <v/>
      </c>
      <c r="G736" s="0" t="str">
        <f aca="false">IF($A736="","",IF(AT736="Y",BP736&amp;"",BC736&amp;""))</f>
        <v/>
      </c>
      <c r="H736" s="0" t="str">
        <f aca="false">IF($A736="","",IF(AT736="Y",BQ736&amp;"",BD736&amp;""))</f>
        <v/>
      </c>
      <c r="I736" s="0" t="str">
        <f aca="false">IF($A736="","",IF(R736="Y","warm-intro",IF(H736="verified","email",IF(C736&lt;&gt;"","linkedin",CA736&amp;""))))</f>
        <v/>
      </c>
      <c r="J736" s="0" t="str">
        <f aca="false">IF($A736="","",IF(CK736="pass",ROUND(N(DO736)+N(DP736)+N(DQ736)+N(DR736)+N(DS736)+N(DT736)+N(DU736)+N(DV736),0),0))</f>
        <v/>
      </c>
      <c r="K736" s="0" t="str">
        <f aca="false">IF($A736="","",IF(CK736&lt;&gt;"pass",BY736&amp;"",BY736&amp;", "&amp;IF(AT736="Y",BX736&amp;"",BK736&amp;"")&amp;BZ736&amp;IF(R736="Y","; known to the founder (+10)","")&amp;"."))</f>
        <v/>
      </c>
      <c r="R736" s="5"/>
      <c r="T736" s="5"/>
      <c r="U736" s="5"/>
      <c r="Y736" s="0" t="str">
        <f aca="false">IF(FA736&lt;&gt;"Y","",COUNTIFS($FA$2:$FA$1000,"Y",$J$2:$J$1000,"&gt;"&amp;J736)+COUNTIFS($FA$2:$FA$1000,"Y",$J$2:$J$1000,J736,$FG$2:$FG$1000,"&lt;"&amp;FG736)+1)</f>
        <v/>
      </c>
      <c r="AB736" s="0" t="str">
        <f aca="false">IF($A736="","",IF(AT736="Y",BW736&amp;"",BJ736&amp;""))</f>
        <v/>
      </c>
      <c r="AC736" s="0" t="str">
        <f aca="false">IF($A736="","",IF(AT736="Y",BR736&amp;"",BE736&amp;""))</f>
        <v/>
      </c>
      <c r="AD736" s="0" t="str">
        <f aca="false">IF($A736="","",IF(AT736="Y",BS736&amp;"",BF736&amp;""))</f>
        <v/>
      </c>
      <c r="AE736" s="0" t="str">
        <f aca="false">IF($A736="","",IF(AT736="Y",BT736&amp;"",BG736&amp;""))</f>
        <v/>
      </c>
      <c r="AF736" s="0" t="str">
        <f aca="false">IF($A736="","",IF(AT736="Y",BU736&amp;"",BH736&amp;""))</f>
        <v/>
      </c>
      <c r="AG736" s="0" t="str">
        <f aca="false">IF($A736="","",IF(AT736="Y",BV736&amp;"",BI736&amp;""))</f>
        <v/>
      </c>
      <c r="AO736" s="5"/>
      <c r="AR736" s="0" t="str">
        <f aca="false">IF($A736="","",IF(AND(CK736="pass",AO736&lt;&gt;"Y",C736&lt;&gt;"",OR(AU736&lt;&gt;"Y",AV736="Y")),"Y","N"))</f>
        <v/>
      </c>
      <c r="AS736" s="0" t="str">
        <f aca="false">IF($A736="","",_xlfn.TEXTJOIN("; ",TRUE(),IF(CK736&lt;&gt;"pass","gated out",""),IF(AO736="Y","on hold: "&amp;AP736,""),IF(C736="","no contact named on an opened page",""),IF(AND(AU736="Y",AV736&lt;&gt;"Y"),"founder review pending (Founder review tab)","")))</f>
        <v/>
      </c>
      <c r="BC736" s="0" t="str">
        <f aca="false">IF($A736="","",IFERROR(INDEX(Enrichment!$A$2:$GZ$2000,MATCH($A736,INDEX(Enrichment!$A$2:$GZ$2000,0,MATCH("row_id",Enrichment!$A$1:$GZ$1,0)),0),MATCH("work_email",Enrichment!$A$1:$GZ$1,0))&amp;"",""))</f>
        <v/>
      </c>
      <c r="BD736" s="0" t="str">
        <f aca="false">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P736" s="0" t="str">
        <f aca="false">IF($A736="","",IFERROR(INDEX(Enrichment!$A$2:$GZ$2000,MATCH($A736,INDEX(Enrichment!$A$2:$GZ$2000,0,MATCH("row_id",Enrichment!$A$1:$GZ$1,0)),0),MATCH("backup_work_email",Enrichment!$A$1:$GZ$1,0))&amp;"",""))</f>
        <v/>
      </c>
      <c r="BQ736" s="0" t="str">
        <f aca="false">IF($A736="","",IF(BP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DU736" s="0" t="str">
        <f aca="false">IF($A736="","",IF(R736="Y",10,0))</f>
        <v/>
      </c>
      <c r="EV736" s="0" t="str">
        <f aca="false">IF($A736="","",IF(ISNUMBER(MATCH(U736,{"queued","contacted","replied","call_booked","call_done","yes_in_principle","materials_sent"},0)),"Y","N"))</f>
        <v/>
      </c>
      <c r="EW736" s="0" t="str">
        <f aca="false">IF($A736="","",IF(OR(T736="Y",U736="do_not_contact",AQ736&amp;""&lt;&gt;""),"Y","N"))</f>
        <v/>
      </c>
      <c r="EX736" s="0" t="str">
        <f aca="false">IF($A736="","",IF(AN736&amp;""&lt;&gt;"",AN736&amp;"",$A736))</f>
        <v/>
      </c>
      <c r="EY736" s="0" t="str">
        <f aca="false">IF($A736="","",IF(COUNTIFS($EX$2:$EX$1000,EX736,$EV$2:$EV$1000,"Y")+COUNTIFS($EX$2:$EX$1000,EX736,$EW$2:$EW$1000,"Y")&gt;0,"Y","N"))</f>
        <v/>
      </c>
      <c r="EZ736" s="0" t="str">
        <f aca="false">IF($A736="","",IF(AND(U736="new",T736="N",EW736="N",AR736="Y",EY736="N"),"Y","N"))</f>
        <v/>
      </c>
      <c r="FA736" s="0" t="str">
        <f aca="false">IF($A736="","",IF(EZ736&lt;&gt;"Y","N",IF(COUNTIFS($EX$2:$EX$1000,EX736,$EZ$2:$EZ$1000,"Y",$J$2:$J$1000,"&gt;"&amp;J736)+COUNTIFS($EX$2:$EX$1000,EX736,$EZ$2:$EZ$1000,"Y",$J$2:$J$1000,J736,$FG$2:$FG$1000,"&lt;"&amp;FG736)=0,"Y","N")))</f>
        <v/>
      </c>
      <c r="FB736" s="0" t="str">
        <f aca="false">IF($A736="","",IF(AND(EZ736="Y",FA736="Y",Y736&amp;""&lt;&gt;""),IF(Y736&lt;=10,"Y","N"),"N"))</f>
        <v/>
      </c>
      <c r="FC736" s="0" t="str">
        <f aca="false">IF(FB736="Y",Y736,"")</f>
        <v/>
      </c>
      <c r="FD736" s="0" t="str">
        <f aca="false">IF($A736="","",IF(AND(CK736="pass",AU736="Y",AV736&lt;&gt;"Y",U736="new",EW736="N"),"Y","N"))</f>
        <v/>
      </c>
      <c r="FE736" s="0" t="str">
        <f aca="false">IF(FD736&lt;&gt;"Y","",IF(COUNTIFS($FD$2:$FD$1000,"Y",$J$2:$J$1000,"&gt;"&amp;J736)+COUNTIFS($FD$2:$FD$1000,"Y",$J$2:$J$1000,J736,$FG$2:$FG$1000,"&lt;"&amp;FG736)+1&lt;=30,COUNTIFS($FD$2:$FD$1000,"Y",$J$2:$J$1000,"&gt;"&amp;J736)+COUNTIFS($FD$2:$FD$1000,"Y",$J$2:$J$1000,J736,$FG$2:$FG$1000,"&lt;"&amp;FG736)+1,""))</f>
        <v/>
      </c>
      <c r="FF736" s="0" t="str">
        <f aca="false">IF(AND(_xlfn.ISFORMULA(C736),_xlfn.ISFORMULA(J736)),"Y","N")</f>
        <v>Y</v>
      </c>
      <c r="FG736" s="0" t="n">
        <f aca="false">ROW()-1</f>
        <v>735</v>
      </c>
    </row>
    <row r="737" customFormat="false" ht="15" hidden="false" customHeight="false" outlineLevel="0" collapsed="false">
      <c r="C737" s="0" t="str">
        <f aca="false">IF($A737="","",IF(AT737="Y",BL737&amp;"",AY737&amp;""))</f>
        <v/>
      </c>
      <c r="D737" s="0" t="str">
        <f aca="false">IF($A737="","",IF(AT737="Y",BM737&amp;"",AZ737&amp;""))</f>
        <v/>
      </c>
      <c r="E737" s="0" t="str">
        <f aca="false">IF($A737="","",IF(AT737="Y",BN737&amp;"",BA737&amp;""))</f>
        <v/>
      </c>
      <c r="F737" s="0" t="str">
        <f aca="false">IF($A737="","",IF(AT737="Y",BO737&amp;"",BB737&amp;""))</f>
        <v/>
      </c>
      <c r="G737" s="0" t="str">
        <f aca="false">IF($A737="","",IF(AT737="Y",BP737&amp;"",BC737&amp;""))</f>
        <v/>
      </c>
      <c r="H737" s="0" t="str">
        <f aca="false">IF($A737="","",IF(AT737="Y",BQ737&amp;"",BD737&amp;""))</f>
        <v/>
      </c>
      <c r="I737" s="0" t="str">
        <f aca="false">IF($A737="","",IF(R737="Y","warm-intro",IF(H737="verified","email",IF(C737&lt;&gt;"","linkedin",CA737&amp;""))))</f>
        <v/>
      </c>
      <c r="J737" s="0" t="str">
        <f aca="false">IF($A737="","",IF(CK737="pass",ROUND(N(DO737)+N(DP737)+N(DQ737)+N(DR737)+N(DS737)+N(DT737)+N(DU737)+N(DV737),0),0))</f>
        <v/>
      </c>
      <c r="K737" s="0" t="str">
        <f aca="false">IF($A737="","",IF(CK737&lt;&gt;"pass",BY737&amp;"",BY737&amp;", "&amp;IF(AT737="Y",BX737&amp;"",BK737&amp;"")&amp;BZ737&amp;IF(R737="Y","; known to the founder (+10)","")&amp;"."))</f>
        <v/>
      </c>
      <c r="R737" s="5"/>
      <c r="T737" s="5"/>
      <c r="U737" s="5"/>
      <c r="Y737" s="0" t="str">
        <f aca="false">IF(FA737&lt;&gt;"Y","",COUNTIFS($FA$2:$FA$1000,"Y",$J$2:$J$1000,"&gt;"&amp;J737)+COUNTIFS($FA$2:$FA$1000,"Y",$J$2:$J$1000,J737,$FG$2:$FG$1000,"&lt;"&amp;FG737)+1)</f>
        <v/>
      </c>
      <c r="AB737" s="0" t="str">
        <f aca="false">IF($A737="","",IF(AT737="Y",BW737&amp;"",BJ737&amp;""))</f>
        <v/>
      </c>
      <c r="AC737" s="0" t="str">
        <f aca="false">IF($A737="","",IF(AT737="Y",BR737&amp;"",BE737&amp;""))</f>
        <v/>
      </c>
      <c r="AD737" s="0" t="str">
        <f aca="false">IF($A737="","",IF(AT737="Y",BS737&amp;"",BF737&amp;""))</f>
        <v/>
      </c>
      <c r="AE737" s="0" t="str">
        <f aca="false">IF($A737="","",IF(AT737="Y",BT737&amp;"",BG737&amp;""))</f>
        <v/>
      </c>
      <c r="AF737" s="0" t="str">
        <f aca="false">IF($A737="","",IF(AT737="Y",BU737&amp;"",BH737&amp;""))</f>
        <v/>
      </c>
      <c r="AG737" s="0" t="str">
        <f aca="false">IF($A737="","",IF(AT737="Y",BV737&amp;"",BI737&amp;""))</f>
        <v/>
      </c>
      <c r="AO737" s="5"/>
      <c r="AR737" s="0" t="str">
        <f aca="false">IF($A737="","",IF(AND(CK737="pass",AO737&lt;&gt;"Y",C737&lt;&gt;"",OR(AU737&lt;&gt;"Y",AV737="Y")),"Y","N"))</f>
        <v/>
      </c>
      <c r="AS737" s="0" t="str">
        <f aca="false">IF($A737="","",_xlfn.TEXTJOIN("; ",TRUE(),IF(CK737&lt;&gt;"pass","gated out",""),IF(AO737="Y","on hold: "&amp;AP737,""),IF(C737="","no contact named on an opened page",""),IF(AND(AU737="Y",AV737&lt;&gt;"Y"),"founder review pending (Founder review tab)","")))</f>
        <v/>
      </c>
      <c r="BC737" s="0" t="str">
        <f aca="false">IF($A737="","",IFERROR(INDEX(Enrichment!$A$2:$GZ$2000,MATCH($A737,INDEX(Enrichment!$A$2:$GZ$2000,0,MATCH("row_id",Enrichment!$A$1:$GZ$1,0)),0),MATCH("work_email",Enrichment!$A$1:$GZ$1,0))&amp;"",""))</f>
        <v/>
      </c>
      <c r="BD737" s="0" t="str">
        <f aca="false">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P737" s="0" t="str">
        <f aca="false">IF($A737="","",IFERROR(INDEX(Enrichment!$A$2:$GZ$2000,MATCH($A737,INDEX(Enrichment!$A$2:$GZ$2000,0,MATCH("row_id",Enrichment!$A$1:$GZ$1,0)),0),MATCH("backup_work_email",Enrichment!$A$1:$GZ$1,0))&amp;"",""))</f>
        <v/>
      </c>
      <c r="BQ737" s="0" t="str">
        <f aca="false">IF($A737="","",IF(BP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DU737" s="0" t="str">
        <f aca="false">IF($A737="","",IF(R737="Y",10,0))</f>
        <v/>
      </c>
      <c r="EV737" s="0" t="str">
        <f aca="false">IF($A737="","",IF(ISNUMBER(MATCH(U737,{"queued","contacted","replied","call_booked","call_done","yes_in_principle","materials_sent"},0)),"Y","N"))</f>
        <v/>
      </c>
      <c r="EW737" s="0" t="str">
        <f aca="false">IF($A737="","",IF(OR(T737="Y",U737="do_not_contact",AQ737&amp;""&lt;&gt;""),"Y","N"))</f>
        <v/>
      </c>
      <c r="EX737" s="0" t="str">
        <f aca="false">IF($A737="","",IF(AN737&amp;""&lt;&gt;"",AN737&amp;"",$A737))</f>
        <v/>
      </c>
      <c r="EY737" s="0" t="str">
        <f aca="false">IF($A737="","",IF(COUNTIFS($EX$2:$EX$1000,EX737,$EV$2:$EV$1000,"Y")+COUNTIFS($EX$2:$EX$1000,EX737,$EW$2:$EW$1000,"Y")&gt;0,"Y","N"))</f>
        <v/>
      </c>
      <c r="EZ737" s="0" t="str">
        <f aca="false">IF($A737="","",IF(AND(U737="new",T737="N",EW737="N",AR737="Y",EY737="N"),"Y","N"))</f>
        <v/>
      </c>
      <c r="FA737" s="0" t="str">
        <f aca="false">IF($A737="","",IF(EZ737&lt;&gt;"Y","N",IF(COUNTIFS($EX$2:$EX$1000,EX737,$EZ$2:$EZ$1000,"Y",$J$2:$J$1000,"&gt;"&amp;J737)+COUNTIFS($EX$2:$EX$1000,EX737,$EZ$2:$EZ$1000,"Y",$J$2:$J$1000,J737,$FG$2:$FG$1000,"&lt;"&amp;FG737)=0,"Y","N")))</f>
        <v/>
      </c>
      <c r="FB737" s="0" t="str">
        <f aca="false">IF($A737="","",IF(AND(EZ737="Y",FA737="Y",Y737&amp;""&lt;&gt;""),IF(Y737&lt;=10,"Y","N"),"N"))</f>
        <v/>
      </c>
      <c r="FC737" s="0" t="str">
        <f aca="false">IF(FB737="Y",Y737,"")</f>
        <v/>
      </c>
      <c r="FD737" s="0" t="str">
        <f aca="false">IF($A737="","",IF(AND(CK737="pass",AU737="Y",AV737&lt;&gt;"Y",U737="new",EW737="N"),"Y","N"))</f>
        <v/>
      </c>
      <c r="FE737" s="0" t="str">
        <f aca="false">IF(FD737&lt;&gt;"Y","",IF(COUNTIFS($FD$2:$FD$1000,"Y",$J$2:$J$1000,"&gt;"&amp;J737)+COUNTIFS($FD$2:$FD$1000,"Y",$J$2:$J$1000,J737,$FG$2:$FG$1000,"&lt;"&amp;FG737)+1&lt;=30,COUNTIFS($FD$2:$FD$1000,"Y",$J$2:$J$1000,"&gt;"&amp;J737)+COUNTIFS($FD$2:$FD$1000,"Y",$J$2:$J$1000,J737,$FG$2:$FG$1000,"&lt;"&amp;FG737)+1,""))</f>
        <v/>
      </c>
      <c r="FF737" s="0" t="str">
        <f aca="false">IF(AND(_xlfn.ISFORMULA(C737),_xlfn.ISFORMULA(J737)),"Y","N")</f>
        <v>Y</v>
      </c>
      <c r="FG737" s="0" t="n">
        <f aca="false">ROW()-1</f>
        <v>736</v>
      </c>
    </row>
    <row r="738" customFormat="false" ht="15" hidden="false" customHeight="false" outlineLevel="0" collapsed="false">
      <c r="C738" s="0" t="str">
        <f aca="false">IF($A738="","",IF(AT738="Y",BL738&amp;"",AY738&amp;""))</f>
        <v/>
      </c>
      <c r="D738" s="0" t="str">
        <f aca="false">IF($A738="","",IF(AT738="Y",BM738&amp;"",AZ738&amp;""))</f>
        <v/>
      </c>
      <c r="E738" s="0" t="str">
        <f aca="false">IF($A738="","",IF(AT738="Y",BN738&amp;"",BA738&amp;""))</f>
        <v/>
      </c>
      <c r="F738" s="0" t="str">
        <f aca="false">IF($A738="","",IF(AT738="Y",BO738&amp;"",BB738&amp;""))</f>
        <v/>
      </c>
      <c r="G738" s="0" t="str">
        <f aca="false">IF($A738="","",IF(AT738="Y",BP738&amp;"",BC738&amp;""))</f>
        <v/>
      </c>
      <c r="H738" s="0" t="str">
        <f aca="false">IF($A738="","",IF(AT738="Y",BQ738&amp;"",BD738&amp;""))</f>
        <v/>
      </c>
      <c r="I738" s="0" t="str">
        <f aca="false">IF($A738="","",IF(R738="Y","warm-intro",IF(H738="verified","email",IF(C738&lt;&gt;"","linkedin",CA738&amp;""))))</f>
        <v/>
      </c>
      <c r="J738" s="0" t="str">
        <f aca="false">IF($A738="","",IF(CK738="pass",ROUND(N(DO738)+N(DP738)+N(DQ738)+N(DR738)+N(DS738)+N(DT738)+N(DU738)+N(DV738),0),0))</f>
        <v/>
      </c>
      <c r="K738" s="0" t="str">
        <f aca="false">IF($A738="","",IF(CK738&lt;&gt;"pass",BY738&amp;"",BY738&amp;", "&amp;IF(AT738="Y",BX738&amp;"",BK738&amp;"")&amp;BZ738&amp;IF(R738="Y","; known to the founder (+10)","")&amp;"."))</f>
        <v/>
      </c>
      <c r="R738" s="5"/>
      <c r="T738" s="5"/>
      <c r="U738" s="5"/>
      <c r="Y738" s="0" t="str">
        <f aca="false">IF(FA738&lt;&gt;"Y","",COUNTIFS($FA$2:$FA$1000,"Y",$J$2:$J$1000,"&gt;"&amp;J738)+COUNTIFS($FA$2:$FA$1000,"Y",$J$2:$J$1000,J738,$FG$2:$FG$1000,"&lt;"&amp;FG738)+1)</f>
        <v/>
      </c>
      <c r="AB738" s="0" t="str">
        <f aca="false">IF($A738="","",IF(AT738="Y",BW738&amp;"",BJ738&amp;""))</f>
        <v/>
      </c>
      <c r="AC738" s="0" t="str">
        <f aca="false">IF($A738="","",IF(AT738="Y",BR738&amp;"",BE738&amp;""))</f>
        <v/>
      </c>
      <c r="AD738" s="0" t="str">
        <f aca="false">IF($A738="","",IF(AT738="Y",BS738&amp;"",BF738&amp;""))</f>
        <v/>
      </c>
      <c r="AE738" s="0" t="str">
        <f aca="false">IF($A738="","",IF(AT738="Y",BT738&amp;"",BG738&amp;""))</f>
        <v/>
      </c>
      <c r="AF738" s="0" t="str">
        <f aca="false">IF($A738="","",IF(AT738="Y",BU738&amp;"",BH738&amp;""))</f>
        <v/>
      </c>
      <c r="AG738" s="0" t="str">
        <f aca="false">IF($A738="","",IF(AT738="Y",BV738&amp;"",BI738&amp;""))</f>
        <v/>
      </c>
      <c r="AO738" s="5"/>
      <c r="AR738" s="0" t="str">
        <f aca="false">IF($A738="","",IF(AND(CK738="pass",AO738&lt;&gt;"Y",C738&lt;&gt;"",OR(AU738&lt;&gt;"Y",AV738="Y")),"Y","N"))</f>
        <v/>
      </c>
      <c r="AS738" s="0" t="str">
        <f aca="false">IF($A738="","",_xlfn.TEXTJOIN("; ",TRUE(),IF(CK738&lt;&gt;"pass","gated out",""),IF(AO738="Y","on hold: "&amp;AP738,""),IF(C738="","no contact named on an opened page",""),IF(AND(AU738="Y",AV738&lt;&gt;"Y"),"founder review pending (Founder review tab)","")))</f>
        <v/>
      </c>
      <c r="BC738" s="0" t="str">
        <f aca="false">IF($A738="","",IFERROR(INDEX(Enrichment!$A$2:$GZ$2000,MATCH($A738,INDEX(Enrichment!$A$2:$GZ$2000,0,MATCH("row_id",Enrichment!$A$1:$GZ$1,0)),0),MATCH("work_email",Enrichment!$A$1:$GZ$1,0))&amp;"",""))</f>
        <v/>
      </c>
      <c r="BD738" s="0" t="str">
        <f aca="false">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P738" s="0" t="str">
        <f aca="false">IF($A738="","",IFERROR(INDEX(Enrichment!$A$2:$GZ$2000,MATCH($A738,INDEX(Enrichment!$A$2:$GZ$2000,0,MATCH("row_id",Enrichment!$A$1:$GZ$1,0)),0),MATCH("backup_work_email",Enrichment!$A$1:$GZ$1,0))&amp;"",""))</f>
        <v/>
      </c>
      <c r="BQ738" s="0" t="str">
        <f aca="false">IF($A738="","",IF(BP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DU738" s="0" t="str">
        <f aca="false">IF($A738="","",IF(R738="Y",10,0))</f>
        <v/>
      </c>
      <c r="EV738" s="0" t="str">
        <f aca="false">IF($A738="","",IF(ISNUMBER(MATCH(U738,{"queued","contacted","replied","call_booked","call_done","yes_in_principle","materials_sent"},0)),"Y","N"))</f>
        <v/>
      </c>
      <c r="EW738" s="0" t="str">
        <f aca="false">IF($A738="","",IF(OR(T738="Y",U738="do_not_contact",AQ738&amp;""&lt;&gt;""),"Y","N"))</f>
        <v/>
      </c>
      <c r="EX738" s="0" t="str">
        <f aca="false">IF($A738="","",IF(AN738&amp;""&lt;&gt;"",AN738&amp;"",$A738))</f>
        <v/>
      </c>
      <c r="EY738" s="0" t="str">
        <f aca="false">IF($A738="","",IF(COUNTIFS($EX$2:$EX$1000,EX738,$EV$2:$EV$1000,"Y")+COUNTIFS($EX$2:$EX$1000,EX738,$EW$2:$EW$1000,"Y")&gt;0,"Y","N"))</f>
        <v/>
      </c>
      <c r="EZ738" s="0" t="str">
        <f aca="false">IF($A738="","",IF(AND(U738="new",T738="N",EW738="N",AR738="Y",EY738="N"),"Y","N"))</f>
        <v/>
      </c>
      <c r="FA738" s="0" t="str">
        <f aca="false">IF($A738="","",IF(EZ738&lt;&gt;"Y","N",IF(COUNTIFS($EX$2:$EX$1000,EX738,$EZ$2:$EZ$1000,"Y",$J$2:$J$1000,"&gt;"&amp;J738)+COUNTIFS($EX$2:$EX$1000,EX738,$EZ$2:$EZ$1000,"Y",$J$2:$J$1000,J738,$FG$2:$FG$1000,"&lt;"&amp;FG738)=0,"Y","N")))</f>
        <v/>
      </c>
      <c r="FB738" s="0" t="str">
        <f aca="false">IF($A738="","",IF(AND(EZ738="Y",FA738="Y",Y738&amp;""&lt;&gt;""),IF(Y738&lt;=10,"Y","N"),"N"))</f>
        <v/>
      </c>
      <c r="FC738" s="0" t="str">
        <f aca="false">IF(FB738="Y",Y738,"")</f>
        <v/>
      </c>
      <c r="FD738" s="0" t="str">
        <f aca="false">IF($A738="","",IF(AND(CK738="pass",AU738="Y",AV738&lt;&gt;"Y",U738="new",EW738="N"),"Y","N"))</f>
        <v/>
      </c>
      <c r="FE738" s="0" t="str">
        <f aca="false">IF(FD738&lt;&gt;"Y","",IF(COUNTIFS($FD$2:$FD$1000,"Y",$J$2:$J$1000,"&gt;"&amp;J738)+COUNTIFS($FD$2:$FD$1000,"Y",$J$2:$J$1000,J738,$FG$2:$FG$1000,"&lt;"&amp;FG738)+1&lt;=30,COUNTIFS($FD$2:$FD$1000,"Y",$J$2:$J$1000,"&gt;"&amp;J738)+COUNTIFS($FD$2:$FD$1000,"Y",$J$2:$J$1000,J738,$FG$2:$FG$1000,"&lt;"&amp;FG738)+1,""))</f>
        <v/>
      </c>
      <c r="FF738" s="0" t="str">
        <f aca="false">IF(AND(_xlfn.ISFORMULA(C738),_xlfn.ISFORMULA(J738)),"Y","N")</f>
        <v>Y</v>
      </c>
      <c r="FG738" s="0" t="n">
        <f aca="false">ROW()-1</f>
        <v>737</v>
      </c>
    </row>
    <row r="739" customFormat="false" ht="15" hidden="false" customHeight="false" outlineLevel="0" collapsed="false">
      <c r="C739" s="0" t="str">
        <f aca="false">IF($A739="","",IF(AT739="Y",BL739&amp;"",AY739&amp;""))</f>
        <v/>
      </c>
      <c r="D739" s="0" t="str">
        <f aca="false">IF($A739="","",IF(AT739="Y",BM739&amp;"",AZ739&amp;""))</f>
        <v/>
      </c>
      <c r="E739" s="0" t="str">
        <f aca="false">IF($A739="","",IF(AT739="Y",BN739&amp;"",BA739&amp;""))</f>
        <v/>
      </c>
      <c r="F739" s="0" t="str">
        <f aca="false">IF($A739="","",IF(AT739="Y",BO739&amp;"",BB739&amp;""))</f>
        <v/>
      </c>
      <c r="G739" s="0" t="str">
        <f aca="false">IF($A739="","",IF(AT739="Y",BP739&amp;"",BC739&amp;""))</f>
        <v/>
      </c>
      <c r="H739" s="0" t="str">
        <f aca="false">IF($A739="","",IF(AT739="Y",BQ739&amp;"",BD739&amp;""))</f>
        <v/>
      </c>
      <c r="I739" s="0" t="str">
        <f aca="false">IF($A739="","",IF(R739="Y","warm-intro",IF(H739="verified","email",IF(C739&lt;&gt;"","linkedin",CA739&amp;""))))</f>
        <v/>
      </c>
      <c r="J739" s="0" t="str">
        <f aca="false">IF($A739="","",IF(CK739="pass",ROUND(N(DO739)+N(DP739)+N(DQ739)+N(DR739)+N(DS739)+N(DT739)+N(DU739)+N(DV739),0),0))</f>
        <v/>
      </c>
      <c r="K739" s="0" t="str">
        <f aca="false">IF($A739="","",IF(CK739&lt;&gt;"pass",BY739&amp;"",BY739&amp;", "&amp;IF(AT739="Y",BX739&amp;"",BK739&amp;"")&amp;BZ739&amp;IF(R739="Y","; known to the founder (+10)","")&amp;"."))</f>
        <v/>
      </c>
      <c r="R739" s="5"/>
      <c r="T739" s="5"/>
      <c r="U739" s="5"/>
      <c r="Y739" s="0" t="str">
        <f aca="false">IF(FA739&lt;&gt;"Y","",COUNTIFS($FA$2:$FA$1000,"Y",$J$2:$J$1000,"&gt;"&amp;J739)+COUNTIFS($FA$2:$FA$1000,"Y",$J$2:$J$1000,J739,$FG$2:$FG$1000,"&lt;"&amp;FG739)+1)</f>
        <v/>
      </c>
      <c r="AB739" s="0" t="str">
        <f aca="false">IF($A739="","",IF(AT739="Y",BW739&amp;"",BJ739&amp;""))</f>
        <v/>
      </c>
      <c r="AC739" s="0" t="str">
        <f aca="false">IF($A739="","",IF(AT739="Y",BR739&amp;"",BE739&amp;""))</f>
        <v/>
      </c>
      <c r="AD739" s="0" t="str">
        <f aca="false">IF($A739="","",IF(AT739="Y",BS739&amp;"",BF739&amp;""))</f>
        <v/>
      </c>
      <c r="AE739" s="0" t="str">
        <f aca="false">IF($A739="","",IF(AT739="Y",BT739&amp;"",BG739&amp;""))</f>
        <v/>
      </c>
      <c r="AF739" s="0" t="str">
        <f aca="false">IF($A739="","",IF(AT739="Y",BU739&amp;"",BH739&amp;""))</f>
        <v/>
      </c>
      <c r="AG739" s="0" t="str">
        <f aca="false">IF($A739="","",IF(AT739="Y",BV739&amp;"",BI739&amp;""))</f>
        <v/>
      </c>
      <c r="AO739" s="5"/>
      <c r="AR739" s="0" t="str">
        <f aca="false">IF($A739="","",IF(AND(CK739="pass",AO739&lt;&gt;"Y",C739&lt;&gt;"",OR(AU739&lt;&gt;"Y",AV739="Y")),"Y","N"))</f>
        <v/>
      </c>
      <c r="AS739" s="0" t="str">
        <f aca="false">IF($A739="","",_xlfn.TEXTJOIN("; ",TRUE(),IF(CK739&lt;&gt;"pass","gated out",""),IF(AO739="Y","on hold: "&amp;AP739,""),IF(C739="","no contact named on an opened page",""),IF(AND(AU739="Y",AV739&lt;&gt;"Y"),"founder review pending (Founder review tab)","")))</f>
        <v/>
      </c>
      <c r="BC739" s="0" t="str">
        <f aca="false">IF($A739="","",IFERROR(INDEX(Enrichment!$A$2:$GZ$2000,MATCH($A739,INDEX(Enrichment!$A$2:$GZ$2000,0,MATCH("row_id",Enrichment!$A$1:$GZ$1,0)),0),MATCH("work_email",Enrichment!$A$1:$GZ$1,0))&amp;"",""))</f>
        <v/>
      </c>
      <c r="BD739" s="0" t="str">
        <f aca="false">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P739" s="0" t="str">
        <f aca="false">IF($A739="","",IFERROR(INDEX(Enrichment!$A$2:$GZ$2000,MATCH($A739,INDEX(Enrichment!$A$2:$GZ$2000,0,MATCH("row_id",Enrichment!$A$1:$GZ$1,0)),0),MATCH("backup_work_email",Enrichment!$A$1:$GZ$1,0))&amp;"",""))</f>
        <v/>
      </c>
      <c r="BQ739" s="0" t="str">
        <f aca="false">IF($A739="","",IF(BP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DU739" s="0" t="str">
        <f aca="false">IF($A739="","",IF(R739="Y",10,0))</f>
        <v/>
      </c>
      <c r="EV739" s="0" t="str">
        <f aca="false">IF($A739="","",IF(ISNUMBER(MATCH(U739,{"queued","contacted","replied","call_booked","call_done","yes_in_principle","materials_sent"},0)),"Y","N"))</f>
        <v/>
      </c>
      <c r="EW739" s="0" t="str">
        <f aca="false">IF($A739="","",IF(OR(T739="Y",U739="do_not_contact",AQ739&amp;""&lt;&gt;""),"Y","N"))</f>
        <v/>
      </c>
      <c r="EX739" s="0" t="str">
        <f aca="false">IF($A739="","",IF(AN739&amp;""&lt;&gt;"",AN739&amp;"",$A739))</f>
        <v/>
      </c>
      <c r="EY739" s="0" t="str">
        <f aca="false">IF($A739="","",IF(COUNTIFS($EX$2:$EX$1000,EX739,$EV$2:$EV$1000,"Y")+COUNTIFS($EX$2:$EX$1000,EX739,$EW$2:$EW$1000,"Y")&gt;0,"Y","N"))</f>
        <v/>
      </c>
      <c r="EZ739" s="0" t="str">
        <f aca="false">IF($A739="","",IF(AND(U739="new",T739="N",EW739="N",AR739="Y",EY739="N"),"Y","N"))</f>
        <v/>
      </c>
      <c r="FA739" s="0" t="str">
        <f aca="false">IF($A739="","",IF(EZ739&lt;&gt;"Y","N",IF(COUNTIFS($EX$2:$EX$1000,EX739,$EZ$2:$EZ$1000,"Y",$J$2:$J$1000,"&gt;"&amp;J739)+COUNTIFS($EX$2:$EX$1000,EX739,$EZ$2:$EZ$1000,"Y",$J$2:$J$1000,J739,$FG$2:$FG$1000,"&lt;"&amp;FG739)=0,"Y","N")))</f>
        <v/>
      </c>
      <c r="FB739" s="0" t="str">
        <f aca="false">IF($A739="","",IF(AND(EZ739="Y",FA739="Y",Y739&amp;""&lt;&gt;""),IF(Y739&lt;=10,"Y","N"),"N"))</f>
        <v/>
      </c>
      <c r="FC739" s="0" t="str">
        <f aca="false">IF(FB739="Y",Y739,"")</f>
        <v/>
      </c>
      <c r="FD739" s="0" t="str">
        <f aca="false">IF($A739="","",IF(AND(CK739="pass",AU739="Y",AV739&lt;&gt;"Y",U739="new",EW739="N"),"Y","N"))</f>
        <v/>
      </c>
      <c r="FE739" s="0" t="str">
        <f aca="false">IF(FD739&lt;&gt;"Y","",IF(COUNTIFS($FD$2:$FD$1000,"Y",$J$2:$J$1000,"&gt;"&amp;J739)+COUNTIFS($FD$2:$FD$1000,"Y",$J$2:$J$1000,J739,$FG$2:$FG$1000,"&lt;"&amp;FG739)+1&lt;=30,COUNTIFS($FD$2:$FD$1000,"Y",$J$2:$J$1000,"&gt;"&amp;J739)+COUNTIFS($FD$2:$FD$1000,"Y",$J$2:$J$1000,J739,$FG$2:$FG$1000,"&lt;"&amp;FG739)+1,""))</f>
        <v/>
      </c>
      <c r="FF739" s="0" t="str">
        <f aca="false">IF(AND(_xlfn.ISFORMULA(C739),_xlfn.ISFORMULA(J739)),"Y","N")</f>
        <v>Y</v>
      </c>
      <c r="FG739" s="0" t="n">
        <f aca="false">ROW()-1</f>
        <v>738</v>
      </c>
    </row>
    <row r="740" customFormat="false" ht="15" hidden="false" customHeight="false" outlineLevel="0" collapsed="false">
      <c r="C740" s="0" t="str">
        <f aca="false">IF($A740="","",IF(AT740="Y",BL740&amp;"",AY740&amp;""))</f>
        <v/>
      </c>
      <c r="D740" s="0" t="str">
        <f aca="false">IF($A740="","",IF(AT740="Y",BM740&amp;"",AZ740&amp;""))</f>
        <v/>
      </c>
      <c r="E740" s="0" t="str">
        <f aca="false">IF($A740="","",IF(AT740="Y",BN740&amp;"",BA740&amp;""))</f>
        <v/>
      </c>
      <c r="F740" s="0" t="str">
        <f aca="false">IF($A740="","",IF(AT740="Y",BO740&amp;"",BB740&amp;""))</f>
        <v/>
      </c>
      <c r="G740" s="0" t="str">
        <f aca="false">IF($A740="","",IF(AT740="Y",BP740&amp;"",BC740&amp;""))</f>
        <v/>
      </c>
      <c r="H740" s="0" t="str">
        <f aca="false">IF($A740="","",IF(AT740="Y",BQ740&amp;"",BD740&amp;""))</f>
        <v/>
      </c>
      <c r="I740" s="0" t="str">
        <f aca="false">IF($A740="","",IF(R740="Y","warm-intro",IF(H740="verified","email",IF(C740&lt;&gt;"","linkedin",CA740&amp;""))))</f>
        <v/>
      </c>
      <c r="J740" s="0" t="str">
        <f aca="false">IF($A740="","",IF(CK740="pass",ROUND(N(DO740)+N(DP740)+N(DQ740)+N(DR740)+N(DS740)+N(DT740)+N(DU740)+N(DV740),0),0))</f>
        <v/>
      </c>
      <c r="K740" s="0" t="str">
        <f aca="false">IF($A740="","",IF(CK740&lt;&gt;"pass",BY740&amp;"",BY740&amp;", "&amp;IF(AT740="Y",BX740&amp;"",BK740&amp;"")&amp;BZ740&amp;IF(R740="Y","; known to the founder (+10)","")&amp;"."))</f>
        <v/>
      </c>
      <c r="R740" s="5"/>
      <c r="T740" s="5"/>
      <c r="U740" s="5"/>
      <c r="Y740" s="0" t="str">
        <f aca="false">IF(FA740&lt;&gt;"Y","",COUNTIFS($FA$2:$FA$1000,"Y",$J$2:$J$1000,"&gt;"&amp;J740)+COUNTIFS($FA$2:$FA$1000,"Y",$J$2:$J$1000,J740,$FG$2:$FG$1000,"&lt;"&amp;FG740)+1)</f>
        <v/>
      </c>
      <c r="AB740" s="0" t="str">
        <f aca="false">IF($A740="","",IF(AT740="Y",BW740&amp;"",BJ740&amp;""))</f>
        <v/>
      </c>
      <c r="AC740" s="0" t="str">
        <f aca="false">IF($A740="","",IF(AT740="Y",BR740&amp;"",BE740&amp;""))</f>
        <v/>
      </c>
      <c r="AD740" s="0" t="str">
        <f aca="false">IF($A740="","",IF(AT740="Y",BS740&amp;"",BF740&amp;""))</f>
        <v/>
      </c>
      <c r="AE740" s="0" t="str">
        <f aca="false">IF($A740="","",IF(AT740="Y",BT740&amp;"",BG740&amp;""))</f>
        <v/>
      </c>
      <c r="AF740" s="0" t="str">
        <f aca="false">IF($A740="","",IF(AT740="Y",BU740&amp;"",BH740&amp;""))</f>
        <v/>
      </c>
      <c r="AG740" s="0" t="str">
        <f aca="false">IF($A740="","",IF(AT740="Y",BV740&amp;"",BI740&amp;""))</f>
        <v/>
      </c>
      <c r="AO740" s="5"/>
      <c r="AR740" s="0" t="str">
        <f aca="false">IF($A740="","",IF(AND(CK740="pass",AO740&lt;&gt;"Y",C740&lt;&gt;"",OR(AU740&lt;&gt;"Y",AV740="Y")),"Y","N"))</f>
        <v/>
      </c>
      <c r="AS740" s="0" t="str">
        <f aca="false">IF($A740="","",_xlfn.TEXTJOIN("; ",TRUE(),IF(CK740&lt;&gt;"pass","gated out",""),IF(AO740="Y","on hold: "&amp;AP740,""),IF(C740="","no contact named on an opened page",""),IF(AND(AU740="Y",AV740&lt;&gt;"Y"),"founder review pending (Founder review tab)","")))</f>
        <v/>
      </c>
      <c r="BC740" s="0" t="str">
        <f aca="false">IF($A740="","",IFERROR(INDEX(Enrichment!$A$2:$GZ$2000,MATCH($A740,INDEX(Enrichment!$A$2:$GZ$2000,0,MATCH("row_id",Enrichment!$A$1:$GZ$1,0)),0),MATCH("work_email",Enrichment!$A$1:$GZ$1,0))&amp;"",""))</f>
        <v/>
      </c>
      <c r="BD740" s="0" t="str">
        <f aca="false">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P740" s="0" t="str">
        <f aca="false">IF($A740="","",IFERROR(INDEX(Enrichment!$A$2:$GZ$2000,MATCH($A740,INDEX(Enrichment!$A$2:$GZ$2000,0,MATCH("row_id",Enrichment!$A$1:$GZ$1,0)),0),MATCH("backup_work_email",Enrichment!$A$1:$GZ$1,0))&amp;"",""))</f>
        <v/>
      </c>
      <c r="BQ740" s="0" t="str">
        <f aca="false">IF($A740="","",IF(BP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DU740" s="0" t="str">
        <f aca="false">IF($A740="","",IF(R740="Y",10,0))</f>
        <v/>
      </c>
      <c r="EV740" s="0" t="str">
        <f aca="false">IF($A740="","",IF(ISNUMBER(MATCH(U740,{"queued","contacted","replied","call_booked","call_done","yes_in_principle","materials_sent"},0)),"Y","N"))</f>
        <v/>
      </c>
      <c r="EW740" s="0" t="str">
        <f aca="false">IF($A740="","",IF(OR(T740="Y",U740="do_not_contact",AQ740&amp;""&lt;&gt;""),"Y","N"))</f>
        <v/>
      </c>
      <c r="EX740" s="0" t="str">
        <f aca="false">IF($A740="","",IF(AN740&amp;""&lt;&gt;"",AN740&amp;"",$A740))</f>
        <v/>
      </c>
      <c r="EY740" s="0" t="str">
        <f aca="false">IF($A740="","",IF(COUNTIFS($EX$2:$EX$1000,EX740,$EV$2:$EV$1000,"Y")+COUNTIFS($EX$2:$EX$1000,EX740,$EW$2:$EW$1000,"Y")&gt;0,"Y","N"))</f>
        <v/>
      </c>
      <c r="EZ740" s="0" t="str">
        <f aca="false">IF($A740="","",IF(AND(U740="new",T740="N",EW740="N",AR740="Y",EY740="N"),"Y","N"))</f>
        <v/>
      </c>
      <c r="FA740" s="0" t="str">
        <f aca="false">IF($A740="","",IF(EZ740&lt;&gt;"Y","N",IF(COUNTIFS($EX$2:$EX$1000,EX740,$EZ$2:$EZ$1000,"Y",$J$2:$J$1000,"&gt;"&amp;J740)+COUNTIFS($EX$2:$EX$1000,EX740,$EZ$2:$EZ$1000,"Y",$J$2:$J$1000,J740,$FG$2:$FG$1000,"&lt;"&amp;FG740)=0,"Y","N")))</f>
        <v/>
      </c>
      <c r="FB740" s="0" t="str">
        <f aca="false">IF($A740="","",IF(AND(EZ740="Y",FA740="Y",Y740&amp;""&lt;&gt;""),IF(Y740&lt;=10,"Y","N"),"N"))</f>
        <v/>
      </c>
      <c r="FC740" s="0" t="str">
        <f aca="false">IF(FB740="Y",Y740,"")</f>
        <v/>
      </c>
      <c r="FD740" s="0" t="str">
        <f aca="false">IF($A740="","",IF(AND(CK740="pass",AU740="Y",AV740&lt;&gt;"Y",U740="new",EW740="N"),"Y","N"))</f>
        <v/>
      </c>
      <c r="FE740" s="0" t="str">
        <f aca="false">IF(FD740&lt;&gt;"Y","",IF(COUNTIFS($FD$2:$FD$1000,"Y",$J$2:$J$1000,"&gt;"&amp;J740)+COUNTIFS($FD$2:$FD$1000,"Y",$J$2:$J$1000,J740,$FG$2:$FG$1000,"&lt;"&amp;FG740)+1&lt;=30,COUNTIFS($FD$2:$FD$1000,"Y",$J$2:$J$1000,"&gt;"&amp;J740)+COUNTIFS($FD$2:$FD$1000,"Y",$J$2:$J$1000,J740,$FG$2:$FG$1000,"&lt;"&amp;FG740)+1,""))</f>
        <v/>
      </c>
      <c r="FF740" s="0" t="str">
        <f aca="false">IF(AND(_xlfn.ISFORMULA(C740),_xlfn.ISFORMULA(J740)),"Y","N")</f>
        <v>Y</v>
      </c>
      <c r="FG740" s="0" t="n">
        <f aca="false">ROW()-1</f>
        <v>739</v>
      </c>
    </row>
    <row r="741" customFormat="false" ht="15" hidden="false" customHeight="false" outlineLevel="0" collapsed="false">
      <c r="C741" s="0" t="str">
        <f aca="false">IF($A741="","",IF(AT741="Y",BL741&amp;"",AY741&amp;""))</f>
        <v/>
      </c>
      <c r="D741" s="0" t="str">
        <f aca="false">IF($A741="","",IF(AT741="Y",BM741&amp;"",AZ741&amp;""))</f>
        <v/>
      </c>
      <c r="E741" s="0" t="str">
        <f aca="false">IF($A741="","",IF(AT741="Y",BN741&amp;"",BA741&amp;""))</f>
        <v/>
      </c>
      <c r="F741" s="0" t="str">
        <f aca="false">IF($A741="","",IF(AT741="Y",BO741&amp;"",BB741&amp;""))</f>
        <v/>
      </c>
      <c r="G741" s="0" t="str">
        <f aca="false">IF($A741="","",IF(AT741="Y",BP741&amp;"",BC741&amp;""))</f>
        <v/>
      </c>
      <c r="H741" s="0" t="str">
        <f aca="false">IF($A741="","",IF(AT741="Y",BQ741&amp;"",BD741&amp;""))</f>
        <v/>
      </c>
      <c r="I741" s="0" t="str">
        <f aca="false">IF($A741="","",IF(R741="Y","warm-intro",IF(H741="verified","email",IF(C741&lt;&gt;"","linkedin",CA741&amp;""))))</f>
        <v/>
      </c>
      <c r="J741" s="0" t="str">
        <f aca="false">IF($A741="","",IF(CK741="pass",ROUND(N(DO741)+N(DP741)+N(DQ741)+N(DR741)+N(DS741)+N(DT741)+N(DU741)+N(DV741),0),0))</f>
        <v/>
      </c>
      <c r="K741" s="0" t="str">
        <f aca="false">IF($A741="","",IF(CK741&lt;&gt;"pass",BY741&amp;"",BY741&amp;", "&amp;IF(AT741="Y",BX741&amp;"",BK741&amp;"")&amp;BZ741&amp;IF(R741="Y","; known to the founder (+10)","")&amp;"."))</f>
        <v/>
      </c>
      <c r="R741" s="5"/>
      <c r="T741" s="5"/>
      <c r="U741" s="5"/>
      <c r="Y741" s="0" t="str">
        <f aca="false">IF(FA741&lt;&gt;"Y","",COUNTIFS($FA$2:$FA$1000,"Y",$J$2:$J$1000,"&gt;"&amp;J741)+COUNTIFS($FA$2:$FA$1000,"Y",$J$2:$J$1000,J741,$FG$2:$FG$1000,"&lt;"&amp;FG741)+1)</f>
        <v/>
      </c>
      <c r="AB741" s="0" t="str">
        <f aca="false">IF($A741="","",IF(AT741="Y",BW741&amp;"",BJ741&amp;""))</f>
        <v/>
      </c>
      <c r="AC741" s="0" t="str">
        <f aca="false">IF($A741="","",IF(AT741="Y",BR741&amp;"",BE741&amp;""))</f>
        <v/>
      </c>
      <c r="AD741" s="0" t="str">
        <f aca="false">IF($A741="","",IF(AT741="Y",BS741&amp;"",BF741&amp;""))</f>
        <v/>
      </c>
      <c r="AE741" s="0" t="str">
        <f aca="false">IF($A741="","",IF(AT741="Y",BT741&amp;"",BG741&amp;""))</f>
        <v/>
      </c>
      <c r="AF741" s="0" t="str">
        <f aca="false">IF($A741="","",IF(AT741="Y",BU741&amp;"",BH741&amp;""))</f>
        <v/>
      </c>
      <c r="AG741" s="0" t="str">
        <f aca="false">IF($A741="","",IF(AT741="Y",BV741&amp;"",BI741&amp;""))</f>
        <v/>
      </c>
      <c r="AO741" s="5"/>
      <c r="AR741" s="0" t="str">
        <f aca="false">IF($A741="","",IF(AND(CK741="pass",AO741&lt;&gt;"Y",C741&lt;&gt;"",OR(AU741&lt;&gt;"Y",AV741="Y")),"Y","N"))</f>
        <v/>
      </c>
      <c r="AS741" s="0" t="str">
        <f aca="false">IF($A741="","",_xlfn.TEXTJOIN("; ",TRUE(),IF(CK741&lt;&gt;"pass","gated out",""),IF(AO741="Y","on hold: "&amp;AP741,""),IF(C741="","no contact named on an opened page",""),IF(AND(AU741="Y",AV741&lt;&gt;"Y"),"founder review pending (Founder review tab)","")))</f>
        <v/>
      </c>
      <c r="BC741" s="0" t="str">
        <f aca="false">IF($A741="","",IFERROR(INDEX(Enrichment!$A$2:$GZ$2000,MATCH($A741,INDEX(Enrichment!$A$2:$GZ$2000,0,MATCH("row_id",Enrichment!$A$1:$GZ$1,0)),0),MATCH("work_email",Enrichment!$A$1:$GZ$1,0))&amp;"",""))</f>
        <v/>
      </c>
      <c r="BD741" s="0" t="str">
        <f aca="false">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P741" s="0" t="str">
        <f aca="false">IF($A741="","",IFERROR(INDEX(Enrichment!$A$2:$GZ$2000,MATCH($A741,INDEX(Enrichment!$A$2:$GZ$2000,0,MATCH("row_id",Enrichment!$A$1:$GZ$1,0)),0),MATCH("backup_work_email",Enrichment!$A$1:$GZ$1,0))&amp;"",""))</f>
        <v/>
      </c>
      <c r="BQ741" s="0" t="str">
        <f aca="false">IF($A741="","",IF(BP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DU741" s="0" t="str">
        <f aca="false">IF($A741="","",IF(R741="Y",10,0))</f>
        <v/>
      </c>
      <c r="EV741" s="0" t="str">
        <f aca="false">IF($A741="","",IF(ISNUMBER(MATCH(U741,{"queued","contacted","replied","call_booked","call_done","yes_in_principle","materials_sent"},0)),"Y","N"))</f>
        <v/>
      </c>
      <c r="EW741" s="0" t="str">
        <f aca="false">IF($A741="","",IF(OR(T741="Y",U741="do_not_contact",AQ741&amp;""&lt;&gt;""),"Y","N"))</f>
        <v/>
      </c>
      <c r="EX741" s="0" t="str">
        <f aca="false">IF($A741="","",IF(AN741&amp;""&lt;&gt;"",AN741&amp;"",$A741))</f>
        <v/>
      </c>
      <c r="EY741" s="0" t="str">
        <f aca="false">IF($A741="","",IF(COUNTIFS($EX$2:$EX$1000,EX741,$EV$2:$EV$1000,"Y")+COUNTIFS($EX$2:$EX$1000,EX741,$EW$2:$EW$1000,"Y")&gt;0,"Y","N"))</f>
        <v/>
      </c>
      <c r="EZ741" s="0" t="str">
        <f aca="false">IF($A741="","",IF(AND(U741="new",T741="N",EW741="N",AR741="Y",EY741="N"),"Y","N"))</f>
        <v/>
      </c>
      <c r="FA741" s="0" t="str">
        <f aca="false">IF($A741="","",IF(EZ741&lt;&gt;"Y","N",IF(COUNTIFS($EX$2:$EX$1000,EX741,$EZ$2:$EZ$1000,"Y",$J$2:$J$1000,"&gt;"&amp;J741)+COUNTIFS($EX$2:$EX$1000,EX741,$EZ$2:$EZ$1000,"Y",$J$2:$J$1000,J741,$FG$2:$FG$1000,"&lt;"&amp;FG741)=0,"Y","N")))</f>
        <v/>
      </c>
      <c r="FB741" s="0" t="str">
        <f aca="false">IF($A741="","",IF(AND(EZ741="Y",FA741="Y",Y741&amp;""&lt;&gt;""),IF(Y741&lt;=10,"Y","N"),"N"))</f>
        <v/>
      </c>
      <c r="FC741" s="0" t="str">
        <f aca="false">IF(FB741="Y",Y741,"")</f>
        <v/>
      </c>
      <c r="FD741" s="0" t="str">
        <f aca="false">IF($A741="","",IF(AND(CK741="pass",AU741="Y",AV741&lt;&gt;"Y",U741="new",EW741="N"),"Y","N"))</f>
        <v/>
      </c>
      <c r="FE741" s="0" t="str">
        <f aca="false">IF(FD741&lt;&gt;"Y","",IF(COUNTIFS($FD$2:$FD$1000,"Y",$J$2:$J$1000,"&gt;"&amp;J741)+COUNTIFS($FD$2:$FD$1000,"Y",$J$2:$J$1000,J741,$FG$2:$FG$1000,"&lt;"&amp;FG741)+1&lt;=30,COUNTIFS($FD$2:$FD$1000,"Y",$J$2:$J$1000,"&gt;"&amp;J741)+COUNTIFS($FD$2:$FD$1000,"Y",$J$2:$J$1000,J741,$FG$2:$FG$1000,"&lt;"&amp;FG741)+1,""))</f>
        <v/>
      </c>
      <c r="FF741" s="0" t="str">
        <f aca="false">IF(AND(_xlfn.ISFORMULA(C741),_xlfn.ISFORMULA(J741)),"Y","N")</f>
        <v>Y</v>
      </c>
      <c r="FG741" s="0" t="n">
        <f aca="false">ROW()-1</f>
        <v>740</v>
      </c>
    </row>
    <row r="742" customFormat="false" ht="15" hidden="false" customHeight="false" outlineLevel="0" collapsed="false">
      <c r="C742" s="0" t="str">
        <f aca="false">IF($A742="","",IF(AT742="Y",BL742&amp;"",AY742&amp;""))</f>
        <v/>
      </c>
      <c r="D742" s="0" t="str">
        <f aca="false">IF($A742="","",IF(AT742="Y",BM742&amp;"",AZ742&amp;""))</f>
        <v/>
      </c>
      <c r="E742" s="0" t="str">
        <f aca="false">IF($A742="","",IF(AT742="Y",BN742&amp;"",BA742&amp;""))</f>
        <v/>
      </c>
      <c r="F742" s="0" t="str">
        <f aca="false">IF($A742="","",IF(AT742="Y",BO742&amp;"",BB742&amp;""))</f>
        <v/>
      </c>
      <c r="G742" s="0" t="str">
        <f aca="false">IF($A742="","",IF(AT742="Y",BP742&amp;"",BC742&amp;""))</f>
        <v/>
      </c>
      <c r="H742" s="0" t="str">
        <f aca="false">IF($A742="","",IF(AT742="Y",BQ742&amp;"",BD742&amp;""))</f>
        <v/>
      </c>
      <c r="I742" s="0" t="str">
        <f aca="false">IF($A742="","",IF(R742="Y","warm-intro",IF(H742="verified","email",IF(C742&lt;&gt;"","linkedin",CA742&amp;""))))</f>
        <v/>
      </c>
      <c r="J742" s="0" t="str">
        <f aca="false">IF($A742="","",IF(CK742="pass",ROUND(N(DO742)+N(DP742)+N(DQ742)+N(DR742)+N(DS742)+N(DT742)+N(DU742)+N(DV742),0),0))</f>
        <v/>
      </c>
      <c r="K742" s="0" t="str">
        <f aca="false">IF($A742="","",IF(CK742&lt;&gt;"pass",BY742&amp;"",BY742&amp;", "&amp;IF(AT742="Y",BX742&amp;"",BK742&amp;"")&amp;BZ742&amp;IF(R742="Y","; known to the founder (+10)","")&amp;"."))</f>
        <v/>
      </c>
      <c r="R742" s="5"/>
      <c r="T742" s="5"/>
      <c r="U742" s="5"/>
      <c r="Y742" s="0" t="str">
        <f aca="false">IF(FA742&lt;&gt;"Y","",COUNTIFS($FA$2:$FA$1000,"Y",$J$2:$J$1000,"&gt;"&amp;J742)+COUNTIFS($FA$2:$FA$1000,"Y",$J$2:$J$1000,J742,$FG$2:$FG$1000,"&lt;"&amp;FG742)+1)</f>
        <v/>
      </c>
      <c r="AB742" s="0" t="str">
        <f aca="false">IF($A742="","",IF(AT742="Y",BW742&amp;"",BJ742&amp;""))</f>
        <v/>
      </c>
      <c r="AC742" s="0" t="str">
        <f aca="false">IF($A742="","",IF(AT742="Y",BR742&amp;"",BE742&amp;""))</f>
        <v/>
      </c>
      <c r="AD742" s="0" t="str">
        <f aca="false">IF($A742="","",IF(AT742="Y",BS742&amp;"",BF742&amp;""))</f>
        <v/>
      </c>
      <c r="AE742" s="0" t="str">
        <f aca="false">IF($A742="","",IF(AT742="Y",BT742&amp;"",BG742&amp;""))</f>
        <v/>
      </c>
      <c r="AF742" s="0" t="str">
        <f aca="false">IF($A742="","",IF(AT742="Y",BU742&amp;"",BH742&amp;""))</f>
        <v/>
      </c>
      <c r="AG742" s="0" t="str">
        <f aca="false">IF($A742="","",IF(AT742="Y",BV742&amp;"",BI742&amp;""))</f>
        <v/>
      </c>
      <c r="AO742" s="5"/>
      <c r="AR742" s="0" t="str">
        <f aca="false">IF($A742="","",IF(AND(CK742="pass",AO742&lt;&gt;"Y",C742&lt;&gt;"",OR(AU742&lt;&gt;"Y",AV742="Y")),"Y","N"))</f>
        <v/>
      </c>
      <c r="AS742" s="0" t="str">
        <f aca="false">IF($A742="","",_xlfn.TEXTJOIN("; ",TRUE(),IF(CK742&lt;&gt;"pass","gated out",""),IF(AO742="Y","on hold: "&amp;AP742,""),IF(C742="","no contact named on an opened page",""),IF(AND(AU742="Y",AV742&lt;&gt;"Y"),"founder review pending (Founder review tab)","")))</f>
        <v/>
      </c>
      <c r="BC742" s="0" t="str">
        <f aca="false">IF($A742="","",IFERROR(INDEX(Enrichment!$A$2:$GZ$2000,MATCH($A742,INDEX(Enrichment!$A$2:$GZ$2000,0,MATCH("row_id",Enrichment!$A$1:$GZ$1,0)),0),MATCH("work_email",Enrichment!$A$1:$GZ$1,0))&amp;"",""))</f>
        <v/>
      </c>
      <c r="BD742" s="0" t="str">
        <f aca="false">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P742" s="0" t="str">
        <f aca="false">IF($A742="","",IFERROR(INDEX(Enrichment!$A$2:$GZ$2000,MATCH($A742,INDEX(Enrichment!$A$2:$GZ$2000,0,MATCH("row_id",Enrichment!$A$1:$GZ$1,0)),0),MATCH("backup_work_email",Enrichment!$A$1:$GZ$1,0))&amp;"",""))</f>
        <v/>
      </c>
      <c r="BQ742" s="0" t="str">
        <f aca="false">IF($A742="","",IF(BP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DU742" s="0" t="str">
        <f aca="false">IF($A742="","",IF(R742="Y",10,0))</f>
        <v/>
      </c>
      <c r="EV742" s="0" t="str">
        <f aca="false">IF($A742="","",IF(ISNUMBER(MATCH(U742,{"queued","contacted","replied","call_booked","call_done","yes_in_principle","materials_sent"},0)),"Y","N"))</f>
        <v/>
      </c>
      <c r="EW742" s="0" t="str">
        <f aca="false">IF($A742="","",IF(OR(T742="Y",U742="do_not_contact",AQ742&amp;""&lt;&gt;""),"Y","N"))</f>
        <v/>
      </c>
      <c r="EX742" s="0" t="str">
        <f aca="false">IF($A742="","",IF(AN742&amp;""&lt;&gt;"",AN742&amp;"",$A742))</f>
        <v/>
      </c>
      <c r="EY742" s="0" t="str">
        <f aca="false">IF($A742="","",IF(COUNTIFS($EX$2:$EX$1000,EX742,$EV$2:$EV$1000,"Y")+COUNTIFS($EX$2:$EX$1000,EX742,$EW$2:$EW$1000,"Y")&gt;0,"Y","N"))</f>
        <v/>
      </c>
      <c r="EZ742" s="0" t="str">
        <f aca="false">IF($A742="","",IF(AND(U742="new",T742="N",EW742="N",AR742="Y",EY742="N"),"Y","N"))</f>
        <v/>
      </c>
      <c r="FA742" s="0" t="str">
        <f aca="false">IF($A742="","",IF(EZ742&lt;&gt;"Y","N",IF(COUNTIFS($EX$2:$EX$1000,EX742,$EZ$2:$EZ$1000,"Y",$J$2:$J$1000,"&gt;"&amp;J742)+COUNTIFS($EX$2:$EX$1000,EX742,$EZ$2:$EZ$1000,"Y",$J$2:$J$1000,J742,$FG$2:$FG$1000,"&lt;"&amp;FG742)=0,"Y","N")))</f>
        <v/>
      </c>
      <c r="FB742" s="0" t="str">
        <f aca="false">IF($A742="","",IF(AND(EZ742="Y",FA742="Y",Y742&amp;""&lt;&gt;""),IF(Y742&lt;=10,"Y","N"),"N"))</f>
        <v/>
      </c>
      <c r="FC742" s="0" t="str">
        <f aca="false">IF(FB742="Y",Y742,"")</f>
        <v/>
      </c>
      <c r="FD742" s="0" t="str">
        <f aca="false">IF($A742="","",IF(AND(CK742="pass",AU742="Y",AV742&lt;&gt;"Y",U742="new",EW742="N"),"Y","N"))</f>
        <v/>
      </c>
      <c r="FE742" s="0" t="str">
        <f aca="false">IF(FD742&lt;&gt;"Y","",IF(COUNTIFS($FD$2:$FD$1000,"Y",$J$2:$J$1000,"&gt;"&amp;J742)+COUNTIFS($FD$2:$FD$1000,"Y",$J$2:$J$1000,J742,$FG$2:$FG$1000,"&lt;"&amp;FG742)+1&lt;=30,COUNTIFS($FD$2:$FD$1000,"Y",$J$2:$J$1000,"&gt;"&amp;J742)+COUNTIFS($FD$2:$FD$1000,"Y",$J$2:$J$1000,J742,$FG$2:$FG$1000,"&lt;"&amp;FG742)+1,""))</f>
        <v/>
      </c>
      <c r="FF742" s="0" t="str">
        <f aca="false">IF(AND(_xlfn.ISFORMULA(C742),_xlfn.ISFORMULA(J742)),"Y","N")</f>
        <v>Y</v>
      </c>
      <c r="FG742" s="0" t="n">
        <f aca="false">ROW()-1</f>
        <v>741</v>
      </c>
    </row>
    <row r="743" customFormat="false" ht="15" hidden="false" customHeight="false" outlineLevel="0" collapsed="false">
      <c r="C743" s="0" t="str">
        <f aca="false">IF($A743="","",IF(AT743="Y",BL743&amp;"",AY743&amp;""))</f>
        <v/>
      </c>
      <c r="D743" s="0" t="str">
        <f aca="false">IF($A743="","",IF(AT743="Y",BM743&amp;"",AZ743&amp;""))</f>
        <v/>
      </c>
      <c r="E743" s="0" t="str">
        <f aca="false">IF($A743="","",IF(AT743="Y",BN743&amp;"",BA743&amp;""))</f>
        <v/>
      </c>
      <c r="F743" s="0" t="str">
        <f aca="false">IF($A743="","",IF(AT743="Y",BO743&amp;"",BB743&amp;""))</f>
        <v/>
      </c>
      <c r="G743" s="0" t="str">
        <f aca="false">IF($A743="","",IF(AT743="Y",BP743&amp;"",BC743&amp;""))</f>
        <v/>
      </c>
      <c r="H743" s="0" t="str">
        <f aca="false">IF($A743="","",IF(AT743="Y",BQ743&amp;"",BD743&amp;""))</f>
        <v/>
      </c>
      <c r="I743" s="0" t="str">
        <f aca="false">IF($A743="","",IF(R743="Y","warm-intro",IF(H743="verified","email",IF(C743&lt;&gt;"","linkedin",CA743&amp;""))))</f>
        <v/>
      </c>
      <c r="J743" s="0" t="str">
        <f aca="false">IF($A743="","",IF(CK743="pass",ROUND(N(DO743)+N(DP743)+N(DQ743)+N(DR743)+N(DS743)+N(DT743)+N(DU743)+N(DV743),0),0))</f>
        <v/>
      </c>
      <c r="K743" s="0" t="str">
        <f aca="false">IF($A743="","",IF(CK743&lt;&gt;"pass",BY743&amp;"",BY743&amp;", "&amp;IF(AT743="Y",BX743&amp;"",BK743&amp;"")&amp;BZ743&amp;IF(R743="Y","; known to the founder (+10)","")&amp;"."))</f>
        <v/>
      </c>
      <c r="R743" s="5"/>
      <c r="T743" s="5"/>
      <c r="U743" s="5"/>
      <c r="Y743" s="0" t="str">
        <f aca="false">IF(FA743&lt;&gt;"Y","",COUNTIFS($FA$2:$FA$1000,"Y",$J$2:$J$1000,"&gt;"&amp;J743)+COUNTIFS($FA$2:$FA$1000,"Y",$J$2:$J$1000,J743,$FG$2:$FG$1000,"&lt;"&amp;FG743)+1)</f>
        <v/>
      </c>
      <c r="AB743" s="0" t="str">
        <f aca="false">IF($A743="","",IF(AT743="Y",BW743&amp;"",BJ743&amp;""))</f>
        <v/>
      </c>
      <c r="AC743" s="0" t="str">
        <f aca="false">IF($A743="","",IF(AT743="Y",BR743&amp;"",BE743&amp;""))</f>
        <v/>
      </c>
      <c r="AD743" s="0" t="str">
        <f aca="false">IF($A743="","",IF(AT743="Y",BS743&amp;"",BF743&amp;""))</f>
        <v/>
      </c>
      <c r="AE743" s="0" t="str">
        <f aca="false">IF($A743="","",IF(AT743="Y",BT743&amp;"",BG743&amp;""))</f>
        <v/>
      </c>
      <c r="AF743" s="0" t="str">
        <f aca="false">IF($A743="","",IF(AT743="Y",BU743&amp;"",BH743&amp;""))</f>
        <v/>
      </c>
      <c r="AG743" s="0" t="str">
        <f aca="false">IF($A743="","",IF(AT743="Y",BV743&amp;"",BI743&amp;""))</f>
        <v/>
      </c>
      <c r="AO743" s="5"/>
      <c r="AR743" s="0" t="str">
        <f aca="false">IF($A743="","",IF(AND(CK743="pass",AO743&lt;&gt;"Y",C743&lt;&gt;"",OR(AU743&lt;&gt;"Y",AV743="Y")),"Y","N"))</f>
        <v/>
      </c>
      <c r="AS743" s="0" t="str">
        <f aca="false">IF($A743="","",_xlfn.TEXTJOIN("; ",TRUE(),IF(CK743&lt;&gt;"pass","gated out",""),IF(AO743="Y","on hold: "&amp;AP743,""),IF(C743="","no contact named on an opened page",""),IF(AND(AU743="Y",AV743&lt;&gt;"Y"),"founder review pending (Founder review tab)","")))</f>
        <v/>
      </c>
      <c r="BC743" s="0" t="str">
        <f aca="false">IF($A743="","",IFERROR(INDEX(Enrichment!$A$2:$GZ$2000,MATCH($A743,INDEX(Enrichment!$A$2:$GZ$2000,0,MATCH("row_id",Enrichment!$A$1:$GZ$1,0)),0),MATCH("work_email",Enrichment!$A$1:$GZ$1,0))&amp;"",""))</f>
        <v/>
      </c>
      <c r="BD743" s="0" t="str">
        <f aca="false">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P743" s="0" t="str">
        <f aca="false">IF($A743="","",IFERROR(INDEX(Enrichment!$A$2:$GZ$2000,MATCH($A743,INDEX(Enrichment!$A$2:$GZ$2000,0,MATCH("row_id",Enrichment!$A$1:$GZ$1,0)),0),MATCH("backup_work_email",Enrichment!$A$1:$GZ$1,0))&amp;"",""))</f>
        <v/>
      </c>
      <c r="BQ743" s="0" t="str">
        <f aca="false">IF($A743="","",IF(BP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DU743" s="0" t="str">
        <f aca="false">IF($A743="","",IF(R743="Y",10,0))</f>
        <v/>
      </c>
      <c r="EV743" s="0" t="str">
        <f aca="false">IF($A743="","",IF(ISNUMBER(MATCH(U743,{"queued","contacted","replied","call_booked","call_done","yes_in_principle","materials_sent"},0)),"Y","N"))</f>
        <v/>
      </c>
      <c r="EW743" s="0" t="str">
        <f aca="false">IF($A743="","",IF(OR(T743="Y",U743="do_not_contact",AQ743&amp;""&lt;&gt;""),"Y","N"))</f>
        <v/>
      </c>
      <c r="EX743" s="0" t="str">
        <f aca="false">IF($A743="","",IF(AN743&amp;""&lt;&gt;"",AN743&amp;"",$A743))</f>
        <v/>
      </c>
      <c r="EY743" s="0" t="str">
        <f aca="false">IF($A743="","",IF(COUNTIFS($EX$2:$EX$1000,EX743,$EV$2:$EV$1000,"Y")+COUNTIFS($EX$2:$EX$1000,EX743,$EW$2:$EW$1000,"Y")&gt;0,"Y","N"))</f>
        <v/>
      </c>
      <c r="EZ743" s="0" t="str">
        <f aca="false">IF($A743="","",IF(AND(U743="new",T743="N",EW743="N",AR743="Y",EY743="N"),"Y","N"))</f>
        <v/>
      </c>
      <c r="FA743" s="0" t="str">
        <f aca="false">IF($A743="","",IF(EZ743&lt;&gt;"Y","N",IF(COUNTIFS($EX$2:$EX$1000,EX743,$EZ$2:$EZ$1000,"Y",$J$2:$J$1000,"&gt;"&amp;J743)+COUNTIFS($EX$2:$EX$1000,EX743,$EZ$2:$EZ$1000,"Y",$J$2:$J$1000,J743,$FG$2:$FG$1000,"&lt;"&amp;FG743)=0,"Y","N")))</f>
        <v/>
      </c>
      <c r="FB743" s="0" t="str">
        <f aca="false">IF($A743="","",IF(AND(EZ743="Y",FA743="Y",Y743&amp;""&lt;&gt;""),IF(Y743&lt;=10,"Y","N"),"N"))</f>
        <v/>
      </c>
      <c r="FC743" s="0" t="str">
        <f aca="false">IF(FB743="Y",Y743,"")</f>
        <v/>
      </c>
      <c r="FD743" s="0" t="str">
        <f aca="false">IF($A743="","",IF(AND(CK743="pass",AU743="Y",AV743&lt;&gt;"Y",U743="new",EW743="N"),"Y","N"))</f>
        <v/>
      </c>
      <c r="FE743" s="0" t="str">
        <f aca="false">IF(FD743&lt;&gt;"Y","",IF(COUNTIFS($FD$2:$FD$1000,"Y",$J$2:$J$1000,"&gt;"&amp;J743)+COUNTIFS($FD$2:$FD$1000,"Y",$J$2:$J$1000,J743,$FG$2:$FG$1000,"&lt;"&amp;FG743)+1&lt;=30,COUNTIFS($FD$2:$FD$1000,"Y",$J$2:$J$1000,"&gt;"&amp;J743)+COUNTIFS($FD$2:$FD$1000,"Y",$J$2:$J$1000,J743,$FG$2:$FG$1000,"&lt;"&amp;FG743)+1,""))</f>
        <v/>
      </c>
      <c r="FF743" s="0" t="str">
        <f aca="false">IF(AND(_xlfn.ISFORMULA(C743),_xlfn.ISFORMULA(J743)),"Y","N")</f>
        <v>Y</v>
      </c>
      <c r="FG743" s="0" t="n">
        <f aca="false">ROW()-1</f>
        <v>742</v>
      </c>
    </row>
    <row r="744" customFormat="false" ht="15" hidden="false" customHeight="false" outlineLevel="0" collapsed="false">
      <c r="C744" s="0" t="str">
        <f aca="false">IF($A744="","",IF(AT744="Y",BL744&amp;"",AY744&amp;""))</f>
        <v/>
      </c>
      <c r="D744" s="0" t="str">
        <f aca="false">IF($A744="","",IF(AT744="Y",BM744&amp;"",AZ744&amp;""))</f>
        <v/>
      </c>
      <c r="E744" s="0" t="str">
        <f aca="false">IF($A744="","",IF(AT744="Y",BN744&amp;"",BA744&amp;""))</f>
        <v/>
      </c>
      <c r="F744" s="0" t="str">
        <f aca="false">IF($A744="","",IF(AT744="Y",BO744&amp;"",BB744&amp;""))</f>
        <v/>
      </c>
      <c r="G744" s="0" t="str">
        <f aca="false">IF($A744="","",IF(AT744="Y",BP744&amp;"",BC744&amp;""))</f>
        <v/>
      </c>
      <c r="H744" s="0" t="str">
        <f aca="false">IF($A744="","",IF(AT744="Y",BQ744&amp;"",BD744&amp;""))</f>
        <v/>
      </c>
      <c r="I744" s="0" t="str">
        <f aca="false">IF($A744="","",IF(R744="Y","warm-intro",IF(H744="verified","email",IF(C744&lt;&gt;"","linkedin",CA744&amp;""))))</f>
        <v/>
      </c>
      <c r="J744" s="0" t="str">
        <f aca="false">IF($A744="","",IF(CK744="pass",ROUND(N(DO744)+N(DP744)+N(DQ744)+N(DR744)+N(DS744)+N(DT744)+N(DU744)+N(DV744),0),0))</f>
        <v/>
      </c>
      <c r="K744" s="0" t="str">
        <f aca="false">IF($A744="","",IF(CK744&lt;&gt;"pass",BY744&amp;"",BY744&amp;", "&amp;IF(AT744="Y",BX744&amp;"",BK744&amp;"")&amp;BZ744&amp;IF(R744="Y","; known to the founder (+10)","")&amp;"."))</f>
        <v/>
      </c>
      <c r="R744" s="5"/>
      <c r="T744" s="5"/>
      <c r="U744" s="5"/>
      <c r="Y744" s="0" t="str">
        <f aca="false">IF(FA744&lt;&gt;"Y","",COUNTIFS($FA$2:$FA$1000,"Y",$J$2:$J$1000,"&gt;"&amp;J744)+COUNTIFS($FA$2:$FA$1000,"Y",$J$2:$J$1000,J744,$FG$2:$FG$1000,"&lt;"&amp;FG744)+1)</f>
        <v/>
      </c>
      <c r="AB744" s="0" t="str">
        <f aca="false">IF($A744="","",IF(AT744="Y",BW744&amp;"",BJ744&amp;""))</f>
        <v/>
      </c>
      <c r="AC744" s="0" t="str">
        <f aca="false">IF($A744="","",IF(AT744="Y",BR744&amp;"",BE744&amp;""))</f>
        <v/>
      </c>
      <c r="AD744" s="0" t="str">
        <f aca="false">IF($A744="","",IF(AT744="Y",BS744&amp;"",BF744&amp;""))</f>
        <v/>
      </c>
      <c r="AE744" s="0" t="str">
        <f aca="false">IF($A744="","",IF(AT744="Y",BT744&amp;"",BG744&amp;""))</f>
        <v/>
      </c>
      <c r="AF744" s="0" t="str">
        <f aca="false">IF($A744="","",IF(AT744="Y",BU744&amp;"",BH744&amp;""))</f>
        <v/>
      </c>
      <c r="AG744" s="0" t="str">
        <f aca="false">IF($A744="","",IF(AT744="Y",BV744&amp;"",BI744&amp;""))</f>
        <v/>
      </c>
      <c r="AO744" s="5"/>
      <c r="AR744" s="0" t="str">
        <f aca="false">IF($A744="","",IF(AND(CK744="pass",AO744&lt;&gt;"Y",C744&lt;&gt;"",OR(AU744&lt;&gt;"Y",AV744="Y")),"Y","N"))</f>
        <v/>
      </c>
      <c r="AS744" s="0" t="str">
        <f aca="false">IF($A744="","",_xlfn.TEXTJOIN("; ",TRUE(),IF(CK744&lt;&gt;"pass","gated out",""),IF(AO744="Y","on hold: "&amp;AP744,""),IF(C744="","no contact named on an opened page",""),IF(AND(AU744="Y",AV744&lt;&gt;"Y"),"founder review pending (Founder review tab)","")))</f>
        <v/>
      </c>
      <c r="BC744" s="0" t="str">
        <f aca="false">IF($A744="","",IFERROR(INDEX(Enrichment!$A$2:$GZ$2000,MATCH($A744,INDEX(Enrichment!$A$2:$GZ$2000,0,MATCH("row_id",Enrichment!$A$1:$GZ$1,0)),0),MATCH("work_email",Enrichment!$A$1:$GZ$1,0))&amp;"",""))</f>
        <v/>
      </c>
      <c r="BD744" s="0" t="str">
        <f aca="false">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P744" s="0" t="str">
        <f aca="false">IF($A744="","",IFERROR(INDEX(Enrichment!$A$2:$GZ$2000,MATCH($A744,INDEX(Enrichment!$A$2:$GZ$2000,0,MATCH("row_id",Enrichment!$A$1:$GZ$1,0)),0),MATCH("backup_work_email",Enrichment!$A$1:$GZ$1,0))&amp;"",""))</f>
        <v/>
      </c>
      <c r="BQ744" s="0" t="str">
        <f aca="false">IF($A744="","",IF(BP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DU744" s="0" t="str">
        <f aca="false">IF($A744="","",IF(R744="Y",10,0))</f>
        <v/>
      </c>
      <c r="EV744" s="0" t="str">
        <f aca="false">IF($A744="","",IF(ISNUMBER(MATCH(U744,{"queued","contacted","replied","call_booked","call_done","yes_in_principle","materials_sent"},0)),"Y","N"))</f>
        <v/>
      </c>
      <c r="EW744" s="0" t="str">
        <f aca="false">IF($A744="","",IF(OR(T744="Y",U744="do_not_contact",AQ744&amp;""&lt;&gt;""),"Y","N"))</f>
        <v/>
      </c>
      <c r="EX744" s="0" t="str">
        <f aca="false">IF($A744="","",IF(AN744&amp;""&lt;&gt;"",AN744&amp;"",$A744))</f>
        <v/>
      </c>
      <c r="EY744" s="0" t="str">
        <f aca="false">IF($A744="","",IF(COUNTIFS($EX$2:$EX$1000,EX744,$EV$2:$EV$1000,"Y")+COUNTIFS($EX$2:$EX$1000,EX744,$EW$2:$EW$1000,"Y")&gt;0,"Y","N"))</f>
        <v/>
      </c>
      <c r="EZ744" s="0" t="str">
        <f aca="false">IF($A744="","",IF(AND(U744="new",T744="N",EW744="N",AR744="Y",EY744="N"),"Y","N"))</f>
        <v/>
      </c>
      <c r="FA744" s="0" t="str">
        <f aca="false">IF($A744="","",IF(EZ744&lt;&gt;"Y","N",IF(COUNTIFS($EX$2:$EX$1000,EX744,$EZ$2:$EZ$1000,"Y",$J$2:$J$1000,"&gt;"&amp;J744)+COUNTIFS($EX$2:$EX$1000,EX744,$EZ$2:$EZ$1000,"Y",$J$2:$J$1000,J744,$FG$2:$FG$1000,"&lt;"&amp;FG744)=0,"Y","N")))</f>
        <v/>
      </c>
      <c r="FB744" s="0" t="str">
        <f aca="false">IF($A744="","",IF(AND(EZ744="Y",FA744="Y",Y744&amp;""&lt;&gt;""),IF(Y744&lt;=10,"Y","N"),"N"))</f>
        <v/>
      </c>
      <c r="FC744" s="0" t="str">
        <f aca="false">IF(FB744="Y",Y744,"")</f>
        <v/>
      </c>
      <c r="FD744" s="0" t="str">
        <f aca="false">IF($A744="","",IF(AND(CK744="pass",AU744="Y",AV744&lt;&gt;"Y",U744="new",EW744="N"),"Y","N"))</f>
        <v/>
      </c>
      <c r="FE744" s="0" t="str">
        <f aca="false">IF(FD744&lt;&gt;"Y","",IF(COUNTIFS($FD$2:$FD$1000,"Y",$J$2:$J$1000,"&gt;"&amp;J744)+COUNTIFS($FD$2:$FD$1000,"Y",$J$2:$J$1000,J744,$FG$2:$FG$1000,"&lt;"&amp;FG744)+1&lt;=30,COUNTIFS($FD$2:$FD$1000,"Y",$J$2:$J$1000,"&gt;"&amp;J744)+COUNTIFS($FD$2:$FD$1000,"Y",$J$2:$J$1000,J744,$FG$2:$FG$1000,"&lt;"&amp;FG744)+1,""))</f>
        <v/>
      </c>
      <c r="FF744" s="0" t="str">
        <f aca="false">IF(AND(_xlfn.ISFORMULA(C744),_xlfn.ISFORMULA(J744)),"Y","N")</f>
        <v>Y</v>
      </c>
      <c r="FG744" s="0" t="n">
        <f aca="false">ROW()-1</f>
        <v>743</v>
      </c>
    </row>
    <row r="745" customFormat="false" ht="15" hidden="false" customHeight="false" outlineLevel="0" collapsed="false">
      <c r="C745" s="0" t="str">
        <f aca="false">IF($A745="","",IF(AT745="Y",BL745&amp;"",AY745&amp;""))</f>
        <v/>
      </c>
      <c r="D745" s="0" t="str">
        <f aca="false">IF($A745="","",IF(AT745="Y",BM745&amp;"",AZ745&amp;""))</f>
        <v/>
      </c>
      <c r="E745" s="0" t="str">
        <f aca="false">IF($A745="","",IF(AT745="Y",BN745&amp;"",BA745&amp;""))</f>
        <v/>
      </c>
      <c r="F745" s="0" t="str">
        <f aca="false">IF($A745="","",IF(AT745="Y",BO745&amp;"",BB745&amp;""))</f>
        <v/>
      </c>
      <c r="G745" s="0" t="str">
        <f aca="false">IF($A745="","",IF(AT745="Y",BP745&amp;"",BC745&amp;""))</f>
        <v/>
      </c>
      <c r="H745" s="0" t="str">
        <f aca="false">IF($A745="","",IF(AT745="Y",BQ745&amp;"",BD745&amp;""))</f>
        <v/>
      </c>
      <c r="I745" s="0" t="str">
        <f aca="false">IF($A745="","",IF(R745="Y","warm-intro",IF(H745="verified","email",IF(C745&lt;&gt;"","linkedin",CA745&amp;""))))</f>
        <v/>
      </c>
      <c r="J745" s="0" t="str">
        <f aca="false">IF($A745="","",IF(CK745="pass",ROUND(N(DO745)+N(DP745)+N(DQ745)+N(DR745)+N(DS745)+N(DT745)+N(DU745)+N(DV745),0),0))</f>
        <v/>
      </c>
      <c r="K745" s="0" t="str">
        <f aca="false">IF($A745="","",IF(CK745&lt;&gt;"pass",BY745&amp;"",BY745&amp;", "&amp;IF(AT745="Y",BX745&amp;"",BK745&amp;"")&amp;BZ745&amp;IF(R745="Y","; known to the founder (+10)","")&amp;"."))</f>
        <v/>
      </c>
      <c r="R745" s="5"/>
      <c r="T745" s="5"/>
      <c r="U745" s="5"/>
      <c r="Y745" s="0" t="str">
        <f aca="false">IF(FA745&lt;&gt;"Y","",COUNTIFS($FA$2:$FA$1000,"Y",$J$2:$J$1000,"&gt;"&amp;J745)+COUNTIFS($FA$2:$FA$1000,"Y",$J$2:$J$1000,J745,$FG$2:$FG$1000,"&lt;"&amp;FG745)+1)</f>
        <v/>
      </c>
      <c r="AB745" s="0" t="str">
        <f aca="false">IF($A745="","",IF(AT745="Y",BW745&amp;"",BJ745&amp;""))</f>
        <v/>
      </c>
      <c r="AC745" s="0" t="str">
        <f aca="false">IF($A745="","",IF(AT745="Y",BR745&amp;"",BE745&amp;""))</f>
        <v/>
      </c>
      <c r="AD745" s="0" t="str">
        <f aca="false">IF($A745="","",IF(AT745="Y",BS745&amp;"",BF745&amp;""))</f>
        <v/>
      </c>
      <c r="AE745" s="0" t="str">
        <f aca="false">IF($A745="","",IF(AT745="Y",BT745&amp;"",BG745&amp;""))</f>
        <v/>
      </c>
      <c r="AF745" s="0" t="str">
        <f aca="false">IF($A745="","",IF(AT745="Y",BU745&amp;"",BH745&amp;""))</f>
        <v/>
      </c>
      <c r="AG745" s="0" t="str">
        <f aca="false">IF($A745="","",IF(AT745="Y",BV745&amp;"",BI745&amp;""))</f>
        <v/>
      </c>
      <c r="AO745" s="5"/>
      <c r="AR745" s="0" t="str">
        <f aca="false">IF($A745="","",IF(AND(CK745="pass",AO745&lt;&gt;"Y",C745&lt;&gt;"",OR(AU745&lt;&gt;"Y",AV745="Y")),"Y","N"))</f>
        <v/>
      </c>
      <c r="AS745" s="0" t="str">
        <f aca="false">IF($A745="","",_xlfn.TEXTJOIN("; ",TRUE(),IF(CK745&lt;&gt;"pass","gated out",""),IF(AO745="Y","on hold: "&amp;AP745,""),IF(C745="","no contact named on an opened page",""),IF(AND(AU745="Y",AV745&lt;&gt;"Y"),"founder review pending (Founder review tab)","")))</f>
        <v/>
      </c>
      <c r="BC745" s="0" t="str">
        <f aca="false">IF($A745="","",IFERROR(INDEX(Enrichment!$A$2:$GZ$2000,MATCH($A745,INDEX(Enrichment!$A$2:$GZ$2000,0,MATCH("row_id",Enrichment!$A$1:$GZ$1,0)),0),MATCH("work_email",Enrichment!$A$1:$GZ$1,0))&amp;"",""))</f>
        <v/>
      </c>
      <c r="BD745" s="0" t="str">
        <f aca="false">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P745" s="0" t="str">
        <f aca="false">IF($A745="","",IFERROR(INDEX(Enrichment!$A$2:$GZ$2000,MATCH($A745,INDEX(Enrichment!$A$2:$GZ$2000,0,MATCH("row_id",Enrichment!$A$1:$GZ$1,0)),0),MATCH("backup_work_email",Enrichment!$A$1:$GZ$1,0))&amp;"",""))</f>
        <v/>
      </c>
      <c r="BQ745" s="0" t="str">
        <f aca="false">IF($A745="","",IF(BP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DU745" s="0" t="str">
        <f aca="false">IF($A745="","",IF(R745="Y",10,0))</f>
        <v/>
      </c>
      <c r="EV745" s="0" t="str">
        <f aca="false">IF($A745="","",IF(ISNUMBER(MATCH(U745,{"queued","contacted","replied","call_booked","call_done","yes_in_principle","materials_sent"},0)),"Y","N"))</f>
        <v/>
      </c>
      <c r="EW745" s="0" t="str">
        <f aca="false">IF($A745="","",IF(OR(T745="Y",U745="do_not_contact",AQ745&amp;""&lt;&gt;""),"Y","N"))</f>
        <v/>
      </c>
      <c r="EX745" s="0" t="str">
        <f aca="false">IF($A745="","",IF(AN745&amp;""&lt;&gt;"",AN745&amp;"",$A745))</f>
        <v/>
      </c>
      <c r="EY745" s="0" t="str">
        <f aca="false">IF($A745="","",IF(COUNTIFS($EX$2:$EX$1000,EX745,$EV$2:$EV$1000,"Y")+COUNTIFS($EX$2:$EX$1000,EX745,$EW$2:$EW$1000,"Y")&gt;0,"Y","N"))</f>
        <v/>
      </c>
      <c r="EZ745" s="0" t="str">
        <f aca="false">IF($A745="","",IF(AND(U745="new",T745="N",EW745="N",AR745="Y",EY745="N"),"Y","N"))</f>
        <v/>
      </c>
      <c r="FA745" s="0" t="str">
        <f aca="false">IF($A745="","",IF(EZ745&lt;&gt;"Y","N",IF(COUNTIFS($EX$2:$EX$1000,EX745,$EZ$2:$EZ$1000,"Y",$J$2:$J$1000,"&gt;"&amp;J745)+COUNTIFS($EX$2:$EX$1000,EX745,$EZ$2:$EZ$1000,"Y",$J$2:$J$1000,J745,$FG$2:$FG$1000,"&lt;"&amp;FG745)=0,"Y","N")))</f>
        <v/>
      </c>
      <c r="FB745" s="0" t="str">
        <f aca="false">IF($A745="","",IF(AND(EZ745="Y",FA745="Y",Y745&amp;""&lt;&gt;""),IF(Y745&lt;=10,"Y","N"),"N"))</f>
        <v/>
      </c>
      <c r="FC745" s="0" t="str">
        <f aca="false">IF(FB745="Y",Y745,"")</f>
        <v/>
      </c>
      <c r="FD745" s="0" t="str">
        <f aca="false">IF($A745="","",IF(AND(CK745="pass",AU745="Y",AV745&lt;&gt;"Y",U745="new",EW745="N"),"Y","N"))</f>
        <v/>
      </c>
      <c r="FE745" s="0" t="str">
        <f aca="false">IF(FD745&lt;&gt;"Y","",IF(COUNTIFS($FD$2:$FD$1000,"Y",$J$2:$J$1000,"&gt;"&amp;J745)+COUNTIFS($FD$2:$FD$1000,"Y",$J$2:$J$1000,J745,$FG$2:$FG$1000,"&lt;"&amp;FG745)+1&lt;=30,COUNTIFS($FD$2:$FD$1000,"Y",$J$2:$J$1000,"&gt;"&amp;J745)+COUNTIFS($FD$2:$FD$1000,"Y",$J$2:$J$1000,J745,$FG$2:$FG$1000,"&lt;"&amp;FG745)+1,""))</f>
        <v/>
      </c>
      <c r="FF745" s="0" t="str">
        <f aca="false">IF(AND(_xlfn.ISFORMULA(C745),_xlfn.ISFORMULA(J745)),"Y","N")</f>
        <v>Y</v>
      </c>
      <c r="FG745" s="0" t="n">
        <f aca="false">ROW()-1</f>
        <v>744</v>
      </c>
    </row>
    <row r="746" customFormat="false" ht="15" hidden="false" customHeight="false" outlineLevel="0" collapsed="false">
      <c r="C746" s="0" t="str">
        <f aca="false">IF($A746="","",IF(AT746="Y",BL746&amp;"",AY746&amp;""))</f>
        <v/>
      </c>
      <c r="D746" s="0" t="str">
        <f aca="false">IF($A746="","",IF(AT746="Y",BM746&amp;"",AZ746&amp;""))</f>
        <v/>
      </c>
      <c r="E746" s="0" t="str">
        <f aca="false">IF($A746="","",IF(AT746="Y",BN746&amp;"",BA746&amp;""))</f>
        <v/>
      </c>
      <c r="F746" s="0" t="str">
        <f aca="false">IF($A746="","",IF(AT746="Y",BO746&amp;"",BB746&amp;""))</f>
        <v/>
      </c>
      <c r="G746" s="0" t="str">
        <f aca="false">IF($A746="","",IF(AT746="Y",BP746&amp;"",BC746&amp;""))</f>
        <v/>
      </c>
      <c r="H746" s="0" t="str">
        <f aca="false">IF($A746="","",IF(AT746="Y",BQ746&amp;"",BD746&amp;""))</f>
        <v/>
      </c>
      <c r="I746" s="0" t="str">
        <f aca="false">IF($A746="","",IF(R746="Y","warm-intro",IF(H746="verified","email",IF(C746&lt;&gt;"","linkedin",CA746&amp;""))))</f>
        <v/>
      </c>
      <c r="J746" s="0" t="str">
        <f aca="false">IF($A746="","",IF(CK746="pass",ROUND(N(DO746)+N(DP746)+N(DQ746)+N(DR746)+N(DS746)+N(DT746)+N(DU746)+N(DV746),0),0))</f>
        <v/>
      </c>
      <c r="K746" s="0" t="str">
        <f aca="false">IF($A746="","",IF(CK746&lt;&gt;"pass",BY746&amp;"",BY746&amp;", "&amp;IF(AT746="Y",BX746&amp;"",BK746&amp;"")&amp;BZ746&amp;IF(R746="Y","; known to the founder (+10)","")&amp;"."))</f>
        <v/>
      </c>
      <c r="R746" s="5"/>
      <c r="T746" s="5"/>
      <c r="U746" s="5"/>
      <c r="Y746" s="0" t="str">
        <f aca="false">IF(FA746&lt;&gt;"Y","",COUNTIFS($FA$2:$FA$1000,"Y",$J$2:$J$1000,"&gt;"&amp;J746)+COUNTIFS($FA$2:$FA$1000,"Y",$J$2:$J$1000,J746,$FG$2:$FG$1000,"&lt;"&amp;FG746)+1)</f>
        <v/>
      </c>
      <c r="AB746" s="0" t="str">
        <f aca="false">IF($A746="","",IF(AT746="Y",BW746&amp;"",BJ746&amp;""))</f>
        <v/>
      </c>
      <c r="AC746" s="0" t="str">
        <f aca="false">IF($A746="","",IF(AT746="Y",BR746&amp;"",BE746&amp;""))</f>
        <v/>
      </c>
      <c r="AD746" s="0" t="str">
        <f aca="false">IF($A746="","",IF(AT746="Y",BS746&amp;"",BF746&amp;""))</f>
        <v/>
      </c>
      <c r="AE746" s="0" t="str">
        <f aca="false">IF($A746="","",IF(AT746="Y",BT746&amp;"",BG746&amp;""))</f>
        <v/>
      </c>
      <c r="AF746" s="0" t="str">
        <f aca="false">IF($A746="","",IF(AT746="Y",BU746&amp;"",BH746&amp;""))</f>
        <v/>
      </c>
      <c r="AG746" s="0" t="str">
        <f aca="false">IF($A746="","",IF(AT746="Y",BV746&amp;"",BI746&amp;""))</f>
        <v/>
      </c>
      <c r="AO746" s="5"/>
      <c r="AR746" s="0" t="str">
        <f aca="false">IF($A746="","",IF(AND(CK746="pass",AO746&lt;&gt;"Y",C746&lt;&gt;"",OR(AU746&lt;&gt;"Y",AV746="Y")),"Y","N"))</f>
        <v/>
      </c>
      <c r="AS746" s="0" t="str">
        <f aca="false">IF($A746="","",_xlfn.TEXTJOIN("; ",TRUE(),IF(CK746&lt;&gt;"pass","gated out",""),IF(AO746="Y","on hold: "&amp;AP746,""),IF(C746="","no contact named on an opened page",""),IF(AND(AU746="Y",AV746&lt;&gt;"Y"),"founder review pending (Founder review tab)","")))</f>
        <v/>
      </c>
      <c r="BC746" s="0" t="str">
        <f aca="false">IF($A746="","",IFERROR(INDEX(Enrichment!$A$2:$GZ$2000,MATCH($A746,INDEX(Enrichment!$A$2:$GZ$2000,0,MATCH("row_id",Enrichment!$A$1:$GZ$1,0)),0),MATCH("work_email",Enrichment!$A$1:$GZ$1,0))&amp;"",""))</f>
        <v/>
      </c>
      <c r="BD746" s="0" t="str">
        <f aca="false">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P746" s="0" t="str">
        <f aca="false">IF($A746="","",IFERROR(INDEX(Enrichment!$A$2:$GZ$2000,MATCH($A746,INDEX(Enrichment!$A$2:$GZ$2000,0,MATCH("row_id",Enrichment!$A$1:$GZ$1,0)),0),MATCH("backup_work_email",Enrichment!$A$1:$GZ$1,0))&amp;"",""))</f>
        <v/>
      </c>
      <c r="BQ746" s="0" t="str">
        <f aca="false">IF($A746="","",IF(BP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DU746" s="0" t="str">
        <f aca="false">IF($A746="","",IF(R746="Y",10,0))</f>
        <v/>
      </c>
      <c r="EV746" s="0" t="str">
        <f aca="false">IF($A746="","",IF(ISNUMBER(MATCH(U746,{"queued","contacted","replied","call_booked","call_done","yes_in_principle","materials_sent"},0)),"Y","N"))</f>
        <v/>
      </c>
      <c r="EW746" s="0" t="str">
        <f aca="false">IF($A746="","",IF(OR(T746="Y",U746="do_not_contact",AQ746&amp;""&lt;&gt;""),"Y","N"))</f>
        <v/>
      </c>
      <c r="EX746" s="0" t="str">
        <f aca="false">IF($A746="","",IF(AN746&amp;""&lt;&gt;"",AN746&amp;"",$A746))</f>
        <v/>
      </c>
      <c r="EY746" s="0" t="str">
        <f aca="false">IF($A746="","",IF(COUNTIFS($EX$2:$EX$1000,EX746,$EV$2:$EV$1000,"Y")+COUNTIFS($EX$2:$EX$1000,EX746,$EW$2:$EW$1000,"Y")&gt;0,"Y","N"))</f>
        <v/>
      </c>
      <c r="EZ746" s="0" t="str">
        <f aca="false">IF($A746="","",IF(AND(U746="new",T746="N",EW746="N",AR746="Y",EY746="N"),"Y","N"))</f>
        <v/>
      </c>
      <c r="FA746" s="0" t="str">
        <f aca="false">IF($A746="","",IF(EZ746&lt;&gt;"Y","N",IF(COUNTIFS($EX$2:$EX$1000,EX746,$EZ$2:$EZ$1000,"Y",$J$2:$J$1000,"&gt;"&amp;J746)+COUNTIFS($EX$2:$EX$1000,EX746,$EZ$2:$EZ$1000,"Y",$J$2:$J$1000,J746,$FG$2:$FG$1000,"&lt;"&amp;FG746)=0,"Y","N")))</f>
        <v/>
      </c>
      <c r="FB746" s="0" t="str">
        <f aca="false">IF($A746="","",IF(AND(EZ746="Y",FA746="Y",Y746&amp;""&lt;&gt;""),IF(Y746&lt;=10,"Y","N"),"N"))</f>
        <v/>
      </c>
      <c r="FC746" s="0" t="str">
        <f aca="false">IF(FB746="Y",Y746,"")</f>
        <v/>
      </c>
      <c r="FD746" s="0" t="str">
        <f aca="false">IF($A746="","",IF(AND(CK746="pass",AU746="Y",AV746&lt;&gt;"Y",U746="new",EW746="N"),"Y","N"))</f>
        <v/>
      </c>
      <c r="FE746" s="0" t="str">
        <f aca="false">IF(FD746&lt;&gt;"Y","",IF(COUNTIFS($FD$2:$FD$1000,"Y",$J$2:$J$1000,"&gt;"&amp;J746)+COUNTIFS($FD$2:$FD$1000,"Y",$J$2:$J$1000,J746,$FG$2:$FG$1000,"&lt;"&amp;FG746)+1&lt;=30,COUNTIFS($FD$2:$FD$1000,"Y",$J$2:$J$1000,"&gt;"&amp;J746)+COUNTIFS($FD$2:$FD$1000,"Y",$J$2:$J$1000,J746,$FG$2:$FG$1000,"&lt;"&amp;FG746)+1,""))</f>
        <v/>
      </c>
      <c r="FF746" s="0" t="str">
        <f aca="false">IF(AND(_xlfn.ISFORMULA(C746),_xlfn.ISFORMULA(J746)),"Y","N")</f>
        <v>Y</v>
      </c>
      <c r="FG746" s="0" t="n">
        <f aca="false">ROW()-1</f>
        <v>745</v>
      </c>
    </row>
    <row r="747" customFormat="false" ht="15" hidden="false" customHeight="false" outlineLevel="0" collapsed="false">
      <c r="C747" s="0" t="str">
        <f aca="false">IF($A747="","",IF(AT747="Y",BL747&amp;"",AY747&amp;""))</f>
        <v/>
      </c>
      <c r="D747" s="0" t="str">
        <f aca="false">IF($A747="","",IF(AT747="Y",BM747&amp;"",AZ747&amp;""))</f>
        <v/>
      </c>
      <c r="E747" s="0" t="str">
        <f aca="false">IF($A747="","",IF(AT747="Y",BN747&amp;"",BA747&amp;""))</f>
        <v/>
      </c>
      <c r="F747" s="0" t="str">
        <f aca="false">IF($A747="","",IF(AT747="Y",BO747&amp;"",BB747&amp;""))</f>
        <v/>
      </c>
      <c r="G747" s="0" t="str">
        <f aca="false">IF($A747="","",IF(AT747="Y",BP747&amp;"",BC747&amp;""))</f>
        <v/>
      </c>
      <c r="H747" s="0" t="str">
        <f aca="false">IF($A747="","",IF(AT747="Y",BQ747&amp;"",BD747&amp;""))</f>
        <v/>
      </c>
      <c r="I747" s="0" t="str">
        <f aca="false">IF($A747="","",IF(R747="Y","warm-intro",IF(H747="verified","email",IF(C747&lt;&gt;"","linkedin",CA747&amp;""))))</f>
        <v/>
      </c>
      <c r="J747" s="0" t="str">
        <f aca="false">IF($A747="","",IF(CK747="pass",ROUND(N(DO747)+N(DP747)+N(DQ747)+N(DR747)+N(DS747)+N(DT747)+N(DU747)+N(DV747),0),0))</f>
        <v/>
      </c>
      <c r="K747" s="0" t="str">
        <f aca="false">IF($A747="","",IF(CK747&lt;&gt;"pass",BY747&amp;"",BY747&amp;", "&amp;IF(AT747="Y",BX747&amp;"",BK747&amp;"")&amp;BZ747&amp;IF(R747="Y","; known to the founder (+10)","")&amp;"."))</f>
        <v/>
      </c>
      <c r="R747" s="5"/>
      <c r="T747" s="5"/>
      <c r="U747" s="5"/>
      <c r="Y747" s="0" t="str">
        <f aca="false">IF(FA747&lt;&gt;"Y","",COUNTIFS($FA$2:$FA$1000,"Y",$J$2:$J$1000,"&gt;"&amp;J747)+COUNTIFS($FA$2:$FA$1000,"Y",$J$2:$J$1000,J747,$FG$2:$FG$1000,"&lt;"&amp;FG747)+1)</f>
        <v/>
      </c>
      <c r="AB747" s="0" t="str">
        <f aca="false">IF($A747="","",IF(AT747="Y",BW747&amp;"",BJ747&amp;""))</f>
        <v/>
      </c>
      <c r="AC747" s="0" t="str">
        <f aca="false">IF($A747="","",IF(AT747="Y",BR747&amp;"",BE747&amp;""))</f>
        <v/>
      </c>
      <c r="AD747" s="0" t="str">
        <f aca="false">IF($A747="","",IF(AT747="Y",BS747&amp;"",BF747&amp;""))</f>
        <v/>
      </c>
      <c r="AE747" s="0" t="str">
        <f aca="false">IF($A747="","",IF(AT747="Y",BT747&amp;"",BG747&amp;""))</f>
        <v/>
      </c>
      <c r="AF747" s="0" t="str">
        <f aca="false">IF($A747="","",IF(AT747="Y",BU747&amp;"",BH747&amp;""))</f>
        <v/>
      </c>
      <c r="AG747" s="0" t="str">
        <f aca="false">IF($A747="","",IF(AT747="Y",BV747&amp;"",BI747&amp;""))</f>
        <v/>
      </c>
      <c r="AO747" s="5"/>
      <c r="AR747" s="0" t="str">
        <f aca="false">IF($A747="","",IF(AND(CK747="pass",AO747&lt;&gt;"Y",C747&lt;&gt;"",OR(AU747&lt;&gt;"Y",AV747="Y")),"Y","N"))</f>
        <v/>
      </c>
      <c r="AS747" s="0" t="str">
        <f aca="false">IF($A747="","",_xlfn.TEXTJOIN("; ",TRUE(),IF(CK747&lt;&gt;"pass","gated out",""),IF(AO747="Y","on hold: "&amp;AP747,""),IF(C747="","no contact named on an opened page",""),IF(AND(AU747="Y",AV747&lt;&gt;"Y"),"founder review pending (Founder review tab)","")))</f>
        <v/>
      </c>
      <c r="BC747" s="0" t="str">
        <f aca="false">IF($A747="","",IFERROR(INDEX(Enrichment!$A$2:$GZ$2000,MATCH($A747,INDEX(Enrichment!$A$2:$GZ$2000,0,MATCH("row_id",Enrichment!$A$1:$GZ$1,0)),0),MATCH("work_email",Enrichment!$A$1:$GZ$1,0))&amp;"",""))</f>
        <v/>
      </c>
      <c r="BD747" s="0" t="str">
        <f aca="false">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P747" s="0" t="str">
        <f aca="false">IF($A747="","",IFERROR(INDEX(Enrichment!$A$2:$GZ$2000,MATCH($A747,INDEX(Enrichment!$A$2:$GZ$2000,0,MATCH("row_id",Enrichment!$A$1:$GZ$1,0)),0),MATCH("backup_work_email",Enrichment!$A$1:$GZ$1,0))&amp;"",""))</f>
        <v/>
      </c>
      <c r="BQ747" s="0" t="str">
        <f aca="false">IF($A747="","",IF(BP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DU747" s="0" t="str">
        <f aca="false">IF($A747="","",IF(R747="Y",10,0))</f>
        <v/>
      </c>
      <c r="EV747" s="0" t="str">
        <f aca="false">IF($A747="","",IF(ISNUMBER(MATCH(U747,{"queued","contacted","replied","call_booked","call_done","yes_in_principle","materials_sent"},0)),"Y","N"))</f>
        <v/>
      </c>
      <c r="EW747" s="0" t="str">
        <f aca="false">IF($A747="","",IF(OR(T747="Y",U747="do_not_contact",AQ747&amp;""&lt;&gt;""),"Y","N"))</f>
        <v/>
      </c>
      <c r="EX747" s="0" t="str">
        <f aca="false">IF($A747="","",IF(AN747&amp;""&lt;&gt;"",AN747&amp;"",$A747))</f>
        <v/>
      </c>
      <c r="EY747" s="0" t="str">
        <f aca="false">IF($A747="","",IF(COUNTIFS($EX$2:$EX$1000,EX747,$EV$2:$EV$1000,"Y")+COUNTIFS($EX$2:$EX$1000,EX747,$EW$2:$EW$1000,"Y")&gt;0,"Y","N"))</f>
        <v/>
      </c>
      <c r="EZ747" s="0" t="str">
        <f aca="false">IF($A747="","",IF(AND(U747="new",T747="N",EW747="N",AR747="Y",EY747="N"),"Y","N"))</f>
        <v/>
      </c>
      <c r="FA747" s="0" t="str">
        <f aca="false">IF($A747="","",IF(EZ747&lt;&gt;"Y","N",IF(COUNTIFS($EX$2:$EX$1000,EX747,$EZ$2:$EZ$1000,"Y",$J$2:$J$1000,"&gt;"&amp;J747)+COUNTIFS($EX$2:$EX$1000,EX747,$EZ$2:$EZ$1000,"Y",$J$2:$J$1000,J747,$FG$2:$FG$1000,"&lt;"&amp;FG747)=0,"Y","N")))</f>
        <v/>
      </c>
      <c r="FB747" s="0" t="str">
        <f aca="false">IF($A747="","",IF(AND(EZ747="Y",FA747="Y",Y747&amp;""&lt;&gt;""),IF(Y747&lt;=10,"Y","N"),"N"))</f>
        <v/>
      </c>
      <c r="FC747" s="0" t="str">
        <f aca="false">IF(FB747="Y",Y747,"")</f>
        <v/>
      </c>
      <c r="FD747" s="0" t="str">
        <f aca="false">IF($A747="","",IF(AND(CK747="pass",AU747="Y",AV747&lt;&gt;"Y",U747="new",EW747="N"),"Y","N"))</f>
        <v/>
      </c>
      <c r="FE747" s="0" t="str">
        <f aca="false">IF(FD747&lt;&gt;"Y","",IF(COUNTIFS($FD$2:$FD$1000,"Y",$J$2:$J$1000,"&gt;"&amp;J747)+COUNTIFS($FD$2:$FD$1000,"Y",$J$2:$J$1000,J747,$FG$2:$FG$1000,"&lt;"&amp;FG747)+1&lt;=30,COUNTIFS($FD$2:$FD$1000,"Y",$J$2:$J$1000,"&gt;"&amp;J747)+COUNTIFS($FD$2:$FD$1000,"Y",$J$2:$J$1000,J747,$FG$2:$FG$1000,"&lt;"&amp;FG747)+1,""))</f>
        <v/>
      </c>
      <c r="FF747" s="0" t="str">
        <f aca="false">IF(AND(_xlfn.ISFORMULA(C747),_xlfn.ISFORMULA(J747)),"Y","N")</f>
        <v>Y</v>
      </c>
      <c r="FG747" s="0" t="n">
        <f aca="false">ROW()-1</f>
        <v>746</v>
      </c>
    </row>
    <row r="748" customFormat="false" ht="15" hidden="false" customHeight="false" outlineLevel="0" collapsed="false">
      <c r="C748" s="0" t="str">
        <f aca="false">IF($A748="","",IF(AT748="Y",BL748&amp;"",AY748&amp;""))</f>
        <v/>
      </c>
      <c r="D748" s="0" t="str">
        <f aca="false">IF($A748="","",IF(AT748="Y",BM748&amp;"",AZ748&amp;""))</f>
        <v/>
      </c>
      <c r="E748" s="0" t="str">
        <f aca="false">IF($A748="","",IF(AT748="Y",BN748&amp;"",BA748&amp;""))</f>
        <v/>
      </c>
      <c r="F748" s="0" t="str">
        <f aca="false">IF($A748="","",IF(AT748="Y",BO748&amp;"",BB748&amp;""))</f>
        <v/>
      </c>
      <c r="G748" s="0" t="str">
        <f aca="false">IF($A748="","",IF(AT748="Y",BP748&amp;"",BC748&amp;""))</f>
        <v/>
      </c>
      <c r="H748" s="0" t="str">
        <f aca="false">IF($A748="","",IF(AT748="Y",BQ748&amp;"",BD748&amp;""))</f>
        <v/>
      </c>
      <c r="I748" s="0" t="str">
        <f aca="false">IF($A748="","",IF(R748="Y","warm-intro",IF(H748="verified","email",IF(C748&lt;&gt;"","linkedin",CA748&amp;""))))</f>
        <v/>
      </c>
      <c r="J748" s="0" t="str">
        <f aca="false">IF($A748="","",IF(CK748="pass",ROUND(N(DO748)+N(DP748)+N(DQ748)+N(DR748)+N(DS748)+N(DT748)+N(DU748)+N(DV748),0),0))</f>
        <v/>
      </c>
      <c r="K748" s="0" t="str">
        <f aca="false">IF($A748="","",IF(CK748&lt;&gt;"pass",BY748&amp;"",BY748&amp;", "&amp;IF(AT748="Y",BX748&amp;"",BK748&amp;"")&amp;BZ748&amp;IF(R748="Y","; known to the founder (+10)","")&amp;"."))</f>
        <v/>
      </c>
      <c r="R748" s="5"/>
      <c r="T748" s="5"/>
      <c r="U748" s="5"/>
      <c r="Y748" s="0" t="str">
        <f aca="false">IF(FA748&lt;&gt;"Y","",COUNTIFS($FA$2:$FA$1000,"Y",$J$2:$J$1000,"&gt;"&amp;J748)+COUNTIFS($FA$2:$FA$1000,"Y",$J$2:$J$1000,J748,$FG$2:$FG$1000,"&lt;"&amp;FG748)+1)</f>
        <v/>
      </c>
      <c r="AB748" s="0" t="str">
        <f aca="false">IF($A748="","",IF(AT748="Y",BW748&amp;"",BJ748&amp;""))</f>
        <v/>
      </c>
      <c r="AC748" s="0" t="str">
        <f aca="false">IF($A748="","",IF(AT748="Y",BR748&amp;"",BE748&amp;""))</f>
        <v/>
      </c>
      <c r="AD748" s="0" t="str">
        <f aca="false">IF($A748="","",IF(AT748="Y",BS748&amp;"",BF748&amp;""))</f>
        <v/>
      </c>
      <c r="AE748" s="0" t="str">
        <f aca="false">IF($A748="","",IF(AT748="Y",BT748&amp;"",BG748&amp;""))</f>
        <v/>
      </c>
      <c r="AF748" s="0" t="str">
        <f aca="false">IF($A748="","",IF(AT748="Y",BU748&amp;"",BH748&amp;""))</f>
        <v/>
      </c>
      <c r="AG748" s="0" t="str">
        <f aca="false">IF($A748="","",IF(AT748="Y",BV748&amp;"",BI748&amp;""))</f>
        <v/>
      </c>
      <c r="AO748" s="5"/>
      <c r="AR748" s="0" t="str">
        <f aca="false">IF($A748="","",IF(AND(CK748="pass",AO748&lt;&gt;"Y",C748&lt;&gt;"",OR(AU748&lt;&gt;"Y",AV748="Y")),"Y","N"))</f>
        <v/>
      </c>
      <c r="AS748" s="0" t="str">
        <f aca="false">IF($A748="","",_xlfn.TEXTJOIN("; ",TRUE(),IF(CK748&lt;&gt;"pass","gated out",""),IF(AO748="Y","on hold: "&amp;AP748,""),IF(C748="","no contact named on an opened page",""),IF(AND(AU748="Y",AV748&lt;&gt;"Y"),"founder review pending (Founder review tab)","")))</f>
        <v/>
      </c>
      <c r="BC748" s="0" t="str">
        <f aca="false">IF($A748="","",IFERROR(INDEX(Enrichment!$A$2:$GZ$2000,MATCH($A748,INDEX(Enrichment!$A$2:$GZ$2000,0,MATCH("row_id",Enrichment!$A$1:$GZ$1,0)),0),MATCH("work_email",Enrichment!$A$1:$GZ$1,0))&amp;"",""))</f>
        <v/>
      </c>
      <c r="BD748" s="0" t="str">
        <f aca="false">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P748" s="0" t="str">
        <f aca="false">IF($A748="","",IFERROR(INDEX(Enrichment!$A$2:$GZ$2000,MATCH($A748,INDEX(Enrichment!$A$2:$GZ$2000,0,MATCH("row_id",Enrichment!$A$1:$GZ$1,0)),0),MATCH("backup_work_email",Enrichment!$A$1:$GZ$1,0))&amp;"",""))</f>
        <v/>
      </c>
      <c r="BQ748" s="0" t="str">
        <f aca="false">IF($A748="","",IF(BP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DU748" s="0" t="str">
        <f aca="false">IF($A748="","",IF(R748="Y",10,0))</f>
        <v/>
      </c>
      <c r="EV748" s="0" t="str">
        <f aca="false">IF($A748="","",IF(ISNUMBER(MATCH(U748,{"queued","contacted","replied","call_booked","call_done","yes_in_principle","materials_sent"},0)),"Y","N"))</f>
        <v/>
      </c>
      <c r="EW748" s="0" t="str">
        <f aca="false">IF($A748="","",IF(OR(T748="Y",U748="do_not_contact",AQ748&amp;""&lt;&gt;""),"Y","N"))</f>
        <v/>
      </c>
      <c r="EX748" s="0" t="str">
        <f aca="false">IF($A748="","",IF(AN748&amp;""&lt;&gt;"",AN748&amp;"",$A748))</f>
        <v/>
      </c>
      <c r="EY748" s="0" t="str">
        <f aca="false">IF($A748="","",IF(COUNTIFS($EX$2:$EX$1000,EX748,$EV$2:$EV$1000,"Y")+COUNTIFS($EX$2:$EX$1000,EX748,$EW$2:$EW$1000,"Y")&gt;0,"Y","N"))</f>
        <v/>
      </c>
      <c r="EZ748" s="0" t="str">
        <f aca="false">IF($A748="","",IF(AND(U748="new",T748="N",EW748="N",AR748="Y",EY748="N"),"Y","N"))</f>
        <v/>
      </c>
      <c r="FA748" s="0" t="str">
        <f aca="false">IF($A748="","",IF(EZ748&lt;&gt;"Y","N",IF(COUNTIFS($EX$2:$EX$1000,EX748,$EZ$2:$EZ$1000,"Y",$J$2:$J$1000,"&gt;"&amp;J748)+COUNTIFS($EX$2:$EX$1000,EX748,$EZ$2:$EZ$1000,"Y",$J$2:$J$1000,J748,$FG$2:$FG$1000,"&lt;"&amp;FG748)=0,"Y","N")))</f>
        <v/>
      </c>
      <c r="FB748" s="0" t="str">
        <f aca="false">IF($A748="","",IF(AND(EZ748="Y",FA748="Y",Y748&amp;""&lt;&gt;""),IF(Y748&lt;=10,"Y","N"),"N"))</f>
        <v/>
      </c>
      <c r="FC748" s="0" t="str">
        <f aca="false">IF(FB748="Y",Y748,"")</f>
        <v/>
      </c>
      <c r="FD748" s="0" t="str">
        <f aca="false">IF($A748="","",IF(AND(CK748="pass",AU748="Y",AV748&lt;&gt;"Y",U748="new",EW748="N"),"Y","N"))</f>
        <v/>
      </c>
      <c r="FE748" s="0" t="str">
        <f aca="false">IF(FD748&lt;&gt;"Y","",IF(COUNTIFS($FD$2:$FD$1000,"Y",$J$2:$J$1000,"&gt;"&amp;J748)+COUNTIFS($FD$2:$FD$1000,"Y",$J$2:$J$1000,J748,$FG$2:$FG$1000,"&lt;"&amp;FG748)+1&lt;=30,COUNTIFS($FD$2:$FD$1000,"Y",$J$2:$J$1000,"&gt;"&amp;J748)+COUNTIFS($FD$2:$FD$1000,"Y",$J$2:$J$1000,J748,$FG$2:$FG$1000,"&lt;"&amp;FG748)+1,""))</f>
        <v/>
      </c>
      <c r="FF748" s="0" t="str">
        <f aca="false">IF(AND(_xlfn.ISFORMULA(C748),_xlfn.ISFORMULA(J748)),"Y","N")</f>
        <v>Y</v>
      </c>
      <c r="FG748" s="0" t="n">
        <f aca="false">ROW()-1</f>
        <v>747</v>
      </c>
    </row>
    <row r="749" customFormat="false" ht="15" hidden="false" customHeight="false" outlineLevel="0" collapsed="false">
      <c r="C749" s="0" t="str">
        <f aca="false">IF($A749="","",IF(AT749="Y",BL749&amp;"",AY749&amp;""))</f>
        <v/>
      </c>
      <c r="D749" s="0" t="str">
        <f aca="false">IF($A749="","",IF(AT749="Y",BM749&amp;"",AZ749&amp;""))</f>
        <v/>
      </c>
      <c r="E749" s="0" t="str">
        <f aca="false">IF($A749="","",IF(AT749="Y",BN749&amp;"",BA749&amp;""))</f>
        <v/>
      </c>
      <c r="F749" s="0" t="str">
        <f aca="false">IF($A749="","",IF(AT749="Y",BO749&amp;"",BB749&amp;""))</f>
        <v/>
      </c>
      <c r="G749" s="0" t="str">
        <f aca="false">IF($A749="","",IF(AT749="Y",BP749&amp;"",BC749&amp;""))</f>
        <v/>
      </c>
      <c r="H749" s="0" t="str">
        <f aca="false">IF($A749="","",IF(AT749="Y",BQ749&amp;"",BD749&amp;""))</f>
        <v/>
      </c>
      <c r="I749" s="0" t="str">
        <f aca="false">IF($A749="","",IF(R749="Y","warm-intro",IF(H749="verified","email",IF(C749&lt;&gt;"","linkedin",CA749&amp;""))))</f>
        <v/>
      </c>
      <c r="J749" s="0" t="str">
        <f aca="false">IF($A749="","",IF(CK749="pass",ROUND(N(DO749)+N(DP749)+N(DQ749)+N(DR749)+N(DS749)+N(DT749)+N(DU749)+N(DV749),0),0))</f>
        <v/>
      </c>
      <c r="K749" s="0" t="str">
        <f aca="false">IF($A749="","",IF(CK749&lt;&gt;"pass",BY749&amp;"",BY749&amp;", "&amp;IF(AT749="Y",BX749&amp;"",BK749&amp;"")&amp;BZ749&amp;IF(R749="Y","; known to the founder (+10)","")&amp;"."))</f>
        <v/>
      </c>
      <c r="R749" s="5"/>
      <c r="T749" s="5"/>
      <c r="U749" s="5"/>
      <c r="Y749" s="0" t="str">
        <f aca="false">IF(FA749&lt;&gt;"Y","",COUNTIFS($FA$2:$FA$1000,"Y",$J$2:$J$1000,"&gt;"&amp;J749)+COUNTIFS($FA$2:$FA$1000,"Y",$J$2:$J$1000,J749,$FG$2:$FG$1000,"&lt;"&amp;FG749)+1)</f>
        <v/>
      </c>
      <c r="AB749" s="0" t="str">
        <f aca="false">IF($A749="","",IF(AT749="Y",BW749&amp;"",BJ749&amp;""))</f>
        <v/>
      </c>
      <c r="AC749" s="0" t="str">
        <f aca="false">IF($A749="","",IF(AT749="Y",BR749&amp;"",BE749&amp;""))</f>
        <v/>
      </c>
      <c r="AD749" s="0" t="str">
        <f aca="false">IF($A749="","",IF(AT749="Y",BS749&amp;"",BF749&amp;""))</f>
        <v/>
      </c>
      <c r="AE749" s="0" t="str">
        <f aca="false">IF($A749="","",IF(AT749="Y",BT749&amp;"",BG749&amp;""))</f>
        <v/>
      </c>
      <c r="AF749" s="0" t="str">
        <f aca="false">IF($A749="","",IF(AT749="Y",BU749&amp;"",BH749&amp;""))</f>
        <v/>
      </c>
      <c r="AG749" s="0" t="str">
        <f aca="false">IF($A749="","",IF(AT749="Y",BV749&amp;"",BI749&amp;""))</f>
        <v/>
      </c>
      <c r="AO749" s="5"/>
      <c r="AR749" s="0" t="str">
        <f aca="false">IF($A749="","",IF(AND(CK749="pass",AO749&lt;&gt;"Y",C749&lt;&gt;"",OR(AU749&lt;&gt;"Y",AV749="Y")),"Y","N"))</f>
        <v/>
      </c>
      <c r="AS749" s="0" t="str">
        <f aca="false">IF($A749="","",_xlfn.TEXTJOIN("; ",TRUE(),IF(CK749&lt;&gt;"pass","gated out",""),IF(AO749="Y","on hold: "&amp;AP749,""),IF(C749="","no contact named on an opened page",""),IF(AND(AU749="Y",AV749&lt;&gt;"Y"),"founder review pending (Founder review tab)","")))</f>
        <v/>
      </c>
      <c r="BC749" s="0" t="str">
        <f aca="false">IF($A749="","",IFERROR(INDEX(Enrichment!$A$2:$GZ$2000,MATCH($A749,INDEX(Enrichment!$A$2:$GZ$2000,0,MATCH("row_id",Enrichment!$A$1:$GZ$1,0)),0),MATCH("work_email",Enrichment!$A$1:$GZ$1,0))&amp;"",""))</f>
        <v/>
      </c>
      <c r="BD749" s="0" t="str">
        <f aca="false">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P749" s="0" t="str">
        <f aca="false">IF($A749="","",IFERROR(INDEX(Enrichment!$A$2:$GZ$2000,MATCH($A749,INDEX(Enrichment!$A$2:$GZ$2000,0,MATCH("row_id",Enrichment!$A$1:$GZ$1,0)),0),MATCH("backup_work_email",Enrichment!$A$1:$GZ$1,0))&amp;"",""))</f>
        <v/>
      </c>
      <c r="BQ749" s="0" t="str">
        <f aca="false">IF($A749="","",IF(BP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DU749" s="0" t="str">
        <f aca="false">IF($A749="","",IF(R749="Y",10,0))</f>
        <v/>
      </c>
      <c r="EV749" s="0" t="str">
        <f aca="false">IF($A749="","",IF(ISNUMBER(MATCH(U749,{"queued","contacted","replied","call_booked","call_done","yes_in_principle","materials_sent"},0)),"Y","N"))</f>
        <v/>
      </c>
      <c r="EW749" s="0" t="str">
        <f aca="false">IF($A749="","",IF(OR(T749="Y",U749="do_not_contact",AQ749&amp;""&lt;&gt;""),"Y","N"))</f>
        <v/>
      </c>
      <c r="EX749" s="0" t="str">
        <f aca="false">IF($A749="","",IF(AN749&amp;""&lt;&gt;"",AN749&amp;"",$A749))</f>
        <v/>
      </c>
      <c r="EY749" s="0" t="str">
        <f aca="false">IF($A749="","",IF(COUNTIFS($EX$2:$EX$1000,EX749,$EV$2:$EV$1000,"Y")+COUNTIFS($EX$2:$EX$1000,EX749,$EW$2:$EW$1000,"Y")&gt;0,"Y","N"))</f>
        <v/>
      </c>
      <c r="EZ749" s="0" t="str">
        <f aca="false">IF($A749="","",IF(AND(U749="new",T749="N",EW749="N",AR749="Y",EY749="N"),"Y","N"))</f>
        <v/>
      </c>
      <c r="FA749" s="0" t="str">
        <f aca="false">IF($A749="","",IF(EZ749&lt;&gt;"Y","N",IF(COUNTIFS($EX$2:$EX$1000,EX749,$EZ$2:$EZ$1000,"Y",$J$2:$J$1000,"&gt;"&amp;J749)+COUNTIFS($EX$2:$EX$1000,EX749,$EZ$2:$EZ$1000,"Y",$J$2:$J$1000,J749,$FG$2:$FG$1000,"&lt;"&amp;FG749)=0,"Y","N")))</f>
        <v/>
      </c>
      <c r="FB749" s="0" t="str">
        <f aca="false">IF($A749="","",IF(AND(EZ749="Y",FA749="Y",Y749&amp;""&lt;&gt;""),IF(Y749&lt;=10,"Y","N"),"N"))</f>
        <v/>
      </c>
      <c r="FC749" s="0" t="str">
        <f aca="false">IF(FB749="Y",Y749,"")</f>
        <v/>
      </c>
      <c r="FD749" s="0" t="str">
        <f aca="false">IF($A749="","",IF(AND(CK749="pass",AU749="Y",AV749&lt;&gt;"Y",U749="new",EW749="N"),"Y","N"))</f>
        <v/>
      </c>
      <c r="FE749" s="0" t="str">
        <f aca="false">IF(FD749&lt;&gt;"Y","",IF(COUNTIFS($FD$2:$FD$1000,"Y",$J$2:$J$1000,"&gt;"&amp;J749)+COUNTIFS($FD$2:$FD$1000,"Y",$J$2:$J$1000,J749,$FG$2:$FG$1000,"&lt;"&amp;FG749)+1&lt;=30,COUNTIFS($FD$2:$FD$1000,"Y",$J$2:$J$1000,"&gt;"&amp;J749)+COUNTIFS($FD$2:$FD$1000,"Y",$J$2:$J$1000,J749,$FG$2:$FG$1000,"&lt;"&amp;FG749)+1,""))</f>
        <v/>
      </c>
      <c r="FF749" s="0" t="str">
        <f aca="false">IF(AND(_xlfn.ISFORMULA(C749),_xlfn.ISFORMULA(J749)),"Y","N")</f>
        <v>Y</v>
      </c>
      <c r="FG749" s="0" t="n">
        <f aca="false">ROW()-1</f>
        <v>748</v>
      </c>
    </row>
    <row r="750" customFormat="false" ht="15" hidden="false" customHeight="false" outlineLevel="0" collapsed="false">
      <c r="C750" s="0" t="str">
        <f aca="false">IF($A750="","",IF(AT750="Y",BL750&amp;"",AY750&amp;""))</f>
        <v/>
      </c>
      <c r="D750" s="0" t="str">
        <f aca="false">IF($A750="","",IF(AT750="Y",BM750&amp;"",AZ750&amp;""))</f>
        <v/>
      </c>
      <c r="E750" s="0" t="str">
        <f aca="false">IF($A750="","",IF(AT750="Y",BN750&amp;"",BA750&amp;""))</f>
        <v/>
      </c>
      <c r="F750" s="0" t="str">
        <f aca="false">IF($A750="","",IF(AT750="Y",BO750&amp;"",BB750&amp;""))</f>
        <v/>
      </c>
      <c r="G750" s="0" t="str">
        <f aca="false">IF($A750="","",IF(AT750="Y",BP750&amp;"",BC750&amp;""))</f>
        <v/>
      </c>
      <c r="H750" s="0" t="str">
        <f aca="false">IF($A750="","",IF(AT750="Y",BQ750&amp;"",BD750&amp;""))</f>
        <v/>
      </c>
      <c r="I750" s="0" t="str">
        <f aca="false">IF($A750="","",IF(R750="Y","warm-intro",IF(H750="verified","email",IF(C750&lt;&gt;"","linkedin",CA750&amp;""))))</f>
        <v/>
      </c>
      <c r="J750" s="0" t="str">
        <f aca="false">IF($A750="","",IF(CK750="pass",ROUND(N(DO750)+N(DP750)+N(DQ750)+N(DR750)+N(DS750)+N(DT750)+N(DU750)+N(DV750),0),0))</f>
        <v/>
      </c>
      <c r="K750" s="0" t="str">
        <f aca="false">IF($A750="","",IF(CK750&lt;&gt;"pass",BY750&amp;"",BY750&amp;", "&amp;IF(AT750="Y",BX750&amp;"",BK750&amp;"")&amp;BZ750&amp;IF(R750="Y","; known to the founder (+10)","")&amp;"."))</f>
        <v/>
      </c>
      <c r="R750" s="5"/>
      <c r="T750" s="5"/>
      <c r="U750" s="5"/>
      <c r="Y750" s="0" t="str">
        <f aca="false">IF(FA750&lt;&gt;"Y","",COUNTIFS($FA$2:$FA$1000,"Y",$J$2:$J$1000,"&gt;"&amp;J750)+COUNTIFS($FA$2:$FA$1000,"Y",$J$2:$J$1000,J750,$FG$2:$FG$1000,"&lt;"&amp;FG750)+1)</f>
        <v/>
      </c>
      <c r="AB750" s="0" t="str">
        <f aca="false">IF($A750="","",IF(AT750="Y",BW750&amp;"",BJ750&amp;""))</f>
        <v/>
      </c>
      <c r="AC750" s="0" t="str">
        <f aca="false">IF($A750="","",IF(AT750="Y",BR750&amp;"",BE750&amp;""))</f>
        <v/>
      </c>
      <c r="AD750" s="0" t="str">
        <f aca="false">IF($A750="","",IF(AT750="Y",BS750&amp;"",BF750&amp;""))</f>
        <v/>
      </c>
      <c r="AE750" s="0" t="str">
        <f aca="false">IF($A750="","",IF(AT750="Y",BT750&amp;"",BG750&amp;""))</f>
        <v/>
      </c>
      <c r="AF750" s="0" t="str">
        <f aca="false">IF($A750="","",IF(AT750="Y",BU750&amp;"",BH750&amp;""))</f>
        <v/>
      </c>
      <c r="AG750" s="0" t="str">
        <f aca="false">IF($A750="","",IF(AT750="Y",BV750&amp;"",BI750&amp;""))</f>
        <v/>
      </c>
      <c r="AO750" s="5"/>
      <c r="AR750" s="0" t="str">
        <f aca="false">IF($A750="","",IF(AND(CK750="pass",AO750&lt;&gt;"Y",C750&lt;&gt;"",OR(AU750&lt;&gt;"Y",AV750="Y")),"Y","N"))</f>
        <v/>
      </c>
      <c r="AS750" s="0" t="str">
        <f aca="false">IF($A750="","",_xlfn.TEXTJOIN("; ",TRUE(),IF(CK750&lt;&gt;"pass","gated out",""),IF(AO750="Y","on hold: "&amp;AP750,""),IF(C750="","no contact named on an opened page",""),IF(AND(AU750="Y",AV750&lt;&gt;"Y"),"founder review pending (Founder review tab)","")))</f>
        <v/>
      </c>
      <c r="BC750" s="0" t="str">
        <f aca="false">IF($A750="","",IFERROR(INDEX(Enrichment!$A$2:$GZ$2000,MATCH($A750,INDEX(Enrichment!$A$2:$GZ$2000,0,MATCH("row_id",Enrichment!$A$1:$GZ$1,0)),0),MATCH("work_email",Enrichment!$A$1:$GZ$1,0))&amp;"",""))</f>
        <v/>
      </c>
      <c r="BD750" s="0" t="str">
        <f aca="false">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P750" s="0" t="str">
        <f aca="false">IF($A750="","",IFERROR(INDEX(Enrichment!$A$2:$GZ$2000,MATCH($A750,INDEX(Enrichment!$A$2:$GZ$2000,0,MATCH("row_id",Enrichment!$A$1:$GZ$1,0)),0),MATCH("backup_work_email",Enrichment!$A$1:$GZ$1,0))&amp;"",""))</f>
        <v/>
      </c>
      <c r="BQ750" s="0" t="str">
        <f aca="false">IF($A750="","",IF(BP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DU750" s="0" t="str">
        <f aca="false">IF($A750="","",IF(R750="Y",10,0))</f>
        <v/>
      </c>
      <c r="EV750" s="0" t="str">
        <f aca="false">IF($A750="","",IF(ISNUMBER(MATCH(U750,{"queued","contacted","replied","call_booked","call_done","yes_in_principle","materials_sent"},0)),"Y","N"))</f>
        <v/>
      </c>
      <c r="EW750" s="0" t="str">
        <f aca="false">IF($A750="","",IF(OR(T750="Y",U750="do_not_contact",AQ750&amp;""&lt;&gt;""),"Y","N"))</f>
        <v/>
      </c>
      <c r="EX750" s="0" t="str">
        <f aca="false">IF($A750="","",IF(AN750&amp;""&lt;&gt;"",AN750&amp;"",$A750))</f>
        <v/>
      </c>
      <c r="EY750" s="0" t="str">
        <f aca="false">IF($A750="","",IF(COUNTIFS($EX$2:$EX$1000,EX750,$EV$2:$EV$1000,"Y")+COUNTIFS($EX$2:$EX$1000,EX750,$EW$2:$EW$1000,"Y")&gt;0,"Y","N"))</f>
        <v/>
      </c>
      <c r="EZ750" s="0" t="str">
        <f aca="false">IF($A750="","",IF(AND(U750="new",T750="N",EW750="N",AR750="Y",EY750="N"),"Y","N"))</f>
        <v/>
      </c>
      <c r="FA750" s="0" t="str">
        <f aca="false">IF($A750="","",IF(EZ750&lt;&gt;"Y","N",IF(COUNTIFS($EX$2:$EX$1000,EX750,$EZ$2:$EZ$1000,"Y",$J$2:$J$1000,"&gt;"&amp;J750)+COUNTIFS($EX$2:$EX$1000,EX750,$EZ$2:$EZ$1000,"Y",$J$2:$J$1000,J750,$FG$2:$FG$1000,"&lt;"&amp;FG750)=0,"Y","N")))</f>
        <v/>
      </c>
      <c r="FB750" s="0" t="str">
        <f aca="false">IF($A750="","",IF(AND(EZ750="Y",FA750="Y",Y750&amp;""&lt;&gt;""),IF(Y750&lt;=10,"Y","N"),"N"))</f>
        <v/>
      </c>
      <c r="FC750" s="0" t="str">
        <f aca="false">IF(FB750="Y",Y750,"")</f>
        <v/>
      </c>
      <c r="FD750" s="0" t="str">
        <f aca="false">IF($A750="","",IF(AND(CK750="pass",AU750="Y",AV750&lt;&gt;"Y",U750="new",EW750="N"),"Y","N"))</f>
        <v/>
      </c>
      <c r="FE750" s="0" t="str">
        <f aca="false">IF(FD750&lt;&gt;"Y","",IF(COUNTIFS($FD$2:$FD$1000,"Y",$J$2:$J$1000,"&gt;"&amp;J750)+COUNTIFS($FD$2:$FD$1000,"Y",$J$2:$J$1000,J750,$FG$2:$FG$1000,"&lt;"&amp;FG750)+1&lt;=30,COUNTIFS($FD$2:$FD$1000,"Y",$J$2:$J$1000,"&gt;"&amp;J750)+COUNTIFS($FD$2:$FD$1000,"Y",$J$2:$J$1000,J750,$FG$2:$FG$1000,"&lt;"&amp;FG750)+1,""))</f>
        <v/>
      </c>
      <c r="FF750" s="0" t="str">
        <f aca="false">IF(AND(_xlfn.ISFORMULA(C750),_xlfn.ISFORMULA(J750)),"Y","N")</f>
        <v>Y</v>
      </c>
      <c r="FG750" s="0" t="n">
        <f aca="false">ROW()-1</f>
        <v>749</v>
      </c>
    </row>
    <row r="751" customFormat="false" ht="15" hidden="false" customHeight="false" outlineLevel="0" collapsed="false">
      <c r="C751" s="0" t="str">
        <f aca="false">IF($A751="","",IF(AT751="Y",BL751&amp;"",AY751&amp;""))</f>
        <v/>
      </c>
      <c r="D751" s="0" t="str">
        <f aca="false">IF($A751="","",IF(AT751="Y",BM751&amp;"",AZ751&amp;""))</f>
        <v/>
      </c>
      <c r="E751" s="0" t="str">
        <f aca="false">IF($A751="","",IF(AT751="Y",BN751&amp;"",BA751&amp;""))</f>
        <v/>
      </c>
      <c r="F751" s="0" t="str">
        <f aca="false">IF($A751="","",IF(AT751="Y",BO751&amp;"",BB751&amp;""))</f>
        <v/>
      </c>
      <c r="G751" s="0" t="str">
        <f aca="false">IF($A751="","",IF(AT751="Y",BP751&amp;"",BC751&amp;""))</f>
        <v/>
      </c>
      <c r="H751" s="0" t="str">
        <f aca="false">IF($A751="","",IF(AT751="Y",BQ751&amp;"",BD751&amp;""))</f>
        <v/>
      </c>
      <c r="I751" s="0" t="str">
        <f aca="false">IF($A751="","",IF(R751="Y","warm-intro",IF(H751="verified","email",IF(C751&lt;&gt;"","linkedin",CA751&amp;""))))</f>
        <v/>
      </c>
      <c r="J751" s="0" t="str">
        <f aca="false">IF($A751="","",IF(CK751="pass",ROUND(N(DO751)+N(DP751)+N(DQ751)+N(DR751)+N(DS751)+N(DT751)+N(DU751)+N(DV751),0),0))</f>
        <v/>
      </c>
      <c r="K751" s="0" t="str">
        <f aca="false">IF($A751="","",IF(CK751&lt;&gt;"pass",BY751&amp;"",BY751&amp;", "&amp;IF(AT751="Y",BX751&amp;"",BK751&amp;"")&amp;BZ751&amp;IF(R751="Y","; known to the founder (+10)","")&amp;"."))</f>
        <v/>
      </c>
      <c r="R751" s="5"/>
      <c r="T751" s="5"/>
      <c r="U751" s="5"/>
      <c r="Y751" s="0" t="str">
        <f aca="false">IF(FA751&lt;&gt;"Y","",COUNTIFS($FA$2:$FA$1000,"Y",$J$2:$J$1000,"&gt;"&amp;J751)+COUNTIFS($FA$2:$FA$1000,"Y",$J$2:$J$1000,J751,$FG$2:$FG$1000,"&lt;"&amp;FG751)+1)</f>
        <v/>
      </c>
      <c r="AB751" s="0" t="str">
        <f aca="false">IF($A751="","",IF(AT751="Y",BW751&amp;"",BJ751&amp;""))</f>
        <v/>
      </c>
      <c r="AC751" s="0" t="str">
        <f aca="false">IF($A751="","",IF(AT751="Y",BR751&amp;"",BE751&amp;""))</f>
        <v/>
      </c>
      <c r="AD751" s="0" t="str">
        <f aca="false">IF($A751="","",IF(AT751="Y",BS751&amp;"",BF751&amp;""))</f>
        <v/>
      </c>
      <c r="AE751" s="0" t="str">
        <f aca="false">IF($A751="","",IF(AT751="Y",BT751&amp;"",BG751&amp;""))</f>
        <v/>
      </c>
      <c r="AF751" s="0" t="str">
        <f aca="false">IF($A751="","",IF(AT751="Y",BU751&amp;"",BH751&amp;""))</f>
        <v/>
      </c>
      <c r="AG751" s="0" t="str">
        <f aca="false">IF($A751="","",IF(AT751="Y",BV751&amp;"",BI751&amp;""))</f>
        <v/>
      </c>
      <c r="AO751" s="5"/>
      <c r="AR751" s="0" t="str">
        <f aca="false">IF($A751="","",IF(AND(CK751="pass",AO751&lt;&gt;"Y",C751&lt;&gt;"",OR(AU751&lt;&gt;"Y",AV751="Y")),"Y","N"))</f>
        <v/>
      </c>
      <c r="AS751" s="0" t="str">
        <f aca="false">IF($A751="","",_xlfn.TEXTJOIN("; ",TRUE(),IF(CK751&lt;&gt;"pass","gated out",""),IF(AO751="Y","on hold: "&amp;AP751,""),IF(C751="","no contact named on an opened page",""),IF(AND(AU751="Y",AV751&lt;&gt;"Y"),"founder review pending (Founder review tab)","")))</f>
        <v/>
      </c>
      <c r="BC751" s="0" t="str">
        <f aca="false">IF($A751="","",IFERROR(INDEX(Enrichment!$A$2:$GZ$2000,MATCH($A751,INDEX(Enrichment!$A$2:$GZ$2000,0,MATCH("row_id",Enrichment!$A$1:$GZ$1,0)),0),MATCH("work_email",Enrichment!$A$1:$GZ$1,0))&amp;"",""))</f>
        <v/>
      </c>
      <c r="BD751" s="0" t="str">
        <f aca="false">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P751" s="0" t="str">
        <f aca="false">IF($A751="","",IFERROR(INDEX(Enrichment!$A$2:$GZ$2000,MATCH($A751,INDEX(Enrichment!$A$2:$GZ$2000,0,MATCH("row_id",Enrichment!$A$1:$GZ$1,0)),0),MATCH("backup_work_email",Enrichment!$A$1:$GZ$1,0))&amp;"",""))</f>
        <v/>
      </c>
      <c r="BQ751" s="0" t="str">
        <f aca="false">IF($A751="","",IF(BP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DU751" s="0" t="str">
        <f aca="false">IF($A751="","",IF(R751="Y",10,0))</f>
        <v/>
      </c>
      <c r="EV751" s="0" t="str">
        <f aca="false">IF($A751="","",IF(ISNUMBER(MATCH(U751,{"queued","contacted","replied","call_booked","call_done","yes_in_principle","materials_sent"},0)),"Y","N"))</f>
        <v/>
      </c>
      <c r="EW751" s="0" t="str">
        <f aca="false">IF($A751="","",IF(OR(T751="Y",U751="do_not_contact",AQ751&amp;""&lt;&gt;""),"Y","N"))</f>
        <v/>
      </c>
      <c r="EX751" s="0" t="str">
        <f aca="false">IF($A751="","",IF(AN751&amp;""&lt;&gt;"",AN751&amp;"",$A751))</f>
        <v/>
      </c>
      <c r="EY751" s="0" t="str">
        <f aca="false">IF($A751="","",IF(COUNTIFS($EX$2:$EX$1000,EX751,$EV$2:$EV$1000,"Y")+COUNTIFS($EX$2:$EX$1000,EX751,$EW$2:$EW$1000,"Y")&gt;0,"Y","N"))</f>
        <v/>
      </c>
      <c r="EZ751" s="0" t="str">
        <f aca="false">IF($A751="","",IF(AND(U751="new",T751="N",EW751="N",AR751="Y",EY751="N"),"Y","N"))</f>
        <v/>
      </c>
      <c r="FA751" s="0" t="str">
        <f aca="false">IF($A751="","",IF(EZ751&lt;&gt;"Y","N",IF(COUNTIFS($EX$2:$EX$1000,EX751,$EZ$2:$EZ$1000,"Y",$J$2:$J$1000,"&gt;"&amp;J751)+COUNTIFS($EX$2:$EX$1000,EX751,$EZ$2:$EZ$1000,"Y",$J$2:$J$1000,J751,$FG$2:$FG$1000,"&lt;"&amp;FG751)=0,"Y","N")))</f>
        <v/>
      </c>
      <c r="FB751" s="0" t="str">
        <f aca="false">IF($A751="","",IF(AND(EZ751="Y",FA751="Y",Y751&amp;""&lt;&gt;""),IF(Y751&lt;=10,"Y","N"),"N"))</f>
        <v/>
      </c>
      <c r="FC751" s="0" t="str">
        <f aca="false">IF(FB751="Y",Y751,"")</f>
        <v/>
      </c>
      <c r="FD751" s="0" t="str">
        <f aca="false">IF($A751="","",IF(AND(CK751="pass",AU751="Y",AV751&lt;&gt;"Y",U751="new",EW751="N"),"Y","N"))</f>
        <v/>
      </c>
      <c r="FE751" s="0" t="str">
        <f aca="false">IF(FD751&lt;&gt;"Y","",IF(COUNTIFS($FD$2:$FD$1000,"Y",$J$2:$J$1000,"&gt;"&amp;J751)+COUNTIFS($FD$2:$FD$1000,"Y",$J$2:$J$1000,J751,$FG$2:$FG$1000,"&lt;"&amp;FG751)+1&lt;=30,COUNTIFS($FD$2:$FD$1000,"Y",$J$2:$J$1000,"&gt;"&amp;J751)+COUNTIFS($FD$2:$FD$1000,"Y",$J$2:$J$1000,J751,$FG$2:$FG$1000,"&lt;"&amp;FG751)+1,""))</f>
        <v/>
      </c>
      <c r="FF751" s="0" t="str">
        <f aca="false">IF(AND(_xlfn.ISFORMULA(C751),_xlfn.ISFORMULA(J751)),"Y","N")</f>
        <v>Y</v>
      </c>
      <c r="FG751" s="0" t="n">
        <f aca="false">ROW()-1</f>
        <v>750</v>
      </c>
    </row>
    <row r="752" customFormat="false" ht="15" hidden="false" customHeight="false" outlineLevel="0" collapsed="false">
      <c r="C752" s="0" t="str">
        <f aca="false">IF($A752="","",IF(AT752="Y",BL752&amp;"",AY752&amp;""))</f>
        <v/>
      </c>
      <c r="D752" s="0" t="str">
        <f aca="false">IF($A752="","",IF(AT752="Y",BM752&amp;"",AZ752&amp;""))</f>
        <v/>
      </c>
      <c r="E752" s="0" t="str">
        <f aca="false">IF($A752="","",IF(AT752="Y",BN752&amp;"",BA752&amp;""))</f>
        <v/>
      </c>
      <c r="F752" s="0" t="str">
        <f aca="false">IF($A752="","",IF(AT752="Y",BO752&amp;"",BB752&amp;""))</f>
        <v/>
      </c>
      <c r="G752" s="0" t="str">
        <f aca="false">IF($A752="","",IF(AT752="Y",BP752&amp;"",BC752&amp;""))</f>
        <v/>
      </c>
      <c r="H752" s="0" t="str">
        <f aca="false">IF($A752="","",IF(AT752="Y",BQ752&amp;"",BD752&amp;""))</f>
        <v/>
      </c>
      <c r="I752" s="0" t="str">
        <f aca="false">IF($A752="","",IF(R752="Y","warm-intro",IF(H752="verified","email",IF(C752&lt;&gt;"","linkedin",CA752&amp;""))))</f>
        <v/>
      </c>
      <c r="J752" s="0" t="str">
        <f aca="false">IF($A752="","",IF(CK752="pass",ROUND(N(DO752)+N(DP752)+N(DQ752)+N(DR752)+N(DS752)+N(DT752)+N(DU752)+N(DV752),0),0))</f>
        <v/>
      </c>
      <c r="K752" s="0" t="str">
        <f aca="false">IF($A752="","",IF(CK752&lt;&gt;"pass",BY752&amp;"",BY752&amp;", "&amp;IF(AT752="Y",BX752&amp;"",BK752&amp;"")&amp;BZ752&amp;IF(R752="Y","; known to the founder (+10)","")&amp;"."))</f>
        <v/>
      </c>
      <c r="R752" s="5"/>
      <c r="T752" s="5"/>
      <c r="U752" s="5"/>
      <c r="Y752" s="0" t="str">
        <f aca="false">IF(FA752&lt;&gt;"Y","",COUNTIFS($FA$2:$FA$1000,"Y",$J$2:$J$1000,"&gt;"&amp;J752)+COUNTIFS($FA$2:$FA$1000,"Y",$J$2:$J$1000,J752,$FG$2:$FG$1000,"&lt;"&amp;FG752)+1)</f>
        <v/>
      </c>
      <c r="AB752" s="0" t="str">
        <f aca="false">IF($A752="","",IF(AT752="Y",BW752&amp;"",BJ752&amp;""))</f>
        <v/>
      </c>
      <c r="AC752" s="0" t="str">
        <f aca="false">IF($A752="","",IF(AT752="Y",BR752&amp;"",BE752&amp;""))</f>
        <v/>
      </c>
      <c r="AD752" s="0" t="str">
        <f aca="false">IF($A752="","",IF(AT752="Y",BS752&amp;"",BF752&amp;""))</f>
        <v/>
      </c>
      <c r="AE752" s="0" t="str">
        <f aca="false">IF($A752="","",IF(AT752="Y",BT752&amp;"",BG752&amp;""))</f>
        <v/>
      </c>
      <c r="AF752" s="0" t="str">
        <f aca="false">IF($A752="","",IF(AT752="Y",BU752&amp;"",BH752&amp;""))</f>
        <v/>
      </c>
      <c r="AG752" s="0" t="str">
        <f aca="false">IF($A752="","",IF(AT752="Y",BV752&amp;"",BI752&amp;""))</f>
        <v/>
      </c>
      <c r="AO752" s="5"/>
      <c r="AR752" s="0" t="str">
        <f aca="false">IF($A752="","",IF(AND(CK752="pass",AO752&lt;&gt;"Y",C752&lt;&gt;"",OR(AU752&lt;&gt;"Y",AV752="Y")),"Y","N"))</f>
        <v/>
      </c>
      <c r="AS752" s="0" t="str">
        <f aca="false">IF($A752="","",_xlfn.TEXTJOIN("; ",TRUE(),IF(CK752&lt;&gt;"pass","gated out",""),IF(AO752="Y","on hold: "&amp;AP752,""),IF(C752="","no contact named on an opened page",""),IF(AND(AU752="Y",AV752&lt;&gt;"Y"),"founder review pending (Founder review tab)","")))</f>
        <v/>
      </c>
      <c r="BC752" s="0" t="str">
        <f aca="false">IF($A752="","",IFERROR(INDEX(Enrichment!$A$2:$GZ$2000,MATCH($A752,INDEX(Enrichment!$A$2:$GZ$2000,0,MATCH("row_id",Enrichment!$A$1:$GZ$1,0)),0),MATCH("work_email",Enrichment!$A$1:$GZ$1,0))&amp;"",""))</f>
        <v/>
      </c>
      <c r="BD752" s="0" t="str">
        <f aca="false">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P752" s="0" t="str">
        <f aca="false">IF($A752="","",IFERROR(INDEX(Enrichment!$A$2:$GZ$2000,MATCH($A752,INDEX(Enrichment!$A$2:$GZ$2000,0,MATCH("row_id",Enrichment!$A$1:$GZ$1,0)),0),MATCH("backup_work_email",Enrichment!$A$1:$GZ$1,0))&amp;"",""))</f>
        <v/>
      </c>
      <c r="BQ752" s="0" t="str">
        <f aca="false">IF($A752="","",IF(BP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DU752" s="0" t="str">
        <f aca="false">IF($A752="","",IF(R752="Y",10,0))</f>
        <v/>
      </c>
      <c r="EV752" s="0" t="str">
        <f aca="false">IF($A752="","",IF(ISNUMBER(MATCH(U752,{"queued","contacted","replied","call_booked","call_done","yes_in_principle","materials_sent"},0)),"Y","N"))</f>
        <v/>
      </c>
      <c r="EW752" s="0" t="str">
        <f aca="false">IF($A752="","",IF(OR(T752="Y",U752="do_not_contact",AQ752&amp;""&lt;&gt;""),"Y","N"))</f>
        <v/>
      </c>
      <c r="EX752" s="0" t="str">
        <f aca="false">IF($A752="","",IF(AN752&amp;""&lt;&gt;"",AN752&amp;"",$A752))</f>
        <v/>
      </c>
      <c r="EY752" s="0" t="str">
        <f aca="false">IF($A752="","",IF(COUNTIFS($EX$2:$EX$1000,EX752,$EV$2:$EV$1000,"Y")+COUNTIFS($EX$2:$EX$1000,EX752,$EW$2:$EW$1000,"Y")&gt;0,"Y","N"))</f>
        <v/>
      </c>
      <c r="EZ752" s="0" t="str">
        <f aca="false">IF($A752="","",IF(AND(U752="new",T752="N",EW752="N",AR752="Y",EY752="N"),"Y","N"))</f>
        <v/>
      </c>
      <c r="FA752" s="0" t="str">
        <f aca="false">IF($A752="","",IF(EZ752&lt;&gt;"Y","N",IF(COUNTIFS($EX$2:$EX$1000,EX752,$EZ$2:$EZ$1000,"Y",$J$2:$J$1000,"&gt;"&amp;J752)+COUNTIFS($EX$2:$EX$1000,EX752,$EZ$2:$EZ$1000,"Y",$J$2:$J$1000,J752,$FG$2:$FG$1000,"&lt;"&amp;FG752)=0,"Y","N")))</f>
        <v/>
      </c>
      <c r="FB752" s="0" t="str">
        <f aca="false">IF($A752="","",IF(AND(EZ752="Y",FA752="Y",Y752&amp;""&lt;&gt;""),IF(Y752&lt;=10,"Y","N"),"N"))</f>
        <v/>
      </c>
      <c r="FC752" s="0" t="str">
        <f aca="false">IF(FB752="Y",Y752,"")</f>
        <v/>
      </c>
      <c r="FD752" s="0" t="str">
        <f aca="false">IF($A752="","",IF(AND(CK752="pass",AU752="Y",AV752&lt;&gt;"Y",U752="new",EW752="N"),"Y","N"))</f>
        <v/>
      </c>
      <c r="FE752" s="0" t="str">
        <f aca="false">IF(FD752&lt;&gt;"Y","",IF(COUNTIFS($FD$2:$FD$1000,"Y",$J$2:$J$1000,"&gt;"&amp;J752)+COUNTIFS($FD$2:$FD$1000,"Y",$J$2:$J$1000,J752,$FG$2:$FG$1000,"&lt;"&amp;FG752)+1&lt;=30,COUNTIFS($FD$2:$FD$1000,"Y",$J$2:$J$1000,"&gt;"&amp;J752)+COUNTIFS($FD$2:$FD$1000,"Y",$J$2:$J$1000,J752,$FG$2:$FG$1000,"&lt;"&amp;FG752)+1,""))</f>
        <v/>
      </c>
      <c r="FF752" s="0" t="str">
        <f aca="false">IF(AND(_xlfn.ISFORMULA(C752),_xlfn.ISFORMULA(J752)),"Y","N")</f>
        <v>Y</v>
      </c>
      <c r="FG752" s="0" t="n">
        <f aca="false">ROW()-1</f>
        <v>751</v>
      </c>
    </row>
    <row r="753" customFormat="false" ht="15" hidden="false" customHeight="false" outlineLevel="0" collapsed="false">
      <c r="C753" s="0" t="str">
        <f aca="false">IF($A753="","",IF(AT753="Y",BL753&amp;"",AY753&amp;""))</f>
        <v/>
      </c>
      <c r="D753" s="0" t="str">
        <f aca="false">IF($A753="","",IF(AT753="Y",BM753&amp;"",AZ753&amp;""))</f>
        <v/>
      </c>
      <c r="E753" s="0" t="str">
        <f aca="false">IF($A753="","",IF(AT753="Y",BN753&amp;"",BA753&amp;""))</f>
        <v/>
      </c>
      <c r="F753" s="0" t="str">
        <f aca="false">IF($A753="","",IF(AT753="Y",BO753&amp;"",BB753&amp;""))</f>
        <v/>
      </c>
      <c r="G753" s="0" t="str">
        <f aca="false">IF($A753="","",IF(AT753="Y",BP753&amp;"",BC753&amp;""))</f>
        <v/>
      </c>
      <c r="H753" s="0" t="str">
        <f aca="false">IF($A753="","",IF(AT753="Y",BQ753&amp;"",BD753&amp;""))</f>
        <v/>
      </c>
      <c r="I753" s="0" t="str">
        <f aca="false">IF($A753="","",IF(R753="Y","warm-intro",IF(H753="verified","email",IF(C753&lt;&gt;"","linkedin",CA753&amp;""))))</f>
        <v/>
      </c>
      <c r="J753" s="0" t="str">
        <f aca="false">IF($A753="","",IF(CK753="pass",ROUND(N(DO753)+N(DP753)+N(DQ753)+N(DR753)+N(DS753)+N(DT753)+N(DU753)+N(DV753),0),0))</f>
        <v/>
      </c>
      <c r="K753" s="0" t="str">
        <f aca="false">IF($A753="","",IF(CK753&lt;&gt;"pass",BY753&amp;"",BY753&amp;", "&amp;IF(AT753="Y",BX753&amp;"",BK753&amp;"")&amp;BZ753&amp;IF(R753="Y","; known to the founder (+10)","")&amp;"."))</f>
        <v/>
      </c>
      <c r="R753" s="5"/>
      <c r="T753" s="5"/>
      <c r="U753" s="5"/>
      <c r="Y753" s="0" t="str">
        <f aca="false">IF(FA753&lt;&gt;"Y","",COUNTIFS($FA$2:$FA$1000,"Y",$J$2:$J$1000,"&gt;"&amp;J753)+COUNTIFS($FA$2:$FA$1000,"Y",$J$2:$J$1000,J753,$FG$2:$FG$1000,"&lt;"&amp;FG753)+1)</f>
        <v/>
      </c>
      <c r="AB753" s="0" t="str">
        <f aca="false">IF($A753="","",IF(AT753="Y",BW753&amp;"",BJ753&amp;""))</f>
        <v/>
      </c>
      <c r="AC753" s="0" t="str">
        <f aca="false">IF($A753="","",IF(AT753="Y",BR753&amp;"",BE753&amp;""))</f>
        <v/>
      </c>
      <c r="AD753" s="0" t="str">
        <f aca="false">IF($A753="","",IF(AT753="Y",BS753&amp;"",BF753&amp;""))</f>
        <v/>
      </c>
      <c r="AE753" s="0" t="str">
        <f aca="false">IF($A753="","",IF(AT753="Y",BT753&amp;"",BG753&amp;""))</f>
        <v/>
      </c>
      <c r="AF753" s="0" t="str">
        <f aca="false">IF($A753="","",IF(AT753="Y",BU753&amp;"",BH753&amp;""))</f>
        <v/>
      </c>
      <c r="AG753" s="0" t="str">
        <f aca="false">IF($A753="","",IF(AT753="Y",BV753&amp;"",BI753&amp;""))</f>
        <v/>
      </c>
      <c r="AO753" s="5"/>
      <c r="AR753" s="0" t="str">
        <f aca="false">IF($A753="","",IF(AND(CK753="pass",AO753&lt;&gt;"Y",C753&lt;&gt;"",OR(AU753&lt;&gt;"Y",AV753="Y")),"Y","N"))</f>
        <v/>
      </c>
      <c r="AS753" s="0" t="str">
        <f aca="false">IF($A753="","",_xlfn.TEXTJOIN("; ",TRUE(),IF(CK753&lt;&gt;"pass","gated out",""),IF(AO753="Y","on hold: "&amp;AP753,""),IF(C753="","no contact named on an opened page",""),IF(AND(AU753="Y",AV753&lt;&gt;"Y"),"founder review pending (Founder review tab)","")))</f>
        <v/>
      </c>
      <c r="BC753" s="0" t="str">
        <f aca="false">IF($A753="","",IFERROR(INDEX(Enrichment!$A$2:$GZ$2000,MATCH($A753,INDEX(Enrichment!$A$2:$GZ$2000,0,MATCH("row_id",Enrichment!$A$1:$GZ$1,0)),0),MATCH("work_email",Enrichment!$A$1:$GZ$1,0))&amp;"",""))</f>
        <v/>
      </c>
      <c r="BD753" s="0" t="str">
        <f aca="false">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P753" s="0" t="str">
        <f aca="false">IF($A753="","",IFERROR(INDEX(Enrichment!$A$2:$GZ$2000,MATCH($A753,INDEX(Enrichment!$A$2:$GZ$2000,0,MATCH("row_id",Enrichment!$A$1:$GZ$1,0)),0),MATCH("backup_work_email",Enrichment!$A$1:$GZ$1,0))&amp;"",""))</f>
        <v/>
      </c>
      <c r="BQ753" s="0" t="str">
        <f aca="false">IF($A753="","",IF(BP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DU753" s="0" t="str">
        <f aca="false">IF($A753="","",IF(R753="Y",10,0))</f>
        <v/>
      </c>
      <c r="EV753" s="0" t="str">
        <f aca="false">IF($A753="","",IF(ISNUMBER(MATCH(U753,{"queued","contacted","replied","call_booked","call_done","yes_in_principle","materials_sent"},0)),"Y","N"))</f>
        <v/>
      </c>
      <c r="EW753" s="0" t="str">
        <f aca="false">IF($A753="","",IF(OR(T753="Y",U753="do_not_contact",AQ753&amp;""&lt;&gt;""),"Y","N"))</f>
        <v/>
      </c>
      <c r="EX753" s="0" t="str">
        <f aca="false">IF($A753="","",IF(AN753&amp;""&lt;&gt;"",AN753&amp;"",$A753))</f>
        <v/>
      </c>
      <c r="EY753" s="0" t="str">
        <f aca="false">IF($A753="","",IF(COUNTIFS($EX$2:$EX$1000,EX753,$EV$2:$EV$1000,"Y")+COUNTIFS($EX$2:$EX$1000,EX753,$EW$2:$EW$1000,"Y")&gt;0,"Y","N"))</f>
        <v/>
      </c>
      <c r="EZ753" s="0" t="str">
        <f aca="false">IF($A753="","",IF(AND(U753="new",T753="N",EW753="N",AR753="Y",EY753="N"),"Y","N"))</f>
        <v/>
      </c>
      <c r="FA753" s="0" t="str">
        <f aca="false">IF($A753="","",IF(EZ753&lt;&gt;"Y","N",IF(COUNTIFS($EX$2:$EX$1000,EX753,$EZ$2:$EZ$1000,"Y",$J$2:$J$1000,"&gt;"&amp;J753)+COUNTIFS($EX$2:$EX$1000,EX753,$EZ$2:$EZ$1000,"Y",$J$2:$J$1000,J753,$FG$2:$FG$1000,"&lt;"&amp;FG753)=0,"Y","N")))</f>
        <v/>
      </c>
      <c r="FB753" s="0" t="str">
        <f aca="false">IF($A753="","",IF(AND(EZ753="Y",FA753="Y",Y753&amp;""&lt;&gt;""),IF(Y753&lt;=10,"Y","N"),"N"))</f>
        <v/>
      </c>
      <c r="FC753" s="0" t="str">
        <f aca="false">IF(FB753="Y",Y753,"")</f>
        <v/>
      </c>
      <c r="FD753" s="0" t="str">
        <f aca="false">IF($A753="","",IF(AND(CK753="pass",AU753="Y",AV753&lt;&gt;"Y",U753="new",EW753="N"),"Y","N"))</f>
        <v/>
      </c>
      <c r="FE753" s="0" t="str">
        <f aca="false">IF(FD753&lt;&gt;"Y","",IF(COUNTIFS($FD$2:$FD$1000,"Y",$J$2:$J$1000,"&gt;"&amp;J753)+COUNTIFS($FD$2:$FD$1000,"Y",$J$2:$J$1000,J753,$FG$2:$FG$1000,"&lt;"&amp;FG753)+1&lt;=30,COUNTIFS($FD$2:$FD$1000,"Y",$J$2:$J$1000,"&gt;"&amp;J753)+COUNTIFS($FD$2:$FD$1000,"Y",$J$2:$J$1000,J753,$FG$2:$FG$1000,"&lt;"&amp;FG753)+1,""))</f>
        <v/>
      </c>
      <c r="FF753" s="0" t="str">
        <f aca="false">IF(AND(_xlfn.ISFORMULA(C753),_xlfn.ISFORMULA(J753)),"Y","N")</f>
        <v>Y</v>
      </c>
      <c r="FG753" s="0" t="n">
        <f aca="false">ROW()-1</f>
        <v>752</v>
      </c>
    </row>
    <row r="754" customFormat="false" ht="15" hidden="false" customHeight="false" outlineLevel="0" collapsed="false">
      <c r="C754" s="0" t="str">
        <f aca="false">IF($A754="","",IF(AT754="Y",BL754&amp;"",AY754&amp;""))</f>
        <v/>
      </c>
      <c r="D754" s="0" t="str">
        <f aca="false">IF($A754="","",IF(AT754="Y",BM754&amp;"",AZ754&amp;""))</f>
        <v/>
      </c>
      <c r="E754" s="0" t="str">
        <f aca="false">IF($A754="","",IF(AT754="Y",BN754&amp;"",BA754&amp;""))</f>
        <v/>
      </c>
      <c r="F754" s="0" t="str">
        <f aca="false">IF($A754="","",IF(AT754="Y",BO754&amp;"",BB754&amp;""))</f>
        <v/>
      </c>
      <c r="G754" s="0" t="str">
        <f aca="false">IF($A754="","",IF(AT754="Y",BP754&amp;"",BC754&amp;""))</f>
        <v/>
      </c>
      <c r="H754" s="0" t="str">
        <f aca="false">IF($A754="","",IF(AT754="Y",BQ754&amp;"",BD754&amp;""))</f>
        <v/>
      </c>
      <c r="I754" s="0" t="str">
        <f aca="false">IF($A754="","",IF(R754="Y","warm-intro",IF(H754="verified","email",IF(C754&lt;&gt;"","linkedin",CA754&amp;""))))</f>
        <v/>
      </c>
      <c r="J754" s="0" t="str">
        <f aca="false">IF($A754="","",IF(CK754="pass",ROUND(N(DO754)+N(DP754)+N(DQ754)+N(DR754)+N(DS754)+N(DT754)+N(DU754)+N(DV754),0),0))</f>
        <v/>
      </c>
      <c r="K754" s="0" t="str">
        <f aca="false">IF($A754="","",IF(CK754&lt;&gt;"pass",BY754&amp;"",BY754&amp;", "&amp;IF(AT754="Y",BX754&amp;"",BK754&amp;"")&amp;BZ754&amp;IF(R754="Y","; known to the founder (+10)","")&amp;"."))</f>
        <v/>
      </c>
      <c r="R754" s="5"/>
      <c r="T754" s="5"/>
      <c r="U754" s="5"/>
      <c r="Y754" s="0" t="str">
        <f aca="false">IF(FA754&lt;&gt;"Y","",COUNTIFS($FA$2:$FA$1000,"Y",$J$2:$J$1000,"&gt;"&amp;J754)+COUNTIFS($FA$2:$FA$1000,"Y",$J$2:$J$1000,J754,$FG$2:$FG$1000,"&lt;"&amp;FG754)+1)</f>
        <v/>
      </c>
      <c r="AB754" s="0" t="str">
        <f aca="false">IF($A754="","",IF(AT754="Y",BW754&amp;"",BJ754&amp;""))</f>
        <v/>
      </c>
      <c r="AC754" s="0" t="str">
        <f aca="false">IF($A754="","",IF(AT754="Y",BR754&amp;"",BE754&amp;""))</f>
        <v/>
      </c>
      <c r="AD754" s="0" t="str">
        <f aca="false">IF($A754="","",IF(AT754="Y",BS754&amp;"",BF754&amp;""))</f>
        <v/>
      </c>
      <c r="AE754" s="0" t="str">
        <f aca="false">IF($A754="","",IF(AT754="Y",BT754&amp;"",BG754&amp;""))</f>
        <v/>
      </c>
      <c r="AF754" s="0" t="str">
        <f aca="false">IF($A754="","",IF(AT754="Y",BU754&amp;"",BH754&amp;""))</f>
        <v/>
      </c>
      <c r="AG754" s="0" t="str">
        <f aca="false">IF($A754="","",IF(AT754="Y",BV754&amp;"",BI754&amp;""))</f>
        <v/>
      </c>
      <c r="AO754" s="5"/>
      <c r="AR754" s="0" t="str">
        <f aca="false">IF($A754="","",IF(AND(CK754="pass",AO754&lt;&gt;"Y",C754&lt;&gt;"",OR(AU754&lt;&gt;"Y",AV754="Y")),"Y","N"))</f>
        <v/>
      </c>
      <c r="AS754" s="0" t="str">
        <f aca="false">IF($A754="","",_xlfn.TEXTJOIN("; ",TRUE(),IF(CK754&lt;&gt;"pass","gated out",""),IF(AO754="Y","on hold: "&amp;AP754,""),IF(C754="","no contact named on an opened page",""),IF(AND(AU754="Y",AV754&lt;&gt;"Y"),"founder review pending (Founder review tab)","")))</f>
        <v/>
      </c>
      <c r="BC754" s="0" t="str">
        <f aca="false">IF($A754="","",IFERROR(INDEX(Enrichment!$A$2:$GZ$2000,MATCH($A754,INDEX(Enrichment!$A$2:$GZ$2000,0,MATCH("row_id",Enrichment!$A$1:$GZ$1,0)),0),MATCH("work_email",Enrichment!$A$1:$GZ$1,0))&amp;"",""))</f>
        <v/>
      </c>
      <c r="BD754" s="0" t="str">
        <f aca="false">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P754" s="0" t="str">
        <f aca="false">IF($A754="","",IFERROR(INDEX(Enrichment!$A$2:$GZ$2000,MATCH($A754,INDEX(Enrichment!$A$2:$GZ$2000,0,MATCH("row_id",Enrichment!$A$1:$GZ$1,0)),0),MATCH("backup_work_email",Enrichment!$A$1:$GZ$1,0))&amp;"",""))</f>
        <v/>
      </c>
      <c r="BQ754" s="0" t="str">
        <f aca="false">IF($A754="","",IF(BP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DU754" s="0" t="str">
        <f aca="false">IF($A754="","",IF(R754="Y",10,0))</f>
        <v/>
      </c>
      <c r="EV754" s="0" t="str">
        <f aca="false">IF($A754="","",IF(ISNUMBER(MATCH(U754,{"queued","contacted","replied","call_booked","call_done","yes_in_principle","materials_sent"},0)),"Y","N"))</f>
        <v/>
      </c>
      <c r="EW754" s="0" t="str">
        <f aca="false">IF($A754="","",IF(OR(T754="Y",U754="do_not_contact",AQ754&amp;""&lt;&gt;""),"Y","N"))</f>
        <v/>
      </c>
      <c r="EX754" s="0" t="str">
        <f aca="false">IF($A754="","",IF(AN754&amp;""&lt;&gt;"",AN754&amp;"",$A754))</f>
        <v/>
      </c>
      <c r="EY754" s="0" t="str">
        <f aca="false">IF($A754="","",IF(COUNTIFS($EX$2:$EX$1000,EX754,$EV$2:$EV$1000,"Y")+COUNTIFS($EX$2:$EX$1000,EX754,$EW$2:$EW$1000,"Y")&gt;0,"Y","N"))</f>
        <v/>
      </c>
      <c r="EZ754" s="0" t="str">
        <f aca="false">IF($A754="","",IF(AND(U754="new",T754="N",EW754="N",AR754="Y",EY754="N"),"Y","N"))</f>
        <v/>
      </c>
      <c r="FA754" s="0" t="str">
        <f aca="false">IF($A754="","",IF(EZ754&lt;&gt;"Y","N",IF(COUNTIFS($EX$2:$EX$1000,EX754,$EZ$2:$EZ$1000,"Y",$J$2:$J$1000,"&gt;"&amp;J754)+COUNTIFS($EX$2:$EX$1000,EX754,$EZ$2:$EZ$1000,"Y",$J$2:$J$1000,J754,$FG$2:$FG$1000,"&lt;"&amp;FG754)=0,"Y","N")))</f>
        <v/>
      </c>
      <c r="FB754" s="0" t="str">
        <f aca="false">IF($A754="","",IF(AND(EZ754="Y",FA754="Y",Y754&amp;""&lt;&gt;""),IF(Y754&lt;=10,"Y","N"),"N"))</f>
        <v/>
      </c>
      <c r="FC754" s="0" t="str">
        <f aca="false">IF(FB754="Y",Y754,"")</f>
        <v/>
      </c>
      <c r="FD754" s="0" t="str">
        <f aca="false">IF($A754="","",IF(AND(CK754="pass",AU754="Y",AV754&lt;&gt;"Y",U754="new",EW754="N"),"Y","N"))</f>
        <v/>
      </c>
      <c r="FE754" s="0" t="str">
        <f aca="false">IF(FD754&lt;&gt;"Y","",IF(COUNTIFS($FD$2:$FD$1000,"Y",$J$2:$J$1000,"&gt;"&amp;J754)+COUNTIFS($FD$2:$FD$1000,"Y",$J$2:$J$1000,J754,$FG$2:$FG$1000,"&lt;"&amp;FG754)+1&lt;=30,COUNTIFS($FD$2:$FD$1000,"Y",$J$2:$J$1000,"&gt;"&amp;J754)+COUNTIFS($FD$2:$FD$1000,"Y",$J$2:$J$1000,J754,$FG$2:$FG$1000,"&lt;"&amp;FG754)+1,""))</f>
        <v/>
      </c>
      <c r="FF754" s="0" t="str">
        <f aca="false">IF(AND(_xlfn.ISFORMULA(C754),_xlfn.ISFORMULA(J754)),"Y","N")</f>
        <v>Y</v>
      </c>
      <c r="FG754" s="0" t="n">
        <f aca="false">ROW()-1</f>
        <v>753</v>
      </c>
    </row>
    <row r="755" customFormat="false" ht="15" hidden="false" customHeight="false" outlineLevel="0" collapsed="false">
      <c r="C755" s="0" t="str">
        <f aca="false">IF($A755="","",IF(AT755="Y",BL755&amp;"",AY755&amp;""))</f>
        <v/>
      </c>
      <c r="D755" s="0" t="str">
        <f aca="false">IF($A755="","",IF(AT755="Y",BM755&amp;"",AZ755&amp;""))</f>
        <v/>
      </c>
      <c r="E755" s="0" t="str">
        <f aca="false">IF($A755="","",IF(AT755="Y",BN755&amp;"",BA755&amp;""))</f>
        <v/>
      </c>
      <c r="F755" s="0" t="str">
        <f aca="false">IF($A755="","",IF(AT755="Y",BO755&amp;"",BB755&amp;""))</f>
        <v/>
      </c>
      <c r="G755" s="0" t="str">
        <f aca="false">IF($A755="","",IF(AT755="Y",BP755&amp;"",BC755&amp;""))</f>
        <v/>
      </c>
      <c r="H755" s="0" t="str">
        <f aca="false">IF($A755="","",IF(AT755="Y",BQ755&amp;"",BD755&amp;""))</f>
        <v/>
      </c>
      <c r="I755" s="0" t="str">
        <f aca="false">IF($A755="","",IF(R755="Y","warm-intro",IF(H755="verified","email",IF(C755&lt;&gt;"","linkedin",CA755&amp;""))))</f>
        <v/>
      </c>
      <c r="J755" s="0" t="str">
        <f aca="false">IF($A755="","",IF(CK755="pass",ROUND(N(DO755)+N(DP755)+N(DQ755)+N(DR755)+N(DS755)+N(DT755)+N(DU755)+N(DV755),0),0))</f>
        <v/>
      </c>
      <c r="K755" s="0" t="str">
        <f aca="false">IF($A755="","",IF(CK755&lt;&gt;"pass",BY755&amp;"",BY755&amp;", "&amp;IF(AT755="Y",BX755&amp;"",BK755&amp;"")&amp;BZ755&amp;IF(R755="Y","; known to the founder (+10)","")&amp;"."))</f>
        <v/>
      </c>
      <c r="R755" s="5"/>
      <c r="T755" s="5"/>
      <c r="U755" s="5"/>
      <c r="Y755" s="0" t="str">
        <f aca="false">IF(FA755&lt;&gt;"Y","",COUNTIFS($FA$2:$FA$1000,"Y",$J$2:$J$1000,"&gt;"&amp;J755)+COUNTIFS($FA$2:$FA$1000,"Y",$J$2:$J$1000,J755,$FG$2:$FG$1000,"&lt;"&amp;FG755)+1)</f>
        <v/>
      </c>
      <c r="AB755" s="0" t="str">
        <f aca="false">IF($A755="","",IF(AT755="Y",BW755&amp;"",BJ755&amp;""))</f>
        <v/>
      </c>
      <c r="AC755" s="0" t="str">
        <f aca="false">IF($A755="","",IF(AT755="Y",BR755&amp;"",BE755&amp;""))</f>
        <v/>
      </c>
      <c r="AD755" s="0" t="str">
        <f aca="false">IF($A755="","",IF(AT755="Y",BS755&amp;"",BF755&amp;""))</f>
        <v/>
      </c>
      <c r="AE755" s="0" t="str">
        <f aca="false">IF($A755="","",IF(AT755="Y",BT755&amp;"",BG755&amp;""))</f>
        <v/>
      </c>
      <c r="AF755" s="0" t="str">
        <f aca="false">IF($A755="","",IF(AT755="Y",BU755&amp;"",BH755&amp;""))</f>
        <v/>
      </c>
      <c r="AG755" s="0" t="str">
        <f aca="false">IF($A755="","",IF(AT755="Y",BV755&amp;"",BI755&amp;""))</f>
        <v/>
      </c>
      <c r="AO755" s="5"/>
      <c r="AR755" s="0" t="str">
        <f aca="false">IF($A755="","",IF(AND(CK755="pass",AO755&lt;&gt;"Y",C755&lt;&gt;"",OR(AU755&lt;&gt;"Y",AV755="Y")),"Y","N"))</f>
        <v/>
      </c>
      <c r="AS755" s="0" t="str">
        <f aca="false">IF($A755="","",_xlfn.TEXTJOIN("; ",TRUE(),IF(CK755&lt;&gt;"pass","gated out",""),IF(AO755="Y","on hold: "&amp;AP755,""),IF(C755="","no contact named on an opened page",""),IF(AND(AU755="Y",AV755&lt;&gt;"Y"),"founder review pending (Founder review tab)","")))</f>
        <v/>
      </c>
      <c r="BC755" s="0" t="str">
        <f aca="false">IF($A755="","",IFERROR(INDEX(Enrichment!$A$2:$GZ$2000,MATCH($A755,INDEX(Enrichment!$A$2:$GZ$2000,0,MATCH("row_id",Enrichment!$A$1:$GZ$1,0)),0),MATCH("work_email",Enrichment!$A$1:$GZ$1,0))&amp;"",""))</f>
        <v/>
      </c>
      <c r="BD755" s="0" t="str">
        <f aca="false">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P755" s="0" t="str">
        <f aca="false">IF($A755="","",IFERROR(INDEX(Enrichment!$A$2:$GZ$2000,MATCH($A755,INDEX(Enrichment!$A$2:$GZ$2000,0,MATCH("row_id",Enrichment!$A$1:$GZ$1,0)),0),MATCH("backup_work_email",Enrichment!$A$1:$GZ$1,0))&amp;"",""))</f>
        <v/>
      </c>
      <c r="BQ755" s="0" t="str">
        <f aca="false">IF($A755="","",IF(BP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DU755" s="0" t="str">
        <f aca="false">IF($A755="","",IF(R755="Y",10,0))</f>
        <v/>
      </c>
      <c r="EV755" s="0" t="str">
        <f aca="false">IF($A755="","",IF(ISNUMBER(MATCH(U755,{"queued","contacted","replied","call_booked","call_done","yes_in_principle","materials_sent"},0)),"Y","N"))</f>
        <v/>
      </c>
      <c r="EW755" s="0" t="str">
        <f aca="false">IF($A755="","",IF(OR(T755="Y",U755="do_not_contact",AQ755&amp;""&lt;&gt;""),"Y","N"))</f>
        <v/>
      </c>
      <c r="EX755" s="0" t="str">
        <f aca="false">IF($A755="","",IF(AN755&amp;""&lt;&gt;"",AN755&amp;"",$A755))</f>
        <v/>
      </c>
      <c r="EY755" s="0" t="str">
        <f aca="false">IF($A755="","",IF(COUNTIFS($EX$2:$EX$1000,EX755,$EV$2:$EV$1000,"Y")+COUNTIFS($EX$2:$EX$1000,EX755,$EW$2:$EW$1000,"Y")&gt;0,"Y","N"))</f>
        <v/>
      </c>
      <c r="EZ755" s="0" t="str">
        <f aca="false">IF($A755="","",IF(AND(U755="new",T755="N",EW755="N",AR755="Y",EY755="N"),"Y","N"))</f>
        <v/>
      </c>
      <c r="FA755" s="0" t="str">
        <f aca="false">IF($A755="","",IF(EZ755&lt;&gt;"Y","N",IF(COUNTIFS($EX$2:$EX$1000,EX755,$EZ$2:$EZ$1000,"Y",$J$2:$J$1000,"&gt;"&amp;J755)+COUNTIFS($EX$2:$EX$1000,EX755,$EZ$2:$EZ$1000,"Y",$J$2:$J$1000,J755,$FG$2:$FG$1000,"&lt;"&amp;FG755)=0,"Y","N")))</f>
        <v/>
      </c>
      <c r="FB755" s="0" t="str">
        <f aca="false">IF($A755="","",IF(AND(EZ755="Y",FA755="Y",Y755&amp;""&lt;&gt;""),IF(Y755&lt;=10,"Y","N"),"N"))</f>
        <v/>
      </c>
      <c r="FC755" s="0" t="str">
        <f aca="false">IF(FB755="Y",Y755,"")</f>
        <v/>
      </c>
      <c r="FD755" s="0" t="str">
        <f aca="false">IF($A755="","",IF(AND(CK755="pass",AU755="Y",AV755&lt;&gt;"Y",U755="new",EW755="N"),"Y","N"))</f>
        <v/>
      </c>
      <c r="FE755" s="0" t="str">
        <f aca="false">IF(FD755&lt;&gt;"Y","",IF(COUNTIFS($FD$2:$FD$1000,"Y",$J$2:$J$1000,"&gt;"&amp;J755)+COUNTIFS($FD$2:$FD$1000,"Y",$J$2:$J$1000,J755,$FG$2:$FG$1000,"&lt;"&amp;FG755)+1&lt;=30,COUNTIFS($FD$2:$FD$1000,"Y",$J$2:$J$1000,"&gt;"&amp;J755)+COUNTIFS($FD$2:$FD$1000,"Y",$J$2:$J$1000,J755,$FG$2:$FG$1000,"&lt;"&amp;FG755)+1,""))</f>
        <v/>
      </c>
      <c r="FF755" s="0" t="str">
        <f aca="false">IF(AND(_xlfn.ISFORMULA(C755),_xlfn.ISFORMULA(J755)),"Y","N")</f>
        <v>Y</v>
      </c>
      <c r="FG755" s="0" t="n">
        <f aca="false">ROW()-1</f>
        <v>754</v>
      </c>
    </row>
    <row r="756" customFormat="false" ht="15" hidden="false" customHeight="false" outlineLevel="0" collapsed="false">
      <c r="C756" s="0" t="str">
        <f aca="false">IF($A756="","",IF(AT756="Y",BL756&amp;"",AY756&amp;""))</f>
        <v/>
      </c>
      <c r="D756" s="0" t="str">
        <f aca="false">IF($A756="","",IF(AT756="Y",BM756&amp;"",AZ756&amp;""))</f>
        <v/>
      </c>
      <c r="E756" s="0" t="str">
        <f aca="false">IF($A756="","",IF(AT756="Y",BN756&amp;"",BA756&amp;""))</f>
        <v/>
      </c>
      <c r="F756" s="0" t="str">
        <f aca="false">IF($A756="","",IF(AT756="Y",BO756&amp;"",BB756&amp;""))</f>
        <v/>
      </c>
      <c r="G756" s="0" t="str">
        <f aca="false">IF($A756="","",IF(AT756="Y",BP756&amp;"",BC756&amp;""))</f>
        <v/>
      </c>
      <c r="H756" s="0" t="str">
        <f aca="false">IF($A756="","",IF(AT756="Y",BQ756&amp;"",BD756&amp;""))</f>
        <v/>
      </c>
      <c r="I756" s="0" t="str">
        <f aca="false">IF($A756="","",IF(R756="Y","warm-intro",IF(H756="verified","email",IF(C756&lt;&gt;"","linkedin",CA756&amp;""))))</f>
        <v/>
      </c>
      <c r="J756" s="0" t="str">
        <f aca="false">IF($A756="","",IF(CK756="pass",ROUND(N(DO756)+N(DP756)+N(DQ756)+N(DR756)+N(DS756)+N(DT756)+N(DU756)+N(DV756),0),0))</f>
        <v/>
      </c>
      <c r="K756" s="0" t="str">
        <f aca="false">IF($A756="","",IF(CK756&lt;&gt;"pass",BY756&amp;"",BY756&amp;", "&amp;IF(AT756="Y",BX756&amp;"",BK756&amp;"")&amp;BZ756&amp;IF(R756="Y","; known to the founder (+10)","")&amp;"."))</f>
        <v/>
      </c>
      <c r="R756" s="5"/>
      <c r="T756" s="5"/>
      <c r="U756" s="5"/>
      <c r="Y756" s="0" t="str">
        <f aca="false">IF(FA756&lt;&gt;"Y","",COUNTIFS($FA$2:$FA$1000,"Y",$J$2:$J$1000,"&gt;"&amp;J756)+COUNTIFS($FA$2:$FA$1000,"Y",$J$2:$J$1000,J756,$FG$2:$FG$1000,"&lt;"&amp;FG756)+1)</f>
        <v/>
      </c>
      <c r="AB756" s="0" t="str">
        <f aca="false">IF($A756="","",IF(AT756="Y",BW756&amp;"",BJ756&amp;""))</f>
        <v/>
      </c>
      <c r="AC756" s="0" t="str">
        <f aca="false">IF($A756="","",IF(AT756="Y",BR756&amp;"",BE756&amp;""))</f>
        <v/>
      </c>
      <c r="AD756" s="0" t="str">
        <f aca="false">IF($A756="","",IF(AT756="Y",BS756&amp;"",BF756&amp;""))</f>
        <v/>
      </c>
      <c r="AE756" s="0" t="str">
        <f aca="false">IF($A756="","",IF(AT756="Y",BT756&amp;"",BG756&amp;""))</f>
        <v/>
      </c>
      <c r="AF756" s="0" t="str">
        <f aca="false">IF($A756="","",IF(AT756="Y",BU756&amp;"",BH756&amp;""))</f>
        <v/>
      </c>
      <c r="AG756" s="0" t="str">
        <f aca="false">IF($A756="","",IF(AT756="Y",BV756&amp;"",BI756&amp;""))</f>
        <v/>
      </c>
      <c r="AO756" s="5"/>
      <c r="AR756" s="0" t="str">
        <f aca="false">IF($A756="","",IF(AND(CK756="pass",AO756&lt;&gt;"Y",C756&lt;&gt;"",OR(AU756&lt;&gt;"Y",AV756="Y")),"Y","N"))</f>
        <v/>
      </c>
      <c r="AS756" s="0" t="str">
        <f aca="false">IF($A756="","",_xlfn.TEXTJOIN("; ",TRUE(),IF(CK756&lt;&gt;"pass","gated out",""),IF(AO756="Y","on hold: "&amp;AP756,""),IF(C756="","no contact named on an opened page",""),IF(AND(AU756="Y",AV756&lt;&gt;"Y"),"founder review pending (Founder review tab)","")))</f>
        <v/>
      </c>
      <c r="BC756" s="0" t="str">
        <f aca="false">IF($A756="","",IFERROR(INDEX(Enrichment!$A$2:$GZ$2000,MATCH($A756,INDEX(Enrichment!$A$2:$GZ$2000,0,MATCH("row_id",Enrichment!$A$1:$GZ$1,0)),0),MATCH("work_email",Enrichment!$A$1:$GZ$1,0))&amp;"",""))</f>
        <v/>
      </c>
      <c r="BD756" s="0" t="str">
        <f aca="false">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P756" s="0" t="str">
        <f aca="false">IF($A756="","",IFERROR(INDEX(Enrichment!$A$2:$GZ$2000,MATCH($A756,INDEX(Enrichment!$A$2:$GZ$2000,0,MATCH("row_id",Enrichment!$A$1:$GZ$1,0)),0),MATCH("backup_work_email",Enrichment!$A$1:$GZ$1,0))&amp;"",""))</f>
        <v/>
      </c>
      <c r="BQ756" s="0" t="str">
        <f aca="false">IF($A756="","",IF(BP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DU756" s="0" t="str">
        <f aca="false">IF($A756="","",IF(R756="Y",10,0))</f>
        <v/>
      </c>
      <c r="EV756" s="0" t="str">
        <f aca="false">IF($A756="","",IF(ISNUMBER(MATCH(U756,{"queued","contacted","replied","call_booked","call_done","yes_in_principle","materials_sent"},0)),"Y","N"))</f>
        <v/>
      </c>
      <c r="EW756" s="0" t="str">
        <f aca="false">IF($A756="","",IF(OR(T756="Y",U756="do_not_contact",AQ756&amp;""&lt;&gt;""),"Y","N"))</f>
        <v/>
      </c>
      <c r="EX756" s="0" t="str">
        <f aca="false">IF($A756="","",IF(AN756&amp;""&lt;&gt;"",AN756&amp;"",$A756))</f>
        <v/>
      </c>
      <c r="EY756" s="0" t="str">
        <f aca="false">IF($A756="","",IF(COUNTIFS($EX$2:$EX$1000,EX756,$EV$2:$EV$1000,"Y")+COUNTIFS($EX$2:$EX$1000,EX756,$EW$2:$EW$1000,"Y")&gt;0,"Y","N"))</f>
        <v/>
      </c>
      <c r="EZ756" s="0" t="str">
        <f aca="false">IF($A756="","",IF(AND(U756="new",T756="N",EW756="N",AR756="Y",EY756="N"),"Y","N"))</f>
        <v/>
      </c>
      <c r="FA756" s="0" t="str">
        <f aca="false">IF($A756="","",IF(EZ756&lt;&gt;"Y","N",IF(COUNTIFS($EX$2:$EX$1000,EX756,$EZ$2:$EZ$1000,"Y",$J$2:$J$1000,"&gt;"&amp;J756)+COUNTIFS($EX$2:$EX$1000,EX756,$EZ$2:$EZ$1000,"Y",$J$2:$J$1000,J756,$FG$2:$FG$1000,"&lt;"&amp;FG756)=0,"Y","N")))</f>
        <v/>
      </c>
      <c r="FB756" s="0" t="str">
        <f aca="false">IF($A756="","",IF(AND(EZ756="Y",FA756="Y",Y756&amp;""&lt;&gt;""),IF(Y756&lt;=10,"Y","N"),"N"))</f>
        <v/>
      </c>
      <c r="FC756" s="0" t="str">
        <f aca="false">IF(FB756="Y",Y756,"")</f>
        <v/>
      </c>
      <c r="FD756" s="0" t="str">
        <f aca="false">IF($A756="","",IF(AND(CK756="pass",AU756="Y",AV756&lt;&gt;"Y",U756="new",EW756="N"),"Y","N"))</f>
        <v/>
      </c>
      <c r="FE756" s="0" t="str">
        <f aca="false">IF(FD756&lt;&gt;"Y","",IF(COUNTIFS($FD$2:$FD$1000,"Y",$J$2:$J$1000,"&gt;"&amp;J756)+COUNTIFS($FD$2:$FD$1000,"Y",$J$2:$J$1000,J756,$FG$2:$FG$1000,"&lt;"&amp;FG756)+1&lt;=30,COUNTIFS($FD$2:$FD$1000,"Y",$J$2:$J$1000,"&gt;"&amp;J756)+COUNTIFS($FD$2:$FD$1000,"Y",$J$2:$J$1000,J756,$FG$2:$FG$1000,"&lt;"&amp;FG756)+1,""))</f>
        <v/>
      </c>
      <c r="FF756" s="0" t="str">
        <f aca="false">IF(AND(_xlfn.ISFORMULA(C756),_xlfn.ISFORMULA(J756)),"Y","N")</f>
        <v>Y</v>
      </c>
      <c r="FG756" s="0" t="n">
        <f aca="false">ROW()-1</f>
        <v>755</v>
      </c>
    </row>
    <row r="757" customFormat="false" ht="15" hidden="false" customHeight="false" outlineLevel="0" collapsed="false">
      <c r="C757" s="0" t="str">
        <f aca="false">IF($A757="","",IF(AT757="Y",BL757&amp;"",AY757&amp;""))</f>
        <v/>
      </c>
      <c r="D757" s="0" t="str">
        <f aca="false">IF($A757="","",IF(AT757="Y",BM757&amp;"",AZ757&amp;""))</f>
        <v/>
      </c>
      <c r="E757" s="0" t="str">
        <f aca="false">IF($A757="","",IF(AT757="Y",BN757&amp;"",BA757&amp;""))</f>
        <v/>
      </c>
      <c r="F757" s="0" t="str">
        <f aca="false">IF($A757="","",IF(AT757="Y",BO757&amp;"",BB757&amp;""))</f>
        <v/>
      </c>
      <c r="G757" s="0" t="str">
        <f aca="false">IF($A757="","",IF(AT757="Y",BP757&amp;"",BC757&amp;""))</f>
        <v/>
      </c>
      <c r="H757" s="0" t="str">
        <f aca="false">IF($A757="","",IF(AT757="Y",BQ757&amp;"",BD757&amp;""))</f>
        <v/>
      </c>
      <c r="I757" s="0" t="str">
        <f aca="false">IF($A757="","",IF(R757="Y","warm-intro",IF(H757="verified","email",IF(C757&lt;&gt;"","linkedin",CA757&amp;""))))</f>
        <v/>
      </c>
      <c r="J757" s="0" t="str">
        <f aca="false">IF($A757="","",IF(CK757="pass",ROUND(N(DO757)+N(DP757)+N(DQ757)+N(DR757)+N(DS757)+N(DT757)+N(DU757)+N(DV757),0),0))</f>
        <v/>
      </c>
      <c r="K757" s="0" t="str">
        <f aca="false">IF($A757="","",IF(CK757&lt;&gt;"pass",BY757&amp;"",BY757&amp;", "&amp;IF(AT757="Y",BX757&amp;"",BK757&amp;"")&amp;BZ757&amp;IF(R757="Y","; known to the founder (+10)","")&amp;"."))</f>
        <v/>
      </c>
      <c r="R757" s="5"/>
      <c r="T757" s="5"/>
      <c r="U757" s="5"/>
      <c r="Y757" s="0" t="str">
        <f aca="false">IF(FA757&lt;&gt;"Y","",COUNTIFS($FA$2:$FA$1000,"Y",$J$2:$J$1000,"&gt;"&amp;J757)+COUNTIFS($FA$2:$FA$1000,"Y",$J$2:$J$1000,J757,$FG$2:$FG$1000,"&lt;"&amp;FG757)+1)</f>
        <v/>
      </c>
      <c r="AB757" s="0" t="str">
        <f aca="false">IF($A757="","",IF(AT757="Y",BW757&amp;"",BJ757&amp;""))</f>
        <v/>
      </c>
      <c r="AC757" s="0" t="str">
        <f aca="false">IF($A757="","",IF(AT757="Y",BR757&amp;"",BE757&amp;""))</f>
        <v/>
      </c>
      <c r="AD757" s="0" t="str">
        <f aca="false">IF($A757="","",IF(AT757="Y",BS757&amp;"",BF757&amp;""))</f>
        <v/>
      </c>
      <c r="AE757" s="0" t="str">
        <f aca="false">IF($A757="","",IF(AT757="Y",BT757&amp;"",BG757&amp;""))</f>
        <v/>
      </c>
      <c r="AF757" s="0" t="str">
        <f aca="false">IF($A757="","",IF(AT757="Y",BU757&amp;"",BH757&amp;""))</f>
        <v/>
      </c>
      <c r="AG757" s="0" t="str">
        <f aca="false">IF($A757="","",IF(AT757="Y",BV757&amp;"",BI757&amp;""))</f>
        <v/>
      </c>
      <c r="AO757" s="5"/>
      <c r="AR757" s="0" t="str">
        <f aca="false">IF($A757="","",IF(AND(CK757="pass",AO757&lt;&gt;"Y",C757&lt;&gt;"",OR(AU757&lt;&gt;"Y",AV757="Y")),"Y","N"))</f>
        <v/>
      </c>
      <c r="AS757" s="0" t="str">
        <f aca="false">IF($A757="","",_xlfn.TEXTJOIN("; ",TRUE(),IF(CK757&lt;&gt;"pass","gated out",""),IF(AO757="Y","on hold: "&amp;AP757,""),IF(C757="","no contact named on an opened page",""),IF(AND(AU757="Y",AV757&lt;&gt;"Y"),"founder review pending (Founder review tab)","")))</f>
        <v/>
      </c>
      <c r="BC757" s="0" t="str">
        <f aca="false">IF($A757="","",IFERROR(INDEX(Enrichment!$A$2:$GZ$2000,MATCH($A757,INDEX(Enrichment!$A$2:$GZ$2000,0,MATCH("row_id",Enrichment!$A$1:$GZ$1,0)),0),MATCH("work_email",Enrichment!$A$1:$GZ$1,0))&amp;"",""))</f>
        <v/>
      </c>
      <c r="BD757" s="0" t="str">
        <f aca="false">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P757" s="0" t="str">
        <f aca="false">IF($A757="","",IFERROR(INDEX(Enrichment!$A$2:$GZ$2000,MATCH($A757,INDEX(Enrichment!$A$2:$GZ$2000,0,MATCH("row_id",Enrichment!$A$1:$GZ$1,0)),0),MATCH("backup_work_email",Enrichment!$A$1:$GZ$1,0))&amp;"",""))</f>
        <v/>
      </c>
      <c r="BQ757" s="0" t="str">
        <f aca="false">IF($A757="","",IF(BP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DU757" s="0" t="str">
        <f aca="false">IF($A757="","",IF(R757="Y",10,0))</f>
        <v/>
      </c>
      <c r="EV757" s="0" t="str">
        <f aca="false">IF($A757="","",IF(ISNUMBER(MATCH(U757,{"queued","contacted","replied","call_booked","call_done","yes_in_principle","materials_sent"},0)),"Y","N"))</f>
        <v/>
      </c>
      <c r="EW757" s="0" t="str">
        <f aca="false">IF($A757="","",IF(OR(T757="Y",U757="do_not_contact",AQ757&amp;""&lt;&gt;""),"Y","N"))</f>
        <v/>
      </c>
      <c r="EX757" s="0" t="str">
        <f aca="false">IF($A757="","",IF(AN757&amp;""&lt;&gt;"",AN757&amp;"",$A757))</f>
        <v/>
      </c>
      <c r="EY757" s="0" t="str">
        <f aca="false">IF($A757="","",IF(COUNTIFS($EX$2:$EX$1000,EX757,$EV$2:$EV$1000,"Y")+COUNTIFS($EX$2:$EX$1000,EX757,$EW$2:$EW$1000,"Y")&gt;0,"Y","N"))</f>
        <v/>
      </c>
      <c r="EZ757" s="0" t="str">
        <f aca="false">IF($A757="","",IF(AND(U757="new",T757="N",EW757="N",AR757="Y",EY757="N"),"Y","N"))</f>
        <v/>
      </c>
      <c r="FA757" s="0" t="str">
        <f aca="false">IF($A757="","",IF(EZ757&lt;&gt;"Y","N",IF(COUNTIFS($EX$2:$EX$1000,EX757,$EZ$2:$EZ$1000,"Y",$J$2:$J$1000,"&gt;"&amp;J757)+COUNTIFS($EX$2:$EX$1000,EX757,$EZ$2:$EZ$1000,"Y",$J$2:$J$1000,J757,$FG$2:$FG$1000,"&lt;"&amp;FG757)=0,"Y","N")))</f>
        <v/>
      </c>
      <c r="FB757" s="0" t="str">
        <f aca="false">IF($A757="","",IF(AND(EZ757="Y",FA757="Y",Y757&amp;""&lt;&gt;""),IF(Y757&lt;=10,"Y","N"),"N"))</f>
        <v/>
      </c>
      <c r="FC757" s="0" t="str">
        <f aca="false">IF(FB757="Y",Y757,"")</f>
        <v/>
      </c>
      <c r="FD757" s="0" t="str">
        <f aca="false">IF($A757="","",IF(AND(CK757="pass",AU757="Y",AV757&lt;&gt;"Y",U757="new",EW757="N"),"Y","N"))</f>
        <v/>
      </c>
      <c r="FE757" s="0" t="str">
        <f aca="false">IF(FD757&lt;&gt;"Y","",IF(COUNTIFS($FD$2:$FD$1000,"Y",$J$2:$J$1000,"&gt;"&amp;J757)+COUNTIFS($FD$2:$FD$1000,"Y",$J$2:$J$1000,J757,$FG$2:$FG$1000,"&lt;"&amp;FG757)+1&lt;=30,COUNTIFS($FD$2:$FD$1000,"Y",$J$2:$J$1000,"&gt;"&amp;J757)+COUNTIFS($FD$2:$FD$1000,"Y",$J$2:$J$1000,J757,$FG$2:$FG$1000,"&lt;"&amp;FG757)+1,""))</f>
        <v/>
      </c>
      <c r="FF757" s="0" t="str">
        <f aca="false">IF(AND(_xlfn.ISFORMULA(C757),_xlfn.ISFORMULA(J757)),"Y","N")</f>
        <v>Y</v>
      </c>
      <c r="FG757" s="0" t="n">
        <f aca="false">ROW()-1</f>
        <v>756</v>
      </c>
    </row>
    <row r="758" customFormat="false" ht="15" hidden="false" customHeight="false" outlineLevel="0" collapsed="false">
      <c r="C758" s="0" t="str">
        <f aca="false">IF($A758="","",IF(AT758="Y",BL758&amp;"",AY758&amp;""))</f>
        <v/>
      </c>
      <c r="D758" s="0" t="str">
        <f aca="false">IF($A758="","",IF(AT758="Y",BM758&amp;"",AZ758&amp;""))</f>
        <v/>
      </c>
      <c r="E758" s="0" t="str">
        <f aca="false">IF($A758="","",IF(AT758="Y",BN758&amp;"",BA758&amp;""))</f>
        <v/>
      </c>
      <c r="F758" s="0" t="str">
        <f aca="false">IF($A758="","",IF(AT758="Y",BO758&amp;"",BB758&amp;""))</f>
        <v/>
      </c>
      <c r="G758" s="0" t="str">
        <f aca="false">IF($A758="","",IF(AT758="Y",BP758&amp;"",BC758&amp;""))</f>
        <v/>
      </c>
      <c r="H758" s="0" t="str">
        <f aca="false">IF($A758="","",IF(AT758="Y",BQ758&amp;"",BD758&amp;""))</f>
        <v/>
      </c>
      <c r="I758" s="0" t="str">
        <f aca="false">IF($A758="","",IF(R758="Y","warm-intro",IF(H758="verified","email",IF(C758&lt;&gt;"","linkedin",CA758&amp;""))))</f>
        <v/>
      </c>
      <c r="J758" s="0" t="str">
        <f aca="false">IF($A758="","",IF(CK758="pass",ROUND(N(DO758)+N(DP758)+N(DQ758)+N(DR758)+N(DS758)+N(DT758)+N(DU758)+N(DV758),0),0))</f>
        <v/>
      </c>
      <c r="K758" s="0" t="str">
        <f aca="false">IF($A758="","",IF(CK758&lt;&gt;"pass",BY758&amp;"",BY758&amp;", "&amp;IF(AT758="Y",BX758&amp;"",BK758&amp;"")&amp;BZ758&amp;IF(R758="Y","; known to the founder (+10)","")&amp;"."))</f>
        <v/>
      </c>
      <c r="R758" s="5"/>
      <c r="T758" s="5"/>
      <c r="U758" s="5"/>
      <c r="Y758" s="0" t="str">
        <f aca="false">IF(FA758&lt;&gt;"Y","",COUNTIFS($FA$2:$FA$1000,"Y",$J$2:$J$1000,"&gt;"&amp;J758)+COUNTIFS($FA$2:$FA$1000,"Y",$J$2:$J$1000,J758,$FG$2:$FG$1000,"&lt;"&amp;FG758)+1)</f>
        <v/>
      </c>
      <c r="AB758" s="0" t="str">
        <f aca="false">IF($A758="","",IF(AT758="Y",BW758&amp;"",BJ758&amp;""))</f>
        <v/>
      </c>
      <c r="AC758" s="0" t="str">
        <f aca="false">IF($A758="","",IF(AT758="Y",BR758&amp;"",BE758&amp;""))</f>
        <v/>
      </c>
      <c r="AD758" s="0" t="str">
        <f aca="false">IF($A758="","",IF(AT758="Y",BS758&amp;"",BF758&amp;""))</f>
        <v/>
      </c>
      <c r="AE758" s="0" t="str">
        <f aca="false">IF($A758="","",IF(AT758="Y",BT758&amp;"",BG758&amp;""))</f>
        <v/>
      </c>
      <c r="AF758" s="0" t="str">
        <f aca="false">IF($A758="","",IF(AT758="Y",BU758&amp;"",BH758&amp;""))</f>
        <v/>
      </c>
      <c r="AG758" s="0" t="str">
        <f aca="false">IF($A758="","",IF(AT758="Y",BV758&amp;"",BI758&amp;""))</f>
        <v/>
      </c>
      <c r="AO758" s="5"/>
      <c r="AR758" s="0" t="str">
        <f aca="false">IF($A758="","",IF(AND(CK758="pass",AO758&lt;&gt;"Y",C758&lt;&gt;"",OR(AU758&lt;&gt;"Y",AV758="Y")),"Y","N"))</f>
        <v/>
      </c>
      <c r="AS758" s="0" t="str">
        <f aca="false">IF($A758="","",_xlfn.TEXTJOIN("; ",TRUE(),IF(CK758&lt;&gt;"pass","gated out",""),IF(AO758="Y","on hold: "&amp;AP758,""),IF(C758="","no contact named on an opened page",""),IF(AND(AU758="Y",AV758&lt;&gt;"Y"),"founder review pending (Founder review tab)","")))</f>
        <v/>
      </c>
      <c r="BC758" s="0" t="str">
        <f aca="false">IF($A758="","",IFERROR(INDEX(Enrichment!$A$2:$GZ$2000,MATCH($A758,INDEX(Enrichment!$A$2:$GZ$2000,0,MATCH("row_id",Enrichment!$A$1:$GZ$1,0)),0),MATCH("work_email",Enrichment!$A$1:$GZ$1,0))&amp;"",""))</f>
        <v/>
      </c>
      <c r="BD758" s="0" t="str">
        <f aca="false">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P758" s="0" t="str">
        <f aca="false">IF($A758="","",IFERROR(INDEX(Enrichment!$A$2:$GZ$2000,MATCH($A758,INDEX(Enrichment!$A$2:$GZ$2000,0,MATCH("row_id",Enrichment!$A$1:$GZ$1,0)),0),MATCH("backup_work_email",Enrichment!$A$1:$GZ$1,0))&amp;"",""))</f>
        <v/>
      </c>
      <c r="BQ758" s="0" t="str">
        <f aca="false">IF($A758="","",IF(BP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DU758" s="0" t="str">
        <f aca="false">IF($A758="","",IF(R758="Y",10,0))</f>
        <v/>
      </c>
      <c r="EV758" s="0" t="str">
        <f aca="false">IF($A758="","",IF(ISNUMBER(MATCH(U758,{"queued","contacted","replied","call_booked","call_done","yes_in_principle","materials_sent"},0)),"Y","N"))</f>
        <v/>
      </c>
      <c r="EW758" s="0" t="str">
        <f aca="false">IF($A758="","",IF(OR(T758="Y",U758="do_not_contact",AQ758&amp;""&lt;&gt;""),"Y","N"))</f>
        <v/>
      </c>
      <c r="EX758" s="0" t="str">
        <f aca="false">IF($A758="","",IF(AN758&amp;""&lt;&gt;"",AN758&amp;"",$A758))</f>
        <v/>
      </c>
      <c r="EY758" s="0" t="str">
        <f aca="false">IF($A758="","",IF(COUNTIFS($EX$2:$EX$1000,EX758,$EV$2:$EV$1000,"Y")+COUNTIFS($EX$2:$EX$1000,EX758,$EW$2:$EW$1000,"Y")&gt;0,"Y","N"))</f>
        <v/>
      </c>
      <c r="EZ758" s="0" t="str">
        <f aca="false">IF($A758="","",IF(AND(U758="new",T758="N",EW758="N",AR758="Y",EY758="N"),"Y","N"))</f>
        <v/>
      </c>
      <c r="FA758" s="0" t="str">
        <f aca="false">IF($A758="","",IF(EZ758&lt;&gt;"Y","N",IF(COUNTIFS($EX$2:$EX$1000,EX758,$EZ$2:$EZ$1000,"Y",$J$2:$J$1000,"&gt;"&amp;J758)+COUNTIFS($EX$2:$EX$1000,EX758,$EZ$2:$EZ$1000,"Y",$J$2:$J$1000,J758,$FG$2:$FG$1000,"&lt;"&amp;FG758)=0,"Y","N")))</f>
        <v/>
      </c>
      <c r="FB758" s="0" t="str">
        <f aca="false">IF($A758="","",IF(AND(EZ758="Y",FA758="Y",Y758&amp;""&lt;&gt;""),IF(Y758&lt;=10,"Y","N"),"N"))</f>
        <v/>
      </c>
      <c r="FC758" s="0" t="str">
        <f aca="false">IF(FB758="Y",Y758,"")</f>
        <v/>
      </c>
      <c r="FD758" s="0" t="str">
        <f aca="false">IF($A758="","",IF(AND(CK758="pass",AU758="Y",AV758&lt;&gt;"Y",U758="new",EW758="N"),"Y","N"))</f>
        <v/>
      </c>
      <c r="FE758" s="0" t="str">
        <f aca="false">IF(FD758&lt;&gt;"Y","",IF(COUNTIFS($FD$2:$FD$1000,"Y",$J$2:$J$1000,"&gt;"&amp;J758)+COUNTIFS($FD$2:$FD$1000,"Y",$J$2:$J$1000,J758,$FG$2:$FG$1000,"&lt;"&amp;FG758)+1&lt;=30,COUNTIFS($FD$2:$FD$1000,"Y",$J$2:$J$1000,"&gt;"&amp;J758)+COUNTIFS($FD$2:$FD$1000,"Y",$J$2:$J$1000,J758,$FG$2:$FG$1000,"&lt;"&amp;FG758)+1,""))</f>
        <v/>
      </c>
      <c r="FF758" s="0" t="str">
        <f aca="false">IF(AND(_xlfn.ISFORMULA(C758),_xlfn.ISFORMULA(J758)),"Y","N")</f>
        <v>Y</v>
      </c>
      <c r="FG758" s="0" t="n">
        <f aca="false">ROW()-1</f>
        <v>757</v>
      </c>
    </row>
    <row r="759" customFormat="false" ht="15" hidden="false" customHeight="false" outlineLevel="0" collapsed="false">
      <c r="C759" s="0" t="str">
        <f aca="false">IF($A759="","",IF(AT759="Y",BL759&amp;"",AY759&amp;""))</f>
        <v/>
      </c>
      <c r="D759" s="0" t="str">
        <f aca="false">IF($A759="","",IF(AT759="Y",BM759&amp;"",AZ759&amp;""))</f>
        <v/>
      </c>
      <c r="E759" s="0" t="str">
        <f aca="false">IF($A759="","",IF(AT759="Y",BN759&amp;"",BA759&amp;""))</f>
        <v/>
      </c>
      <c r="F759" s="0" t="str">
        <f aca="false">IF($A759="","",IF(AT759="Y",BO759&amp;"",BB759&amp;""))</f>
        <v/>
      </c>
      <c r="G759" s="0" t="str">
        <f aca="false">IF($A759="","",IF(AT759="Y",BP759&amp;"",BC759&amp;""))</f>
        <v/>
      </c>
      <c r="H759" s="0" t="str">
        <f aca="false">IF($A759="","",IF(AT759="Y",BQ759&amp;"",BD759&amp;""))</f>
        <v/>
      </c>
      <c r="I759" s="0" t="str">
        <f aca="false">IF($A759="","",IF(R759="Y","warm-intro",IF(H759="verified","email",IF(C759&lt;&gt;"","linkedin",CA759&amp;""))))</f>
        <v/>
      </c>
      <c r="J759" s="0" t="str">
        <f aca="false">IF($A759="","",IF(CK759="pass",ROUND(N(DO759)+N(DP759)+N(DQ759)+N(DR759)+N(DS759)+N(DT759)+N(DU759)+N(DV759),0),0))</f>
        <v/>
      </c>
      <c r="K759" s="0" t="str">
        <f aca="false">IF($A759="","",IF(CK759&lt;&gt;"pass",BY759&amp;"",BY759&amp;", "&amp;IF(AT759="Y",BX759&amp;"",BK759&amp;"")&amp;BZ759&amp;IF(R759="Y","; known to the founder (+10)","")&amp;"."))</f>
        <v/>
      </c>
      <c r="R759" s="5"/>
      <c r="T759" s="5"/>
      <c r="U759" s="5"/>
      <c r="Y759" s="0" t="str">
        <f aca="false">IF(FA759&lt;&gt;"Y","",COUNTIFS($FA$2:$FA$1000,"Y",$J$2:$J$1000,"&gt;"&amp;J759)+COUNTIFS($FA$2:$FA$1000,"Y",$J$2:$J$1000,J759,$FG$2:$FG$1000,"&lt;"&amp;FG759)+1)</f>
        <v/>
      </c>
      <c r="AB759" s="0" t="str">
        <f aca="false">IF($A759="","",IF(AT759="Y",BW759&amp;"",BJ759&amp;""))</f>
        <v/>
      </c>
      <c r="AC759" s="0" t="str">
        <f aca="false">IF($A759="","",IF(AT759="Y",BR759&amp;"",BE759&amp;""))</f>
        <v/>
      </c>
      <c r="AD759" s="0" t="str">
        <f aca="false">IF($A759="","",IF(AT759="Y",BS759&amp;"",BF759&amp;""))</f>
        <v/>
      </c>
      <c r="AE759" s="0" t="str">
        <f aca="false">IF($A759="","",IF(AT759="Y",BT759&amp;"",BG759&amp;""))</f>
        <v/>
      </c>
      <c r="AF759" s="0" t="str">
        <f aca="false">IF($A759="","",IF(AT759="Y",BU759&amp;"",BH759&amp;""))</f>
        <v/>
      </c>
      <c r="AG759" s="0" t="str">
        <f aca="false">IF($A759="","",IF(AT759="Y",BV759&amp;"",BI759&amp;""))</f>
        <v/>
      </c>
      <c r="AO759" s="5"/>
      <c r="AR759" s="0" t="str">
        <f aca="false">IF($A759="","",IF(AND(CK759="pass",AO759&lt;&gt;"Y",C759&lt;&gt;"",OR(AU759&lt;&gt;"Y",AV759="Y")),"Y","N"))</f>
        <v/>
      </c>
      <c r="AS759" s="0" t="str">
        <f aca="false">IF($A759="","",_xlfn.TEXTJOIN("; ",TRUE(),IF(CK759&lt;&gt;"pass","gated out",""),IF(AO759="Y","on hold: "&amp;AP759,""),IF(C759="","no contact named on an opened page",""),IF(AND(AU759="Y",AV759&lt;&gt;"Y"),"founder review pending (Founder review tab)","")))</f>
        <v/>
      </c>
      <c r="BC759" s="0" t="str">
        <f aca="false">IF($A759="","",IFERROR(INDEX(Enrichment!$A$2:$GZ$2000,MATCH($A759,INDEX(Enrichment!$A$2:$GZ$2000,0,MATCH("row_id",Enrichment!$A$1:$GZ$1,0)),0),MATCH("work_email",Enrichment!$A$1:$GZ$1,0))&amp;"",""))</f>
        <v/>
      </c>
      <c r="BD759" s="0" t="str">
        <f aca="false">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P759" s="0" t="str">
        <f aca="false">IF($A759="","",IFERROR(INDEX(Enrichment!$A$2:$GZ$2000,MATCH($A759,INDEX(Enrichment!$A$2:$GZ$2000,0,MATCH("row_id",Enrichment!$A$1:$GZ$1,0)),0),MATCH("backup_work_email",Enrichment!$A$1:$GZ$1,0))&amp;"",""))</f>
        <v/>
      </c>
      <c r="BQ759" s="0" t="str">
        <f aca="false">IF($A759="","",IF(BP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DU759" s="0" t="str">
        <f aca="false">IF($A759="","",IF(R759="Y",10,0))</f>
        <v/>
      </c>
      <c r="EV759" s="0" t="str">
        <f aca="false">IF($A759="","",IF(ISNUMBER(MATCH(U759,{"queued","contacted","replied","call_booked","call_done","yes_in_principle","materials_sent"},0)),"Y","N"))</f>
        <v/>
      </c>
      <c r="EW759" s="0" t="str">
        <f aca="false">IF($A759="","",IF(OR(T759="Y",U759="do_not_contact",AQ759&amp;""&lt;&gt;""),"Y","N"))</f>
        <v/>
      </c>
      <c r="EX759" s="0" t="str">
        <f aca="false">IF($A759="","",IF(AN759&amp;""&lt;&gt;"",AN759&amp;"",$A759))</f>
        <v/>
      </c>
      <c r="EY759" s="0" t="str">
        <f aca="false">IF($A759="","",IF(COUNTIFS($EX$2:$EX$1000,EX759,$EV$2:$EV$1000,"Y")+COUNTIFS($EX$2:$EX$1000,EX759,$EW$2:$EW$1000,"Y")&gt;0,"Y","N"))</f>
        <v/>
      </c>
      <c r="EZ759" s="0" t="str">
        <f aca="false">IF($A759="","",IF(AND(U759="new",T759="N",EW759="N",AR759="Y",EY759="N"),"Y","N"))</f>
        <v/>
      </c>
      <c r="FA759" s="0" t="str">
        <f aca="false">IF($A759="","",IF(EZ759&lt;&gt;"Y","N",IF(COUNTIFS($EX$2:$EX$1000,EX759,$EZ$2:$EZ$1000,"Y",$J$2:$J$1000,"&gt;"&amp;J759)+COUNTIFS($EX$2:$EX$1000,EX759,$EZ$2:$EZ$1000,"Y",$J$2:$J$1000,J759,$FG$2:$FG$1000,"&lt;"&amp;FG759)=0,"Y","N")))</f>
        <v/>
      </c>
      <c r="FB759" s="0" t="str">
        <f aca="false">IF($A759="","",IF(AND(EZ759="Y",FA759="Y",Y759&amp;""&lt;&gt;""),IF(Y759&lt;=10,"Y","N"),"N"))</f>
        <v/>
      </c>
      <c r="FC759" s="0" t="str">
        <f aca="false">IF(FB759="Y",Y759,"")</f>
        <v/>
      </c>
      <c r="FD759" s="0" t="str">
        <f aca="false">IF($A759="","",IF(AND(CK759="pass",AU759="Y",AV759&lt;&gt;"Y",U759="new",EW759="N"),"Y","N"))</f>
        <v/>
      </c>
      <c r="FE759" s="0" t="str">
        <f aca="false">IF(FD759&lt;&gt;"Y","",IF(COUNTIFS($FD$2:$FD$1000,"Y",$J$2:$J$1000,"&gt;"&amp;J759)+COUNTIFS($FD$2:$FD$1000,"Y",$J$2:$J$1000,J759,$FG$2:$FG$1000,"&lt;"&amp;FG759)+1&lt;=30,COUNTIFS($FD$2:$FD$1000,"Y",$J$2:$J$1000,"&gt;"&amp;J759)+COUNTIFS($FD$2:$FD$1000,"Y",$J$2:$J$1000,J759,$FG$2:$FG$1000,"&lt;"&amp;FG759)+1,""))</f>
        <v/>
      </c>
      <c r="FF759" s="0" t="str">
        <f aca="false">IF(AND(_xlfn.ISFORMULA(C759),_xlfn.ISFORMULA(J759)),"Y","N")</f>
        <v>Y</v>
      </c>
      <c r="FG759" s="0" t="n">
        <f aca="false">ROW()-1</f>
        <v>758</v>
      </c>
    </row>
    <row r="760" customFormat="false" ht="15" hidden="false" customHeight="false" outlineLevel="0" collapsed="false">
      <c r="C760" s="0" t="str">
        <f aca="false">IF($A760="","",IF(AT760="Y",BL760&amp;"",AY760&amp;""))</f>
        <v/>
      </c>
      <c r="D760" s="0" t="str">
        <f aca="false">IF($A760="","",IF(AT760="Y",BM760&amp;"",AZ760&amp;""))</f>
        <v/>
      </c>
      <c r="E760" s="0" t="str">
        <f aca="false">IF($A760="","",IF(AT760="Y",BN760&amp;"",BA760&amp;""))</f>
        <v/>
      </c>
      <c r="F760" s="0" t="str">
        <f aca="false">IF($A760="","",IF(AT760="Y",BO760&amp;"",BB760&amp;""))</f>
        <v/>
      </c>
      <c r="G760" s="0" t="str">
        <f aca="false">IF($A760="","",IF(AT760="Y",BP760&amp;"",BC760&amp;""))</f>
        <v/>
      </c>
      <c r="H760" s="0" t="str">
        <f aca="false">IF($A760="","",IF(AT760="Y",BQ760&amp;"",BD760&amp;""))</f>
        <v/>
      </c>
      <c r="I760" s="0" t="str">
        <f aca="false">IF($A760="","",IF(R760="Y","warm-intro",IF(H760="verified","email",IF(C760&lt;&gt;"","linkedin",CA760&amp;""))))</f>
        <v/>
      </c>
      <c r="J760" s="0" t="str">
        <f aca="false">IF($A760="","",IF(CK760="pass",ROUND(N(DO760)+N(DP760)+N(DQ760)+N(DR760)+N(DS760)+N(DT760)+N(DU760)+N(DV760),0),0))</f>
        <v/>
      </c>
      <c r="K760" s="0" t="str">
        <f aca="false">IF($A760="","",IF(CK760&lt;&gt;"pass",BY760&amp;"",BY760&amp;", "&amp;IF(AT760="Y",BX760&amp;"",BK760&amp;"")&amp;BZ760&amp;IF(R760="Y","; known to the founder (+10)","")&amp;"."))</f>
        <v/>
      </c>
      <c r="R760" s="5"/>
      <c r="T760" s="5"/>
      <c r="U760" s="5"/>
      <c r="Y760" s="0" t="str">
        <f aca="false">IF(FA760&lt;&gt;"Y","",COUNTIFS($FA$2:$FA$1000,"Y",$J$2:$J$1000,"&gt;"&amp;J760)+COUNTIFS($FA$2:$FA$1000,"Y",$J$2:$J$1000,J760,$FG$2:$FG$1000,"&lt;"&amp;FG760)+1)</f>
        <v/>
      </c>
      <c r="AB760" s="0" t="str">
        <f aca="false">IF($A760="","",IF(AT760="Y",BW760&amp;"",BJ760&amp;""))</f>
        <v/>
      </c>
      <c r="AC760" s="0" t="str">
        <f aca="false">IF($A760="","",IF(AT760="Y",BR760&amp;"",BE760&amp;""))</f>
        <v/>
      </c>
      <c r="AD760" s="0" t="str">
        <f aca="false">IF($A760="","",IF(AT760="Y",BS760&amp;"",BF760&amp;""))</f>
        <v/>
      </c>
      <c r="AE760" s="0" t="str">
        <f aca="false">IF($A760="","",IF(AT760="Y",BT760&amp;"",BG760&amp;""))</f>
        <v/>
      </c>
      <c r="AF760" s="0" t="str">
        <f aca="false">IF($A760="","",IF(AT760="Y",BU760&amp;"",BH760&amp;""))</f>
        <v/>
      </c>
      <c r="AG760" s="0" t="str">
        <f aca="false">IF($A760="","",IF(AT760="Y",BV760&amp;"",BI760&amp;""))</f>
        <v/>
      </c>
      <c r="AO760" s="5"/>
      <c r="AR760" s="0" t="str">
        <f aca="false">IF($A760="","",IF(AND(CK760="pass",AO760&lt;&gt;"Y",C760&lt;&gt;"",OR(AU760&lt;&gt;"Y",AV760="Y")),"Y","N"))</f>
        <v/>
      </c>
      <c r="AS760" s="0" t="str">
        <f aca="false">IF($A760="","",_xlfn.TEXTJOIN("; ",TRUE(),IF(CK760&lt;&gt;"pass","gated out",""),IF(AO760="Y","on hold: "&amp;AP760,""),IF(C760="","no contact named on an opened page",""),IF(AND(AU760="Y",AV760&lt;&gt;"Y"),"founder review pending (Founder review tab)","")))</f>
        <v/>
      </c>
      <c r="BC760" s="0" t="str">
        <f aca="false">IF($A760="","",IFERROR(INDEX(Enrichment!$A$2:$GZ$2000,MATCH($A760,INDEX(Enrichment!$A$2:$GZ$2000,0,MATCH("row_id",Enrichment!$A$1:$GZ$1,0)),0),MATCH("work_email",Enrichment!$A$1:$GZ$1,0))&amp;"",""))</f>
        <v/>
      </c>
      <c r="BD760" s="0" t="str">
        <f aca="false">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P760" s="0" t="str">
        <f aca="false">IF($A760="","",IFERROR(INDEX(Enrichment!$A$2:$GZ$2000,MATCH($A760,INDEX(Enrichment!$A$2:$GZ$2000,0,MATCH("row_id",Enrichment!$A$1:$GZ$1,0)),0),MATCH("backup_work_email",Enrichment!$A$1:$GZ$1,0))&amp;"",""))</f>
        <v/>
      </c>
      <c r="BQ760" s="0" t="str">
        <f aca="false">IF($A760="","",IF(BP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DU760" s="0" t="str">
        <f aca="false">IF($A760="","",IF(R760="Y",10,0))</f>
        <v/>
      </c>
      <c r="EV760" s="0" t="str">
        <f aca="false">IF($A760="","",IF(ISNUMBER(MATCH(U760,{"queued","contacted","replied","call_booked","call_done","yes_in_principle","materials_sent"},0)),"Y","N"))</f>
        <v/>
      </c>
      <c r="EW760" s="0" t="str">
        <f aca="false">IF($A760="","",IF(OR(T760="Y",U760="do_not_contact",AQ760&amp;""&lt;&gt;""),"Y","N"))</f>
        <v/>
      </c>
      <c r="EX760" s="0" t="str">
        <f aca="false">IF($A760="","",IF(AN760&amp;""&lt;&gt;"",AN760&amp;"",$A760))</f>
        <v/>
      </c>
      <c r="EY760" s="0" t="str">
        <f aca="false">IF($A760="","",IF(COUNTIFS($EX$2:$EX$1000,EX760,$EV$2:$EV$1000,"Y")+COUNTIFS($EX$2:$EX$1000,EX760,$EW$2:$EW$1000,"Y")&gt;0,"Y","N"))</f>
        <v/>
      </c>
      <c r="EZ760" s="0" t="str">
        <f aca="false">IF($A760="","",IF(AND(U760="new",T760="N",EW760="N",AR760="Y",EY760="N"),"Y","N"))</f>
        <v/>
      </c>
      <c r="FA760" s="0" t="str">
        <f aca="false">IF($A760="","",IF(EZ760&lt;&gt;"Y","N",IF(COUNTIFS($EX$2:$EX$1000,EX760,$EZ$2:$EZ$1000,"Y",$J$2:$J$1000,"&gt;"&amp;J760)+COUNTIFS($EX$2:$EX$1000,EX760,$EZ$2:$EZ$1000,"Y",$J$2:$J$1000,J760,$FG$2:$FG$1000,"&lt;"&amp;FG760)=0,"Y","N")))</f>
        <v/>
      </c>
      <c r="FB760" s="0" t="str">
        <f aca="false">IF($A760="","",IF(AND(EZ760="Y",FA760="Y",Y760&amp;""&lt;&gt;""),IF(Y760&lt;=10,"Y","N"),"N"))</f>
        <v/>
      </c>
      <c r="FC760" s="0" t="str">
        <f aca="false">IF(FB760="Y",Y760,"")</f>
        <v/>
      </c>
      <c r="FD760" s="0" t="str">
        <f aca="false">IF($A760="","",IF(AND(CK760="pass",AU760="Y",AV760&lt;&gt;"Y",U760="new",EW760="N"),"Y","N"))</f>
        <v/>
      </c>
      <c r="FE760" s="0" t="str">
        <f aca="false">IF(FD760&lt;&gt;"Y","",IF(COUNTIFS($FD$2:$FD$1000,"Y",$J$2:$J$1000,"&gt;"&amp;J760)+COUNTIFS($FD$2:$FD$1000,"Y",$J$2:$J$1000,J760,$FG$2:$FG$1000,"&lt;"&amp;FG760)+1&lt;=30,COUNTIFS($FD$2:$FD$1000,"Y",$J$2:$J$1000,"&gt;"&amp;J760)+COUNTIFS($FD$2:$FD$1000,"Y",$J$2:$J$1000,J760,$FG$2:$FG$1000,"&lt;"&amp;FG760)+1,""))</f>
        <v/>
      </c>
      <c r="FF760" s="0" t="str">
        <f aca="false">IF(AND(_xlfn.ISFORMULA(C760),_xlfn.ISFORMULA(J760)),"Y","N")</f>
        <v>Y</v>
      </c>
      <c r="FG760" s="0" t="n">
        <f aca="false">ROW()-1</f>
        <v>759</v>
      </c>
    </row>
    <row r="761" customFormat="false" ht="15" hidden="false" customHeight="false" outlineLevel="0" collapsed="false">
      <c r="C761" s="0" t="str">
        <f aca="false">IF($A761="","",IF(AT761="Y",BL761&amp;"",AY761&amp;""))</f>
        <v/>
      </c>
      <c r="D761" s="0" t="str">
        <f aca="false">IF($A761="","",IF(AT761="Y",BM761&amp;"",AZ761&amp;""))</f>
        <v/>
      </c>
      <c r="E761" s="0" t="str">
        <f aca="false">IF($A761="","",IF(AT761="Y",BN761&amp;"",BA761&amp;""))</f>
        <v/>
      </c>
      <c r="F761" s="0" t="str">
        <f aca="false">IF($A761="","",IF(AT761="Y",BO761&amp;"",BB761&amp;""))</f>
        <v/>
      </c>
      <c r="G761" s="0" t="str">
        <f aca="false">IF($A761="","",IF(AT761="Y",BP761&amp;"",BC761&amp;""))</f>
        <v/>
      </c>
      <c r="H761" s="0" t="str">
        <f aca="false">IF($A761="","",IF(AT761="Y",BQ761&amp;"",BD761&amp;""))</f>
        <v/>
      </c>
      <c r="I761" s="0" t="str">
        <f aca="false">IF($A761="","",IF(R761="Y","warm-intro",IF(H761="verified","email",IF(C761&lt;&gt;"","linkedin",CA761&amp;""))))</f>
        <v/>
      </c>
      <c r="J761" s="0" t="str">
        <f aca="false">IF($A761="","",IF(CK761="pass",ROUND(N(DO761)+N(DP761)+N(DQ761)+N(DR761)+N(DS761)+N(DT761)+N(DU761)+N(DV761),0),0))</f>
        <v/>
      </c>
      <c r="K761" s="0" t="str">
        <f aca="false">IF($A761="","",IF(CK761&lt;&gt;"pass",BY761&amp;"",BY761&amp;", "&amp;IF(AT761="Y",BX761&amp;"",BK761&amp;"")&amp;BZ761&amp;IF(R761="Y","; known to the founder (+10)","")&amp;"."))</f>
        <v/>
      </c>
      <c r="R761" s="5"/>
      <c r="T761" s="5"/>
      <c r="U761" s="5"/>
      <c r="Y761" s="0" t="str">
        <f aca="false">IF(FA761&lt;&gt;"Y","",COUNTIFS($FA$2:$FA$1000,"Y",$J$2:$J$1000,"&gt;"&amp;J761)+COUNTIFS($FA$2:$FA$1000,"Y",$J$2:$J$1000,J761,$FG$2:$FG$1000,"&lt;"&amp;FG761)+1)</f>
        <v/>
      </c>
      <c r="AB761" s="0" t="str">
        <f aca="false">IF($A761="","",IF(AT761="Y",BW761&amp;"",BJ761&amp;""))</f>
        <v/>
      </c>
      <c r="AC761" s="0" t="str">
        <f aca="false">IF($A761="","",IF(AT761="Y",BR761&amp;"",BE761&amp;""))</f>
        <v/>
      </c>
      <c r="AD761" s="0" t="str">
        <f aca="false">IF($A761="","",IF(AT761="Y",BS761&amp;"",BF761&amp;""))</f>
        <v/>
      </c>
      <c r="AE761" s="0" t="str">
        <f aca="false">IF($A761="","",IF(AT761="Y",BT761&amp;"",BG761&amp;""))</f>
        <v/>
      </c>
      <c r="AF761" s="0" t="str">
        <f aca="false">IF($A761="","",IF(AT761="Y",BU761&amp;"",BH761&amp;""))</f>
        <v/>
      </c>
      <c r="AG761" s="0" t="str">
        <f aca="false">IF($A761="","",IF(AT761="Y",BV761&amp;"",BI761&amp;""))</f>
        <v/>
      </c>
      <c r="AO761" s="5"/>
      <c r="AR761" s="0" t="str">
        <f aca="false">IF($A761="","",IF(AND(CK761="pass",AO761&lt;&gt;"Y",C761&lt;&gt;"",OR(AU761&lt;&gt;"Y",AV761="Y")),"Y","N"))</f>
        <v/>
      </c>
      <c r="AS761" s="0" t="str">
        <f aca="false">IF($A761="","",_xlfn.TEXTJOIN("; ",TRUE(),IF(CK761&lt;&gt;"pass","gated out",""),IF(AO761="Y","on hold: "&amp;AP761,""),IF(C761="","no contact named on an opened page",""),IF(AND(AU761="Y",AV761&lt;&gt;"Y"),"founder review pending (Founder review tab)","")))</f>
        <v/>
      </c>
      <c r="BC761" s="0" t="str">
        <f aca="false">IF($A761="","",IFERROR(INDEX(Enrichment!$A$2:$GZ$2000,MATCH($A761,INDEX(Enrichment!$A$2:$GZ$2000,0,MATCH("row_id",Enrichment!$A$1:$GZ$1,0)),0),MATCH("work_email",Enrichment!$A$1:$GZ$1,0))&amp;"",""))</f>
        <v/>
      </c>
      <c r="BD761" s="0" t="str">
        <f aca="false">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P761" s="0" t="str">
        <f aca="false">IF($A761="","",IFERROR(INDEX(Enrichment!$A$2:$GZ$2000,MATCH($A761,INDEX(Enrichment!$A$2:$GZ$2000,0,MATCH("row_id",Enrichment!$A$1:$GZ$1,0)),0),MATCH("backup_work_email",Enrichment!$A$1:$GZ$1,0))&amp;"",""))</f>
        <v/>
      </c>
      <c r="BQ761" s="0" t="str">
        <f aca="false">IF($A761="","",IF(BP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DU761" s="0" t="str">
        <f aca="false">IF($A761="","",IF(R761="Y",10,0))</f>
        <v/>
      </c>
      <c r="EV761" s="0" t="str">
        <f aca="false">IF($A761="","",IF(ISNUMBER(MATCH(U761,{"queued","contacted","replied","call_booked","call_done","yes_in_principle","materials_sent"},0)),"Y","N"))</f>
        <v/>
      </c>
      <c r="EW761" s="0" t="str">
        <f aca="false">IF($A761="","",IF(OR(T761="Y",U761="do_not_contact",AQ761&amp;""&lt;&gt;""),"Y","N"))</f>
        <v/>
      </c>
      <c r="EX761" s="0" t="str">
        <f aca="false">IF($A761="","",IF(AN761&amp;""&lt;&gt;"",AN761&amp;"",$A761))</f>
        <v/>
      </c>
      <c r="EY761" s="0" t="str">
        <f aca="false">IF($A761="","",IF(COUNTIFS($EX$2:$EX$1000,EX761,$EV$2:$EV$1000,"Y")+COUNTIFS($EX$2:$EX$1000,EX761,$EW$2:$EW$1000,"Y")&gt;0,"Y","N"))</f>
        <v/>
      </c>
      <c r="EZ761" s="0" t="str">
        <f aca="false">IF($A761="","",IF(AND(U761="new",T761="N",EW761="N",AR761="Y",EY761="N"),"Y","N"))</f>
        <v/>
      </c>
      <c r="FA761" s="0" t="str">
        <f aca="false">IF($A761="","",IF(EZ761&lt;&gt;"Y","N",IF(COUNTIFS($EX$2:$EX$1000,EX761,$EZ$2:$EZ$1000,"Y",$J$2:$J$1000,"&gt;"&amp;J761)+COUNTIFS($EX$2:$EX$1000,EX761,$EZ$2:$EZ$1000,"Y",$J$2:$J$1000,J761,$FG$2:$FG$1000,"&lt;"&amp;FG761)=0,"Y","N")))</f>
        <v/>
      </c>
      <c r="FB761" s="0" t="str">
        <f aca="false">IF($A761="","",IF(AND(EZ761="Y",FA761="Y",Y761&amp;""&lt;&gt;""),IF(Y761&lt;=10,"Y","N"),"N"))</f>
        <v/>
      </c>
      <c r="FC761" s="0" t="str">
        <f aca="false">IF(FB761="Y",Y761,"")</f>
        <v/>
      </c>
      <c r="FD761" s="0" t="str">
        <f aca="false">IF($A761="","",IF(AND(CK761="pass",AU761="Y",AV761&lt;&gt;"Y",U761="new",EW761="N"),"Y","N"))</f>
        <v/>
      </c>
      <c r="FE761" s="0" t="str">
        <f aca="false">IF(FD761&lt;&gt;"Y","",IF(COUNTIFS($FD$2:$FD$1000,"Y",$J$2:$J$1000,"&gt;"&amp;J761)+COUNTIFS($FD$2:$FD$1000,"Y",$J$2:$J$1000,J761,$FG$2:$FG$1000,"&lt;"&amp;FG761)+1&lt;=30,COUNTIFS($FD$2:$FD$1000,"Y",$J$2:$J$1000,"&gt;"&amp;J761)+COUNTIFS($FD$2:$FD$1000,"Y",$J$2:$J$1000,J761,$FG$2:$FG$1000,"&lt;"&amp;FG761)+1,""))</f>
        <v/>
      </c>
      <c r="FF761" s="0" t="str">
        <f aca="false">IF(AND(_xlfn.ISFORMULA(C761),_xlfn.ISFORMULA(J761)),"Y","N")</f>
        <v>Y</v>
      </c>
      <c r="FG761" s="0" t="n">
        <f aca="false">ROW()-1</f>
        <v>760</v>
      </c>
    </row>
    <row r="762" customFormat="false" ht="15" hidden="false" customHeight="false" outlineLevel="0" collapsed="false">
      <c r="C762" s="0" t="str">
        <f aca="false">IF($A762="","",IF(AT762="Y",BL762&amp;"",AY762&amp;""))</f>
        <v/>
      </c>
      <c r="D762" s="0" t="str">
        <f aca="false">IF($A762="","",IF(AT762="Y",BM762&amp;"",AZ762&amp;""))</f>
        <v/>
      </c>
      <c r="E762" s="0" t="str">
        <f aca="false">IF($A762="","",IF(AT762="Y",BN762&amp;"",BA762&amp;""))</f>
        <v/>
      </c>
      <c r="F762" s="0" t="str">
        <f aca="false">IF($A762="","",IF(AT762="Y",BO762&amp;"",BB762&amp;""))</f>
        <v/>
      </c>
      <c r="G762" s="0" t="str">
        <f aca="false">IF($A762="","",IF(AT762="Y",BP762&amp;"",BC762&amp;""))</f>
        <v/>
      </c>
      <c r="H762" s="0" t="str">
        <f aca="false">IF($A762="","",IF(AT762="Y",BQ762&amp;"",BD762&amp;""))</f>
        <v/>
      </c>
      <c r="I762" s="0" t="str">
        <f aca="false">IF($A762="","",IF(R762="Y","warm-intro",IF(H762="verified","email",IF(C762&lt;&gt;"","linkedin",CA762&amp;""))))</f>
        <v/>
      </c>
      <c r="J762" s="0" t="str">
        <f aca="false">IF($A762="","",IF(CK762="pass",ROUND(N(DO762)+N(DP762)+N(DQ762)+N(DR762)+N(DS762)+N(DT762)+N(DU762)+N(DV762),0),0))</f>
        <v/>
      </c>
      <c r="K762" s="0" t="str">
        <f aca="false">IF($A762="","",IF(CK762&lt;&gt;"pass",BY762&amp;"",BY762&amp;", "&amp;IF(AT762="Y",BX762&amp;"",BK762&amp;"")&amp;BZ762&amp;IF(R762="Y","; known to the founder (+10)","")&amp;"."))</f>
        <v/>
      </c>
      <c r="R762" s="5"/>
      <c r="T762" s="5"/>
      <c r="U762" s="5"/>
      <c r="Y762" s="0" t="str">
        <f aca="false">IF(FA762&lt;&gt;"Y","",COUNTIFS($FA$2:$FA$1000,"Y",$J$2:$J$1000,"&gt;"&amp;J762)+COUNTIFS($FA$2:$FA$1000,"Y",$J$2:$J$1000,J762,$FG$2:$FG$1000,"&lt;"&amp;FG762)+1)</f>
        <v/>
      </c>
      <c r="AB762" s="0" t="str">
        <f aca="false">IF($A762="","",IF(AT762="Y",BW762&amp;"",BJ762&amp;""))</f>
        <v/>
      </c>
      <c r="AC762" s="0" t="str">
        <f aca="false">IF($A762="","",IF(AT762="Y",BR762&amp;"",BE762&amp;""))</f>
        <v/>
      </c>
      <c r="AD762" s="0" t="str">
        <f aca="false">IF($A762="","",IF(AT762="Y",BS762&amp;"",BF762&amp;""))</f>
        <v/>
      </c>
      <c r="AE762" s="0" t="str">
        <f aca="false">IF($A762="","",IF(AT762="Y",BT762&amp;"",BG762&amp;""))</f>
        <v/>
      </c>
      <c r="AF762" s="0" t="str">
        <f aca="false">IF($A762="","",IF(AT762="Y",BU762&amp;"",BH762&amp;""))</f>
        <v/>
      </c>
      <c r="AG762" s="0" t="str">
        <f aca="false">IF($A762="","",IF(AT762="Y",BV762&amp;"",BI762&amp;""))</f>
        <v/>
      </c>
      <c r="AO762" s="5"/>
      <c r="AR762" s="0" t="str">
        <f aca="false">IF($A762="","",IF(AND(CK762="pass",AO762&lt;&gt;"Y",C762&lt;&gt;"",OR(AU762&lt;&gt;"Y",AV762="Y")),"Y","N"))</f>
        <v/>
      </c>
      <c r="AS762" s="0" t="str">
        <f aca="false">IF($A762="","",_xlfn.TEXTJOIN("; ",TRUE(),IF(CK762&lt;&gt;"pass","gated out",""),IF(AO762="Y","on hold: "&amp;AP762,""),IF(C762="","no contact named on an opened page",""),IF(AND(AU762="Y",AV762&lt;&gt;"Y"),"founder review pending (Founder review tab)","")))</f>
        <v/>
      </c>
      <c r="BC762" s="0" t="str">
        <f aca="false">IF($A762="","",IFERROR(INDEX(Enrichment!$A$2:$GZ$2000,MATCH($A762,INDEX(Enrichment!$A$2:$GZ$2000,0,MATCH("row_id",Enrichment!$A$1:$GZ$1,0)),0),MATCH("work_email",Enrichment!$A$1:$GZ$1,0))&amp;"",""))</f>
        <v/>
      </c>
      <c r="BD762" s="0" t="str">
        <f aca="false">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P762" s="0" t="str">
        <f aca="false">IF($A762="","",IFERROR(INDEX(Enrichment!$A$2:$GZ$2000,MATCH($A762,INDEX(Enrichment!$A$2:$GZ$2000,0,MATCH("row_id",Enrichment!$A$1:$GZ$1,0)),0),MATCH("backup_work_email",Enrichment!$A$1:$GZ$1,0))&amp;"",""))</f>
        <v/>
      </c>
      <c r="BQ762" s="0" t="str">
        <f aca="false">IF($A762="","",IF(BP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DU762" s="0" t="str">
        <f aca="false">IF($A762="","",IF(R762="Y",10,0))</f>
        <v/>
      </c>
      <c r="EV762" s="0" t="str">
        <f aca="false">IF($A762="","",IF(ISNUMBER(MATCH(U762,{"queued","contacted","replied","call_booked","call_done","yes_in_principle","materials_sent"},0)),"Y","N"))</f>
        <v/>
      </c>
      <c r="EW762" s="0" t="str">
        <f aca="false">IF($A762="","",IF(OR(T762="Y",U762="do_not_contact",AQ762&amp;""&lt;&gt;""),"Y","N"))</f>
        <v/>
      </c>
      <c r="EX762" s="0" t="str">
        <f aca="false">IF($A762="","",IF(AN762&amp;""&lt;&gt;"",AN762&amp;"",$A762))</f>
        <v/>
      </c>
      <c r="EY762" s="0" t="str">
        <f aca="false">IF($A762="","",IF(COUNTIFS($EX$2:$EX$1000,EX762,$EV$2:$EV$1000,"Y")+COUNTIFS($EX$2:$EX$1000,EX762,$EW$2:$EW$1000,"Y")&gt;0,"Y","N"))</f>
        <v/>
      </c>
      <c r="EZ762" s="0" t="str">
        <f aca="false">IF($A762="","",IF(AND(U762="new",T762="N",EW762="N",AR762="Y",EY762="N"),"Y","N"))</f>
        <v/>
      </c>
      <c r="FA762" s="0" t="str">
        <f aca="false">IF($A762="","",IF(EZ762&lt;&gt;"Y","N",IF(COUNTIFS($EX$2:$EX$1000,EX762,$EZ$2:$EZ$1000,"Y",$J$2:$J$1000,"&gt;"&amp;J762)+COUNTIFS($EX$2:$EX$1000,EX762,$EZ$2:$EZ$1000,"Y",$J$2:$J$1000,J762,$FG$2:$FG$1000,"&lt;"&amp;FG762)=0,"Y","N")))</f>
        <v/>
      </c>
      <c r="FB762" s="0" t="str">
        <f aca="false">IF($A762="","",IF(AND(EZ762="Y",FA762="Y",Y762&amp;""&lt;&gt;""),IF(Y762&lt;=10,"Y","N"),"N"))</f>
        <v/>
      </c>
      <c r="FC762" s="0" t="str">
        <f aca="false">IF(FB762="Y",Y762,"")</f>
        <v/>
      </c>
      <c r="FD762" s="0" t="str">
        <f aca="false">IF($A762="","",IF(AND(CK762="pass",AU762="Y",AV762&lt;&gt;"Y",U762="new",EW762="N"),"Y","N"))</f>
        <v/>
      </c>
      <c r="FE762" s="0" t="str">
        <f aca="false">IF(FD762&lt;&gt;"Y","",IF(COUNTIFS($FD$2:$FD$1000,"Y",$J$2:$J$1000,"&gt;"&amp;J762)+COUNTIFS($FD$2:$FD$1000,"Y",$J$2:$J$1000,J762,$FG$2:$FG$1000,"&lt;"&amp;FG762)+1&lt;=30,COUNTIFS($FD$2:$FD$1000,"Y",$J$2:$J$1000,"&gt;"&amp;J762)+COUNTIFS($FD$2:$FD$1000,"Y",$J$2:$J$1000,J762,$FG$2:$FG$1000,"&lt;"&amp;FG762)+1,""))</f>
        <v/>
      </c>
      <c r="FF762" s="0" t="str">
        <f aca="false">IF(AND(_xlfn.ISFORMULA(C762),_xlfn.ISFORMULA(J762)),"Y","N")</f>
        <v>Y</v>
      </c>
      <c r="FG762" s="0" t="n">
        <f aca="false">ROW()-1</f>
        <v>761</v>
      </c>
    </row>
    <row r="763" customFormat="false" ht="15" hidden="false" customHeight="false" outlineLevel="0" collapsed="false">
      <c r="C763" s="0" t="str">
        <f aca="false">IF($A763="","",IF(AT763="Y",BL763&amp;"",AY763&amp;""))</f>
        <v/>
      </c>
      <c r="D763" s="0" t="str">
        <f aca="false">IF($A763="","",IF(AT763="Y",BM763&amp;"",AZ763&amp;""))</f>
        <v/>
      </c>
      <c r="E763" s="0" t="str">
        <f aca="false">IF($A763="","",IF(AT763="Y",BN763&amp;"",BA763&amp;""))</f>
        <v/>
      </c>
      <c r="F763" s="0" t="str">
        <f aca="false">IF($A763="","",IF(AT763="Y",BO763&amp;"",BB763&amp;""))</f>
        <v/>
      </c>
      <c r="G763" s="0" t="str">
        <f aca="false">IF($A763="","",IF(AT763="Y",BP763&amp;"",BC763&amp;""))</f>
        <v/>
      </c>
      <c r="H763" s="0" t="str">
        <f aca="false">IF($A763="","",IF(AT763="Y",BQ763&amp;"",BD763&amp;""))</f>
        <v/>
      </c>
      <c r="I763" s="0" t="str">
        <f aca="false">IF($A763="","",IF(R763="Y","warm-intro",IF(H763="verified","email",IF(C763&lt;&gt;"","linkedin",CA763&amp;""))))</f>
        <v/>
      </c>
      <c r="J763" s="0" t="str">
        <f aca="false">IF($A763="","",IF(CK763="pass",ROUND(N(DO763)+N(DP763)+N(DQ763)+N(DR763)+N(DS763)+N(DT763)+N(DU763)+N(DV763),0),0))</f>
        <v/>
      </c>
      <c r="K763" s="0" t="str">
        <f aca="false">IF($A763="","",IF(CK763&lt;&gt;"pass",BY763&amp;"",BY763&amp;", "&amp;IF(AT763="Y",BX763&amp;"",BK763&amp;"")&amp;BZ763&amp;IF(R763="Y","; known to the founder (+10)","")&amp;"."))</f>
        <v/>
      </c>
      <c r="R763" s="5"/>
      <c r="T763" s="5"/>
      <c r="U763" s="5"/>
      <c r="Y763" s="0" t="str">
        <f aca="false">IF(FA763&lt;&gt;"Y","",COUNTIFS($FA$2:$FA$1000,"Y",$J$2:$J$1000,"&gt;"&amp;J763)+COUNTIFS($FA$2:$FA$1000,"Y",$J$2:$J$1000,J763,$FG$2:$FG$1000,"&lt;"&amp;FG763)+1)</f>
        <v/>
      </c>
      <c r="AB763" s="0" t="str">
        <f aca="false">IF($A763="","",IF(AT763="Y",BW763&amp;"",BJ763&amp;""))</f>
        <v/>
      </c>
      <c r="AC763" s="0" t="str">
        <f aca="false">IF($A763="","",IF(AT763="Y",BR763&amp;"",BE763&amp;""))</f>
        <v/>
      </c>
      <c r="AD763" s="0" t="str">
        <f aca="false">IF($A763="","",IF(AT763="Y",BS763&amp;"",BF763&amp;""))</f>
        <v/>
      </c>
      <c r="AE763" s="0" t="str">
        <f aca="false">IF($A763="","",IF(AT763="Y",BT763&amp;"",BG763&amp;""))</f>
        <v/>
      </c>
      <c r="AF763" s="0" t="str">
        <f aca="false">IF($A763="","",IF(AT763="Y",BU763&amp;"",BH763&amp;""))</f>
        <v/>
      </c>
      <c r="AG763" s="0" t="str">
        <f aca="false">IF($A763="","",IF(AT763="Y",BV763&amp;"",BI763&amp;""))</f>
        <v/>
      </c>
      <c r="AO763" s="5"/>
      <c r="AR763" s="0" t="str">
        <f aca="false">IF($A763="","",IF(AND(CK763="pass",AO763&lt;&gt;"Y",C763&lt;&gt;"",OR(AU763&lt;&gt;"Y",AV763="Y")),"Y","N"))</f>
        <v/>
      </c>
      <c r="AS763" s="0" t="str">
        <f aca="false">IF($A763="","",_xlfn.TEXTJOIN("; ",TRUE(),IF(CK763&lt;&gt;"pass","gated out",""),IF(AO763="Y","on hold: "&amp;AP763,""),IF(C763="","no contact named on an opened page",""),IF(AND(AU763="Y",AV763&lt;&gt;"Y"),"founder review pending (Founder review tab)","")))</f>
        <v/>
      </c>
      <c r="BC763" s="0" t="str">
        <f aca="false">IF($A763="","",IFERROR(INDEX(Enrichment!$A$2:$GZ$2000,MATCH($A763,INDEX(Enrichment!$A$2:$GZ$2000,0,MATCH("row_id",Enrichment!$A$1:$GZ$1,0)),0),MATCH("work_email",Enrichment!$A$1:$GZ$1,0))&amp;"",""))</f>
        <v/>
      </c>
      <c r="BD763" s="0" t="str">
        <f aca="false">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P763" s="0" t="str">
        <f aca="false">IF($A763="","",IFERROR(INDEX(Enrichment!$A$2:$GZ$2000,MATCH($A763,INDEX(Enrichment!$A$2:$GZ$2000,0,MATCH("row_id",Enrichment!$A$1:$GZ$1,0)),0),MATCH("backup_work_email",Enrichment!$A$1:$GZ$1,0))&amp;"",""))</f>
        <v/>
      </c>
      <c r="BQ763" s="0" t="str">
        <f aca="false">IF($A763="","",IF(BP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DU763" s="0" t="str">
        <f aca="false">IF($A763="","",IF(R763="Y",10,0))</f>
        <v/>
      </c>
      <c r="EV763" s="0" t="str">
        <f aca="false">IF($A763="","",IF(ISNUMBER(MATCH(U763,{"queued","contacted","replied","call_booked","call_done","yes_in_principle","materials_sent"},0)),"Y","N"))</f>
        <v/>
      </c>
      <c r="EW763" s="0" t="str">
        <f aca="false">IF($A763="","",IF(OR(T763="Y",U763="do_not_contact",AQ763&amp;""&lt;&gt;""),"Y","N"))</f>
        <v/>
      </c>
      <c r="EX763" s="0" t="str">
        <f aca="false">IF($A763="","",IF(AN763&amp;""&lt;&gt;"",AN763&amp;"",$A763))</f>
        <v/>
      </c>
      <c r="EY763" s="0" t="str">
        <f aca="false">IF($A763="","",IF(COUNTIFS($EX$2:$EX$1000,EX763,$EV$2:$EV$1000,"Y")+COUNTIFS($EX$2:$EX$1000,EX763,$EW$2:$EW$1000,"Y")&gt;0,"Y","N"))</f>
        <v/>
      </c>
      <c r="EZ763" s="0" t="str">
        <f aca="false">IF($A763="","",IF(AND(U763="new",T763="N",EW763="N",AR763="Y",EY763="N"),"Y","N"))</f>
        <v/>
      </c>
      <c r="FA763" s="0" t="str">
        <f aca="false">IF($A763="","",IF(EZ763&lt;&gt;"Y","N",IF(COUNTIFS($EX$2:$EX$1000,EX763,$EZ$2:$EZ$1000,"Y",$J$2:$J$1000,"&gt;"&amp;J763)+COUNTIFS($EX$2:$EX$1000,EX763,$EZ$2:$EZ$1000,"Y",$J$2:$J$1000,J763,$FG$2:$FG$1000,"&lt;"&amp;FG763)=0,"Y","N")))</f>
        <v/>
      </c>
      <c r="FB763" s="0" t="str">
        <f aca="false">IF($A763="","",IF(AND(EZ763="Y",FA763="Y",Y763&amp;""&lt;&gt;""),IF(Y763&lt;=10,"Y","N"),"N"))</f>
        <v/>
      </c>
      <c r="FC763" s="0" t="str">
        <f aca="false">IF(FB763="Y",Y763,"")</f>
        <v/>
      </c>
      <c r="FD763" s="0" t="str">
        <f aca="false">IF($A763="","",IF(AND(CK763="pass",AU763="Y",AV763&lt;&gt;"Y",U763="new",EW763="N"),"Y","N"))</f>
        <v/>
      </c>
      <c r="FE763" s="0" t="str">
        <f aca="false">IF(FD763&lt;&gt;"Y","",IF(COUNTIFS($FD$2:$FD$1000,"Y",$J$2:$J$1000,"&gt;"&amp;J763)+COUNTIFS($FD$2:$FD$1000,"Y",$J$2:$J$1000,J763,$FG$2:$FG$1000,"&lt;"&amp;FG763)+1&lt;=30,COUNTIFS($FD$2:$FD$1000,"Y",$J$2:$J$1000,"&gt;"&amp;J763)+COUNTIFS($FD$2:$FD$1000,"Y",$J$2:$J$1000,J763,$FG$2:$FG$1000,"&lt;"&amp;FG763)+1,""))</f>
        <v/>
      </c>
      <c r="FF763" s="0" t="str">
        <f aca="false">IF(AND(_xlfn.ISFORMULA(C763),_xlfn.ISFORMULA(J763)),"Y","N")</f>
        <v>Y</v>
      </c>
      <c r="FG763" s="0" t="n">
        <f aca="false">ROW()-1</f>
        <v>762</v>
      </c>
    </row>
    <row r="764" customFormat="false" ht="15" hidden="false" customHeight="false" outlineLevel="0" collapsed="false">
      <c r="C764" s="0" t="str">
        <f aca="false">IF($A764="","",IF(AT764="Y",BL764&amp;"",AY764&amp;""))</f>
        <v/>
      </c>
      <c r="D764" s="0" t="str">
        <f aca="false">IF($A764="","",IF(AT764="Y",BM764&amp;"",AZ764&amp;""))</f>
        <v/>
      </c>
      <c r="E764" s="0" t="str">
        <f aca="false">IF($A764="","",IF(AT764="Y",BN764&amp;"",BA764&amp;""))</f>
        <v/>
      </c>
      <c r="F764" s="0" t="str">
        <f aca="false">IF($A764="","",IF(AT764="Y",BO764&amp;"",BB764&amp;""))</f>
        <v/>
      </c>
      <c r="G764" s="0" t="str">
        <f aca="false">IF($A764="","",IF(AT764="Y",BP764&amp;"",BC764&amp;""))</f>
        <v/>
      </c>
      <c r="H764" s="0" t="str">
        <f aca="false">IF($A764="","",IF(AT764="Y",BQ764&amp;"",BD764&amp;""))</f>
        <v/>
      </c>
      <c r="I764" s="0" t="str">
        <f aca="false">IF($A764="","",IF(R764="Y","warm-intro",IF(H764="verified","email",IF(C764&lt;&gt;"","linkedin",CA764&amp;""))))</f>
        <v/>
      </c>
      <c r="J764" s="0" t="str">
        <f aca="false">IF($A764="","",IF(CK764="pass",ROUND(N(DO764)+N(DP764)+N(DQ764)+N(DR764)+N(DS764)+N(DT764)+N(DU764)+N(DV764),0),0))</f>
        <v/>
      </c>
      <c r="K764" s="0" t="str">
        <f aca="false">IF($A764="","",IF(CK764&lt;&gt;"pass",BY764&amp;"",BY764&amp;", "&amp;IF(AT764="Y",BX764&amp;"",BK764&amp;"")&amp;BZ764&amp;IF(R764="Y","; known to the founder (+10)","")&amp;"."))</f>
        <v/>
      </c>
      <c r="R764" s="5"/>
      <c r="T764" s="5"/>
      <c r="U764" s="5"/>
      <c r="Y764" s="0" t="str">
        <f aca="false">IF(FA764&lt;&gt;"Y","",COUNTIFS($FA$2:$FA$1000,"Y",$J$2:$J$1000,"&gt;"&amp;J764)+COUNTIFS($FA$2:$FA$1000,"Y",$J$2:$J$1000,J764,$FG$2:$FG$1000,"&lt;"&amp;FG764)+1)</f>
        <v/>
      </c>
      <c r="AB764" s="0" t="str">
        <f aca="false">IF($A764="","",IF(AT764="Y",BW764&amp;"",BJ764&amp;""))</f>
        <v/>
      </c>
      <c r="AC764" s="0" t="str">
        <f aca="false">IF($A764="","",IF(AT764="Y",BR764&amp;"",BE764&amp;""))</f>
        <v/>
      </c>
      <c r="AD764" s="0" t="str">
        <f aca="false">IF($A764="","",IF(AT764="Y",BS764&amp;"",BF764&amp;""))</f>
        <v/>
      </c>
      <c r="AE764" s="0" t="str">
        <f aca="false">IF($A764="","",IF(AT764="Y",BT764&amp;"",BG764&amp;""))</f>
        <v/>
      </c>
      <c r="AF764" s="0" t="str">
        <f aca="false">IF($A764="","",IF(AT764="Y",BU764&amp;"",BH764&amp;""))</f>
        <v/>
      </c>
      <c r="AG764" s="0" t="str">
        <f aca="false">IF($A764="","",IF(AT764="Y",BV764&amp;"",BI764&amp;""))</f>
        <v/>
      </c>
      <c r="AO764" s="5"/>
      <c r="AR764" s="0" t="str">
        <f aca="false">IF($A764="","",IF(AND(CK764="pass",AO764&lt;&gt;"Y",C764&lt;&gt;"",OR(AU764&lt;&gt;"Y",AV764="Y")),"Y","N"))</f>
        <v/>
      </c>
      <c r="AS764" s="0" t="str">
        <f aca="false">IF($A764="","",_xlfn.TEXTJOIN("; ",TRUE(),IF(CK764&lt;&gt;"pass","gated out",""),IF(AO764="Y","on hold: "&amp;AP764,""),IF(C764="","no contact named on an opened page",""),IF(AND(AU764="Y",AV764&lt;&gt;"Y"),"founder review pending (Founder review tab)","")))</f>
        <v/>
      </c>
      <c r="BC764" s="0" t="str">
        <f aca="false">IF($A764="","",IFERROR(INDEX(Enrichment!$A$2:$GZ$2000,MATCH($A764,INDEX(Enrichment!$A$2:$GZ$2000,0,MATCH("row_id",Enrichment!$A$1:$GZ$1,0)),0),MATCH("work_email",Enrichment!$A$1:$GZ$1,0))&amp;"",""))</f>
        <v/>
      </c>
      <c r="BD764" s="0" t="str">
        <f aca="false">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P764" s="0" t="str">
        <f aca="false">IF($A764="","",IFERROR(INDEX(Enrichment!$A$2:$GZ$2000,MATCH($A764,INDEX(Enrichment!$A$2:$GZ$2000,0,MATCH("row_id",Enrichment!$A$1:$GZ$1,0)),0),MATCH("backup_work_email",Enrichment!$A$1:$GZ$1,0))&amp;"",""))</f>
        <v/>
      </c>
      <c r="BQ764" s="0" t="str">
        <f aca="false">IF($A764="","",IF(BP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DU764" s="0" t="str">
        <f aca="false">IF($A764="","",IF(R764="Y",10,0))</f>
        <v/>
      </c>
      <c r="EV764" s="0" t="str">
        <f aca="false">IF($A764="","",IF(ISNUMBER(MATCH(U764,{"queued","contacted","replied","call_booked","call_done","yes_in_principle","materials_sent"},0)),"Y","N"))</f>
        <v/>
      </c>
      <c r="EW764" s="0" t="str">
        <f aca="false">IF($A764="","",IF(OR(T764="Y",U764="do_not_contact",AQ764&amp;""&lt;&gt;""),"Y","N"))</f>
        <v/>
      </c>
      <c r="EX764" s="0" t="str">
        <f aca="false">IF($A764="","",IF(AN764&amp;""&lt;&gt;"",AN764&amp;"",$A764))</f>
        <v/>
      </c>
      <c r="EY764" s="0" t="str">
        <f aca="false">IF($A764="","",IF(COUNTIFS($EX$2:$EX$1000,EX764,$EV$2:$EV$1000,"Y")+COUNTIFS($EX$2:$EX$1000,EX764,$EW$2:$EW$1000,"Y")&gt;0,"Y","N"))</f>
        <v/>
      </c>
      <c r="EZ764" s="0" t="str">
        <f aca="false">IF($A764="","",IF(AND(U764="new",T764="N",EW764="N",AR764="Y",EY764="N"),"Y","N"))</f>
        <v/>
      </c>
      <c r="FA764" s="0" t="str">
        <f aca="false">IF($A764="","",IF(EZ764&lt;&gt;"Y","N",IF(COUNTIFS($EX$2:$EX$1000,EX764,$EZ$2:$EZ$1000,"Y",$J$2:$J$1000,"&gt;"&amp;J764)+COUNTIFS($EX$2:$EX$1000,EX764,$EZ$2:$EZ$1000,"Y",$J$2:$J$1000,J764,$FG$2:$FG$1000,"&lt;"&amp;FG764)=0,"Y","N")))</f>
        <v/>
      </c>
      <c r="FB764" s="0" t="str">
        <f aca="false">IF($A764="","",IF(AND(EZ764="Y",FA764="Y",Y764&amp;""&lt;&gt;""),IF(Y764&lt;=10,"Y","N"),"N"))</f>
        <v/>
      </c>
      <c r="FC764" s="0" t="str">
        <f aca="false">IF(FB764="Y",Y764,"")</f>
        <v/>
      </c>
      <c r="FD764" s="0" t="str">
        <f aca="false">IF($A764="","",IF(AND(CK764="pass",AU764="Y",AV764&lt;&gt;"Y",U764="new",EW764="N"),"Y","N"))</f>
        <v/>
      </c>
      <c r="FE764" s="0" t="str">
        <f aca="false">IF(FD764&lt;&gt;"Y","",IF(COUNTIFS($FD$2:$FD$1000,"Y",$J$2:$J$1000,"&gt;"&amp;J764)+COUNTIFS($FD$2:$FD$1000,"Y",$J$2:$J$1000,J764,$FG$2:$FG$1000,"&lt;"&amp;FG764)+1&lt;=30,COUNTIFS($FD$2:$FD$1000,"Y",$J$2:$J$1000,"&gt;"&amp;J764)+COUNTIFS($FD$2:$FD$1000,"Y",$J$2:$J$1000,J764,$FG$2:$FG$1000,"&lt;"&amp;FG764)+1,""))</f>
        <v/>
      </c>
      <c r="FF764" s="0" t="str">
        <f aca="false">IF(AND(_xlfn.ISFORMULA(C764),_xlfn.ISFORMULA(J764)),"Y","N")</f>
        <v>Y</v>
      </c>
      <c r="FG764" s="0" t="n">
        <f aca="false">ROW()-1</f>
        <v>763</v>
      </c>
    </row>
    <row r="765" customFormat="false" ht="15" hidden="false" customHeight="false" outlineLevel="0" collapsed="false">
      <c r="C765" s="0" t="str">
        <f aca="false">IF($A765="","",IF(AT765="Y",BL765&amp;"",AY765&amp;""))</f>
        <v/>
      </c>
      <c r="D765" s="0" t="str">
        <f aca="false">IF($A765="","",IF(AT765="Y",BM765&amp;"",AZ765&amp;""))</f>
        <v/>
      </c>
      <c r="E765" s="0" t="str">
        <f aca="false">IF($A765="","",IF(AT765="Y",BN765&amp;"",BA765&amp;""))</f>
        <v/>
      </c>
      <c r="F765" s="0" t="str">
        <f aca="false">IF($A765="","",IF(AT765="Y",BO765&amp;"",BB765&amp;""))</f>
        <v/>
      </c>
      <c r="G765" s="0" t="str">
        <f aca="false">IF($A765="","",IF(AT765="Y",BP765&amp;"",BC765&amp;""))</f>
        <v/>
      </c>
      <c r="H765" s="0" t="str">
        <f aca="false">IF($A765="","",IF(AT765="Y",BQ765&amp;"",BD765&amp;""))</f>
        <v/>
      </c>
      <c r="I765" s="0" t="str">
        <f aca="false">IF($A765="","",IF(R765="Y","warm-intro",IF(H765="verified","email",IF(C765&lt;&gt;"","linkedin",CA765&amp;""))))</f>
        <v/>
      </c>
      <c r="J765" s="0" t="str">
        <f aca="false">IF($A765="","",IF(CK765="pass",ROUND(N(DO765)+N(DP765)+N(DQ765)+N(DR765)+N(DS765)+N(DT765)+N(DU765)+N(DV765),0),0))</f>
        <v/>
      </c>
      <c r="K765" s="0" t="str">
        <f aca="false">IF($A765="","",IF(CK765&lt;&gt;"pass",BY765&amp;"",BY765&amp;", "&amp;IF(AT765="Y",BX765&amp;"",BK765&amp;"")&amp;BZ765&amp;IF(R765="Y","; known to the founder (+10)","")&amp;"."))</f>
        <v/>
      </c>
      <c r="R765" s="5"/>
      <c r="T765" s="5"/>
      <c r="U765" s="5"/>
      <c r="Y765" s="0" t="str">
        <f aca="false">IF(FA765&lt;&gt;"Y","",COUNTIFS($FA$2:$FA$1000,"Y",$J$2:$J$1000,"&gt;"&amp;J765)+COUNTIFS($FA$2:$FA$1000,"Y",$J$2:$J$1000,J765,$FG$2:$FG$1000,"&lt;"&amp;FG765)+1)</f>
        <v/>
      </c>
      <c r="AB765" s="0" t="str">
        <f aca="false">IF($A765="","",IF(AT765="Y",BW765&amp;"",BJ765&amp;""))</f>
        <v/>
      </c>
      <c r="AC765" s="0" t="str">
        <f aca="false">IF($A765="","",IF(AT765="Y",BR765&amp;"",BE765&amp;""))</f>
        <v/>
      </c>
      <c r="AD765" s="0" t="str">
        <f aca="false">IF($A765="","",IF(AT765="Y",BS765&amp;"",BF765&amp;""))</f>
        <v/>
      </c>
      <c r="AE765" s="0" t="str">
        <f aca="false">IF($A765="","",IF(AT765="Y",BT765&amp;"",BG765&amp;""))</f>
        <v/>
      </c>
      <c r="AF765" s="0" t="str">
        <f aca="false">IF($A765="","",IF(AT765="Y",BU765&amp;"",BH765&amp;""))</f>
        <v/>
      </c>
      <c r="AG765" s="0" t="str">
        <f aca="false">IF($A765="","",IF(AT765="Y",BV765&amp;"",BI765&amp;""))</f>
        <v/>
      </c>
      <c r="AO765" s="5"/>
      <c r="AR765" s="0" t="str">
        <f aca="false">IF($A765="","",IF(AND(CK765="pass",AO765&lt;&gt;"Y",C765&lt;&gt;"",OR(AU765&lt;&gt;"Y",AV765="Y")),"Y","N"))</f>
        <v/>
      </c>
      <c r="AS765" s="0" t="str">
        <f aca="false">IF($A765="","",_xlfn.TEXTJOIN("; ",TRUE(),IF(CK765&lt;&gt;"pass","gated out",""),IF(AO765="Y","on hold: "&amp;AP765,""),IF(C765="","no contact named on an opened page",""),IF(AND(AU765="Y",AV765&lt;&gt;"Y"),"founder review pending (Founder review tab)","")))</f>
        <v/>
      </c>
      <c r="BC765" s="0" t="str">
        <f aca="false">IF($A765="","",IFERROR(INDEX(Enrichment!$A$2:$GZ$2000,MATCH($A765,INDEX(Enrichment!$A$2:$GZ$2000,0,MATCH("row_id",Enrichment!$A$1:$GZ$1,0)),0),MATCH("work_email",Enrichment!$A$1:$GZ$1,0))&amp;"",""))</f>
        <v/>
      </c>
      <c r="BD765" s="0" t="str">
        <f aca="false">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P765" s="0" t="str">
        <f aca="false">IF($A765="","",IFERROR(INDEX(Enrichment!$A$2:$GZ$2000,MATCH($A765,INDEX(Enrichment!$A$2:$GZ$2000,0,MATCH("row_id",Enrichment!$A$1:$GZ$1,0)),0),MATCH("backup_work_email",Enrichment!$A$1:$GZ$1,0))&amp;"",""))</f>
        <v/>
      </c>
      <c r="BQ765" s="0" t="str">
        <f aca="false">IF($A765="","",IF(BP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DU765" s="0" t="str">
        <f aca="false">IF($A765="","",IF(R765="Y",10,0))</f>
        <v/>
      </c>
      <c r="EV765" s="0" t="str">
        <f aca="false">IF($A765="","",IF(ISNUMBER(MATCH(U765,{"queued","contacted","replied","call_booked","call_done","yes_in_principle","materials_sent"},0)),"Y","N"))</f>
        <v/>
      </c>
      <c r="EW765" s="0" t="str">
        <f aca="false">IF($A765="","",IF(OR(T765="Y",U765="do_not_contact",AQ765&amp;""&lt;&gt;""),"Y","N"))</f>
        <v/>
      </c>
      <c r="EX765" s="0" t="str">
        <f aca="false">IF($A765="","",IF(AN765&amp;""&lt;&gt;"",AN765&amp;"",$A765))</f>
        <v/>
      </c>
      <c r="EY765" s="0" t="str">
        <f aca="false">IF($A765="","",IF(COUNTIFS($EX$2:$EX$1000,EX765,$EV$2:$EV$1000,"Y")+COUNTIFS($EX$2:$EX$1000,EX765,$EW$2:$EW$1000,"Y")&gt;0,"Y","N"))</f>
        <v/>
      </c>
      <c r="EZ765" s="0" t="str">
        <f aca="false">IF($A765="","",IF(AND(U765="new",T765="N",EW765="N",AR765="Y",EY765="N"),"Y","N"))</f>
        <v/>
      </c>
      <c r="FA765" s="0" t="str">
        <f aca="false">IF($A765="","",IF(EZ765&lt;&gt;"Y","N",IF(COUNTIFS($EX$2:$EX$1000,EX765,$EZ$2:$EZ$1000,"Y",$J$2:$J$1000,"&gt;"&amp;J765)+COUNTIFS($EX$2:$EX$1000,EX765,$EZ$2:$EZ$1000,"Y",$J$2:$J$1000,J765,$FG$2:$FG$1000,"&lt;"&amp;FG765)=0,"Y","N")))</f>
        <v/>
      </c>
      <c r="FB765" s="0" t="str">
        <f aca="false">IF($A765="","",IF(AND(EZ765="Y",FA765="Y",Y765&amp;""&lt;&gt;""),IF(Y765&lt;=10,"Y","N"),"N"))</f>
        <v/>
      </c>
      <c r="FC765" s="0" t="str">
        <f aca="false">IF(FB765="Y",Y765,"")</f>
        <v/>
      </c>
      <c r="FD765" s="0" t="str">
        <f aca="false">IF($A765="","",IF(AND(CK765="pass",AU765="Y",AV765&lt;&gt;"Y",U765="new",EW765="N"),"Y","N"))</f>
        <v/>
      </c>
      <c r="FE765" s="0" t="str">
        <f aca="false">IF(FD765&lt;&gt;"Y","",IF(COUNTIFS($FD$2:$FD$1000,"Y",$J$2:$J$1000,"&gt;"&amp;J765)+COUNTIFS($FD$2:$FD$1000,"Y",$J$2:$J$1000,J765,$FG$2:$FG$1000,"&lt;"&amp;FG765)+1&lt;=30,COUNTIFS($FD$2:$FD$1000,"Y",$J$2:$J$1000,"&gt;"&amp;J765)+COUNTIFS($FD$2:$FD$1000,"Y",$J$2:$J$1000,J765,$FG$2:$FG$1000,"&lt;"&amp;FG765)+1,""))</f>
        <v/>
      </c>
      <c r="FF765" s="0" t="str">
        <f aca="false">IF(AND(_xlfn.ISFORMULA(C765),_xlfn.ISFORMULA(J765)),"Y","N")</f>
        <v>Y</v>
      </c>
      <c r="FG765" s="0" t="n">
        <f aca="false">ROW()-1</f>
        <v>764</v>
      </c>
    </row>
    <row r="766" customFormat="false" ht="15" hidden="false" customHeight="false" outlineLevel="0" collapsed="false">
      <c r="C766" s="0" t="str">
        <f aca="false">IF($A766="","",IF(AT766="Y",BL766&amp;"",AY766&amp;""))</f>
        <v/>
      </c>
      <c r="D766" s="0" t="str">
        <f aca="false">IF($A766="","",IF(AT766="Y",BM766&amp;"",AZ766&amp;""))</f>
        <v/>
      </c>
      <c r="E766" s="0" t="str">
        <f aca="false">IF($A766="","",IF(AT766="Y",BN766&amp;"",BA766&amp;""))</f>
        <v/>
      </c>
      <c r="F766" s="0" t="str">
        <f aca="false">IF($A766="","",IF(AT766="Y",BO766&amp;"",BB766&amp;""))</f>
        <v/>
      </c>
      <c r="G766" s="0" t="str">
        <f aca="false">IF($A766="","",IF(AT766="Y",BP766&amp;"",BC766&amp;""))</f>
        <v/>
      </c>
      <c r="H766" s="0" t="str">
        <f aca="false">IF($A766="","",IF(AT766="Y",BQ766&amp;"",BD766&amp;""))</f>
        <v/>
      </c>
      <c r="I766" s="0" t="str">
        <f aca="false">IF($A766="","",IF(R766="Y","warm-intro",IF(H766="verified","email",IF(C766&lt;&gt;"","linkedin",CA766&amp;""))))</f>
        <v/>
      </c>
      <c r="J766" s="0" t="str">
        <f aca="false">IF($A766="","",IF(CK766="pass",ROUND(N(DO766)+N(DP766)+N(DQ766)+N(DR766)+N(DS766)+N(DT766)+N(DU766)+N(DV766),0),0))</f>
        <v/>
      </c>
      <c r="K766" s="0" t="str">
        <f aca="false">IF($A766="","",IF(CK766&lt;&gt;"pass",BY766&amp;"",BY766&amp;", "&amp;IF(AT766="Y",BX766&amp;"",BK766&amp;"")&amp;BZ766&amp;IF(R766="Y","; known to the founder (+10)","")&amp;"."))</f>
        <v/>
      </c>
      <c r="R766" s="5"/>
      <c r="T766" s="5"/>
      <c r="U766" s="5"/>
      <c r="Y766" s="0" t="str">
        <f aca="false">IF(FA766&lt;&gt;"Y","",COUNTIFS($FA$2:$FA$1000,"Y",$J$2:$J$1000,"&gt;"&amp;J766)+COUNTIFS($FA$2:$FA$1000,"Y",$J$2:$J$1000,J766,$FG$2:$FG$1000,"&lt;"&amp;FG766)+1)</f>
        <v/>
      </c>
      <c r="AB766" s="0" t="str">
        <f aca="false">IF($A766="","",IF(AT766="Y",BW766&amp;"",BJ766&amp;""))</f>
        <v/>
      </c>
      <c r="AC766" s="0" t="str">
        <f aca="false">IF($A766="","",IF(AT766="Y",BR766&amp;"",BE766&amp;""))</f>
        <v/>
      </c>
      <c r="AD766" s="0" t="str">
        <f aca="false">IF($A766="","",IF(AT766="Y",BS766&amp;"",BF766&amp;""))</f>
        <v/>
      </c>
      <c r="AE766" s="0" t="str">
        <f aca="false">IF($A766="","",IF(AT766="Y",BT766&amp;"",BG766&amp;""))</f>
        <v/>
      </c>
      <c r="AF766" s="0" t="str">
        <f aca="false">IF($A766="","",IF(AT766="Y",BU766&amp;"",BH766&amp;""))</f>
        <v/>
      </c>
      <c r="AG766" s="0" t="str">
        <f aca="false">IF($A766="","",IF(AT766="Y",BV766&amp;"",BI766&amp;""))</f>
        <v/>
      </c>
      <c r="AO766" s="5"/>
      <c r="AR766" s="0" t="str">
        <f aca="false">IF($A766="","",IF(AND(CK766="pass",AO766&lt;&gt;"Y",C766&lt;&gt;"",OR(AU766&lt;&gt;"Y",AV766="Y")),"Y","N"))</f>
        <v/>
      </c>
      <c r="AS766" s="0" t="str">
        <f aca="false">IF($A766="","",_xlfn.TEXTJOIN("; ",TRUE(),IF(CK766&lt;&gt;"pass","gated out",""),IF(AO766="Y","on hold: "&amp;AP766,""),IF(C766="","no contact named on an opened page",""),IF(AND(AU766="Y",AV766&lt;&gt;"Y"),"founder review pending (Founder review tab)","")))</f>
        <v/>
      </c>
      <c r="BC766" s="0" t="str">
        <f aca="false">IF($A766="","",IFERROR(INDEX(Enrichment!$A$2:$GZ$2000,MATCH($A766,INDEX(Enrichment!$A$2:$GZ$2000,0,MATCH("row_id",Enrichment!$A$1:$GZ$1,0)),0),MATCH("work_email",Enrichment!$A$1:$GZ$1,0))&amp;"",""))</f>
        <v/>
      </c>
      <c r="BD766" s="0" t="str">
        <f aca="false">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P766" s="0" t="str">
        <f aca="false">IF($A766="","",IFERROR(INDEX(Enrichment!$A$2:$GZ$2000,MATCH($A766,INDEX(Enrichment!$A$2:$GZ$2000,0,MATCH("row_id",Enrichment!$A$1:$GZ$1,0)),0),MATCH("backup_work_email",Enrichment!$A$1:$GZ$1,0))&amp;"",""))</f>
        <v/>
      </c>
      <c r="BQ766" s="0" t="str">
        <f aca="false">IF($A766="","",IF(BP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DU766" s="0" t="str">
        <f aca="false">IF($A766="","",IF(R766="Y",10,0))</f>
        <v/>
      </c>
      <c r="EV766" s="0" t="str">
        <f aca="false">IF($A766="","",IF(ISNUMBER(MATCH(U766,{"queued","contacted","replied","call_booked","call_done","yes_in_principle","materials_sent"},0)),"Y","N"))</f>
        <v/>
      </c>
      <c r="EW766" s="0" t="str">
        <f aca="false">IF($A766="","",IF(OR(T766="Y",U766="do_not_contact",AQ766&amp;""&lt;&gt;""),"Y","N"))</f>
        <v/>
      </c>
      <c r="EX766" s="0" t="str">
        <f aca="false">IF($A766="","",IF(AN766&amp;""&lt;&gt;"",AN766&amp;"",$A766))</f>
        <v/>
      </c>
      <c r="EY766" s="0" t="str">
        <f aca="false">IF($A766="","",IF(COUNTIFS($EX$2:$EX$1000,EX766,$EV$2:$EV$1000,"Y")+COUNTIFS($EX$2:$EX$1000,EX766,$EW$2:$EW$1000,"Y")&gt;0,"Y","N"))</f>
        <v/>
      </c>
      <c r="EZ766" s="0" t="str">
        <f aca="false">IF($A766="","",IF(AND(U766="new",T766="N",EW766="N",AR766="Y",EY766="N"),"Y","N"))</f>
        <v/>
      </c>
      <c r="FA766" s="0" t="str">
        <f aca="false">IF($A766="","",IF(EZ766&lt;&gt;"Y","N",IF(COUNTIFS($EX$2:$EX$1000,EX766,$EZ$2:$EZ$1000,"Y",$J$2:$J$1000,"&gt;"&amp;J766)+COUNTIFS($EX$2:$EX$1000,EX766,$EZ$2:$EZ$1000,"Y",$J$2:$J$1000,J766,$FG$2:$FG$1000,"&lt;"&amp;FG766)=0,"Y","N")))</f>
        <v/>
      </c>
      <c r="FB766" s="0" t="str">
        <f aca="false">IF($A766="","",IF(AND(EZ766="Y",FA766="Y",Y766&amp;""&lt;&gt;""),IF(Y766&lt;=10,"Y","N"),"N"))</f>
        <v/>
      </c>
      <c r="FC766" s="0" t="str">
        <f aca="false">IF(FB766="Y",Y766,"")</f>
        <v/>
      </c>
      <c r="FD766" s="0" t="str">
        <f aca="false">IF($A766="","",IF(AND(CK766="pass",AU766="Y",AV766&lt;&gt;"Y",U766="new",EW766="N"),"Y","N"))</f>
        <v/>
      </c>
      <c r="FE766" s="0" t="str">
        <f aca="false">IF(FD766&lt;&gt;"Y","",IF(COUNTIFS($FD$2:$FD$1000,"Y",$J$2:$J$1000,"&gt;"&amp;J766)+COUNTIFS($FD$2:$FD$1000,"Y",$J$2:$J$1000,J766,$FG$2:$FG$1000,"&lt;"&amp;FG766)+1&lt;=30,COUNTIFS($FD$2:$FD$1000,"Y",$J$2:$J$1000,"&gt;"&amp;J766)+COUNTIFS($FD$2:$FD$1000,"Y",$J$2:$J$1000,J766,$FG$2:$FG$1000,"&lt;"&amp;FG766)+1,""))</f>
        <v/>
      </c>
      <c r="FF766" s="0" t="str">
        <f aca="false">IF(AND(_xlfn.ISFORMULA(C766),_xlfn.ISFORMULA(J766)),"Y","N")</f>
        <v>Y</v>
      </c>
      <c r="FG766" s="0" t="n">
        <f aca="false">ROW()-1</f>
        <v>765</v>
      </c>
    </row>
    <row r="767" customFormat="false" ht="15" hidden="false" customHeight="false" outlineLevel="0" collapsed="false">
      <c r="C767" s="0" t="str">
        <f aca="false">IF($A767="","",IF(AT767="Y",BL767&amp;"",AY767&amp;""))</f>
        <v/>
      </c>
      <c r="D767" s="0" t="str">
        <f aca="false">IF($A767="","",IF(AT767="Y",BM767&amp;"",AZ767&amp;""))</f>
        <v/>
      </c>
      <c r="E767" s="0" t="str">
        <f aca="false">IF($A767="","",IF(AT767="Y",BN767&amp;"",BA767&amp;""))</f>
        <v/>
      </c>
      <c r="F767" s="0" t="str">
        <f aca="false">IF($A767="","",IF(AT767="Y",BO767&amp;"",BB767&amp;""))</f>
        <v/>
      </c>
      <c r="G767" s="0" t="str">
        <f aca="false">IF($A767="","",IF(AT767="Y",BP767&amp;"",BC767&amp;""))</f>
        <v/>
      </c>
      <c r="H767" s="0" t="str">
        <f aca="false">IF($A767="","",IF(AT767="Y",BQ767&amp;"",BD767&amp;""))</f>
        <v/>
      </c>
      <c r="I767" s="0" t="str">
        <f aca="false">IF($A767="","",IF(R767="Y","warm-intro",IF(H767="verified","email",IF(C767&lt;&gt;"","linkedin",CA767&amp;""))))</f>
        <v/>
      </c>
      <c r="J767" s="0" t="str">
        <f aca="false">IF($A767="","",IF(CK767="pass",ROUND(N(DO767)+N(DP767)+N(DQ767)+N(DR767)+N(DS767)+N(DT767)+N(DU767)+N(DV767),0),0))</f>
        <v/>
      </c>
      <c r="K767" s="0" t="str">
        <f aca="false">IF($A767="","",IF(CK767&lt;&gt;"pass",BY767&amp;"",BY767&amp;", "&amp;IF(AT767="Y",BX767&amp;"",BK767&amp;"")&amp;BZ767&amp;IF(R767="Y","; known to the founder (+10)","")&amp;"."))</f>
        <v/>
      </c>
      <c r="R767" s="5"/>
      <c r="T767" s="5"/>
      <c r="U767" s="5"/>
      <c r="Y767" s="0" t="str">
        <f aca="false">IF(FA767&lt;&gt;"Y","",COUNTIFS($FA$2:$FA$1000,"Y",$J$2:$J$1000,"&gt;"&amp;J767)+COUNTIFS($FA$2:$FA$1000,"Y",$J$2:$J$1000,J767,$FG$2:$FG$1000,"&lt;"&amp;FG767)+1)</f>
        <v/>
      </c>
      <c r="AB767" s="0" t="str">
        <f aca="false">IF($A767="","",IF(AT767="Y",BW767&amp;"",BJ767&amp;""))</f>
        <v/>
      </c>
      <c r="AC767" s="0" t="str">
        <f aca="false">IF($A767="","",IF(AT767="Y",BR767&amp;"",BE767&amp;""))</f>
        <v/>
      </c>
      <c r="AD767" s="0" t="str">
        <f aca="false">IF($A767="","",IF(AT767="Y",BS767&amp;"",BF767&amp;""))</f>
        <v/>
      </c>
      <c r="AE767" s="0" t="str">
        <f aca="false">IF($A767="","",IF(AT767="Y",BT767&amp;"",BG767&amp;""))</f>
        <v/>
      </c>
      <c r="AF767" s="0" t="str">
        <f aca="false">IF($A767="","",IF(AT767="Y",BU767&amp;"",BH767&amp;""))</f>
        <v/>
      </c>
      <c r="AG767" s="0" t="str">
        <f aca="false">IF($A767="","",IF(AT767="Y",BV767&amp;"",BI767&amp;""))</f>
        <v/>
      </c>
      <c r="AO767" s="5"/>
      <c r="AR767" s="0" t="str">
        <f aca="false">IF($A767="","",IF(AND(CK767="pass",AO767&lt;&gt;"Y",C767&lt;&gt;"",OR(AU767&lt;&gt;"Y",AV767="Y")),"Y","N"))</f>
        <v/>
      </c>
      <c r="AS767" s="0" t="str">
        <f aca="false">IF($A767="","",_xlfn.TEXTJOIN("; ",TRUE(),IF(CK767&lt;&gt;"pass","gated out",""),IF(AO767="Y","on hold: "&amp;AP767,""),IF(C767="","no contact named on an opened page",""),IF(AND(AU767="Y",AV767&lt;&gt;"Y"),"founder review pending (Founder review tab)","")))</f>
        <v/>
      </c>
      <c r="BC767" s="0" t="str">
        <f aca="false">IF($A767="","",IFERROR(INDEX(Enrichment!$A$2:$GZ$2000,MATCH($A767,INDEX(Enrichment!$A$2:$GZ$2000,0,MATCH("row_id",Enrichment!$A$1:$GZ$1,0)),0),MATCH("work_email",Enrichment!$A$1:$GZ$1,0))&amp;"",""))</f>
        <v/>
      </c>
      <c r="BD767" s="0" t="str">
        <f aca="false">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P767" s="0" t="str">
        <f aca="false">IF($A767="","",IFERROR(INDEX(Enrichment!$A$2:$GZ$2000,MATCH($A767,INDEX(Enrichment!$A$2:$GZ$2000,0,MATCH("row_id",Enrichment!$A$1:$GZ$1,0)),0),MATCH("backup_work_email",Enrichment!$A$1:$GZ$1,0))&amp;"",""))</f>
        <v/>
      </c>
      <c r="BQ767" s="0" t="str">
        <f aca="false">IF($A767="","",IF(BP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DU767" s="0" t="str">
        <f aca="false">IF($A767="","",IF(R767="Y",10,0))</f>
        <v/>
      </c>
      <c r="EV767" s="0" t="str">
        <f aca="false">IF($A767="","",IF(ISNUMBER(MATCH(U767,{"queued","contacted","replied","call_booked","call_done","yes_in_principle","materials_sent"},0)),"Y","N"))</f>
        <v/>
      </c>
      <c r="EW767" s="0" t="str">
        <f aca="false">IF($A767="","",IF(OR(T767="Y",U767="do_not_contact",AQ767&amp;""&lt;&gt;""),"Y","N"))</f>
        <v/>
      </c>
      <c r="EX767" s="0" t="str">
        <f aca="false">IF($A767="","",IF(AN767&amp;""&lt;&gt;"",AN767&amp;"",$A767))</f>
        <v/>
      </c>
      <c r="EY767" s="0" t="str">
        <f aca="false">IF($A767="","",IF(COUNTIFS($EX$2:$EX$1000,EX767,$EV$2:$EV$1000,"Y")+COUNTIFS($EX$2:$EX$1000,EX767,$EW$2:$EW$1000,"Y")&gt;0,"Y","N"))</f>
        <v/>
      </c>
      <c r="EZ767" s="0" t="str">
        <f aca="false">IF($A767="","",IF(AND(U767="new",T767="N",EW767="N",AR767="Y",EY767="N"),"Y","N"))</f>
        <v/>
      </c>
      <c r="FA767" s="0" t="str">
        <f aca="false">IF($A767="","",IF(EZ767&lt;&gt;"Y","N",IF(COUNTIFS($EX$2:$EX$1000,EX767,$EZ$2:$EZ$1000,"Y",$J$2:$J$1000,"&gt;"&amp;J767)+COUNTIFS($EX$2:$EX$1000,EX767,$EZ$2:$EZ$1000,"Y",$J$2:$J$1000,J767,$FG$2:$FG$1000,"&lt;"&amp;FG767)=0,"Y","N")))</f>
        <v/>
      </c>
      <c r="FB767" s="0" t="str">
        <f aca="false">IF($A767="","",IF(AND(EZ767="Y",FA767="Y",Y767&amp;""&lt;&gt;""),IF(Y767&lt;=10,"Y","N"),"N"))</f>
        <v/>
      </c>
      <c r="FC767" s="0" t="str">
        <f aca="false">IF(FB767="Y",Y767,"")</f>
        <v/>
      </c>
      <c r="FD767" s="0" t="str">
        <f aca="false">IF($A767="","",IF(AND(CK767="pass",AU767="Y",AV767&lt;&gt;"Y",U767="new",EW767="N"),"Y","N"))</f>
        <v/>
      </c>
      <c r="FE767" s="0" t="str">
        <f aca="false">IF(FD767&lt;&gt;"Y","",IF(COUNTIFS($FD$2:$FD$1000,"Y",$J$2:$J$1000,"&gt;"&amp;J767)+COUNTIFS($FD$2:$FD$1000,"Y",$J$2:$J$1000,J767,$FG$2:$FG$1000,"&lt;"&amp;FG767)+1&lt;=30,COUNTIFS($FD$2:$FD$1000,"Y",$J$2:$J$1000,"&gt;"&amp;J767)+COUNTIFS($FD$2:$FD$1000,"Y",$J$2:$J$1000,J767,$FG$2:$FG$1000,"&lt;"&amp;FG767)+1,""))</f>
        <v/>
      </c>
      <c r="FF767" s="0" t="str">
        <f aca="false">IF(AND(_xlfn.ISFORMULA(C767),_xlfn.ISFORMULA(J767)),"Y","N")</f>
        <v>Y</v>
      </c>
      <c r="FG767" s="0" t="n">
        <f aca="false">ROW()-1</f>
        <v>766</v>
      </c>
    </row>
    <row r="768" customFormat="false" ht="15" hidden="false" customHeight="false" outlineLevel="0" collapsed="false">
      <c r="C768" s="0" t="str">
        <f aca="false">IF($A768="","",IF(AT768="Y",BL768&amp;"",AY768&amp;""))</f>
        <v/>
      </c>
      <c r="D768" s="0" t="str">
        <f aca="false">IF($A768="","",IF(AT768="Y",BM768&amp;"",AZ768&amp;""))</f>
        <v/>
      </c>
      <c r="E768" s="0" t="str">
        <f aca="false">IF($A768="","",IF(AT768="Y",BN768&amp;"",BA768&amp;""))</f>
        <v/>
      </c>
      <c r="F768" s="0" t="str">
        <f aca="false">IF($A768="","",IF(AT768="Y",BO768&amp;"",BB768&amp;""))</f>
        <v/>
      </c>
      <c r="G768" s="0" t="str">
        <f aca="false">IF($A768="","",IF(AT768="Y",BP768&amp;"",BC768&amp;""))</f>
        <v/>
      </c>
      <c r="H768" s="0" t="str">
        <f aca="false">IF($A768="","",IF(AT768="Y",BQ768&amp;"",BD768&amp;""))</f>
        <v/>
      </c>
      <c r="I768" s="0" t="str">
        <f aca="false">IF($A768="","",IF(R768="Y","warm-intro",IF(H768="verified","email",IF(C768&lt;&gt;"","linkedin",CA768&amp;""))))</f>
        <v/>
      </c>
      <c r="J768" s="0" t="str">
        <f aca="false">IF($A768="","",IF(CK768="pass",ROUND(N(DO768)+N(DP768)+N(DQ768)+N(DR768)+N(DS768)+N(DT768)+N(DU768)+N(DV768),0),0))</f>
        <v/>
      </c>
      <c r="K768" s="0" t="str">
        <f aca="false">IF($A768="","",IF(CK768&lt;&gt;"pass",BY768&amp;"",BY768&amp;", "&amp;IF(AT768="Y",BX768&amp;"",BK768&amp;"")&amp;BZ768&amp;IF(R768="Y","; known to the founder (+10)","")&amp;"."))</f>
        <v/>
      </c>
      <c r="R768" s="5"/>
      <c r="T768" s="5"/>
      <c r="U768" s="5"/>
      <c r="Y768" s="0" t="str">
        <f aca="false">IF(FA768&lt;&gt;"Y","",COUNTIFS($FA$2:$FA$1000,"Y",$J$2:$J$1000,"&gt;"&amp;J768)+COUNTIFS($FA$2:$FA$1000,"Y",$J$2:$J$1000,J768,$FG$2:$FG$1000,"&lt;"&amp;FG768)+1)</f>
        <v/>
      </c>
      <c r="AB768" s="0" t="str">
        <f aca="false">IF($A768="","",IF(AT768="Y",BW768&amp;"",BJ768&amp;""))</f>
        <v/>
      </c>
      <c r="AC768" s="0" t="str">
        <f aca="false">IF($A768="","",IF(AT768="Y",BR768&amp;"",BE768&amp;""))</f>
        <v/>
      </c>
      <c r="AD768" s="0" t="str">
        <f aca="false">IF($A768="","",IF(AT768="Y",BS768&amp;"",BF768&amp;""))</f>
        <v/>
      </c>
      <c r="AE768" s="0" t="str">
        <f aca="false">IF($A768="","",IF(AT768="Y",BT768&amp;"",BG768&amp;""))</f>
        <v/>
      </c>
      <c r="AF768" s="0" t="str">
        <f aca="false">IF($A768="","",IF(AT768="Y",BU768&amp;"",BH768&amp;""))</f>
        <v/>
      </c>
      <c r="AG768" s="0" t="str">
        <f aca="false">IF($A768="","",IF(AT768="Y",BV768&amp;"",BI768&amp;""))</f>
        <v/>
      </c>
      <c r="AO768" s="5"/>
      <c r="AR768" s="0" t="str">
        <f aca="false">IF($A768="","",IF(AND(CK768="pass",AO768&lt;&gt;"Y",C768&lt;&gt;"",OR(AU768&lt;&gt;"Y",AV768="Y")),"Y","N"))</f>
        <v/>
      </c>
      <c r="AS768" s="0" t="str">
        <f aca="false">IF($A768="","",_xlfn.TEXTJOIN("; ",TRUE(),IF(CK768&lt;&gt;"pass","gated out",""),IF(AO768="Y","on hold: "&amp;AP768,""),IF(C768="","no contact named on an opened page",""),IF(AND(AU768="Y",AV768&lt;&gt;"Y"),"founder review pending (Founder review tab)","")))</f>
        <v/>
      </c>
      <c r="BC768" s="0" t="str">
        <f aca="false">IF($A768="","",IFERROR(INDEX(Enrichment!$A$2:$GZ$2000,MATCH($A768,INDEX(Enrichment!$A$2:$GZ$2000,0,MATCH("row_id",Enrichment!$A$1:$GZ$1,0)),0),MATCH("work_email",Enrichment!$A$1:$GZ$1,0))&amp;"",""))</f>
        <v/>
      </c>
      <c r="BD768" s="0" t="str">
        <f aca="false">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P768" s="0" t="str">
        <f aca="false">IF($A768="","",IFERROR(INDEX(Enrichment!$A$2:$GZ$2000,MATCH($A768,INDEX(Enrichment!$A$2:$GZ$2000,0,MATCH("row_id",Enrichment!$A$1:$GZ$1,0)),0),MATCH("backup_work_email",Enrichment!$A$1:$GZ$1,0))&amp;"",""))</f>
        <v/>
      </c>
      <c r="BQ768" s="0" t="str">
        <f aca="false">IF($A768="","",IF(BP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DU768" s="0" t="str">
        <f aca="false">IF($A768="","",IF(R768="Y",10,0))</f>
        <v/>
      </c>
      <c r="EV768" s="0" t="str">
        <f aca="false">IF($A768="","",IF(ISNUMBER(MATCH(U768,{"queued","contacted","replied","call_booked","call_done","yes_in_principle","materials_sent"},0)),"Y","N"))</f>
        <v/>
      </c>
      <c r="EW768" s="0" t="str">
        <f aca="false">IF($A768="","",IF(OR(T768="Y",U768="do_not_contact",AQ768&amp;""&lt;&gt;""),"Y","N"))</f>
        <v/>
      </c>
      <c r="EX768" s="0" t="str">
        <f aca="false">IF($A768="","",IF(AN768&amp;""&lt;&gt;"",AN768&amp;"",$A768))</f>
        <v/>
      </c>
      <c r="EY768" s="0" t="str">
        <f aca="false">IF($A768="","",IF(COUNTIFS($EX$2:$EX$1000,EX768,$EV$2:$EV$1000,"Y")+COUNTIFS($EX$2:$EX$1000,EX768,$EW$2:$EW$1000,"Y")&gt;0,"Y","N"))</f>
        <v/>
      </c>
      <c r="EZ768" s="0" t="str">
        <f aca="false">IF($A768="","",IF(AND(U768="new",T768="N",EW768="N",AR768="Y",EY768="N"),"Y","N"))</f>
        <v/>
      </c>
      <c r="FA768" s="0" t="str">
        <f aca="false">IF($A768="","",IF(EZ768&lt;&gt;"Y","N",IF(COUNTIFS($EX$2:$EX$1000,EX768,$EZ$2:$EZ$1000,"Y",$J$2:$J$1000,"&gt;"&amp;J768)+COUNTIFS($EX$2:$EX$1000,EX768,$EZ$2:$EZ$1000,"Y",$J$2:$J$1000,J768,$FG$2:$FG$1000,"&lt;"&amp;FG768)=0,"Y","N")))</f>
        <v/>
      </c>
      <c r="FB768" s="0" t="str">
        <f aca="false">IF($A768="","",IF(AND(EZ768="Y",FA768="Y",Y768&amp;""&lt;&gt;""),IF(Y768&lt;=10,"Y","N"),"N"))</f>
        <v/>
      </c>
      <c r="FC768" s="0" t="str">
        <f aca="false">IF(FB768="Y",Y768,"")</f>
        <v/>
      </c>
      <c r="FD768" s="0" t="str">
        <f aca="false">IF($A768="","",IF(AND(CK768="pass",AU768="Y",AV768&lt;&gt;"Y",U768="new",EW768="N"),"Y","N"))</f>
        <v/>
      </c>
      <c r="FE768" s="0" t="str">
        <f aca="false">IF(FD768&lt;&gt;"Y","",IF(COUNTIFS($FD$2:$FD$1000,"Y",$J$2:$J$1000,"&gt;"&amp;J768)+COUNTIFS($FD$2:$FD$1000,"Y",$J$2:$J$1000,J768,$FG$2:$FG$1000,"&lt;"&amp;FG768)+1&lt;=30,COUNTIFS($FD$2:$FD$1000,"Y",$J$2:$J$1000,"&gt;"&amp;J768)+COUNTIFS($FD$2:$FD$1000,"Y",$J$2:$J$1000,J768,$FG$2:$FG$1000,"&lt;"&amp;FG768)+1,""))</f>
        <v/>
      </c>
      <c r="FF768" s="0" t="str">
        <f aca="false">IF(AND(_xlfn.ISFORMULA(C768),_xlfn.ISFORMULA(J768)),"Y","N")</f>
        <v>Y</v>
      </c>
      <c r="FG768" s="0" t="n">
        <f aca="false">ROW()-1</f>
        <v>767</v>
      </c>
    </row>
    <row r="769" customFormat="false" ht="15" hidden="false" customHeight="false" outlineLevel="0" collapsed="false">
      <c r="C769" s="0" t="str">
        <f aca="false">IF($A769="","",IF(AT769="Y",BL769&amp;"",AY769&amp;""))</f>
        <v/>
      </c>
      <c r="D769" s="0" t="str">
        <f aca="false">IF($A769="","",IF(AT769="Y",BM769&amp;"",AZ769&amp;""))</f>
        <v/>
      </c>
      <c r="E769" s="0" t="str">
        <f aca="false">IF($A769="","",IF(AT769="Y",BN769&amp;"",BA769&amp;""))</f>
        <v/>
      </c>
      <c r="F769" s="0" t="str">
        <f aca="false">IF($A769="","",IF(AT769="Y",BO769&amp;"",BB769&amp;""))</f>
        <v/>
      </c>
      <c r="G769" s="0" t="str">
        <f aca="false">IF($A769="","",IF(AT769="Y",BP769&amp;"",BC769&amp;""))</f>
        <v/>
      </c>
      <c r="H769" s="0" t="str">
        <f aca="false">IF($A769="","",IF(AT769="Y",BQ769&amp;"",BD769&amp;""))</f>
        <v/>
      </c>
      <c r="I769" s="0" t="str">
        <f aca="false">IF($A769="","",IF(R769="Y","warm-intro",IF(H769="verified","email",IF(C769&lt;&gt;"","linkedin",CA769&amp;""))))</f>
        <v/>
      </c>
      <c r="J769" s="0" t="str">
        <f aca="false">IF($A769="","",IF(CK769="pass",ROUND(N(DO769)+N(DP769)+N(DQ769)+N(DR769)+N(DS769)+N(DT769)+N(DU769)+N(DV769),0),0))</f>
        <v/>
      </c>
      <c r="K769" s="0" t="str">
        <f aca="false">IF($A769="","",IF(CK769&lt;&gt;"pass",BY769&amp;"",BY769&amp;", "&amp;IF(AT769="Y",BX769&amp;"",BK769&amp;"")&amp;BZ769&amp;IF(R769="Y","; known to the founder (+10)","")&amp;"."))</f>
        <v/>
      </c>
      <c r="R769" s="5"/>
      <c r="T769" s="5"/>
      <c r="U769" s="5"/>
      <c r="Y769" s="0" t="str">
        <f aca="false">IF(FA769&lt;&gt;"Y","",COUNTIFS($FA$2:$FA$1000,"Y",$J$2:$J$1000,"&gt;"&amp;J769)+COUNTIFS($FA$2:$FA$1000,"Y",$J$2:$J$1000,J769,$FG$2:$FG$1000,"&lt;"&amp;FG769)+1)</f>
        <v/>
      </c>
      <c r="AB769" s="0" t="str">
        <f aca="false">IF($A769="","",IF(AT769="Y",BW769&amp;"",BJ769&amp;""))</f>
        <v/>
      </c>
      <c r="AC769" s="0" t="str">
        <f aca="false">IF($A769="","",IF(AT769="Y",BR769&amp;"",BE769&amp;""))</f>
        <v/>
      </c>
      <c r="AD769" s="0" t="str">
        <f aca="false">IF($A769="","",IF(AT769="Y",BS769&amp;"",BF769&amp;""))</f>
        <v/>
      </c>
      <c r="AE769" s="0" t="str">
        <f aca="false">IF($A769="","",IF(AT769="Y",BT769&amp;"",BG769&amp;""))</f>
        <v/>
      </c>
      <c r="AF769" s="0" t="str">
        <f aca="false">IF($A769="","",IF(AT769="Y",BU769&amp;"",BH769&amp;""))</f>
        <v/>
      </c>
      <c r="AG769" s="0" t="str">
        <f aca="false">IF($A769="","",IF(AT769="Y",BV769&amp;"",BI769&amp;""))</f>
        <v/>
      </c>
      <c r="AO769" s="5"/>
      <c r="AR769" s="0" t="str">
        <f aca="false">IF($A769="","",IF(AND(CK769="pass",AO769&lt;&gt;"Y",C769&lt;&gt;"",OR(AU769&lt;&gt;"Y",AV769="Y")),"Y","N"))</f>
        <v/>
      </c>
      <c r="AS769" s="0" t="str">
        <f aca="false">IF($A769="","",_xlfn.TEXTJOIN("; ",TRUE(),IF(CK769&lt;&gt;"pass","gated out",""),IF(AO769="Y","on hold: "&amp;AP769,""),IF(C769="","no contact named on an opened page",""),IF(AND(AU769="Y",AV769&lt;&gt;"Y"),"founder review pending (Founder review tab)","")))</f>
        <v/>
      </c>
      <c r="BC769" s="0" t="str">
        <f aca="false">IF($A769="","",IFERROR(INDEX(Enrichment!$A$2:$GZ$2000,MATCH($A769,INDEX(Enrichment!$A$2:$GZ$2000,0,MATCH("row_id",Enrichment!$A$1:$GZ$1,0)),0),MATCH("work_email",Enrichment!$A$1:$GZ$1,0))&amp;"",""))</f>
        <v/>
      </c>
      <c r="BD769" s="0" t="str">
        <f aca="false">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P769" s="0" t="str">
        <f aca="false">IF($A769="","",IFERROR(INDEX(Enrichment!$A$2:$GZ$2000,MATCH($A769,INDEX(Enrichment!$A$2:$GZ$2000,0,MATCH("row_id",Enrichment!$A$1:$GZ$1,0)),0),MATCH("backup_work_email",Enrichment!$A$1:$GZ$1,0))&amp;"",""))</f>
        <v/>
      </c>
      <c r="BQ769" s="0" t="str">
        <f aca="false">IF($A769="","",IF(BP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DU769" s="0" t="str">
        <f aca="false">IF($A769="","",IF(R769="Y",10,0))</f>
        <v/>
      </c>
      <c r="EV769" s="0" t="str">
        <f aca="false">IF($A769="","",IF(ISNUMBER(MATCH(U769,{"queued","contacted","replied","call_booked","call_done","yes_in_principle","materials_sent"},0)),"Y","N"))</f>
        <v/>
      </c>
      <c r="EW769" s="0" t="str">
        <f aca="false">IF($A769="","",IF(OR(T769="Y",U769="do_not_contact",AQ769&amp;""&lt;&gt;""),"Y","N"))</f>
        <v/>
      </c>
      <c r="EX769" s="0" t="str">
        <f aca="false">IF($A769="","",IF(AN769&amp;""&lt;&gt;"",AN769&amp;"",$A769))</f>
        <v/>
      </c>
      <c r="EY769" s="0" t="str">
        <f aca="false">IF($A769="","",IF(COUNTIFS($EX$2:$EX$1000,EX769,$EV$2:$EV$1000,"Y")+COUNTIFS($EX$2:$EX$1000,EX769,$EW$2:$EW$1000,"Y")&gt;0,"Y","N"))</f>
        <v/>
      </c>
      <c r="EZ769" s="0" t="str">
        <f aca="false">IF($A769="","",IF(AND(U769="new",T769="N",EW769="N",AR769="Y",EY769="N"),"Y","N"))</f>
        <v/>
      </c>
      <c r="FA769" s="0" t="str">
        <f aca="false">IF($A769="","",IF(EZ769&lt;&gt;"Y","N",IF(COUNTIFS($EX$2:$EX$1000,EX769,$EZ$2:$EZ$1000,"Y",$J$2:$J$1000,"&gt;"&amp;J769)+COUNTIFS($EX$2:$EX$1000,EX769,$EZ$2:$EZ$1000,"Y",$J$2:$J$1000,J769,$FG$2:$FG$1000,"&lt;"&amp;FG769)=0,"Y","N")))</f>
        <v/>
      </c>
      <c r="FB769" s="0" t="str">
        <f aca="false">IF($A769="","",IF(AND(EZ769="Y",FA769="Y",Y769&amp;""&lt;&gt;""),IF(Y769&lt;=10,"Y","N"),"N"))</f>
        <v/>
      </c>
      <c r="FC769" s="0" t="str">
        <f aca="false">IF(FB769="Y",Y769,"")</f>
        <v/>
      </c>
      <c r="FD769" s="0" t="str">
        <f aca="false">IF($A769="","",IF(AND(CK769="pass",AU769="Y",AV769&lt;&gt;"Y",U769="new",EW769="N"),"Y","N"))</f>
        <v/>
      </c>
      <c r="FE769" s="0" t="str">
        <f aca="false">IF(FD769&lt;&gt;"Y","",IF(COUNTIFS($FD$2:$FD$1000,"Y",$J$2:$J$1000,"&gt;"&amp;J769)+COUNTIFS($FD$2:$FD$1000,"Y",$J$2:$J$1000,J769,$FG$2:$FG$1000,"&lt;"&amp;FG769)+1&lt;=30,COUNTIFS($FD$2:$FD$1000,"Y",$J$2:$J$1000,"&gt;"&amp;J769)+COUNTIFS($FD$2:$FD$1000,"Y",$J$2:$J$1000,J769,$FG$2:$FG$1000,"&lt;"&amp;FG769)+1,""))</f>
        <v/>
      </c>
      <c r="FF769" s="0" t="str">
        <f aca="false">IF(AND(_xlfn.ISFORMULA(C769),_xlfn.ISFORMULA(J769)),"Y","N")</f>
        <v>Y</v>
      </c>
      <c r="FG769" s="0" t="n">
        <f aca="false">ROW()-1</f>
        <v>768</v>
      </c>
    </row>
    <row r="770" customFormat="false" ht="15" hidden="false" customHeight="false" outlineLevel="0" collapsed="false">
      <c r="C770" s="0" t="str">
        <f aca="false">IF($A770="","",IF(AT770="Y",BL770&amp;"",AY770&amp;""))</f>
        <v/>
      </c>
      <c r="D770" s="0" t="str">
        <f aca="false">IF($A770="","",IF(AT770="Y",BM770&amp;"",AZ770&amp;""))</f>
        <v/>
      </c>
      <c r="E770" s="0" t="str">
        <f aca="false">IF($A770="","",IF(AT770="Y",BN770&amp;"",BA770&amp;""))</f>
        <v/>
      </c>
      <c r="F770" s="0" t="str">
        <f aca="false">IF($A770="","",IF(AT770="Y",BO770&amp;"",BB770&amp;""))</f>
        <v/>
      </c>
      <c r="G770" s="0" t="str">
        <f aca="false">IF($A770="","",IF(AT770="Y",BP770&amp;"",BC770&amp;""))</f>
        <v/>
      </c>
      <c r="H770" s="0" t="str">
        <f aca="false">IF($A770="","",IF(AT770="Y",BQ770&amp;"",BD770&amp;""))</f>
        <v/>
      </c>
      <c r="I770" s="0" t="str">
        <f aca="false">IF($A770="","",IF(R770="Y","warm-intro",IF(H770="verified","email",IF(C770&lt;&gt;"","linkedin",CA770&amp;""))))</f>
        <v/>
      </c>
      <c r="J770" s="0" t="str">
        <f aca="false">IF($A770="","",IF(CK770="pass",ROUND(N(DO770)+N(DP770)+N(DQ770)+N(DR770)+N(DS770)+N(DT770)+N(DU770)+N(DV770),0),0))</f>
        <v/>
      </c>
      <c r="K770" s="0" t="str">
        <f aca="false">IF($A770="","",IF(CK770&lt;&gt;"pass",BY770&amp;"",BY770&amp;", "&amp;IF(AT770="Y",BX770&amp;"",BK770&amp;"")&amp;BZ770&amp;IF(R770="Y","; known to the founder (+10)","")&amp;"."))</f>
        <v/>
      </c>
      <c r="R770" s="5"/>
      <c r="T770" s="5"/>
      <c r="U770" s="5"/>
      <c r="Y770" s="0" t="str">
        <f aca="false">IF(FA770&lt;&gt;"Y","",COUNTIFS($FA$2:$FA$1000,"Y",$J$2:$J$1000,"&gt;"&amp;J770)+COUNTIFS($FA$2:$FA$1000,"Y",$J$2:$J$1000,J770,$FG$2:$FG$1000,"&lt;"&amp;FG770)+1)</f>
        <v/>
      </c>
      <c r="AB770" s="0" t="str">
        <f aca="false">IF($A770="","",IF(AT770="Y",BW770&amp;"",BJ770&amp;""))</f>
        <v/>
      </c>
      <c r="AC770" s="0" t="str">
        <f aca="false">IF($A770="","",IF(AT770="Y",BR770&amp;"",BE770&amp;""))</f>
        <v/>
      </c>
      <c r="AD770" s="0" t="str">
        <f aca="false">IF($A770="","",IF(AT770="Y",BS770&amp;"",BF770&amp;""))</f>
        <v/>
      </c>
      <c r="AE770" s="0" t="str">
        <f aca="false">IF($A770="","",IF(AT770="Y",BT770&amp;"",BG770&amp;""))</f>
        <v/>
      </c>
      <c r="AF770" s="0" t="str">
        <f aca="false">IF($A770="","",IF(AT770="Y",BU770&amp;"",BH770&amp;""))</f>
        <v/>
      </c>
      <c r="AG770" s="0" t="str">
        <f aca="false">IF($A770="","",IF(AT770="Y",BV770&amp;"",BI770&amp;""))</f>
        <v/>
      </c>
      <c r="AO770" s="5"/>
      <c r="AR770" s="0" t="str">
        <f aca="false">IF($A770="","",IF(AND(CK770="pass",AO770&lt;&gt;"Y",C770&lt;&gt;"",OR(AU770&lt;&gt;"Y",AV770="Y")),"Y","N"))</f>
        <v/>
      </c>
      <c r="AS770" s="0" t="str">
        <f aca="false">IF($A770="","",_xlfn.TEXTJOIN("; ",TRUE(),IF(CK770&lt;&gt;"pass","gated out",""),IF(AO770="Y","on hold: "&amp;AP770,""),IF(C770="","no contact named on an opened page",""),IF(AND(AU770="Y",AV770&lt;&gt;"Y"),"founder review pending (Founder review tab)","")))</f>
        <v/>
      </c>
      <c r="BC770" s="0" t="str">
        <f aca="false">IF($A770="","",IFERROR(INDEX(Enrichment!$A$2:$GZ$2000,MATCH($A770,INDEX(Enrichment!$A$2:$GZ$2000,0,MATCH("row_id",Enrichment!$A$1:$GZ$1,0)),0),MATCH("work_email",Enrichment!$A$1:$GZ$1,0))&amp;"",""))</f>
        <v/>
      </c>
      <c r="BD770" s="0" t="str">
        <f aca="false">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P770" s="0" t="str">
        <f aca="false">IF($A770="","",IFERROR(INDEX(Enrichment!$A$2:$GZ$2000,MATCH($A770,INDEX(Enrichment!$A$2:$GZ$2000,0,MATCH("row_id",Enrichment!$A$1:$GZ$1,0)),0),MATCH("backup_work_email",Enrichment!$A$1:$GZ$1,0))&amp;"",""))</f>
        <v/>
      </c>
      <c r="BQ770" s="0" t="str">
        <f aca="false">IF($A770="","",IF(BP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DU770" s="0" t="str">
        <f aca="false">IF($A770="","",IF(R770="Y",10,0))</f>
        <v/>
      </c>
      <c r="EV770" s="0" t="str">
        <f aca="false">IF($A770="","",IF(ISNUMBER(MATCH(U770,{"queued","contacted","replied","call_booked","call_done","yes_in_principle","materials_sent"},0)),"Y","N"))</f>
        <v/>
      </c>
      <c r="EW770" s="0" t="str">
        <f aca="false">IF($A770="","",IF(OR(T770="Y",U770="do_not_contact",AQ770&amp;""&lt;&gt;""),"Y","N"))</f>
        <v/>
      </c>
      <c r="EX770" s="0" t="str">
        <f aca="false">IF($A770="","",IF(AN770&amp;""&lt;&gt;"",AN770&amp;"",$A770))</f>
        <v/>
      </c>
      <c r="EY770" s="0" t="str">
        <f aca="false">IF($A770="","",IF(COUNTIFS($EX$2:$EX$1000,EX770,$EV$2:$EV$1000,"Y")+COUNTIFS($EX$2:$EX$1000,EX770,$EW$2:$EW$1000,"Y")&gt;0,"Y","N"))</f>
        <v/>
      </c>
      <c r="EZ770" s="0" t="str">
        <f aca="false">IF($A770="","",IF(AND(U770="new",T770="N",EW770="N",AR770="Y",EY770="N"),"Y","N"))</f>
        <v/>
      </c>
      <c r="FA770" s="0" t="str">
        <f aca="false">IF($A770="","",IF(EZ770&lt;&gt;"Y","N",IF(COUNTIFS($EX$2:$EX$1000,EX770,$EZ$2:$EZ$1000,"Y",$J$2:$J$1000,"&gt;"&amp;J770)+COUNTIFS($EX$2:$EX$1000,EX770,$EZ$2:$EZ$1000,"Y",$J$2:$J$1000,J770,$FG$2:$FG$1000,"&lt;"&amp;FG770)=0,"Y","N")))</f>
        <v/>
      </c>
      <c r="FB770" s="0" t="str">
        <f aca="false">IF($A770="","",IF(AND(EZ770="Y",FA770="Y",Y770&amp;""&lt;&gt;""),IF(Y770&lt;=10,"Y","N"),"N"))</f>
        <v/>
      </c>
      <c r="FC770" s="0" t="str">
        <f aca="false">IF(FB770="Y",Y770,"")</f>
        <v/>
      </c>
      <c r="FD770" s="0" t="str">
        <f aca="false">IF($A770="","",IF(AND(CK770="pass",AU770="Y",AV770&lt;&gt;"Y",U770="new",EW770="N"),"Y","N"))</f>
        <v/>
      </c>
      <c r="FE770" s="0" t="str">
        <f aca="false">IF(FD770&lt;&gt;"Y","",IF(COUNTIFS($FD$2:$FD$1000,"Y",$J$2:$J$1000,"&gt;"&amp;J770)+COUNTIFS($FD$2:$FD$1000,"Y",$J$2:$J$1000,J770,$FG$2:$FG$1000,"&lt;"&amp;FG770)+1&lt;=30,COUNTIFS($FD$2:$FD$1000,"Y",$J$2:$J$1000,"&gt;"&amp;J770)+COUNTIFS($FD$2:$FD$1000,"Y",$J$2:$J$1000,J770,$FG$2:$FG$1000,"&lt;"&amp;FG770)+1,""))</f>
        <v/>
      </c>
      <c r="FF770" s="0" t="str">
        <f aca="false">IF(AND(_xlfn.ISFORMULA(C770),_xlfn.ISFORMULA(J770)),"Y","N")</f>
        <v>Y</v>
      </c>
      <c r="FG770" s="0" t="n">
        <f aca="false">ROW()-1</f>
        <v>769</v>
      </c>
    </row>
    <row r="771" customFormat="false" ht="15" hidden="false" customHeight="false" outlineLevel="0" collapsed="false">
      <c r="C771" s="0" t="str">
        <f aca="false">IF($A771="","",IF(AT771="Y",BL771&amp;"",AY771&amp;""))</f>
        <v/>
      </c>
      <c r="D771" s="0" t="str">
        <f aca="false">IF($A771="","",IF(AT771="Y",BM771&amp;"",AZ771&amp;""))</f>
        <v/>
      </c>
      <c r="E771" s="0" t="str">
        <f aca="false">IF($A771="","",IF(AT771="Y",BN771&amp;"",BA771&amp;""))</f>
        <v/>
      </c>
      <c r="F771" s="0" t="str">
        <f aca="false">IF($A771="","",IF(AT771="Y",BO771&amp;"",BB771&amp;""))</f>
        <v/>
      </c>
      <c r="G771" s="0" t="str">
        <f aca="false">IF($A771="","",IF(AT771="Y",BP771&amp;"",BC771&amp;""))</f>
        <v/>
      </c>
      <c r="H771" s="0" t="str">
        <f aca="false">IF($A771="","",IF(AT771="Y",BQ771&amp;"",BD771&amp;""))</f>
        <v/>
      </c>
      <c r="I771" s="0" t="str">
        <f aca="false">IF($A771="","",IF(R771="Y","warm-intro",IF(H771="verified","email",IF(C771&lt;&gt;"","linkedin",CA771&amp;""))))</f>
        <v/>
      </c>
      <c r="J771" s="0" t="str">
        <f aca="false">IF($A771="","",IF(CK771="pass",ROUND(N(DO771)+N(DP771)+N(DQ771)+N(DR771)+N(DS771)+N(DT771)+N(DU771)+N(DV771),0),0))</f>
        <v/>
      </c>
      <c r="K771" s="0" t="str">
        <f aca="false">IF($A771="","",IF(CK771&lt;&gt;"pass",BY771&amp;"",BY771&amp;", "&amp;IF(AT771="Y",BX771&amp;"",BK771&amp;"")&amp;BZ771&amp;IF(R771="Y","; known to the founder (+10)","")&amp;"."))</f>
        <v/>
      </c>
      <c r="R771" s="5"/>
      <c r="T771" s="5"/>
      <c r="U771" s="5"/>
      <c r="Y771" s="0" t="str">
        <f aca="false">IF(FA771&lt;&gt;"Y","",COUNTIFS($FA$2:$FA$1000,"Y",$J$2:$J$1000,"&gt;"&amp;J771)+COUNTIFS($FA$2:$FA$1000,"Y",$J$2:$J$1000,J771,$FG$2:$FG$1000,"&lt;"&amp;FG771)+1)</f>
        <v/>
      </c>
      <c r="AB771" s="0" t="str">
        <f aca="false">IF($A771="","",IF(AT771="Y",BW771&amp;"",BJ771&amp;""))</f>
        <v/>
      </c>
      <c r="AC771" s="0" t="str">
        <f aca="false">IF($A771="","",IF(AT771="Y",BR771&amp;"",BE771&amp;""))</f>
        <v/>
      </c>
      <c r="AD771" s="0" t="str">
        <f aca="false">IF($A771="","",IF(AT771="Y",BS771&amp;"",BF771&amp;""))</f>
        <v/>
      </c>
      <c r="AE771" s="0" t="str">
        <f aca="false">IF($A771="","",IF(AT771="Y",BT771&amp;"",BG771&amp;""))</f>
        <v/>
      </c>
      <c r="AF771" s="0" t="str">
        <f aca="false">IF($A771="","",IF(AT771="Y",BU771&amp;"",BH771&amp;""))</f>
        <v/>
      </c>
      <c r="AG771" s="0" t="str">
        <f aca="false">IF($A771="","",IF(AT771="Y",BV771&amp;"",BI771&amp;""))</f>
        <v/>
      </c>
      <c r="AO771" s="5"/>
      <c r="AR771" s="0" t="str">
        <f aca="false">IF($A771="","",IF(AND(CK771="pass",AO771&lt;&gt;"Y",C771&lt;&gt;"",OR(AU771&lt;&gt;"Y",AV771="Y")),"Y","N"))</f>
        <v/>
      </c>
      <c r="AS771" s="0" t="str">
        <f aca="false">IF($A771="","",_xlfn.TEXTJOIN("; ",TRUE(),IF(CK771&lt;&gt;"pass","gated out",""),IF(AO771="Y","on hold: "&amp;AP771,""),IF(C771="","no contact named on an opened page",""),IF(AND(AU771="Y",AV771&lt;&gt;"Y"),"founder review pending (Founder review tab)","")))</f>
        <v/>
      </c>
      <c r="BC771" s="0" t="str">
        <f aca="false">IF($A771="","",IFERROR(INDEX(Enrichment!$A$2:$GZ$2000,MATCH($A771,INDEX(Enrichment!$A$2:$GZ$2000,0,MATCH("row_id",Enrichment!$A$1:$GZ$1,0)),0),MATCH("work_email",Enrichment!$A$1:$GZ$1,0))&amp;"",""))</f>
        <v/>
      </c>
      <c r="BD771" s="0" t="str">
        <f aca="false">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P771" s="0" t="str">
        <f aca="false">IF($A771="","",IFERROR(INDEX(Enrichment!$A$2:$GZ$2000,MATCH($A771,INDEX(Enrichment!$A$2:$GZ$2000,0,MATCH("row_id",Enrichment!$A$1:$GZ$1,0)),0),MATCH("backup_work_email",Enrichment!$A$1:$GZ$1,0))&amp;"",""))</f>
        <v/>
      </c>
      <c r="BQ771" s="0" t="str">
        <f aca="false">IF($A771="","",IF(BP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DU771" s="0" t="str">
        <f aca="false">IF($A771="","",IF(R771="Y",10,0))</f>
        <v/>
      </c>
      <c r="EV771" s="0" t="str">
        <f aca="false">IF($A771="","",IF(ISNUMBER(MATCH(U771,{"queued","contacted","replied","call_booked","call_done","yes_in_principle","materials_sent"},0)),"Y","N"))</f>
        <v/>
      </c>
      <c r="EW771" s="0" t="str">
        <f aca="false">IF($A771="","",IF(OR(T771="Y",U771="do_not_contact",AQ771&amp;""&lt;&gt;""),"Y","N"))</f>
        <v/>
      </c>
      <c r="EX771" s="0" t="str">
        <f aca="false">IF($A771="","",IF(AN771&amp;""&lt;&gt;"",AN771&amp;"",$A771))</f>
        <v/>
      </c>
      <c r="EY771" s="0" t="str">
        <f aca="false">IF($A771="","",IF(COUNTIFS($EX$2:$EX$1000,EX771,$EV$2:$EV$1000,"Y")+COUNTIFS($EX$2:$EX$1000,EX771,$EW$2:$EW$1000,"Y")&gt;0,"Y","N"))</f>
        <v/>
      </c>
      <c r="EZ771" s="0" t="str">
        <f aca="false">IF($A771="","",IF(AND(U771="new",T771="N",EW771="N",AR771="Y",EY771="N"),"Y","N"))</f>
        <v/>
      </c>
      <c r="FA771" s="0" t="str">
        <f aca="false">IF($A771="","",IF(EZ771&lt;&gt;"Y","N",IF(COUNTIFS($EX$2:$EX$1000,EX771,$EZ$2:$EZ$1000,"Y",$J$2:$J$1000,"&gt;"&amp;J771)+COUNTIFS($EX$2:$EX$1000,EX771,$EZ$2:$EZ$1000,"Y",$J$2:$J$1000,J771,$FG$2:$FG$1000,"&lt;"&amp;FG771)=0,"Y","N")))</f>
        <v/>
      </c>
      <c r="FB771" s="0" t="str">
        <f aca="false">IF($A771="","",IF(AND(EZ771="Y",FA771="Y",Y771&amp;""&lt;&gt;""),IF(Y771&lt;=10,"Y","N"),"N"))</f>
        <v/>
      </c>
      <c r="FC771" s="0" t="str">
        <f aca="false">IF(FB771="Y",Y771,"")</f>
        <v/>
      </c>
      <c r="FD771" s="0" t="str">
        <f aca="false">IF($A771="","",IF(AND(CK771="pass",AU771="Y",AV771&lt;&gt;"Y",U771="new",EW771="N"),"Y","N"))</f>
        <v/>
      </c>
      <c r="FE771" s="0" t="str">
        <f aca="false">IF(FD771&lt;&gt;"Y","",IF(COUNTIFS($FD$2:$FD$1000,"Y",$J$2:$J$1000,"&gt;"&amp;J771)+COUNTIFS($FD$2:$FD$1000,"Y",$J$2:$J$1000,J771,$FG$2:$FG$1000,"&lt;"&amp;FG771)+1&lt;=30,COUNTIFS($FD$2:$FD$1000,"Y",$J$2:$J$1000,"&gt;"&amp;J771)+COUNTIFS($FD$2:$FD$1000,"Y",$J$2:$J$1000,J771,$FG$2:$FG$1000,"&lt;"&amp;FG771)+1,""))</f>
        <v/>
      </c>
      <c r="FF771" s="0" t="str">
        <f aca="false">IF(AND(_xlfn.ISFORMULA(C771),_xlfn.ISFORMULA(J771)),"Y","N")</f>
        <v>Y</v>
      </c>
      <c r="FG771" s="0" t="n">
        <f aca="false">ROW()-1</f>
        <v>770</v>
      </c>
    </row>
    <row r="772" customFormat="false" ht="15" hidden="false" customHeight="false" outlineLevel="0" collapsed="false">
      <c r="C772" s="0" t="str">
        <f aca="false">IF($A772="","",IF(AT772="Y",BL772&amp;"",AY772&amp;""))</f>
        <v/>
      </c>
      <c r="D772" s="0" t="str">
        <f aca="false">IF($A772="","",IF(AT772="Y",BM772&amp;"",AZ772&amp;""))</f>
        <v/>
      </c>
      <c r="E772" s="0" t="str">
        <f aca="false">IF($A772="","",IF(AT772="Y",BN772&amp;"",BA772&amp;""))</f>
        <v/>
      </c>
      <c r="F772" s="0" t="str">
        <f aca="false">IF($A772="","",IF(AT772="Y",BO772&amp;"",BB772&amp;""))</f>
        <v/>
      </c>
      <c r="G772" s="0" t="str">
        <f aca="false">IF($A772="","",IF(AT772="Y",BP772&amp;"",BC772&amp;""))</f>
        <v/>
      </c>
      <c r="H772" s="0" t="str">
        <f aca="false">IF($A772="","",IF(AT772="Y",BQ772&amp;"",BD772&amp;""))</f>
        <v/>
      </c>
      <c r="I772" s="0" t="str">
        <f aca="false">IF($A772="","",IF(R772="Y","warm-intro",IF(H772="verified","email",IF(C772&lt;&gt;"","linkedin",CA772&amp;""))))</f>
        <v/>
      </c>
      <c r="J772" s="0" t="str">
        <f aca="false">IF($A772="","",IF(CK772="pass",ROUND(N(DO772)+N(DP772)+N(DQ772)+N(DR772)+N(DS772)+N(DT772)+N(DU772)+N(DV772),0),0))</f>
        <v/>
      </c>
      <c r="K772" s="0" t="str">
        <f aca="false">IF($A772="","",IF(CK772&lt;&gt;"pass",BY772&amp;"",BY772&amp;", "&amp;IF(AT772="Y",BX772&amp;"",BK772&amp;"")&amp;BZ772&amp;IF(R772="Y","; known to the founder (+10)","")&amp;"."))</f>
        <v/>
      </c>
      <c r="R772" s="5"/>
      <c r="T772" s="5"/>
      <c r="U772" s="5"/>
      <c r="Y772" s="0" t="str">
        <f aca="false">IF(FA772&lt;&gt;"Y","",COUNTIFS($FA$2:$FA$1000,"Y",$J$2:$J$1000,"&gt;"&amp;J772)+COUNTIFS($FA$2:$FA$1000,"Y",$J$2:$J$1000,J772,$FG$2:$FG$1000,"&lt;"&amp;FG772)+1)</f>
        <v/>
      </c>
      <c r="AB772" s="0" t="str">
        <f aca="false">IF($A772="","",IF(AT772="Y",BW772&amp;"",BJ772&amp;""))</f>
        <v/>
      </c>
      <c r="AC772" s="0" t="str">
        <f aca="false">IF($A772="","",IF(AT772="Y",BR772&amp;"",BE772&amp;""))</f>
        <v/>
      </c>
      <c r="AD772" s="0" t="str">
        <f aca="false">IF($A772="","",IF(AT772="Y",BS772&amp;"",BF772&amp;""))</f>
        <v/>
      </c>
      <c r="AE772" s="0" t="str">
        <f aca="false">IF($A772="","",IF(AT772="Y",BT772&amp;"",BG772&amp;""))</f>
        <v/>
      </c>
      <c r="AF772" s="0" t="str">
        <f aca="false">IF($A772="","",IF(AT772="Y",BU772&amp;"",BH772&amp;""))</f>
        <v/>
      </c>
      <c r="AG772" s="0" t="str">
        <f aca="false">IF($A772="","",IF(AT772="Y",BV772&amp;"",BI772&amp;""))</f>
        <v/>
      </c>
      <c r="AO772" s="5"/>
      <c r="AR772" s="0" t="str">
        <f aca="false">IF($A772="","",IF(AND(CK772="pass",AO772&lt;&gt;"Y",C772&lt;&gt;"",OR(AU772&lt;&gt;"Y",AV772="Y")),"Y","N"))</f>
        <v/>
      </c>
      <c r="AS772" s="0" t="str">
        <f aca="false">IF($A772="","",_xlfn.TEXTJOIN("; ",TRUE(),IF(CK772&lt;&gt;"pass","gated out",""),IF(AO772="Y","on hold: "&amp;AP772,""),IF(C772="","no contact named on an opened page",""),IF(AND(AU772="Y",AV772&lt;&gt;"Y"),"founder review pending (Founder review tab)","")))</f>
        <v/>
      </c>
      <c r="BC772" s="0" t="str">
        <f aca="false">IF($A772="","",IFERROR(INDEX(Enrichment!$A$2:$GZ$2000,MATCH($A772,INDEX(Enrichment!$A$2:$GZ$2000,0,MATCH("row_id",Enrichment!$A$1:$GZ$1,0)),0),MATCH("work_email",Enrichment!$A$1:$GZ$1,0))&amp;"",""))</f>
        <v/>
      </c>
      <c r="BD772" s="0" t="str">
        <f aca="false">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P772" s="0" t="str">
        <f aca="false">IF($A772="","",IFERROR(INDEX(Enrichment!$A$2:$GZ$2000,MATCH($A772,INDEX(Enrichment!$A$2:$GZ$2000,0,MATCH("row_id",Enrichment!$A$1:$GZ$1,0)),0),MATCH("backup_work_email",Enrichment!$A$1:$GZ$1,0))&amp;"",""))</f>
        <v/>
      </c>
      <c r="BQ772" s="0" t="str">
        <f aca="false">IF($A772="","",IF(BP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DU772" s="0" t="str">
        <f aca="false">IF($A772="","",IF(R772="Y",10,0))</f>
        <v/>
      </c>
      <c r="EV772" s="0" t="str">
        <f aca="false">IF($A772="","",IF(ISNUMBER(MATCH(U772,{"queued","contacted","replied","call_booked","call_done","yes_in_principle","materials_sent"},0)),"Y","N"))</f>
        <v/>
      </c>
      <c r="EW772" s="0" t="str">
        <f aca="false">IF($A772="","",IF(OR(T772="Y",U772="do_not_contact",AQ772&amp;""&lt;&gt;""),"Y","N"))</f>
        <v/>
      </c>
      <c r="EX772" s="0" t="str">
        <f aca="false">IF($A772="","",IF(AN772&amp;""&lt;&gt;"",AN772&amp;"",$A772))</f>
        <v/>
      </c>
      <c r="EY772" s="0" t="str">
        <f aca="false">IF($A772="","",IF(COUNTIFS($EX$2:$EX$1000,EX772,$EV$2:$EV$1000,"Y")+COUNTIFS($EX$2:$EX$1000,EX772,$EW$2:$EW$1000,"Y")&gt;0,"Y","N"))</f>
        <v/>
      </c>
      <c r="EZ772" s="0" t="str">
        <f aca="false">IF($A772="","",IF(AND(U772="new",T772="N",EW772="N",AR772="Y",EY772="N"),"Y","N"))</f>
        <v/>
      </c>
      <c r="FA772" s="0" t="str">
        <f aca="false">IF($A772="","",IF(EZ772&lt;&gt;"Y","N",IF(COUNTIFS($EX$2:$EX$1000,EX772,$EZ$2:$EZ$1000,"Y",$J$2:$J$1000,"&gt;"&amp;J772)+COUNTIFS($EX$2:$EX$1000,EX772,$EZ$2:$EZ$1000,"Y",$J$2:$J$1000,J772,$FG$2:$FG$1000,"&lt;"&amp;FG772)=0,"Y","N")))</f>
        <v/>
      </c>
      <c r="FB772" s="0" t="str">
        <f aca="false">IF($A772="","",IF(AND(EZ772="Y",FA772="Y",Y772&amp;""&lt;&gt;""),IF(Y772&lt;=10,"Y","N"),"N"))</f>
        <v/>
      </c>
      <c r="FC772" s="0" t="str">
        <f aca="false">IF(FB772="Y",Y772,"")</f>
        <v/>
      </c>
      <c r="FD772" s="0" t="str">
        <f aca="false">IF($A772="","",IF(AND(CK772="pass",AU772="Y",AV772&lt;&gt;"Y",U772="new",EW772="N"),"Y","N"))</f>
        <v/>
      </c>
      <c r="FE772" s="0" t="str">
        <f aca="false">IF(FD772&lt;&gt;"Y","",IF(COUNTIFS($FD$2:$FD$1000,"Y",$J$2:$J$1000,"&gt;"&amp;J772)+COUNTIFS($FD$2:$FD$1000,"Y",$J$2:$J$1000,J772,$FG$2:$FG$1000,"&lt;"&amp;FG772)+1&lt;=30,COUNTIFS($FD$2:$FD$1000,"Y",$J$2:$J$1000,"&gt;"&amp;J772)+COUNTIFS($FD$2:$FD$1000,"Y",$J$2:$J$1000,J772,$FG$2:$FG$1000,"&lt;"&amp;FG772)+1,""))</f>
        <v/>
      </c>
      <c r="FF772" s="0" t="str">
        <f aca="false">IF(AND(_xlfn.ISFORMULA(C772),_xlfn.ISFORMULA(J772)),"Y","N")</f>
        <v>Y</v>
      </c>
      <c r="FG772" s="0" t="n">
        <f aca="false">ROW()-1</f>
        <v>771</v>
      </c>
    </row>
    <row r="773" customFormat="false" ht="15" hidden="false" customHeight="false" outlineLevel="0" collapsed="false">
      <c r="C773" s="0" t="str">
        <f aca="false">IF($A773="","",IF(AT773="Y",BL773&amp;"",AY773&amp;""))</f>
        <v/>
      </c>
      <c r="D773" s="0" t="str">
        <f aca="false">IF($A773="","",IF(AT773="Y",BM773&amp;"",AZ773&amp;""))</f>
        <v/>
      </c>
      <c r="E773" s="0" t="str">
        <f aca="false">IF($A773="","",IF(AT773="Y",BN773&amp;"",BA773&amp;""))</f>
        <v/>
      </c>
      <c r="F773" s="0" t="str">
        <f aca="false">IF($A773="","",IF(AT773="Y",BO773&amp;"",BB773&amp;""))</f>
        <v/>
      </c>
      <c r="G773" s="0" t="str">
        <f aca="false">IF($A773="","",IF(AT773="Y",BP773&amp;"",BC773&amp;""))</f>
        <v/>
      </c>
      <c r="H773" s="0" t="str">
        <f aca="false">IF($A773="","",IF(AT773="Y",BQ773&amp;"",BD773&amp;""))</f>
        <v/>
      </c>
      <c r="I773" s="0" t="str">
        <f aca="false">IF($A773="","",IF(R773="Y","warm-intro",IF(H773="verified","email",IF(C773&lt;&gt;"","linkedin",CA773&amp;""))))</f>
        <v/>
      </c>
      <c r="J773" s="0" t="str">
        <f aca="false">IF($A773="","",IF(CK773="pass",ROUND(N(DO773)+N(DP773)+N(DQ773)+N(DR773)+N(DS773)+N(DT773)+N(DU773)+N(DV773),0),0))</f>
        <v/>
      </c>
      <c r="K773" s="0" t="str">
        <f aca="false">IF($A773="","",IF(CK773&lt;&gt;"pass",BY773&amp;"",BY773&amp;", "&amp;IF(AT773="Y",BX773&amp;"",BK773&amp;"")&amp;BZ773&amp;IF(R773="Y","; known to the founder (+10)","")&amp;"."))</f>
        <v/>
      </c>
      <c r="R773" s="5"/>
      <c r="T773" s="5"/>
      <c r="U773" s="5"/>
      <c r="Y773" s="0" t="str">
        <f aca="false">IF(FA773&lt;&gt;"Y","",COUNTIFS($FA$2:$FA$1000,"Y",$J$2:$J$1000,"&gt;"&amp;J773)+COUNTIFS($FA$2:$FA$1000,"Y",$J$2:$J$1000,J773,$FG$2:$FG$1000,"&lt;"&amp;FG773)+1)</f>
        <v/>
      </c>
      <c r="AB773" s="0" t="str">
        <f aca="false">IF($A773="","",IF(AT773="Y",BW773&amp;"",BJ773&amp;""))</f>
        <v/>
      </c>
      <c r="AC773" s="0" t="str">
        <f aca="false">IF($A773="","",IF(AT773="Y",BR773&amp;"",BE773&amp;""))</f>
        <v/>
      </c>
      <c r="AD773" s="0" t="str">
        <f aca="false">IF($A773="","",IF(AT773="Y",BS773&amp;"",BF773&amp;""))</f>
        <v/>
      </c>
      <c r="AE773" s="0" t="str">
        <f aca="false">IF($A773="","",IF(AT773="Y",BT773&amp;"",BG773&amp;""))</f>
        <v/>
      </c>
      <c r="AF773" s="0" t="str">
        <f aca="false">IF($A773="","",IF(AT773="Y",BU773&amp;"",BH773&amp;""))</f>
        <v/>
      </c>
      <c r="AG773" s="0" t="str">
        <f aca="false">IF($A773="","",IF(AT773="Y",BV773&amp;"",BI773&amp;""))</f>
        <v/>
      </c>
      <c r="AO773" s="5"/>
      <c r="AR773" s="0" t="str">
        <f aca="false">IF($A773="","",IF(AND(CK773="pass",AO773&lt;&gt;"Y",C773&lt;&gt;"",OR(AU773&lt;&gt;"Y",AV773="Y")),"Y","N"))</f>
        <v/>
      </c>
      <c r="AS773" s="0" t="str">
        <f aca="false">IF($A773="","",_xlfn.TEXTJOIN("; ",TRUE(),IF(CK773&lt;&gt;"pass","gated out",""),IF(AO773="Y","on hold: "&amp;AP773,""),IF(C773="","no contact named on an opened page",""),IF(AND(AU773="Y",AV773&lt;&gt;"Y"),"founder review pending (Founder review tab)","")))</f>
        <v/>
      </c>
      <c r="BC773" s="0" t="str">
        <f aca="false">IF($A773="","",IFERROR(INDEX(Enrichment!$A$2:$GZ$2000,MATCH($A773,INDEX(Enrichment!$A$2:$GZ$2000,0,MATCH("row_id",Enrichment!$A$1:$GZ$1,0)),0),MATCH("work_email",Enrichment!$A$1:$GZ$1,0))&amp;"",""))</f>
        <v/>
      </c>
      <c r="BD773" s="0" t="str">
        <f aca="false">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P773" s="0" t="str">
        <f aca="false">IF($A773="","",IFERROR(INDEX(Enrichment!$A$2:$GZ$2000,MATCH($A773,INDEX(Enrichment!$A$2:$GZ$2000,0,MATCH("row_id",Enrichment!$A$1:$GZ$1,0)),0),MATCH("backup_work_email",Enrichment!$A$1:$GZ$1,0))&amp;"",""))</f>
        <v/>
      </c>
      <c r="BQ773" s="0" t="str">
        <f aca="false">IF($A773="","",IF(BP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DU773" s="0" t="str">
        <f aca="false">IF($A773="","",IF(R773="Y",10,0))</f>
        <v/>
      </c>
      <c r="EV773" s="0" t="str">
        <f aca="false">IF($A773="","",IF(ISNUMBER(MATCH(U773,{"queued","contacted","replied","call_booked","call_done","yes_in_principle","materials_sent"},0)),"Y","N"))</f>
        <v/>
      </c>
      <c r="EW773" s="0" t="str">
        <f aca="false">IF($A773="","",IF(OR(T773="Y",U773="do_not_contact",AQ773&amp;""&lt;&gt;""),"Y","N"))</f>
        <v/>
      </c>
      <c r="EX773" s="0" t="str">
        <f aca="false">IF($A773="","",IF(AN773&amp;""&lt;&gt;"",AN773&amp;"",$A773))</f>
        <v/>
      </c>
      <c r="EY773" s="0" t="str">
        <f aca="false">IF($A773="","",IF(COUNTIFS($EX$2:$EX$1000,EX773,$EV$2:$EV$1000,"Y")+COUNTIFS($EX$2:$EX$1000,EX773,$EW$2:$EW$1000,"Y")&gt;0,"Y","N"))</f>
        <v/>
      </c>
      <c r="EZ773" s="0" t="str">
        <f aca="false">IF($A773="","",IF(AND(U773="new",T773="N",EW773="N",AR773="Y",EY773="N"),"Y","N"))</f>
        <v/>
      </c>
      <c r="FA773" s="0" t="str">
        <f aca="false">IF($A773="","",IF(EZ773&lt;&gt;"Y","N",IF(COUNTIFS($EX$2:$EX$1000,EX773,$EZ$2:$EZ$1000,"Y",$J$2:$J$1000,"&gt;"&amp;J773)+COUNTIFS($EX$2:$EX$1000,EX773,$EZ$2:$EZ$1000,"Y",$J$2:$J$1000,J773,$FG$2:$FG$1000,"&lt;"&amp;FG773)=0,"Y","N")))</f>
        <v/>
      </c>
      <c r="FB773" s="0" t="str">
        <f aca="false">IF($A773="","",IF(AND(EZ773="Y",FA773="Y",Y773&amp;""&lt;&gt;""),IF(Y773&lt;=10,"Y","N"),"N"))</f>
        <v/>
      </c>
      <c r="FC773" s="0" t="str">
        <f aca="false">IF(FB773="Y",Y773,"")</f>
        <v/>
      </c>
      <c r="FD773" s="0" t="str">
        <f aca="false">IF($A773="","",IF(AND(CK773="pass",AU773="Y",AV773&lt;&gt;"Y",U773="new",EW773="N"),"Y","N"))</f>
        <v/>
      </c>
      <c r="FE773" s="0" t="str">
        <f aca="false">IF(FD773&lt;&gt;"Y","",IF(COUNTIFS($FD$2:$FD$1000,"Y",$J$2:$J$1000,"&gt;"&amp;J773)+COUNTIFS($FD$2:$FD$1000,"Y",$J$2:$J$1000,J773,$FG$2:$FG$1000,"&lt;"&amp;FG773)+1&lt;=30,COUNTIFS($FD$2:$FD$1000,"Y",$J$2:$J$1000,"&gt;"&amp;J773)+COUNTIFS($FD$2:$FD$1000,"Y",$J$2:$J$1000,J773,$FG$2:$FG$1000,"&lt;"&amp;FG773)+1,""))</f>
        <v/>
      </c>
      <c r="FF773" s="0" t="str">
        <f aca="false">IF(AND(_xlfn.ISFORMULA(C773),_xlfn.ISFORMULA(J773)),"Y","N")</f>
        <v>Y</v>
      </c>
      <c r="FG773" s="0" t="n">
        <f aca="false">ROW()-1</f>
        <v>772</v>
      </c>
    </row>
    <row r="774" customFormat="false" ht="15" hidden="false" customHeight="false" outlineLevel="0" collapsed="false">
      <c r="C774" s="0" t="str">
        <f aca="false">IF($A774="","",IF(AT774="Y",BL774&amp;"",AY774&amp;""))</f>
        <v/>
      </c>
      <c r="D774" s="0" t="str">
        <f aca="false">IF($A774="","",IF(AT774="Y",BM774&amp;"",AZ774&amp;""))</f>
        <v/>
      </c>
      <c r="E774" s="0" t="str">
        <f aca="false">IF($A774="","",IF(AT774="Y",BN774&amp;"",BA774&amp;""))</f>
        <v/>
      </c>
      <c r="F774" s="0" t="str">
        <f aca="false">IF($A774="","",IF(AT774="Y",BO774&amp;"",BB774&amp;""))</f>
        <v/>
      </c>
      <c r="G774" s="0" t="str">
        <f aca="false">IF($A774="","",IF(AT774="Y",BP774&amp;"",BC774&amp;""))</f>
        <v/>
      </c>
      <c r="H774" s="0" t="str">
        <f aca="false">IF($A774="","",IF(AT774="Y",BQ774&amp;"",BD774&amp;""))</f>
        <v/>
      </c>
      <c r="I774" s="0" t="str">
        <f aca="false">IF($A774="","",IF(R774="Y","warm-intro",IF(H774="verified","email",IF(C774&lt;&gt;"","linkedin",CA774&amp;""))))</f>
        <v/>
      </c>
      <c r="J774" s="0" t="str">
        <f aca="false">IF($A774="","",IF(CK774="pass",ROUND(N(DO774)+N(DP774)+N(DQ774)+N(DR774)+N(DS774)+N(DT774)+N(DU774)+N(DV774),0),0))</f>
        <v/>
      </c>
      <c r="K774" s="0" t="str">
        <f aca="false">IF($A774="","",IF(CK774&lt;&gt;"pass",BY774&amp;"",BY774&amp;", "&amp;IF(AT774="Y",BX774&amp;"",BK774&amp;"")&amp;BZ774&amp;IF(R774="Y","; known to the founder (+10)","")&amp;"."))</f>
        <v/>
      </c>
      <c r="R774" s="5"/>
      <c r="T774" s="5"/>
      <c r="U774" s="5"/>
      <c r="Y774" s="0" t="str">
        <f aca="false">IF(FA774&lt;&gt;"Y","",COUNTIFS($FA$2:$FA$1000,"Y",$J$2:$J$1000,"&gt;"&amp;J774)+COUNTIFS($FA$2:$FA$1000,"Y",$J$2:$J$1000,J774,$FG$2:$FG$1000,"&lt;"&amp;FG774)+1)</f>
        <v/>
      </c>
      <c r="AB774" s="0" t="str">
        <f aca="false">IF($A774="","",IF(AT774="Y",BW774&amp;"",BJ774&amp;""))</f>
        <v/>
      </c>
      <c r="AC774" s="0" t="str">
        <f aca="false">IF($A774="","",IF(AT774="Y",BR774&amp;"",BE774&amp;""))</f>
        <v/>
      </c>
      <c r="AD774" s="0" t="str">
        <f aca="false">IF($A774="","",IF(AT774="Y",BS774&amp;"",BF774&amp;""))</f>
        <v/>
      </c>
      <c r="AE774" s="0" t="str">
        <f aca="false">IF($A774="","",IF(AT774="Y",BT774&amp;"",BG774&amp;""))</f>
        <v/>
      </c>
      <c r="AF774" s="0" t="str">
        <f aca="false">IF($A774="","",IF(AT774="Y",BU774&amp;"",BH774&amp;""))</f>
        <v/>
      </c>
      <c r="AG774" s="0" t="str">
        <f aca="false">IF($A774="","",IF(AT774="Y",BV774&amp;"",BI774&amp;""))</f>
        <v/>
      </c>
      <c r="AO774" s="5"/>
      <c r="AR774" s="0" t="str">
        <f aca="false">IF($A774="","",IF(AND(CK774="pass",AO774&lt;&gt;"Y",C774&lt;&gt;"",OR(AU774&lt;&gt;"Y",AV774="Y")),"Y","N"))</f>
        <v/>
      </c>
      <c r="AS774" s="0" t="str">
        <f aca="false">IF($A774="","",_xlfn.TEXTJOIN("; ",TRUE(),IF(CK774&lt;&gt;"pass","gated out",""),IF(AO774="Y","on hold: "&amp;AP774,""),IF(C774="","no contact named on an opened page",""),IF(AND(AU774="Y",AV774&lt;&gt;"Y"),"founder review pending (Founder review tab)","")))</f>
        <v/>
      </c>
      <c r="BC774" s="0" t="str">
        <f aca="false">IF($A774="","",IFERROR(INDEX(Enrichment!$A$2:$GZ$2000,MATCH($A774,INDEX(Enrichment!$A$2:$GZ$2000,0,MATCH("row_id",Enrichment!$A$1:$GZ$1,0)),0),MATCH("work_email",Enrichment!$A$1:$GZ$1,0))&amp;"",""))</f>
        <v/>
      </c>
      <c r="BD774" s="0" t="str">
        <f aca="false">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P774" s="0" t="str">
        <f aca="false">IF($A774="","",IFERROR(INDEX(Enrichment!$A$2:$GZ$2000,MATCH($A774,INDEX(Enrichment!$A$2:$GZ$2000,0,MATCH("row_id",Enrichment!$A$1:$GZ$1,0)),0),MATCH("backup_work_email",Enrichment!$A$1:$GZ$1,0))&amp;"",""))</f>
        <v/>
      </c>
      <c r="BQ774" s="0" t="str">
        <f aca="false">IF($A774="","",IF(BP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DU774" s="0" t="str">
        <f aca="false">IF($A774="","",IF(R774="Y",10,0))</f>
        <v/>
      </c>
      <c r="EV774" s="0" t="str">
        <f aca="false">IF($A774="","",IF(ISNUMBER(MATCH(U774,{"queued","contacted","replied","call_booked","call_done","yes_in_principle","materials_sent"},0)),"Y","N"))</f>
        <v/>
      </c>
      <c r="EW774" s="0" t="str">
        <f aca="false">IF($A774="","",IF(OR(T774="Y",U774="do_not_contact",AQ774&amp;""&lt;&gt;""),"Y","N"))</f>
        <v/>
      </c>
      <c r="EX774" s="0" t="str">
        <f aca="false">IF($A774="","",IF(AN774&amp;""&lt;&gt;"",AN774&amp;"",$A774))</f>
        <v/>
      </c>
      <c r="EY774" s="0" t="str">
        <f aca="false">IF($A774="","",IF(COUNTIFS($EX$2:$EX$1000,EX774,$EV$2:$EV$1000,"Y")+COUNTIFS($EX$2:$EX$1000,EX774,$EW$2:$EW$1000,"Y")&gt;0,"Y","N"))</f>
        <v/>
      </c>
      <c r="EZ774" s="0" t="str">
        <f aca="false">IF($A774="","",IF(AND(U774="new",T774="N",EW774="N",AR774="Y",EY774="N"),"Y","N"))</f>
        <v/>
      </c>
      <c r="FA774" s="0" t="str">
        <f aca="false">IF($A774="","",IF(EZ774&lt;&gt;"Y","N",IF(COUNTIFS($EX$2:$EX$1000,EX774,$EZ$2:$EZ$1000,"Y",$J$2:$J$1000,"&gt;"&amp;J774)+COUNTIFS($EX$2:$EX$1000,EX774,$EZ$2:$EZ$1000,"Y",$J$2:$J$1000,J774,$FG$2:$FG$1000,"&lt;"&amp;FG774)=0,"Y","N")))</f>
        <v/>
      </c>
      <c r="FB774" s="0" t="str">
        <f aca="false">IF($A774="","",IF(AND(EZ774="Y",FA774="Y",Y774&amp;""&lt;&gt;""),IF(Y774&lt;=10,"Y","N"),"N"))</f>
        <v/>
      </c>
      <c r="FC774" s="0" t="str">
        <f aca="false">IF(FB774="Y",Y774,"")</f>
        <v/>
      </c>
      <c r="FD774" s="0" t="str">
        <f aca="false">IF($A774="","",IF(AND(CK774="pass",AU774="Y",AV774&lt;&gt;"Y",U774="new",EW774="N"),"Y","N"))</f>
        <v/>
      </c>
      <c r="FE774" s="0" t="str">
        <f aca="false">IF(FD774&lt;&gt;"Y","",IF(COUNTIFS($FD$2:$FD$1000,"Y",$J$2:$J$1000,"&gt;"&amp;J774)+COUNTIFS($FD$2:$FD$1000,"Y",$J$2:$J$1000,J774,$FG$2:$FG$1000,"&lt;"&amp;FG774)+1&lt;=30,COUNTIFS($FD$2:$FD$1000,"Y",$J$2:$J$1000,"&gt;"&amp;J774)+COUNTIFS($FD$2:$FD$1000,"Y",$J$2:$J$1000,J774,$FG$2:$FG$1000,"&lt;"&amp;FG774)+1,""))</f>
        <v/>
      </c>
      <c r="FF774" s="0" t="str">
        <f aca="false">IF(AND(_xlfn.ISFORMULA(C774),_xlfn.ISFORMULA(J774)),"Y","N")</f>
        <v>Y</v>
      </c>
      <c r="FG774" s="0" t="n">
        <f aca="false">ROW()-1</f>
        <v>773</v>
      </c>
    </row>
    <row r="775" customFormat="false" ht="15" hidden="false" customHeight="false" outlineLevel="0" collapsed="false">
      <c r="C775" s="0" t="str">
        <f aca="false">IF($A775="","",IF(AT775="Y",BL775&amp;"",AY775&amp;""))</f>
        <v/>
      </c>
      <c r="D775" s="0" t="str">
        <f aca="false">IF($A775="","",IF(AT775="Y",BM775&amp;"",AZ775&amp;""))</f>
        <v/>
      </c>
      <c r="E775" s="0" t="str">
        <f aca="false">IF($A775="","",IF(AT775="Y",BN775&amp;"",BA775&amp;""))</f>
        <v/>
      </c>
      <c r="F775" s="0" t="str">
        <f aca="false">IF($A775="","",IF(AT775="Y",BO775&amp;"",BB775&amp;""))</f>
        <v/>
      </c>
      <c r="G775" s="0" t="str">
        <f aca="false">IF($A775="","",IF(AT775="Y",BP775&amp;"",BC775&amp;""))</f>
        <v/>
      </c>
      <c r="H775" s="0" t="str">
        <f aca="false">IF($A775="","",IF(AT775="Y",BQ775&amp;"",BD775&amp;""))</f>
        <v/>
      </c>
      <c r="I775" s="0" t="str">
        <f aca="false">IF($A775="","",IF(R775="Y","warm-intro",IF(H775="verified","email",IF(C775&lt;&gt;"","linkedin",CA775&amp;""))))</f>
        <v/>
      </c>
      <c r="J775" s="0" t="str">
        <f aca="false">IF($A775="","",IF(CK775="pass",ROUND(N(DO775)+N(DP775)+N(DQ775)+N(DR775)+N(DS775)+N(DT775)+N(DU775)+N(DV775),0),0))</f>
        <v/>
      </c>
      <c r="K775" s="0" t="str">
        <f aca="false">IF($A775="","",IF(CK775&lt;&gt;"pass",BY775&amp;"",BY775&amp;", "&amp;IF(AT775="Y",BX775&amp;"",BK775&amp;"")&amp;BZ775&amp;IF(R775="Y","; known to the founder (+10)","")&amp;"."))</f>
        <v/>
      </c>
      <c r="R775" s="5"/>
      <c r="T775" s="5"/>
      <c r="U775" s="5"/>
      <c r="Y775" s="0" t="str">
        <f aca="false">IF(FA775&lt;&gt;"Y","",COUNTIFS($FA$2:$FA$1000,"Y",$J$2:$J$1000,"&gt;"&amp;J775)+COUNTIFS($FA$2:$FA$1000,"Y",$J$2:$J$1000,J775,$FG$2:$FG$1000,"&lt;"&amp;FG775)+1)</f>
        <v/>
      </c>
      <c r="AB775" s="0" t="str">
        <f aca="false">IF($A775="","",IF(AT775="Y",BW775&amp;"",BJ775&amp;""))</f>
        <v/>
      </c>
      <c r="AC775" s="0" t="str">
        <f aca="false">IF($A775="","",IF(AT775="Y",BR775&amp;"",BE775&amp;""))</f>
        <v/>
      </c>
      <c r="AD775" s="0" t="str">
        <f aca="false">IF($A775="","",IF(AT775="Y",BS775&amp;"",BF775&amp;""))</f>
        <v/>
      </c>
      <c r="AE775" s="0" t="str">
        <f aca="false">IF($A775="","",IF(AT775="Y",BT775&amp;"",BG775&amp;""))</f>
        <v/>
      </c>
      <c r="AF775" s="0" t="str">
        <f aca="false">IF($A775="","",IF(AT775="Y",BU775&amp;"",BH775&amp;""))</f>
        <v/>
      </c>
      <c r="AG775" s="0" t="str">
        <f aca="false">IF($A775="","",IF(AT775="Y",BV775&amp;"",BI775&amp;""))</f>
        <v/>
      </c>
      <c r="AO775" s="5"/>
      <c r="AR775" s="0" t="str">
        <f aca="false">IF($A775="","",IF(AND(CK775="pass",AO775&lt;&gt;"Y",C775&lt;&gt;"",OR(AU775&lt;&gt;"Y",AV775="Y")),"Y","N"))</f>
        <v/>
      </c>
      <c r="AS775" s="0" t="str">
        <f aca="false">IF($A775="","",_xlfn.TEXTJOIN("; ",TRUE(),IF(CK775&lt;&gt;"pass","gated out",""),IF(AO775="Y","on hold: "&amp;AP775,""),IF(C775="","no contact named on an opened page",""),IF(AND(AU775="Y",AV775&lt;&gt;"Y"),"founder review pending (Founder review tab)","")))</f>
        <v/>
      </c>
      <c r="BC775" s="0" t="str">
        <f aca="false">IF($A775="","",IFERROR(INDEX(Enrichment!$A$2:$GZ$2000,MATCH($A775,INDEX(Enrichment!$A$2:$GZ$2000,0,MATCH("row_id",Enrichment!$A$1:$GZ$1,0)),0),MATCH("work_email",Enrichment!$A$1:$GZ$1,0))&amp;"",""))</f>
        <v/>
      </c>
      <c r="BD775" s="0" t="str">
        <f aca="false">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P775" s="0" t="str">
        <f aca="false">IF($A775="","",IFERROR(INDEX(Enrichment!$A$2:$GZ$2000,MATCH($A775,INDEX(Enrichment!$A$2:$GZ$2000,0,MATCH("row_id",Enrichment!$A$1:$GZ$1,0)),0),MATCH("backup_work_email",Enrichment!$A$1:$GZ$1,0))&amp;"",""))</f>
        <v/>
      </c>
      <c r="BQ775" s="0" t="str">
        <f aca="false">IF($A775="","",IF(BP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DU775" s="0" t="str">
        <f aca="false">IF($A775="","",IF(R775="Y",10,0))</f>
        <v/>
      </c>
      <c r="EV775" s="0" t="str">
        <f aca="false">IF($A775="","",IF(ISNUMBER(MATCH(U775,{"queued","contacted","replied","call_booked","call_done","yes_in_principle","materials_sent"},0)),"Y","N"))</f>
        <v/>
      </c>
      <c r="EW775" s="0" t="str">
        <f aca="false">IF($A775="","",IF(OR(T775="Y",U775="do_not_contact",AQ775&amp;""&lt;&gt;""),"Y","N"))</f>
        <v/>
      </c>
      <c r="EX775" s="0" t="str">
        <f aca="false">IF($A775="","",IF(AN775&amp;""&lt;&gt;"",AN775&amp;"",$A775))</f>
        <v/>
      </c>
      <c r="EY775" s="0" t="str">
        <f aca="false">IF($A775="","",IF(COUNTIFS($EX$2:$EX$1000,EX775,$EV$2:$EV$1000,"Y")+COUNTIFS($EX$2:$EX$1000,EX775,$EW$2:$EW$1000,"Y")&gt;0,"Y","N"))</f>
        <v/>
      </c>
      <c r="EZ775" s="0" t="str">
        <f aca="false">IF($A775="","",IF(AND(U775="new",T775="N",EW775="N",AR775="Y",EY775="N"),"Y","N"))</f>
        <v/>
      </c>
      <c r="FA775" s="0" t="str">
        <f aca="false">IF($A775="","",IF(EZ775&lt;&gt;"Y","N",IF(COUNTIFS($EX$2:$EX$1000,EX775,$EZ$2:$EZ$1000,"Y",$J$2:$J$1000,"&gt;"&amp;J775)+COUNTIFS($EX$2:$EX$1000,EX775,$EZ$2:$EZ$1000,"Y",$J$2:$J$1000,J775,$FG$2:$FG$1000,"&lt;"&amp;FG775)=0,"Y","N")))</f>
        <v/>
      </c>
      <c r="FB775" s="0" t="str">
        <f aca="false">IF($A775="","",IF(AND(EZ775="Y",FA775="Y",Y775&amp;""&lt;&gt;""),IF(Y775&lt;=10,"Y","N"),"N"))</f>
        <v/>
      </c>
      <c r="FC775" s="0" t="str">
        <f aca="false">IF(FB775="Y",Y775,"")</f>
        <v/>
      </c>
      <c r="FD775" s="0" t="str">
        <f aca="false">IF($A775="","",IF(AND(CK775="pass",AU775="Y",AV775&lt;&gt;"Y",U775="new",EW775="N"),"Y","N"))</f>
        <v/>
      </c>
      <c r="FE775" s="0" t="str">
        <f aca="false">IF(FD775&lt;&gt;"Y","",IF(COUNTIFS($FD$2:$FD$1000,"Y",$J$2:$J$1000,"&gt;"&amp;J775)+COUNTIFS($FD$2:$FD$1000,"Y",$J$2:$J$1000,J775,$FG$2:$FG$1000,"&lt;"&amp;FG775)+1&lt;=30,COUNTIFS($FD$2:$FD$1000,"Y",$J$2:$J$1000,"&gt;"&amp;J775)+COUNTIFS($FD$2:$FD$1000,"Y",$J$2:$J$1000,J775,$FG$2:$FG$1000,"&lt;"&amp;FG775)+1,""))</f>
        <v/>
      </c>
      <c r="FF775" s="0" t="str">
        <f aca="false">IF(AND(_xlfn.ISFORMULA(C775),_xlfn.ISFORMULA(J775)),"Y","N")</f>
        <v>Y</v>
      </c>
      <c r="FG775" s="0" t="n">
        <f aca="false">ROW()-1</f>
        <v>774</v>
      </c>
    </row>
    <row r="776" customFormat="false" ht="15" hidden="false" customHeight="false" outlineLevel="0" collapsed="false">
      <c r="C776" s="0" t="str">
        <f aca="false">IF($A776="","",IF(AT776="Y",BL776&amp;"",AY776&amp;""))</f>
        <v/>
      </c>
      <c r="D776" s="0" t="str">
        <f aca="false">IF($A776="","",IF(AT776="Y",BM776&amp;"",AZ776&amp;""))</f>
        <v/>
      </c>
      <c r="E776" s="0" t="str">
        <f aca="false">IF($A776="","",IF(AT776="Y",BN776&amp;"",BA776&amp;""))</f>
        <v/>
      </c>
      <c r="F776" s="0" t="str">
        <f aca="false">IF($A776="","",IF(AT776="Y",BO776&amp;"",BB776&amp;""))</f>
        <v/>
      </c>
      <c r="G776" s="0" t="str">
        <f aca="false">IF($A776="","",IF(AT776="Y",BP776&amp;"",BC776&amp;""))</f>
        <v/>
      </c>
      <c r="H776" s="0" t="str">
        <f aca="false">IF($A776="","",IF(AT776="Y",BQ776&amp;"",BD776&amp;""))</f>
        <v/>
      </c>
      <c r="I776" s="0" t="str">
        <f aca="false">IF($A776="","",IF(R776="Y","warm-intro",IF(H776="verified","email",IF(C776&lt;&gt;"","linkedin",CA776&amp;""))))</f>
        <v/>
      </c>
      <c r="J776" s="0" t="str">
        <f aca="false">IF($A776="","",IF(CK776="pass",ROUND(N(DO776)+N(DP776)+N(DQ776)+N(DR776)+N(DS776)+N(DT776)+N(DU776)+N(DV776),0),0))</f>
        <v/>
      </c>
      <c r="K776" s="0" t="str">
        <f aca="false">IF($A776="","",IF(CK776&lt;&gt;"pass",BY776&amp;"",BY776&amp;", "&amp;IF(AT776="Y",BX776&amp;"",BK776&amp;"")&amp;BZ776&amp;IF(R776="Y","; known to the founder (+10)","")&amp;"."))</f>
        <v/>
      </c>
      <c r="R776" s="5"/>
      <c r="T776" s="5"/>
      <c r="U776" s="5"/>
      <c r="Y776" s="0" t="str">
        <f aca="false">IF(FA776&lt;&gt;"Y","",COUNTIFS($FA$2:$FA$1000,"Y",$J$2:$J$1000,"&gt;"&amp;J776)+COUNTIFS($FA$2:$FA$1000,"Y",$J$2:$J$1000,J776,$FG$2:$FG$1000,"&lt;"&amp;FG776)+1)</f>
        <v/>
      </c>
      <c r="AB776" s="0" t="str">
        <f aca="false">IF($A776="","",IF(AT776="Y",BW776&amp;"",BJ776&amp;""))</f>
        <v/>
      </c>
      <c r="AC776" s="0" t="str">
        <f aca="false">IF($A776="","",IF(AT776="Y",BR776&amp;"",BE776&amp;""))</f>
        <v/>
      </c>
      <c r="AD776" s="0" t="str">
        <f aca="false">IF($A776="","",IF(AT776="Y",BS776&amp;"",BF776&amp;""))</f>
        <v/>
      </c>
      <c r="AE776" s="0" t="str">
        <f aca="false">IF($A776="","",IF(AT776="Y",BT776&amp;"",BG776&amp;""))</f>
        <v/>
      </c>
      <c r="AF776" s="0" t="str">
        <f aca="false">IF($A776="","",IF(AT776="Y",BU776&amp;"",BH776&amp;""))</f>
        <v/>
      </c>
      <c r="AG776" s="0" t="str">
        <f aca="false">IF($A776="","",IF(AT776="Y",BV776&amp;"",BI776&amp;""))</f>
        <v/>
      </c>
      <c r="AO776" s="5"/>
      <c r="AR776" s="0" t="str">
        <f aca="false">IF($A776="","",IF(AND(CK776="pass",AO776&lt;&gt;"Y",C776&lt;&gt;"",OR(AU776&lt;&gt;"Y",AV776="Y")),"Y","N"))</f>
        <v/>
      </c>
      <c r="AS776" s="0" t="str">
        <f aca="false">IF($A776="","",_xlfn.TEXTJOIN("; ",TRUE(),IF(CK776&lt;&gt;"pass","gated out",""),IF(AO776="Y","on hold: "&amp;AP776,""),IF(C776="","no contact named on an opened page",""),IF(AND(AU776="Y",AV776&lt;&gt;"Y"),"founder review pending (Founder review tab)","")))</f>
        <v/>
      </c>
      <c r="BC776" s="0" t="str">
        <f aca="false">IF($A776="","",IFERROR(INDEX(Enrichment!$A$2:$GZ$2000,MATCH($A776,INDEX(Enrichment!$A$2:$GZ$2000,0,MATCH("row_id",Enrichment!$A$1:$GZ$1,0)),0),MATCH("work_email",Enrichment!$A$1:$GZ$1,0))&amp;"",""))</f>
        <v/>
      </c>
      <c r="BD776" s="0" t="str">
        <f aca="false">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P776" s="0" t="str">
        <f aca="false">IF($A776="","",IFERROR(INDEX(Enrichment!$A$2:$GZ$2000,MATCH($A776,INDEX(Enrichment!$A$2:$GZ$2000,0,MATCH("row_id",Enrichment!$A$1:$GZ$1,0)),0),MATCH("backup_work_email",Enrichment!$A$1:$GZ$1,0))&amp;"",""))</f>
        <v/>
      </c>
      <c r="BQ776" s="0" t="str">
        <f aca="false">IF($A776="","",IF(BP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DU776" s="0" t="str">
        <f aca="false">IF($A776="","",IF(R776="Y",10,0))</f>
        <v/>
      </c>
      <c r="EV776" s="0" t="str">
        <f aca="false">IF($A776="","",IF(ISNUMBER(MATCH(U776,{"queued","contacted","replied","call_booked","call_done","yes_in_principle","materials_sent"},0)),"Y","N"))</f>
        <v/>
      </c>
      <c r="EW776" s="0" t="str">
        <f aca="false">IF($A776="","",IF(OR(T776="Y",U776="do_not_contact",AQ776&amp;""&lt;&gt;""),"Y","N"))</f>
        <v/>
      </c>
      <c r="EX776" s="0" t="str">
        <f aca="false">IF($A776="","",IF(AN776&amp;""&lt;&gt;"",AN776&amp;"",$A776))</f>
        <v/>
      </c>
      <c r="EY776" s="0" t="str">
        <f aca="false">IF($A776="","",IF(COUNTIFS($EX$2:$EX$1000,EX776,$EV$2:$EV$1000,"Y")+COUNTIFS($EX$2:$EX$1000,EX776,$EW$2:$EW$1000,"Y")&gt;0,"Y","N"))</f>
        <v/>
      </c>
      <c r="EZ776" s="0" t="str">
        <f aca="false">IF($A776="","",IF(AND(U776="new",T776="N",EW776="N",AR776="Y",EY776="N"),"Y","N"))</f>
        <v/>
      </c>
      <c r="FA776" s="0" t="str">
        <f aca="false">IF($A776="","",IF(EZ776&lt;&gt;"Y","N",IF(COUNTIFS($EX$2:$EX$1000,EX776,$EZ$2:$EZ$1000,"Y",$J$2:$J$1000,"&gt;"&amp;J776)+COUNTIFS($EX$2:$EX$1000,EX776,$EZ$2:$EZ$1000,"Y",$J$2:$J$1000,J776,$FG$2:$FG$1000,"&lt;"&amp;FG776)=0,"Y","N")))</f>
        <v/>
      </c>
      <c r="FB776" s="0" t="str">
        <f aca="false">IF($A776="","",IF(AND(EZ776="Y",FA776="Y",Y776&amp;""&lt;&gt;""),IF(Y776&lt;=10,"Y","N"),"N"))</f>
        <v/>
      </c>
      <c r="FC776" s="0" t="str">
        <f aca="false">IF(FB776="Y",Y776,"")</f>
        <v/>
      </c>
      <c r="FD776" s="0" t="str">
        <f aca="false">IF($A776="","",IF(AND(CK776="pass",AU776="Y",AV776&lt;&gt;"Y",U776="new",EW776="N"),"Y","N"))</f>
        <v/>
      </c>
      <c r="FE776" s="0" t="str">
        <f aca="false">IF(FD776&lt;&gt;"Y","",IF(COUNTIFS($FD$2:$FD$1000,"Y",$J$2:$J$1000,"&gt;"&amp;J776)+COUNTIFS($FD$2:$FD$1000,"Y",$J$2:$J$1000,J776,$FG$2:$FG$1000,"&lt;"&amp;FG776)+1&lt;=30,COUNTIFS($FD$2:$FD$1000,"Y",$J$2:$J$1000,"&gt;"&amp;J776)+COUNTIFS($FD$2:$FD$1000,"Y",$J$2:$J$1000,J776,$FG$2:$FG$1000,"&lt;"&amp;FG776)+1,""))</f>
        <v/>
      </c>
      <c r="FF776" s="0" t="str">
        <f aca="false">IF(AND(_xlfn.ISFORMULA(C776),_xlfn.ISFORMULA(J776)),"Y","N")</f>
        <v>Y</v>
      </c>
      <c r="FG776" s="0" t="n">
        <f aca="false">ROW()-1</f>
        <v>775</v>
      </c>
    </row>
    <row r="777" customFormat="false" ht="15" hidden="false" customHeight="false" outlineLevel="0" collapsed="false">
      <c r="C777" s="0" t="str">
        <f aca="false">IF($A777="","",IF(AT777="Y",BL777&amp;"",AY777&amp;""))</f>
        <v/>
      </c>
      <c r="D777" s="0" t="str">
        <f aca="false">IF($A777="","",IF(AT777="Y",BM777&amp;"",AZ777&amp;""))</f>
        <v/>
      </c>
      <c r="E777" s="0" t="str">
        <f aca="false">IF($A777="","",IF(AT777="Y",BN777&amp;"",BA777&amp;""))</f>
        <v/>
      </c>
      <c r="F777" s="0" t="str">
        <f aca="false">IF($A777="","",IF(AT777="Y",BO777&amp;"",BB777&amp;""))</f>
        <v/>
      </c>
      <c r="G777" s="0" t="str">
        <f aca="false">IF($A777="","",IF(AT777="Y",BP777&amp;"",BC777&amp;""))</f>
        <v/>
      </c>
      <c r="H777" s="0" t="str">
        <f aca="false">IF($A777="","",IF(AT777="Y",BQ777&amp;"",BD777&amp;""))</f>
        <v/>
      </c>
      <c r="I777" s="0" t="str">
        <f aca="false">IF($A777="","",IF(R777="Y","warm-intro",IF(H777="verified","email",IF(C777&lt;&gt;"","linkedin",CA777&amp;""))))</f>
        <v/>
      </c>
      <c r="J777" s="0" t="str">
        <f aca="false">IF($A777="","",IF(CK777="pass",ROUND(N(DO777)+N(DP777)+N(DQ777)+N(DR777)+N(DS777)+N(DT777)+N(DU777)+N(DV777),0),0))</f>
        <v/>
      </c>
      <c r="K777" s="0" t="str">
        <f aca="false">IF($A777="","",IF(CK777&lt;&gt;"pass",BY777&amp;"",BY777&amp;", "&amp;IF(AT777="Y",BX777&amp;"",BK777&amp;"")&amp;BZ777&amp;IF(R777="Y","; known to the founder (+10)","")&amp;"."))</f>
        <v/>
      </c>
      <c r="R777" s="5"/>
      <c r="T777" s="5"/>
      <c r="U777" s="5"/>
      <c r="Y777" s="0" t="str">
        <f aca="false">IF(FA777&lt;&gt;"Y","",COUNTIFS($FA$2:$FA$1000,"Y",$J$2:$J$1000,"&gt;"&amp;J777)+COUNTIFS($FA$2:$FA$1000,"Y",$J$2:$J$1000,J777,$FG$2:$FG$1000,"&lt;"&amp;FG777)+1)</f>
        <v/>
      </c>
      <c r="AB777" s="0" t="str">
        <f aca="false">IF($A777="","",IF(AT777="Y",BW777&amp;"",BJ777&amp;""))</f>
        <v/>
      </c>
      <c r="AC777" s="0" t="str">
        <f aca="false">IF($A777="","",IF(AT777="Y",BR777&amp;"",BE777&amp;""))</f>
        <v/>
      </c>
      <c r="AD777" s="0" t="str">
        <f aca="false">IF($A777="","",IF(AT777="Y",BS777&amp;"",BF777&amp;""))</f>
        <v/>
      </c>
      <c r="AE777" s="0" t="str">
        <f aca="false">IF($A777="","",IF(AT777="Y",BT777&amp;"",BG777&amp;""))</f>
        <v/>
      </c>
      <c r="AF777" s="0" t="str">
        <f aca="false">IF($A777="","",IF(AT777="Y",BU777&amp;"",BH777&amp;""))</f>
        <v/>
      </c>
      <c r="AG777" s="0" t="str">
        <f aca="false">IF($A777="","",IF(AT777="Y",BV777&amp;"",BI777&amp;""))</f>
        <v/>
      </c>
      <c r="AO777" s="5"/>
      <c r="AR777" s="0" t="str">
        <f aca="false">IF($A777="","",IF(AND(CK777="pass",AO777&lt;&gt;"Y",C777&lt;&gt;"",OR(AU777&lt;&gt;"Y",AV777="Y")),"Y","N"))</f>
        <v/>
      </c>
      <c r="AS777" s="0" t="str">
        <f aca="false">IF($A777="","",_xlfn.TEXTJOIN("; ",TRUE(),IF(CK777&lt;&gt;"pass","gated out",""),IF(AO777="Y","on hold: "&amp;AP777,""),IF(C777="","no contact named on an opened page",""),IF(AND(AU777="Y",AV777&lt;&gt;"Y"),"founder review pending (Founder review tab)","")))</f>
        <v/>
      </c>
      <c r="BC777" s="0" t="str">
        <f aca="false">IF($A777="","",IFERROR(INDEX(Enrichment!$A$2:$GZ$2000,MATCH($A777,INDEX(Enrichment!$A$2:$GZ$2000,0,MATCH("row_id",Enrichment!$A$1:$GZ$1,0)),0),MATCH("work_email",Enrichment!$A$1:$GZ$1,0))&amp;"",""))</f>
        <v/>
      </c>
      <c r="BD777" s="0" t="str">
        <f aca="false">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P777" s="0" t="str">
        <f aca="false">IF($A777="","",IFERROR(INDEX(Enrichment!$A$2:$GZ$2000,MATCH($A777,INDEX(Enrichment!$A$2:$GZ$2000,0,MATCH("row_id",Enrichment!$A$1:$GZ$1,0)),0),MATCH("backup_work_email",Enrichment!$A$1:$GZ$1,0))&amp;"",""))</f>
        <v/>
      </c>
      <c r="BQ777" s="0" t="str">
        <f aca="false">IF($A777="","",IF(BP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DU777" s="0" t="str">
        <f aca="false">IF($A777="","",IF(R777="Y",10,0))</f>
        <v/>
      </c>
      <c r="EV777" s="0" t="str">
        <f aca="false">IF($A777="","",IF(ISNUMBER(MATCH(U777,{"queued","contacted","replied","call_booked","call_done","yes_in_principle","materials_sent"},0)),"Y","N"))</f>
        <v/>
      </c>
      <c r="EW777" s="0" t="str">
        <f aca="false">IF($A777="","",IF(OR(T777="Y",U777="do_not_contact",AQ777&amp;""&lt;&gt;""),"Y","N"))</f>
        <v/>
      </c>
      <c r="EX777" s="0" t="str">
        <f aca="false">IF($A777="","",IF(AN777&amp;""&lt;&gt;"",AN777&amp;"",$A777))</f>
        <v/>
      </c>
      <c r="EY777" s="0" t="str">
        <f aca="false">IF($A777="","",IF(COUNTIFS($EX$2:$EX$1000,EX777,$EV$2:$EV$1000,"Y")+COUNTIFS($EX$2:$EX$1000,EX777,$EW$2:$EW$1000,"Y")&gt;0,"Y","N"))</f>
        <v/>
      </c>
      <c r="EZ777" s="0" t="str">
        <f aca="false">IF($A777="","",IF(AND(U777="new",T777="N",EW777="N",AR777="Y",EY777="N"),"Y","N"))</f>
        <v/>
      </c>
      <c r="FA777" s="0" t="str">
        <f aca="false">IF($A777="","",IF(EZ777&lt;&gt;"Y","N",IF(COUNTIFS($EX$2:$EX$1000,EX777,$EZ$2:$EZ$1000,"Y",$J$2:$J$1000,"&gt;"&amp;J777)+COUNTIFS($EX$2:$EX$1000,EX777,$EZ$2:$EZ$1000,"Y",$J$2:$J$1000,J777,$FG$2:$FG$1000,"&lt;"&amp;FG777)=0,"Y","N")))</f>
        <v/>
      </c>
      <c r="FB777" s="0" t="str">
        <f aca="false">IF($A777="","",IF(AND(EZ777="Y",FA777="Y",Y777&amp;""&lt;&gt;""),IF(Y777&lt;=10,"Y","N"),"N"))</f>
        <v/>
      </c>
      <c r="FC777" s="0" t="str">
        <f aca="false">IF(FB777="Y",Y777,"")</f>
        <v/>
      </c>
      <c r="FD777" s="0" t="str">
        <f aca="false">IF($A777="","",IF(AND(CK777="pass",AU777="Y",AV777&lt;&gt;"Y",U777="new",EW777="N"),"Y","N"))</f>
        <v/>
      </c>
      <c r="FE777" s="0" t="str">
        <f aca="false">IF(FD777&lt;&gt;"Y","",IF(COUNTIFS($FD$2:$FD$1000,"Y",$J$2:$J$1000,"&gt;"&amp;J777)+COUNTIFS($FD$2:$FD$1000,"Y",$J$2:$J$1000,J777,$FG$2:$FG$1000,"&lt;"&amp;FG777)+1&lt;=30,COUNTIFS($FD$2:$FD$1000,"Y",$J$2:$J$1000,"&gt;"&amp;J777)+COUNTIFS($FD$2:$FD$1000,"Y",$J$2:$J$1000,J777,$FG$2:$FG$1000,"&lt;"&amp;FG777)+1,""))</f>
        <v/>
      </c>
      <c r="FF777" s="0" t="str">
        <f aca="false">IF(AND(_xlfn.ISFORMULA(C777),_xlfn.ISFORMULA(J777)),"Y","N")</f>
        <v>Y</v>
      </c>
      <c r="FG777" s="0" t="n">
        <f aca="false">ROW()-1</f>
        <v>776</v>
      </c>
    </row>
    <row r="778" customFormat="false" ht="15" hidden="false" customHeight="false" outlineLevel="0" collapsed="false">
      <c r="C778" s="0" t="str">
        <f aca="false">IF($A778="","",IF(AT778="Y",BL778&amp;"",AY778&amp;""))</f>
        <v/>
      </c>
      <c r="D778" s="0" t="str">
        <f aca="false">IF($A778="","",IF(AT778="Y",BM778&amp;"",AZ778&amp;""))</f>
        <v/>
      </c>
      <c r="E778" s="0" t="str">
        <f aca="false">IF($A778="","",IF(AT778="Y",BN778&amp;"",BA778&amp;""))</f>
        <v/>
      </c>
      <c r="F778" s="0" t="str">
        <f aca="false">IF($A778="","",IF(AT778="Y",BO778&amp;"",BB778&amp;""))</f>
        <v/>
      </c>
      <c r="G778" s="0" t="str">
        <f aca="false">IF($A778="","",IF(AT778="Y",BP778&amp;"",BC778&amp;""))</f>
        <v/>
      </c>
      <c r="H778" s="0" t="str">
        <f aca="false">IF($A778="","",IF(AT778="Y",BQ778&amp;"",BD778&amp;""))</f>
        <v/>
      </c>
      <c r="I778" s="0" t="str">
        <f aca="false">IF($A778="","",IF(R778="Y","warm-intro",IF(H778="verified","email",IF(C778&lt;&gt;"","linkedin",CA778&amp;""))))</f>
        <v/>
      </c>
      <c r="J778" s="0" t="str">
        <f aca="false">IF($A778="","",IF(CK778="pass",ROUND(N(DO778)+N(DP778)+N(DQ778)+N(DR778)+N(DS778)+N(DT778)+N(DU778)+N(DV778),0),0))</f>
        <v/>
      </c>
      <c r="K778" s="0" t="str">
        <f aca="false">IF($A778="","",IF(CK778&lt;&gt;"pass",BY778&amp;"",BY778&amp;", "&amp;IF(AT778="Y",BX778&amp;"",BK778&amp;"")&amp;BZ778&amp;IF(R778="Y","; known to the founder (+10)","")&amp;"."))</f>
        <v/>
      </c>
      <c r="R778" s="5"/>
      <c r="T778" s="5"/>
      <c r="U778" s="5"/>
      <c r="Y778" s="0" t="str">
        <f aca="false">IF(FA778&lt;&gt;"Y","",COUNTIFS($FA$2:$FA$1000,"Y",$J$2:$J$1000,"&gt;"&amp;J778)+COUNTIFS($FA$2:$FA$1000,"Y",$J$2:$J$1000,J778,$FG$2:$FG$1000,"&lt;"&amp;FG778)+1)</f>
        <v/>
      </c>
      <c r="AB778" s="0" t="str">
        <f aca="false">IF($A778="","",IF(AT778="Y",BW778&amp;"",BJ778&amp;""))</f>
        <v/>
      </c>
      <c r="AC778" s="0" t="str">
        <f aca="false">IF($A778="","",IF(AT778="Y",BR778&amp;"",BE778&amp;""))</f>
        <v/>
      </c>
      <c r="AD778" s="0" t="str">
        <f aca="false">IF($A778="","",IF(AT778="Y",BS778&amp;"",BF778&amp;""))</f>
        <v/>
      </c>
      <c r="AE778" s="0" t="str">
        <f aca="false">IF($A778="","",IF(AT778="Y",BT778&amp;"",BG778&amp;""))</f>
        <v/>
      </c>
      <c r="AF778" s="0" t="str">
        <f aca="false">IF($A778="","",IF(AT778="Y",BU778&amp;"",BH778&amp;""))</f>
        <v/>
      </c>
      <c r="AG778" s="0" t="str">
        <f aca="false">IF($A778="","",IF(AT778="Y",BV778&amp;"",BI778&amp;""))</f>
        <v/>
      </c>
      <c r="AO778" s="5"/>
      <c r="AR778" s="0" t="str">
        <f aca="false">IF($A778="","",IF(AND(CK778="pass",AO778&lt;&gt;"Y",C778&lt;&gt;"",OR(AU778&lt;&gt;"Y",AV778="Y")),"Y","N"))</f>
        <v/>
      </c>
      <c r="AS778" s="0" t="str">
        <f aca="false">IF($A778="","",_xlfn.TEXTJOIN("; ",TRUE(),IF(CK778&lt;&gt;"pass","gated out",""),IF(AO778="Y","on hold: "&amp;AP778,""),IF(C778="","no contact named on an opened page",""),IF(AND(AU778="Y",AV778&lt;&gt;"Y"),"founder review pending (Founder review tab)","")))</f>
        <v/>
      </c>
      <c r="BC778" s="0" t="str">
        <f aca="false">IF($A778="","",IFERROR(INDEX(Enrichment!$A$2:$GZ$2000,MATCH($A778,INDEX(Enrichment!$A$2:$GZ$2000,0,MATCH("row_id",Enrichment!$A$1:$GZ$1,0)),0),MATCH("work_email",Enrichment!$A$1:$GZ$1,0))&amp;"",""))</f>
        <v/>
      </c>
      <c r="BD778" s="0" t="str">
        <f aca="false">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P778" s="0" t="str">
        <f aca="false">IF($A778="","",IFERROR(INDEX(Enrichment!$A$2:$GZ$2000,MATCH($A778,INDEX(Enrichment!$A$2:$GZ$2000,0,MATCH("row_id",Enrichment!$A$1:$GZ$1,0)),0),MATCH("backup_work_email",Enrichment!$A$1:$GZ$1,0))&amp;"",""))</f>
        <v/>
      </c>
      <c r="BQ778" s="0" t="str">
        <f aca="false">IF($A778="","",IF(BP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DU778" s="0" t="str">
        <f aca="false">IF($A778="","",IF(R778="Y",10,0))</f>
        <v/>
      </c>
      <c r="EV778" s="0" t="str">
        <f aca="false">IF($A778="","",IF(ISNUMBER(MATCH(U778,{"queued","contacted","replied","call_booked","call_done","yes_in_principle","materials_sent"},0)),"Y","N"))</f>
        <v/>
      </c>
      <c r="EW778" s="0" t="str">
        <f aca="false">IF($A778="","",IF(OR(T778="Y",U778="do_not_contact",AQ778&amp;""&lt;&gt;""),"Y","N"))</f>
        <v/>
      </c>
      <c r="EX778" s="0" t="str">
        <f aca="false">IF($A778="","",IF(AN778&amp;""&lt;&gt;"",AN778&amp;"",$A778))</f>
        <v/>
      </c>
      <c r="EY778" s="0" t="str">
        <f aca="false">IF($A778="","",IF(COUNTIFS($EX$2:$EX$1000,EX778,$EV$2:$EV$1000,"Y")+COUNTIFS($EX$2:$EX$1000,EX778,$EW$2:$EW$1000,"Y")&gt;0,"Y","N"))</f>
        <v/>
      </c>
      <c r="EZ778" s="0" t="str">
        <f aca="false">IF($A778="","",IF(AND(U778="new",T778="N",EW778="N",AR778="Y",EY778="N"),"Y","N"))</f>
        <v/>
      </c>
      <c r="FA778" s="0" t="str">
        <f aca="false">IF($A778="","",IF(EZ778&lt;&gt;"Y","N",IF(COUNTIFS($EX$2:$EX$1000,EX778,$EZ$2:$EZ$1000,"Y",$J$2:$J$1000,"&gt;"&amp;J778)+COUNTIFS($EX$2:$EX$1000,EX778,$EZ$2:$EZ$1000,"Y",$J$2:$J$1000,J778,$FG$2:$FG$1000,"&lt;"&amp;FG778)=0,"Y","N")))</f>
        <v/>
      </c>
      <c r="FB778" s="0" t="str">
        <f aca="false">IF($A778="","",IF(AND(EZ778="Y",FA778="Y",Y778&amp;""&lt;&gt;""),IF(Y778&lt;=10,"Y","N"),"N"))</f>
        <v/>
      </c>
      <c r="FC778" s="0" t="str">
        <f aca="false">IF(FB778="Y",Y778,"")</f>
        <v/>
      </c>
      <c r="FD778" s="0" t="str">
        <f aca="false">IF($A778="","",IF(AND(CK778="pass",AU778="Y",AV778&lt;&gt;"Y",U778="new",EW778="N"),"Y","N"))</f>
        <v/>
      </c>
      <c r="FE778" s="0" t="str">
        <f aca="false">IF(FD778&lt;&gt;"Y","",IF(COUNTIFS($FD$2:$FD$1000,"Y",$J$2:$J$1000,"&gt;"&amp;J778)+COUNTIFS($FD$2:$FD$1000,"Y",$J$2:$J$1000,J778,$FG$2:$FG$1000,"&lt;"&amp;FG778)+1&lt;=30,COUNTIFS($FD$2:$FD$1000,"Y",$J$2:$J$1000,"&gt;"&amp;J778)+COUNTIFS($FD$2:$FD$1000,"Y",$J$2:$J$1000,J778,$FG$2:$FG$1000,"&lt;"&amp;FG778)+1,""))</f>
        <v/>
      </c>
      <c r="FF778" s="0" t="str">
        <f aca="false">IF(AND(_xlfn.ISFORMULA(C778),_xlfn.ISFORMULA(J778)),"Y","N")</f>
        <v>Y</v>
      </c>
      <c r="FG778" s="0" t="n">
        <f aca="false">ROW()-1</f>
        <v>777</v>
      </c>
    </row>
    <row r="779" customFormat="false" ht="15" hidden="false" customHeight="false" outlineLevel="0" collapsed="false">
      <c r="C779" s="0" t="str">
        <f aca="false">IF($A779="","",IF(AT779="Y",BL779&amp;"",AY779&amp;""))</f>
        <v/>
      </c>
      <c r="D779" s="0" t="str">
        <f aca="false">IF($A779="","",IF(AT779="Y",BM779&amp;"",AZ779&amp;""))</f>
        <v/>
      </c>
      <c r="E779" s="0" t="str">
        <f aca="false">IF($A779="","",IF(AT779="Y",BN779&amp;"",BA779&amp;""))</f>
        <v/>
      </c>
      <c r="F779" s="0" t="str">
        <f aca="false">IF($A779="","",IF(AT779="Y",BO779&amp;"",BB779&amp;""))</f>
        <v/>
      </c>
      <c r="G779" s="0" t="str">
        <f aca="false">IF($A779="","",IF(AT779="Y",BP779&amp;"",BC779&amp;""))</f>
        <v/>
      </c>
      <c r="H779" s="0" t="str">
        <f aca="false">IF($A779="","",IF(AT779="Y",BQ779&amp;"",BD779&amp;""))</f>
        <v/>
      </c>
      <c r="I779" s="0" t="str">
        <f aca="false">IF($A779="","",IF(R779="Y","warm-intro",IF(H779="verified","email",IF(C779&lt;&gt;"","linkedin",CA779&amp;""))))</f>
        <v/>
      </c>
      <c r="J779" s="0" t="str">
        <f aca="false">IF($A779="","",IF(CK779="pass",ROUND(N(DO779)+N(DP779)+N(DQ779)+N(DR779)+N(DS779)+N(DT779)+N(DU779)+N(DV779),0),0))</f>
        <v/>
      </c>
      <c r="K779" s="0" t="str">
        <f aca="false">IF($A779="","",IF(CK779&lt;&gt;"pass",BY779&amp;"",BY779&amp;", "&amp;IF(AT779="Y",BX779&amp;"",BK779&amp;"")&amp;BZ779&amp;IF(R779="Y","; known to the founder (+10)","")&amp;"."))</f>
        <v/>
      </c>
      <c r="R779" s="5"/>
      <c r="T779" s="5"/>
      <c r="U779" s="5"/>
      <c r="Y779" s="0" t="str">
        <f aca="false">IF(FA779&lt;&gt;"Y","",COUNTIFS($FA$2:$FA$1000,"Y",$J$2:$J$1000,"&gt;"&amp;J779)+COUNTIFS($FA$2:$FA$1000,"Y",$J$2:$J$1000,J779,$FG$2:$FG$1000,"&lt;"&amp;FG779)+1)</f>
        <v/>
      </c>
      <c r="AB779" s="0" t="str">
        <f aca="false">IF($A779="","",IF(AT779="Y",BW779&amp;"",BJ779&amp;""))</f>
        <v/>
      </c>
      <c r="AC779" s="0" t="str">
        <f aca="false">IF($A779="","",IF(AT779="Y",BR779&amp;"",BE779&amp;""))</f>
        <v/>
      </c>
      <c r="AD779" s="0" t="str">
        <f aca="false">IF($A779="","",IF(AT779="Y",BS779&amp;"",BF779&amp;""))</f>
        <v/>
      </c>
      <c r="AE779" s="0" t="str">
        <f aca="false">IF($A779="","",IF(AT779="Y",BT779&amp;"",BG779&amp;""))</f>
        <v/>
      </c>
      <c r="AF779" s="0" t="str">
        <f aca="false">IF($A779="","",IF(AT779="Y",BU779&amp;"",BH779&amp;""))</f>
        <v/>
      </c>
      <c r="AG779" s="0" t="str">
        <f aca="false">IF($A779="","",IF(AT779="Y",BV779&amp;"",BI779&amp;""))</f>
        <v/>
      </c>
      <c r="AO779" s="5"/>
      <c r="AR779" s="0" t="str">
        <f aca="false">IF($A779="","",IF(AND(CK779="pass",AO779&lt;&gt;"Y",C779&lt;&gt;"",OR(AU779&lt;&gt;"Y",AV779="Y")),"Y","N"))</f>
        <v/>
      </c>
      <c r="AS779" s="0" t="str">
        <f aca="false">IF($A779="","",_xlfn.TEXTJOIN("; ",TRUE(),IF(CK779&lt;&gt;"pass","gated out",""),IF(AO779="Y","on hold: "&amp;AP779,""),IF(C779="","no contact named on an opened page",""),IF(AND(AU779="Y",AV779&lt;&gt;"Y"),"founder review pending (Founder review tab)","")))</f>
        <v/>
      </c>
      <c r="BC779" s="0" t="str">
        <f aca="false">IF($A779="","",IFERROR(INDEX(Enrichment!$A$2:$GZ$2000,MATCH($A779,INDEX(Enrichment!$A$2:$GZ$2000,0,MATCH("row_id",Enrichment!$A$1:$GZ$1,0)),0),MATCH("work_email",Enrichment!$A$1:$GZ$1,0))&amp;"",""))</f>
        <v/>
      </c>
      <c r="BD779" s="0" t="str">
        <f aca="false">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P779" s="0" t="str">
        <f aca="false">IF($A779="","",IFERROR(INDEX(Enrichment!$A$2:$GZ$2000,MATCH($A779,INDEX(Enrichment!$A$2:$GZ$2000,0,MATCH("row_id",Enrichment!$A$1:$GZ$1,0)),0),MATCH("backup_work_email",Enrichment!$A$1:$GZ$1,0))&amp;"",""))</f>
        <v/>
      </c>
      <c r="BQ779" s="0" t="str">
        <f aca="false">IF($A779="","",IF(BP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DU779" s="0" t="str">
        <f aca="false">IF($A779="","",IF(R779="Y",10,0))</f>
        <v/>
      </c>
      <c r="EV779" s="0" t="str">
        <f aca="false">IF($A779="","",IF(ISNUMBER(MATCH(U779,{"queued","contacted","replied","call_booked","call_done","yes_in_principle","materials_sent"},0)),"Y","N"))</f>
        <v/>
      </c>
      <c r="EW779" s="0" t="str">
        <f aca="false">IF($A779="","",IF(OR(T779="Y",U779="do_not_contact",AQ779&amp;""&lt;&gt;""),"Y","N"))</f>
        <v/>
      </c>
      <c r="EX779" s="0" t="str">
        <f aca="false">IF($A779="","",IF(AN779&amp;""&lt;&gt;"",AN779&amp;"",$A779))</f>
        <v/>
      </c>
      <c r="EY779" s="0" t="str">
        <f aca="false">IF($A779="","",IF(COUNTIFS($EX$2:$EX$1000,EX779,$EV$2:$EV$1000,"Y")+COUNTIFS($EX$2:$EX$1000,EX779,$EW$2:$EW$1000,"Y")&gt;0,"Y","N"))</f>
        <v/>
      </c>
      <c r="EZ779" s="0" t="str">
        <f aca="false">IF($A779="","",IF(AND(U779="new",T779="N",EW779="N",AR779="Y",EY779="N"),"Y","N"))</f>
        <v/>
      </c>
      <c r="FA779" s="0" t="str">
        <f aca="false">IF($A779="","",IF(EZ779&lt;&gt;"Y","N",IF(COUNTIFS($EX$2:$EX$1000,EX779,$EZ$2:$EZ$1000,"Y",$J$2:$J$1000,"&gt;"&amp;J779)+COUNTIFS($EX$2:$EX$1000,EX779,$EZ$2:$EZ$1000,"Y",$J$2:$J$1000,J779,$FG$2:$FG$1000,"&lt;"&amp;FG779)=0,"Y","N")))</f>
        <v/>
      </c>
      <c r="FB779" s="0" t="str">
        <f aca="false">IF($A779="","",IF(AND(EZ779="Y",FA779="Y",Y779&amp;""&lt;&gt;""),IF(Y779&lt;=10,"Y","N"),"N"))</f>
        <v/>
      </c>
      <c r="FC779" s="0" t="str">
        <f aca="false">IF(FB779="Y",Y779,"")</f>
        <v/>
      </c>
      <c r="FD779" s="0" t="str">
        <f aca="false">IF($A779="","",IF(AND(CK779="pass",AU779="Y",AV779&lt;&gt;"Y",U779="new",EW779="N"),"Y","N"))</f>
        <v/>
      </c>
      <c r="FE779" s="0" t="str">
        <f aca="false">IF(FD779&lt;&gt;"Y","",IF(COUNTIFS($FD$2:$FD$1000,"Y",$J$2:$J$1000,"&gt;"&amp;J779)+COUNTIFS($FD$2:$FD$1000,"Y",$J$2:$J$1000,J779,$FG$2:$FG$1000,"&lt;"&amp;FG779)+1&lt;=30,COUNTIFS($FD$2:$FD$1000,"Y",$J$2:$J$1000,"&gt;"&amp;J779)+COUNTIFS($FD$2:$FD$1000,"Y",$J$2:$J$1000,J779,$FG$2:$FG$1000,"&lt;"&amp;FG779)+1,""))</f>
        <v/>
      </c>
      <c r="FF779" s="0" t="str">
        <f aca="false">IF(AND(_xlfn.ISFORMULA(C779),_xlfn.ISFORMULA(J779)),"Y","N")</f>
        <v>Y</v>
      </c>
      <c r="FG779" s="0" t="n">
        <f aca="false">ROW()-1</f>
        <v>778</v>
      </c>
    </row>
    <row r="780" customFormat="false" ht="15" hidden="false" customHeight="false" outlineLevel="0" collapsed="false">
      <c r="C780" s="0" t="str">
        <f aca="false">IF($A780="","",IF(AT780="Y",BL780&amp;"",AY780&amp;""))</f>
        <v/>
      </c>
      <c r="D780" s="0" t="str">
        <f aca="false">IF($A780="","",IF(AT780="Y",BM780&amp;"",AZ780&amp;""))</f>
        <v/>
      </c>
      <c r="E780" s="0" t="str">
        <f aca="false">IF($A780="","",IF(AT780="Y",BN780&amp;"",BA780&amp;""))</f>
        <v/>
      </c>
      <c r="F780" s="0" t="str">
        <f aca="false">IF($A780="","",IF(AT780="Y",BO780&amp;"",BB780&amp;""))</f>
        <v/>
      </c>
      <c r="G780" s="0" t="str">
        <f aca="false">IF($A780="","",IF(AT780="Y",BP780&amp;"",BC780&amp;""))</f>
        <v/>
      </c>
      <c r="H780" s="0" t="str">
        <f aca="false">IF($A780="","",IF(AT780="Y",BQ780&amp;"",BD780&amp;""))</f>
        <v/>
      </c>
      <c r="I780" s="0" t="str">
        <f aca="false">IF($A780="","",IF(R780="Y","warm-intro",IF(H780="verified","email",IF(C780&lt;&gt;"","linkedin",CA780&amp;""))))</f>
        <v/>
      </c>
      <c r="J780" s="0" t="str">
        <f aca="false">IF($A780="","",IF(CK780="pass",ROUND(N(DO780)+N(DP780)+N(DQ780)+N(DR780)+N(DS780)+N(DT780)+N(DU780)+N(DV780),0),0))</f>
        <v/>
      </c>
      <c r="K780" s="0" t="str">
        <f aca="false">IF($A780="","",IF(CK780&lt;&gt;"pass",BY780&amp;"",BY780&amp;", "&amp;IF(AT780="Y",BX780&amp;"",BK780&amp;"")&amp;BZ780&amp;IF(R780="Y","; known to the founder (+10)","")&amp;"."))</f>
        <v/>
      </c>
      <c r="R780" s="5"/>
      <c r="T780" s="5"/>
      <c r="U780" s="5"/>
      <c r="Y780" s="0" t="str">
        <f aca="false">IF(FA780&lt;&gt;"Y","",COUNTIFS($FA$2:$FA$1000,"Y",$J$2:$J$1000,"&gt;"&amp;J780)+COUNTIFS($FA$2:$FA$1000,"Y",$J$2:$J$1000,J780,$FG$2:$FG$1000,"&lt;"&amp;FG780)+1)</f>
        <v/>
      </c>
      <c r="AB780" s="0" t="str">
        <f aca="false">IF($A780="","",IF(AT780="Y",BW780&amp;"",BJ780&amp;""))</f>
        <v/>
      </c>
      <c r="AC780" s="0" t="str">
        <f aca="false">IF($A780="","",IF(AT780="Y",BR780&amp;"",BE780&amp;""))</f>
        <v/>
      </c>
      <c r="AD780" s="0" t="str">
        <f aca="false">IF($A780="","",IF(AT780="Y",BS780&amp;"",BF780&amp;""))</f>
        <v/>
      </c>
      <c r="AE780" s="0" t="str">
        <f aca="false">IF($A780="","",IF(AT780="Y",BT780&amp;"",BG780&amp;""))</f>
        <v/>
      </c>
      <c r="AF780" s="0" t="str">
        <f aca="false">IF($A780="","",IF(AT780="Y",BU780&amp;"",BH780&amp;""))</f>
        <v/>
      </c>
      <c r="AG780" s="0" t="str">
        <f aca="false">IF($A780="","",IF(AT780="Y",BV780&amp;"",BI780&amp;""))</f>
        <v/>
      </c>
      <c r="AO780" s="5"/>
      <c r="AR780" s="0" t="str">
        <f aca="false">IF($A780="","",IF(AND(CK780="pass",AO780&lt;&gt;"Y",C780&lt;&gt;"",OR(AU780&lt;&gt;"Y",AV780="Y")),"Y","N"))</f>
        <v/>
      </c>
      <c r="AS780" s="0" t="str">
        <f aca="false">IF($A780="","",_xlfn.TEXTJOIN("; ",TRUE(),IF(CK780&lt;&gt;"pass","gated out",""),IF(AO780="Y","on hold: "&amp;AP780,""),IF(C780="","no contact named on an opened page",""),IF(AND(AU780="Y",AV780&lt;&gt;"Y"),"founder review pending (Founder review tab)","")))</f>
        <v/>
      </c>
      <c r="BC780" s="0" t="str">
        <f aca="false">IF($A780="","",IFERROR(INDEX(Enrichment!$A$2:$GZ$2000,MATCH($A780,INDEX(Enrichment!$A$2:$GZ$2000,0,MATCH("row_id",Enrichment!$A$1:$GZ$1,0)),0),MATCH("work_email",Enrichment!$A$1:$GZ$1,0))&amp;"",""))</f>
        <v/>
      </c>
      <c r="BD780" s="0" t="str">
        <f aca="false">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P780" s="0" t="str">
        <f aca="false">IF($A780="","",IFERROR(INDEX(Enrichment!$A$2:$GZ$2000,MATCH($A780,INDEX(Enrichment!$A$2:$GZ$2000,0,MATCH("row_id",Enrichment!$A$1:$GZ$1,0)),0),MATCH("backup_work_email",Enrichment!$A$1:$GZ$1,0))&amp;"",""))</f>
        <v/>
      </c>
      <c r="BQ780" s="0" t="str">
        <f aca="false">IF($A780="","",IF(BP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DU780" s="0" t="str">
        <f aca="false">IF($A780="","",IF(R780="Y",10,0))</f>
        <v/>
      </c>
      <c r="EV780" s="0" t="str">
        <f aca="false">IF($A780="","",IF(ISNUMBER(MATCH(U780,{"queued","contacted","replied","call_booked","call_done","yes_in_principle","materials_sent"},0)),"Y","N"))</f>
        <v/>
      </c>
      <c r="EW780" s="0" t="str">
        <f aca="false">IF($A780="","",IF(OR(T780="Y",U780="do_not_contact",AQ780&amp;""&lt;&gt;""),"Y","N"))</f>
        <v/>
      </c>
      <c r="EX780" s="0" t="str">
        <f aca="false">IF($A780="","",IF(AN780&amp;""&lt;&gt;"",AN780&amp;"",$A780))</f>
        <v/>
      </c>
      <c r="EY780" s="0" t="str">
        <f aca="false">IF($A780="","",IF(COUNTIFS($EX$2:$EX$1000,EX780,$EV$2:$EV$1000,"Y")+COUNTIFS($EX$2:$EX$1000,EX780,$EW$2:$EW$1000,"Y")&gt;0,"Y","N"))</f>
        <v/>
      </c>
      <c r="EZ780" s="0" t="str">
        <f aca="false">IF($A780="","",IF(AND(U780="new",T780="N",EW780="N",AR780="Y",EY780="N"),"Y","N"))</f>
        <v/>
      </c>
      <c r="FA780" s="0" t="str">
        <f aca="false">IF($A780="","",IF(EZ780&lt;&gt;"Y","N",IF(COUNTIFS($EX$2:$EX$1000,EX780,$EZ$2:$EZ$1000,"Y",$J$2:$J$1000,"&gt;"&amp;J780)+COUNTIFS($EX$2:$EX$1000,EX780,$EZ$2:$EZ$1000,"Y",$J$2:$J$1000,J780,$FG$2:$FG$1000,"&lt;"&amp;FG780)=0,"Y","N")))</f>
        <v/>
      </c>
      <c r="FB780" s="0" t="str">
        <f aca="false">IF($A780="","",IF(AND(EZ780="Y",FA780="Y",Y780&amp;""&lt;&gt;""),IF(Y780&lt;=10,"Y","N"),"N"))</f>
        <v/>
      </c>
      <c r="FC780" s="0" t="str">
        <f aca="false">IF(FB780="Y",Y780,"")</f>
        <v/>
      </c>
      <c r="FD780" s="0" t="str">
        <f aca="false">IF($A780="","",IF(AND(CK780="pass",AU780="Y",AV780&lt;&gt;"Y",U780="new",EW780="N"),"Y","N"))</f>
        <v/>
      </c>
      <c r="FE780" s="0" t="str">
        <f aca="false">IF(FD780&lt;&gt;"Y","",IF(COUNTIFS($FD$2:$FD$1000,"Y",$J$2:$J$1000,"&gt;"&amp;J780)+COUNTIFS($FD$2:$FD$1000,"Y",$J$2:$J$1000,J780,$FG$2:$FG$1000,"&lt;"&amp;FG780)+1&lt;=30,COUNTIFS($FD$2:$FD$1000,"Y",$J$2:$J$1000,"&gt;"&amp;J780)+COUNTIFS($FD$2:$FD$1000,"Y",$J$2:$J$1000,J780,$FG$2:$FG$1000,"&lt;"&amp;FG780)+1,""))</f>
        <v/>
      </c>
      <c r="FF780" s="0" t="str">
        <f aca="false">IF(AND(_xlfn.ISFORMULA(C780),_xlfn.ISFORMULA(J780)),"Y","N")</f>
        <v>Y</v>
      </c>
      <c r="FG780" s="0" t="n">
        <f aca="false">ROW()-1</f>
        <v>779</v>
      </c>
    </row>
    <row r="781" customFormat="false" ht="15" hidden="false" customHeight="false" outlineLevel="0" collapsed="false">
      <c r="C781" s="0" t="str">
        <f aca="false">IF($A781="","",IF(AT781="Y",BL781&amp;"",AY781&amp;""))</f>
        <v/>
      </c>
      <c r="D781" s="0" t="str">
        <f aca="false">IF($A781="","",IF(AT781="Y",BM781&amp;"",AZ781&amp;""))</f>
        <v/>
      </c>
      <c r="E781" s="0" t="str">
        <f aca="false">IF($A781="","",IF(AT781="Y",BN781&amp;"",BA781&amp;""))</f>
        <v/>
      </c>
      <c r="F781" s="0" t="str">
        <f aca="false">IF($A781="","",IF(AT781="Y",BO781&amp;"",BB781&amp;""))</f>
        <v/>
      </c>
      <c r="G781" s="0" t="str">
        <f aca="false">IF($A781="","",IF(AT781="Y",BP781&amp;"",BC781&amp;""))</f>
        <v/>
      </c>
      <c r="H781" s="0" t="str">
        <f aca="false">IF($A781="","",IF(AT781="Y",BQ781&amp;"",BD781&amp;""))</f>
        <v/>
      </c>
      <c r="I781" s="0" t="str">
        <f aca="false">IF($A781="","",IF(R781="Y","warm-intro",IF(H781="verified","email",IF(C781&lt;&gt;"","linkedin",CA781&amp;""))))</f>
        <v/>
      </c>
      <c r="J781" s="0" t="str">
        <f aca="false">IF($A781="","",IF(CK781="pass",ROUND(N(DO781)+N(DP781)+N(DQ781)+N(DR781)+N(DS781)+N(DT781)+N(DU781)+N(DV781),0),0))</f>
        <v/>
      </c>
      <c r="K781" s="0" t="str">
        <f aca="false">IF($A781="","",IF(CK781&lt;&gt;"pass",BY781&amp;"",BY781&amp;", "&amp;IF(AT781="Y",BX781&amp;"",BK781&amp;"")&amp;BZ781&amp;IF(R781="Y","; known to the founder (+10)","")&amp;"."))</f>
        <v/>
      </c>
      <c r="R781" s="5"/>
      <c r="T781" s="5"/>
      <c r="U781" s="5"/>
      <c r="Y781" s="0" t="str">
        <f aca="false">IF(FA781&lt;&gt;"Y","",COUNTIFS($FA$2:$FA$1000,"Y",$J$2:$J$1000,"&gt;"&amp;J781)+COUNTIFS($FA$2:$FA$1000,"Y",$J$2:$J$1000,J781,$FG$2:$FG$1000,"&lt;"&amp;FG781)+1)</f>
        <v/>
      </c>
      <c r="AB781" s="0" t="str">
        <f aca="false">IF($A781="","",IF(AT781="Y",BW781&amp;"",BJ781&amp;""))</f>
        <v/>
      </c>
      <c r="AC781" s="0" t="str">
        <f aca="false">IF($A781="","",IF(AT781="Y",BR781&amp;"",BE781&amp;""))</f>
        <v/>
      </c>
      <c r="AD781" s="0" t="str">
        <f aca="false">IF($A781="","",IF(AT781="Y",BS781&amp;"",BF781&amp;""))</f>
        <v/>
      </c>
      <c r="AE781" s="0" t="str">
        <f aca="false">IF($A781="","",IF(AT781="Y",BT781&amp;"",BG781&amp;""))</f>
        <v/>
      </c>
      <c r="AF781" s="0" t="str">
        <f aca="false">IF($A781="","",IF(AT781="Y",BU781&amp;"",BH781&amp;""))</f>
        <v/>
      </c>
      <c r="AG781" s="0" t="str">
        <f aca="false">IF($A781="","",IF(AT781="Y",BV781&amp;"",BI781&amp;""))</f>
        <v/>
      </c>
      <c r="AO781" s="5"/>
      <c r="AR781" s="0" t="str">
        <f aca="false">IF($A781="","",IF(AND(CK781="pass",AO781&lt;&gt;"Y",C781&lt;&gt;"",OR(AU781&lt;&gt;"Y",AV781="Y")),"Y","N"))</f>
        <v/>
      </c>
      <c r="AS781" s="0" t="str">
        <f aca="false">IF($A781="","",_xlfn.TEXTJOIN("; ",TRUE(),IF(CK781&lt;&gt;"pass","gated out",""),IF(AO781="Y","on hold: "&amp;AP781,""),IF(C781="","no contact named on an opened page",""),IF(AND(AU781="Y",AV781&lt;&gt;"Y"),"founder review pending (Founder review tab)","")))</f>
        <v/>
      </c>
      <c r="BC781" s="0" t="str">
        <f aca="false">IF($A781="","",IFERROR(INDEX(Enrichment!$A$2:$GZ$2000,MATCH($A781,INDEX(Enrichment!$A$2:$GZ$2000,0,MATCH("row_id",Enrichment!$A$1:$GZ$1,0)),0),MATCH("work_email",Enrichment!$A$1:$GZ$1,0))&amp;"",""))</f>
        <v/>
      </c>
      <c r="BD781" s="0" t="str">
        <f aca="false">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P781" s="0" t="str">
        <f aca="false">IF($A781="","",IFERROR(INDEX(Enrichment!$A$2:$GZ$2000,MATCH($A781,INDEX(Enrichment!$A$2:$GZ$2000,0,MATCH("row_id",Enrichment!$A$1:$GZ$1,0)),0),MATCH("backup_work_email",Enrichment!$A$1:$GZ$1,0))&amp;"",""))</f>
        <v/>
      </c>
      <c r="BQ781" s="0" t="str">
        <f aca="false">IF($A781="","",IF(BP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DU781" s="0" t="str">
        <f aca="false">IF($A781="","",IF(R781="Y",10,0))</f>
        <v/>
      </c>
      <c r="EV781" s="0" t="str">
        <f aca="false">IF($A781="","",IF(ISNUMBER(MATCH(U781,{"queued","contacted","replied","call_booked","call_done","yes_in_principle","materials_sent"},0)),"Y","N"))</f>
        <v/>
      </c>
      <c r="EW781" s="0" t="str">
        <f aca="false">IF($A781="","",IF(OR(T781="Y",U781="do_not_contact",AQ781&amp;""&lt;&gt;""),"Y","N"))</f>
        <v/>
      </c>
      <c r="EX781" s="0" t="str">
        <f aca="false">IF($A781="","",IF(AN781&amp;""&lt;&gt;"",AN781&amp;"",$A781))</f>
        <v/>
      </c>
      <c r="EY781" s="0" t="str">
        <f aca="false">IF($A781="","",IF(COUNTIFS($EX$2:$EX$1000,EX781,$EV$2:$EV$1000,"Y")+COUNTIFS($EX$2:$EX$1000,EX781,$EW$2:$EW$1000,"Y")&gt;0,"Y","N"))</f>
        <v/>
      </c>
      <c r="EZ781" s="0" t="str">
        <f aca="false">IF($A781="","",IF(AND(U781="new",T781="N",EW781="N",AR781="Y",EY781="N"),"Y","N"))</f>
        <v/>
      </c>
      <c r="FA781" s="0" t="str">
        <f aca="false">IF($A781="","",IF(EZ781&lt;&gt;"Y","N",IF(COUNTIFS($EX$2:$EX$1000,EX781,$EZ$2:$EZ$1000,"Y",$J$2:$J$1000,"&gt;"&amp;J781)+COUNTIFS($EX$2:$EX$1000,EX781,$EZ$2:$EZ$1000,"Y",$J$2:$J$1000,J781,$FG$2:$FG$1000,"&lt;"&amp;FG781)=0,"Y","N")))</f>
        <v/>
      </c>
      <c r="FB781" s="0" t="str">
        <f aca="false">IF($A781="","",IF(AND(EZ781="Y",FA781="Y",Y781&amp;""&lt;&gt;""),IF(Y781&lt;=10,"Y","N"),"N"))</f>
        <v/>
      </c>
      <c r="FC781" s="0" t="str">
        <f aca="false">IF(FB781="Y",Y781,"")</f>
        <v/>
      </c>
      <c r="FD781" s="0" t="str">
        <f aca="false">IF($A781="","",IF(AND(CK781="pass",AU781="Y",AV781&lt;&gt;"Y",U781="new",EW781="N"),"Y","N"))</f>
        <v/>
      </c>
      <c r="FE781" s="0" t="str">
        <f aca="false">IF(FD781&lt;&gt;"Y","",IF(COUNTIFS($FD$2:$FD$1000,"Y",$J$2:$J$1000,"&gt;"&amp;J781)+COUNTIFS($FD$2:$FD$1000,"Y",$J$2:$J$1000,J781,$FG$2:$FG$1000,"&lt;"&amp;FG781)+1&lt;=30,COUNTIFS($FD$2:$FD$1000,"Y",$J$2:$J$1000,"&gt;"&amp;J781)+COUNTIFS($FD$2:$FD$1000,"Y",$J$2:$J$1000,J781,$FG$2:$FG$1000,"&lt;"&amp;FG781)+1,""))</f>
        <v/>
      </c>
      <c r="FF781" s="0" t="str">
        <f aca="false">IF(AND(_xlfn.ISFORMULA(C781),_xlfn.ISFORMULA(J781)),"Y","N")</f>
        <v>Y</v>
      </c>
      <c r="FG781" s="0" t="n">
        <f aca="false">ROW()-1</f>
        <v>780</v>
      </c>
    </row>
    <row r="782" customFormat="false" ht="15" hidden="false" customHeight="false" outlineLevel="0" collapsed="false">
      <c r="C782" s="0" t="str">
        <f aca="false">IF($A782="","",IF(AT782="Y",BL782&amp;"",AY782&amp;""))</f>
        <v/>
      </c>
      <c r="D782" s="0" t="str">
        <f aca="false">IF($A782="","",IF(AT782="Y",BM782&amp;"",AZ782&amp;""))</f>
        <v/>
      </c>
      <c r="E782" s="0" t="str">
        <f aca="false">IF($A782="","",IF(AT782="Y",BN782&amp;"",BA782&amp;""))</f>
        <v/>
      </c>
      <c r="F782" s="0" t="str">
        <f aca="false">IF($A782="","",IF(AT782="Y",BO782&amp;"",BB782&amp;""))</f>
        <v/>
      </c>
      <c r="G782" s="0" t="str">
        <f aca="false">IF($A782="","",IF(AT782="Y",BP782&amp;"",BC782&amp;""))</f>
        <v/>
      </c>
      <c r="H782" s="0" t="str">
        <f aca="false">IF($A782="","",IF(AT782="Y",BQ782&amp;"",BD782&amp;""))</f>
        <v/>
      </c>
      <c r="I782" s="0" t="str">
        <f aca="false">IF($A782="","",IF(R782="Y","warm-intro",IF(H782="verified","email",IF(C782&lt;&gt;"","linkedin",CA782&amp;""))))</f>
        <v/>
      </c>
      <c r="J782" s="0" t="str">
        <f aca="false">IF($A782="","",IF(CK782="pass",ROUND(N(DO782)+N(DP782)+N(DQ782)+N(DR782)+N(DS782)+N(DT782)+N(DU782)+N(DV782),0),0))</f>
        <v/>
      </c>
      <c r="K782" s="0" t="str">
        <f aca="false">IF($A782="","",IF(CK782&lt;&gt;"pass",BY782&amp;"",BY782&amp;", "&amp;IF(AT782="Y",BX782&amp;"",BK782&amp;"")&amp;BZ782&amp;IF(R782="Y","; known to the founder (+10)","")&amp;"."))</f>
        <v/>
      </c>
      <c r="R782" s="5"/>
      <c r="T782" s="5"/>
      <c r="U782" s="5"/>
      <c r="Y782" s="0" t="str">
        <f aca="false">IF(FA782&lt;&gt;"Y","",COUNTIFS($FA$2:$FA$1000,"Y",$J$2:$J$1000,"&gt;"&amp;J782)+COUNTIFS($FA$2:$FA$1000,"Y",$J$2:$J$1000,J782,$FG$2:$FG$1000,"&lt;"&amp;FG782)+1)</f>
        <v/>
      </c>
      <c r="AB782" s="0" t="str">
        <f aca="false">IF($A782="","",IF(AT782="Y",BW782&amp;"",BJ782&amp;""))</f>
        <v/>
      </c>
      <c r="AC782" s="0" t="str">
        <f aca="false">IF($A782="","",IF(AT782="Y",BR782&amp;"",BE782&amp;""))</f>
        <v/>
      </c>
      <c r="AD782" s="0" t="str">
        <f aca="false">IF($A782="","",IF(AT782="Y",BS782&amp;"",BF782&amp;""))</f>
        <v/>
      </c>
      <c r="AE782" s="0" t="str">
        <f aca="false">IF($A782="","",IF(AT782="Y",BT782&amp;"",BG782&amp;""))</f>
        <v/>
      </c>
      <c r="AF782" s="0" t="str">
        <f aca="false">IF($A782="","",IF(AT782="Y",BU782&amp;"",BH782&amp;""))</f>
        <v/>
      </c>
      <c r="AG782" s="0" t="str">
        <f aca="false">IF($A782="","",IF(AT782="Y",BV782&amp;"",BI782&amp;""))</f>
        <v/>
      </c>
      <c r="AO782" s="5"/>
      <c r="AR782" s="0" t="str">
        <f aca="false">IF($A782="","",IF(AND(CK782="pass",AO782&lt;&gt;"Y",C782&lt;&gt;"",OR(AU782&lt;&gt;"Y",AV782="Y")),"Y","N"))</f>
        <v/>
      </c>
      <c r="AS782" s="0" t="str">
        <f aca="false">IF($A782="","",_xlfn.TEXTJOIN("; ",TRUE(),IF(CK782&lt;&gt;"pass","gated out",""),IF(AO782="Y","on hold: "&amp;AP782,""),IF(C782="","no contact named on an opened page",""),IF(AND(AU782="Y",AV782&lt;&gt;"Y"),"founder review pending (Founder review tab)","")))</f>
        <v/>
      </c>
      <c r="BC782" s="0" t="str">
        <f aca="false">IF($A782="","",IFERROR(INDEX(Enrichment!$A$2:$GZ$2000,MATCH($A782,INDEX(Enrichment!$A$2:$GZ$2000,0,MATCH("row_id",Enrichment!$A$1:$GZ$1,0)),0),MATCH("work_email",Enrichment!$A$1:$GZ$1,0))&amp;"",""))</f>
        <v/>
      </c>
      <c r="BD782" s="0" t="str">
        <f aca="false">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P782" s="0" t="str">
        <f aca="false">IF($A782="","",IFERROR(INDEX(Enrichment!$A$2:$GZ$2000,MATCH($A782,INDEX(Enrichment!$A$2:$GZ$2000,0,MATCH("row_id",Enrichment!$A$1:$GZ$1,0)),0),MATCH("backup_work_email",Enrichment!$A$1:$GZ$1,0))&amp;"",""))</f>
        <v/>
      </c>
      <c r="BQ782" s="0" t="str">
        <f aca="false">IF($A782="","",IF(BP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DU782" s="0" t="str">
        <f aca="false">IF($A782="","",IF(R782="Y",10,0))</f>
        <v/>
      </c>
      <c r="EV782" s="0" t="str">
        <f aca="false">IF($A782="","",IF(ISNUMBER(MATCH(U782,{"queued","contacted","replied","call_booked","call_done","yes_in_principle","materials_sent"},0)),"Y","N"))</f>
        <v/>
      </c>
      <c r="EW782" s="0" t="str">
        <f aca="false">IF($A782="","",IF(OR(T782="Y",U782="do_not_contact",AQ782&amp;""&lt;&gt;""),"Y","N"))</f>
        <v/>
      </c>
      <c r="EX782" s="0" t="str">
        <f aca="false">IF($A782="","",IF(AN782&amp;""&lt;&gt;"",AN782&amp;"",$A782))</f>
        <v/>
      </c>
      <c r="EY782" s="0" t="str">
        <f aca="false">IF($A782="","",IF(COUNTIFS($EX$2:$EX$1000,EX782,$EV$2:$EV$1000,"Y")+COUNTIFS($EX$2:$EX$1000,EX782,$EW$2:$EW$1000,"Y")&gt;0,"Y","N"))</f>
        <v/>
      </c>
      <c r="EZ782" s="0" t="str">
        <f aca="false">IF($A782="","",IF(AND(U782="new",T782="N",EW782="N",AR782="Y",EY782="N"),"Y","N"))</f>
        <v/>
      </c>
      <c r="FA782" s="0" t="str">
        <f aca="false">IF($A782="","",IF(EZ782&lt;&gt;"Y","N",IF(COUNTIFS($EX$2:$EX$1000,EX782,$EZ$2:$EZ$1000,"Y",$J$2:$J$1000,"&gt;"&amp;J782)+COUNTIFS($EX$2:$EX$1000,EX782,$EZ$2:$EZ$1000,"Y",$J$2:$J$1000,J782,$FG$2:$FG$1000,"&lt;"&amp;FG782)=0,"Y","N")))</f>
        <v/>
      </c>
      <c r="FB782" s="0" t="str">
        <f aca="false">IF($A782="","",IF(AND(EZ782="Y",FA782="Y",Y782&amp;""&lt;&gt;""),IF(Y782&lt;=10,"Y","N"),"N"))</f>
        <v/>
      </c>
      <c r="FC782" s="0" t="str">
        <f aca="false">IF(FB782="Y",Y782,"")</f>
        <v/>
      </c>
      <c r="FD782" s="0" t="str">
        <f aca="false">IF($A782="","",IF(AND(CK782="pass",AU782="Y",AV782&lt;&gt;"Y",U782="new",EW782="N"),"Y","N"))</f>
        <v/>
      </c>
      <c r="FE782" s="0" t="str">
        <f aca="false">IF(FD782&lt;&gt;"Y","",IF(COUNTIFS($FD$2:$FD$1000,"Y",$J$2:$J$1000,"&gt;"&amp;J782)+COUNTIFS($FD$2:$FD$1000,"Y",$J$2:$J$1000,J782,$FG$2:$FG$1000,"&lt;"&amp;FG782)+1&lt;=30,COUNTIFS($FD$2:$FD$1000,"Y",$J$2:$J$1000,"&gt;"&amp;J782)+COUNTIFS($FD$2:$FD$1000,"Y",$J$2:$J$1000,J782,$FG$2:$FG$1000,"&lt;"&amp;FG782)+1,""))</f>
        <v/>
      </c>
      <c r="FF782" s="0" t="str">
        <f aca="false">IF(AND(_xlfn.ISFORMULA(C782),_xlfn.ISFORMULA(J782)),"Y","N")</f>
        <v>Y</v>
      </c>
      <c r="FG782" s="0" t="n">
        <f aca="false">ROW()-1</f>
        <v>781</v>
      </c>
    </row>
    <row r="783" customFormat="false" ht="15" hidden="false" customHeight="false" outlineLevel="0" collapsed="false">
      <c r="C783" s="0" t="str">
        <f aca="false">IF($A783="","",IF(AT783="Y",BL783&amp;"",AY783&amp;""))</f>
        <v/>
      </c>
      <c r="D783" s="0" t="str">
        <f aca="false">IF($A783="","",IF(AT783="Y",BM783&amp;"",AZ783&amp;""))</f>
        <v/>
      </c>
      <c r="E783" s="0" t="str">
        <f aca="false">IF($A783="","",IF(AT783="Y",BN783&amp;"",BA783&amp;""))</f>
        <v/>
      </c>
      <c r="F783" s="0" t="str">
        <f aca="false">IF($A783="","",IF(AT783="Y",BO783&amp;"",BB783&amp;""))</f>
        <v/>
      </c>
      <c r="G783" s="0" t="str">
        <f aca="false">IF($A783="","",IF(AT783="Y",BP783&amp;"",BC783&amp;""))</f>
        <v/>
      </c>
      <c r="H783" s="0" t="str">
        <f aca="false">IF($A783="","",IF(AT783="Y",BQ783&amp;"",BD783&amp;""))</f>
        <v/>
      </c>
      <c r="I783" s="0" t="str">
        <f aca="false">IF($A783="","",IF(R783="Y","warm-intro",IF(H783="verified","email",IF(C783&lt;&gt;"","linkedin",CA783&amp;""))))</f>
        <v/>
      </c>
      <c r="J783" s="0" t="str">
        <f aca="false">IF($A783="","",IF(CK783="pass",ROUND(N(DO783)+N(DP783)+N(DQ783)+N(DR783)+N(DS783)+N(DT783)+N(DU783)+N(DV783),0),0))</f>
        <v/>
      </c>
      <c r="K783" s="0" t="str">
        <f aca="false">IF($A783="","",IF(CK783&lt;&gt;"pass",BY783&amp;"",BY783&amp;", "&amp;IF(AT783="Y",BX783&amp;"",BK783&amp;"")&amp;BZ783&amp;IF(R783="Y","; known to the founder (+10)","")&amp;"."))</f>
        <v/>
      </c>
      <c r="R783" s="5"/>
      <c r="T783" s="5"/>
      <c r="U783" s="5"/>
      <c r="Y783" s="0" t="str">
        <f aca="false">IF(FA783&lt;&gt;"Y","",COUNTIFS($FA$2:$FA$1000,"Y",$J$2:$J$1000,"&gt;"&amp;J783)+COUNTIFS($FA$2:$FA$1000,"Y",$J$2:$J$1000,J783,$FG$2:$FG$1000,"&lt;"&amp;FG783)+1)</f>
        <v/>
      </c>
      <c r="AB783" s="0" t="str">
        <f aca="false">IF($A783="","",IF(AT783="Y",BW783&amp;"",BJ783&amp;""))</f>
        <v/>
      </c>
      <c r="AC783" s="0" t="str">
        <f aca="false">IF($A783="","",IF(AT783="Y",BR783&amp;"",BE783&amp;""))</f>
        <v/>
      </c>
      <c r="AD783" s="0" t="str">
        <f aca="false">IF($A783="","",IF(AT783="Y",BS783&amp;"",BF783&amp;""))</f>
        <v/>
      </c>
      <c r="AE783" s="0" t="str">
        <f aca="false">IF($A783="","",IF(AT783="Y",BT783&amp;"",BG783&amp;""))</f>
        <v/>
      </c>
      <c r="AF783" s="0" t="str">
        <f aca="false">IF($A783="","",IF(AT783="Y",BU783&amp;"",BH783&amp;""))</f>
        <v/>
      </c>
      <c r="AG783" s="0" t="str">
        <f aca="false">IF($A783="","",IF(AT783="Y",BV783&amp;"",BI783&amp;""))</f>
        <v/>
      </c>
      <c r="AO783" s="5"/>
      <c r="AR783" s="0" t="str">
        <f aca="false">IF($A783="","",IF(AND(CK783="pass",AO783&lt;&gt;"Y",C783&lt;&gt;"",OR(AU783&lt;&gt;"Y",AV783="Y")),"Y","N"))</f>
        <v/>
      </c>
      <c r="AS783" s="0" t="str">
        <f aca="false">IF($A783="","",_xlfn.TEXTJOIN("; ",TRUE(),IF(CK783&lt;&gt;"pass","gated out",""),IF(AO783="Y","on hold: "&amp;AP783,""),IF(C783="","no contact named on an opened page",""),IF(AND(AU783="Y",AV783&lt;&gt;"Y"),"founder review pending (Founder review tab)","")))</f>
        <v/>
      </c>
      <c r="BC783" s="0" t="str">
        <f aca="false">IF($A783="","",IFERROR(INDEX(Enrichment!$A$2:$GZ$2000,MATCH($A783,INDEX(Enrichment!$A$2:$GZ$2000,0,MATCH("row_id",Enrichment!$A$1:$GZ$1,0)),0),MATCH("work_email",Enrichment!$A$1:$GZ$1,0))&amp;"",""))</f>
        <v/>
      </c>
      <c r="BD783" s="0" t="str">
        <f aca="false">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P783" s="0" t="str">
        <f aca="false">IF($A783="","",IFERROR(INDEX(Enrichment!$A$2:$GZ$2000,MATCH($A783,INDEX(Enrichment!$A$2:$GZ$2000,0,MATCH("row_id",Enrichment!$A$1:$GZ$1,0)),0),MATCH("backup_work_email",Enrichment!$A$1:$GZ$1,0))&amp;"",""))</f>
        <v/>
      </c>
      <c r="BQ783" s="0" t="str">
        <f aca="false">IF($A783="","",IF(BP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DU783" s="0" t="str">
        <f aca="false">IF($A783="","",IF(R783="Y",10,0))</f>
        <v/>
      </c>
      <c r="EV783" s="0" t="str">
        <f aca="false">IF($A783="","",IF(ISNUMBER(MATCH(U783,{"queued","contacted","replied","call_booked","call_done","yes_in_principle","materials_sent"},0)),"Y","N"))</f>
        <v/>
      </c>
      <c r="EW783" s="0" t="str">
        <f aca="false">IF($A783="","",IF(OR(T783="Y",U783="do_not_contact",AQ783&amp;""&lt;&gt;""),"Y","N"))</f>
        <v/>
      </c>
      <c r="EX783" s="0" t="str">
        <f aca="false">IF($A783="","",IF(AN783&amp;""&lt;&gt;"",AN783&amp;"",$A783))</f>
        <v/>
      </c>
      <c r="EY783" s="0" t="str">
        <f aca="false">IF($A783="","",IF(COUNTIFS($EX$2:$EX$1000,EX783,$EV$2:$EV$1000,"Y")+COUNTIFS($EX$2:$EX$1000,EX783,$EW$2:$EW$1000,"Y")&gt;0,"Y","N"))</f>
        <v/>
      </c>
      <c r="EZ783" s="0" t="str">
        <f aca="false">IF($A783="","",IF(AND(U783="new",T783="N",EW783="N",AR783="Y",EY783="N"),"Y","N"))</f>
        <v/>
      </c>
      <c r="FA783" s="0" t="str">
        <f aca="false">IF($A783="","",IF(EZ783&lt;&gt;"Y","N",IF(COUNTIFS($EX$2:$EX$1000,EX783,$EZ$2:$EZ$1000,"Y",$J$2:$J$1000,"&gt;"&amp;J783)+COUNTIFS($EX$2:$EX$1000,EX783,$EZ$2:$EZ$1000,"Y",$J$2:$J$1000,J783,$FG$2:$FG$1000,"&lt;"&amp;FG783)=0,"Y","N")))</f>
        <v/>
      </c>
      <c r="FB783" s="0" t="str">
        <f aca="false">IF($A783="","",IF(AND(EZ783="Y",FA783="Y",Y783&amp;""&lt;&gt;""),IF(Y783&lt;=10,"Y","N"),"N"))</f>
        <v/>
      </c>
      <c r="FC783" s="0" t="str">
        <f aca="false">IF(FB783="Y",Y783,"")</f>
        <v/>
      </c>
      <c r="FD783" s="0" t="str">
        <f aca="false">IF($A783="","",IF(AND(CK783="pass",AU783="Y",AV783&lt;&gt;"Y",U783="new",EW783="N"),"Y","N"))</f>
        <v/>
      </c>
      <c r="FE783" s="0" t="str">
        <f aca="false">IF(FD783&lt;&gt;"Y","",IF(COUNTIFS($FD$2:$FD$1000,"Y",$J$2:$J$1000,"&gt;"&amp;J783)+COUNTIFS($FD$2:$FD$1000,"Y",$J$2:$J$1000,J783,$FG$2:$FG$1000,"&lt;"&amp;FG783)+1&lt;=30,COUNTIFS($FD$2:$FD$1000,"Y",$J$2:$J$1000,"&gt;"&amp;J783)+COUNTIFS($FD$2:$FD$1000,"Y",$J$2:$J$1000,J783,$FG$2:$FG$1000,"&lt;"&amp;FG783)+1,""))</f>
        <v/>
      </c>
      <c r="FF783" s="0" t="str">
        <f aca="false">IF(AND(_xlfn.ISFORMULA(C783),_xlfn.ISFORMULA(J783)),"Y","N")</f>
        <v>Y</v>
      </c>
      <c r="FG783" s="0" t="n">
        <f aca="false">ROW()-1</f>
        <v>782</v>
      </c>
    </row>
    <row r="784" customFormat="false" ht="15" hidden="false" customHeight="false" outlineLevel="0" collapsed="false">
      <c r="C784" s="0" t="str">
        <f aca="false">IF($A784="","",IF(AT784="Y",BL784&amp;"",AY784&amp;""))</f>
        <v/>
      </c>
      <c r="D784" s="0" t="str">
        <f aca="false">IF($A784="","",IF(AT784="Y",BM784&amp;"",AZ784&amp;""))</f>
        <v/>
      </c>
      <c r="E784" s="0" t="str">
        <f aca="false">IF($A784="","",IF(AT784="Y",BN784&amp;"",BA784&amp;""))</f>
        <v/>
      </c>
      <c r="F784" s="0" t="str">
        <f aca="false">IF($A784="","",IF(AT784="Y",BO784&amp;"",BB784&amp;""))</f>
        <v/>
      </c>
      <c r="G784" s="0" t="str">
        <f aca="false">IF($A784="","",IF(AT784="Y",BP784&amp;"",BC784&amp;""))</f>
        <v/>
      </c>
      <c r="H784" s="0" t="str">
        <f aca="false">IF($A784="","",IF(AT784="Y",BQ784&amp;"",BD784&amp;""))</f>
        <v/>
      </c>
      <c r="I784" s="0" t="str">
        <f aca="false">IF($A784="","",IF(R784="Y","warm-intro",IF(H784="verified","email",IF(C784&lt;&gt;"","linkedin",CA784&amp;""))))</f>
        <v/>
      </c>
      <c r="J784" s="0" t="str">
        <f aca="false">IF($A784="","",IF(CK784="pass",ROUND(N(DO784)+N(DP784)+N(DQ784)+N(DR784)+N(DS784)+N(DT784)+N(DU784)+N(DV784),0),0))</f>
        <v/>
      </c>
      <c r="K784" s="0" t="str">
        <f aca="false">IF($A784="","",IF(CK784&lt;&gt;"pass",BY784&amp;"",BY784&amp;", "&amp;IF(AT784="Y",BX784&amp;"",BK784&amp;"")&amp;BZ784&amp;IF(R784="Y","; known to the founder (+10)","")&amp;"."))</f>
        <v/>
      </c>
      <c r="R784" s="5"/>
      <c r="T784" s="5"/>
      <c r="U784" s="5"/>
      <c r="Y784" s="0" t="str">
        <f aca="false">IF(FA784&lt;&gt;"Y","",COUNTIFS($FA$2:$FA$1000,"Y",$J$2:$J$1000,"&gt;"&amp;J784)+COUNTIFS($FA$2:$FA$1000,"Y",$J$2:$J$1000,J784,$FG$2:$FG$1000,"&lt;"&amp;FG784)+1)</f>
        <v/>
      </c>
      <c r="AB784" s="0" t="str">
        <f aca="false">IF($A784="","",IF(AT784="Y",BW784&amp;"",BJ784&amp;""))</f>
        <v/>
      </c>
      <c r="AC784" s="0" t="str">
        <f aca="false">IF($A784="","",IF(AT784="Y",BR784&amp;"",BE784&amp;""))</f>
        <v/>
      </c>
      <c r="AD784" s="0" t="str">
        <f aca="false">IF($A784="","",IF(AT784="Y",BS784&amp;"",BF784&amp;""))</f>
        <v/>
      </c>
      <c r="AE784" s="0" t="str">
        <f aca="false">IF($A784="","",IF(AT784="Y",BT784&amp;"",BG784&amp;""))</f>
        <v/>
      </c>
      <c r="AF784" s="0" t="str">
        <f aca="false">IF($A784="","",IF(AT784="Y",BU784&amp;"",BH784&amp;""))</f>
        <v/>
      </c>
      <c r="AG784" s="0" t="str">
        <f aca="false">IF($A784="","",IF(AT784="Y",BV784&amp;"",BI784&amp;""))</f>
        <v/>
      </c>
      <c r="AO784" s="5"/>
      <c r="AR784" s="0" t="str">
        <f aca="false">IF($A784="","",IF(AND(CK784="pass",AO784&lt;&gt;"Y",C784&lt;&gt;"",OR(AU784&lt;&gt;"Y",AV784="Y")),"Y","N"))</f>
        <v/>
      </c>
      <c r="AS784" s="0" t="str">
        <f aca="false">IF($A784="","",_xlfn.TEXTJOIN("; ",TRUE(),IF(CK784&lt;&gt;"pass","gated out",""),IF(AO784="Y","on hold: "&amp;AP784,""),IF(C784="","no contact named on an opened page",""),IF(AND(AU784="Y",AV784&lt;&gt;"Y"),"founder review pending (Founder review tab)","")))</f>
        <v/>
      </c>
      <c r="BC784" s="0" t="str">
        <f aca="false">IF($A784="","",IFERROR(INDEX(Enrichment!$A$2:$GZ$2000,MATCH($A784,INDEX(Enrichment!$A$2:$GZ$2000,0,MATCH("row_id",Enrichment!$A$1:$GZ$1,0)),0),MATCH("work_email",Enrichment!$A$1:$GZ$1,0))&amp;"",""))</f>
        <v/>
      </c>
      <c r="BD784" s="0" t="str">
        <f aca="false">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P784" s="0" t="str">
        <f aca="false">IF($A784="","",IFERROR(INDEX(Enrichment!$A$2:$GZ$2000,MATCH($A784,INDEX(Enrichment!$A$2:$GZ$2000,0,MATCH("row_id",Enrichment!$A$1:$GZ$1,0)),0),MATCH("backup_work_email",Enrichment!$A$1:$GZ$1,0))&amp;"",""))</f>
        <v/>
      </c>
      <c r="BQ784" s="0" t="str">
        <f aca="false">IF($A784="","",IF(BP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DU784" s="0" t="str">
        <f aca="false">IF($A784="","",IF(R784="Y",10,0))</f>
        <v/>
      </c>
      <c r="EV784" s="0" t="str">
        <f aca="false">IF($A784="","",IF(ISNUMBER(MATCH(U784,{"queued","contacted","replied","call_booked","call_done","yes_in_principle","materials_sent"},0)),"Y","N"))</f>
        <v/>
      </c>
      <c r="EW784" s="0" t="str">
        <f aca="false">IF($A784="","",IF(OR(T784="Y",U784="do_not_contact",AQ784&amp;""&lt;&gt;""),"Y","N"))</f>
        <v/>
      </c>
      <c r="EX784" s="0" t="str">
        <f aca="false">IF($A784="","",IF(AN784&amp;""&lt;&gt;"",AN784&amp;"",$A784))</f>
        <v/>
      </c>
      <c r="EY784" s="0" t="str">
        <f aca="false">IF($A784="","",IF(COUNTIFS($EX$2:$EX$1000,EX784,$EV$2:$EV$1000,"Y")+COUNTIFS($EX$2:$EX$1000,EX784,$EW$2:$EW$1000,"Y")&gt;0,"Y","N"))</f>
        <v/>
      </c>
      <c r="EZ784" s="0" t="str">
        <f aca="false">IF($A784="","",IF(AND(U784="new",T784="N",EW784="N",AR784="Y",EY784="N"),"Y","N"))</f>
        <v/>
      </c>
      <c r="FA784" s="0" t="str">
        <f aca="false">IF($A784="","",IF(EZ784&lt;&gt;"Y","N",IF(COUNTIFS($EX$2:$EX$1000,EX784,$EZ$2:$EZ$1000,"Y",$J$2:$J$1000,"&gt;"&amp;J784)+COUNTIFS($EX$2:$EX$1000,EX784,$EZ$2:$EZ$1000,"Y",$J$2:$J$1000,J784,$FG$2:$FG$1000,"&lt;"&amp;FG784)=0,"Y","N")))</f>
        <v/>
      </c>
      <c r="FB784" s="0" t="str">
        <f aca="false">IF($A784="","",IF(AND(EZ784="Y",FA784="Y",Y784&amp;""&lt;&gt;""),IF(Y784&lt;=10,"Y","N"),"N"))</f>
        <v/>
      </c>
      <c r="FC784" s="0" t="str">
        <f aca="false">IF(FB784="Y",Y784,"")</f>
        <v/>
      </c>
      <c r="FD784" s="0" t="str">
        <f aca="false">IF($A784="","",IF(AND(CK784="pass",AU784="Y",AV784&lt;&gt;"Y",U784="new",EW784="N"),"Y","N"))</f>
        <v/>
      </c>
      <c r="FE784" s="0" t="str">
        <f aca="false">IF(FD784&lt;&gt;"Y","",IF(COUNTIFS($FD$2:$FD$1000,"Y",$J$2:$J$1000,"&gt;"&amp;J784)+COUNTIFS($FD$2:$FD$1000,"Y",$J$2:$J$1000,J784,$FG$2:$FG$1000,"&lt;"&amp;FG784)+1&lt;=30,COUNTIFS($FD$2:$FD$1000,"Y",$J$2:$J$1000,"&gt;"&amp;J784)+COUNTIFS($FD$2:$FD$1000,"Y",$J$2:$J$1000,J784,$FG$2:$FG$1000,"&lt;"&amp;FG784)+1,""))</f>
        <v/>
      </c>
      <c r="FF784" s="0" t="str">
        <f aca="false">IF(AND(_xlfn.ISFORMULA(C784),_xlfn.ISFORMULA(J784)),"Y","N")</f>
        <v>Y</v>
      </c>
      <c r="FG784" s="0" t="n">
        <f aca="false">ROW()-1</f>
        <v>783</v>
      </c>
    </row>
    <row r="785" customFormat="false" ht="15" hidden="false" customHeight="false" outlineLevel="0" collapsed="false">
      <c r="C785" s="0" t="str">
        <f aca="false">IF($A785="","",IF(AT785="Y",BL785&amp;"",AY785&amp;""))</f>
        <v/>
      </c>
      <c r="D785" s="0" t="str">
        <f aca="false">IF($A785="","",IF(AT785="Y",BM785&amp;"",AZ785&amp;""))</f>
        <v/>
      </c>
      <c r="E785" s="0" t="str">
        <f aca="false">IF($A785="","",IF(AT785="Y",BN785&amp;"",BA785&amp;""))</f>
        <v/>
      </c>
      <c r="F785" s="0" t="str">
        <f aca="false">IF($A785="","",IF(AT785="Y",BO785&amp;"",BB785&amp;""))</f>
        <v/>
      </c>
      <c r="G785" s="0" t="str">
        <f aca="false">IF($A785="","",IF(AT785="Y",BP785&amp;"",BC785&amp;""))</f>
        <v/>
      </c>
      <c r="H785" s="0" t="str">
        <f aca="false">IF($A785="","",IF(AT785="Y",BQ785&amp;"",BD785&amp;""))</f>
        <v/>
      </c>
      <c r="I785" s="0" t="str">
        <f aca="false">IF($A785="","",IF(R785="Y","warm-intro",IF(H785="verified","email",IF(C785&lt;&gt;"","linkedin",CA785&amp;""))))</f>
        <v/>
      </c>
      <c r="J785" s="0" t="str">
        <f aca="false">IF($A785="","",IF(CK785="pass",ROUND(N(DO785)+N(DP785)+N(DQ785)+N(DR785)+N(DS785)+N(DT785)+N(DU785)+N(DV785),0),0))</f>
        <v/>
      </c>
      <c r="K785" s="0" t="str">
        <f aca="false">IF($A785="","",IF(CK785&lt;&gt;"pass",BY785&amp;"",BY785&amp;", "&amp;IF(AT785="Y",BX785&amp;"",BK785&amp;"")&amp;BZ785&amp;IF(R785="Y","; known to the founder (+10)","")&amp;"."))</f>
        <v/>
      </c>
      <c r="R785" s="5"/>
      <c r="T785" s="5"/>
      <c r="U785" s="5"/>
      <c r="Y785" s="0" t="str">
        <f aca="false">IF(FA785&lt;&gt;"Y","",COUNTIFS($FA$2:$FA$1000,"Y",$J$2:$J$1000,"&gt;"&amp;J785)+COUNTIFS($FA$2:$FA$1000,"Y",$J$2:$J$1000,J785,$FG$2:$FG$1000,"&lt;"&amp;FG785)+1)</f>
        <v/>
      </c>
      <c r="AB785" s="0" t="str">
        <f aca="false">IF($A785="","",IF(AT785="Y",BW785&amp;"",BJ785&amp;""))</f>
        <v/>
      </c>
      <c r="AC785" s="0" t="str">
        <f aca="false">IF($A785="","",IF(AT785="Y",BR785&amp;"",BE785&amp;""))</f>
        <v/>
      </c>
      <c r="AD785" s="0" t="str">
        <f aca="false">IF($A785="","",IF(AT785="Y",BS785&amp;"",BF785&amp;""))</f>
        <v/>
      </c>
      <c r="AE785" s="0" t="str">
        <f aca="false">IF($A785="","",IF(AT785="Y",BT785&amp;"",BG785&amp;""))</f>
        <v/>
      </c>
      <c r="AF785" s="0" t="str">
        <f aca="false">IF($A785="","",IF(AT785="Y",BU785&amp;"",BH785&amp;""))</f>
        <v/>
      </c>
      <c r="AG785" s="0" t="str">
        <f aca="false">IF($A785="","",IF(AT785="Y",BV785&amp;"",BI785&amp;""))</f>
        <v/>
      </c>
      <c r="AO785" s="5"/>
      <c r="AR785" s="0" t="str">
        <f aca="false">IF($A785="","",IF(AND(CK785="pass",AO785&lt;&gt;"Y",C785&lt;&gt;"",OR(AU785&lt;&gt;"Y",AV785="Y")),"Y","N"))</f>
        <v/>
      </c>
      <c r="AS785" s="0" t="str">
        <f aca="false">IF($A785="","",_xlfn.TEXTJOIN("; ",TRUE(),IF(CK785&lt;&gt;"pass","gated out",""),IF(AO785="Y","on hold: "&amp;AP785,""),IF(C785="","no contact named on an opened page",""),IF(AND(AU785="Y",AV785&lt;&gt;"Y"),"founder review pending (Founder review tab)","")))</f>
        <v/>
      </c>
      <c r="BC785" s="0" t="str">
        <f aca="false">IF($A785="","",IFERROR(INDEX(Enrichment!$A$2:$GZ$2000,MATCH($A785,INDEX(Enrichment!$A$2:$GZ$2000,0,MATCH("row_id",Enrichment!$A$1:$GZ$1,0)),0),MATCH("work_email",Enrichment!$A$1:$GZ$1,0))&amp;"",""))</f>
        <v/>
      </c>
      <c r="BD785" s="0" t="str">
        <f aca="false">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P785" s="0" t="str">
        <f aca="false">IF($A785="","",IFERROR(INDEX(Enrichment!$A$2:$GZ$2000,MATCH($A785,INDEX(Enrichment!$A$2:$GZ$2000,0,MATCH("row_id",Enrichment!$A$1:$GZ$1,0)),0),MATCH("backup_work_email",Enrichment!$A$1:$GZ$1,0))&amp;"",""))</f>
        <v/>
      </c>
      <c r="BQ785" s="0" t="str">
        <f aca="false">IF($A785="","",IF(BP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DU785" s="0" t="str">
        <f aca="false">IF($A785="","",IF(R785="Y",10,0))</f>
        <v/>
      </c>
      <c r="EV785" s="0" t="str">
        <f aca="false">IF($A785="","",IF(ISNUMBER(MATCH(U785,{"queued","contacted","replied","call_booked","call_done","yes_in_principle","materials_sent"},0)),"Y","N"))</f>
        <v/>
      </c>
      <c r="EW785" s="0" t="str">
        <f aca="false">IF($A785="","",IF(OR(T785="Y",U785="do_not_contact",AQ785&amp;""&lt;&gt;""),"Y","N"))</f>
        <v/>
      </c>
      <c r="EX785" s="0" t="str">
        <f aca="false">IF($A785="","",IF(AN785&amp;""&lt;&gt;"",AN785&amp;"",$A785))</f>
        <v/>
      </c>
      <c r="EY785" s="0" t="str">
        <f aca="false">IF($A785="","",IF(COUNTIFS($EX$2:$EX$1000,EX785,$EV$2:$EV$1000,"Y")+COUNTIFS($EX$2:$EX$1000,EX785,$EW$2:$EW$1000,"Y")&gt;0,"Y","N"))</f>
        <v/>
      </c>
      <c r="EZ785" s="0" t="str">
        <f aca="false">IF($A785="","",IF(AND(U785="new",T785="N",EW785="N",AR785="Y",EY785="N"),"Y","N"))</f>
        <v/>
      </c>
      <c r="FA785" s="0" t="str">
        <f aca="false">IF($A785="","",IF(EZ785&lt;&gt;"Y","N",IF(COUNTIFS($EX$2:$EX$1000,EX785,$EZ$2:$EZ$1000,"Y",$J$2:$J$1000,"&gt;"&amp;J785)+COUNTIFS($EX$2:$EX$1000,EX785,$EZ$2:$EZ$1000,"Y",$J$2:$J$1000,J785,$FG$2:$FG$1000,"&lt;"&amp;FG785)=0,"Y","N")))</f>
        <v/>
      </c>
      <c r="FB785" s="0" t="str">
        <f aca="false">IF($A785="","",IF(AND(EZ785="Y",FA785="Y",Y785&amp;""&lt;&gt;""),IF(Y785&lt;=10,"Y","N"),"N"))</f>
        <v/>
      </c>
      <c r="FC785" s="0" t="str">
        <f aca="false">IF(FB785="Y",Y785,"")</f>
        <v/>
      </c>
      <c r="FD785" s="0" t="str">
        <f aca="false">IF($A785="","",IF(AND(CK785="pass",AU785="Y",AV785&lt;&gt;"Y",U785="new",EW785="N"),"Y","N"))</f>
        <v/>
      </c>
      <c r="FE785" s="0" t="str">
        <f aca="false">IF(FD785&lt;&gt;"Y","",IF(COUNTIFS($FD$2:$FD$1000,"Y",$J$2:$J$1000,"&gt;"&amp;J785)+COUNTIFS($FD$2:$FD$1000,"Y",$J$2:$J$1000,J785,$FG$2:$FG$1000,"&lt;"&amp;FG785)+1&lt;=30,COUNTIFS($FD$2:$FD$1000,"Y",$J$2:$J$1000,"&gt;"&amp;J785)+COUNTIFS($FD$2:$FD$1000,"Y",$J$2:$J$1000,J785,$FG$2:$FG$1000,"&lt;"&amp;FG785)+1,""))</f>
        <v/>
      </c>
      <c r="FF785" s="0" t="str">
        <f aca="false">IF(AND(_xlfn.ISFORMULA(C785),_xlfn.ISFORMULA(J785)),"Y","N")</f>
        <v>Y</v>
      </c>
      <c r="FG785" s="0" t="n">
        <f aca="false">ROW()-1</f>
        <v>784</v>
      </c>
    </row>
    <row r="786" customFormat="false" ht="15" hidden="false" customHeight="false" outlineLevel="0" collapsed="false">
      <c r="C786" s="0" t="str">
        <f aca="false">IF($A786="","",IF(AT786="Y",BL786&amp;"",AY786&amp;""))</f>
        <v/>
      </c>
      <c r="D786" s="0" t="str">
        <f aca="false">IF($A786="","",IF(AT786="Y",BM786&amp;"",AZ786&amp;""))</f>
        <v/>
      </c>
      <c r="E786" s="0" t="str">
        <f aca="false">IF($A786="","",IF(AT786="Y",BN786&amp;"",BA786&amp;""))</f>
        <v/>
      </c>
      <c r="F786" s="0" t="str">
        <f aca="false">IF($A786="","",IF(AT786="Y",BO786&amp;"",BB786&amp;""))</f>
        <v/>
      </c>
      <c r="G786" s="0" t="str">
        <f aca="false">IF($A786="","",IF(AT786="Y",BP786&amp;"",BC786&amp;""))</f>
        <v/>
      </c>
      <c r="H786" s="0" t="str">
        <f aca="false">IF($A786="","",IF(AT786="Y",BQ786&amp;"",BD786&amp;""))</f>
        <v/>
      </c>
      <c r="I786" s="0" t="str">
        <f aca="false">IF($A786="","",IF(R786="Y","warm-intro",IF(H786="verified","email",IF(C786&lt;&gt;"","linkedin",CA786&amp;""))))</f>
        <v/>
      </c>
      <c r="J786" s="0" t="str">
        <f aca="false">IF($A786="","",IF(CK786="pass",ROUND(N(DO786)+N(DP786)+N(DQ786)+N(DR786)+N(DS786)+N(DT786)+N(DU786)+N(DV786),0),0))</f>
        <v/>
      </c>
      <c r="K786" s="0" t="str">
        <f aca="false">IF($A786="","",IF(CK786&lt;&gt;"pass",BY786&amp;"",BY786&amp;", "&amp;IF(AT786="Y",BX786&amp;"",BK786&amp;"")&amp;BZ786&amp;IF(R786="Y","; known to the founder (+10)","")&amp;"."))</f>
        <v/>
      </c>
      <c r="R786" s="5"/>
      <c r="T786" s="5"/>
      <c r="U786" s="5"/>
      <c r="Y786" s="0" t="str">
        <f aca="false">IF(FA786&lt;&gt;"Y","",COUNTIFS($FA$2:$FA$1000,"Y",$J$2:$J$1000,"&gt;"&amp;J786)+COUNTIFS($FA$2:$FA$1000,"Y",$J$2:$J$1000,J786,$FG$2:$FG$1000,"&lt;"&amp;FG786)+1)</f>
        <v/>
      </c>
      <c r="AB786" s="0" t="str">
        <f aca="false">IF($A786="","",IF(AT786="Y",BW786&amp;"",BJ786&amp;""))</f>
        <v/>
      </c>
      <c r="AC786" s="0" t="str">
        <f aca="false">IF($A786="","",IF(AT786="Y",BR786&amp;"",BE786&amp;""))</f>
        <v/>
      </c>
      <c r="AD786" s="0" t="str">
        <f aca="false">IF($A786="","",IF(AT786="Y",BS786&amp;"",BF786&amp;""))</f>
        <v/>
      </c>
      <c r="AE786" s="0" t="str">
        <f aca="false">IF($A786="","",IF(AT786="Y",BT786&amp;"",BG786&amp;""))</f>
        <v/>
      </c>
      <c r="AF786" s="0" t="str">
        <f aca="false">IF($A786="","",IF(AT786="Y",BU786&amp;"",BH786&amp;""))</f>
        <v/>
      </c>
      <c r="AG786" s="0" t="str">
        <f aca="false">IF($A786="","",IF(AT786="Y",BV786&amp;"",BI786&amp;""))</f>
        <v/>
      </c>
      <c r="AO786" s="5"/>
      <c r="AR786" s="0" t="str">
        <f aca="false">IF($A786="","",IF(AND(CK786="pass",AO786&lt;&gt;"Y",C786&lt;&gt;"",OR(AU786&lt;&gt;"Y",AV786="Y")),"Y","N"))</f>
        <v/>
      </c>
      <c r="AS786" s="0" t="str">
        <f aca="false">IF($A786="","",_xlfn.TEXTJOIN("; ",TRUE(),IF(CK786&lt;&gt;"pass","gated out",""),IF(AO786="Y","on hold: "&amp;AP786,""),IF(C786="","no contact named on an opened page",""),IF(AND(AU786="Y",AV786&lt;&gt;"Y"),"founder review pending (Founder review tab)","")))</f>
        <v/>
      </c>
      <c r="BC786" s="0" t="str">
        <f aca="false">IF($A786="","",IFERROR(INDEX(Enrichment!$A$2:$GZ$2000,MATCH($A786,INDEX(Enrichment!$A$2:$GZ$2000,0,MATCH("row_id",Enrichment!$A$1:$GZ$1,0)),0),MATCH("work_email",Enrichment!$A$1:$GZ$1,0))&amp;"",""))</f>
        <v/>
      </c>
      <c r="BD786" s="0" t="str">
        <f aca="false">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P786" s="0" t="str">
        <f aca="false">IF($A786="","",IFERROR(INDEX(Enrichment!$A$2:$GZ$2000,MATCH($A786,INDEX(Enrichment!$A$2:$GZ$2000,0,MATCH("row_id",Enrichment!$A$1:$GZ$1,0)),0),MATCH("backup_work_email",Enrichment!$A$1:$GZ$1,0))&amp;"",""))</f>
        <v/>
      </c>
      <c r="BQ786" s="0" t="str">
        <f aca="false">IF($A786="","",IF(BP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DU786" s="0" t="str">
        <f aca="false">IF($A786="","",IF(R786="Y",10,0))</f>
        <v/>
      </c>
      <c r="EV786" s="0" t="str">
        <f aca="false">IF($A786="","",IF(ISNUMBER(MATCH(U786,{"queued","contacted","replied","call_booked","call_done","yes_in_principle","materials_sent"},0)),"Y","N"))</f>
        <v/>
      </c>
      <c r="EW786" s="0" t="str">
        <f aca="false">IF($A786="","",IF(OR(T786="Y",U786="do_not_contact",AQ786&amp;""&lt;&gt;""),"Y","N"))</f>
        <v/>
      </c>
      <c r="EX786" s="0" t="str">
        <f aca="false">IF($A786="","",IF(AN786&amp;""&lt;&gt;"",AN786&amp;"",$A786))</f>
        <v/>
      </c>
      <c r="EY786" s="0" t="str">
        <f aca="false">IF($A786="","",IF(COUNTIFS($EX$2:$EX$1000,EX786,$EV$2:$EV$1000,"Y")+COUNTIFS($EX$2:$EX$1000,EX786,$EW$2:$EW$1000,"Y")&gt;0,"Y","N"))</f>
        <v/>
      </c>
      <c r="EZ786" s="0" t="str">
        <f aca="false">IF($A786="","",IF(AND(U786="new",T786="N",EW786="N",AR786="Y",EY786="N"),"Y","N"))</f>
        <v/>
      </c>
      <c r="FA786" s="0" t="str">
        <f aca="false">IF($A786="","",IF(EZ786&lt;&gt;"Y","N",IF(COUNTIFS($EX$2:$EX$1000,EX786,$EZ$2:$EZ$1000,"Y",$J$2:$J$1000,"&gt;"&amp;J786)+COUNTIFS($EX$2:$EX$1000,EX786,$EZ$2:$EZ$1000,"Y",$J$2:$J$1000,J786,$FG$2:$FG$1000,"&lt;"&amp;FG786)=0,"Y","N")))</f>
        <v/>
      </c>
      <c r="FB786" s="0" t="str">
        <f aca="false">IF($A786="","",IF(AND(EZ786="Y",FA786="Y",Y786&amp;""&lt;&gt;""),IF(Y786&lt;=10,"Y","N"),"N"))</f>
        <v/>
      </c>
      <c r="FC786" s="0" t="str">
        <f aca="false">IF(FB786="Y",Y786,"")</f>
        <v/>
      </c>
      <c r="FD786" s="0" t="str">
        <f aca="false">IF($A786="","",IF(AND(CK786="pass",AU786="Y",AV786&lt;&gt;"Y",U786="new",EW786="N"),"Y","N"))</f>
        <v/>
      </c>
      <c r="FE786" s="0" t="str">
        <f aca="false">IF(FD786&lt;&gt;"Y","",IF(COUNTIFS($FD$2:$FD$1000,"Y",$J$2:$J$1000,"&gt;"&amp;J786)+COUNTIFS($FD$2:$FD$1000,"Y",$J$2:$J$1000,J786,$FG$2:$FG$1000,"&lt;"&amp;FG786)+1&lt;=30,COUNTIFS($FD$2:$FD$1000,"Y",$J$2:$J$1000,"&gt;"&amp;J786)+COUNTIFS($FD$2:$FD$1000,"Y",$J$2:$J$1000,J786,$FG$2:$FG$1000,"&lt;"&amp;FG786)+1,""))</f>
        <v/>
      </c>
      <c r="FF786" s="0" t="str">
        <f aca="false">IF(AND(_xlfn.ISFORMULA(C786),_xlfn.ISFORMULA(J786)),"Y","N")</f>
        <v>Y</v>
      </c>
      <c r="FG786" s="0" t="n">
        <f aca="false">ROW()-1</f>
        <v>785</v>
      </c>
    </row>
    <row r="787" customFormat="false" ht="15" hidden="false" customHeight="false" outlineLevel="0" collapsed="false">
      <c r="C787" s="0" t="str">
        <f aca="false">IF($A787="","",IF(AT787="Y",BL787&amp;"",AY787&amp;""))</f>
        <v/>
      </c>
      <c r="D787" s="0" t="str">
        <f aca="false">IF($A787="","",IF(AT787="Y",BM787&amp;"",AZ787&amp;""))</f>
        <v/>
      </c>
      <c r="E787" s="0" t="str">
        <f aca="false">IF($A787="","",IF(AT787="Y",BN787&amp;"",BA787&amp;""))</f>
        <v/>
      </c>
      <c r="F787" s="0" t="str">
        <f aca="false">IF($A787="","",IF(AT787="Y",BO787&amp;"",BB787&amp;""))</f>
        <v/>
      </c>
      <c r="G787" s="0" t="str">
        <f aca="false">IF($A787="","",IF(AT787="Y",BP787&amp;"",BC787&amp;""))</f>
        <v/>
      </c>
      <c r="H787" s="0" t="str">
        <f aca="false">IF($A787="","",IF(AT787="Y",BQ787&amp;"",BD787&amp;""))</f>
        <v/>
      </c>
      <c r="I787" s="0" t="str">
        <f aca="false">IF($A787="","",IF(R787="Y","warm-intro",IF(H787="verified","email",IF(C787&lt;&gt;"","linkedin",CA787&amp;""))))</f>
        <v/>
      </c>
      <c r="J787" s="0" t="str">
        <f aca="false">IF($A787="","",IF(CK787="pass",ROUND(N(DO787)+N(DP787)+N(DQ787)+N(DR787)+N(DS787)+N(DT787)+N(DU787)+N(DV787),0),0))</f>
        <v/>
      </c>
      <c r="K787" s="0" t="str">
        <f aca="false">IF($A787="","",IF(CK787&lt;&gt;"pass",BY787&amp;"",BY787&amp;", "&amp;IF(AT787="Y",BX787&amp;"",BK787&amp;"")&amp;BZ787&amp;IF(R787="Y","; known to the founder (+10)","")&amp;"."))</f>
        <v/>
      </c>
      <c r="R787" s="5"/>
      <c r="T787" s="5"/>
      <c r="U787" s="5"/>
      <c r="Y787" s="0" t="str">
        <f aca="false">IF(FA787&lt;&gt;"Y","",COUNTIFS($FA$2:$FA$1000,"Y",$J$2:$J$1000,"&gt;"&amp;J787)+COUNTIFS($FA$2:$FA$1000,"Y",$J$2:$J$1000,J787,$FG$2:$FG$1000,"&lt;"&amp;FG787)+1)</f>
        <v/>
      </c>
      <c r="AB787" s="0" t="str">
        <f aca="false">IF($A787="","",IF(AT787="Y",BW787&amp;"",BJ787&amp;""))</f>
        <v/>
      </c>
      <c r="AC787" s="0" t="str">
        <f aca="false">IF($A787="","",IF(AT787="Y",BR787&amp;"",BE787&amp;""))</f>
        <v/>
      </c>
      <c r="AD787" s="0" t="str">
        <f aca="false">IF($A787="","",IF(AT787="Y",BS787&amp;"",BF787&amp;""))</f>
        <v/>
      </c>
      <c r="AE787" s="0" t="str">
        <f aca="false">IF($A787="","",IF(AT787="Y",BT787&amp;"",BG787&amp;""))</f>
        <v/>
      </c>
      <c r="AF787" s="0" t="str">
        <f aca="false">IF($A787="","",IF(AT787="Y",BU787&amp;"",BH787&amp;""))</f>
        <v/>
      </c>
      <c r="AG787" s="0" t="str">
        <f aca="false">IF($A787="","",IF(AT787="Y",BV787&amp;"",BI787&amp;""))</f>
        <v/>
      </c>
      <c r="AO787" s="5"/>
      <c r="AR787" s="0" t="str">
        <f aca="false">IF($A787="","",IF(AND(CK787="pass",AO787&lt;&gt;"Y",C787&lt;&gt;"",OR(AU787&lt;&gt;"Y",AV787="Y")),"Y","N"))</f>
        <v/>
      </c>
      <c r="AS787" s="0" t="str">
        <f aca="false">IF($A787="","",_xlfn.TEXTJOIN("; ",TRUE(),IF(CK787&lt;&gt;"pass","gated out",""),IF(AO787="Y","on hold: "&amp;AP787,""),IF(C787="","no contact named on an opened page",""),IF(AND(AU787="Y",AV787&lt;&gt;"Y"),"founder review pending (Founder review tab)","")))</f>
        <v/>
      </c>
      <c r="BC787" s="0" t="str">
        <f aca="false">IF($A787="","",IFERROR(INDEX(Enrichment!$A$2:$GZ$2000,MATCH($A787,INDEX(Enrichment!$A$2:$GZ$2000,0,MATCH("row_id",Enrichment!$A$1:$GZ$1,0)),0),MATCH("work_email",Enrichment!$A$1:$GZ$1,0))&amp;"",""))</f>
        <v/>
      </c>
      <c r="BD787" s="0" t="str">
        <f aca="false">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P787" s="0" t="str">
        <f aca="false">IF($A787="","",IFERROR(INDEX(Enrichment!$A$2:$GZ$2000,MATCH($A787,INDEX(Enrichment!$A$2:$GZ$2000,0,MATCH("row_id",Enrichment!$A$1:$GZ$1,0)),0),MATCH("backup_work_email",Enrichment!$A$1:$GZ$1,0))&amp;"",""))</f>
        <v/>
      </c>
      <c r="BQ787" s="0" t="str">
        <f aca="false">IF($A787="","",IF(BP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DU787" s="0" t="str">
        <f aca="false">IF($A787="","",IF(R787="Y",10,0))</f>
        <v/>
      </c>
      <c r="EV787" s="0" t="str">
        <f aca="false">IF($A787="","",IF(ISNUMBER(MATCH(U787,{"queued","contacted","replied","call_booked","call_done","yes_in_principle","materials_sent"},0)),"Y","N"))</f>
        <v/>
      </c>
      <c r="EW787" s="0" t="str">
        <f aca="false">IF($A787="","",IF(OR(T787="Y",U787="do_not_contact",AQ787&amp;""&lt;&gt;""),"Y","N"))</f>
        <v/>
      </c>
      <c r="EX787" s="0" t="str">
        <f aca="false">IF($A787="","",IF(AN787&amp;""&lt;&gt;"",AN787&amp;"",$A787))</f>
        <v/>
      </c>
      <c r="EY787" s="0" t="str">
        <f aca="false">IF($A787="","",IF(COUNTIFS($EX$2:$EX$1000,EX787,$EV$2:$EV$1000,"Y")+COUNTIFS($EX$2:$EX$1000,EX787,$EW$2:$EW$1000,"Y")&gt;0,"Y","N"))</f>
        <v/>
      </c>
      <c r="EZ787" s="0" t="str">
        <f aca="false">IF($A787="","",IF(AND(U787="new",T787="N",EW787="N",AR787="Y",EY787="N"),"Y","N"))</f>
        <v/>
      </c>
      <c r="FA787" s="0" t="str">
        <f aca="false">IF($A787="","",IF(EZ787&lt;&gt;"Y","N",IF(COUNTIFS($EX$2:$EX$1000,EX787,$EZ$2:$EZ$1000,"Y",$J$2:$J$1000,"&gt;"&amp;J787)+COUNTIFS($EX$2:$EX$1000,EX787,$EZ$2:$EZ$1000,"Y",$J$2:$J$1000,J787,$FG$2:$FG$1000,"&lt;"&amp;FG787)=0,"Y","N")))</f>
        <v/>
      </c>
      <c r="FB787" s="0" t="str">
        <f aca="false">IF($A787="","",IF(AND(EZ787="Y",FA787="Y",Y787&amp;""&lt;&gt;""),IF(Y787&lt;=10,"Y","N"),"N"))</f>
        <v/>
      </c>
      <c r="FC787" s="0" t="str">
        <f aca="false">IF(FB787="Y",Y787,"")</f>
        <v/>
      </c>
      <c r="FD787" s="0" t="str">
        <f aca="false">IF($A787="","",IF(AND(CK787="pass",AU787="Y",AV787&lt;&gt;"Y",U787="new",EW787="N"),"Y","N"))</f>
        <v/>
      </c>
      <c r="FE787" s="0" t="str">
        <f aca="false">IF(FD787&lt;&gt;"Y","",IF(COUNTIFS($FD$2:$FD$1000,"Y",$J$2:$J$1000,"&gt;"&amp;J787)+COUNTIFS($FD$2:$FD$1000,"Y",$J$2:$J$1000,J787,$FG$2:$FG$1000,"&lt;"&amp;FG787)+1&lt;=30,COUNTIFS($FD$2:$FD$1000,"Y",$J$2:$J$1000,"&gt;"&amp;J787)+COUNTIFS($FD$2:$FD$1000,"Y",$J$2:$J$1000,J787,$FG$2:$FG$1000,"&lt;"&amp;FG787)+1,""))</f>
        <v/>
      </c>
      <c r="FF787" s="0" t="str">
        <f aca="false">IF(AND(_xlfn.ISFORMULA(C787),_xlfn.ISFORMULA(J787)),"Y","N")</f>
        <v>Y</v>
      </c>
      <c r="FG787" s="0" t="n">
        <f aca="false">ROW()-1</f>
        <v>786</v>
      </c>
    </row>
    <row r="788" customFormat="false" ht="15" hidden="false" customHeight="false" outlineLevel="0" collapsed="false">
      <c r="C788" s="0" t="str">
        <f aca="false">IF($A788="","",IF(AT788="Y",BL788&amp;"",AY788&amp;""))</f>
        <v/>
      </c>
      <c r="D788" s="0" t="str">
        <f aca="false">IF($A788="","",IF(AT788="Y",BM788&amp;"",AZ788&amp;""))</f>
        <v/>
      </c>
      <c r="E788" s="0" t="str">
        <f aca="false">IF($A788="","",IF(AT788="Y",BN788&amp;"",BA788&amp;""))</f>
        <v/>
      </c>
      <c r="F788" s="0" t="str">
        <f aca="false">IF($A788="","",IF(AT788="Y",BO788&amp;"",BB788&amp;""))</f>
        <v/>
      </c>
      <c r="G788" s="0" t="str">
        <f aca="false">IF($A788="","",IF(AT788="Y",BP788&amp;"",BC788&amp;""))</f>
        <v/>
      </c>
      <c r="H788" s="0" t="str">
        <f aca="false">IF($A788="","",IF(AT788="Y",BQ788&amp;"",BD788&amp;""))</f>
        <v/>
      </c>
      <c r="I788" s="0" t="str">
        <f aca="false">IF($A788="","",IF(R788="Y","warm-intro",IF(H788="verified","email",IF(C788&lt;&gt;"","linkedin",CA788&amp;""))))</f>
        <v/>
      </c>
      <c r="J788" s="0" t="str">
        <f aca="false">IF($A788="","",IF(CK788="pass",ROUND(N(DO788)+N(DP788)+N(DQ788)+N(DR788)+N(DS788)+N(DT788)+N(DU788)+N(DV788),0),0))</f>
        <v/>
      </c>
      <c r="K788" s="0" t="str">
        <f aca="false">IF($A788="","",IF(CK788&lt;&gt;"pass",BY788&amp;"",BY788&amp;", "&amp;IF(AT788="Y",BX788&amp;"",BK788&amp;"")&amp;BZ788&amp;IF(R788="Y","; known to the founder (+10)","")&amp;"."))</f>
        <v/>
      </c>
      <c r="R788" s="5"/>
      <c r="T788" s="5"/>
      <c r="U788" s="5"/>
      <c r="Y788" s="0" t="str">
        <f aca="false">IF(FA788&lt;&gt;"Y","",COUNTIFS($FA$2:$FA$1000,"Y",$J$2:$J$1000,"&gt;"&amp;J788)+COUNTIFS($FA$2:$FA$1000,"Y",$J$2:$J$1000,J788,$FG$2:$FG$1000,"&lt;"&amp;FG788)+1)</f>
        <v/>
      </c>
      <c r="AB788" s="0" t="str">
        <f aca="false">IF($A788="","",IF(AT788="Y",BW788&amp;"",BJ788&amp;""))</f>
        <v/>
      </c>
      <c r="AC788" s="0" t="str">
        <f aca="false">IF($A788="","",IF(AT788="Y",BR788&amp;"",BE788&amp;""))</f>
        <v/>
      </c>
      <c r="AD788" s="0" t="str">
        <f aca="false">IF($A788="","",IF(AT788="Y",BS788&amp;"",BF788&amp;""))</f>
        <v/>
      </c>
      <c r="AE788" s="0" t="str">
        <f aca="false">IF($A788="","",IF(AT788="Y",BT788&amp;"",BG788&amp;""))</f>
        <v/>
      </c>
      <c r="AF788" s="0" t="str">
        <f aca="false">IF($A788="","",IF(AT788="Y",BU788&amp;"",BH788&amp;""))</f>
        <v/>
      </c>
      <c r="AG788" s="0" t="str">
        <f aca="false">IF($A788="","",IF(AT788="Y",BV788&amp;"",BI788&amp;""))</f>
        <v/>
      </c>
      <c r="AO788" s="5"/>
      <c r="AR788" s="0" t="str">
        <f aca="false">IF($A788="","",IF(AND(CK788="pass",AO788&lt;&gt;"Y",C788&lt;&gt;"",OR(AU788&lt;&gt;"Y",AV788="Y")),"Y","N"))</f>
        <v/>
      </c>
      <c r="AS788" s="0" t="str">
        <f aca="false">IF($A788="","",_xlfn.TEXTJOIN("; ",TRUE(),IF(CK788&lt;&gt;"pass","gated out",""),IF(AO788="Y","on hold: "&amp;AP788,""),IF(C788="","no contact named on an opened page",""),IF(AND(AU788="Y",AV788&lt;&gt;"Y"),"founder review pending (Founder review tab)","")))</f>
        <v/>
      </c>
      <c r="BC788" s="0" t="str">
        <f aca="false">IF($A788="","",IFERROR(INDEX(Enrichment!$A$2:$GZ$2000,MATCH($A788,INDEX(Enrichment!$A$2:$GZ$2000,0,MATCH("row_id",Enrichment!$A$1:$GZ$1,0)),0),MATCH("work_email",Enrichment!$A$1:$GZ$1,0))&amp;"",""))</f>
        <v/>
      </c>
      <c r="BD788" s="0" t="str">
        <f aca="false">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P788" s="0" t="str">
        <f aca="false">IF($A788="","",IFERROR(INDEX(Enrichment!$A$2:$GZ$2000,MATCH($A788,INDEX(Enrichment!$A$2:$GZ$2000,0,MATCH("row_id",Enrichment!$A$1:$GZ$1,0)),0),MATCH("backup_work_email",Enrichment!$A$1:$GZ$1,0))&amp;"",""))</f>
        <v/>
      </c>
      <c r="BQ788" s="0" t="str">
        <f aca="false">IF($A788="","",IF(BP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DU788" s="0" t="str">
        <f aca="false">IF($A788="","",IF(R788="Y",10,0))</f>
        <v/>
      </c>
      <c r="EV788" s="0" t="str">
        <f aca="false">IF($A788="","",IF(ISNUMBER(MATCH(U788,{"queued","contacted","replied","call_booked","call_done","yes_in_principle","materials_sent"},0)),"Y","N"))</f>
        <v/>
      </c>
      <c r="EW788" s="0" t="str">
        <f aca="false">IF($A788="","",IF(OR(T788="Y",U788="do_not_contact",AQ788&amp;""&lt;&gt;""),"Y","N"))</f>
        <v/>
      </c>
      <c r="EX788" s="0" t="str">
        <f aca="false">IF($A788="","",IF(AN788&amp;""&lt;&gt;"",AN788&amp;"",$A788))</f>
        <v/>
      </c>
      <c r="EY788" s="0" t="str">
        <f aca="false">IF($A788="","",IF(COUNTIFS($EX$2:$EX$1000,EX788,$EV$2:$EV$1000,"Y")+COUNTIFS($EX$2:$EX$1000,EX788,$EW$2:$EW$1000,"Y")&gt;0,"Y","N"))</f>
        <v/>
      </c>
      <c r="EZ788" s="0" t="str">
        <f aca="false">IF($A788="","",IF(AND(U788="new",T788="N",EW788="N",AR788="Y",EY788="N"),"Y","N"))</f>
        <v/>
      </c>
      <c r="FA788" s="0" t="str">
        <f aca="false">IF($A788="","",IF(EZ788&lt;&gt;"Y","N",IF(COUNTIFS($EX$2:$EX$1000,EX788,$EZ$2:$EZ$1000,"Y",$J$2:$J$1000,"&gt;"&amp;J788)+COUNTIFS($EX$2:$EX$1000,EX788,$EZ$2:$EZ$1000,"Y",$J$2:$J$1000,J788,$FG$2:$FG$1000,"&lt;"&amp;FG788)=0,"Y","N")))</f>
        <v/>
      </c>
      <c r="FB788" s="0" t="str">
        <f aca="false">IF($A788="","",IF(AND(EZ788="Y",FA788="Y",Y788&amp;""&lt;&gt;""),IF(Y788&lt;=10,"Y","N"),"N"))</f>
        <v/>
      </c>
      <c r="FC788" s="0" t="str">
        <f aca="false">IF(FB788="Y",Y788,"")</f>
        <v/>
      </c>
      <c r="FD788" s="0" t="str">
        <f aca="false">IF($A788="","",IF(AND(CK788="pass",AU788="Y",AV788&lt;&gt;"Y",U788="new",EW788="N"),"Y","N"))</f>
        <v/>
      </c>
      <c r="FE788" s="0" t="str">
        <f aca="false">IF(FD788&lt;&gt;"Y","",IF(COUNTIFS($FD$2:$FD$1000,"Y",$J$2:$J$1000,"&gt;"&amp;J788)+COUNTIFS($FD$2:$FD$1000,"Y",$J$2:$J$1000,J788,$FG$2:$FG$1000,"&lt;"&amp;FG788)+1&lt;=30,COUNTIFS($FD$2:$FD$1000,"Y",$J$2:$J$1000,"&gt;"&amp;J788)+COUNTIFS($FD$2:$FD$1000,"Y",$J$2:$J$1000,J788,$FG$2:$FG$1000,"&lt;"&amp;FG788)+1,""))</f>
        <v/>
      </c>
      <c r="FF788" s="0" t="str">
        <f aca="false">IF(AND(_xlfn.ISFORMULA(C788),_xlfn.ISFORMULA(J788)),"Y","N")</f>
        <v>Y</v>
      </c>
      <c r="FG788" s="0" t="n">
        <f aca="false">ROW()-1</f>
        <v>787</v>
      </c>
    </row>
    <row r="789" customFormat="false" ht="15" hidden="false" customHeight="false" outlineLevel="0" collapsed="false">
      <c r="C789" s="0" t="str">
        <f aca="false">IF($A789="","",IF(AT789="Y",BL789&amp;"",AY789&amp;""))</f>
        <v/>
      </c>
      <c r="D789" s="0" t="str">
        <f aca="false">IF($A789="","",IF(AT789="Y",BM789&amp;"",AZ789&amp;""))</f>
        <v/>
      </c>
      <c r="E789" s="0" t="str">
        <f aca="false">IF($A789="","",IF(AT789="Y",BN789&amp;"",BA789&amp;""))</f>
        <v/>
      </c>
      <c r="F789" s="0" t="str">
        <f aca="false">IF($A789="","",IF(AT789="Y",BO789&amp;"",BB789&amp;""))</f>
        <v/>
      </c>
      <c r="G789" s="0" t="str">
        <f aca="false">IF($A789="","",IF(AT789="Y",BP789&amp;"",BC789&amp;""))</f>
        <v/>
      </c>
      <c r="H789" s="0" t="str">
        <f aca="false">IF($A789="","",IF(AT789="Y",BQ789&amp;"",BD789&amp;""))</f>
        <v/>
      </c>
      <c r="I789" s="0" t="str">
        <f aca="false">IF($A789="","",IF(R789="Y","warm-intro",IF(H789="verified","email",IF(C789&lt;&gt;"","linkedin",CA789&amp;""))))</f>
        <v/>
      </c>
      <c r="J789" s="0" t="str">
        <f aca="false">IF($A789="","",IF(CK789="pass",ROUND(N(DO789)+N(DP789)+N(DQ789)+N(DR789)+N(DS789)+N(DT789)+N(DU789)+N(DV789),0),0))</f>
        <v/>
      </c>
      <c r="K789" s="0" t="str">
        <f aca="false">IF($A789="","",IF(CK789&lt;&gt;"pass",BY789&amp;"",BY789&amp;", "&amp;IF(AT789="Y",BX789&amp;"",BK789&amp;"")&amp;BZ789&amp;IF(R789="Y","; known to the founder (+10)","")&amp;"."))</f>
        <v/>
      </c>
      <c r="R789" s="5"/>
      <c r="T789" s="5"/>
      <c r="U789" s="5"/>
      <c r="Y789" s="0" t="str">
        <f aca="false">IF(FA789&lt;&gt;"Y","",COUNTIFS($FA$2:$FA$1000,"Y",$J$2:$J$1000,"&gt;"&amp;J789)+COUNTIFS($FA$2:$FA$1000,"Y",$J$2:$J$1000,J789,$FG$2:$FG$1000,"&lt;"&amp;FG789)+1)</f>
        <v/>
      </c>
      <c r="AB789" s="0" t="str">
        <f aca="false">IF($A789="","",IF(AT789="Y",BW789&amp;"",BJ789&amp;""))</f>
        <v/>
      </c>
      <c r="AC789" s="0" t="str">
        <f aca="false">IF($A789="","",IF(AT789="Y",BR789&amp;"",BE789&amp;""))</f>
        <v/>
      </c>
      <c r="AD789" s="0" t="str">
        <f aca="false">IF($A789="","",IF(AT789="Y",BS789&amp;"",BF789&amp;""))</f>
        <v/>
      </c>
      <c r="AE789" s="0" t="str">
        <f aca="false">IF($A789="","",IF(AT789="Y",BT789&amp;"",BG789&amp;""))</f>
        <v/>
      </c>
      <c r="AF789" s="0" t="str">
        <f aca="false">IF($A789="","",IF(AT789="Y",BU789&amp;"",BH789&amp;""))</f>
        <v/>
      </c>
      <c r="AG789" s="0" t="str">
        <f aca="false">IF($A789="","",IF(AT789="Y",BV789&amp;"",BI789&amp;""))</f>
        <v/>
      </c>
      <c r="AO789" s="5"/>
      <c r="AR789" s="0" t="str">
        <f aca="false">IF($A789="","",IF(AND(CK789="pass",AO789&lt;&gt;"Y",C789&lt;&gt;"",OR(AU789&lt;&gt;"Y",AV789="Y")),"Y","N"))</f>
        <v/>
      </c>
      <c r="AS789" s="0" t="str">
        <f aca="false">IF($A789="","",_xlfn.TEXTJOIN("; ",TRUE(),IF(CK789&lt;&gt;"pass","gated out",""),IF(AO789="Y","on hold: "&amp;AP789,""),IF(C789="","no contact named on an opened page",""),IF(AND(AU789="Y",AV789&lt;&gt;"Y"),"founder review pending (Founder review tab)","")))</f>
        <v/>
      </c>
      <c r="BC789" s="0" t="str">
        <f aca="false">IF($A789="","",IFERROR(INDEX(Enrichment!$A$2:$GZ$2000,MATCH($A789,INDEX(Enrichment!$A$2:$GZ$2000,0,MATCH("row_id",Enrichment!$A$1:$GZ$1,0)),0),MATCH("work_email",Enrichment!$A$1:$GZ$1,0))&amp;"",""))</f>
        <v/>
      </c>
      <c r="BD789" s="0" t="str">
        <f aca="false">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P789" s="0" t="str">
        <f aca="false">IF($A789="","",IFERROR(INDEX(Enrichment!$A$2:$GZ$2000,MATCH($A789,INDEX(Enrichment!$A$2:$GZ$2000,0,MATCH("row_id",Enrichment!$A$1:$GZ$1,0)),0),MATCH("backup_work_email",Enrichment!$A$1:$GZ$1,0))&amp;"",""))</f>
        <v/>
      </c>
      <c r="BQ789" s="0" t="str">
        <f aca="false">IF($A789="","",IF(BP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DU789" s="0" t="str">
        <f aca="false">IF($A789="","",IF(R789="Y",10,0))</f>
        <v/>
      </c>
      <c r="EV789" s="0" t="str">
        <f aca="false">IF($A789="","",IF(ISNUMBER(MATCH(U789,{"queued","contacted","replied","call_booked","call_done","yes_in_principle","materials_sent"},0)),"Y","N"))</f>
        <v/>
      </c>
      <c r="EW789" s="0" t="str">
        <f aca="false">IF($A789="","",IF(OR(T789="Y",U789="do_not_contact",AQ789&amp;""&lt;&gt;""),"Y","N"))</f>
        <v/>
      </c>
      <c r="EX789" s="0" t="str">
        <f aca="false">IF($A789="","",IF(AN789&amp;""&lt;&gt;"",AN789&amp;"",$A789))</f>
        <v/>
      </c>
      <c r="EY789" s="0" t="str">
        <f aca="false">IF($A789="","",IF(COUNTIFS($EX$2:$EX$1000,EX789,$EV$2:$EV$1000,"Y")+COUNTIFS($EX$2:$EX$1000,EX789,$EW$2:$EW$1000,"Y")&gt;0,"Y","N"))</f>
        <v/>
      </c>
      <c r="EZ789" s="0" t="str">
        <f aca="false">IF($A789="","",IF(AND(U789="new",T789="N",EW789="N",AR789="Y",EY789="N"),"Y","N"))</f>
        <v/>
      </c>
      <c r="FA789" s="0" t="str">
        <f aca="false">IF($A789="","",IF(EZ789&lt;&gt;"Y","N",IF(COUNTIFS($EX$2:$EX$1000,EX789,$EZ$2:$EZ$1000,"Y",$J$2:$J$1000,"&gt;"&amp;J789)+COUNTIFS($EX$2:$EX$1000,EX789,$EZ$2:$EZ$1000,"Y",$J$2:$J$1000,J789,$FG$2:$FG$1000,"&lt;"&amp;FG789)=0,"Y","N")))</f>
        <v/>
      </c>
      <c r="FB789" s="0" t="str">
        <f aca="false">IF($A789="","",IF(AND(EZ789="Y",FA789="Y",Y789&amp;""&lt;&gt;""),IF(Y789&lt;=10,"Y","N"),"N"))</f>
        <v/>
      </c>
      <c r="FC789" s="0" t="str">
        <f aca="false">IF(FB789="Y",Y789,"")</f>
        <v/>
      </c>
      <c r="FD789" s="0" t="str">
        <f aca="false">IF($A789="","",IF(AND(CK789="pass",AU789="Y",AV789&lt;&gt;"Y",U789="new",EW789="N"),"Y","N"))</f>
        <v/>
      </c>
      <c r="FE789" s="0" t="str">
        <f aca="false">IF(FD789&lt;&gt;"Y","",IF(COUNTIFS($FD$2:$FD$1000,"Y",$J$2:$J$1000,"&gt;"&amp;J789)+COUNTIFS($FD$2:$FD$1000,"Y",$J$2:$J$1000,J789,$FG$2:$FG$1000,"&lt;"&amp;FG789)+1&lt;=30,COUNTIFS($FD$2:$FD$1000,"Y",$J$2:$J$1000,"&gt;"&amp;J789)+COUNTIFS($FD$2:$FD$1000,"Y",$J$2:$J$1000,J789,$FG$2:$FG$1000,"&lt;"&amp;FG789)+1,""))</f>
        <v/>
      </c>
      <c r="FF789" s="0" t="str">
        <f aca="false">IF(AND(_xlfn.ISFORMULA(C789),_xlfn.ISFORMULA(J789)),"Y","N")</f>
        <v>Y</v>
      </c>
      <c r="FG789" s="0" t="n">
        <f aca="false">ROW()-1</f>
        <v>788</v>
      </c>
    </row>
    <row r="790" customFormat="false" ht="15" hidden="false" customHeight="false" outlineLevel="0" collapsed="false">
      <c r="C790" s="0" t="str">
        <f aca="false">IF($A790="","",IF(AT790="Y",BL790&amp;"",AY790&amp;""))</f>
        <v/>
      </c>
      <c r="D790" s="0" t="str">
        <f aca="false">IF($A790="","",IF(AT790="Y",BM790&amp;"",AZ790&amp;""))</f>
        <v/>
      </c>
      <c r="E790" s="0" t="str">
        <f aca="false">IF($A790="","",IF(AT790="Y",BN790&amp;"",BA790&amp;""))</f>
        <v/>
      </c>
      <c r="F790" s="0" t="str">
        <f aca="false">IF($A790="","",IF(AT790="Y",BO790&amp;"",BB790&amp;""))</f>
        <v/>
      </c>
      <c r="G790" s="0" t="str">
        <f aca="false">IF($A790="","",IF(AT790="Y",BP790&amp;"",BC790&amp;""))</f>
        <v/>
      </c>
      <c r="H790" s="0" t="str">
        <f aca="false">IF($A790="","",IF(AT790="Y",BQ790&amp;"",BD790&amp;""))</f>
        <v/>
      </c>
      <c r="I790" s="0" t="str">
        <f aca="false">IF($A790="","",IF(R790="Y","warm-intro",IF(H790="verified","email",IF(C790&lt;&gt;"","linkedin",CA790&amp;""))))</f>
        <v/>
      </c>
      <c r="J790" s="0" t="str">
        <f aca="false">IF($A790="","",IF(CK790="pass",ROUND(N(DO790)+N(DP790)+N(DQ790)+N(DR790)+N(DS790)+N(DT790)+N(DU790)+N(DV790),0),0))</f>
        <v/>
      </c>
      <c r="K790" s="0" t="str">
        <f aca="false">IF($A790="","",IF(CK790&lt;&gt;"pass",BY790&amp;"",BY790&amp;", "&amp;IF(AT790="Y",BX790&amp;"",BK790&amp;"")&amp;BZ790&amp;IF(R790="Y","; known to the founder (+10)","")&amp;"."))</f>
        <v/>
      </c>
      <c r="R790" s="5"/>
      <c r="T790" s="5"/>
      <c r="U790" s="5"/>
      <c r="Y790" s="0" t="str">
        <f aca="false">IF(FA790&lt;&gt;"Y","",COUNTIFS($FA$2:$FA$1000,"Y",$J$2:$J$1000,"&gt;"&amp;J790)+COUNTIFS($FA$2:$FA$1000,"Y",$J$2:$J$1000,J790,$FG$2:$FG$1000,"&lt;"&amp;FG790)+1)</f>
        <v/>
      </c>
      <c r="AB790" s="0" t="str">
        <f aca="false">IF($A790="","",IF(AT790="Y",BW790&amp;"",BJ790&amp;""))</f>
        <v/>
      </c>
      <c r="AC790" s="0" t="str">
        <f aca="false">IF($A790="","",IF(AT790="Y",BR790&amp;"",BE790&amp;""))</f>
        <v/>
      </c>
      <c r="AD790" s="0" t="str">
        <f aca="false">IF($A790="","",IF(AT790="Y",BS790&amp;"",BF790&amp;""))</f>
        <v/>
      </c>
      <c r="AE790" s="0" t="str">
        <f aca="false">IF($A790="","",IF(AT790="Y",BT790&amp;"",BG790&amp;""))</f>
        <v/>
      </c>
      <c r="AF790" s="0" t="str">
        <f aca="false">IF($A790="","",IF(AT790="Y",BU790&amp;"",BH790&amp;""))</f>
        <v/>
      </c>
      <c r="AG790" s="0" t="str">
        <f aca="false">IF($A790="","",IF(AT790="Y",BV790&amp;"",BI790&amp;""))</f>
        <v/>
      </c>
      <c r="AO790" s="5"/>
      <c r="AR790" s="0" t="str">
        <f aca="false">IF($A790="","",IF(AND(CK790="pass",AO790&lt;&gt;"Y",C790&lt;&gt;"",OR(AU790&lt;&gt;"Y",AV790="Y")),"Y","N"))</f>
        <v/>
      </c>
      <c r="AS790" s="0" t="str">
        <f aca="false">IF($A790="","",_xlfn.TEXTJOIN("; ",TRUE(),IF(CK790&lt;&gt;"pass","gated out",""),IF(AO790="Y","on hold: "&amp;AP790,""),IF(C790="","no contact named on an opened page",""),IF(AND(AU790="Y",AV790&lt;&gt;"Y"),"founder review pending (Founder review tab)","")))</f>
        <v/>
      </c>
      <c r="BC790" s="0" t="str">
        <f aca="false">IF($A790="","",IFERROR(INDEX(Enrichment!$A$2:$GZ$2000,MATCH($A790,INDEX(Enrichment!$A$2:$GZ$2000,0,MATCH("row_id",Enrichment!$A$1:$GZ$1,0)),0),MATCH("work_email",Enrichment!$A$1:$GZ$1,0))&amp;"",""))</f>
        <v/>
      </c>
      <c r="BD790" s="0" t="str">
        <f aca="false">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P790" s="0" t="str">
        <f aca="false">IF($A790="","",IFERROR(INDEX(Enrichment!$A$2:$GZ$2000,MATCH($A790,INDEX(Enrichment!$A$2:$GZ$2000,0,MATCH("row_id",Enrichment!$A$1:$GZ$1,0)),0),MATCH("backup_work_email",Enrichment!$A$1:$GZ$1,0))&amp;"",""))</f>
        <v/>
      </c>
      <c r="BQ790" s="0" t="str">
        <f aca="false">IF($A790="","",IF(BP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DU790" s="0" t="str">
        <f aca="false">IF($A790="","",IF(R790="Y",10,0))</f>
        <v/>
      </c>
      <c r="EV790" s="0" t="str">
        <f aca="false">IF($A790="","",IF(ISNUMBER(MATCH(U790,{"queued","contacted","replied","call_booked","call_done","yes_in_principle","materials_sent"},0)),"Y","N"))</f>
        <v/>
      </c>
      <c r="EW790" s="0" t="str">
        <f aca="false">IF($A790="","",IF(OR(T790="Y",U790="do_not_contact",AQ790&amp;""&lt;&gt;""),"Y","N"))</f>
        <v/>
      </c>
      <c r="EX790" s="0" t="str">
        <f aca="false">IF($A790="","",IF(AN790&amp;""&lt;&gt;"",AN790&amp;"",$A790))</f>
        <v/>
      </c>
      <c r="EY790" s="0" t="str">
        <f aca="false">IF($A790="","",IF(COUNTIFS($EX$2:$EX$1000,EX790,$EV$2:$EV$1000,"Y")+COUNTIFS($EX$2:$EX$1000,EX790,$EW$2:$EW$1000,"Y")&gt;0,"Y","N"))</f>
        <v/>
      </c>
      <c r="EZ790" s="0" t="str">
        <f aca="false">IF($A790="","",IF(AND(U790="new",T790="N",EW790="N",AR790="Y",EY790="N"),"Y","N"))</f>
        <v/>
      </c>
      <c r="FA790" s="0" t="str">
        <f aca="false">IF($A790="","",IF(EZ790&lt;&gt;"Y","N",IF(COUNTIFS($EX$2:$EX$1000,EX790,$EZ$2:$EZ$1000,"Y",$J$2:$J$1000,"&gt;"&amp;J790)+COUNTIFS($EX$2:$EX$1000,EX790,$EZ$2:$EZ$1000,"Y",$J$2:$J$1000,J790,$FG$2:$FG$1000,"&lt;"&amp;FG790)=0,"Y","N")))</f>
        <v/>
      </c>
      <c r="FB790" s="0" t="str">
        <f aca="false">IF($A790="","",IF(AND(EZ790="Y",FA790="Y",Y790&amp;""&lt;&gt;""),IF(Y790&lt;=10,"Y","N"),"N"))</f>
        <v/>
      </c>
      <c r="FC790" s="0" t="str">
        <f aca="false">IF(FB790="Y",Y790,"")</f>
        <v/>
      </c>
      <c r="FD790" s="0" t="str">
        <f aca="false">IF($A790="","",IF(AND(CK790="pass",AU790="Y",AV790&lt;&gt;"Y",U790="new",EW790="N"),"Y","N"))</f>
        <v/>
      </c>
      <c r="FE790" s="0" t="str">
        <f aca="false">IF(FD790&lt;&gt;"Y","",IF(COUNTIFS($FD$2:$FD$1000,"Y",$J$2:$J$1000,"&gt;"&amp;J790)+COUNTIFS($FD$2:$FD$1000,"Y",$J$2:$J$1000,J790,$FG$2:$FG$1000,"&lt;"&amp;FG790)+1&lt;=30,COUNTIFS($FD$2:$FD$1000,"Y",$J$2:$J$1000,"&gt;"&amp;J790)+COUNTIFS($FD$2:$FD$1000,"Y",$J$2:$J$1000,J790,$FG$2:$FG$1000,"&lt;"&amp;FG790)+1,""))</f>
        <v/>
      </c>
      <c r="FF790" s="0" t="str">
        <f aca="false">IF(AND(_xlfn.ISFORMULA(C790),_xlfn.ISFORMULA(J790)),"Y","N")</f>
        <v>Y</v>
      </c>
      <c r="FG790" s="0" t="n">
        <f aca="false">ROW()-1</f>
        <v>789</v>
      </c>
    </row>
    <row r="791" customFormat="false" ht="15" hidden="false" customHeight="false" outlineLevel="0" collapsed="false">
      <c r="C791" s="0" t="str">
        <f aca="false">IF($A791="","",IF(AT791="Y",BL791&amp;"",AY791&amp;""))</f>
        <v/>
      </c>
      <c r="D791" s="0" t="str">
        <f aca="false">IF($A791="","",IF(AT791="Y",BM791&amp;"",AZ791&amp;""))</f>
        <v/>
      </c>
      <c r="E791" s="0" t="str">
        <f aca="false">IF($A791="","",IF(AT791="Y",BN791&amp;"",BA791&amp;""))</f>
        <v/>
      </c>
      <c r="F791" s="0" t="str">
        <f aca="false">IF($A791="","",IF(AT791="Y",BO791&amp;"",BB791&amp;""))</f>
        <v/>
      </c>
      <c r="G791" s="0" t="str">
        <f aca="false">IF($A791="","",IF(AT791="Y",BP791&amp;"",BC791&amp;""))</f>
        <v/>
      </c>
      <c r="H791" s="0" t="str">
        <f aca="false">IF($A791="","",IF(AT791="Y",BQ791&amp;"",BD791&amp;""))</f>
        <v/>
      </c>
      <c r="I791" s="0" t="str">
        <f aca="false">IF($A791="","",IF(R791="Y","warm-intro",IF(H791="verified","email",IF(C791&lt;&gt;"","linkedin",CA791&amp;""))))</f>
        <v/>
      </c>
      <c r="J791" s="0" t="str">
        <f aca="false">IF($A791="","",IF(CK791="pass",ROUND(N(DO791)+N(DP791)+N(DQ791)+N(DR791)+N(DS791)+N(DT791)+N(DU791)+N(DV791),0),0))</f>
        <v/>
      </c>
      <c r="K791" s="0" t="str">
        <f aca="false">IF($A791="","",IF(CK791&lt;&gt;"pass",BY791&amp;"",BY791&amp;", "&amp;IF(AT791="Y",BX791&amp;"",BK791&amp;"")&amp;BZ791&amp;IF(R791="Y","; known to the founder (+10)","")&amp;"."))</f>
        <v/>
      </c>
      <c r="R791" s="5"/>
      <c r="T791" s="5"/>
      <c r="U791" s="5"/>
      <c r="Y791" s="0" t="str">
        <f aca="false">IF(FA791&lt;&gt;"Y","",COUNTIFS($FA$2:$FA$1000,"Y",$J$2:$J$1000,"&gt;"&amp;J791)+COUNTIFS($FA$2:$FA$1000,"Y",$J$2:$J$1000,J791,$FG$2:$FG$1000,"&lt;"&amp;FG791)+1)</f>
        <v/>
      </c>
      <c r="AB791" s="0" t="str">
        <f aca="false">IF($A791="","",IF(AT791="Y",BW791&amp;"",BJ791&amp;""))</f>
        <v/>
      </c>
      <c r="AC791" s="0" t="str">
        <f aca="false">IF($A791="","",IF(AT791="Y",BR791&amp;"",BE791&amp;""))</f>
        <v/>
      </c>
      <c r="AD791" s="0" t="str">
        <f aca="false">IF($A791="","",IF(AT791="Y",BS791&amp;"",BF791&amp;""))</f>
        <v/>
      </c>
      <c r="AE791" s="0" t="str">
        <f aca="false">IF($A791="","",IF(AT791="Y",BT791&amp;"",BG791&amp;""))</f>
        <v/>
      </c>
      <c r="AF791" s="0" t="str">
        <f aca="false">IF($A791="","",IF(AT791="Y",BU791&amp;"",BH791&amp;""))</f>
        <v/>
      </c>
      <c r="AG791" s="0" t="str">
        <f aca="false">IF($A791="","",IF(AT791="Y",BV791&amp;"",BI791&amp;""))</f>
        <v/>
      </c>
      <c r="AO791" s="5"/>
      <c r="AR791" s="0" t="str">
        <f aca="false">IF($A791="","",IF(AND(CK791="pass",AO791&lt;&gt;"Y",C791&lt;&gt;"",OR(AU791&lt;&gt;"Y",AV791="Y")),"Y","N"))</f>
        <v/>
      </c>
      <c r="AS791" s="0" t="str">
        <f aca="false">IF($A791="","",_xlfn.TEXTJOIN("; ",TRUE(),IF(CK791&lt;&gt;"pass","gated out",""),IF(AO791="Y","on hold: "&amp;AP791,""),IF(C791="","no contact named on an opened page",""),IF(AND(AU791="Y",AV791&lt;&gt;"Y"),"founder review pending (Founder review tab)","")))</f>
        <v/>
      </c>
      <c r="BC791" s="0" t="str">
        <f aca="false">IF($A791="","",IFERROR(INDEX(Enrichment!$A$2:$GZ$2000,MATCH($A791,INDEX(Enrichment!$A$2:$GZ$2000,0,MATCH("row_id",Enrichment!$A$1:$GZ$1,0)),0),MATCH("work_email",Enrichment!$A$1:$GZ$1,0))&amp;"",""))</f>
        <v/>
      </c>
      <c r="BD791" s="0" t="str">
        <f aca="false">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P791" s="0" t="str">
        <f aca="false">IF($A791="","",IFERROR(INDEX(Enrichment!$A$2:$GZ$2000,MATCH($A791,INDEX(Enrichment!$A$2:$GZ$2000,0,MATCH("row_id",Enrichment!$A$1:$GZ$1,0)),0),MATCH("backup_work_email",Enrichment!$A$1:$GZ$1,0))&amp;"",""))</f>
        <v/>
      </c>
      <c r="BQ791" s="0" t="str">
        <f aca="false">IF($A791="","",IF(BP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DU791" s="0" t="str">
        <f aca="false">IF($A791="","",IF(R791="Y",10,0))</f>
        <v/>
      </c>
      <c r="EV791" s="0" t="str">
        <f aca="false">IF($A791="","",IF(ISNUMBER(MATCH(U791,{"queued","contacted","replied","call_booked","call_done","yes_in_principle","materials_sent"},0)),"Y","N"))</f>
        <v/>
      </c>
      <c r="EW791" s="0" t="str">
        <f aca="false">IF($A791="","",IF(OR(T791="Y",U791="do_not_contact",AQ791&amp;""&lt;&gt;""),"Y","N"))</f>
        <v/>
      </c>
      <c r="EX791" s="0" t="str">
        <f aca="false">IF($A791="","",IF(AN791&amp;""&lt;&gt;"",AN791&amp;"",$A791))</f>
        <v/>
      </c>
      <c r="EY791" s="0" t="str">
        <f aca="false">IF($A791="","",IF(COUNTIFS($EX$2:$EX$1000,EX791,$EV$2:$EV$1000,"Y")+COUNTIFS($EX$2:$EX$1000,EX791,$EW$2:$EW$1000,"Y")&gt;0,"Y","N"))</f>
        <v/>
      </c>
      <c r="EZ791" s="0" t="str">
        <f aca="false">IF($A791="","",IF(AND(U791="new",T791="N",EW791="N",AR791="Y",EY791="N"),"Y","N"))</f>
        <v/>
      </c>
      <c r="FA791" s="0" t="str">
        <f aca="false">IF($A791="","",IF(EZ791&lt;&gt;"Y","N",IF(COUNTIFS($EX$2:$EX$1000,EX791,$EZ$2:$EZ$1000,"Y",$J$2:$J$1000,"&gt;"&amp;J791)+COUNTIFS($EX$2:$EX$1000,EX791,$EZ$2:$EZ$1000,"Y",$J$2:$J$1000,J791,$FG$2:$FG$1000,"&lt;"&amp;FG791)=0,"Y","N")))</f>
        <v/>
      </c>
      <c r="FB791" s="0" t="str">
        <f aca="false">IF($A791="","",IF(AND(EZ791="Y",FA791="Y",Y791&amp;""&lt;&gt;""),IF(Y791&lt;=10,"Y","N"),"N"))</f>
        <v/>
      </c>
      <c r="FC791" s="0" t="str">
        <f aca="false">IF(FB791="Y",Y791,"")</f>
        <v/>
      </c>
      <c r="FD791" s="0" t="str">
        <f aca="false">IF($A791="","",IF(AND(CK791="pass",AU791="Y",AV791&lt;&gt;"Y",U791="new",EW791="N"),"Y","N"))</f>
        <v/>
      </c>
      <c r="FE791" s="0" t="str">
        <f aca="false">IF(FD791&lt;&gt;"Y","",IF(COUNTIFS($FD$2:$FD$1000,"Y",$J$2:$J$1000,"&gt;"&amp;J791)+COUNTIFS($FD$2:$FD$1000,"Y",$J$2:$J$1000,J791,$FG$2:$FG$1000,"&lt;"&amp;FG791)+1&lt;=30,COUNTIFS($FD$2:$FD$1000,"Y",$J$2:$J$1000,"&gt;"&amp;J791)+COUNTIFS($FD$2:$FD$1000,"Y",$J$2:$J$1000,J791,$FG$2:$FG$1000,"&lt;"&amp;FG791)+1,""))</f>
        <v/>
      </c>
      <c r="FF791" s="0" t="str">
        <f aca="false">IF(AND(_xlfn.ISFORMULA(C791),_xlfn.ISFORMULA(J791)),"Y","N")</f>
        <v>Y</v>
      </c>
      <c r="FG791" s="0" t="n">
        <f aca="false">ROW()-1</f>
        <v>790</v>
      </c>
    </row>
    <row r="792" customFormat="false" ht="15" hidden="false" customHeight="false" outlineLevel="0" collapsed="false">
      <c r="C792" s="0" t="str">
        <f aca="false">IF($A792="","",IF(AT792="Y",BL792&amp;"",AY792&amp;""))</f>
        <v/>
      </c>
      <c r="D792" s="0" t="str">
        <f aca="false">IF($A792="","",IF(AT792="Y",BM792&amp;"",AZ792&amp;""))</f>
        <v/>
      </c>
      <c r="E792" s="0" t="str">
        <f aca="false">IF($A792="","",IF(AT792="Y",BN792&amp;"",BA792&amp;""))</f>
        <v/>
      </c>
      <c r="F792" s="0" t="str">
        <f aca="false">IF($A792="","",IF(AT792="Y",BO792&amp;"",BB792&amp;""))</f>
        <v/>
      </c>
      <c r="G792" s="0" t="str">
        <f aca="false">IF($A792="","",IF(AT792="Y",BP792&amp;"",BC792&amp;""))</f>
        <v/>
      </c>
      <c r="H792" s="0" t="str">
        <f aca="false">IF($A792="","",IF(AT792="Y",BQ792&amp;"",BD792&amp;""))</f>
        <v/>
      </c>
      <c r="I792" s="0" t="str">
        <f aca="false">IF($A792="","",IF(R792="Y","warm-intro",IF(H792="verified","email",IF(C792&lt;&gt;"","linkedin",CA792&amp;""))))</f>
        <v/>
      </c>
      <c r="J792" s="0" t="str">
        <f aca="false">IF($A792="","",IF(CK792="pass",ROUND(N(DO792)+N(DP792)+N(DQ792)+N(DR792)+N(DS792)+N(DT792)+N(DU792)+N(DV792),0),0))</f>
        <v/>
      </c>
      <c r="K792" s="0" t="str">
        <f aca="false">IF($A792="","",IF(CK792&lt;&gt;"pass",BY792&amp;"",BY792&amp;", "&amp;IF(AT792="Y",BX792&amp;"",BK792&amp;"")&amp;BZ792&amp;IF(R792="Y","; known to the founder (+10)","")&amp;"."))</f>
        <v/>
      </c>
      <c r="R792" s="5"/>
      <c r="T792" s="5"/>
      <c r="U792" s="5"/>
      <c r="Y792" s="0" t="str">
        <f aca="false">IF(FA792&lt;&gt;"Y","",COUNTIFS($FA$2:$FA$1000,"Y",$J$2:$J$1000,"&gt;"&amp;J792)+COUNTIFS($FA$2:$FA$1000,"Y",$J$2:$J$1000,J792,$FG$2:$FG$1000,"&lt;"&amp;FG792)+1)</f>
        <v/>
      </c>
      <c r="AB792" s="0" t="str">
        <f aca="false">IF($A792="","",IF(AT792="Y",BW792&amp;"",BJ792&amp;""))</f>
        <v/>
      </c>
      <c r="AC792" s="0" t="str">
        <f aca="false">IF($A792="","",IF(AT792="Y",BR792&amp;"",BE792&amp;""))</f>
        <v/>
      </c>
      <c r="AD792" s="0" t="str">
        <f aca="false">IF($A792="","",IF(AT792="Y",BS792&amp;"",BF792&amp;""))</f>
        <v/>
      </c>
      <c r="AE792" s="0" t="str">
        <f aca="false">IF($A792="","",IF(AT792="Y",BT792&amp;"",BG792&amp;""))</f>
        <v/>
      </c>
      <c r="AF792" s="0" t="str">
        <f aca="false">IF($A792="","",IF(AT792="Y",BU792&amp;"",BH792&amp;""))</f>
        <v/>
      </c>
      <c r="AG792" s="0" t="str">
        <f aca="false">IF($A792="","",IF(AT792="Y",BV792&amp;"",BI792&amp;""))</f>
        <v/>
      </c>
      <c r="AO792" s="5"/>
      <c r="AR792" s="0" t="str">
        <f aca="false">IF($A792="","",IF(AND(CK792="pass",AO792&lt;&gt;"Y",C792&lt;&gt;"",OR(AU792&lt;&gt;"Y",AV792="Y")),"Y","N"))</f>
        <v/>
      </c>
      <c r="AS792" s="0" t="str">
        <f aca="false">IF($A792="","",_xlfn.TEXTJOIN("; ",TRUE(),IF(CK792&lt;&gt;"pass","gated out",""),IF(AO792="Y","on hold: "&amp;AP792,""),IF(C792="","no contact named on an opened page",""),IF(AND(AU792="Y",AV792&lt;&gt;"Y"),"founder review pending (Founder review tab)","")))</f>
        <v/>
      </c>
      <c r="BC792" s="0" t="str">
        <f aca="false">IF($A792="","",IFERROR(INDEX(Enrichment!$A$2:$GZ$2000,MATCH($A792,INDEX(Enrichment!$A$2:$GZ$2000,0,MATCH("row_id",Enrichment!$A$1:$GZ$1,0)),0),MATCH("work_email",Enrichment!$A$1:$GZ$1,0))&amp;"",""))</f>
        <v/>
      </c>
      <c r="BD792" s="0" t="str">
        <f aca="false">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P792" s="0" t="str">
        <f aca="false">IF($A792="","",IFERROR(INDEX(Enrichment!$A$2:$GZ$2000,MATCH($A792,INDEX(Enrichment!$A$2:$GZ$2000,0,MATCH("row_id",Enrichment!$A$1:$GZ$1,0)),0),MATCH("backup_work_email",Enrichment!$A$1:$GZ$1,0))&amp;"",""))</f>
        <v/>
      </c>
      <c r="BQ792" s="0" t="str">
        <f aca="false">IF($A792="","",IF(BP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DU792" s="0" t="str">
        <f aca="false">IF($A792="","",IF(R792="Y",10,0))</f>
        <v/>
      </c>
      <c r="EV792" s="0" t="str">
        <f aca="false">IF($A792="","",IF(ISNUMBER(MATCH(U792,{"queued","contacted","replied","call_booked","call_done","yes_in_principle","materials_sent"},0)),"Y","N"))</f>
        <v/>
      </c>
      <c r="EW792" s="0" t="str">
        <f aca="false">IF($A792="","",IF(OR(T792="Y",U792="do_not_contact",AQ792&amp;""&lt;&gt;""),"Y","N"))</f>
        <v/>
      </c>
      <c r="EX792" s="0" t="str">
        <f aca="false">IF($A792="","",IF(AN792&amp;""&lt;&gt;"",AN792&amp;"",$A792))</f>
        <v/>
      </c>
      <c r="EY792" s="0" t="str">
        <f aca="false">IF($A792="","",IF(COUNTIFS($EX$2:$EX$1000,EX792,$EV$2:$EV$1000,"Y")+COUNTIFS($EX$2:$EX$1000,EX792,$EW$2:$EW$1000,"Y")&gt;0,"Y","N"))</f>
        <v/>
      </c>
      <c r="EZ792" s="0" t="str">
        <f aca="false">IF($A792="","",IF(AND(U792="new",T792="N",EW792="N",AR792="Y",EY792="N"),"Y","N"))</f>
        <v/>
      </c>
      <c r="FA792" s="0" t="str">
        <f aca="false">IF($A792="","",IF(EZ792&lt;&gt;"Y","N",IF(COUNTIFS($EX$2:$EX$1000,EX792,$EZ$2:$EZ$1000,"Y",$J$2:$J$1000,"&gt;"&amp;J792)+COUNTIFS($EX$2:$EX$1000,EX792,$EZ$2:$EZ$1000,"Y",$J$2:$J$1000,J792,$FG$2:$FG$1000,"&lt;"&amp;FG792)=0,"Y","N")))</f>
        <v/>
      </c>
      <c r="FB792" s="0" t="str">
        <f aca="false">IF($A792="","",IF(AND(EZ792="Y",FA792="Y",Y792&amp;""&lt;&gt;""),IF(Y792&lt;=10,"Y","N"),"N"))</f>
        <v/>
      </c>
      <c r="FC792" s="0" t="str">
        <f aca="false">IF(FB792="Y",Y792,"")</f>
        <v/>
      </c>
      <c r="FD792" s="0" t="str">
        <f aca="false">IF($A792="","",IF(AND(CK792="pass",AU792="Y",AV792&lt;&gt;"Y",U792="new",EW792="N"),"Y","N"))</f>
        <v/>
      </c>
      <c r="FE792" s="0" t="str">
        <f aca="false">IF(FD792&lt;&gt;"Y","",IF(COUNTIFS($FD$2:$FD$1000,"Y",$J$2:$J$1000,"&gt;"&amp;J792)+COUNTIFS($FD$2:$FD$1000,"Y",$J$2:$J$1000,J792,$FG$2:$FG$1000,"&lt;"&amp;FG792)+1&lt;=30,COUNTIFS($FD$2:$FD$1000,"Y",$J$2:$J$1000,"&gt;"&amp;J792)+COUNTIFS($FD$2:$FD$1000,"Y",$J$2:$J$1000,J792,$FG$2:$FG$1000,"&lt;"&amp;FG792)+1,""))</f>
        <v/>
      </c>
      <c r="FF792" s="0" t="str">
        <f aca="false">IF(AND(_xlfn.ISFORMULA(C792),_xlfn.ISFORMULA(J792)),"Y","N")</f>
        <v>Y</v>
      </c>
      <c r="FG792" s="0" t="n">
        <f aca="false">ROW()-1</f>
        <v>791</v>
      </c>
    </row>
    <row r="793" customFormat="false" ht="15" hidden="false" customHeight="false" outlineLevel="0" collapsed="false">
      <c r="C793" s="0" t="str">
        <f aca="false">IF($A793="","",IF(AT793="Y",BL793&amp;"",AY793&amp;""))</f>
        <v/>
      </c>
      <c r="D793" s="0" t="str">
        <f aca="false">IF($A793="","",IF(AT793="Y",BM793&amp;"",AZ793&amp;""))</f>
        <v/>
      </c>
      <c r="E793" s="0" t="str">
        <f aca="false">IF($A793="","",IF(AT793="Y",BN793&amp;"",BA793&amp;""))</f>
        <v/>
      </c>
      <c r="F793" s="0" t="str">
        <f aca="false">IF($A793="","",IF(AT793="Y",BO793&amp;"",BB793&amp;""))</f>
        <v/>
      </c>
      <c r="G793" s="0" t="str">
        <f aca="false">IF($A793="","",IF(AT793="Y",BP793&amp;"",BC793&amp;""))</f>
        <v/>
      </c>
      <c r="H793" s="0" t="str">
        <f aca="false">IF($A793="","",IF(AT793="Y",BQ793&amp;"",BD793&amp;""))</f>
        <v/>
      </c>
      <c r="I793" s="0" t="str">
        <f aca="false">IF($A793="","",IF(R793="Y","warm-intro",IF(H793="verified","email",IF(C793&lt;&gt;"","linkedin",CA793&amp;""))))</f>
        <v/>
      </c>
      <c r="J793" s="0" t="str">
        <f aca="false">IF($A793="","",IF(CK793="pass",ROUND(N(DO793)+N(DP793)+N(DQ793)+N(DR793)+N(DS793)+N(DT793)+N(DU793)+N(DV793),0),0))</f>
        <v/>
      </c>
      <c r="K793" s="0" t="str">
        <f aca="false">IF($A793="","",IF(CK793&lt;&gt;"pass",BY793&amp;"",BY793&amp;", "&amp;IF(AT793="Y",BX793&amp;"",BK793&amp;"")&amp;BZ793&amp;IF(R793="Y","; known to the founder (+10)","")&amp;"."))</f>
        <v/>
      </c>
      <c r="R793" s="5"/>
      <c r="T793" s="5"/>
      <c r="U793" s="5"/>
      <c r="Y793" s="0" t="str">
        <f aca="false">IF(FA793&lt;&gt;"Y","",COUNTIFS($FA$2:$FA$1000,"Y",$J$2:$J$1000,"&gt;"&amp;J793)+COUNTIFS($FA$2:$FA$1000,"Y",$J$2:$J$1000,J793,$FG$2:$FG$1000,"&lt;"&amp;FG793)+1)</f>
        <v/>
      </c>
      <c r="AB793" s="0" t="str">
        <f aca="false">IF($A793="","",IF(AT793="Y",BW793&amp;"",BJ793&amp;""))</f>
        <v/>
      </c>
      <c r="AC793" s="0" t="str">
        <f aca="false">IF($A793="","",IF(AT793="Y",BR793&amp;"",BE793&amp;""))</f>
        <v/>
      </c>
      <c r="AD793" s="0" t="str">
        <f aca="false">IF($A793="","",IF(AT793="Y",BS793&amp;"",BF793&amp;""))</f>
        <v/>
      </c>
      <c r="AE793" s="0" t="str">
        <f aca="false">IF($A793="","",IF(AT793="Y",BT793&amp;"",BG793&amp;""))</f>
        <v/>
      </c>
      <c r="AF793" s="0" t="str">
        <f aca="false">IF($A793="","",IF(AT793="Y",BU793&amp;"",BH793&amp;""))</f>
        <v/>
      </c>
      <c r="AG793" s="0" t="str">
        <f aca="false">IF($A793="","",IF(AT793="Y",BV793&amp;"",BI793&amp;""))</f>
        <v/>
      </c>
      <c r="AO793" s="5"/>
      <c r="AR793" s="0" t="str">
        <f aca="false">IF($A793="","",IF(AND(CK793="pass",AO793&lt;&gt;"Y",C793&lt;&gt;"",OR(AU793&lt;&gt;"Y",AV793="Y")),"Y","N"))</f>
        <v/>
      </c>
      <c r="AS793" s="0" t="str">
        <f aca="false">IF($A793="","",_xlfn.TEXTJOIN("; ",TRUE(),IF(CK793&lt;&gt;"pass","gated out",""),IF(AO793="Y","on hold: "&amp;AP793,""),IF(C793="","no contact named on an opened page",""),IF(AND(AU793="Y",AV793&lt;&gt;"Y"),"founder review pending (Founder review tab)","")))</f>
        <v/>
      </c>
      <c r="BC793" s="0" t="str">
        <f aca="false">IF($A793="","",IFERROR(INDEX(Enrichment!$A$2:$GZ$2000,MATCH($A793,INDEX(Enrichment!$A$2:$GZ$2000,0,MATCH("row_id",Enrichment!$A$1:$GZ$1,0)),0),MATCH("work_email",Enrichment!$A$1:$GZ$1,0))&amp;"",""))</f>
        <v/>
      </c>
      <c r="BD793" s="0" t="str">
        <f aca="false">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P793" s="0" t="str">
        <f aca="false">IF($A793="","",IFERROR(INDEX(Enrichment!$A$2:$GZ$2000,MATCH($A793,INDEX(Enrichment!$A$2:$GZ$2000,0,MATCH("row_id",Enrichment!$A$1:$GZ$1,0)),0),MATCH("backup_work_email",Enrichment!$A$1:$GZ$1,0))&amp;"",""))</f>
        <v/>
      </c>
      <c r="BQ793" s="0" t="str">
        <f aca="false">IF($A793="","",IF(BP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DU793" s="0" t="str">
        <f aca="false">IF($A793="","",IF(R793="Y",10,0))</f>
        <v/>
      </c>
      <c r="EV793" s="0" t="str">
        <f aca="false">IF($A793="","",IF(ISNUMBER(MATCH(U793,{"queued","contacted","replied","call_booked","call_done","yes_in_principle","materials_sent"},0)),"Y","N"))</f>
        <v/>
      </c>
      <c r="EW793" s="0" t="str">
        <f aca="false">IF($A793="","",IF(OR(T793="Y",U793="do_not_contact",AQ793&amp;""&lt;&gt;""),"Y","N"))</f>
        <v/>
      </c>
      <c r="EX793" s="0" t="str">
        <f aca="false">IF($A793="","",IF(AN793&amp;""&lt;&gt;"",AN793&amp;"",$A793))</f>
        <v/>
      </c>
      <c r="EY793" s="0" t="str">
        <f aca="false">IF($A793="","",IF(COUNTIFS($EX$2:$EX$1000,EX793,$EV$2:$EV$1000,"Y")+COUNTIFS($EX$2:$EX$1000,EX793,$EW$2:$EW$1000,"Y")&gt;0,"Y","N"))</f>
        <v/>
      </c>
      <c r="EZ793" s="0" t="str">
        <f aca="false">IF($A793="","",IF(AND(U793="new",T793="N",EW793="N",AR793="Y",EY793="N"),"Y","N"))</f>
        <v/>
      </c>
      <c r="FA793" s="0" t="str">
        <f aca="false">IF($A793="","",IF(EZ793&lt;&gt;"Y","N",IF(COUNTIFS($EX$2:$EX$1000,EX793,$EZ$2:$EZ$1000,"Y",$J$2:$J$1000,"&gt;"&amp;J793)+COUNTIFS($EX$2:$EX$1000,EX793,$EZ$2:$EZ$1000,"Y",$J$2:$J$1000,J793,$FG$2:$FG$1000,"&lt;"&amp;FG793)=0,"Y","N")))</f>
        <v/>
      </c>
      <c r="FB793" s="0" t="str">
        <f aca="false">IF($A793="","",IF(AND(EZ793="Y",FA793="Y",Y793&amp;""&lt;&gt;""),IF(Y793&lt;=10,"Y","N"),"N"))</f>
        <v/>
      </c>
      <c r="FC793" s="0" t="str">
        <f aca="false">IF(FB793="Y",Y793,"")</f>
        <v/>
      </c>
      <c r="FD793" s="0" t="str">
        <f aca="false">IF($A793="","",IF(AND(CK793="pass",AU793="Y",AV793&lt;&gt;"Y",U793="new",EW793="N"),"Y","N"))</f>
        <v/>
      </c>
      <c r="FE793" s="0" t="str">
        <f aca="false">IF(FD793&lt;&gt;"Y","",IF(COUNTIFS($FD$2:$FD$1000,"Y",$J$2:$J$1000,"&gt;"&amp;J793)+COUNTIFS($FD$2:$FD$1000,"Y",$J$2:$J$1000,J793,$FG$2:$FG$1000,"&lt;"&amp;FG793)+1&lt;=30,COUNTIFS($FD$2:$FD$1000,"Y",$J$2:$J$1000,"&gt;"&amp;J793)+COUNTIFS($FD$2:$FD$1000,"Y",$J$2:$J$1000,J793,$FG$2:$FG$1000,"&lt;"&amp;FG793)+1,""))</f>
        <v/>
      </c>
      <c r="FF793" s="0" t="str">
        <f aca="false">IF(AND(_xlfn.ISFORMULA(C793),_xlfn.ISFORMULA(J793)),"Y","N")</f>
        <v>Y</v>
      </c>
      <c r="FG793" s="0" t="n">
        <f aca="false">ROW()-1</f>
        <v>792</v>
      </c>
    </row>
    <row r="794" customFormat="false" ht="15" hidden="false" customHeight="false" outlineLevel="0" collapsed="false">
      <c r="C794" s="0" t="str">
        <f aca="false">IF($A794="","",IF(AT794="Y",BL794&amp;"",AY794&amp;""))</f>
        <v/>
      </c>
      <c r="D794" s="0" t="str">
        <f aca="false">IF($A794="","",IF(AT794="Y",BM794&amp;"",AZ794&amp;""))</f>
        <v/>
      </c>
      <c r="E794" s="0" t="str">
        <f aca="false">IF($A794="","",IF(AT794="Y",BN794&amp;"",BA794&amp;""))</f>
        <v/>
      </c>
      <c r="F794" s="0" t="str">
        <f aca="false">IF($A794="","",IF(AT794="Y",BO794&amp;"",BB794&amp;""))</f>
        <v/>
      </c>
      <c r="G794" s="0" t="str">
        <f aca="false">IF($A794="","",IF(AT794="Y",BP794&amp;"",BC794&amp;""))</f>
        <v/>
      </c>
      <c r="H794" s="0" t="str">
        <f aca="false">IF($A794="","",IF(AT794="Y",BQ794&amp;"",BD794&amp;""))</f>
        <v/>
      </c>
      <c r="I794" s="0" t="str">
        <f aca="false">IF($A794="","",IF(R794="Y","warm-intro",IF(H794="verified","email",IF(C794&lt;&gt;"","linkedin",CA794&amp;""))))</f>
        <v/>
      </c>
      <c r="J794" s="0" t="str">
        <f aca="false">IF($A794="","",IF(CK794="pass",ROUND(N(DO794)+N(DP794)+N(DQ794)+N(DR794)+N(DS794)+N(DT794)+N(DU794)+N(DV794),0),0))</f>
        <v/>
      </c>
      <c r="K794" s="0" t="str">
        <f aca="false">IF($A794="","",IF(CK794&lt;&gt;"pass",BY794&amp;"",BY794&amp;", "&amp;IF(AT794="Y",BX794&amp;"",BK794&amp;"")&amp;BZ794&amp;IF(R794="Y","; known to the founder (+10)","")&amp;"."))</f>
        <v/>
      </c>
      <c r="R794" s="5"/>
      <c r="T794" s="5"/>
      <c r="U794" s="5"/>
      <c r="Y794" s="0" t="str">
        <f aca="false">IF(FA794&lt;&gt;"Y","",COUNTIFS($FA$2:$FA$1000,"Y",$J$2:$J$1000,"&gt;"&amp;J794)+COUNTIFS($FA$2:$FA$1000,"Y",$J$2:$J$1000,J794,$FG$2:$FG$1000,"&lt;"&amp;FG794)+1)</f>
        <v/>
      </c>
      <c r="AB794" s="0" t="str">
        <f aca="false">IF($A794="","",IF(AT794="Y",BW794&amp;"",BJ794&amp;""))</f>
        <v/>
      </c>
      <c r="AC794" s="0" t="str">
        <f aca="false">IF($A794="","",IF(AT794="Y",BR794&amp;"",BE794&amp;""))</f>
        <v/>
      </c>
      <c r="AD794" s="0" t="str">
        <f aca="false">IF($A794="","",IF(AT794="Y",BS794&amp;"",BF794&amp;""))</f>
        <v/>
      </c>
      <c r="AE794" s="0" t="str">
        <f aca="false">IF($A794="","",IF(AT794="Y",BT794&amp;"",BG794&amp;""))</f>
        <v/>
      </c>
      <c r="AF794" s="0" t="str">
        <f aca="false">IF($A794="","",IF(AT794="Y",BU794&amp;"",BH794&amp;""))</f>
        <v/>
      </c>
      <c r="AG794" s="0" t="str">
        <f aca="false">IF($A794="","",IF(AT794="Y",BV794&amp;"",BI794&amp;""))</f>
        <v/>
      </c>
      <c r="AO794" s="5"/>
      <c r="AR794" s="0" t="str">
        <f aca="false">IF($A794="","",IF(AND(CK794="pass",AO794&lt;&gt;"Y",C794&lt;&gt;"",OR(AU794&lt;&gt;"Y",AV794="Y")),"Y","N"))</f>
        <v/>
      </c>
      <c r="AS794" s="0" t="str">
        <f aca="false">IF($A794="","",_xlfn.TEXTJOIN("; ",TRUE(),IF(CK794&lt;&gt;"pass","gated out",""),IF(AO794="Y","on hold: "&amp;AP794,""),IF(C794="","no contact named on an opened page",""),IF(AND(AU794="Y",AV794&lt;&gt;"Y"),"founder review pending (Founder review tab)","")))</f>
        <v/>
      </c>
      <c r="BC794" s="0" t="str">
        <f aca="false">IF($A794="","",IFERROR(INDEX(Enrichment!$A$2:$GZ$2000,MATCH($A794,INDEX(Enrichment!$A$2:$GZ$2000,0,MATCH("row_id",Enrichment!$A$1:$GZ$1,0)),0),MATCH("work_email",Enrichment!$A$1:$GZ$1,0))&amp;"",""))</f>
        <v/>
      </c>
      <c r="BD794" s="0" t="str">
        <f aca="false">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P794" s="0" t="str">
        <f aca="false">IF($A794="","",IFERROR(INDEX(Enrichment!$A$2:$GZ$2000,MATCH($A794,INDEX(Enrichment!$A$2:$GZ$2000,0,MATCH("row_id",Enrichment!$A$1:$GZ$1,0)),0),MATCH("backup_work_email",Enrichment!$A$1:$GZ$1,0))&amp;"",""))</f>
        <v/>
      </c>
      <c r="BQ794" s="0" t="str">
        <f aca="false">IF($A794="","",IF(BP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DU794" s="0" t="str">
        <f aca="false">IF($A794="","",IF(R794="Y",10,0))</f>
        <v/>
      </c>
      <c r="EV794" s="0" t="str">
        <f aca="false">IF($A794="","",IF(ISNUMBER(MATCH(U794,{"queued","contacted","replied","call_booked","call_done","yes_in_principle","materials_sent"},0)),"Y","N"))</f>
        <v/>
      </c>
      <c r="EW794" s="0" t="str">
        <f aca="false">IF($A794="","",IF(OR(T794="Y",U794="do_not_contact",AQ794&amp;""&lt;&gt;""),"Y","N"))</f>
        <v/>
      </c>
      <c r="EX794" s="0" t="str">
        <f aca="false">IF($A794="","",IF(AN794&amp;""&lt;&gt;"",AN794&amp;"",$A794))</f>
        <v/>
      </c>
      <c r="EY794" s="0" t="str">
        <f aca="false">IF($A794="","",IF(COUNTIFS($EX$2:$EX$1000,EX794,$EV$2:$EV$1000,"Y")+COUNTIFS($EX$2:$EX$1000,EX794,$EW$2:$EW$1000,"Y")&gt;0,"Y","N"))</f>
        <v/>
      </c>
      <c r="EZ794" s="0" t="str">
        <f aca="false">IF($A794="","",IF(AND(U794="new",T794="N",EW794="N",AR794="Y",EY794="N"),"Y","N"))</f>
        <v/>
      </c>
      <c r="FA794" s="0" t="str">
        <f aca="false">IF($A794="","",IF(EZ794&lt;&gt;"Y","N",IF(COUNTIFS($EX$2:$EX$1000,EX794,$EZ$2:$EZ$1000,"Y",$J$2:$J$1000,"&gt;"&amp;J794)+COUNTIFS($EX$2:$EX$1000,EX794,$EZ$2:$EZ$1000,"Y",$J$2:$J$1000,J794,$FG$2:$FG$1000,"&lt;"&amp;FG794)=0,"Y","N")))</f>
        <v/>
      </c>
      <c r="FB794" s="0" t="str">
        <f aca="false">IF($A794="","",IF(AND(EZ794="Y",FA794="Y",Y794&amp;""&lt;&gt;""),IF(Y794&lt;=10,"Y","N"),"N"))</f>
        <v/>
      </c>
      <c r="FC794" s="0" t="str">
        <f aca="false">IF(FB794="Y",Y794,"")</f>
        <v/>
      </c>
      <c r="FD794" s="0" t="str">
        <f aca="false">IF($A794="","",IF(AND(CK794="pass",AU794="Y",AV794&lt;&gt;"Y",U794="new",EW794="N"),"Y","N"))</f>
        <v/>
      </c>
      <c r="FE794" s="0" t="str">
        <f aca="false">IF(FD794&lt;&gt;"Y","",IF(COUNTIFS($FD$2:$FD$1000,"Y",$J$2:$J$1000,"&gt;"&amp;J794)+COUNTIFS($FD$2:$FD$1000,"Y",$J$2:$J$1000,J794,$FG$2:$FG$1000,"&lt;"&amp;FG794)+1&lt;=30,COUNTIFS($FD$2:$FD$1000,"Y",$J$2:$J$1000,"&gt;"&amp;J794)+COUNTIFS($FD$2:$FD$1000,"Y",$J$2:$J$1000,J794,$FG$2:$FG$1000,"&lt;"&amp;FG794)+1,""))</f>
        <v/>
      </c>
      <c r="FF794" s="0" t="str">
        <f aca="false">IF(AND(_xlfn.ISFORMULA(C794),_xlfn.ISFORMULA(J794)),"Y","N")</f>
        <v>Y</v>
      </c>
      <c r="FG794" s="0" t="n">
        <f aca="false">ROW()-1</f>
        <v>793</v>
      </c>
    </row>
    <row r="795" customFormat="false" ht="15" hidden="false" customHeight="false" outlineLevel="0" collapsed="false">
      <c r="C795" s="0" t="str">
        <f aca="false">IF($A795="","",IF(AT795="Y",BL795&amp;"",AY795&amp;""))</f>
        <v/>
      </c>
      <c r="D795" s="0" t="str">
        <f aca="false">IF($A795="","",IF(AT795="Y",BM795&amp;"",AZ795&amp;""))</f>
        <v/>
      </c>
      <c r="E795" s="0" t="str">
        <f aca="false">IF($A795="","",IF(AT795="Y",BN795&amp;"",BA795&amp;""))</f>
        <v/>
      </c>
      <c r="F795" s="0" t="str">
        <f aca="false">IF($A795="","",IF(AT795="Y",BO795&amp;"",BB795&amp;""))</f>
        <v/>
      </c>
      <c r="G795" s="0" t="str">
        <f aca="false">IF($A795="","",IF(AT795="Y",BP795&amp;"",BC795&amp;""))</f>
        <v/>
      </c>
      <c r="H795" s="0" t="str">
        <f aca="false">IF($A795="","",IF(AT795="Y",BQ795&amp;"",BD795&amp;""))</f>
        <v/>
      </c>
      <c r="I795" s="0" t="str">
        <f aca="false">IF($A795="","",IF(R795="Y","warm-intro",IF(H795="verified","email",IF(C795&lt;&gt;"","linkedin",CA795&amp;""))))</f>
        <v/>
      </c>
      <c r="J795" s="0" t="str">
        <f aca="false">IF($A795="","",IF(CK795="pass",ROUND(N(DO795)+N(DP795)+N(DQ795)+N(DR795)+N(DS795)+N(DT795)+N(DU795)+N(DV795),0),0))</f>
        <v/>
      </c>
      <c r="K795" s="0" t="str">
        <f aca="false">IF($A795="","",IF(CK795&lt;&gt;"pass",BY795&amp;"",BY795&amp;", "&amp;IF(AT795="Y",BX795&amp;"",BK795&amp;"")&amp;BZ795&amp;IF(R795="Y","; known to the founder (+10)","")&amp;"."))</f>
        <v/>
      </c>
      <c r="R795" s="5"/>
      <c r="T795" s="5"/>
      <c r="U795" s="5"/>
      <c r="Y795" s="0" t="str">
        <f aca="false">IF(FA795&lt;&gt;"Y","",COUNTIFS($FA$2:$FA$1000,"Y",$J$2:$J$1000,"&gt;"&amp;J795)+COUNTIFS($FA$2:$FA$1000,"Y",$J$2:$J$1000,J795,$FG$2:$FG$1000,"&lt;"&amp;FG795)+1)</f>
        <v/>
      </c>
      <c r="AB795" s="0" t="str">
        <f aca="false">IF($A795="","",IF(AT795="Y",BW795&amp;"",BJ795&amp;""))</f>
        <v/>
      </c>
      <c r="AC795" s="0" t="str">
        <f aca="false">IF($A795="","",IF(AT795="Y",BR795&amp;"",BE795&amp;""))</f>
        <v/>
      </c>
      <c r="AD795" s="0" t="str">
        <f aca="false">IF($A795="","",IF(AT795="Y",BS795&amp;"",BF795&amp;""))</f>
        <v/>
      </c>
      <c r="AE795" s="0" t="str">
        <f aca="false">IF($A795="","",IF(AT795="Y",BT795&amp;"",BG795&amp;""))</f>
        <v/>
      </c>
      <c r="AF795" s="0" t="str">
        <f aca="false">IF($A795="","",IF(AT795="Y",BU795&amp;"",BH795&amp;""))</f>
        <v/>
      </c>
      <c r="AG795" s="0" t="str">
        <f aca="false">IF($A795="","",IF(AT795="Y",BV795&amp;"",BI795&amp;""))</f>
        <v/>
      </c>
      <c r="AO795" s="5"/>
      <c r="AR795" s="0" t="str">
        <f aca="false">IF($A795="","",IF(AND(CK795="pass",AO795&lt;&gt;"Y",C795&lt;&gt;"",OR(AU795&lt;&gt;"Y",AV795="Y")),"Y","N"))</f>
        <v/>
      </c>
      <c r="AS795" s="0" t="str">
        <f aca="false">IF($A795="","",_xlfn.TEXTJOIN("; ",TRUE(),IF(CK795&lt;&gt;"pass","gated out",""),IF(AO795="Y","on hold: "&amp;AP795,""),IF(C795="","no contact named on an opened page",""),IF(AND(AU795="Y",AV795&lt;&gt;"Y"),"founder review pending (Founder review tab)","")))</f>
        <v/>
      </c>
      <c r="BC795" s="0" t="str">
        <f aca="false">IF($A795="","",IFERROR(INDEX(Enrichment!$A$2:$GZ$2000,MATCH($A795,INDEX(Enrichment!$A$2:$GZ$2000,0,MATCH("row_id",Enrichment!$A$1:$GZ$1,0)),0),MATCH("work_email",Enrichment!$A$1:$GZ$1,0))&amp;"",""))</f>
        <v/>
      </c>
      <c r="BD795" s="0" t="str">
        <f aca="false">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P795" s="0" t="str">
        <f aca="false">IF($A795="","",IFERROR(INDEX(Enrichment!$A$2:$GZ$2000,MATCH($A795,INDEX(Enrichment!$A$2:$GZ$2000,0,MATCH("row_id",Enrichment!$A$1:$GZ$1,0)),0),MATCH("backup_work_email",Enrichment!$A$1:$GZ$1,0))&amp;"",""))</f>
        <v/>
      </c>
      <c r="BQ795" s="0" t="str">
        <f aca="false">IF($A795="","",IF(BP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DU795" s="0" t="str">
        <f aca="false">IF($A795="","",IF(R795="Y",10,0))</f>
        <v/>
      </c>
      <c r="EV795" s="0" t="str">
        <f aca="false">IF($A795="","",IF(ISNUMBER(MATCH(U795,{"queued","contacted","replied","call_booked","call_done","yes_in_principle","materials_sent"},0)),"Y","N"))</f>
        <v/>
      </c>
      <c r="EW795" s="0" t="str">
        <f aca="false">IF($A795="","",IF(OR(T795="Y",U795="do_not_contact",AQ795&amp;""&lt;&gt;""),"Y","N"))</f>
        <v/>
      </c>
      <c r="EX795" s="0" t="str">
        <f aca="false">IF($A795="","",IF(AN795&amp;""&lt;&gt;"",AN795&amp;"",$A795))</f>
        <v/>
      </c>
      <c r="EY795" s="0" t="str">
        <f aca="false">IF($A795="","",IF(COUNTIFS($EX$2:$EX$1000,EX795,$EV$2:$EV$1000,"Y")+COUNTIFS($EX$2:$EX$1000,EX795,$EW$2:$EW$1000,"Y")&gt;0,"Y","N"))</f>
        <v/>
      </c>
      <c r="EZ795" s="0" t="str">
        <f aca="false">IF($A795="","",IF(AND(U795="new",T795="N",EW795="N",AR795="Y",EY795="N"),"Y","N"))</f>
        <v/>
      </c>
      <c r="FA795" s="0" t="str">
        <f aca="false">IF($A795="","",IF(EZ795&lt;&gt;"Y","N",IF(COUNTIFS($EX$2:$EX$1000,EX795,$EZ$2:$EZ$1000,"Y",$J$2:$J$1000,"&gt;"&amp;J795)+COUNTIFS($EX$2:$EX$1000,EX795,$EZ$2:$EZ$1000,"Y",$J$2:$J$1000,J795,$FG$2:$FG$1000,"&lt;"&amp;FG795)=0,"Y","N")))</f>
        <v/>
      </c>
      <c r="FB795" s="0" t="str">
        <f aca="false">IF($A795="","",IF(AND(EZ795="Y",FA795="Y",Y795&amp;""&lt;&gt;""),IF(Y795&lt;=10,"Y","N"),"N"))</f>
        <v/>
      </c>
      <c r="FC795" s="0" t="str">
        <f aca="false">IF(FB795="Y",Y795,"")</f>
        <v/>
      </c>
      <c r="FD795" s="0" t="str">
        <f aca="false">IF($A795="","",IF(AND(CK795="pass",AU795="Y",AV795&lt;&gt;"Y",U795="new",EW795="N"),"Y","N"))</f>
        <v/>
      </c>
      <c r="FE795" s="0" t="str">
        <f aca="false">IF(FD795&lt;&gt;"Y","",IF(COUNTIFS($FD$2:$FD$1000,"Y",$J$2:$J$1000,"&gt;"&amp;J795)+COUNTIFS($FD$2:$FD$1000,"Y",$J$2:$J$1000,J795,$FG$2:$FG$1000,"&lt;"&amp;FG795)+1&lt;=30,COUNTIFS($FD$2:$FD$1000,"Y",$J$2:$J$1000,"&gt;"&amp;J795)+COUNTIFS($FD$2:$FD$1000,"Y",$J$2:$J$1000,J795,$FG$2:$FG$1000,"&lt;"&amp;FG795)+1,""))</f>
        <v/>
      </c>
      <c r="FF795" s="0" t="str">
        <f aca="false">IF(AND(_xlfn.ISFORMULA(C795),_xlfn.ISFORMULA(J795)),"Y","N")</f>
        <v>Y</v>
      </c>
      <c r="FG795" s="0" t="n">
        <f aca="false">ROW()-1</f>
        <v>794</v>
      </c>
    </row>
    <row r="796" customFormat="false" ht="15" hidden="false" customHeight="false" outlineLevel="0" collapsed="false">
      <c r="C796" s="0" t="str">
        <f aca="false">IF($A796="","",IF(AT796="Y",BL796&amp;"",AY796&amp;""))</f>
        <v/>
      </c>
      <c r="D796" s="0" t="str">
        <f aca="false">IF($A796="","",IF(AT796="Y",BM796&amp;"",AZ796&amp;""))</f>
        <v/>
      </c>
      <c r="E796" s="0" t="str">
        <f aca="false">IF($A796="","",IF(AT796="Y",BN796&amp;"",BA796&amp;""))</f>
        <v/>
      </c>
      <c r="F796" s="0" t="str">
        <f aca="false">IF($A796="","",IF(AT796="Y",BO796&amp;"",BB796&amp;""))</f>
        <v/>
      </c>
      <c r="G796" s="0" t="str">
        <f aca="false">IF($A796="","",IF(AT796="Y",BP796&amp;"",BC796&amp;""))</f>
        <v/>
      </c>
      <c r="H796" s="0" t="str">
        <f aca="false">IF($A796="","",IF(AT796="Y",BQ796&amp;"",BD796&amp;""))</f>
        <v/>
      </c>
      <c r="I796" s="0" t="str">
        <f aca="false">IF($A796="","",IF(R796="Y","warm-intro",IF(H796="verified","email",IF(C796&lt;&gt;"","linkedin",CA796&amp;""))))</f>
        <v/>
      </c>
      <c r="J796" s="0" t="str">
        <f aca="false">IF($A796="","",IF(CK796="pass",ROUND(N(DO796)+N(DP796)+N(DQ796)+N(DR796)+N(DS796)+N(DT796)+N(DU796)+N(DV796),0),0))</f>
        <v/>
      </c>
      <c r="K796" s="0" t="str">
        <f aca="false">IF($A796="","",IF(CK796&lt;&gt;"pass",BY796&amp;"",BY796&amp;", "&amp;IF(AT796="Y",BX796&amp;"",BK796&amp;"")&amp;BZ796&amp;IF(R796="Y","; known to the founder (+10)","")&amp;"."))</f>
        <v/>
      </c>
      <c r="R796" s="5"/>
      <c r="T796" s="5"/>
      <c r="U796" s="5"/>
      <c r="Y796" s="0" t="str">
        <f aca="false">IF(FA796&lt;&gt;"Y","",COUNTIFS($FA$2:$FA$1000,"Y",$J$2:$J$1000,"&gt;"&amp;J796)+COUNTIFS($FA$2:$FA$1000,"Y",$J$2:$J$1000,J796,$FG$2:$FG$1000,"&lt;"&amp;FG796)+1)</f>
        <v/>
      </c>
      <c r="AB796" s="0" t="str">
        <f aca="false">IF($A796="","",IF(AT796="Y",BW796&amp;"",BJ796&amp;""))</f>
        <v/>
      </c>
      <c r="AC796" s="0" t="str">
        <f aca="false">IF($A796="","",IF(AT796="Y",BR796&amp;"",BE796&amp;""))</f>
        <v/>
      </c>
      <c r="AD796" s="0" t="str">
        <f aca="false">IF($A796="","",IF(AT796="Y",BS796&amp;"",BF796&amp;""))</f>
        <v/>
      </c>
      <c r="AE796" s="0" t="str">
        <f aca="false">IF($A796="","",IF(AT796="Y",BT796&amp;"",BG796&amp;""))</f>
        <v/>
      </c>
      <c r="AF796" s="0" t="str">
        <f aca="false">IF($A796="","",IF(AT796="Y",BU796&amp;"",BH796&amp;""))</f>
        <v/>
      </c>
      <c r="AG796" s="0" t="str">
        <f aca="false">IF($A796="","",IF(AT796="Y",BV796&amp;"",BI796&amp;""))</f>
        <v/>
      </c>
      <c r="AO796" s="5"/>
      <c r="AR796" s="0" t="str">
        <f aca="false">IF($A796="","",IF(AND(CK796="pass",AO796&lt;&gt;"Y",C796&lt;&gt;"",OR(AU796&lt;&gt;"Y",AV796="Y")),"Y","N"))</f>
        <v/>
      </c>
      <c r="AS796" s="0" t="str">
        <f aca="false">IF($A796="","",_xlfn.TEXTJOIN("; ",TRUE(),IF(CK796&lt;&gt;"pass","gated out",""),IF(AO796="Y","on hold: "&amp;AP796,""),IF(C796="","no contact named on an opened page",""),IF(AND(AU796="Y",AV796&lt;&gt;"Y"),"founder review pending (Founder review tab)","")))</f>
        <v/>
      </c>
      <c r="BC796" s="0" t="str">
        <f aca="false">IF($A796="","",IFERROR(INDEX(Enrichment!$A$2:$GZ$2000,MATCH($A796,INDEX(Enrichment!$A$2:$GZ$2000,0,MATCH("row_id",Enrichment!$A$1:$GZ$1,0)),0),MATCH("work_email",Enrichment!$A$1:$GZ$1,0))&amp;"",""))</f>
        <v/>
      </c>
      <c r="BD796" s="0" t="str">
        <f aca="false">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P796" s="0" t="str">
        <f aca="false">IF($A796="","",IFERROR(INDEX(Enrichment!$A$2:$GZ$2000,MATCH($A796,INDEX(Enrichment!$A$2:$GZ$2000,0,MATCH("row_id",Enrichment!$A$1:$GZ$1,0)),0),MATCH("backup_work_email",Enrichment!$A$1:$GZ$1,0))&amp;"",""))</f>
        <v/>
      </c>
      <c r="BQ796" s="0" t="str">
        <f aca="false">IF($A796="","",IF(BP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DU796" s="0" t="str">
        <f aca="false">IF($A796="","",IF(R796="Y",10,0))</f>
        <v/>
      </c>
      <c r="EV796" s="0" t="str">
        <f aca="false">IF($A796="","",IF(ISNUMBER(MATCH(U796,{"queued","contacted","replied","call_booked","call_done","yes_in_principle","materials_sent"},0)),"Y","N"))</f>
        <v/>
      </c>
      <c r="EW796" s="0" t="str">
        <f aca="false">IF($A796="","",IF(OR(T796="Y",U796="do_not_contact",AQ796&amp;""&lt;&gt;""),"Y","N"))</f>
        <v/>
      </c>
      <c r="EX796" s="0" t="str">
        <f aca="false">IF($A796="","",IF(AN796&amp;""&lt;&gt;"",AN796&amp;"",$A796))</f>
        <v/>
      </c>
      <c r="EY796" s="0" t="str">
        <f aca="false">IF($A796="","",IF(COUNTIFS($EX$2:$EX$1000,EX796,$EV$2:$EV$1000,"Y")+COUNTIFS($EX$2:$EX$1000,EX796,$EW$2:$EW$1000,"Y")&gt;0,"Y","N"))</f>
        <v/>
      </c>
      <c r="EZ796" s="0" t="str">
        <f aca="false">IF($A796="","",IF(AND(U796="new",T796="N",EW796="N",AR796="Y",EY796="N"),"Y","N"))</f>
        <v/>
      </c>
      <c r="FA796" s="0" t="str">
        <f aca="false">IF($A796="","",IF(EZ796&lt;&gt;"Y","N",IF(COUNTIFS($EX$2:$EX$1000,EX796,$EZ$2:$EZ$1000,"Y",$J$2:$J$1000,"&gt;"&amp;J796)+COUNTIFS($EX$2:$EX$1000,EX796,$EZ$2:$EZ$1000,"Y",$J$2:$J$1000,J796,$FG$2:$FG$1000,"&lt;"&amp;FG796)=0,"Y","N")))</f>
        <v/>
      </c>
      <c r="FB796" s="0" t="str">
        <f aca="false">IF($A796="","",IF(AND(EZ796="Y",FA796="Y",Y796&amp;""&lt;&gt;""),IF(Y796&lt;=10,"Y","N"),"N"))</f>
        <v/>
      </c>
      <c r="FC796" s="0" t="str">
        <f aca="false">IF(FB796="Y",Y796,"")</f>
        <v/>
      </c>
      <c r="FD796" s="0" t="str">
        <f aca="false">IF($A796="","",IF(AND(CK796="pass",AU796="Y",AV796&lt;&gt;"Y",U796="new",EW796="N"),"Y","N"))</f>
        <v/>
      </c>
      <c r="FE796" s="0" t="str">
        <f aca="false">IF(FD796&lt;&gt;"Y","",IF(COUNTIFS($FD$2:$FD$1000,"Y",$J$2:$J$1000,"&gt;"&amp;J796)+COUNTIFS($FD$2:$FD$1000,"Y",$J$2:$J$1000,J796,$FG$2:$FG$1000,"&lt;"&amp;FG796)+1&lt;=30,COUNTIFS($FD$2:$FD$1000,"Y",$J$2:$J$1000,"&gt;"&amp;J796)+COUNTIFS($FD$2:$FD$1000,"Y",$J$2:$J$1000,J796,$FG$2:$FG$1000,"&lt;"&amp;FG796)+1,""))</f>
        <v/>
      </c>
      <c r="FF796" s="0" t="str">
        <f aca="false">IF(AND(_xlfn.ISFORMULA(C796),_xlfn.ISFORMULA(J796)),"Y","N")</f>
        <v>Y</v>
      </c>
      <c r="FG796" s="0" t="n">
        <f aca="false">ROW()-1</f>
        <v>795</v>
      </c>
    </row>
    <row r="797" customFormat="false" ht="15" hidden="false" customHeight="false" outlineLevel="0" collapsed="false">
      <c r="C797" s="0" t="str">
        <f aca="false">IF($A797="","",IF(AT797="Y",BL797&amp;"",AY797&amp;""))</f>
        <v/>
      </c>
      <c r="D797" s="0" t="str">
        <f aca="false">IF($A797="","",IF(AT797="Y",BM797&amp;"",AZ797&amp;""))</f>
        <v/>
      </c>
      <c r="E797" s="0" t="str">
        <f aca="false">IF($A797="","",IF(AT797="Y",BN797&amp;"",BA797&amp;""))</f>
        <v/>
      </c>
      <c r="F797" s="0" t="str">
        <f aca="false">IF($A797="","",IF(AT797="Y",BO797&amp;"",BB797&amp;""))</f>
        <v/>
      </c>
      <c r="G797" s="0" t="str">
        <f aca="false">IF($A797="","",IF(AT797="Y",BP797&amp;"",BC797&amp;""))</f>
        <v/>
      </c>
      <c r="H797" s="0" t="str">
        <f aca="false">IF($A797="","",IF(AT797="Y",BQ797&amp;"",BD797&amp;""))</f>
        <v/>
      </c>
      <c r="I797" s="0" t="str">
        <f aca="false">IF($A797="","",IF(R797="Y","warm-intro",IF(H797="verified","email",IF(C797&lt;&gt;"","linkedin",CA797&amp;""))))</f>
        <v/>
      </c>
      <c r="J797" s="0" t="str">
        <f aca="false">IF($A797="","",IF(CK797="pass",ROUND(N(DO797)+N(DP797)+N(DQ797)+N(DR797)+N(DS797)+N(DT797)+N(DU797)+N(DV797),0),0))</f>
        <v/>
      </c>
      <c r="K797" s="0" t="str">
        <f aca="false">IF($A797="","",IF(CK797&lt;&gt;"pass",BY797&amp;"",BY797&amp;", "&amp;IF(AT797="Y",BX797&amp;"",BK797&amp;"")&amp;BZ797&amp;IF(R797="Y","; known to the founder (+10)","")&amp;"."))</f>
        <v/>
      </c>
      <c r="R797" s="5"/>
      <c r="T797" s="5"/>
      <c r="U797" s="5"/>
      <c r="Y797" s="0" t="str">
        <f aca="false">IF(FA797&lt;&gt;"Y","",COUNTIFS($FA$2:$FA$1000,"Y",$J$2:$J$1000,"&gt;"&amp;J797)+COUNTIFS($FA$2:$FA$1000,"Y",$J$2:$J$1000,J797,$FG$2:$FG$1000,"&lt;"&amp;FG797)+1)</f>
        <v/>
      </c>
      <c r="AB797" s="0" t="str">
        <f aca="false">IF($A797="","",IF(AT797="Y",BW797&amp;"",BJ797&amp;""))</f>
        <v/>
      </c>
      <c r="AC797" s="0" t="str">
        <f aca="false">IF($A797="","",IF(AT797="Y",BR797&amp;"",BE797&amp;""))</f>
        <v/>
      </c>
      <c r="AD797" s="0" t="str">
        <f aca="false">IF($A797="","",IF(AT797="Y",BS797&amp;"",BF797&amp;""))</f>
        <v/>
      </c>
      <c r="AE797" s="0" t="str">
        <f aca="false">IF($A797="","",IF(AT797="Y",BT797&amp;"",BG797&amp;""))</f>
        <v/>
      </c>
      <c r="AF797" s="0" t="str">
        <f aca="false">IF($A797="","",IF(AT797="Y",BU797&amp;"",BH797&amp;""))</f>
        <v/>
      </c>
      <c r="AG797" s="0" t="str">
        <f aca="false">IF($A797="","",IF(AT797="Y",BV797&amp;"",BI797&amp;""))</f>
        <v/>
      </c>
      <c r="AO797" s="5"/>
      <c r="AR797" s="0" t="str">
        <f aca="false">IF($A797="","",IF(AND(CK797="pass",AO797&lt;&gt;"Y",C797&lt;&gt;"",OR(AU797&lt;&gt;"Y",AV797="Y")),"Y","N"))</f>
        <v/>
      </c>
      <c r="AS797" s="0" t="str">
        <f aca="false">IF($A797="","",_xlfn.TEXTJOIN("; ",TRUE(),IF(CK797&lt;&gt;"pass","gated out",""),IF(AO797="Y","on hold: "&amp;AP797,""),IF(C797="","no contact named on an opened page",""),IF(AND(AU797="Y",AV797&lt;&gt;"Y"),"founder review pending (Founder review tab)","")))</f>
        <v/>
      </c>
      <c r="BC797" s="0" t="str">
        <f aca="false">IF($A797="","",IFERROR(INDEX(Enrichment!$A$2:$GZ$2000,MATCH($A797,INDEX(Enrichment!$A$2:$GZ$2000,0,MATCH("row_id",Enrichment!$A$1:$GZ$1,0)),0),MATCH("work_email",Enrichment!$A$1:$GZ$1,0))&amp;"",""))</f>
        <v/>
      </c>
      <c r="BD797" s="0" t="str">
        <f aca="false">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P797" s="0" t="str">
        <f aca="false">IF($A797="","",IFERROR(INDEX(Enrichment!$A$2:$GZ$2000,MATCH($A797,INDEX(Enrichment!$A$2:$GZ$2000,0,MATCH("row_id",Enrichment!$A$1:$GZ$1,0)),0),MATCH("backup_work_email",Enrichment!$A$1:$GZ$1,0))&amp;"",""))</f>
        <v/>
      </c>
      <c r="BQ797" s="0" t="str">
        <f aca="false">IF($A797="","",IF(BP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DU797" s="0" t="str">
        <f aca="false">IF($A797="","",IF(R797="Y",10,0))</f>
        <v/>
      </c>
      <c r="EV797" s="0" t="str">
        <f aca="false">IF($A797="","",IF(ISNUMBER(MATCH(U797,{"queued","contacted","replied","call_booked","call_done","yes_in_principle","materials_sent"},0)),"Y","N"))</f>
        <v/>
      </c>
      <c r="EW797" s="0" t="str">
        <f aca="false">IF($A797="","",IF(OR(T797="Y",U797="do_not_contact",AQ797&amp;""&lt;&gt;""),"Y","N"))</f>
        <v/>
      </c>
      <c r="EX797" s="0" t="str">
        <f aca="false">IF($A797="","",IF(AN797&amp;""&lt;&gt;"",AN797&amp;"",$A797))</f>
        <v/>
      </c>
      <c r="EY797" s="0" t="str">
        <f aca="false">IF($A797="","",IF(COUNTIFS($EX$2:$EX$1000,EX797,$EV$2:$EV$1000,"Y")+COUNTIFS($EX$2:$EX$1000,EX797,$EW$2:$EW$1000,"Y")&gt;0,"Y","N"))</f>
        <v/>
      </c>
      <c r="EZ797" s="0" t="str">
        <f aca="false">IF($A797="","",IF(AND(U797="new",T797="N",EW797="N",AR797="Y",EY797="N"),"Y","N"))</f>
        <v/>
      </c>
      <c r="FA797" s="0" t="str">
        <f aca="false">IF($A797="","",IF(EZ797&lt;&gt;"Y","N",IF(COUNTIFS($EX$2:$EX$1000,EX797,$EZ$2:$EZ$1000,"Y",$J$2:$J$1000,"&gt;"&amp;J797)+COUNTIFS($EX$2:$EX$1000,EX797,$EZ$2:$EZ$1000,"Y",$J$2:$J$1000,J797,$FG$2:$FG$1000,"&lt;"&amp;FG797)=0,"Y","N")))</f>
        <v/>
      </c>
      <c r="FB797" s="0" t="str">
        <f aca="false">IF($A797="","",IF(AND(EZ797="Y",FA797="Y",Y797&amp;""&lt;&gt;""),IF(Y797&lt;=10,"Y","N"),"N"))</f>
        <v/>
      </c>
      <c r="FC797" s="0" t="str">
        <f aca="false">IF(FB797="Y",Y797,"")</f>
        <v/>
      </c>
      <c r="FD797" s="0" t="str">
        <f aca="false">IF($A797="","",IF(AND(CK797="pass",AU797="Y",AV797&lt;&gt;"Y",U797="new",EW797="N"),"Y","N"))</f>
        <v/>
      </c>
      <c r="FE797" s="0" t="str">
        <f aca="false">IF(FD797&lt;&gt;"Y","",IF(COUNTIFS($FD$2:$FD$1000,"Y",$J$2:$J$1000,"&gt;"&amp;J797)+COUNTIFS($FD$2:$FD$1000,"Y",$J$2:$J$1000,J797,$FG$2:$FG$1000,"&lt;"&amp;FG797)+1&lt;=30,COUNTIFS($FD$2:$FD$1000,"Y",$J$2:$J$1000,"&gt;"&amp;J797)+COUNTIFS($FD$2:$FD$1000,"Y",$J$2:$J$1000,J797,$FG$2:$FG$1000,"&lt;"&amp;FG797)+1,""))</f>
        <v/>
      </c>
      <c r="FF797" s="0" t="str">
        <f aca="false">IF(AND(_xlfn.ISFORMULA(C797),_xlfn.ISFORMULA(J797)),"Y","N")</f>
        <v>Y</v>
      </c>
      <c r="FG797" s="0" t="n">
        <f aca="false">ROW()-1</f>
        <v>796</v>
      </c>
    </row>
    <row r="798" customFormat="false" ht="15" hidden="false" customHeight="false" outlineLevel="0" collapsed="false">
      <c r="C798" s="0" t="str">
        <f aca="false">IF($A798="","",IF(AT798="Y",BL798&amp;"",AY798&amp;""))</f>
        <v/>
      </c>
      <c r="D798" s="0" t="str">
        <f aca="false">IF($A798="","",IF(AT798="Y",BM798&amp;"",AZ798&amp;""))</f>
        <v/>
      </c>
      <c r="E798" s="0" t="str">
        <f aca="false">IF($A798="","",IF(AT798="Y",BN798&amp;"",BA798&amp;""))</f>
        <v/>
      </c>
      <c r="F798" s="0" t="str">
        <f aca="false">IF($A798="","",IF(AT798="Y",BO798&amp;"",BB798&amp;""))</f>
        <v/>
      </c>
      <c r="G798" s="0" t="str">
        <f aca="false">IF($A798="","",IF(AT798="Y",BP798&amp;"",BC798&amp;""))</f>
        <v/>
      </c>
      <c r="H798" s="0" t="str">
        <f aca="false">IF($A798="","",IF(AT798="Y",BQ798&amp;"",BD798&amp;""))</f>
        <v/>
      </c>
      <c r="I798" s="0" t="str">
        <f aca="false">IF($A798="","",IF(R798="Y","warm-intro",IF(H798="verified","email",IF(C798&lt;&gt;"","linkedin",CA798&amp;""))))</f>
        <v/>
      </c>
      <c r="J798" s="0" t="str">
        <f aca="false">IF($A798="","",IF(CK798="pass",ROUND(N(DO798)+N(DP798)+N(DQ798)+N(DR798)+N(DS798)+N(DT798)+N(DU798)+N(DV798),0),0))</f>
        <v/>
      </c>
      <c r="K798" s="0" t="str">
        <f aca="false">IF($A798="","",IF(CK798&lt;&gt;"pass",BY798&amp;"",BY798&amp;", "&amp;IF(AT798="Y",BX798&amp;"",BK798&amp;"")&amp;BZ798&amp;IF(R798="Y","; known to the founder (+10)","")&amp;"."))</f>
        <v/>
      </c>
      <c r="R798" s="5"/>
      <c r="T798" s="5"/>
      <c r="U798" s="5"/>
      <c r="Y798" s="0" t="str">
        <f aca="false">IF(FA798&lt;&gt;"Y","",COUNTIFS($FA$2:$FA$1000,"Y",$J$2:$J$1000,"&gt;"&amp;J798)+COUNTIFS($FA$2:$FA$1000,"Y",$J$2:$J$1000,J798,$FG$2:$FG$1000,"&lt;"&amp;FG798)+1)</f>
        <v/>
      </c>
      <c r="AB798" s="0" t="str">
        <f aca="false">IF($A798="","",IF(AT798="Y",BW798&amp;"",BJ798&amp;""))</f>
        <v/>
      </c>
      <c r="AC798" s="0" t="str">
        <f aca="false">IF($A798="","",IF(AT798="Y",BR798&amp;"",BE798&amp;""))</f>
        <v/>
      </c>
      <c r="AD798" s="0" t="str">
        <f aca="false">IF($A798="","",IF(AT798="Y",BS798&amp;"",BF798&amp;""))</f>
        <v/>
      </c>
      <c r="AE798" s="0" t="str">
        <f aca="false">IF($A798="","",IF(AT798="Y",BT798&amp;"",BG798&amp;""))</f>
        <v/>
      </c>
      <c r="AF798" s="0" t="str">
        <f aca="false">IF($A798="","",IF(AT798="Y",BU798&amp;"",BH798&amp;""))</f>
        <v/>
      </c>
      <c r="AG798" s="0" t="str">
        <f aca="false">IF($A798="","",IF(AT798="Y",BV798&amp;"",BI798&amp;""))</f>
        <v/>
      </c>
      <c r="AO798" s="5"/>
      <c r="AR798" s="0" t="str">
        <f aca="false">IF($A798="","",IF(AND(CK798="pass",AO798&lt;&gt;"Y",C798&lt;&gt;"",OR(AU798&lt;&gt;"Y",AV798="Y")),"Y","N"))</f>
        <v/>
      </c>
      <c r="AS798" s="0" t="str">
        <f aca="false">IF($A798="","",_xlfn.TEXTJOIN("; ",TRUE(),IF(CK798&lt;&gt;"pass","gated out",""),IF(AO798="Y","on hold: "&amp;AP798,""),IF(C798="","no contact named on an opened page",""),IF(AND(AU798="Y",AV798&lt;&gt;"Y"),"founder review pending (Founder review tab)","")))</f>
        <v/>
      </c>
      <c r="BC798" s="0" t="str">
        <f aca="false">IF($A798="","",IFERROR(INDEX(Enrichment!$A$2:$GZ$2000,MATCH($A798,INDEX(Enrichment!$A$2:$GZ$2000,0,MATCH("row_id",Enrichment!$A$1:$GZ$1,0)),0),MATCH("work_email",Enrichment!$A$1:$GZ$1,0))&amp;"",""))</f>
        <v/>
      </c>
      <c r="BD798" s="0" t="str">
        <f aca="false">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P798" s="0" t="str">
        <f aca="false">IF($A798="","",IFERROR(INDEX(Enrichment!$A$2:$GZ$2000,MATCH($A798,INDEX(Enrichment!$A$2:$GZ$2000,0,MATCH("row_id",Enrichment!$A$1:$GZ$1,0)),0),MATCH("backup_work_email",Enrichment!$A$1:$GZ$1,0))&amp;"",""))</f>
        <v/>
      </c>
      <c r="BQ798" s="0" t="str">
        <f aca="false">IF($A798="","",IF(BP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DU798" s="0" t="str">
        <f aca="false">IF($A798="","",IF(R798="Y",10,0))</f>
        <v/>
      </c>
      <c r="EV798" s="0" t="str">
        <f aca="false">IF($A798="","",IF(ISNUMBER(MATCH(U798,{"queued","contacted","replied","call_booked","call_done","yes_in_principle","materials_sent"},0)),"Y","N"))</f>
        <v/>
      </c>
      <c r="EW798" s="0" t="str">
        <f aca="false">IF($A798="","",IF(OR(T798="Y",U798="do_not_contact",AQ798&amp;""&lt;&gt;""),"Y","N"))</f>
        <v/>
      </c>
      <c r="EX798" s="0" t="str">
        <f aca="false">IF($A798="","",IF(AN798&amp;""&lt;&gt;"",AN798&amp;"",$A798))</f>
        <v/>
      </c>
      <c r="EY798" s="0" t="str">
        <f aca="false">IF($A798="","",IF(COUNTIFS($EX$2:$EX$1000,EX798,$EV$2:$EV$1000,"Y")+COUNTIFS($EX$2:$EX$1000,EX798,$EW$2:$EW$1000,"Y")&gt;0,"Y","N"))</f>
        <v/>
      </c>
      <c r="EZ798" s="0" t="str">
        <f aca="false">IF($A798="","",IF(AND(U798="new",T798="N",EW798="N",AR798="Y",EY798="N"),"Y","N"))</f>
        <v/>
      </c>
      <c r="FA798" s="0" t="str">
        <f aca="false">IF($A798="","",IF(EZ798&lt;&gt;"Y","N",IF(COUNTIFS($EX$2:$EX$1000,EX798,$EZ$2:$EZ$1000,"Y",$J$2:$J$1000,"&gt;"&amp;J798)+COUNTIFS($EX$2:$EX$1000,EX798,$EZ$2:$EZ$1000,"Y",$J$2:$J$1000,J798,$FG$2:$FG$1000,"&lt;"&amp;FG798)=0,"Y","N")))</f>
        <v/>
      </c>
      <c r="FB798" s="0" t="str">
        <f aca="false">IF($A798="","",IF(AND(EZ798="Y",FA798="Y",Y798&amp;""&lt;&gt;""),IF(Y798&lt;=10,"Y","N"),"N"))</f>
        <v/>
      </c>
      <c r="FC798" s="0" t="str">
        <f aca="false">IF(FB798="Y",Y798,"")</f>
        <v/>
      </c>
      <c r="FD798" s="0" t="str">
        <f aca="false">IF($A798="","",IF(AND(CK798="pass",AU798="Y",AV798&lt;&gt;"Y",U798="new",EW798="N"),"Y","N"))</f>
        <v/>
      </c>
      <c r="FE798" s="0" t="str">
        <f aca="false">IF(FD798&lt;&gt;"Y","",IF(COUNTIFS($FD$2:$FD$1000,"Y",$J$2:$J$1000,"&gt;"&amp;J798)+COUNTIFS($FD$2:$FD$1000,"Y",$J$2:$J$1000,J798,$FG$2:$FG$1000,"&lt;"&amp;FG798)+1&lt;=30,COUNTIFS($FD$2:$FD$1000,"Y",$J$2:$J$1000,"&gt;"&amp;J798)+COUNTIFS($FD$2:$FD$1000,"Y",$J$2:$J$1000,J798,$FG$2:$FG$1000,"&lt;"&amp;FG798)+1,""))</f>
        <v/>
      </c>
      <c r="FF798" s="0" t="str">
        <f aca="false">IF(AND(_xlfn.ISFORMULA(C798),_xlfn.ISFORMULA(J798)),"Y","N")</f>
        <v>Y</v>
      </c>
      <c r="FG798" s="0" t="n">
        <f aca="false">ROW()-1</f>
        <v>797</v>
      </c>
    </row>
    <row r="799" customFormat="false" ht="15" hidden="false" customHeight="false" outlineLevel="0" collapsed="false">
      <c r="C799" s="0" t="str">
        <f aca="false">IF($A799="","",IF(AT799="Y",BL799&amp;"",AY799&amp;""))</f>
        <v/>
      </c>
      <c r="D799" s="0" t="str">
        <f aca="false">IF($A799="","",IF(AT799="Y",BM799&amp;"",AZ799&amp;""))</f>
        <v/>
      </c>
      <c r="E799" s="0" t="str">
        <f aca="false">IF($A799="","",IF(AT799="Y",BN799&amp;"",BA799&amp;""))</f>
        <v/>
      </c>
      <c r="F799" s="0" t="str">
        <f aca="false">IF($A799="","",IF(AT799="Y",BO799&amp;"",BB799&amp;""))</f>
        <v/>
      </c>
      <c r="G799" s="0" t="str">
        <f aca="false">IF($A799="","",IF(AT799="Y",BP799&amp;"",BC799&amp;""))</f>
        <v/>
      </c>
      <c r="H799" s="0" t="str">
        <f aca="false">IF($A799="","",IF(AT799="Y",BQ799&amp;"",BD799&amp;""))</f>
        <v/>
      </c>
      <c r="I799" s="0" t="str">
        <f aca="false">IF($A799="","",IF(R799="Y","warm-intro",IF(H799="verified","email",IF(C799&lt;&gt;"","linkedin",CA799&amp;""))))</f>
        <v/>
      </c>
      <c r="J799" s="0" t="str">
        <f aca="false">IF($A799="","",IF(CK799="pass",ROUND(N(DO799)+N(DP799)+N(DQ799)+N(DR799)+N(DS799)+N(DT799)+N(DU799)+N(DV799),0),0))</f>
        <v/>
      </c>
      <c r="K799" s="0" t="str">
        <f aca="false">IF($A799="","",IF(CK799&lt;&gt;"pass",BY799&amp;"",BY799&amp;", "&amp;IF(AT799="Y",BX799&amp;"",BK799&amp;"")&amp;BZ799&amp;IF(R799="Y","; known to the founder (+10)","")&amp;"."))</f>
        <v/>
      </c>
      <c r="R799" s="5"/>
      <c r="T799" s="5"/>
      <c r="U799" s="5"/>
      <c r="Y799" s="0" t="str">
        <f aca="false">IF(FA799&lt;&gt;"Y","",COUNTIFS($FA$2:$FA$1000,"Y",$J$2:$J$1000,"&gt;"&amp;J799)+COUNTIFS($FA$2:$FA$1000,"Y",$J$2:$J$1000,J799,$FG$2:$FG$1000,"&lt;"&amp;FG799)+1)</f>
        <v/>
      </c>
      <c r="AB799" s="0" t="str">
        <f aca="false">IF($A799="","",IF(AT799="Y",BW799&amp;"",BJ799&amp;""))</f>
        <v/>
      </c>
      <c r="AC799" s="0" t="str">
        <f aca="false">IF($A799="","",IF(AT799="Y",BR799&amp;"",BE799&amp;""))</f>
        <v/>
      </c>
      <c r="AD799" s="0" t="str">
        <f aca="false">IF($A799="","",IF(AT799="Y",BS799&amp;"",BF799&amp;""))</f>
        <v/>
      </c>
      <c r="AE799" s="0" t="str">
        <f aca="false">IF($A799="","",IF(AT799="Y",BT799&amp;"",BG799&amp;""))</f>
        <v/>
      </c>
      <c r="AF799" s="0" t="str">
        <f aca="false">IF($A799="","",IF(AT799="Y",BU799&amp;"",BH799&amp;""))</f>
        <v/>
      </c>
      <c r="AG799" s="0" t="str">
        <f aca="false">IF($A799="","",IF(AT799="Y",BV799&amp;"",BI799&amp;""))</f>
        <v/>
      </c>
      <c r="AO799" s="5"/>
      <c r="AR799" s="0" t="str">
        <f aca="false">IF($A799="","",IF(AND(CK799="pass",AO799&lt;&gt;"Y",C799&lt;&gt;"",OR(AU799&lt;&gt;"Y",AV799="Y")),"Y","N"))</f>
        <v/>
      </c>
      <c r="AS799" s="0" t="str">
        <f aca="false">IF($A799="","",_xlfn.TEXTJOIN("; ",TRUE(),IF(CK799&lt;&gt;"pass","gated out",""),IF(AO799="Y","on hold: "&amp;AP799,""),IF(C799="","no contact named on an opened page",""),IF(AND(AU799="Y",AV799&lt;&gt;"Y"),"founder review pending (Founder review tab)","")))</f>
        <v/>
      </c>
      <c r="BC799" s="0" t="str">
        <f aca="false">IF($A799="","",IFERROR(INDEX(Enrichment!$A$2:$GZ$2000,MATCH($A799,INDEX(Enrichment!$A$2:$GZ$2000,0,MATCH("row_id",Enrichment!$A$1:$GZ$1,0)),0),MATCH("work_email",Enrichment!$A$1:$GZ$1,0))&amp;"",""))</f>
        <v/>
      </c>
      <c r="BD799" s="0" t="str">
        <f aca="false">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P799" s="0" t="str">
        <f aca="false">IF($A799="","",IFERROR(INDEX(Enrichment!$A$2:$GZ$2000,MATCH($A799,INDEX(Enrichment!$A$2:$GZ$2000,0,MATCH("row_id",Enrichment!$A$1:$GZ$1,0)),0),MATCH("backup_work_email",Enrichment!$A$1:$GZ$1,0))&amp;"",""))</f>
        <v/>
      </c>
      <c r="BQ799" s="0" t="str">
        <f aca="false">IF($A799="","",IF(BP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DU799" s="0" t="str">
        <f aca="false">IF($A799="","",IF(R799="Y",10,0))</f>
        <v/>
      </c>
      <c r="EV799" s="0" t="str">
        <f aca="false">IF($A799="","",IF(ISNUMBER(MATCH(U799,{"queued","contacted","replied","call_booked","call_done","yes_in_principle","materials_sent"},0)),"Y","N"))</f>
        <v/>
      </c>
      <c r="EW799" s="0" t="str">
        <f aca="false">IF($A799="","",IF(OR(T799="Y",U799="do_not_contact",AQ799&amp;""&lt;&gt;""),"Y","N"))</f>
        <v/>
      </c>
      <c r="EX799" s="0" t="str">
        <f aca="false">IF($A799="","",IF(AN799&amp;""&lt;&gt;"",AN799&amp;"",$A799))</f>
        <v/>
      </c>
      <c r="EY799" s="0" t="str">
        <f aca="false">IF($A799="","",IF(COUNTIFS($EX$2:$EX$1000,EX799,$EV$2:$EV$1000,"Y")+COUNTIFS($EX$2:$EX$1000,EX799,$EW$2:$EW$1000,"Y")&gt;0,"Y","N"))</f>
        <v/>
      </c>
      <c r="EZ799" s="0" t="str">
        <f aca="false">IF($A799="","",IF(AND(U799="new",T799="N",EW799="N",AR799="Y",EY799="N"),"Y","N"))</f>
        <v/>
      </c>
      <c r="FA799" s="0" t="str">
        <f aca="false">IF($A799="","",IF(EZ799&lt;&gt;"Y","N",IF(COUNTIFS($EX$2:$EX$1000,EX799,$EZ$2:$EZ$1000,"Y",$J$2:$J$1000,"&gt;"&amp;J799)+COUNTIFS($EX$2:$EX$1000,EX799,$EZ$2:$EZ$1000,"Y",$J$2:$J$1000,J799,$FG$2:$FG$1000,"&lt;"&amp;FG799)=0,"Y","N")))</f>
        <v/>
      </c>
      <c r="FB799" s="0" t="str">
        <f aca="false">IF($A799="","",IF(AND(EZ799="Y",FA799="Y",Y799&amp;""&lt;&gt;""),IF(Y799&lt;=10,"Y","N"),"N"))</f>
        <v/>
      </c>
      <c r="FC799" s="0" t="str">
        <f aca="false">IF(FB799="Y",Y799,"")</f>
        <v/>
      </c>
      <c r="FD799" s="0" t="str">
        <f aca="false">IF($A799="","",IF(AND(CK799="pass",AU799="Y",AV799&lt;&gt;"Y",U799="new",EW799="N"),"Y","N"))</f>
        <v/>
      </c>
      <c r="FE799" s="0" t="str">
        <f aca="false">IF(FD799&lt;&gt;"Y","",IF(COUNTIFS($FD$2:$FD$1000,"Y",$J$2:$J$1000,"&gt;"&amp;J799)+COUNTIFS($FD$2:$FD$1000,"Y",$J$2:$J$1000,J799,$FG$2:$FG$1000,"&lt;"&amp;FG799)+1&lt;=30,COUNTIFS($FD$2:$FD$1000,"Y",$J$2:$J$1000,"&gt;"&amp;J799)+COUNTIFS($FD$2:$FD$1000,"Y",$J$2:$J$1000,J799,$FG$2:$FG$1000,"&lt;"&amp;FG799)+1,""))</f>
        <v/>
      </c>
      <c r="FF799" s="0" t="str">
        <f aca="false">IF(AND(_xlfn.ISFORMULA(C799),_xlfn.ISFORMULA(J799)),"Y","N")</f>
        <v>Y</v>
      </c>
      <c r="FG799" s="0" t="n">
        <f aca="false">ROW()-1</f>
        <v>798</v>
      </c>
    </row>
    <row r="800" customFormat="false" ht="15" hidden="false" customHeight="false" outlineLevel="0" collapsed="false">
      <c r="C800" s="0" t="str">
        <f aca="false">IF($A800="","",IF(AT800="Y",BL800&amp;"",AY800&amp;""))</f>
        <v/>
      </c>
      <c r="D800" s="0" t="str">
        <f aca="false">IF($A800="","",IF(AT800="Y",BM800&amp;"",AZ800&amp;""))</f>
        <v/>
      </c>
      <c r="E800" s="0" t="str">
        <f aca="false">IF($A800="","",IF(AT800="Y",BN800&amp;"",BA800&amp;""))</f>
        <v/>
      </c>
      <c r="F800" s="0" t="str">
        <f aca="false">IF($A800="","",IF(AT800="Y",BO800&amp;"",BB800&amp;""))</f>
        <v/>
      </c>
      <c r="G800" s="0" t="str">
        <f aca="false">IF($A800="","",IF(AT800="Y",BP800&amp;"",BC800&amp;""))</f>
        <v/>
      </c>
      <c r="H800" s="0" t="str">
        <f aca="false">IF($A800="","",IF(AT800="Y",BQ800&amp;"",BD800&amp;""))</f>
        <v/>
      </c>
      <c r="I800" s="0" t="str">
        <f aca="false">IF($A800="","",IF(R800="Y","warm-intro",IF(H800="verified","email",IF(C800&lt;&gt;"","linkedin",CA800&amp;""))))</f>
        <v/>
      </c>
      <c r="J800" s="0" t="str">
        <f aca="false">IF($A800="","",IF(CK800="pass",ROUND(N(DO800)+N(DP800)+N(DQ800)+N(DR800)+N(DS800)+N(DT800)+N(DU800)+N(DV800),0),0))</f>
        <v/>
      </c>
      <c r="K800" s="0" t="str">
        <f aca="false">IF($A800="","",IF(CK800&lt;&gt;"pass",BY800&amp;"",BY800&amp;", "&amp;IF(AT800="Y",BX800&amp;"",BK800&amp;"")&amp;BZ800&amp;IF(R800="Y","; known to the founder (+10)","")&amp;"."))</f>
        <v/>
      </c>
      <c r="R800" s="5"/>
      <c r="T800" s="5"/>
      <c r="U800" s="5"/>
      <c r="Y800" s="0" t="str">
        <f aca="false">IF(FA800&lt;&gt;"Y","",COUNTIFS($FA$2:$FA$1000,"Y",$J$2:$J$1000,"&gt;"&amp;J800)+COUNTIFS($FA$2:$FA$1000,"Y",$J$2:$J$1000,J800,$FG$2:$FG$1000,"&lt;"&amp;FG800)+1)</f>
        <v/>
      </c>
      <c r="AB800" s="0" t="str">
        <f aca="false">IF($A800="","",IF(AT800="Y",BW800&amp;"",BJ800&amp;""))</f>
        <v/>
      </c>
      <c r="AC800" s="0" t="str">
        <f aca="false">IF($A800="","",IF(AT800="Y",BR800&amp;"",BE800&amp;""))</f>
        <v/>
      </c>
      <c r="AD800" s="0" t="str">
        <f aca="false">IF($A800="","",IF(AT800="Y",BS800&amp;"",BF800&amp;""))</f>
        <v/>
      </c>
      <c r="AE800" s="0" t="str">
        <f aca="false">IF($A800="","",IF(AT800="Y",BT800&amp;"",BG800&amp;""))</f>
        <v/>
      </c>
      <c r="AF800" s="0" t="str">
        <f aca="false">IF($A800="","",IF(AT800="Y",BU800&amp;"",BH800&amp;""))</f>
        <v/>
      </c>
      <c r="AG800" s="0" t="str">
        <f aca="false">IF($A800="","",IF(AT800="Y",BV800&amp;"",BI800&amp;""))</f>
        <v/>
      </c>
      <c r="AO800" s="5"/>
      <c r="AR800" s="0" t="str">
        <f aca="false">IF($A800="","",IF(AND(CK800="pass",AO800&lt;&gt;"Y",C800&lt;&gt;"",OR(AU800&lt;&gt;"Y",AV800="Y")),"Y","N"))</f>
        <v/>
      </c>
      <c r="AS800" s="0" t="str">
        <f aca="false">IF($A800="","",_xlfn.TEXTJOIN("; ",TRUE(),IF(CK800&lt;&gt;"pass","gated out",""),IF(AO800="Y","on hold: "&amp;AP800,""),IF(C800="","no contact named on an opened page",""),IF(AND(AU800="Y",AV800&lt;&gt;"Y"),"founder review pending (Founder review tab)","")))</f>
        <v/>
      </c>
      <c r="BC800" s="0" t="str">
        <f aca="false">IF($A800="","",IFERROR(INDEX(Enrichment!$A$2:$GZ$2000,MATCH($A800,INDEX(Enrichment!$A$2:$GZ$2000,0,MATCH("row_id",Enrichment!$A$1:$GZ$1,0)),0),MATCH("work_email",Enrichment!$A$1:$GZ$1,0))&amp;"",""))</f>
        <v/>
      </c>
      <c r="BD800" s="0" t="str">
        <f aca="false">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P800" s="0" t="str">
        <f aca="false">IF($A800="","",IFERROR(INDEX(Enrichment!$A$2:$GZ$2000,MATCH($A800,INDEX(Enrichment!$A$2:$GZ$2000,0,MATCH("row_id",Enrichment!$A$1:$GZ$1,0)),0),MATCH("backup_work_email",Enrichment!$A$1:$GZ$1,0))&amp;"",""))</f>
        <v/>
      </c>
      <c r="BQ800" s="0" t="str">
        <f aca="false">IF($A800="","",IF(BP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DU800" s="0" t="str">
        <f aca="false">IF($A800="","",IF(R800="Y",10,0))</f>
        <v/>
      </c>
      <c r="EV800" s="0" t="str">
        <f aca="false">IF($A800="","",IF(ISNUMBER(MATCH(U800,{"queued","contacted","replied","call_booked","call_done","yes_in_principle","materials_sent"},0)),"Y","N"))</f>
        <v/>
      </c>
      <c r="EW800" s="0" t="str">
        <f aca="false">IF($A800="","",IF(OR(T800="Y",U800="do_not_contact",AQ800&amp;""&lt;&gt;""),"Y","N"))</f>
        <v/>
      </c>
      <c r="EX800" s="0" t="str">
        <f aca="false">IF($A800="","",IF(AN800&amp;""&lt;&gt;"",AN800&amp;"",$A800))</f>
        <v/>
      </c>
      <c r="EY800" s="0" t="str">
        <f aca="false">IF($A800="","",IF(COUNTIFS($EX$2:$EX$1000,EX800,$EV$2:$EV$1000,"Y")+COUNTIFS($EX$2:$EX$1000,EX800,$EW$2:$EW$1000,"Y")&gt;0,"Y","N"))</f>
        <v/>
      </c>
      <c r="EZ800" s="0" t="str">
        <f aca="false">IF($A800="","",IF(AND(U800="new",T800="N",EW800="N",AR800="Y",EY800="N"),"Y","N"))</f>
        <v/>
      </c>
      <c r="FA800" s="0" t="str">
        <f aca="false">IF($A800="","",IF(EZ800&lt;&gt;"Y","N",IF(COUNTIFS($EX$2:$EX$1000,EX800,$EZ$2:$EZ$1000,"Y",$J$2:$J$1000,"&gt;"&amp;J800)+COUNTIFS($EX$2:$EX$1000,EX800,$EZ$2:$EZ$1000,"Y",$J$2:$J$1000,J800,$FG$2:$FG$1000,"&lt;"&amp;FG800)=0,"Y","N")))</f>
        <v/>
      </c>
      <c r="FB800" s="0" t="str">
        <f aca="false">IF($A800="","",IF(AND(EZ800="Y",FA800="Y",Y800&amp;""&lt;&gt;""),IF(Y800&lt;=10,"Y","N"),"N"))</f>
        <v/>
      </c>
      <c r="FC800" s="0" t="str">
        <f aca="false">IF(FB800="Y",Y800,"")</f>
        <v/>
      </c>
      <c r="FD800" s="0" t="str">
        <f aca="false">IF($A800="","",IF(AND(CK800="pass",AU800="Y",AV800&lt;&gt;"Y",U800="new",EW800="N"),"Y","N"))</f>
        <v/>
      </c>
      <c r="FE800" s="0" t="str">
        <f aca="false">IF(FD800&lt;&gt;"Y","",IF(COUNTIFS($FD$2:$FD$1000,"Y",$J$2:$J$1000,"&gt;"&amp;J800)+COUNTIFS($FD$2:$FD$1000,"Y",$J$2:$J$1000,J800,$FG$2:$FG$1000,"&lt;"&amp;FG800)+1&lt;=30,COUNTIFS($FD$2:$FD$1000,"Y",$J$2:$J$1000,"&gt;"&amp;J800)+COUNTIFS($FD$2:$FD$1000,"Y",$J$2:$J$1000,J800,$FG$2:$FG$1000,"&lt;"&amp;FG800)+1,""))</f>
        <v/>
      </c>
      <c r="FF800" s="0" t="str">
        <f aca="false">IF(AND(_xlfn.ISFORMULA(C800),_xlfn.ISFORMULA(J800)),"Y","N")</f>
        <v>Y</v>
      </c>
      <c r="FG800" s="0" t="n">
        <f aca="false">ROW()-1</f>
        <v>799</v>
      </c>
    </row>
    <row r="801" customFormat="false" ht="15" hidden="false" customHeight="false" outlineLevel="0" collapsed="false">
      <c r="C801" s="0" t="str">
        <f aca="false">IF($A801="","",IF(AT801="Y",BL801&amp;"",AY801&amp;""))</f>
        <v/>
      </c>
      <c r="D801" s="0" t="str">
        <f aca="false">IF($A801="","",IF(AT801="Y",BM801&amp;"",AZ801&amp;""))</f>
        <v/>
      </c>
      <c r="E801" s="0" t="str">
        <f aca="false">IF($A801="","",IF(AT801="Y",BN801&amp;"",BA801&amp;""))</f>
        <v/>
      </c>
      <c r="F801" s="0" t="str">
        <f aca="false">IF($A801="","",IF(AT801="Y",BO801&amp;"",BB801&amp;""))</f>
        <v/>
      </c>
      <c r="G801" s="0" t="str">
        <f aca="false">IF($A801="","",IF(AT801="Y",BP801&amp;"",BC801&amp;""))</f>
        <v/>
      </c>
      <c r="H801" s="0" t="str">
        <f aca="false">IF($A801="","",IF(AT801="Y",BQ801&amp;"",BD801&amp;""))</f>
        <v/>
      </c>
      <c r="I801" s="0" t="str">
        <f aca="false">IF($A801="","",IF(R801="Y","warm-intro",IF(H801="verified","email",IF(C801&lt;&gt;"","linkedin",CA801&amp;""))))</f>
        <v/>
      </c>
      <c r="J801" s="0" t="str">
        <f aca="false">IF($A801="","",IF(CK801="pass",ROUND(N(DO801)+N(DP801)+N(DQ801)+N(DR801)+N(DS801)+N(DT801)+N(DU801)+N(DV801),0),0))</f>
        <v/>
      </c>
      <c r="K801" s="0" t="str">
        <f aca="false">IF($A801="","",IF(CK801&lt;&gt;"pass",BY801&amp;"",BY801&amp;", "&amp;IF(AT801="Y",BX801&amp;"",BK801&amp;"")&amp;BZ801&amp;IF(R801="Y","; known to the founder (+10)","")&amp;"."))</f>
        <v/>
      </c>
      <c r="R801" s="5"/>
      <c r="T801" s="5"/>
      <c r="U801" s="5"/>
      <c r="Y801" s="0" t="str">
        <f aca="false">IF(FA801&lt;&gt;"Y","",COUNTIFS($FA$2:$FA$1000,"Y",$J$2:$J$1000,"&gt;"&amp;J801)+COUNTIFS($FA$2:$FA$1000,"Y",$J$2:$J$1000,J801,$FG$2:$FG$1000,"&lt;"&amp;FG801)+1)</f>
        <v/>
      </c>
      <c r="AB801" s="0" t="str">
        <f aca="false">IF($A801="","",IF(AT801="Y",BW801&amp;"",BJ801&amp;""))</f>
        <v/>
      </c>
      <c r="AC801" s="0" t="str">
        <f aca="false">IF($A801="","",IF(AT801="Y",BR801&amp;"",BE801&amp;""))</f>
        <v/>
      </c>
      <c r="AD801" s="0" t="str">
        <f aca="false">IF($A801="","",IF(AT801="Y",BS801&amp;"",BF801&amp;""))</f>
        <v/>
      </c>
      <c r="AE801" s="0" t="str">
        <f aca="false">IF($A801="","",IF(AT801="Y",BT801&amp;"",BG801&amp;""))</f>
        <v/>
      </c>
      <c r="AF801" s="0" t="str">
        <f aca="false">IF($A801="","",IF(AT801="Y",BU801&amp;"",BH801&amp;""))</f>
        <v/>
      </c>
      <c r="AG801" s="0" t="str">
        <f aca="false">IF($A801="","",IF(AT801="Y",BV801&amp;"",BI801&amp;""))</f>
        <v/>
      </c>
      <c r="AO801" s="5"/>
      <c r="AR801" s="0" t="str">
        <f aca="false">IF($A801="","",IF(AND(CK801="pass",AO801&lt;&gt;"Y",C801&lt;&gt;"",OR(AU801&lt;&gt;"Y",AV801="Y")),"Y","N"))</f>
        <v/>
      </c>
      <c r="AS801" s="0" t="str">
        <f aca="false">IF($A801="","",_xlfn.TEXTJOIN("; ",TRUE(),IF(CK801&lt;&gt;"pass","gated out",""),IF(AO801="Y","on hold: "&amp;AP801,""),IF(C801="","no contact named on an opened page",""),IF(AND(AU801="Y",AV801&lt;&gt;"Y"),"founder review pending (Founder review tab)","")))</f>
        <v/>
      </c>
      <c r="BC801" s="0" t="str">
        <f aca="false">IF($A801="","",IFERROR(INDEX(Enrichment!$A$2:$GZ$2000,MATCH($A801,INDEX(Enrichment!$A$2:$GZ$2000,0,MATCH("row_id",Enrichment!$A$1:$GZ$1,0)),0),MATCH("work_email",Enrichment!$A$1:$GZ$1,0))&amp;"",""))</f>
        <v/>
      </c>
      <c r="BD801" s="0" t="str">
        <f aca="false">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P801" s="0" t="str">
        <f aca="false">IF($A801="","",IFERROR(INDEX(Enrichment!$A$2:$GZ$2000,MATCH($A801,INDEX(Enrichment!$A$2:$GZ$2000,0,MATCH("row_id",Enrichment!$A$1:$GZ$1,0)),0),MATCH("backup_work_email",Enrichment!$A$1:$GZ$1,0))&amp;"",""))</f>
        <v/>
      </c>
      <c r="BQ801" s="0" t="str">
        <f aca="false">IF($A801="","",IF(BP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DU801" s="0" t="str">
        <f aca="false">IF($A801="","",IF(R801="Y",10,0))</f>
        <v/>
      </c>
      <c r="EV801" s="0" t="str">
        <f aca="false">IF($A801="","",IF(ISNUMBER(MATCH(U801,{"queued","contacted","replied","call_booked","call_done","yes_in_principle","materials_sent"},0)),"Y","N"))</f>
        <v/>
      </c>
      <c r="EW801" s="0" t="str">
        <f aca="false">IF($A801="","",IF(OR(T801="Y",U801="do_not_contact",AQ801&amp;""&lt;&gt;""),"Y","N"))</f>
        <v/>
      </c>
      <c r="EX801" s="0" t="str">
        <f aca="false">IF($A801="","",IF(AN801&amp;""&lt;&gt;"",AN801&amp;"",$A801))</f>
        <v/>
      </c>
      <c r="EY801" s="0" t="str">
        <f aca="false">IF($A801="","",IF(COUNTIFS($EX$2:$EX$1000,EX801,$EV$2:$EV$1000,"Y")+COUNTIFS($EX$2:$EX$1000,EX801,$EW$2:$EW$1000,"Y")&gt;0,"Y","N"))</f>
        <v/>
      </c>
      <c r="EZ801" s="0" t="str">
        <f aca="false">IF($A801="","",IF(AND(U801="new",T801="N",EW801="N",AR801="Y",EY801="N"),"Y","N"))</f>
        <v/>
      </c>
      <c r="FA801" s="0" t="str">
        <f aca="false">IF($A801="","",IF(EZ801&lt;&gt;"Y","N",IF(COUNTIFS($EX$2:$EX$1000,EX801,$EZ$2:$EZ$1000,"Y",$J$2:$J$1000,"&gt;"&amp;J801)+COUNTIFS($EX$2:$EX$1000,EX801,$EZ$2:$EZ$1000,"Y",$J$2:$J$1000,J801,$FG$2:$FG$1000,"&lt;"&amp;FG801)=0,"Y","N")))</f>
        <v/>
      </c>
      <c r="FB801" s="0" t="str">
        <f aca="false">IF($A801="","",IF(AND(EZ801="Y",FA801="Y",Y801&amp;""&lt;&gt;""),IF(Y801&lt;=10,"Y","N"),"N"))</f>
        <v/>
      </c>
      <c r="FC801" s="0" t="str">
        <f aca="false">IF(FB801="Y",Y801,"")</f>
        <v/>
      </c>
      <c r="FD801" s="0" t="str">
        <f aca="false">IF($A801="","",IF(AND(CK801="pass",AU801="Y",AV801&lt;&gt;"Y",U801="new",EW801="N"),"Y","N"))</f>
        <v/>
      </c>
      <c r="FE801" s="0" t="str">
        <f aca="false">IF(FD801&lt;&gt;"Y","",IF(COUNTIFS($FD$2:$FD$1000,"Y",$J$2:$J$1000,"&gt;"&amp;J801)+COUNTIFS($FD$2:$FD$1000,"Y",$J$2:$J$1000,J801,$FG$2:$FG$1000,"&lt;"&amp;FG801)+1&lt;=30,COUNTIFS($FD$2:$FD$1000,"Y",$J$2:$J$1000,"&gt;"&amp;J801)+COUNTIFS($FD$2:$FD$1000,"Y",$J$2:$J$1000,J801,$FG$2:$FG$1000,"&lt;"&amp;FG801)+1,""))</f>
        <v/>
      </c>
      <c r="FF801" s="0" t="str">
        <f aca="false">IF(AND(_xlfn.ISFORMULA(C801),_xlfn.ISFORMULA(J801)),"Y","N")</f>
        <v>Y</v>
      </c>
      <c r="FG801" s="0" t="n">
        <f aca="false">ROW()-1</f>
        <v>800</v>
      </c>
    </row>
    <row r="802" customFormat="false" ht="15" hidden="false" customHeight="false" outlineLevel="0" collapsed="false">
      <c r="C802" s="0" t="str">
        <f aca="false">IF($A802="","",IF(AT802="Y",BL802&amp;"",AY802&amp;""))</f>
        <v/>
      </c>
      <c r="D802" s="0" t="str">
        <f aca="false">IF($A802="","",IF(AT802="Y",BM802&amp;"",AZ802&amp;""))</f>
        <v/>
      </c>
      <c r="E802" s="0" t="str">
        <f aca="false">IF($A802="","",IF(AT802="Y",BN802&amp;"",BA802&amp;""))</f>
        <v/>
      </c>
      <c r="F802" s="0" t="str">
        <f aca="false">IF($A802="","",IF(AT802="Y",BO802&amp;"",BB802&amp;""))</f>
        <v/>
      </c>
      <c r="G802" s="0" t="str">
        <f aca="false">IF($A802="","",IF(AT802="Y",BP802&amp;"",BC802&amp;""))</f>
        <v/>
      </c>
      <c r="H802" s="0" t="str">
        <f aca="false">IF($A802="","",IF(AT802="Y",BQ802&amp;"",BD802&amp;""))</f>
        <v/>
      </c>
      <c r="I802" s="0" t="str">
        <f aca="false">IF($A802="","",IF(R802="Y","warm-intro",IF(H802="verified","email",IF(C802&lt;&gt;"","linkedin",CA802&amp;""))))</f>
        <v/>
      </c>
      <c r="J802" s="0" t="str">
        <f aca="false">IF($A802="","",IF(CK802="pass",ROUND(N(DO802)+N(DP802)+N(DQ802)+N(DR802)+N(DS802)+N(DT802)+N(DU802)+N(DV802),0),0))</f>
        <v/>
      </c>
      <c r="K802" s="0" t="str">
        <f aca="false">IF($A802="","",IF(CK802&lt;&gt;"pass",BY802&amp;"",BY802&amp;", "&amp;IF(AT802="Y",BX802&amp;"",BK802&amp;"")&amp;BZ802&amp;IF(R802="Y","; known to the founder (+10)","")&amp;"."))</f>
        <v/>
      </c>
      <c r="R802" s="5"/>
      <c r="T802" s="5"/>
      <c r="U802" s="5"/>
      <c r="Y802" s="0" t="str">
        <f aca="false">IF(FA802&lt;&gt;"Y","",COUNTIFS($FA$2:$FA$1000,"Y",$J$2:$J$1000,"&gt;"&amp;J802)+COUNTIFS($FA$2:$FA$1000,"Y",$J$2:$J$1000,J802,$FG$2:$FG$1000,"&lt;"&amp;FG802)+1)</f>
        <v/>
      </c>
      <c r="AB802" s="0" t="str">
        <f aca="false">IF($A802="","",IF(AT802="Y",BW802&amp;"",BJ802&amp;""))</f>
        <v/>
      </c>
      <c r="AC802" s="0" t="str">
        <f aca="false">IF($A802="","",IF(AT802="Y",BR802&amp;"",BE802&amp;""))</f>
        <v/>
      </c>
      <c r="AD802" s="0" t="str">
        <f aca="false">IF($A802="","",IF(AT802="Y",BS802&amp;"",BF802&amp;""))</f>
        <v/>
      </c>
      <c r="AE802" s="0" t="str">
        <f aca="false">IF($A802="","",IF(AT802="Y",BT802&amp;"",BG802&amp;""))</f>
        <v/>
      </c>
      <c r="AF802" s="0" t="str">
        <f aca="false">IF($A802="","",IF(AT802="Y",BU802&amp;"",BH802&amp;""))</f>
        <v/>
      </c>
      <c r="AG802" s="0" t="str">
        <f aca="false">IF($A802="","",IF(AT802="Y",BV802&amp;"",BI802&amp;""))</f>
        <v/>
      </c>
      <c r="AO802" s="5"/>
      <c r="AR802" s="0" t="str">
        <f aca="false">IF($A802="","",IF(AND(CK802="pass",AO802&lt;&gt;"Y",C802&lt;&gt;"",OR(AU802&lt;&gt;"Y",AV802="Y")),"Y","N"))</f>
        <v/>
      </c>
      <c r="AS802" s="0" t="str">
        <f aca="false">IF($A802="","",_xlfn.TEXTJOIN("; ",TRUE(),IF(CK802&lt;&gt;"pass","gated out",""),IF(AO802="Y","on hold: "&amp;AP802,""),IF(C802="","no contact named on an opened page",""),IF(AND(AU802="Y",AV802&lt;&gt;"Y"),"founder review pending (Founder review tab)","")))</f>
        <v/>
      </c>
      <c r="BC802" s="0" t="str">
        <f aca="false">IF($A802="","",IFERROR(INDEX(Enrichment!$A$2:$GZ$2000,MATCH($A802,INDEX(Enrichment!$A$2:$GZ$2000,0,MATCH("row_id",Enrichment!$A$1:$GZ$1,0)),0),MATCH("work_email",Enrichment!$A$1:$GZ$1,0))&amp;"",""))</f>
        <v/>
      </c>
      <c r="BD802" s="0" t="str">
        <f aca="false">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P802" s="0" t="str">
        <f aca="false">IF($A802="","",IFERROR(INDEX(Enrichment!$A$2:$GZ$2000,MATCH($A802,INDEX(Enrichment!$A$2:$GZ$2000,0,MATCH("row_id",Enrichment!$A$1:$GZ$1,0)),0),MATCH("backup_work_email",Enrichment!$A$1:$GZ$1,0))&amp;"",""))</f>
        <v/>
      </c>
      <c r="BQ802" s="0" t="str">
        <f aca="false">IF($A802="","",IF(BP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DU802" s="0" t="str">
        <f aca="false">IF($A802="","",IF(R802="Y",10,0))</f>
        <v/>
      </c>
      <c r="EV802" s="0" t="str">
        <f aca="false">IF($A802="","",IF(ISNUMBER(MATCH(U802,{"queued","contacted","replied","call_booked","call_done","yes_in_principle","materials_sent"},0)),"Y","N"))</f>
        <v/>
      </c>
      <c r="EW802" s="0" t="str">
        <f aca="false">IF($A802="","",IF(OR(T802="Y",U802="do_not_contact",AQ802&amp;""&lt;&gt;""),"Y","N"))</f>
        <v/>
      </c>
      <c r="EX802" s="0" t="str">
        <f aca="false">IF($A802="","",IF(AN802&amp;""&lt;&gt;"",AN802&amp;"",$A802))</f>
        <v/>
      </c>
      <c r="EY802" s="0" t="str">
        <f aca="false">IF($A802="","",IF(COUNTIFS($EX$2:$EX$1000,EX802,$EV$2:$EV$1000,"Y")+COUNTIFS($EX$2:$EX$1000,EX802,$EW$2:$EW$1000,"Y")&gt;0,"Y","N"))</f>
        <v/>
      </c>
      <c r="EZ802" s="0" t="str">
        <f aca="false">IF($A802="","",IF(AND(U802="new",T802="N",EW802="N",AR802="Y",EY802="N"),"Y","N"))</f>
        <v/>
      </c>
      <c r="FA802" s="0" t="str">
        <f aca="false">IF($A802="","",IF(EZ802&lt;&gt;"Y","N",IF(COUNTIFS($EX$2:$EX$1000,EX802,$EZ$2:$EZ$1000,"Y",$J$2:$J$1000,"&gt;"&amp;J802)+COUNTIFS($EX$2:$EX$1000,EX802,$EZ$2:$EZ$1000,"Y",$J$2:$J$1000,J802,$FG$2:$FG$1000,"&lt;"&amp;FG802)=0,"Y","N")))</f>
        <v/>
      </c>
      <c r="FB802" s="0" t="str">
        <f aca="false">IF($A802="","",IF(AND(EZ802="Y",FA802="Y",Y802&amp;""&lt;&gt;""),IF(Y802&lt;=10,"Y","N"),"N"))</f>
        <v/>
      </c>
      <c r="FC802" s="0" t="str">
        <f aca="false">IF(FB802="Y",Y802,"")</f>
        <v/>
      </c>
      <c r="FD802" s="0" t="str">
        <f aca="false">IF($A802="","",IF(AND(CK802="pass",AU802="Y",AV802&lt;&gt;"Y",U802="new",EW802="N"),"Y","N"))</f>
        <v/>
      </c>
      <c r="FE802" s="0" t="str">
        <f aca="false">IF(FD802&lt;&gt;"Y","",IF(COUNTIFS($FD$2:$FD$1000,"Y",$J$2:$J$1000,"&gt;"&amp;J802)+COUNTIFS($FD$2:$FD$1000,"Y",$J$2:$J$1000,J802,$FG$2:$FG$1000,"&lt;"&amp;FG802)+1&lt;=30,COUNTIFS($FD$2:$FD$1000,"Y",$J$2:$J$1000,"&gt;"&amp;J802)+COUNTIFS($FD$2:$FD$1000,"Y",$J$2:$J$1000,J802,$FG$2:$FG$1000,"&lt;"&amp;FG802)+1,""))</f>
        <v/>
      </c>
      <c r="FF802" s="0" t="str">
        <f aca="false">IF(AND(_xlfn.ISFORMULA(C802),_xlfn.ISFORMULA(J802)),"Y","N")</f>
        <v>Y</v>
      </c>
      <c r="FG802" s="0" t="n">
        <f aca="false">ROW()-1</f>
        <v>801</v>
      </c>
    </row>
    <row r="803" customFormat="false" ht="15" hidden="false" customHeight="false" outlineLevel="0" collapsed="false">
      <c r="C803" s="0" t="str">
        <f aca="false">IF($A803="","",IF(AT803="Y",BL803&amp;"",AY803&amp;""))</f>
        <v/>
      </c>
      <c r="D803" s="0" t="str">
        <f aca="false">IF($A803="","",IF(AT803="Y",BM803&amp;"",AZ803&amp;""))</f>
        <v/>
      </c>
      <c r="E803" s="0" t="str">
        <f aca="false">IF($A803="","",IF(AT803="Y",BN803&amp;"",BA803&amp;""))</f>
        <v/>
      </c>
      <c r="F803" s="0" t="str">
        <f aca="false">IF($A803="","",IF(AT803="Y",BO803&amp;"",BB803&amp;""))</f>
        <v/>
      </c>
      <c r="G803" s="0" t="str">
        <f aca="false">IF($A803="","",IF(AT803="Y",BP803&amp;"",BC803&amp;""))</f>
        <v/>
      </c>
      <c r="H803" s="0" t="str">
        <f aca="false">IF($A803="","",IF(AT803="Y",BQ803&amp;"",BD803&amp;""))</f>
        <v/>
      </c>
      <c r="I803" s="0" t="str">
        <f aca="false">IF($A803="","",IF(R803="Y","warm-intro",IF(H803="verified","email",IF(C803&lt;&gt;"","linkedin",CA803&amp;""))))</f>
        <v/>
      </c>
      <c r="J803" s="0" t="str">
        <f aca="false">IF($A803="","",IF(CK803="pass",ROUND(N(DO803)+N(DP803)+N(DQ803)+N(DR803)+N(DS803)+N(DT803)+N(DU803)+N(DV803),0),0))</f>
        <v/>
      </c>
      <c r="K803" s="0" t="str">
        <f aca="false">IF($A803="","",IF(CK803&lt;&gt;"pass",BY803&amp;"",BY803&amp;", "&amp;IF(AT803="Y",BX803&amp;"",BK803&amp;"")&amp;BZ803&amp;IF(R803="Y","; known to the founder (+10)","")&amp;"."))</f>
        <v/>
      </c>
      <c r="R803" s="5"/>
      <c r="T803" s="5"/>
      <c r="U803" s="5"/>
      <c r="Y803" s="0" t="str">
        <f aca="false">IF(FA803&lt;&gt;"Y","",COUNTIFS($FA$2:$FA$1000,"Y",$J$2:$J$1000,"&gt;"&amp;J803)+COUNTIFS($FA$2:$FA$1000,"Y",$J$2:$J$1000,J803,$FG$2:$FG$1000,"&lt;"&amp;FG803)+1)</f>
        <v/>
      </c>
      <c r="AB803" s="0" t="str">
        <f aca="false">IF($A803="","",IF(AT803="Y",BW803&amp;"",BJ803&amp;""))</f>
        <v/>
      </c>
      <c r="AC803" s="0" t="str">
        <f aca="false">IF($A803="","",IF(AT803="Y",BR803&amp;"",BE803&amp;""))</f>
        <v/>
      </c>
      <c r="AD803" s="0" t="str">
        <f aca="false">IF($A803="","",IF(AT803="Y",BS803&amp;"",BF803&amp;""))</f>
        <v/>
      </c>
      <c r="AE803" s="0" t="str">
        <f aca="false">IF($A803="","",IF(AT803="Y",BT803&amp;"",BG803&amp;""))</f>
        <v/>
      </c>
      <c r="AF803" s="0" t="str">
        <f aca="false">IF($A803="","",IF(AT803="Y",BU803&amp;"",BH803&amp;""))</f>
        <v/>
      </c>
      <c r="AG803" s="0" t="str">
        <f aca="false">IF($A803="","",IF(AT803="Y",BV803&amp;"",BI803&amp;""))</f>
        <v/>
      </c>
      <c r="AO803" s="5"/>
      <c r="AR803" s="0" t="str">
        <f aca="false">IF($A803="","",IF(AND(CK803="pass",AO803&lt;&gt;"Y",C803&lt;&gt;"",OR(AU803&lt;&gt;"Y",AV803="Y")),"Y","N"))</f>
        <v/>
      </c>
      <c r="AS803" s="0" t="str">
        <f aca="false">IF($A803="","",_xlfn.TEXTJOIN("; ",TRUE(),IF(CK803&lt;&gt;"pass","gated out",""),IF(AO803="Y","on hold: "&amp;AP803,""),IF(C803="","no contact named on an opened page",""),IF(AND(AU803="Y",AV803&lt;&gt;"Y"),"founder review pending (Founder review tab)","")))</f>
        <v/>
      </c>
      <c r="BC803" s="0" t="str">
        <f aca="false">IF($A803="","",IFERROR(INDEX(Enrichment!$A$2:$GZ$2000,MATCH($A803,INDEX(Enrichment!$A$2:$GZ$2000,0,MATCH("row_id",Enrichment!$A$1:$GZ$1,0)),0),MATCH("work_email",Enrichment!$A$1:$GZ$1,0))&amp;"",""))</f>
        <v/>
      </c>
      <c r="BD803" s="0" t="str">
        <f aca="false">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P803" s="0" t="str">
        <f aca="false">IF($A803="","",IFERROR(INDEX(Enrichment!$A$2:$GZ$2000,MATCH($A803,INDEX(Enrichment!$A$2:$GZ$2000,0,MATCH("row_id",Enrichment!$A$1:$GZ$1,0)),0),MATCH("backup_work_email",Enrichment!$A$1:$GZ$1,0))&amp;"",""))</f>
        <v/>
      </c>
      <c r="BQ803" s="0" t="str">
        <f aca="false">IF($A803="","",IF(BP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DU803" s="0" t="str">
        <f aca="false">IF($A803="","",IF(R803="Y",10,0))</f>
        <v/>
      </c>
      <c r="EV803" s="0" t="str">
        <f aca="false">IF($A803="","",IF(ISNUMBER(MATCH(U803,{"queued","contacted","replied","call_booked","call_done","yes_in_principle","materials_sent"},0)),"Y","N"))</f>
        <v/>
      </c>
      <c r="EW803" s="0" t="str">
        <f aca="false">IF($A803="","",IF(OR(T803="Y",U803="do_not_contact",AQ803&amp;""&lt;&gt;""),"Y","N"))</f>
        <v/>
      </c>
      <c r="EX803" s="0" t="str">
        <f aca="false">IF($A803="","",IF(AN803&amp;""&lt;&gt;"",AN803&amp;"",$A803))</f>
        <v/>
      </c>
      <c r="EY803" s="0" t="str">
        <f aca="false">IF($A803="","",IF(COUNTIFS($EX$2:$EX$1000,EX803,$EV$2:$EV$1000,"Y")+COUNTIFS($EX$2:$EX$1000,EX803,$EW$2:$EW$1000,"Y")&gt;0,"Y","N"))</f>
        <v/>
      </c>
      <c r="EZ803" s="0" t="str">
        <f aca="false">IF($A803="","",IF(AND(U803="new",T803="N",EW803="N",AR803="Y",EY803="N"),"Y","N"))</f>
        <v/>
      </c>
      <c r="FA803" s="0" t="str">
        <f aca="false">IF($A803="","",IF(EZ803&lt;&gt;"Y","N",IF(COUNTIFS($EX$2:$EX$1000,EX803,$EZ$2:$EZ$1000,"Y",$J$2:$J$1000,"&gt;"&amp;J803)+COUNTIFS($EX$2:$EX$1000,EX803,$EZ$2:$EZ$1000,"Y",$J$2:$J$1000,J803,$FG$2:$FG$1000,"&lt;"&amp;FG803)=0,"Y","N")))</f>
        <v/>
      </c>
      <c r="FB803" s="0" t="str">
        <f aca="false">IF($A803="","",IF(AND(EZ803="Y",FA803="Y",Y803&amp;""&lt;&gt;""),IF(Y803&lt;=10,"Y","N"),"N"))</f>
        <v/>
      </c>
      <c r="FC803" s="0" t="str">
        <f aca="false">IF(FB803="Y",Y803,"")</f>
        <v/>
      </c>
      <c r="FD803" s="0" t="str">
        <f aca="false">IF($A803="","",IF(AND(CK803="pass",AU803="Y",AV803&lt;&gt;"Y",U803="new",EW803="N"),"Y","N"))</f>
        <v/>
      </c>
      <c r="FE803" s="0" t="str">
        <f aca="false">IF(FD803&lt;&gt;"Y","",IF(COUNTIFS($FD$2:$FD$1000,"Y",$J$2:$J$1000,"&gt;"&amp;J803)+COUNTIFS($FD$2:$FD$1000,"Y",$J$2:$J$1000,J803,$FG$2:$FG$1000,"&lt;"&amp;FG803)+1&lt;=30,COUNTIFS($FD$2:$FD$1000,"Y",$J$2:$J$1000,"&gt;"&amp;J803)+COUNTIFS($FD$2:$FD$1000,"Y",$J$2:$J$1000,J803,$FG$2:$FG$1000,"&lt;"&amp;FG803)+1,""))</f>
        <v/>
      </c>
      <c r="FF803" s="0" t="str">
        <f aca="false">IF(AND(_xlfn.ISFORMULA(C803),_xlfn.ISFORMULA(J803)),"Y","N")</f>
        <v>Y</v>
      </c>
      <c r="FG803" s="0" t="n">
        <f aca="false">ROW()-1</f>
        <v>802</v>
      </c>
    </row>
    <row r="804" customFormat="false" ht="15" hidden="false" customHeight="false" outlineLevel="0" collapsed="false">
      <c r="C804" s="0" t="str">
        <f aca="false">IF($A804="","",IF(AT804="Y",BL804&amp;"",AY804&amp;""))</f>
        <v/>
      </c>
      <c r="D804" s="0" t="str">
        <f aca="false">IF($A804="","",IF(AT804="Y",BM804&amp;"",AZ804&amp;""))</f>
        <v/>
      </c>
      <c r="E804" s="0" t="str">
        <f aca="false">IF($A804="","",IF(AT804="Y",BN804&amp;"",BA804&amp;""))</f>
        <v/>
      </c>
      <c r="F804" s="0" t="str">
        <f aca="false">IF($A804="","",IF(AT804="Y",BO804&amp;"",BB804&amp;""))</f>
        <v/>
      </c>
      <c r="G804" s="0" t="str">
        <f aca="false">IF($A804="","",IF(AT804="Y",BP804&amp;"",BC804&amp;""))</f>
        <v/>
      </c>
      <c r="H804" s="0" t="str">
        <f aca="false">IF($A804="","",IF(AT804="Y",BQ804&amp;"",BD804&amp;""))</f>
        <v/>
      </c>
      <c r="I804" s="0" t="str">
        <f aca="false">IF($A804="","",IF(R804="Y","warm-intro",IF(H804="verified","email",IF(C804&lt;&gt;"","linkedin",CA804&amp;""))))</f>
        <v/>
      </c>
      <c r="J804" s="0" t="str">
        <f aca="false">IF($A804="","",IF(CK804="pass",ROUND(N(DO804)+N(DP804)+N(DQ804)+N(DR804)+N(DS804)+N(DT804)+N(DU804)+N(DV804),0),0))</f>
        <v/>
      </c>
      <c r="K804" s="0" t="str">
        <f aca="false">IF($A804="","",IF(CK804&lt;&gt;"pass",BY804&amp;"",BY804&amp;", "&amp;IF(AT804="Y",BX804&amp;"",BK804&amp;"")&amp;BZ804&amp;IF(R804="Y","; known to the founder (+10)","")&amp;"."))</f>
        <v/>
      </c>
      <c r="R804" s="5"/>
      <c r="T804" s="5"/>
      <c r="U804" s="5"/>
      <c r="Y804" s="0" t="str">
        <f aca="false">IF(FA804&lt;&gt;"Y","",COUNTIFS($FA$2:$FA$1000,"Y",$J$2:$J$1000,"&gt;"&amp;J804)+COUNTIFS($FA$2:$FA$1000,"Y",$J$2:$J$1000,J804,$FG$2:$FG$1000,"&lt;"&amp;FG804)+1)</f>
        <v/>
      </c>
      <c r="AB804" s="0" t="str">
        <f aca="false">IF($A804="","",IF(AT804="Y",BW804&amp;"",BJ804&amp;""))</f>
        <v/>
      </c>
      <c r="AC804" s="0" t="str">
        <f aca="false">IF($A804="","",IF(AT804="Y",BR804&amp;"",BE804&amp;""))</f>
        <v/>
      </c>
      <c r="AD804" s="0" t="str">
        <f aca="false">IF($A804="","",IF(AT804="Y",BS804&amp;"",BF804&amp;""))</f>
        <v/>
      </c>
      <c r="AE804" s="0" t="str">
        <f aca="false">IF($A804="","",IF(AT804="Y",BT804&amp;"",BG804&amp;""))</f>
        <v/>
      </c>
      <c r="AF804" s="0" t="str">
        <f aca="false">IF($A804="","",IF(AT804="Y",BU804&amp;"",BH804&amp;""))</f>
        <v/>
      </c>
      <c r="AG804" s="0" t="str">
        <f aca="false">IF($A804="","",IF(AT804="Y",BV804&amp;"",BI804&amp;""))</f>
        <v/>
      </c>
      <c r="AO804" s="5"/>
      <c r="AR804" s="0" t="str">
        <f aca="false">IF($A804="","",IF(AND(CK804="pass",AO804&lt;&gt;"Y",C804&lt;&gt;"",OR(AU804&lt;&gt;"Y",AV804="Y")),"Y","N"))</f>
        <v/>
      </c>
      <c r="AS804" s="0" t="str">
        <f aca="false">IF($A804="","",_xlfn.TEXTJOIN("; ",TRUE(),IF(CK804&lt;&gt;"pass","gated out",""),IF(AO804="Y","on hold: "&amp;AP804,""),IF(C804="","no contact named on an opened page",""),IF(AND(AU804="Y",AV804&lt;&gt;"Y"),"founder review pending (Founder review tab)","")))</f>
        <v/>
      </c>
      <c r="BC804" s="0" t="str">
        <f aca="false">IF($A804="","",IFERROR(INDEX(Enrichment!$A$2:$GZ$2000,MATCH($A804,INDEX(Enrichment!$A$2:$GZ$2000,0,MATCH("row_id",Enrichment!$A$1:$GZ$1,0)),0),MATCH("work_email",Enrichment!$A$1:$GZ$1,0))&amp;"",""))</f>
        <v/>
      </c>
      <c r="BD804" s="0" t="str">
        <f aca="false">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P804" s="0" t="str">
        <f aca="false">IF($A804="","",IFERROR(INDEX(Enrichment!$A$2:$GZ$2000,MATCH($A804,INDEX(Enrichment!$A$2:$GZ$2000,0,MATCH("row_id",Enrichment!$A$1:$GZ$1,0)),0),MATCH("backup_work_email",Enrichment!$A$1:$GZ$1,0))&amp;"",""))</f>
        <v/>
      </c>
      <c r="BQ804" s="0" t="str">
        <f aca="false">IF($A804="","",IF(BP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DU804" s="0" t="str">
        <f aca="false">IF($A804="","",IF(R804="Y",10,0))</f>
        <v/>
      </c>
      <c r="EV804" s="0" t="str">
        <f aca="false">IF($A804="","",IF(ISNUMBER(MATCH(U804,{"queued","contacted","replied","call_booked","call_done","yes_in_principle","materials_sent"},0)),"Y","N"))</f>
        <v/>
      </c>
      <c r="EW804" s="0" t="str">
        <f aca="false">IF($A804="","",IF(OR(T804="Y",U804="do_not_contact",AQ804&amp;""&lt;&gt;""),"Y","N"))</f>
        <v/>
      </c>
      <c r="EX804" s="0" t="str">
        <f aca="false">IF($A804="","",IF(AN804&amp;""&lt;&gt;"",AN804&amp;"",$A804))</f>
        <v/>
      </c>
      <c r="EY804" s="0" t="str">
        <f aca="false">IF($A804="","",IF(COUNTIFS($EX$2:$EX$1000,EX804,$EV$2:$EV$1000,"Y")+COUNTIFS($EX$2:$EX$1000,EX804,$EW$2:$EW$1000,"Y")&gt;0,"Y","N"))</f>
        <v/>
      </c>
      <c r="EZ804" s="0" t="str">
        <f aca="false">IF($A804="","",IF(AND(U804="new",T804="N",EW804="N",AR804="Y",EY804="N"),"Y","N"))</f>
        <v/>
      </c>
      <c r="FA804" s="0" t="str">
        <f aca="false">IF($A804="","",IF(EZ804&lt;&gt;"Y","N",IF(COUNTIFS($EX$2:$EX$1000,EX804,$EZ$2:$EZ$1000,"Y",$J$2:$J$1000,"&gt;"&amp;J804)+COUNTIFS($EX$2:$EX$1000,EX804,$EZ$2:$EZ$1000,"Y",$J$2:$J$1000,J804,$FG$2:$FG$1000,"&lt;"&amp;FG804)=0,"Y","N")))</f>
        <v/>
      </c>
      <c r="FB804" s="0" t="str">
        <f aca="false">IF($A804="","",IF(AND(EZ804="Y",FA804="Y",Y804&amp;""&lt;&gt;""),IF(Y804&lt;=10,"Y","N"),"N"))</f>
        <v/>
      </c>
      <c r="FC804" s="0" t="str">
        <f aca="false">IF(FB804="Y",Y804,"")</f>
        <v/>
      </c>
      <c r="FD804" s="0" t="str">
        <f aca="false">IF($A804="","",IF(AND(CK804="pass",AU804="Y",AV804&lt;&gt;"Y",U804="new",EW804="N"),"Y","N"))</f>
        <v/>
      </c>
      <c r="FE804" s="0" t="str">
        <f aca="false">IF(FD804&lt;&gt;"Y","",IF(COUNTIFS($FD$2:$FD$1000,"Y",$J$2:$J$1000,"&gt;"&amp;J804)+COUNTIFS($FD$2:$FD$1000,"Y",$J$2:$J$1000,J804,$FG$2:$FG$1000,"&lt;"&amp;FG804)+1&lt;=30,COUNTIFS($FD$2:$FD$1000,"Y",$J$2:$J$1000,"&gt;"&amp;J804)+COUNTIFS($FD$2:$FD$1000,"Y",$J$2:$J$1000,J804,$FG$2:$FG$1000,"&lt;"&amp;FG804)+1,""))</f>
        <v/>
      </c>
      <c r="FF804" s="0" t="str">
        <f aca="false">IF(AND(_xlfn.ISFORMULA(C804),_xlfn.ISFORMULA(J804)),"Y","N")</f>
        <v>Y</v>
      </c>
      <c r="FG804" s="0" t="n">
        <f aca="false">ROW()-1</f>
        <v>803</v>
      </c>
    </row>
    <row r="805" customFormat="false" ht="15" hidden="false" customHeight="false" outlineLevel="0" collapsed="false">
      <c r="C805" s="0" t="str">
        <f aca="false">IF($A805="","",IF(AT805="Y",BL805&amp;"",AY805&amp;""))</f>
        <v/>
      </c>
      <c r="D805" s="0" t="str">
        <f aca="false">IF($A805="","",IF(AT805="Y",BM805&amp;"",AZ805&amp;""))</f>
        <v/>
      </c>
      <c r="E805" s="0" t="str">
        <f aca="false">IF($A805="","",IF(AT805="Y",BN805&amp;"",BA805&amp;""))</f>
        <v/>
      </c>
      <c r="F805" s="0" t="str">
        <f aca="false">IF($A805="","",IF(AT805="Y",BO805&amp;"",BB805&amp;""))</f>
        <v/>
      </c>
      <c r="G805" s="0" t="str">
        <f aca="false">IF($A805="","",IF(AT805="Y",BP805&amp;"",BC805&amp;""))</f>
        <v/>
      </c>
      <c r="H805" s="0" t="str">
        <f aca="false">IF($A805="","",IF(AT805="Y",BQ805&amp;"",BD805&amp;""))</f>
        <v/>
      </c>
      <c r="I805" s="0" t="str">
        <f aca="false">IF($A805="","",IF(R805="Y","warm-intro",IF(H805="verified","email",IF(C805&lt;&gt;"","linkedin",CA805&amp;""))))</f>
        <v/>
      </c>
      <c r="J805" s="0" t="str">
        <f aca="false">IF($A805="","",IF(CK805="pass",ROUND(N(DO805)+N(DP805)+N(DQ805)+N(DR805)+N(DS805)+N(DT805)+N(DU805)+N(DV805),0),0))</f>
        <v/>
      </c>
      <c r="K805" s="0" t="str">
        <f aca="false">IF($A805="","",IF(CK805&lt;&gt;"pass",BY805&amp;"",BY805&amp;", "&amp;IF(AT805="Y",BX805&amp;"",BK805&amp;"")&amp;BZ805&amp;IF(R805="Y","; known to the founder (+10)","")&amp;"."))</f>
        <v/>
      </c>
      <c r="R805" s="5"/>
      <c r="T805" s="5"/>
      <c r="U805" s="5"/>
      <c r="Y805" s="0" t="str">
        <f aca="false">IF(FA805&lt;&gt;"Y","",COUNTIFS($FA$2:$FA$1000,"Y",$J$2:$J$1000,"&gt;"&amp;J805)+COUNTIFS($FA$2:$FA$1000,"Y",$J$2:$J$1000,J805,$FG$2:$FG$1000,"&lt;"&amp;FG805)+1)</f>
        <v/>
      </c>
      <c r="AB805" s="0" t="str">
        <f aca="false">IF($A805="","",IF(AT805="Y",BW805&amp;"",BJ805&amp;""))</f>
        <v/>
      </c>
      <c r="AC805" s="0" t="str">
        <f aca="false">IF($A805="","",IF(AT805="Y",BR805&amp;"",BE805&amp;""))</f>
        <v/>
      </c>
      <c r="AD805" s="0" t="str">
        <f aca="false">IF($A805="","",IF(AT805="Y",BS805&amp;"",BF805&amp;""))</f>
        <v/>
      </c>
      <c r="AE805" s="0" t="str">
        <f aca="false">IF($A805="","",IF(AT805="Y",BT805&amp;"",BG805&amp;""))</f>
        <v/>
      </c>
      <c r="AF805" s="0" t="str">
        <f aca="false">IF($A805="","",IF(AT805="Y",BU805&amp;"",BH805&amp;""))</f>
        <v/>
      </c>
      <c r="AG805" s="0" t="str">
        <f aca="false">IF($A805="","",IF(AT805="Y",BV805&amp;"",BI805&amp;""))</f>
        <v/>
      </c>
      <c r="AO805" s="5"/>
      <c r="AR805" s="0" t="str">
        <f aca="false">IF($A805="","",IF(AND(CK805="pass",AO805&lt;&gt;"Y",C805&lt;&gt;"",OR(AU805&lt;&gt;"Y",AV805="Y")),"Y","N"))</f>
        <v/>
      </c>
      <c r="AS805" s="0" t="str">
        <f aca="false">IF($A805="","",_xlfn.TEXTJOIN("; ",TRUE(),IF(CK805&lt;&gt;"pass","gated out",""),IF(AO805="Y","on hold: "&amp;AP805,""),IF(C805="","no contact named on an opened page",""),IF(AND(AU805="Y",AV805&lt;&gt;"Y"),"founder review pending (Founder review tab)","")))</f>
        <v/>
      </c>
      <c r="BC805" s="0" t="str">
        <f aca="false">IF($A805="","",IFERROR(INDEX(Enrichment!$A$2:$GZ$2000,MATCH($A805,INDEX(Enrichment!$A$2:$GZ$2000,0,MATCH("row_id",Enrichment!$A$1:$GZ$1,0)),0),MATCH("work_email",Enrichment!$A$1:$GZ$1,0))&amp;"",""))</f>
        <v/>
      </c>
      <c r="BD805" s="0" t="str">
        <f aca="false">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P805" s="0" t="str">
        <f aca="false">IF($A805="","",IFERROR(INDEX(Enrichment!$A$2:$GZ$2000,MATCH($A805,INDEX(Enrichment!$A$2:$GZ$2000,0,MATCH("row_id",Enrichment!$A$1:$GZ$1,0)),0),MATCH("backup_work_email",Enrichment!$A$1:$GZ$1,0))&amp;"",""))</f>
        <v/>
      </c>
      <c r="BQ805" s="0" t="str">
        <f aca="false">IF($A805="","",IF(BP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DU805" s="0" t="str">
        <f aca="false">IF($A805="","",IF(R805="Y",10,0))</f>
        <v/>
      </c>
      <c r="EV805" s="0" t="str">
        <f aca="false">IF($A805="","",IF(ISNUMBER(MATCH(U805,{"queued","contacted","replied","call_booked","call_done","yes_in_principle","materials_sent"},0)),"Y","N"))</f>
        <v/>
      </c>
      <c r="EW805" s="0" t="str">
        <f aca="false">IF($A805="","",IF(OR(T805="Y",U805="do_not_contact",AQ805&amp;""&lt;&gt;""),"Y","N"))</f>
        <v/>
      </c>
      <c r="EX805" s="0" t="str">
        <f aca="false">IF($A805="","",IF(AN805&amp;""&lt;&gt;"",AN805&amp;"",$A805))</f>
        <v/>
      </c>
      <c r="EY805" s="0" t="str">
        <f aca="false">IF($A805="","",IF(COUNTIFS($EX$2:$EX$1000,EX805,$EV$2:$EV$1000,"Y")+COUNTIFS($EX$2:$EX$1000,EX805,$EW$2:$EW$1000,"Y")&gt;0,"Y","N"))</f>
        <v/>
      </c>
      <c r="EZ805" s="0" t="str">
        <f aca="false">IF($A805="","",IF(AND(U805="new",T805="N",EW805="N",AR805="Y",EY805="N"),"Y","N"))</f>
        <v/>
      </c>
      <c r="FA805" s="0" t="str">
        <f aca="false">IF($A805="","",IF(EZ805&lt;&gt;"Y","N",IF(COUNTIFS($EX$2:$EX$1000,EX805,$EZ$2:$EZ$1000,"Y",$J$2:$J$1000,"&gt;"&amp;J805)+COUNTIFS($EX$2:$EX$1000,EX805,$EZ$2:$EZ$1000,"Y",$J$2:$J$1000,J805,$FG$2:$FG$1000,"&lt;"&amp;FG805)=0,"Y","N")))</f>
        <v/>
      </c>
      <c r="FB805" s="0" t="str">
        <f aca="false">IF($A805="","",IF(AND(EZ805="Y",FA805="Y",Y805&amp;""&lt;&gt;""),IF(Y805&lt;=10,"Y","N"),"N"))</f>
        <v/>
      </c>
      <c r="FC805" s="0" t="str">
        <f aca="false">IF(FB805="Y",Y805,"")</f>
        <v/>
      </c>
      <c r="FD805" s="0" t="str">
        <f aca="false">IF($A805="","",IF(AND(CK805="pass",AU805="Y",AV805&lt;&gt;"Y",U805="new",EW805="N"),"Y","N"))</f>
        <v/>
      </c>
      <c r="FE805" s="0" t="str">
        <f aca="false">IF(FD805&lt;&gt;"Y","",IF(COUNTIFS($FD$2:$FD$1000,"Y",$J$2:$J$1000,"&gt;"&amp;J805)+COUNTIFS($FD$2:$FD$1000,"Y",$J$2:$J$1000,J805,$FG$2:$FG$1000,"&lt;"&amp;FG805)+1&lt;=30,COUNTIFS($FD$2:$FD$1000,"Y",$J$2:$J$1000,"&gt;"&amp;J805)+COUNTIFS($FD$2:$FD$1000,"Y",$J$2:$J$1000,J805,$FG$2:$FG$1000,"&lt;"&amp;FG805)+1,""))</f>
        <v/>
      </c>
      <c r="FF805" s="0" t="str">
        <f aca="false">IF(AND(_xlfn.ISFORMULA(C805),_xlfn.ISFORMULA(J805)),"Y","N")</f>
        <v>Y</v>
      </c>
      <c r="FG805" s="0" t="n">
        <f aca="false">ROW()-1</f>
        <v>804</v>
      </c>
    </row>
    <row r="806" customFormat="false" ht="15" hidden="false" customHeight="false" outlineLevel="0" collapsed="false">
      <c r="C806" s="0" t="str">
        <f aca="false">IF($A806="","",IF(AT806="Y",BL806&amp;"",AY806&amp;""))</f>
        <v/>
      </c>
      <c r="D806" s="0" t="str">
        <f aca="false">IF($A806="","",IF(AT806="Y",BM806&amp;"",AZ806&amp;""))</f>
        <v/>
      </c>
      <c r="E806" s="0" t="str">
        <f aca="false">IF($A806="","",IF(AT806="Y",BN806&amp;"",BA806&amp;""))</f>
        <v/>
      </c>
      <c r="F806" s="0" t="str">
        <f aca="false">IF($A806="","",IF(AT806="Y",BO806&amp;"",BB806&amp;""))</f>
        <v/>
      </c>
      <c r="G806" s="0" t="str">
        <f aca="false">IF($A806="","",IF(AT806="Y",BP806&amp;"",BC806&amp;""))</f>
        <v/>
      </c>
      <c r="H806" s="0" t="str">
        <f aca="false">IF($A806="","",IF(AT806="Y",BQ806&amp;"",BD806&amp;""))</f>
        <v/>
      </c>
      <c r="I806" s="0" t="str">
        <f aca="false">IF($A806="","",IF(R806="Y","warm-intro",IF(H806="verified","email",IF(C806&lt;&gt;"","linkedin",CA806&amp;""))))</f>
        <v/>
      </c>
      <c r="J806" s="0" t="str">
        <f aca="false">IF($A806="","",IF(CK806="pass",ROUND(N(DO806)+N(DP806)+N(DQ806)+N(DR806)+N(DS806)+N(DT806)+N(DU806)+N(DV806),0),0))</f>
        <v/>
      </c>
      <c r="K806" s="0" t="str">
        <f aca="false">IF($A806="","",IF(CK806&lt;&gt;"pass",BY806&amp;"",BY806&amp;", "&amp;IF(AT806="Y",BX806&amp;"",BK806&amp;"")&amp;BZ806&amp;IF(R806="Y","; known to the founder (+10)","")&amp;"."))</f>
        <v/>
      </c>
      <c r="R806" s="5"/>
      <c r="T806" s="5"/>
      <c r="U806" s="5"/>
      <c r="Y806" s="0" t="str">
        <f aca="false">IF(FA806&lt;&gt;"Y","",COUNTIFS($FA$2:$FA$1000,"Y",$J$2:$J$1000,"&gt;"&amp;J806)+COUNTIFS($FA$2:$FA$1000,"Y",$J$2:$J$1000,J806,$FG$2:$FG$1000,"&lt;"&amp;FG806)+1)</f>
        <v/>
      </c>
      <c r="AB806" s="0" t="str">
        <f aca="false">IF($A806="","",IF(AT806="Y",BW806&amp;"",BJ806&amp;""))</f>
        <v/>
      </c>
      <c r="AC806" s="0" t="str">
        <f aca="false">IF($A806="","",IF(AT806="Y",BR806&amp;"",BE806&amp;""))</f>
        <v/>
      </c>
      <c r="AD806" s="0" t="str">
        <f aca="false">IF($A806="","",IF(AT806="Y",BS806&amp;"",BF806&amp;""))</f>
        <v/>
      </c>
      <c r="AE806" s="0" t="str">
        <f aca="false">IF($A806="","",IF(AT806="Y",BT806&amp;"",BG806&amp;""))</f>
        <v/>
      </c>
      <c r="AF806" s="0" t="str">
        <f aca="false">IF($A806="","",IF(AT806="Y",BU806&amp;"",BH806&amp;""))</f>
        <v/>
      </c>
      <c r="AG806" s="0" t="str">
        <f aca="false">IF($A806="","",IF(AT806="Y",BV806&amp;"",BI806&amp;""))</f>
        <v/>
      </c>
      <c r="AO806" s="5"/>
      <c r="AR806" s="0" t="str">
        <f aca="false">IF($A806="","",IF(AND(CK806="pass",AO806&lt;&gt;"Y",C806&lt;&gt;"",OR(AU806&lt;&gt;"Y",AV806="Y")),"Y","N"))</f>
        <v/>
      </c>
      <c r="AS806" s="0" t="str">
        <f aca="false">IF($A806="","",_xlfn.TEXTJOIN("; ",TRUE(),IF(CK806&lt;&gt;"pass","gated out",""),IF(AO806="Y","on hold: "&amp;AP806,""),IF(C806="","no contact named on an opened page",""),IF(AND(AU806="Y",AV806&lt;&gt;"Y"),"founder review pending (Founder review tab)","")))</f>
        <v/>
      </c>
      <c r="BC806" s="0" t="str">
        <f aca="false">IF($A806="","",IFERROR(INDEX(Enrichment!$A$2:$GZ$2000,MATCH($A806,INDEX(Enrichment!$A$2:$GZ$2000,0,MATCH("row_id",Enrichment!$A$1:$GZ$1,0)),0),MATCH("work_email",Enrichment!$A$1:$GZ$1,0))&amp;"",""))</f>
        <v/>
      </c>
      <c r="BD806" s="0" t="str">
        <f aca="false">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P806" s="0" t="str">
        <f aca="false">IF($A806="","",IFERROR(INDEX(Enrichment!$A$2:$GZ$2000,MATCH($A806,INDEX(Enrichment!$A$2:$GZ$2000,0,MATCH("row_id",Enrichment!$A$1:$GZ$1,0)),0),MATCH("backup_work_email",Enrichment!$A$1:$GZ$1,0))&amp;"",""))</f>
        <v/>
      </c>
      <c r="BQ806" s="0" t="str">
        <f aca="false">IF($A806="","",IF(BP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DU806" s="0" t="str">
        <f aca="false">IF($A806="","",IF(R806="Y",10,0))</f>
        <v/>
      </c>
      <c r="EV806" s="0" t="str">
        <f aca="false">IF($A806="","",IF(ISNUMBER(MATCH(U806,{"queued","contacted","replied","call_booked","call_done","yes_in_principle","materials_sent"},0)),"Y","N"))</f>
        <v/>
      </c>
      <c r="EW806" s="0" t="str">
        <f aca="false">IF($A806="","",IF(OR(T806="Y",U806="do_not_contact",AQ806&amp;""&lt;&gt;""),"Y","N"))</f>
        <v/>
      </c>
      <c r="EX806" s="0" t="str">
        <f aca="false">IF($A806="","",IF(AN806&amp;""&lt;&gt;"",AN806&amp;"",$A806))</f>
        <v/>
      </c>
      <c r="EY806" s="0" t="str">
        <f aca="false">IF($A806="","",IF(COUNTIFS($EX$2:$EX$1000,EX806,$EV$2:$EV$1000,"Y")+COUNTIFS($EX$2:$EX$1000,EX806,$EW$2:$EW$1000,"Y")&gt;0,"Y","N"))</f>
        <v/>
      </c>
      <c r="EZ806" s="0" t="str">
        <f aca="false">IF($A806="","",IF(AND(U806="new",T806="N",EW806="N",AR806="Y",EY806="N"),"Y","N"))</f>
        <v/>
      </c>
      <c r="FA806" s="0" t="str">
        <f aca="false">IF($A806="","",IF(EZ806&lt;&gt;"Y","N",IF(COUNTIFS($EX$2:$EX$1000,EX806,$EZ$2:$EZ$1000,"Y",$J$2:$J$1000,"&gt;"&amp;J806)+COUNTIFS($EX$2:$EX$1000,EX806,$EZ$2:$EZ$1000,"Y",$J$2:$J$1000,J806,$FG$2:$FG$1000,"&lt;"&amp;FG806)=0,"Y","N")))</f>
        <v/>
      </c>
      <c r="FB806" s="0" t="str">
        <f aca="false">IF($A806="","",IF(AND(EZ806="Y",FA806="Y",Y806&amp;""&lt;&gt;""),IF(Y806&lt;=10,"Y","N"),"N"))</f>
        <v/>
      </c>
      <c r="FC806" s="0" t="str">
        <f aca="false">IF(FB806="Y",Y806,"")</f>
        <v/>
      </c>
      <c r="FD806" s="0" t="str">
        <f aca="false">IF($A806="","",IF(AND(CK806="pass",AU806="Y",AV806&lt;&gt;"Y",U806="new",EW806="N"),"Y","N"))</f>
        <v/>
      </c>
      <c r="FE806" s="0" t="str">
        <f aca="false">IF(FD806&lt;&gt;"Y","",IF(COUNTIFS($FD$2:$FD$1000,"Y",$J$2:$J$1000,"&gt;"&amp;J806)+COUNTIFS($FD$2:$FD$1000,"Y",$J$2:$J$1000,J806,$FG$2:$FG$1000,"&lt;"&amp;FG806)+1&lt;=30,COUNTIFS($FD$2:$FD$1000,"Y",$J$2:$J$1000,"&gt;"&amp;J806)+COUNTIFS($FD$2:$FD$1000,"Y",$J$2:$J$1000,J806,$FG$2:$FG$1000,"&lt;"&amp;FG806)+1,""))</f>
        <v/>
      </c>
      <c r="FF806" s="0" t="str">
        <f aca="false">IF(AND(_xlfn.ISFORMULA(C806),_xlfn.ISFORMULA(J806)),"Y","N")</f>
        <v>Y</v>
      </c>
      <c r="FG806" s="0" t="n">
        <f aca="false">ROW()-1</f>
        <v>805</v>
      </c>
    </row>
    <row r="807" customFormat="false" ht="15" hidden="false" customHeight="false" outlineLevel="0" collapsed="false">
      <c r="C807" s="0" t="str">
        <f aca="false">IF($A807="","",IF(AT807="Y",BL807&amp;"",AY807&amp;""))</f>
        <v/>
      </c>
      <c r="D807" s="0" t="str">
        <f aca="false">IF($A807="","",IF(AT807="Y",BM807&amp;"",AZ807&amp;""))</f>
        <v/>
      </c>
      <c r="E807" s="0" t="str">
        <f aca="false">IF($A807="","",IF(AT807="Y",BN807&amp;"",BA807&amp;""))</f>
        <v/>
      </c>
      <c r="F807" s="0" t="str">
        <f aca="false">IF($A807="","",IF(AT807="Y",BO807&amp;"",BB807&amp;""))</f>
        <v/>
      </c>
      <c r="G807" s="0" t="str">
        <f aca="false">IF($A807="","",IF(AT807="Y",BP807&amp;"",BC807&amp;""))</f>
        <v/>
      </c>
      <c r="H807" s="0" t="str">
        <f aca="false">IF($A807="","",IF(AT807="Y",BQ807&amp;"",BD807&amp;""))</f>
        <v/>
      </c>
      <c r="I807" s="0" t="str">
        <f aca="false">IF($A807="","",IF(R807="Y","warm-intro",IF(H807="verified","email",IF(C807&lt;&gt;"","linkedin",CA807&amp;""))))</f>
        <v/>
      </c>
      <c r="J807" s="0" t="str">
        <f aca="false">IF($A807="","",IF(CK807="pass",ROUND(N(DO807)+N(DP807)+N(DQ807)+N(DR807)+N(DS807)+N(DT807)+N(DU807)+N(DV807),0),0))</f>
        <v/>
      </c>
      <c r="K807" s="0" t="str">
        <f aca="false">IF($A807="","",IF(CK807&lt;&gt;"pass",BY807&amp;"",BY807&amp;", "&amp;IF(AT807="Y",BX807&amp;"",BK807&amp;"")&amp;BZ807&amp;IF(R807="Y","; known to the founder (+10)","")&amp;"."))</f>
        <v/>
      </c>
      <c r="R807" s="5"/>
      <c r="T807" s="5"/>
      <c r="U807" s="5"/>
      <c r="Y807" s="0" t="str">
        <f aca="false">IF(FA807&lt;&gt;"Y","",COUNTIFS($FA$2:$FA$1000,"Y",$J$2:$J$1000,"&gt;"&amp;J807)+COUNTIFS($FA$2:$FA$1000,"Y",$J$2:$J$1000,J807,$FG$2:$FG$1000,"&lt;"&amp;FG807)+1)</f>
        <v/>
      </c>
      <c r="AB807" s="0" t="str">
        <f aca="false">IF($A807="","",IF(AT807="Y",BW807&amp;"",BJ807&amp;""))</f>
        <v/>
      </c>
      <c r="AC807" s="0" t="str">
        <f aca="false">IF($A807="","",IF(AT807="Y",BR807&amp;"",BE807&amp;""))</f>
        <v/>
      </c>
      <c r="AD807" s="0" t="str">
        <f aca="false">IF($A807="","",IF(AT807="Y",BS807&amp;"",BF807&amp;""))</f>
        <v/>
      </c>
      <c r="AE807" s="0" t="str">
        <f aca="false">IF($A807="","",IF(AT807="Y",BT807&amp;"",BG807&amp;""))</f>
        <v/>
      </c>
      <c r="AF807" s="0" t="str">
        <f aca="false">IF($A807="","",IF(AT807="Y",BU807&amp;"",BH807&amp;""))</f>
        <v/>
      </c>
      <c r="AG807" s="0" t="str">
        <f aca="false">IF($A807="","",IF(AT807="Y",BV807&amp;"",BI807&amp;""))</f>
        <v/>
      </c>
      <c r="AO807" s="5"/>
      <c r="AR807" s="0" t="str">
        <f aca="false">IF($A807="","",IF(AND(CK807="pass",AO807&lt;&gt;"Y",C807&lt;&gt;"",OR(AU807&lt;&gt;"Y",AV807="Y")),"Y","N"))</f>
        <v/>
      </c>
      <c r="AS807" s="0" t="str">
        <f aca="false">IF($A807="","",_xlfn.TEXTJOIN("; ",TRUE(),IF(CK807&lt;&gt;"pass","gated out",""),IF(AO807="Y","on hold: "&amp;AP807,""),IF(C807="","no contact named on an opened page",""),IF(AND(AU807="Y",AV807&lt;&gt;"Y"),"founder review pending (Founder review tab)","")))</f>
        <v/>
      </c>
      <c r="BC807" s="0" t="str">
        <f aca="false">IF($A807="","",IFERROR(INDEX(Enrichment!$A$2:$GZ$2000,MATCH($A807,INDEX(Enrichment!$A$2:$GZ$2000,0,MATCH("row_id",Enrichment!$A$1:$GZ$1,0)),0),MATCH("work_email",Enrichment!$A$1:$GZ$1,0))&amp;"",""))</f>
        <v/>
      </c>
      <c r="BD807" s="0" t="str">
        <f aca="false">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P807" s="0" t="str">
        <f aca="false">IF($A807="","",IFERROR(INDEX(Enrichment!$A$2:$GZ$2000,MATCH($A807,INDEX(Enrichment!$A$2:$GZ$2000,0,MATCH("row_id",Enrichment!$A$1:$GZ$1,0)),0),MATCH("backup_work_email",Enrichment!$A$1:$GZ$1,0))&amp;"",""))</f>
        <v/>
      </c>
      <c r="BQ807" s="0" t="str">
        <f aca="false">IF($A807="","",IF(BP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DU807" s="0" t="str">
        <f aca="false">IF($A807="","",IF(R807="Y",10,0))</f>
        <v/>
      </c>
      <c r="EV807" s="0" t="str">
        <f aca="false">IF($A807="","",IF(ISNUMBER(MATCH(U807,{"queued","contacted","replied","call_booked","call_done","yes_in_principle","materials_sent"},0)),"Y","N"))</f>
        <v/>
      </c>
      <c r="EW807" s="0" t="str">
        <f aca="false">IF($A807="","",IF(OR(T807="Y",U807="do_not_contact",AQ807&amp;""&lt;&gt;""),"Y","N"))</f>
        <v/>
      </c>
      <c r="EX807" s="0" t="str">
        <f aca="false">IF($A807="","",IF(AN807&amp;""&lt;&gt;"",AN807&amp;"",$A807))</f>
        <v/>
      </c>
      <c r="EY807" s="0" t="str">
        <f aca="false">IF($A807="","",IF(COUNTIFS($EX$2:$EX$1000,EX807,$EV$2:$EV$1000,"Y")+COUNTIFS($EX$2:$EX$1000,EX807,$EW$2:$EW$1000,"Y")&gt;0,"Y","N"))</f>
        <v/>
      </c>
      <c r="EZ807" s="0" t="str">
        <f aca="false">IF($A807="","",IF(AND(U807="new",T807="N",EW807="N",AR807="Y",EY807="N"),"Y","N"))</f>
        <v/>
      </c>
      <c r="FA807" s="0" t="str">
        <f aca="false">IF($A807="","",IF(EZ807&lt;&gt;"Y","N",IF(COUNTIFS($EX$2:$EX$1000,EX807,$EZ$2:$EZ$1000,"Y",$J$2:$J$1000,"&gt;"&amp;J807)+COUNTIFS($EX$2:$EX$1000,EX807,$EZ$2:$EZ$1000,"Y",$J$2:$J$1000,J807,$FG$2:$FG$1000,"&lt;"&amp;FG807)=0,"Y","N")))</f>
        <v/>
      </c>
      <c r="FB807" s="0" t="str">
        <f aca="false">IF($A807="","",IF(AND(EZ807="Y",FA807="Y",Y807&amp;""&lt;&gt;""),IF(Y807&lt;=10,"Y","N"),"N"))</f>
        <v/>
      </c>
      <c r="FC807" s="0" t="str">
        <f aca="false">IF(FB807="Y",Y807,"")</f>
        <v/>
      </c>
      <c r="FD807" s="0" t="str">
        <f aca="false">IF($A807="","",IF(AND(CK807="pass",AU807="Y",AV807&lt;&gt;"Y",U807="new",EW807="N"),"Y","N"))</f>
        <v/>
      </c>
      <c r="FE807" s="0" t="str">
        <f aca="false">IF(FD807&lt;&gt;"Y","",IF(COUNTIFS($FD$2:$FD$1000,"Y",$J$2:$J$1000,"&gt;"&amp;J807)+COUNTIFS($FD$2:$FD$1000,"Y",$J$2:$J$1000,J807,$FG$2:$FG$1000,"&lt;"&amp;FG807)+1&lt;=30,COUNTIFS($FD$2:$FD$1000,"Y",$J$2:$J$1000,"&gt;"&amp;J807)+COUNTIFS($FD$2:$FD$1000,"Y",$J$2:$J$1000,J807,$FG$2:$FG$1000,"&lt;"&amp;FG807)+1,""))</f>
        <v/>
      </c>
      <c r="FF807" s="0" t="str">
        <f aca="false">IF(AND(_xlfn.ISFORMULA(C807),_xlfn.ISFORMULA(J807)),"Y","N")</f>
        <v>Y</v>
      </c>
      <c r="FG807" s="0" t="n">
        <f aca="false">ROW()-1</f>
        <v>806</v>
      </c>
    </row>
    <row r="808" customFormat="false" ht="15" hidden="false" customHeight="false" outlineLevel="0" collapsed="false">
      <c r="C808" s="0" t="str">
        <f aca="false">IF($A808="","",IF(AT808="Y",BL808&amp;"",AY808&amp;""))</f>
        <v/>
      </c>
      <c r="D808" s="0" t="str">
        <f aca="false">IF($A808="","",IF(AT808="Y",BM808&amp;"",AZ808&amp;""))</f>
        <v/>
      </c>
      <c r="E808" s="0" t="str">
        <f aca="false">IF($A808="","",IF(AT808="Y",BN808&amp;"",BA808&amp;""))</f>
        <v/>
      </c>
      <c r="F808" s="0" t="str">
        <f aca="false">IF($A808="","",IF(AT808="Y",BO808&amp;"",BB808&amp;""))</f>
        <v/>
      </c>
      <c r="G808" s="0" t="str">
        <f aca="false">IF($A808="","",IF(AT808="Y",BP808&amp;"",BC808&amp;""))</f>
        <v/>
      </c>
      <c r="H808" s="0" t="str">
        <f aca="false">IF($A808="","",IF(AT808="Y",BQ808&amp;"",BD808&amp;""))</f>
        <v/>
      </c>
      <c r="I808" s="0" t="str">
        <f aca="false">IF($A808="","",IF(R808="Y","warm-intro",IF(H808="verified","email",IF(C808&lt;&gt;"","linkedin",CA808&amp;""))))</f>
        <v/>
      </c>
      <c r="J808" s="0" t="str">
        <f aca="false">IF($A808="","",IF(CK808="pass",ROUND(N(DO808)+N(DP808)+N(DQ808)+N(DR808)+N(DS808)+N(DT808)+N(DU808)+N(DV808),0),0))</f>
        <v/>
      </c>
      <c r="K808" s="0" t="str">
        <f aca="false">IF($A808="","",IF(CK808&lt;&gt;"pass",BY808&amp;"",BY808&amp;", "&amp;IF(AT808="Y",BX808&amp;"",BK808&amp;"")&amp;BZ808&amp;IF(R808="Y","; known to the founder (+10)","")&amp;"."))</f>
        <v/>
      </c>
      <c r="R808" s="5"/>
      <c r="T808" s="5"/>
      <c r="U808" s="5"/>
      <c r="Y808" s="0" t="str">
        <f aca="false">IF(FA808&lt;&gt;"Y","",COUNTIFS($FA$2:$FA$1000,"Y",$J$2:$J$1000,"&gt;"&amp;J808)+COUNTIFS($FA$2:$FA$1000,"Y",$J$2:$J$1000,J808,$FG$2:$FG$1000,"&lt;"&amp;FG808)+1)</f>
        <v/>
      </c>
      <c r="AB808" s="0" t="str">
        <f aca="false">IF($A808="","",IF(AT808="Y",BW808&amp;"",BJ808&amp;""))</f>
        <v/>
      </c>
      <c r="AC808" s="0" t="str">
        <f aca="false">IF($A808="","",IF(AT808="Y",BR808&amp;"",BE808&amp;""))</f>
        <v/>
      </c>
      <c r="AD808" s="0" t="str">
        <f aca="false">IF($A808="","",IF(AT808="Y",BS808&amp;"",BF808&amp;""))</f>
        <v/>
      </c>
      <c r="AE808" s="0" t="str">
        <f aca="false">IF($A808="","",IF(AT808="Y",BT808&amp;"",BG808&amp;""))</f>
        <v/>
      </c>
      <c r="AF808" s="0" t="str">
        <f aca="false">IF($A808="","",IF(AT808="Y",BU808&amp;"",BH808&amp;""))</f>
        <v/>
      </c>
      <c r="AG808" s="0" t="str">
        <f aca="false">IF($A808="","",IF(AT808="Y",BV808&amp;"",BI808&amp;""))</f>
        <v/>
      </c>
      <c r="AO808" s="5"/>
      <c r="AR808" s="0" t="str">
        <f aca="false">IF($A808="","",IF(AND(CK808="pass",AO808&lt;&gt;"Y",C808&lt;&gt;"",OR(AU808&lt;&gt;"Y",AV808="Y")),"Y","N"))</f>
        <v/>
      </c>
      <c r="AS808" s="0" t="str">
        <f aca="false">IF($A808="","",_xlfn.TEXTJOIN("; ",TRUE(),IF(CK808&lt;&gt;"pass","gated out",""),IF(AO808="Y","on hold: "&amp;AP808,""),IF(C808="","no contact named on an opened page",""),IF(AND(AU808="Y",AV808&lt;&gt;"Y"),"founder review pending (Founder review tab)","")))</f>
        <v/>
      </c>
      <c r="BC808" s="0" t="str">
        <f aca="false">IF($A808="","",IFERROR(INDEX(Enrichment!$A$2:$GZ$2000,MATCH($A808,INDEX(Enrichment!$A$2:$GZ$2000,0,MATCH("row_id",Enrichment!$A$1:$GZ$1,0)),0),MATCH("work_email",Enrichment!$A$1:$GZ$1,0))&amp;"",""))</f>
        <v/>
      </c>
      <c r="BD808" s="0" t="str">
        <f aca="false">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P808" s="0" t="str">
        <f aca="false">IF($A808="","",IFERROR(INDEX(Enrichment!$A$2:$GZ$2000,MATCH($A808,INDEX(Enrichment!$A$2:$GZ$2000,0,MATCH("row_id",Enrichment!$A$1:$GZ$1,0)),0),MATCH("backup_work_email",Enrichment!$A$1:$GZ$1,0))&amp;"",""))</f>
        <v/>
      </c>
      <c r="BQ808" s="0" t="str">
        <f aca="false">IF($A808="","",IF(BP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DU808" s="0" t="str">
        <f aca="false">IF($A808="","",IF(R808="Y",10,0))</f>
        <v/>
      </c>
      <c r="EV808" s="0" t="str">
        <f aca="false">IF($A808="","",IF(ISNUMBER(MATCH(U808,{"queued","contacted","replied","call_booked","call_done","yes_in_principle","materials_sent"},0)),"Y","N"))</f>
        <v/>
      </c>
      <c r="EW808" s="0" t="str">
        <f aca="false">IF($A808="","",IF(OR(T808="Y",U808="do_not_contact",AQ808&amp;""&lt;&gt;""),"Y","N"))</f>
        <v/>
      </c>
      <c r="EX808" s="0" t="str">
        <f aca="false">IF($A808="","",IF(AN808&amp;""&lt;&gt;"",AN808&amp;"",$A808))</f>
        <v/>
      </c>
      <c r="EY808" s="0" t="str">
        <f aca="false">IF($A808="","",IF(COUNTIFS($EX$2:$EX$1000,EX808,$EV$2:$EV$1000,"Y")+COUNTIFS($EX$2:$EX$1000,EX808,$EW$2:$EW$1000,"Y")&gt;0,"Y","N"))</f>
        <v/>
      </c>
      <c r="EZ808" s="0" t="str">
        <f aca="false">IF($A808="","",IF(AND(U808="new",T808="N",EW808="N",AR808="Y",EY808="N"),"Y","N"))</f>
        <v/>
      </c>
      <c r="FA808" s="0" t="str">
        <f aca="false">IF($A808="","",IF(EZ808&lt;&gt;"Y","N",IF(COUNTIFS($EX$2:$EX$1000,EX808,$EZ$2:$EZ$1000,"Y",$J$2:$J$1000,"&gt;"&amp;J808)+COUNTIFS($EX$2:$EX$1000,EX808,$EZ$2:$EZ$1000,"Y",$J$2:$J$1000,J808,$FG$2:$FG$1000,"&lt;"&amp;FG808)=0,"Y","N")))</f>
        <v/>
      </c>
      <c r="FB808" s="0" t="str">
        <f aca="false">IF($A808="","",IF(AND(EZ808="Y",FA808="Y",Y808&amp;""&lt;&gt;""),IF(Y808&lt;=10,"Y","N"),"N"))</f>
        <v/>
      </c>
      <c r="FC808" s="0" t="str">
        <f aca="false">IF(FB808="Y",Y808,"")</f>
        <v/>
      </c>
      <c r="FD808" s="0" t="str">
        <f aca="false">IF($A808="","",IF(AND(CK808="pass",AU808="Y",AV808&lt;&gt;"Y",U808="new",EW808="N"),"Y","N"))</f>
        <v/>
      </c>
      <c r="FE808" s="0" t="str">
        <f aca="false">IF(FD808&lt;&gt;"Y","",IF(COUNTIFS($FD$2:$FD$1000,"Y",$J$2:$J$1000,"&gt;"&amp;J808)+COUNTIFS($FD$2:$FD$1000,"Y",$J$2:$J$1000,J808,$FG$2:$FG$1000,"&lt;"&amp;FG808)+1&lt;=30,COUNTIFS($FD$2:$FD$1000,"Y",$J$2:$J$1000,"&gt;"&amp;J808)+COUNTIFS($FD$2:$FD$1000,"Y",$J$2:$J$1000,J808,$FG$2:$FG$1000,"&lt;"&amp;FG808)+1,""))</f>
        <v/>
      </c>
      <c r="FF808" s="0" t="str">
        <f aca="false">IF(AND(_xlfn.ISFORMULA(C808),_xlfn.ISFORMULA(J808)),"Y","N")</f>
        <v>Y</v>
      </c>
      <c r="FG808" s="0" t="n">
        <f aca="false">ROW()-1</f>
        <v>807</v>
      </c>
    </row>
    <row r="809" customFormat="false" ht="15" hidden="false" customHeight="false" outlineLevel="0" collapsed="false">
      <c r="C809" s="0" t="str">
        <f aca="false">IF($A809="","",IF(AT809="Y",BL809&amp;"",AY809&amp;""))</f>
        <v/>
      </c>
      <c r="D809" s="0" t="str">
        <f aca="false">IF($A809="","",IF(AT809="Y",BM809&amp;"",AZ809&amp;""))</f>
        <v/>
      </c>
      <c r="E809" s="0" t="str">
        <f aca="false">IF($A809="","",IF(AT809="Y",BN809&amp;"",BA809&amp;""))</f>
        <v/>
      </c>
      <c r="F809" s="0" t="str">
        <f aca="false">IF($A809="","",IF(AT809="Y",BO809&amp;"",BB809&amp;""))</f>
        <v/>
      </c>
      <c r="G809" s="0" t="str">
        <f aca="false">IF($A809="","",IF(AT809="Y",BP809&amp;"",BC809&amp;""))</f>
        <v/>
      </c>
      <c r="H809" s="0" t="str">
        <f aca="false">IF($A809="","",IF(AT809="Y",BQ809&amp;"",BD809&amp;""))</f>
        <v/>
      </c>
      <c r="I809" s="0" t="str">
        <f aca="false">IF($A809="","",IF(R809="Y","warm-intro",IF(H809="verified","email",IF(C809&lt;&gt;"","linkedin",CA809&amp;""))))</f>
        <v/>
      </c>
      <c r="J809" s="0" t="str">
        <f aca="false">IF($A809="","",IF(CK809="pass",ROUND(N(DO809)+N(DP809)+N(DQ809)+N(DR809)+N(DS809)+N(DT809)+N(DU809)+N(DV809),0),0))</f>
        <v/>
      </c>
      <c r="K809" s="0" t="str">
        <f aca="false">IF($A809="","",IF(CK809&lt;&gt;"pass",BY809&amp;"",BY809&amp;", "&amp;IF(AT809="Y",BX809&amp;"",BK809&amp;"")&amp;BZ809&amp;IF(R809="Y","; known to the founder (+10)","")&amp;"."))</f>
        <v/>
      </c>
      <c r="R809" s="5"/>
      <c r="T809" s="5"/>
      <c r="U809" s="5"/>
      <c r="Y809" s="0" t="str">
        <f aca="false">IF(FA809&lt;&gt;"Y","",COUNTIFS($FA$2:$FA$1000,"Y",$J$2:$J$1000,"&gt;"&amp;J809)+COUNTIFS($FA$2:$FA$1000,"Y",$J$2:$J$1000,J809,$FG$2:$FG$1000,"&lt;"&amp;FG809)+1)</f>
        <v/>
      </c>
      <c r="AB809" s="0" t="str">
        <f aca="false">IF($A809="","",IF(AT809="Y",BW809&amp;"",BJ809&amp;""))</f>
        <v/>
      </c>
      <c r="AC809" s="0" t="str">
        <f aca="false">IF($A809="","",IF(AT809="Y",BR809&amp;"",BE809&amp;""))</f>
        <v/>
      </c>
      <c r="AD809" s="0" t="str">
        <f aca="false">IF($A809="","",IF(AT809="Y",BS809&amp;"",BF809&amp;""))</f>
        <v/>
      </c>
      <c r="AE809" s="0" t="str">
        <f aca="false">IF($A809="","",IF(AT809="Y",BT809&amp;"",BG809&amp;""))</f>
        <v/>
      </c>
      <c r="AF809" s="0" t="str">
        <f aca="false">IF($A809="","",IF(AT809="Y",BU809&amp;"",BH809&amp;""))</f>
        <v/>
      </c>
      <c r="AG809" s="0" t="str">
        <f aca="false">IF($A809="","",IF(AT809="Y",BV809&amp;"",BI809&amp;""))</f>
        <v/>
      </c>
      <c r="AO809" s="5"/>
      <c r="AR809" s="0" t="str">
        <f aca="false">IF($A809="","",IF(AND(CK809="pass",AO809&lt;&gt;"Y",C809&lt;&gt;"",OR(AU809&lt;&gt;"Y",AV809="Y")),"Y","N"))</f>
        <v/>
      </c>
      <c r="AS809" s="0" t="str">
        <f aca="false">IF($A809="","",_xlfn.TEXTJOIN("; ",TRUE(),IF(CK809&lt;&gt;"pass","gated out",""),IF(AO809="Y","on hold: "&amp;AP809,""),IF(C809="","no contact named on an opened page",""),IF(AND(AU809="Y",AV809&lt;&gt;"Y"),"founder review pending (Founder review tab)","")))</f>
        <v/>
      </c>
      <c r="BC809" s="0" t="str">
        <f aca="false">IF($A809="","",IFERROR(INDEX(Enrichment!$A$2:$GZ$2000,MATCH($A809,INDEX(Enrichment!$A$2:$GZ$2000,0,MATCH("row_id",Enrichment!$A$1:$GZ$1,0)),0),MATCH("work_email",Enrichment!$A$1:$GZ$1,0))&amp;"",""))</f>
        <v/>
      </c>
      <c r="BD809" s="0" t="str">
        <f aca="false">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P809" s="0" t="str">
        <f aca="false">IF($A809="","",IFERROR(INDEX(Enrichment!$A$2:$GZ$2000,MATCH($A809,INDEX(Enrichment!$A$2:$GZ$2000,0,MATCH("row_id",Enrichment!$A$1:$GZ$1,0)),0),MATCH("backup_work_email",Enrichment!$A$1:$GZ$1,0))&amp;"",""))</f>
        <v/>
      </c>
      <c r="BQ809" s="0" t="str">
        <f aca="false">IF($A809="","",IF(BP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DU809" s="0" t="str">
        <f aca="false">IF($A809="","",IF(R809="Y",10,0))</f>
        <v/>
      </c>
      <c r="EV809" s="0" t="str">
        <f aca="false">IF($A809="","",IF(ISNUMBER(MATCH(U809,{"queued","contacted","replied","call_booked","call_done","yes_in_principle","materials_sent"},0)),"Y","N"))</f>
        <v/>
      </c>
      <c r="EW809" s="0" t="str">
        <f aca="false">IF($A809="","",IF(OR(T809="Y",U809="do_not_contact",AQ809&amp;""&lt;&gt;""),"Y","N"))</f>
        <v/>
      </c>
      <c r="EX809" s="0" t="str">
        <f aca="false">IF($A809="","",IF(AN809&amp;""&lt;&gt;"",AN809&amp;"",$A809))</f>
        <v/>
      </c>
      <c r="EY809" s="0" t="str">
        <f aca="false">IF($A809="","",IF(COUNTIFS($EX$2:$EX$1000,EX809,$EV$2:$EV$1000,"Y")+COUNTIFS($EX$2:$EX$1000,EX809,$EW$2:$EW$1000,"Y")&gt;0,"Y","N"))</f>
        <v/>
      </c>
      <c r="EZ809" s="0" t="str">
        <f aca="false">IF($A809="","",IF(AND(U809="new",T809="N",EW809="N",AR809="Y",EY809="N"),"Y","N"))</f>
        <v/>
      </c>
      <c r="FA809" s="0" t="str">
        <f aca="false">IF($A809="","",IF(EZ809&lt;&gt;"Y","N",IF(COUNTIFS($EX$2:$EX$1000,EX809,$EZ$2:$EZ$1000,"Y",$J$2:$J$1000,"&gt;"&amp;J809)+COUNTIFS($EX$2:$EX$1000,EX809,$EZ$2:$EZ$1000,"Y",$J$2:$J$1000,J809,$FG$2:$FG$1000,"&lt;"&amp;FG809)=0,"Y","N")))</f>
        <v/>
      </c>
      <c r="FB809" s="0" t="str">
        <f aca="false">IF($A809="","",IF(AND(EZ809="Y",FA809="Y",Y809&amp;""&lt;&gt;""),IF(Y809&lt;=10,"Y","N"),"N"))</f>
        <v/>
      </c>
      <c r="FC809" s="0" t="str">
        <f aca="false">IF(FB809="Y",Y809,"")</f>
        <v/>
      </c>
      <c r="FD809" s="0" t="str">
        <f aca="false">IF($A809="","",IF(AND(CK809="pass",AU809="Y",AV809&lt;&gt;"Y",U809="new",EW809="N"),"Y","N"))</f>
        <v/>
      </c>
      <c r="FE809" s="0" t="str">
        <f aca="false">IF(FD809&lt;&gt;"Y","",IF(COUNTIFS($FD$2:$FD$1000,"Y",$J$2:$J$1000,"&gt;"&amp;J809)+COUNTIFS($FD$2:$FD$1000,"Y",$J$2:$J$1000,J809,$FG$2:$FG$1000,"&lt;"&amp;FG809)+1&lt;=30,COUNTIFS($FD$2:$FD$1000,"Y",$J$2:$J$1000,"&gt;"&amp;J809)+COUNTIFS($FD$2:$FD$1000,"Y",$J$2:$J$1000,J809,$FG$2:$FG$1000,"&lt;"&amp;FG809)+1,""))</f>
        <v/>
      </c>
      <c r="FF809" s="0" t="str">
        <f aca="false">IF(AND(_xlfn.ISFORMULA(C809),_xlfn.ISFORMULA(J809)),"Y","N")</f>
        <v>Y</v>
      </c>
      <c r="FG809" s="0" t="n">
        <f aca="false">ROW()-1</f>
        <v>808</v>
      </c>
    </row>
    <row r="810" customFormat="false" ht="15" hidden="false" customHeight="false" outlineLevel="0" collapsed="false">
      <c r="C810" s="0" t="str">
        <f aca="false">IF($A810="","",IF(AT810="Y",BL810&amp;"",AY810&amp;""))</f>
        <v/>
      </c>
      <c r="D810" s="0" t="str">
        <f aca="false">IF($A810="","",IF(AT810="Y",BM810&amp;"",AZ810&amp;""))</f>
        <v/>
      </c>
      <c r="E810" s="0" t="str">
        <f aca="false">IF($A810="","",IF(AT810="Y",BN810&amp;"",BA810&amp;""))</f>
        <v/>
      </c>
      <c r="F810" s="0" t="str">
        <f aca="false">IF($A810="","",IF(AT810="Y",BO810&amp;"",BB810&amp;""))</f>
        <v/>
      </c>
      <c r="G810" s="0" t="str">
        <f aca="false">IF($A810="","",IF(AT810="Y",BP810&amp;"",BC810&amp;""))</f>
        <v/>
      </c>
      <c r="H810" s="0" t="str">
        <f aca="false">IF($A810="","",IF(AT810="Y",BQ810&amp;"",BD810&amp;""))</f>
        <v/>
      </c>
      <c r="I810" s="0" t="str">
        <f aca="false">IF($A810="","",IF(R810="Y","warm-intro",IF(H810="verified","email",IF(C810&lt;&gt;"","linkedin",CA810&amp;""))))</f>
        <v/>
      </c>
      <c r="J810" s="0" t="str">
        <f aca="false">IF($A810="","",IF(CK810="pass",ROUND(N(DO810)+N(DP810)+N(DQ810)+N(DR810)+N(DS810)+N(DT810)+N(DU810)+N(DV810),0),0))</f>
        <v/>
      </c>
      <c r="K810" s="0" t="str">
        <f aca="false">IF($A810="","",IF(CK810&lt;&gt;"pass",BY810&amp;"",BY810&amp;", "&amp;IF(AT810="Y",BX810&amp;"",BK810&amp;"")&amp;BZ810&amp;IF(R810="Y","; known to the founder (+10)","")&amp;"."))</f>
        <v/>
      </c>
      <c r="R810" s="5"/>
      <c r="T810" s="5"/>
      <c r="U810" s="5"/>
      <c r="Y810" s="0" t="str">
        <f aca="false">IF(FA810&lt;&gt;"Y","",COUNTIFS($FA$2:$FA$1000,"Y",$J$2:$J$1000,"&gt;"&amp;J810)+COUNTIFS($FA$2:$FA$1000,"Y",$J$2:$J$1000,J810,$FG$2:$FG$1000,"&lt;"&amp;FG810)+1)</f>
        <v/>
      </c>
      <c r="AB810" s="0" t="str">
        <f aca="false">IF($A810="","",IF(AT810="Y",BW810&amp;"",BJ810&amp;""))</f>
        <v/>
      </c>
      <c r="AC810" s="0" t="str">
        <f aca="false">IF($A810="","",IF(AT810="Y",BR810&amp;"",BE810&amp;""))</f>
        <v/>
      </c>
      <c r="AD810" s="0" t="str">
        <f aca="false">IF($A810="","",IF(AT810="Y",BS810&amp;"",BF810&amp;""))</f>
        <v/>
      </c>
      <c r="AE810" s="0" t="str">
        <f aca="false">IF($A810="","",IF(AT810="Y",BT810&amp;"",BG810&amp;""))</f>
        <v/>
      </c>
      <c r="AF810" s="0" t="str">
        <f aca="false">IF($A810="","",IF(AT810="Y",BU810&amp;"",BH810&amp;""))</f>
        <v/>
      </c>
      <c r="AG810" s="0" t="str">
        <f aca="false">IF($A810="","",IF(AT810="Y",BV810&amp;"",BI810&amp;""))</f>
        <v/>
      </c>
      <c r="AO810" s="5"/>
      <c r="AR810" s="0" t="str">
        <f aca="false">IF($A810="","",IF(AND(CK810="pass",AO810&lt;&gt;"Y",C810&lt;&gt;"",OR(AU810&lt;&gt;"Y",AV810="Y")),"Y","N"))</f>
        <v/>
      </c>
      <c r="AS810" s="0" t="str">
        <f aca="false">IF($A810="","",_xlfn.TEXTJOIN("; ",TRUE(),IF(CK810&lt;&gt;"pass","gated out",""),IF(AO810="Y","on hold: "&amp;AP810,""),IF(C810="","no contact named on an opened page",""),IF(AND(AU810="Y",AV810&lt;&gt;"Y"),"founder review pending (Founder review tab)","")))</f>
        <v/>
      </c>
      <c r="BC810" s="0" t="str">
        <f aca="false">IF($A810="","",IFERROR(INDEX(Enrichment!$A$2:$GZ$2000,MATCH($A810,INDEX(Enrichment!$A$2:$GZ$2000,0,MATCH("row_id",Enrichment!$A$1:$GZ$1,0)),0),MATCH("work_email",Enrichment!$A$1:$GZ$1,0))&amp;"",""))</f>
        <v/>
      </c>
      <c r="BD810" s="0" t="str">
        <f aca="false">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P810" s="0" t="str">
        <f aca="false">IF($A810="","",IFERROR(INDEX(Enrichment!$A$2:$GZ$2000,MATCH($A810,INDEX(Enrichment!$A$2:$GZ$2000,0,MATCH("row_id",Enrichment!$A$1:$GZ$1,0)),0),MATCH("backup_work_email",Enrichment!$A$1:$GZ$1,0))&amp;"",""))</f>
        <v/>
      </c>
      <c r="BQ810" s="0" t="str">
        <f aca="false">IF($A810="","",IF(BP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DU810" s="0" t="str">
        <f aca="false">IF($A810="","",IF(R810="Y",10,0))</f>
        <v/>
      </c>
      <c r="EV810" s="0" t="str">
        <f aca="false">IF($A810="","",IF(ISNUMBER(MATCH(U810,{"queued","contacted","replied","call_booked","call_done","yes_in_principle","materials_sent"},0)),"Y","N"))</f>
        <v/>
      </c>
      <c r="EW810" s="0" t="str">
        <f aca="false">IF($A810="","",IF(OR(T810="Y",U810="do_not_contact",AQ810&amp;""&lt;&gt;""),"Y","N"))</f>
        <v/>
      </c>
      <c r="EX810" s="0" t="str">
        <f aca="false">IF($A810="","",IF(AN810&amp;""&lt;&gt;"",AN810&amp;"",$A810))</f>
        <v/>
      </c>
      <c r="EY810" s="0" t="str">
        <f aca="false">IF($A810="","",IF(COUNTIFS($EX$2:$EX$1000,EX810,$EV$2:$EV$1000,"Y")+COUNTIFS($EX$2:$EX$1000,EX810,$EW$2:$EW$1000,"Y")&gt;0,"Y","N"))</f>
        <v/>
      </c>
      <c r="EZ810" s="0" t="str">
        <f aca="false">IF($A810="","",IF(AND(U810="new",T810="N",EW810="N",AR810="Y",EY810="N"),"Y","N"))</f>
        <v/>
      </c>
      <c r="FA810" s="0" t="str">
        <f aca="false">IF($A810="","",IF(EZ810&lt;&gt;"Y","N",IF(COUNTIFS($EX$2:$EX$1000,EX810,$EZ$2:$EZ$1000,"Y",$J$2:$J$1000,"&gt;"&amp;J810)+COUNTIFS($EX$2:$EX$1000,EX810,$EZ$2:$EZ$1000,"Y",$J$2:$J$1000,J810,$FG$2:$FG$1000,"&lt;"&amp;FG810)=0,"Y","N")))</f>
        <v/>
      </c>
      <c r="FB810" s="0" t="str">
        <f aca="false">IF($A810="","",IF(AND(EZ810="Y",FA810="Y",Y810&amp;""&lt;&gt;""),IF(Y810&lt;=10,"Y","N"),"N"))</f>
        <v/>
      </c>
      <c r="FC810" s="0" t="str">
        <f aca="false">IF(FB810="Y",Y810,"")</f>
        <v/>
      </c>
      <c r="FD810" s="0" t="str">
        <f aca="false">IF($A810="","",IF(AND(CK810="pass",AU810="Y",AV810&lt;&gt;"Y",U810="new",EW810="N"),"Y","N"))</f>
        <v/>
      </c>
      <c r="FE810" s="0" t="str">
        <f aca="false">IF(FD810&lt;&gt;"Y","",IF(COUNTIFS($FD$2:$FD$1000,"Y",$J$2:$J$1000,"&gt;"&amp;J810)+COUNTIFS($FD$2:$FD$1000,"Y",$J$2:$J$1000,J810,$FG$2:$FG$1000,"&lt;"&amp;FG810)+1&lt;=30,COUNTIFS($FD$2:$FD$1000,"Y",$J$2:$J$1000,"&gt;"&amp;J810)+COUNTIFS($FD$2:$FD$1000,"Y",$J$2:$J$1000,J810,$FG$2:$FG$1000,"&lt;"&amp;FG810)+1,""))</f>
        <v/>
      </c>
      <c r="FF810" s="0" t="str">
        <f aca="false">IF(AND(_xlfn.ISFORMULA(C810),_xlfn.ISFORMULA(J810)),"Y","N")</f>
        <v>Y</v>
      </c>
      <c r="FG810" s="0" t="n">
        <f aca="false">ROW()-1</f>
        <v>809</v>
      </c>
    </row>
    <row r="811" customFormat="false" ht="15" hidden="false" customHeight="false" outlineLevel="0" collapsed="false">
      <c r="C811" s="0" t="str">
        <f aca="false">IF($A811="","",IF(AT811="Y",BL811&amp;"",AY811&amp;""))</f>
        <v/>
      </c>
      <c r="D811" s="0" t="str">
        <f aca="false">IF($A811="","",IF(AT811="Y",BM811&amp;"",AZ811&amp;""))</f>
        <v/>
      </c>
      <c r="E811" s="0" t="str">
        <f aca="false">IF($A811="","",IF(AT811="Y",BN811&amp;"",BA811&amp;""))</f>
        <v/>
      </c>
      <c r="F811" s="0" t="str">
        <f aca="false">IF($A811="","",IF(AT811="Y",BO811&amp;"",BB811&amp;""))</f>
        <v/>
      </c>
      <c r="G811" s="0" t="str">
        <f aca="false">IF($A811="","",IF(AT811="Y",BP811&amp;"",BC811&amp;""))</f>
        <v/>
      </c>
      <c r="H811" s="0" t="str">
        <f aca="false">IF($A811="","",IF(AT811="Y",BQ811&amp;"",BD811&amp;""))</f>
        <v/>
      </c>
      <c r="I811" s="0" t="str">
        <f aca="false">IF($A811="","",IF(R811="Y","warm-intro",IF(H811="verified","email",IF(C811&lt;&gt;"","linkedin",CA811&amp;""))))</f>
        <v/>
      </c>
      <c r="J811" s="0" t="str">
        <f aca="false">IF($A811="","",IF(CK811="pass",ROUND(N(DO811)+N(DP811)+N(DQ811)+N(DR811)+N(DS811)+N(DT811)+N(DU811)+N(DV811),0),0))</f>
        <v/>
      </c>
      <c r="K811" s="0" t="str">
        <f aca="false">IF($A811="","",IF(CK811&lt;&gt;"pass",BY811&amp;"",BY811&amp;", "&amp;IF(AT811="Y",BX811&amp;"",BK811&amp;"")&amp;BZ811&amp;IF(R811="Y","; known to the founder (+10)","")&amp;"."))</f>
        <v/>
      </c>
      <c r="R811" s="5"/>
      <c r="T811" s="5"/>
      <c r="U811" s="5"/>
      <c r="Y811" s="0" t="str">
        <f aca="false">IF(FA811&lt;&gt;"Y","",COUNTIFS($FA$2:$FA$1000,"Y",$J$2:$J$1000,"&gt;"&amp;J811)+COUNTIFS($FA$2:$FA$1000,"Y",$J$2:$J$1000,J811,$FG$2:$FG$1000,"&lt;"&amp;FG811)+1)</f>
        <v/>
      </c>
      <c r="AB811" s="0" t="str">
        <f aca="false">IF($A811="","",IF(AT811="Y",BW811&amp;"",BJ811&amp;""))</f>
        <v/>
      </c>
      <c r="AC811" s="0" t="str">
        <f aca="false">IF($A811="","",IF(AT811="Y",BR811&amp;"",BE811&amp;""))</f>
        <v/>
      </c>
      <c r="AD811" s="0" t="str">
        <f aca="false">IF($A811="","",IF(AT811="Y",BS811&amp;"",BF811&amp;""))</f>
        <v/>
      </c>
      <c r="AE811" s="0" t="str">
        <f aca="false">IF($A811="","",IF(AT811="Y",BT811&amp;"",BG811&amp;""))</f>
        <v/>
      </c>
      <c r="AF811" s="0" t="str">
        <f aca="false">IF($A811="","",IF(AT811="Y",BU811&amp;"",BH811&amp;""))</f>
        <v/>
      </c>
      <c r="AG811" s="0" t="str">
        <f aca="false">IF($A811="","",IF(AT811="Y",BV811&amp;"",BI811&amp;""))</f>
        <v/>
      </c>
      <c r="AO811" s="5"/>
      <c r="AR811" s="0" t="str">
        <f aca="false">IF($A811="","",IF(AND(CK811="pass",AO811&lt;&gt;"Y",C811&lt;&gt;"",OR(AU811&lt;&gt;"Y",AV811="Y")),"Y","N"))</f>
        <v/>
      </c>
      <c r="AS811" s="0" t="str">
        <f aca="false">IF($A811="","",_xlfn.TEXTJOIN("; ",TRUE(),IF(CK811&lt;&gt;"pass","gated out",""),IF(AO811="Y","on hold: "&amp;AP811,""),IF(C811="","no contact named on an opened page",""),IF(AND(AU811="Y",AV811&lt;&gt;"Y"),"founder review pending (Founder review tab)","")))</f>
        <v/>
      </c>
      <c r="BC811" s="0" t="str">
        <f aca="false">IF($A811="","",IFERROR(INDEX(Enrichment!$A$2:$GZ$2000,MATCH($A811,INDEX(Enrichment!$A$2:$GZ$2000,0,MATCH("row_id",Enrichment!$A$1:$GZ$1,0)),0),MATCH("work_email",Enrichment!$A$1:$GZ$1,0))&amp;"",""))</f>
        <v/>
      </c>
      <c r="BD811" s="0" t="str">
        <f aca="false">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P811" s="0" t="str">
        <f aca="false">IF($A811="","",IFERROR(INDEX(Enrichment!$A$2:$GZ$2000,MATCH($A811,INDEX(Enrichment!$A$2:$GZ$2000,0,MATCH("row_id",Enrichment!$A$1:$GZ$1,0)),0),MATCH("backup_work_email",Enrichment!$A$1:$GZ$1,0))&amp;"",""))</f>
        <v/>
      </c>
      <c r="BQ811" s="0" t="str">
        <f aca="false">IF($A811="","",IF(BP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DU811" s="0" t="str">
        <f aca="false">IF($A811="","",IF(R811="Y",10,0))</f>
        <v/>
      </c>
      <c r="EV811" s="0" t="str">
        <f aca="false">IF($A811="","",IF(ISNUMBER(MATCH(U811,{"queued","contacted","replied","call_booked","call_done","yes_in_principle","materials_sent"},0)),"Y","N"))</f>
        <v/>
      </c>
      <c r="EW811" s="0" t="str">
        <f aca="false">IF($A811="","",IF(OR(T811="Y",U811="do_not_contact",AQ811&amp;""&lt;&gt;""),"Y","N"))</f>
        <v/>
      </c>
      <c r="EX811" s="0" t="str">
        <f aca="false">IF($A811="","",IF(AN811&amp;""&lt;&gt;"",AN811&amp;"",$A811))</f>
        <v/>
      </c>
      <c r="EY811" s="0" t="str">
        <f aca="false">IF($A811="","",IF(COUNTIFS($EX$2:$EX$1000,EX811,$EV$2:$EV$1000,"Y")+COUNTIFS($EX$2:$EX$1000,EX811,$EW$2:$EW$1000,"Y")&gt;0,"Y","N"))</f>
        <v/>
      </c>
      <c r="EZ811" s="0" t="str">
        <f aca="false">IF($A811="","",IF(AND(U811="new",T811="N",EW811="N",AR811="Y",EY811="N"),"Y","N"))</f>
        <v/>
      </c>
      <c r="FA811" s="0" t="str">
        <f aca="false">IF($A811="","",IF(EZ811&lt;&gt;"Y","N",IF(COUNTIFS($EX$2:$EX$1000,EX811,$EZ$2:$EZ$1000,"Y",$J$2:$J$1000,"&gt;"&amp;J811)+COUNTIFS($EX$2:$EX$1000,EX811,$EZ$2:$EZ$1000,"Y",$J$2:$J$1000,J811,$FG$2:$FG$1000,"&lt;"&amp;FG811)=0,"Y","N")))</f>
        <v/>
      </c>
      <c r="FB811" s="0" t="str">
        <f aca="false">IF($A811="","",IF(AND(EZ811="Y",FA811="Y",Y811&amp;""&lt;&gt;""),IF(Y811&lt;=10,"Y","N"),"N"))</f>
        <v/>
      </c>
      <c r="FC811" s="0" t="str">
        <f aca="false">IF(FB811="Y",Y811,"")</f>
        <v/>
      </c>
      <c r="FD811" s="0" t="str">
        <f aca="false">IF($A811="","",IF(AND(CK811="pass",AU811="Y",AV811&lt;&gt;"Y",U811="new",EW811="N"),"Y","N"))</f>
        <v/>
      </c>
      <c r="FE811" s="0" t="str">
        <f aca="false">IF(FD811&lt;&gt;"Y","",IF(COUNTIFS($FD$2:$FD$1000,"Y",$J$2:$J$1000,"&gt;"&amp;J811)+COUNTIFS($FD$2:$FD$1000,"Y",$J$2:$J$1000,J811,$FG$2:$FG$1000,"&lt;"&amp;FG811)+1&lt;=30,COUNTIFS($FD$2:$FD$1000,"Y",$J$2:$J$1000,"&gt;"&amp;J811)+COUNTIFS($FD$2:$FD$1000,"Y",$J$2:$J$1000,J811,$FG$2:$FG$1000,"&lt;"&amp;FG811)+1,""))</f>
        <v/>
      </c>
      <c r="FF811" s="0" t="str">
        <f aca="false">IF(AND(_xlfn.ISFORMULA(C811),_xlfn.ISFORMULA(J811)),"Y","N")</f>
        <v>Y</v>
      </c>
      <c r="FG811" s="0" t="n">
        <f aca="false">ROW()-1</f>
        <v>810</v>
      </c>
    </row>
    <row r="812" customFormat="false" ht="15" hidden="false" customHeight="false" outlineLevel="0" collapsed="false">
      <c r="C812" s="0" t="str">
        <f aca="false">IF($A812="","",IF(AT812="Y",BL812&amp;"",AY812&amp;""))</f>
        <v/>
      </c>
      <c r="D812" s="0" t="str">
        <f aca="false">IF($A812="","",IF(AT812="Y",BM812&amp;"",AZ812&amp;""))</f>
        <v/>
      </c>
      <c r="E812" s="0" t="str">
        <f aca="false">IF($A812="","",IF(AT812="Y",BN812&amp;"",BA812&amp;""))</f>
        <v/>
      </c>
      <c r="F812" s="0" t="str">
        <f aca="false">IF($A812="","",IF(AT812="Y",BO812&amp;"",BB812&amp;""))</f>
        <v/>
      </c>
      <c r="G812" s="0" t="str">
        <f aca="false">IF($A812="","",IF(AT812="Y",BP812&amp;"",BC812&amp;""))</f>
        <v/>
      </c>
      <c r="H812" s="0" t="str">
        <f aca="false">IF($A812="","",IF(AT812="Y",BQ812&amp;"",BD812&amp;""))</f>
        <v/>
      </c>
      <c r="I812" s="0" t="str">
        <f aca="false">IF($A812="","",IF(R812="Y","warm-intro",IF(H812="verified","email",IF(C812&lt;&gt;"","linkedin",CA812&amp;""))))</f>
        <v/>
      </c>
      <c r="J812" s="0" t="str">
        <f aca="false">IF($A812="","",IF(CK812="pass",ROUND(N(DO812)+N(DP812)+N(DQ812)+N(DR812)+N(DS812)+N(DT812)+N(DU812)+N(DV812),0),0))</f>
        <v/>
      </c>
      <c r="K812" s="0" t="str">
        <f aca="false">IF($A812="","",IF(CK812&lt;&gt;"pass",BY812&amp;"",BY812&amp;", "&amp;IF(AT812="Y",BX812&amp;"",BK812&amp;"")&amp;BZ812&amp;IF(R812="Y","; known to the founder (+10)","")&amp;"."))</f>
        <v/>
      </c>
      <c r="R812" s="5"/>
      <c r="T812" s="5"/>
      <c r="U812" s="5"/>
      <c r="Y812" s="0" t="str">
        <f aca="false">IF(FA812&lt;&gt;"Y","",COUNTIFS($FA$2:$FA$1000,"Y",$J$2:$J$1000,"&gt;"&amp;J812)+COUNTIFS($FA$2:$FA$1000,"Y",$J$2:$J$1000,J812,$FG$2:$FG$1000,"&lt;"&amp;FG812)+1)</f>
        <v/>
      </c>
      <c r="AB812" s="0" t="str">
        <f aca="false">IF($A812="","",IF(AT812="Y",BW812&amp;"",BJ812&amp;""))</f>
        <v/>
      </c>
      <c r="AC812" s="0" t="str">
        <f aca="false">IF($A812="","",IF(AT812="Y",BR812&amp;"",BE812&amp;""))</f>
        <v/>
      </c>
      <c r="AD812" s="0" t="str">
        <f aca="false">IF($A812="","",IF(AT812="Y",BS812&amp;"",BF812&amp;""))</f>
        <v/>
      </c>
      <c r="AE812" s="0" t="str">
        <f aca="false">IF($A812="","",IF(AT812="Y",BT812&amp;"",BG812&amp;""))</f>
        <v/>
      </c>
      <c r="AF812" s="0" t="str">
        <f aca="false">IF($A812="","",IF(AT812="Y",BU812&amp;"",BH812&amp;""))</f>
        <v/>
      </c>
      <c r="AG812" s="0" t="str">
        <f aca="false">IF($A812="","",IF(AT812="Y",BV812&amp;"",BI812&amp;""))</f>
        <v/>
      </c>
      <c r="AO812" s="5"/>
      <c r="AR812" s="0" t="str">
        <f aca="false">IF($A812="","",IF(AND(CK812="pass",AO812&lt;&gt;"Y",C812&lt;&gt;"",OR(AU812&lt;&gt;"Y",AV812="Y")),"Y","N"))</f>
        <v/>
      </c>
      <c r="AS812" s="0" t="str">
        <f aca="false">IF($A812="","",_xlfn.TEXTJOIN("; ",TRUE(),IF(CK812&lt;&gt;"pass","gated out",""),IF(AO812="Y","on hold: "&amp;AP812,""),IF(C812="","no contact named on an opened page",""),IF(AND(AU812="Y",AV812&lt;&gt;"Y"),"founder review pending (Founder review tab)","")))</f>
        <v/>
      </c>
      <c r="BC812" s="0" t="str">
        <f aca="false">IF($A812="","",IFERROR(INDEX(Enrichment!$A$2:$GZ$2000,MATCH($A812,INDEX(Enrichment!$A$2:$GZ$2000,0,MATCH("row_id",Enrichment!$A$1:$GZ$1,0)),0),MATCH("work_email",Enrichment!$A$1:$GZ$1,0))&amp;"",""))</f>
        <v/>
      </c>
      <c r="BD812" s="0" t="str">
        <f aca="false">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P812" s="0" t="str">
        <f aca="false">IF($A812="","",IFERROR(INDEX(Enrichment!$A$2:$GZ$2000,MATCH($A812,INDEX(Enrichment!$A$2:$GZ$2000,0,MATCH("row_id",Enrichment!$A$1:$GZ$1,0)),0),MATCH("backup_work_email",Enrichment!$A$1:$GZ$1,0))&amp;"",""))</f>
        <v/>
      </c>
      <c r="BQ812" s="0" t="str">
        <f aca="false">IF($A812="","",IF(BP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DU812" s="0" t="str">
        <f aca="false">IF($A812="","",IF(R812="Y",10,0))</f>
        <v/>
      </c>
      <c r="EV812" s="0" t="str">
        <f aca="false">IF($A812="","",IF(ISNUMBER(MATCH(U812,{"queued","contacted","replied","call_booked","call_done","yes_in_principle","materials_sent"},0)),"Y","N"))</f>
        <v/>
      </c>
      <c r="EW812" s="0" t="str">
        <f aca="false">IF($A812="","",IF(OR(T812="Y",U812="do_not_contact",AQ812&amp;""&lt;&gt;""),"Y","N"))</f>
        <v/>
      </c>
      <c r="EX812" s="0" t="str">
        <f aca="false">IF($A812="","",IF(AN812&amp;""&lt;&gt;"",AN812&amp;"",$A812))</f>
        <v/>
      </c>
      <c r="EY812" s="0" t="str">
        <f aca="false">IF($A812="","",IF(COUNTIFS($EX$2:$EX$1000,EX812,$EV$2:$EV$1000,"Y")+COUNTIFS($EX$2:$EX$1000,EX812,$EW$2:$EW$1000,"Y")&gt;0,"Y","N"))</f>
        <v/>
      </c>
      <c r="EZ812" s="0" t="str">
        <f aca="false">IF($A812="","",IF(AND(U812="new",T812="N",EW812="N",AR812="Y",EY812="N"),"Y","N"))</f>
        <v/>
      </c>
      <c r="FA812" s="0" t="str">
        <f aca="false">IF($A812="","",IF(EZ812&lt;&gt;"Y","N",IF(COUNTIFS($EX$2:$EX$1000,EX812,$EZ$2:$EZ$1000,"Y",$J$2:$J$1000,"&gt;"&amp;J812)+COUNTIFS($EX$2:$EX$1000,EX812,$EZ$2:$EZ$1000,"Y",$J$2:$J$1000,J812,$FG$2:$FG$1000,"&lt;"&amp;FG812)=0,"Y","N")))</f>
        <v/>
      </c>
      <c r="FB812" s="0" t="str">
        <f aca="false">IF($A812="","",IF(AND(EZ812="Y",FA812="Y",Y812&amp;""&lt;&gt;""),IF(Y812&lt;=10,"Y","N"),"N"))</f>
        <v/>
      </c>
      <c r="FC812" s="0" t="str">
        <f aca="false">IF(FB812="Y",Y812,"")</f>
        <v/>
      </c>
      <c r="FD812" s="0" t="str">
        <f aca="false">IF($A812="","",IF(AND(CK812="pass",AU812="Y",AV812&lt;&gt;"Y",U812="new",EW812="N"),"Y","N"))</f>
        <v/>
      </c>
      <c r="FE812" s="0" t="str">
        <f aca="false">IF(FD812&lt;&gt;"Y","",IF(COUNTIFS($FD$2:$FD$1000,"Y",$J$2:$J$1000,"&gt;"&amp;J812)+COUNTIFS($FD$2:$FD$1000,"Y",$J$2:$J$1000,J812,$FG$2:$FG$1000,"&lt;"&amp;FG812)+1&lt;=30,COUNTIFS($FD$2:$FD$1000,"Y",$J$2:$J$1000,"&gt;"&amp;J812)+COUNTIFS($FD$2:$FD$1000,"Y",$J$2:$J$1000,J812,$FG$2:$FG$1000,"&lt;"&amp;FG812)+1,""))</f>
        <v/>
      </c>
      <c r="FF812" s="0" t="str">
        <f aca="false">IF(AND(_xlfn.ISFORMULA(C812),_xlfn.ISFORMULA(J812)),"Y","N")</f>
        <v>Y</v>
      </c>
      <c r="FG812" s="0" t="n">
        <f aca="false">ROW()-1</f>
        <v>811</v>
      </c>
    </row>
    <row r="813" customFormat="false" ht="15" hidden="false" customHeight="false" outlineLevel="0" collapsed="false">
      <c r="C813" s="0" t="str">
        <f aca="false">IF($A813="","",IF(AT813="Y",BL813&amp;"",AY813&amp;""))</f>
        <v/>
      </c>
      <c r="D813" s="0" t="str">
        <f aca="false">IF($A813="","",IF(AT813="Y",BM813&amp;"",AZ813&amp;""))</f>
        <v/>
      </c>
      <c r="E813" s="0" t="str">
        <f aca="false">IF($A813="","",IF(AT813="Y",BN813&amp;"",BA813&amp;""))</f>
        <v/>
      </c>
      <c r="F813" s="0" t="str">
        <f aca="false">IF($A813="","",IF(AT813="Y",BO813&amp;"",BB813&amp;""))</f>
        <v/>
      </c>
      <c r="G813" s="0" t="str">
        <f aca="false">IF($A813="","",IF(AT813="Y",BP813&amp;"",BC813&amp;""))</f>
        <v/>
      </c>
      <c r="H813" s="0" t="str">
        <f aca="false">IF($A813="","",IF(AT813="Y",BQ813&amp;"",BD813&amp;""))</f>
        <v/>
      </c>
      <c r="I813" s="0" t="str">
        <f aca="false">IF($A813="","",IF(R813="Y","warm-intro",IF(H813="verified","email",IF(C813&lt;&gt;"","linkedin",CA813&amp;""))))</f>
        <v/>
      </c>
      <c r="J813" s="0" t="str">
        <f aca="false">IF($A813="","",IF(CK813="pass",ROUND(N(DO813)+N(DP813)+N(DQ813)+N(DR813)+N(DS813)+N(DT813)+N(DU813)+N(DV813),0),0))</f>
        <v/>
      </c>
      <c r="K813" s="0" t="str">
        <f aca="false">IF($A813="","",IF(CK813&lt;&gt;"pass",BY813&amp;"",BY813&amp;", "&amp;IF(AT813="Y",BX813&amp;"",BK813&amp;"")&amp;BZ813&amp;IF(R813="Y","; known to the founder (+10)","")&amp;"."))</f>
        <v/>
      </c>
      <c r="R813" s="5"/>
      <c r="T813" s="5"/>
      <c r="U813" s="5"/>
      <c r="Y813" s="0" t="str">
        <f aca="false">IF(FA813&lt;&gt;"Y","",COUNTIFS($FA$2:$FA$1000,"Y",$J$2:$J$1000,"&gt;"&amp;J813)+COUNTIFS($FA$2:$FA$1000,"Y",$J$2:$J$1000,J813,$FG$2:$FG$1000,"&lt;"&amp;FG813)+1)</f>
        <v/>
      </c>
      <c r="AB813" s="0" t="str">
        <f aca="false">IF($A813="","",IF(AT813="Y",BW813&amp;"",BJ813&amp;""))</f>
        <v/>
      </c>
      <c r="AC813" s="0" t="str">
        <f aca="false">IF($A813="","",IF(AT813="Y",BR813&amp;"",BE813&amp;""))</f>
        <v/>
      </c>
      <c r="AD813" s="0" t="str">
        <f aca="false">IF($A813="","",IF(AT813="Y",BS813&amp;"",BF813&amp;""))</f>
        <v/>
      </c>
      <c r="AE813" s="0" t="str">
        <f aca="false">IF($A813="","",IF(AT813="Y",BT813&amp;"",BG813&amp;""))</f>
        <v/>
      </c>
      <c r="AF813" s="0" t="str">
        <f aca="false">IF($A813="","",IF(AT813="Y",BU813&amp;"",BH813&amp;""))</f>
        <v/>
      </c>
      <c r="AG813" s="0" t="str">
        <f aca="false">IF($A813="","",IF(AT813="Y",BV813&amp;"",BI813&amp;""))</f>
        <v/>
      </c>
      <c r="AO813" s="5"/>
      <c r="AR813" s="0" t="str">
        <f aca="false">IF($A813="","",IF(AND(CK813="pass",AO813&lt;&gt;"Y",C813&lt;&gt;"",OR(AU813&lt;&gt;"Y",AV813="Y")),"Y","N"))</f>
        <v/>
      </c>
      <c r="AS813" s="0" t="str">
        <f aca="false">IF($A813="","",_xlfn.TEXTJOIN("; ",TRUE(),IF(CK813&lt;&gt;"pass","gated out",""),IF(AO813="Y","on hold: "&amp;AP813,""),IF(C813="","no contact named on an opened page",""),IF(AND(AU813="Y",AV813&lt;&gt;"Y"),"founder review pending (Founder review tab)","")))</f>
        <v/>
      </c>
      <c r="BC813" s="0" t="str">
        <f aca="false">IF($A813="","",IFERROR(INDEX(Enrichment!$A$2:$GZ$2000,MATCH($A813,INDEX(Enrichment!$A$2:$GZ$2000,0,MATCH("row_id",Enrichment!$A$1:$GZ$1,0)),0),MATCH("work_email",Enrichment!$A$1:$GZ$1,0))&amp;"",""))</f>
        <v/>
      </c>
      <c r="BD813" s="0" t="str">
        <f aca="false">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P813" s="0" t="str">
        <f aca="false">IF($A813="","",IFERROR(INDEX(Enrichment!$A$2:$GZ$2000,MATCH($A813,INDEX(Enrichment!$A$2:$GZ$2000,0,MATCH("row_id",Enrichment!$A$1:$GZ$1,0)),0),MATCH("backup_work_email",Enrichment!$A$1:$GZ$1,0))&amp;"",""))</f>
        <v/>
      </c>
      <c r="BQ813" s="0" t="str">
        <f aca="false">IF($A813="","",IF(BP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DU813" s="0" t="str">
        <f aca="false">IF($A813="","",IF(R813="Y",10,0))</f>
        <v/>
      </c>
      <c r="EV813" s="0" t="str">
        <f aca="false">IF($A813="","",IF(ISNUMBER(MATCH(U813,{"queued","contacted","replied","call_booked","call_done","yes_in_principle","materials_sent"},0)),"Y","N"))</f>
        <v/>
      </c>
      <c r="EW813" s="0" t="str">
        <f aca="false">IF($A813="","",IF(OR(T813="Y",U813="do_not_contact",AQ813&amp;""&lt;&gt;""),"Y","N"))</f>
        <v/>
      </c>
      <c r="EX813" s="0" t="str">
        <f aca="false">IF($A813="","",IF(AN813&amp;""&lt;&gt;"",AN813&amp;"",$A813))</f>
        <v/>
      </c>
      <c r="EY813" s="0" t="str">
        <f aca="false">IF($A813="","",IF(COUNTIFS($EX$2:$EX$1000,EX813,$EV$2:$EV$1000,"Y")+COUNTIFS($EX$2:$EX$1000,EX813,$EW$2:$EW$1000,"Y")&gt;0,"Y","N"))</f>
        <v/>
      </c>
      <c r="EZ813" s="0" t="str">
        <f aca="false">IF($A813="","",IF(AND(U813="new",T813="N",EW813="N",AR813="Y",EY813="N"),"Y","N"))</f>
        <v/>
      </c>
      <c r="FA813" s="0" t="str">
        <f aca="false">IF($A813="","",IF(EZ813&lt;&gt;"Y","N",IF(COUNTIFS($EX$2:$EX$1000,EX813,$EZ$2:$EZ$1000,"Y",$J$2:$J$1000,"&gt;"&amp;J813)+COUNTIFS($EX$2:$EX$1000,EX813,$EZ$2:$EZ$1000,"Y",$J$2:$J$1000,J813,$FG$2:$FG$1000,"&lt;"&amp;FG813)=0,"Y","N")))</f>
        <v/>
      </c>
      <c r="FB813" s="0" t="str">
        <f aca="false">IF($A813="","",IF(AND(EZ813="Y",FA813="Y",Y813&amp;""&lt;&gt;""),IF(Y813&lt;=10,"Y","N"),"N"))</f>
        <v/>
      </c>
      <c r="FC813" s="0" t="str">
        <f aca="false">IF(FB813="Y",Y813,"")</f>
        <v/>
      </c>
      <c r="FD813" s="0" t="str">
        <f aca="false">IF($A813="","",IF(AND(CK813="pass",AU813="Y",AV813&lt;&gt;"Y",U813="new",EW813="N"),"Y","N"))</f>
        <v/>
      </c>
      <c r="FE813" s="0" t="str">
        <f aca="false">IF(FD813&lt;&gt;"Y","",IF(COUNTIFS($FD$2:$FD$1000,"Y",$J$2:$J$1000,"&gt;"&amp;J813)+COUNTIFS($FD$2:$FD$1000,"Y",$J$2:$J$1000,J813,$FG$2:$FG$1000,"&lt;"&amp;FG813)+1&lt;=30,COUNTIFS($FD$2:$FD$1000,"Y",$J$2:$J$1000,"&gt;"&amp;J813)+COUNTIFS($FD$2:$FD$1000,"Y",$J$2:$J$1000,J813,$FG$2:$FG$1000,"&lt;"&amp;FG813)+1,""))</f>
        <v/>
      </c>
      <c r="FF813" s="0" t="str">
        <f aca="false">IF(AND(_xlfn.ISFORMULA(C813),_xlfn.ISFORMULA(J813)),"Y","N")</f>
        <v>Y</v>
      </c>
      <c r="FG813" s="0" t="n">
        <f aca="false">ROW()-1</f>
        <v>812</v>
      </c>
    </row>
    <row r="814" customFormat="false" ht="15" hidden="false" customHeight="false" outlineLevel="0" collapsed="false">
      <c r="C814" s="0" t="str">
        <f aca="false">IF($A814="","",IF(AT814="Y",BL814&amp;"",AY814&amp;""))</f>
        <v/>
      </c>
      <c r="D814" s="0" t="str">
        <f aca="false">IF($A814="","",IF(AT814="Y",BM814&amp;"",AZ814&amp;""))</f>
        <v/>
      </c>
      <c r="E814" s="0" t="str">
        <f aca="false">IF($A814="","",IF(AT814="Y",BN814&amp;"",BA814&amp;""))</f>
        <v/>
      </c>
      <c r="F814" s="0" t="str">
        <f aca="false">IF($A814="","",IF(AT814="Y",BO814&amp;"",BB814&amp;""))</f>
        <v/>
      </c>
      <c r="G814" s="0" t="str">
        <f aca="false">IF($A814="","",IF(AT814="Y",BP814&amp;"",BC814&amp;""))</f>
        <v/>
      </c>
      <c r="H814" s="0" t="str">
        <f aca="false">IF($A814="","",IF(AT814="Y",BQ814&amp;"",BD814&amp;""))</f>
        <v/>
      </c>
      <c r="I814" s="0" t="str">
        <f aca="false">IF($A814="","",IF(R814="Y","warm-intro",IF(H814="verified","email",IF(C814&lt;&gt;"","linkedin",CA814&amp;""))))</f>
        <v/>
      </c>
      <c r="J814" s="0" t="str">
        <f aca="false">IF($A814="","",IF(CK814="pass",ROUND(N(DO814)+N(DP814)+N(DQ814)+N(DR814)+N(DS814)+N(DT814)+N(DU814)+N(DV814),0),0))</f>
        <v/>
      </c>
      <c r="K814" s="0" t="str">
        <f aca="false">IF($A814="","",IF(CK814&lt;&gt;"pass",BY814&amp;"",BY814&amp;", "&amp;IF(AT814="Y",BX814&amp;"",BK814&amp;"")&amp;BZ814&amp;IF(R814="Y","; known to the founder (+10)","")&amp;"."))</f>
        <v/>
      </c>
      <c r="R814" s="5"/>
      <c r="T814" s="5"/>
      <c r="U814" s="5"/>
      <c r="Y814" s="0" t="str">
        <f aca="false">IF(FA814&lt;&gt;"Y","",COUNTIFS($FA$2:$FA$1000,"Y",$J$2:$J$1000,"&gt;"&amp;J814)+COUNTIFS($FA$2:$FA$1000,"Y",$J$2:$J$1000,J814,$FG$2:$FG$1000,"&lt;"&amp;FG814)+1)</f>
        <v/>
      </c>
      <c r="AB814" s="0" t="str">
        <f aca="false">IF($A814="","",IF(AT814="Y",BW814&amp;"",BJ814&amp;""))</f>
        <v/>
      </c>
      <c r="AC814" s="0" t="str">
        <f aca="false">IF($A814="","",IF(AT814="Y",BR814&amp;"",BE814&amp;""))</f>
        <v/>
      </c>
      <c r="AD814" s="0" t="str">
        <f aca="false">IF($A814="","",IF(AT814="Y",BS814&amp;"",BF814&amp;""))</f>
        <v/>
      </c>
      <c r="AE814" s="0" t="str">
        <f aca="false">IF($A814="","",IF(AT814="Y",BT814&amp;"",BG814&amp;""))</f>
        <v/>
      </c>
      <c r="AF814" s="0" t="str">
        <f aca="false">IF($A814="","",IF(AT814="Y",BU814&amp;"",BH814&amp;""))</f>
        <v/>
      </c>
      <c r="AG814" s="0" t="str">
        <f aca="false">IF($A814="","",IF(AT814="Y",BV814&amp;"",BI814&amp;""))</f>
        <v/>
      </c>
      <c r="AO814" s="5"/>
      <c r="AR814" s="0" t="str">
        <f aca="false">IF($A814="","",IF(AND(CK814="pass",AO814&lt;&gt;"Y",C814&lt;&gt;"",OR(AU814&lt;&gt;"Y",AV814="Y")),"Y","N"))</f>
        <v/>
      </c>
      <c r="AS814" s="0" t="str">
        <f aca="false">IF($A814="","",_xlfn.TEXTJOIN("; ",TRUE(),IF(CK814&lt;&gt;"pass","gated out",""),IF(AO814="Y","on hold: "&amp;AP814,""),IF(C814="","no contact named on an opened page",""),IF(AND(AU814="Y",AV814&lt;&gt;"Y"),"founder review pending (Founder review tab)","")))</f>
        <v/>
      </c>
      <c r="BC814" s="0" t="str">
        <f aca="false">IF($A814="","",IFERROR(INDEX(Enrichment!$A$2:$GZ$2000,MATCH($A814,INDEX(Enrichment!$A$2:$GZ$2000,0,MATCH("row_id",Enrichment!$A$1:$GZ$1,0)),0),MATCH("work_email",Enrichment!$A$1:$GZ$1,0))&amp;"",""))</f>
        <v/>
      </c>
      <c r="BD814" s="0" t="str">
        <f aca="false">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P814" s="0" t="str">
        <f aca="false">IF($A814="","",IFERROR(INDEX(Enrichment!$A$2:$GZ$2000,MATCH($A814,INDEX(Enrichment!$A$2:$GZ$2000,0,MATCH("row_id",Enrichment!$A$1:$GZ$1,0)),0),MATCH("backup_work_email",Enrichment!$A$1:$GZ$1,0))&amp;"",""))</f>
        <v/>
      </c>
      <c r="BQ814" s="0" t="str">
        <f aca="false">IF($A814="","",IF(BP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DU814" s="0" t="str">
        <f aca="false">IF($A814="","",IF(R814="Y",10,0))</f>
        <v/>
      </c>
      <c r="EV814" s="0" t="str">
        <f aca="false">IF($A814="","",IF(ISNUMBER(MATCH(U814,{"queued","contacted","replied","call_booked","call_done","yes_in_principle","materials_sent"},0)),"Y","N"))</f>
        <v/>
      </c>
      <c r="EW814" s="0" t="str">
        <f aca="false">IF($A814="","",IF(OR(T814="Y",U814="do_not_contact",AQ814&amp;""&lt;&gt;""),"Y","N"))</f>
        <v/>
      </c>
      <c r="EX814" s="0" t="str">
        <f aca="false">IF($A814="","",IF(AN814&amp;""&lt;&gt;"",AN814&amp;"",$A814))</f>
        <v/>
      </c>
      <c r="EY814" s="0" t="str">
        <f aca="false">IF($A814="","",IF(COUNTIFS($EX$2:$EX$1000,EX814,$EV$2:$EV$1000,"Y")+COUNTIFS($EX$2:$EX$1000,EX814,$EW$2:$EW$1000,"Y")&gt;0,"Y","N"))</f>
        <v/>
      </c>
      <c r="EZ814" s="0" t="str">
        <f aca="false">IF($A814="","",IF(AND(U814="new",T814="N",EW814="N",AR814="Y",EY814="N"),"Y","N"))</f>
        <v/>
      </c>
      <c r="FA814" s="0" t="str">
        <f aca="false">IF($A814="","",IF(EZ814&lt;&gt;"Y","N",IF(COUNTIFS($EX$2:$EX$1000,EX814,$EZ$2:$EZ$1000,"Y",$J$2:$J$1000,"&gt;"&amp;J814)+COUNTIFS($EX$2:$EX$1000,EX814,$EZ$2:$EZ$1000,"Y",$J$2:$J$1000,J814,$FG$2:$FG$1000,"&lt;"&amp;FG814)=0,"Y","N")))</f>
        <v/>
      </c>
      <c r="FB814" s="0" t="str">
        <f aca="false">IF($A814="","",IF(AND(EZ814="Y",FA814="Y",Y814&amp;""&lt;&gt;""),IF(Y814&lt;=10,"Y","N"),"N"))</f>
        <v/>
      </c>
      <c r="FC814" s="0" t="str">
        <f aca="false">IF(FB814="Y",Y814,"")</f>
        <v/>
      </c>
      <c r="FD814" s="0" t="str">
        <f aca="false">IF($A814="","",IF(AND(CK814="pass",AU814="Y",AV814&lt;&gt;"Y",U814="new",EW814="N"),"Y","N"))</f>
        <v/>
      </c>
      <c r="FE814" s="0" t="str">
        <f aca="false">IF(FD814&lt;&gt;"Y","",IF(COUNTIFS($FD$2:$FD$1000,"Y",$J$2:$J$1000,"&gt;"&amp;J814)+COUNTIFS($FD$2:$FD$1000,"Y",$J$2:$J$1000,J814,$FG$2:$FG$1000,"&lt;"&amp;FG814)+1&lt;=30,COUNTIFS($FD$2:$FD$1000,"Y",$J$2:$J$1000,"&gt;"&amp;J814)+COUNTIFS($FD$2:$FD$1000,"Y",$J$2:$J$1000,J814,$FG$2:$FG$1000,"&lt;"&amp;FG814)+1,""))</f>
        <v/>
      </c>
      <c r="FF814" s="0" t="str">
        <f aca="false">IF(AND(_xlfn.ISFORMULA(C814),_xlfn.ISFORMULA(J814)),"Y","N")</f>
        <v>Y</v>
      </c>
      <c r="FG814" s="0" t="n">
        <f aca="false">ROW()-1</f>
        <v>813</v>
      </c>
    </row>
    <row r="815" customFormat="false" ht="15" hidden="false" customHeight="false" outlineLevel="0" collapsed="false">
      <c r="C815" s="0" t="str">
        <f aca="false">IF($A815="","",IF(AT815="Y",BL815&amp;"",AY815&amp;""))</f>
        <v/>
      </c>
      <c r="D815" s="0" t="str">
        <f aca="false">IF($A815="","",IF(AT815="Y",BM815&amp;"",AZ815&amp;""))</f>
        <v/>
      </c>
      <c r="E815" s="0" t="str">
        <f aca="false">IF($A815="","",IF(AT815="Y",BN815&amp;"",BA815&amp;""))</f>
        <v/>
      </c>
      <c r="F815" s="0" t="str">
        <f aca="false">IF($A815="","",IF(AT815="Y",BO815&amp;"",BB815&amp;""))</f>
        <v/>
      </c>
      <c r="G815" s="0" t="str">
        <f aca="false">IF($A815="","",IF(AT815="Y",BP815&amp;"",BC815&amp;""))</f>
        <v/>
      </c>
      <c r="H815" s="0" t="str">
        <f aca="false">IF($A815="","",IF(AT815="Y",BQ815&amp;"",BD815&amp;""))</f>
        <v/>
      </c>
      <c r="I815" s="0" t="str">
        <f aca="false">IF($A815="","",IF(R815="Y","warm-intro",IF(H815="verified","email",IF(C815&lt;&gt;"","linkedin",CA815&amp;""))))</f>
        <v/>
      </c>
      <c r="J815" s="0" t="str">
        <f aca="false">IF($A815="","",IF(CK815="pass",ROUND(N(DO815)+N(DP815)+N(DQ815)+N(DR815)+N(DS815)+N(DT815)+N(DU815)+N(DV815),0),0))</f>
        <v/>
      </c>
      <c r="K815" s="0" t="str">
        <f aca="false">IF($A815="","",IF(CK815&lt;&gt;"pass",BY815&amp;"",BY815&amp;", "&amp;IF(AT815="Y",BX815&amp;"",BK815&amp;"")&amp;BZ815&amp;IF(R815="Y","; known to the founder (+10)","")&amp;"."))</f>
        <v/>
      </c>
      <c r="R815" s="5"/>
      <c r="T815" s="5"/>
      <c r="U815" s="5"/>
      <c r="Y815" s="0" t="str">
        <f aca="false">IF(FA815&lt;&gt;"Y","",COUNTIFS($FA$2:$FA$1000,"Y",$J$2:$J$1000,"&gt;"&amp;J815)+COUNTIFS($FA$2:$FA$1000,"Y",$J$2:$J$1000,J815,$FG$2:$FG$1000,"&lt;"&amp;FG815)+1)</f>
        <v/>
      </c>
      <c r="AB815" s="0" t="str">
        <f aca="false">IF($A815="","",IF(AT815="Y",BW815&amp;"",BJ815&amp;""))</f>
        <v/>
      </c>
      <c r="AC815" s="0" t="str">
        <f aca="false">IF($A815="","",IF(AT815="Y",BR815&amp;"",BE815&amp;""))</f>
        <v/>
      </c>
      <c r="AD815" s="0" t="str">
        <f aca="false">IF($A815="","",IF(AT815="Y",BS815&amp;"",BF815&amp;""))</f>
        <v/>
      </c>
      <c r="AE815" s="0" t="str">
        <f aca="false">IF($A815="","",IF(AT815="Y",BT815&amp;"",BG815&amp;""))</f>
        <v/>
      </c>
      <c r="AF815" s="0" t="str">
        <f aca="false">IF($A815="","",IF(AT815="Y",BU815&amp;"",BH815&amp;""))</f>
        <v/>
      </c>
      <c r="AG815" s="0" t="str">
        <f aca="false">IF($A815="","",IF(AT815="Y",BV815&amp;"",BI815&amp;""))</f>
        <v/>
      </c>
      <c r="AO815" s="5"/>
      <c r="AR815" s="0" t="str">
        <f aca="false">IF($A815="","",IF(AND(CK815="pass",AO815&lt;&gt;"Y",C815&lt;&gt;"",OR(AU815&lt;&gt;"Y",AV815="Y")),"Y","N"))</f>
        <v/>
      </c>
      <c r="AS815" s="0" t="str">
        <f aca="false">IF($A815="","",_xlfn.TEXTJOIN("; ",TRUE(),IF(CK815&lt;&gt;"pass","gated out",""),IF(AO815="Y","on hold: "&amp;AP815,""),IF(C815="","no contact named on an opened page",""),IF(AND(AU815="Y",AV815&lt;&gt;"Y"),"founder review pending (Founder review tab)","")))</f>
        <v/>
      </c>
      <c r="BC815" s="0" t="str">
        <f aca="false">IF($A815="","",IFERROR(INDEX(Enrichment!$A$2:$GZ$2000,MATCH($A815,INDEX(Enrichment!$A$2:$GZ$2000,0,MATCH("row_id",Enrichment!$A$1:$GZ$1,0)),0),MATCH("work_email",Enrichment!$A$1:$GZ$1,0))&amp;"",""))</f>
        <v/>
      </c>
      <c r="BD815" s="0" t="str">
        <f aca="false">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P815" s="0" t="str">
        <f aca="false">IF($A815="","",IFERROR(INDEX(Enrichment!$A$2:$GZ$2000,MATCH($A815,INDEX(Enrichment!$A$2:$GZ$2000,0,MATCH("row_id",Enrichment!$A$1:$GZ$1,0)),0),MATCH("backup_work_email",Enrichment!$A$1:$GZ$1,0))&amp;"",""))</f>
        <v/>
      </c>
      <c r="BQ815" s="0" t="str">
        <f aca="false">IF($A815="","",IF(BP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DU815" s="0" t="str">
        <f aca="false">IF($A815="","",IF(R815="Y",10,0))</f>
        <v/>
      </c>
      <c r="EV815" s="0" t="str">
        <f aca="false">IF($A815="","",IF(ISNUMBER(MATCH(U815,{"queued","contacted","replied","call_booked","call_done","yes_in_principle","materials_sent"},0)),"Y","N"))</f>
        <v/>
      </c>
      <c r="EW815" s="0" t="str">
        <f aca="false">IF($A815="","",IF(OR(T815="Y",U815="do_not_contact",AQ815&amp;""&lt;&gt;""),"Y","N"))</f>
        <v/>
      </c>
      <c r="EX815" s="0" t="str">
        <f aca="false">IF($A815="","",IF(AN815&amp;""&lt;&gt;"",AN815&amp;"",$A815))</f>
        <v/>
      </c>
      <c r="EY815" s="0" t="str">
        <f aca="false">IF($A815="","",IF(COUNTIFS($EX$2:$EX$1000,EX815,$EV$2:$EV$1000,"Y")+COUNTIFS($EX$2:$EX$1000,EX815,$EW$2:$EW$1000,"Y")&gt;0,"Y","N"))</f>
        <v/>
      </c>
      <c r="EZ815" s="0" t="str">
        <f aca="false">IF($A815="","",IF(AND(U815="new",T815="N",EW815="N",AR815="Y",EY815="N"),"Y","N"))</f>
        <v/>
      </c>
      <c r="FA815" s="0" t="str">
        <f aca="false">IF($A815="","",IF(EZ815&lt;&gt;"Y","N",IF(COUNTIFS($EX$2:$EX$1000,EX815,$EZ$2:$EZ$1000,"Y",$J$2:$J$1000,"&gt;"&amp;J815)+COUNTIFS($EX$2:$EX$1000,EX815,$EZ$2:$EZ$1000,"Y",$J$2:$J$1000,J815,$FG$2:$FG$1000,"&lt;"&amp;FG815)=0,"Y","N")))</f>
        <v/>
      </c>
      <c r="FB815" s="0" t="str">
        <f aca="false">IF($A815="","",IF(AND(EZ815="Y",FA815="Y",Y815&amp;""&lt;&gt;""),IF(Y815&lt;=10,"Y","N"),"N"))</f>
        <v/>
      </c>
      <c r="FC815" s="0" t="str">
        <f aca="false">IF(FB815="Y",Y815,"")</f>
        <v/>
      </c>
      <c r="FD815" s="0" t="str">
        <f aca="false">IF($A815="","",IF(AND(CK815="pass",AU815="Y",AV815&lt;&gt;"Y",U815="new",EW815="N"),"Y","N"))</f>
        <v/>
      </c>
      <c r="FE815" s="0" t="str">
        <f aca="false">IF(FD815&lt;&gt;"Y","",IF(COUNTIFS($FD$2:$FD$1000,"Y",$J$2:$J$1000,"&gt;"&amp;J815)+COUNTIFS($FD$2:$FD$1000,"Y",$J$2:$J$1000,J815,$FG$2:$FG$1000,"&lt;"&amp;FG815)+1&lt;=30,COUNTIFS($FD$2:$FD$1000,"Y",$J$2:$J$1000,"&gt;"&amp;J815)+COUNTIFS($FD$2:$FD$1000,"Y",$J$2:$J$1000,J815,$FG$2:$FG$1000,"&lt;"&amp;FG815)+1,""))</f>
        <v/>
      </c>
      <c r="FF815" s="0" t="str">
        <f aca="false">IF(AND(_xlfn.ISFORMULA(C815),_xlfn.ISFORMULA(J815)),"Y","N")</f>
        <v>Y</v>
      </c>
      <c r="FG815" s="0" t="n">
        <f aca="false">ROW()-1</f>
        <v>814</v>
      </c>
    </row>
    <row r="816" customFormat="false" ht="15" hidden="false" customHeight="false" outlineLevel="0" collapsed="false">
      <c r="C816" s="0" t="str">
        <f aca="false">IF($A816="","",IF(AT816="Y",BL816&amp;"",AY816&amp;""))</f>
        <v/>
      </c>
      <c r="D816" s="0" t="str">
        <f aca="false">IF($A816="","",IF(AT816="Y",BM816&amp;"",AZ816&amp;""))</f>
        <v/>
      </c>
      <c r="E816" s="0" t="str">
        <f aca="false">IF($A816="","",IF(AT816="Y",BN816&amp;"",BA816&amp;""))</f>
        <v/>
      </c>
      <c r="F816" s="0" t="str">
        <f aca="false">IF($A816="","",IF(AT816="Y",BO816&amp;"",BB816&amp;""))</f>
        <v/>
      </c>
      <c r="G816" s="0" t="str">
        <f aca="false">IF($A816="","",IF(AT816="Y",BP816&amp;"",BC816&amp;""))</f>
        <v/>
      </c>
      <c r="H816" s="0" t="str">
        <f aca="false">IF($A816="","",IF(AT816="Y",BQ816&amp;"",BD816&amp;""))</f>
        <v/>
      </c>
      <c r="I816" s="0" t="str">
        <f aca="false">IF($A816="","",IF(R816="Y","warm-intro",IF(H816="verified","email",IF(C816&lt;&gt;"","linkedin",CA816&amp;""))))</f>
        <v/>
      </c>
      <c r="J816" s="0" t="str">
        <f aca="false">IF($A816="","",IF(CK816="pass",ROUND(N(DO816)+N(DP816)+N(DQ816)+N(DR816)+N(DS816)+N(DT816)+N(DU816)+N(DV816),0),0))</f>
        <v/>
      </c>
      <c r="K816" s="0" t="str">
        <f aca="false">IF($A816="","",IF(CK816&lt;&gt;"pass",BY816&amp;"",BY816&amp;", "&amp;IF(AT816="Y",BX816&amp;"",BK816&amp;"")&amp;BZ816&amp;IF(R816="Y","; known to the founder (+10)","")&amp;"."))</f>
        <v/>
      </c>
      <c r="R816" s="5"/>
      <c r="T816" s="5"/>
      <c r="U816" s="5"/>
      <c r="Y816" s="0" t="str">
        <f aca="false">IF(FA816&lt;&gt;"Y","",COUNTIFS($FA$2:$FA$1000,"Y",$J$2:$J$1000,"&gt;"&amp;J816)+COUNTIFS($FA$2:$FA$1000,"Y",$J$2:$J$1000,J816,$FG$2:$FG$1000,"&lt;"&amp;FG816)+1)</f>
        <v/>
      </c>
      <c r="AB816" s="0" t="str">
        <f aca="false">IF($A816="","",IF(AT816="Y",BW816&amp;"",BJ816&amp;""))</f>
        <v/>
      </c>
      <c r="AC816" s="0" t="str">
        <f aca="false">IF($A816="","",IF(AT816="Y",BR816&amp;"",BE816&amp;""))</f>
        <v/>
      </c>
      <c r="AD816" s="0" t="str">
        <f aca="false">IF($A816="","",IF(AT816="Y",BS816&amp;"",BF816&amp;""))</f>
        <v/>
      </c>
      <c r="AE816" s="0" t="str">
        <f aca="false">IF($A816="","",IF(AT816="Y",BT816&amp;"",BG816&amp;""))</f>
        <v/>
      </c>
      <c r="AF816" s="0" t="str">
        <f aca="false">IF($A816="","",IF(AT816="Y",BU816&amp;"",BH816&amp;""))</f>
        <v/>
      </c>
      <c r="AG816" s="0" t="str">
        <f aca="false">IF($A816="","",IF(AT816="Y",BV816&amp;"",BI816&amp;""))</f>
        <v/>
      </c>
      <c r="AO816" s="5"/>
      <c r="AR816" s="0" t="str">
        <f aca="false">IF($A816="","",IF(AND(CK816="pass",AO816&lt;&gt;"Y",C816&lt;&gt;"",OR(AU816&lt;&gt;"Y",AV816="Y")),"Y","N"))</f>
        <v/>
      </c>
      <c r="AS816" s="0" t="str">
        <f aca="false">IF($A816="","",_xlfn.TEXTJOIN("; ",TRUE(),IF(CK816&lt;&gt;"pass","gated out",""),IF(AO816="Y","on hold: "&amp;AP816,""),IF(C816="","no contact named on an opened page",""),IF(AND(AU816="Y",AV816&lt;&gt;"Y"),"founder review pending (Founder review tab)","")))</f>
        <v/>
      </c>
      <c r="BC816" s="0" t="str">
        <f aca="false">IF($A816="","",IFERROR(INDEX(Enrichment!$A$2:$GZ$2000,MATCH($A816,INDEX(Enrichment!$A$2:$GZ$2000,0,MATCH("row_id",Enrichment!$A$1:$GZ$1,0)),0),MATCH("work_email",Enrichment!$A$1:$GZ$1,0))&amp;"",""))</f>
        <v/>
      </c>
      <c r="BD816" s="0" t="str">
        <f aca="false">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P816" s="0" t="str">
        <f aca="false">IF($A816="","",IFERROR(INDEX(Enrichment!$A$2:$GZ$2000,MATCH($A816,INDEX(Enrichment!$A$2:$GZ$2000,0,MATCH("row_id",Enrichment!$A$1:$GZ$1,0)),0),MATCH("backup_work_email",Enrichment!$A$1:$GZ$1,0))&amp;"",""))</f>
        <v/>
      </c>
      <c r="BQ816" s="0" t="str">
        <f aca="false">IF($A816="","",IF(BP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DU816" s="0" t="str">
        <f aca="false">IF($A816="","",IF(R816="Y",10,0))</f>
        <v/>
      </c>
      <c r="EV816" s="0" t="str">
        <f aca="false">IF($A816="","",IF(ISNUMBER(MATCH(U816,{"queued","contacted","replied","call_booked","call_done","yes_in_principle","materials_sent"},0)),"Y","N"))</f>
        <v/>
      </c>
      <c r="EW816" s="0" t="str">
        <f aca="false">IF($A816="","",IF(OR(T816="Y",U816="do_not_contact",AQ816&amp;""&lt;&gt;""),"Y","N"))</f>
        <v/>
      </c>
      <c r="EX816" s="0" t="str">
        <f aca="false">IF($A816="","",IF(AN816&amp;""&lt;&gt;"",AN816&amp;"",$A816))</f>
        <v/>
      </c>
      <c r="EY816" s="0" t="str">
        <f aca="false">IF($A816="","",IF(COUNTIFS($EX$2:$EX$1000,EX816,$EV$2:$EV$1000,"Y")+COUNTIFS($EX$2:$EX$1000,EX816,$EW$2:$EW$1000,"Y")&gt;0,"Y","N"))</f>
        <v/>
      </c>
      <c r="EZ816" s="0" t="str">
        <f aca="false">IF($A816="","",IF(AND(U816="new",T816="N",EW816="N",AR816="Y",EY816="N"),"Y","N"))</f>
        <v/>
      </c>
      <c r="FA816" s="0" t="str">
        <f aca="false">IF($A816="","",IF(EZ816&lt;&gt;"Y","N",IF(COUNTIFS($EX$2:$EX$1000,EX816,$EZ$2:$EZ$1000,"Y",$J$2:$J$1000,"&gt;"&amp;J816)+COUNTIFS($EX$2:$EX$1000,EX816,$EZ$2:$EZ$1000,"Y",$J$2:$J$1000,J816,$FG$2:$FG$1000,"&lt;"&amp;FG816)=0,"Y","N")))</f>
        <v/>
      </c>
      <c r="FB816" s="0" t="str">
        <f aca="false">IF($A816="","",IF(AND(EZ816="Y",FA816="Y",Y816&amp;""&lt;&gt;""),IF(Y816&lt;=10,"Y","N"),"N"))</f>
        <v/>
      </c>
      <c r="FC816" s="0" t="str">
        <f aca="false">IF(FB816="Y",Y816,"")</f>
        <v/>
      </c>
      <c r="FD816" s="0" t="str">
        <f aca="false">IF($A816="","",IF(AND(CK816="pass",AU816="Y",AV816&lt;&gt;"Y",U816="new",EW816="N"),"Y","N"))</f>
        <v/>
      </c>
      <c r="FE816" s="0" t="str">
        <f aca="false">IF(FD816&lt;&gt;"Y","",IF(COUNTIFS($FD$2:$FD$1000,"Y",$J$2:$J$1000,"&gt;"&amp;J816)+COUNTIFS($FD$2:$FD$1000,"Y",$J$2:$J$1000,J816,$FG$2:$FG$1000,"&lt;"&amp;FG816)+1&lt;=30,COUNTIFS($FD$2:$FD$1000,"Y",$J$2:$J$1000,"&gt;"&amp;J816)+COUNTIFS($FD$2:$FD$1000,"Y",$J$2:$J$1000,J816,$FG$2:$FG$1000,"&lt;"&amp;FG816)+1,""))</f>
        <v/>
      </c>
      <c r="FF816" s="0" t="str">
        <f aca="false">IF(AND(_xlfn.ISFORMULA(C816),_xlfn.ISFORMULA(J816)),"Y","N")</f>
        <v>Y</v>
      </c>
      <c r="FG816" s="0" t="n">
        <f aca="false">ROW()-1</f>
        <v>815</v>
      </c>
    </row>
    <row r="817" customFormat="false" ht="15" hidden="false" customHeight="false" outlineLevel="0" collapsed="false">
      <c r="C817" s="0" t="str">
        <f aca="false">IF($A817="","",IF(AT817="Y",BL817&amp;"",AY817&amp;""))</f>
        <v/>
      </c>
      <c r="D817" s="0" t="str">
        <f aca="false">IF($A817="","",IF(AT817="Y",BM817&amp;"",AZ817&amp;""))</f>
        <v/>
      </c>
      <c r="E817" s="0" t="str">
        <f aca="false">IF($A817="","",IF(AT817="Y",BN817&amp;"",BA817&amp;""))</f>
        <v/>
      </c>
      <c r="F817" s="0" t="str">
        <f aca="false">IF($A817="","",IF(AT817="Y",BO817&amp;"",BB817&amp;""))</f>
        <v/>
      </c>
      <c r="G817" s="0" t="str">
        <f aca="false">IF($A817="","",IF(AT817="Y",BP817&amp;"",BC817&amp;""))</f>
        <v/>
      </c>
      <c r="H817" s="0" t="str">
        <f aca="false">IF($A817="","",IF(AT817="Y",BQ817&amp;"",BD817&amp;""))</f>
        <v/>
      </c>
      <c r="I817" s="0" t="str">
        <f aca="false">IF($A817="","",IF(R817="Y","warm-intro",IF(H817="verified","email",IF(C817&lt;&gt;"","linkedin",CA817&amp;""))))</f>
        <v/>
      </c>
      <c r="J817" s="0" t="str">
        <f aca="false">IF($A817="","",IF(CK817="pass",ROUND(N(DO817)+N(DP817)+N(DQ817)+N(DR817)+N(DS817)+N(DT817)+N(DU817)+N(DV817),0),0))</f>
        <v/>
      </c>
      <c r="K817" s="0" t="str">
        <f aca="false">IF($A817="","",IF(CK817&lt;&gt;"pass",BY817&amp;"",BY817&amp;", "&amp;IF(AT817="Y",BX817&amp;"",BK817&amp;"")&amp;BZ817&amp;IF(R817="Y","; known to the founder (+10)","")&amp;"."))</f>
        <v/>
      </c>
      <c r="R817" s="5"/>
      <c r="T817" s="5"/>
      <c r="U817" s="5"/>
      <c r="Y817" s="0" t="str">
        <f aca="false">IF(FA817&lt;&gt;"Y","",COUNTIFS($FA$2:$FA$1000,"Y",$J$2:$J$1000,"&gt;"&amp;J817)+COUNTIFS($FA$2:$FA$1000,"Y",$J$2:$J$1000,J817,$FG$2:$FG$1000,"&lt;"&amp;FG817)+1)</f>
        <v/>
      </c>
      <c r="AB817" s="0" t="str">
        <f aca="false">IF($A817="","",IF(AT817="Y",BW817&amp;"",BJ817&amp;""))</f>
        <v/>
      </c>
      <c r="AC817" s="0" t="str">
        <f aca="false">IF($A817="","",IF(AT817="Y",BR817&amp;"",BE817&amp;""))</f>
        <v/>
      </c>
      <c r="AD817" s="0" t="str">
        <f aca="false">IF($A817="","",IF(AT817="Y",BS817&amp;"",BF817&amp;""))</f>
        <v/>
      </c>
      <c r="AE817" s="0" t="str">
        <f aca="false">IF($A817="","",IF(AT817="Y",BT817&amp;"",BG817&amp;""))</f>
        <v/>
      </c>
      <c r="AF817" s="0" t="str">
        <f aca="false">IF($A817="","",IF(AT817="Y",BU817&amp;"",BH817&amp;""))</f>
        <v/>
      </c>
      <c r="AG817" s="0" t="str">
        <f aca="false">IF($A817="","",IF(AT817="Y",BV817&amp;"",BI817&amp;""))</f>
        <v/>
      </c>
      <c r="AO817" s="5"/>
      <c r="AR817" s="0" t="str">
        <f aca="false">IF($A817="","",IF(AND(CK817="pass",AO817&lt;&gt;"Y",C817&lt;&gt;"",OR(AU817&lt;&gt;"Y",AV817="Y")),"Y","N"))</f>
        <v/>
      </c>
      <c r="AS817" s="0" t="str">
        <f aca="false">IF($A817="","",_xlfn.TEXTJOIN("; ",TRUE(),IF(CK817&lt;&gt;"pass","gated out",""),IF(AO817="Y","on hold: "&amp;AP817,""),IF(C817="","no contact named on an opened page",""),IF(AND(AU817="Y",AV817&lt;&gt;"Y"),"founder review pending (Founder review tab)","")))</f>
        <v/>
      </c>
      <c r="BC817" s="0" t="str">
        <f aca="false">IF($A817="","",IFERROR(INDEX(Enrichment!$A$2:$GZ$2000,MATCH($A817,INDEX(Enrichment!$A$2:$GZ$2000,0,MATCH("row_id",Enrichment!$A$1:$GZ$1,0)),0),MATCH("work_email",Enrichment!$A$1:$GZ$1,0))&amp;"",""))</f>
        <v/>
      </c>
      <c r="BD817" s="0" t="str">
        <f aca="false">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P817" s="0" t="str">
        <f aca="false">IF($A817="","",IFERROR(INDEX(Enrichment!$A$2:$GZ$2000,MATCH($A817,INDEX(Enrichment!$A$2:$GZ$2000,0,MATCH("row_id",Enrichment!$A$1:$GZ$1,0)),0),MATCH("backup_work_email",Enrichment!$A$1:$GZ$1,0))&amp;"",""))</f>
        <v/>
      </c>
      <c r="BQ817" s="0" t="str">
        <f aca="false">IF($A817="","",IF(BP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DU817" s="0" t="str">
        <f aca="false">IF($A817="","",IF(R817="Y",10,0))</f>
        <v/>
      </c>
      <c r="EV817" s="0" t="str">
        <f aca="false">IF($A817="","",IF(ISNUMBER(MATCH(U817,{"queued","contacted","replied","call_booked","call_done","yes_in_principle","materials_sent"},0)),"Y","N"))</f>
        <v/>
      </c>
      <c r="EW817" s="0" t="str">
        <f aca="false">IF($A817="","",IF(OR(T817="Y",U817="do_not_contact",AQ817&amp;""&lt;&gt;""),"Y","N"))</f>
        <v/>
      </c>
      <c r="EX817" s="0" t="str">
        <f aca="false">IF($A817="","",IF(AN817&amp;""&lt;&gt;"",AN817&amp;"",$A817))</f>
        <v/>
      </c>
      <c r="EY817" s="0" t="str">
        <f aca="false">IF($A817="","",IF(COUNTIFS($EX$2:$EX$1000,EX817,$EV$2:$EV$1000,"Y")+COUNTIFS($EX$2:$EX$1000,EX817,$EW$2:$EW$1000,"Y")&gt;0,"Y","N"))</f>
        <v/>
      </c>
      <c r="EZ817" s="0" t="str">
        <f aca="false">IF($A817="","",IF(AND(U817="new",T817="N",EW817="N",AR817="Y",EY817="N"),"Y","N"))</f>
        <v/>
      </c>
      <c r="FA817" s="0" t="str">
        <f aca="false">IF($A817="","",IF(EZ817&lt;&gt;"Y","N",IF(COUNTIFS($EX$2:$EX$1000,EX817,$EZ$2:$EZ$1000,"Y",$J$2:$J$1000,"&gt;"&amp;J817)+COUNTIFS($EX$2:$EX$1000,EX817,$EZ$2:$EZ$1000,"Y",$J$2:$J$1000,J817,$FG$2:$FG$1000,"&lt;"&amp;FG817)=0,"Y","N")))</f>
        <v/>
      </c>
      <c r="FB817" s="0" t="str">
        <f aca="false">IF($A817="","",IF(AND(EZ817="Y",FA817="Y",Y817&amp;""&lt;&gt;""),IF(Y817&lt;=10,"Y","N"),"N"))</f>
        <v/>
      </c>
      <c r="FC817" s="0" t="str">
        <f aca="false">IF(FB817="Y",Y817,"")</f>
        <v/>
      </c>
      <c r="FD817" s="0" t="str">
        <f aca="false">IF($A817="","",IF(AND(CK817="pass",AU817="Y",AV817&lt;&gt;"Y",U817="new",EW817="N"),"Y","N"))</f>
        <v/>
      </c>
      <c r="FE817" s="0" t="str">
        <f aca="false">IF(FD817&lt;&gt;"Y","",IF(COUNTIFS($FD$2:$FD$1000,"Y",$J$2:$J$1000,"&gt;"&amp;J817)+COUNTIFS($FD$2:$FD$1000,"Y",$J$2:$J$1000,J817,$FG$2:$FG$1000,"&lt;"&amp;FG817)+1&lt;=30,COUNTIFS($FD$2:$FD$1000,"Y",$J$2:$J$1000,"&gt;"&amp;J817)+COUNTIFS($FD$2:$FD$1000,"Y",$J$2:$J$1000,J817,$FG$2:$FG$1000,"&lt;"&amp;FG817)+1,""))</f>
        <v/>
      </c>
      <c r="FF817" s="0" t="str">
        <f aca="false">IF(AND(_xlfn.ISFORMULA(C817),_xlfn.ISFORMULA(J817)),"Y","N")</f>
        <v>Y</v>
      </c>
      <c r="FG817" s="0" t="n">
        <f aca="false">ROW()-1</f>
        <v>816</v>
      </c>
    </row>
    <row r="818" customFormat="false" ht="15" hidden="false" customHeight="false" outlineLevel="0" collapsed="false">
      <c r="C818" s="0" t="str">
        <f aca="false">IF($A818="","",IF(AT818="Y",BL818&amp;"",AY818&amp;""))</f>
        <v/>
      </c>
      <c r="D818" s="0" t="str">
        <f aca="false">IF($A818="","",IF(AT818="Y",BM818&amp;"",AZ818&amp;""))</f>
        <v/>
      </c>
      <c r="E818" s="0" t="str">
        <f aca="false">IF($A818="","",IF(AT818="Y",BN818&amp;"",BA818&amp;""))</f>
        <v/>
      </c>
      <c r="F818" s="0" t="str">
        <f aca="false">IF($A818="","",IF(AT818="Y",BO818&amp;"",BB818&amp;""))</f>
        <v/>
      </c>
      <c r="G818" s="0" t="str">
        <f aca="false">IF($A818="","",IF(AT818="Y",BP818&amp;"",BC818&amp;""))</f>
        <v/>
      </c>
      <c r="H818" s="0" t="str">
        <f aca="false">IF($A818="","",IF(AT818="Y",BQ818&amp;"",BD818&amp;""))</f>
        <v/>
      </c>
      <c r="I818" s="0" t="str">
        <f aca="false">IF($A818="","",IF(R818="Y","warm-intro",IF(H818="verified","email",IF(C818&lt;&gt;"","linkedin",CA818&amp;""))))</f>
        <v/>
      </c>
      <c r="J818" s="0" t="str">
        <f aca="false">IF($A818="","",IF(CK818="pass",ROUND(N(DO818)+N(DP818)+N(DQ818)+N(DR818)+N(DS818)+N(DT818)+N(DU818)+N(DV818),0),0))</f>
        <v/>
      </c>
      <c r="K818" s="0" t="str">
        <f aca="false">IF($A818="","",IF(CK818&lt;&gt;"pass",BY818&amp;"",BY818&amp;", "&amp;IF(AT818="Y",BX818&amp;"",BK818&amp;"")&amp;BZ818&amp;IF(R818="Y","; known to the founder (+10)","")&amp;"."))</f>
        <v/>
      </c>
      <c r="R818" s="5"/>
      <c r="T818" s="5"/>
      <c r="U818" s="5"/>
      <c r="Y818" s="0" t="str">
        <f aca="false">IF(FA818&lt;&gt;"Y","",COUNTIFS($FA$2:$FA$1000,"Y",$J$2:$J$1000,"&gt;"&amp;J818)+COUNTIFS($FA$2:$FA$1000,"Y",$J$2:$J$1000,J818,$FG$2:$FG$1000,"&lt;"&amp;FG818)+1)</f>
        <v/>
      </c>
      <c r="AB818" s="0" t="str">
        <f aca="false">IF($A818="","",IF(AT818="Y",BW818&amp;"",BJ818&amp;""))</f>
        <v/>
      </c>
      <c r="AC818" s="0" t="str">
        <f aca="false">IF($A818="","",IF(AT818="Y",BR818&amp;"",BE818&amp;""))</f>
        <v/>
      </c>
      <c r="AD818" s="0" t="str">
        <f aca="false">IF($A818="","",IF(AT818="Y",BS818&amp;"",BF818&amp;""))</f>
        <v/>
      </c>
      <c r="AE818" s="0" t="str">
        <f aca="false">IF($A818="","",IF(AT818="Y",BT818&amp;"",BG818&amp;""))</f>
        <v/>
      </c>
      <c r="AF818" s="0" t="str">
        <f aca="false">IF($A818="","",IF(AT818="Y",BU818&amp;"",BH818&amp;""))</f>
        <v/>
      </c>
      <c r="AG818" s="0" t="str">
        <f aca="false">IF($A818="","",IF(AT818="Y",BV818&amp;"",BI818&amp;""))</f>
        <v/>
      </c>
      <c r="AO818" s="5"/>
      <c r="AR818" s="0" t="str">
        <f aca="false">IF($A818="","",IF(AND(CK818="pass",AO818&lt;&gt;"Y",C818&lt;&gt;"",OR(AU818&lt;&gt;"Y",AV818="Y")),"Y","N"))</f>
        <v/>
      </c>
      <c r="AS818" s="0" t="str">
        <f aca="false">IF($A818="","",_xlfn.TEXTJOIN("; ",TRUE(),IF(CK818&lt;&gt;"pass","gated out",""),IF(AO818="Y","on hold: "&amp;AP818,""),IF(C818="","no contact named on an opened page",""),IF(AND(AU818="Y",AV818&lt;&gt;"Y"),"founder review pending (Founder review tab)","")))</f>
        <v/>
      </c>
      <c r="BC818" s="0" t="str">
        <f aca="false">IF($A818="","",IFERROR(INDEX(Enrichment!$A$2:$GZ$2000,MATCH($A818,INDEX(Enrichment!$A$2:$GZ$2000,0,MATCH("row_id",Enrichment!$A$1:$GZ$1,0)),0),MATCH("work_email",Enrichment!$A$1:$GZ$1,0))&amp;"",""))</f>
        <v/>
      </c>
      <c r="BD818" s="0" t="str">
        <f aca="false">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P818" s="0" t="str">
        <f aca="false">IF($A818="","",IFERROR(INDEX(Enrichment!$A$2:$GZ$2000,MATCH($A818,INDEX(Enrichment!$A$2:$GZ$2000,0,MATCH("row_id",Enrichment!$A$1:$GZ$1,0)),0),MATCH("backup_work_email",Enrichment!$A$1:$GZ$1,0))&amp;"",""))</f>
        <v/>
      </c>
      <c r="BQ818" s="0" t="str">
        <f aca="false">IF($A818="","",IF(BP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DU818" s="0" t="str">
        <f aca="false">IF($A818="","",IF(R818="Y",10,0))</f>
        <v/>
      </c>
      <c r="EV818" s="0" t="str">
        <f aca="false">IF($A818="","",IF(ISNUMBER(MATCH(U818,{"queued","contacted","replied","call_booked","call_done","yes_in_principle","materials_sent"},0)),"Y","N"))</f>
        <v/>
      </c>
      <c r="EW818" s="0" t="str">
        <f aca="false">IF($A818="","",IF(OR(T818="Y",U818="do_not_contact",AQ818&amp;""&lt;&gt;""),"Y","N"))</f>
        <v/>
      </c>
      <c r="EX818" s="0" t="str">
        <f aca="false">IF($A818="","",IF(AN818&amp;""&lt;&gt;"",AN818&amp;"",$A818))</f>
        <v/>
      </c>
      <c r="EY818" s="0" t="str">
        <f aca="false">IF($A818="","",IF(COUNTIFS($EX$2:$EX$1000,EX818,$EV$2:$EV$1000,"Y")+COUNTIFS($EX$2:$EX$1000,EX818,$EW$2:$EW$1000,"Y")&gt;0,"Y","N"))</f>
        <v/>
      </c>
      <c r="EZ818" s="0" t="str">
        <f aca="false">IF($A818="","",IF(AND(U818="new",T818="N",EW818="N",AR818="Y",EY818="N"),"Y","N"))</f>
        <v/>
      </c>
      <c r="FA818" s="0" t="str">
        <f aca="false">IF($A818="","",IF(EZ818&lt;&gt;"Y","N",IF(COUNTIFS($EX$2:$EX$1000,EX818,$EZ$2:$EZ$1000,"Y",$J$2:$J$1000,"&gt;"&amp;J818)+COUNTIFS($EX$2:$EX$1000,EX818,$EZ$2:$EZ$1000,"Y",$J$2:$J$1000,J818,$FG$2:$FG$1000,"&lt;"&amp;FG818)=0,"Y","N")))</f>
        <v/>
      </c>
      <c r="FB818" s="0" t="str">
        <f aca="false">IF($A818="","",IF(AND(EZ818="Y",FA818="Y",Y818&amp;""&lt;&gt;""),IF(Y818&lt;=10,"Y","N"),"N"))</f>
        <v/>
      </c>
      <c r="FC818" s="0" t="str">
        <f aca="false">IF(FB818="Y",Y818,"")</f>
        <v/>
      </c>
      <c r="FD818" s="0" t="str">
        <f aca="false">IF($A818="","",IF(AND(CK818="pass",AU818="Y",AV818&lt;&gt;"Y",U818="new",EW818="N"),"Y","N"))</f>
        <v/>
      </c>
      <c r="FE818" s="0" t="str">
        <f aca="false">IF(FD818&lt;&gt;"Y","",IF(COUNTIFS($FD$2:$FD$1000,"Y",$J$2:$J$1000,"&gt;"&amp;J818)+COUNTIFS($FD$2:$FD$1000,"Y",$J$2:$J$1000,J818,$FG$2:$FG$1000,"&lt;"&amp;FG818)+1&lt;=30,COUNTIFS($FD$2:$FD$1000,"Y",$J$2:$J$1000,"&gt;"&amp;J818)+COUNTIFS($FD$2:$FD$1000,"Y",$J$2:$J$1000,J818,$FG$2:$FG$1000,"&lt;"&amp;FG818)+1,""))</f>
        <v/>
      </c>
      <c r="FF818" s="0" t="str">
        <f aca="false">IF(AND(_xlfn.ISFORMULA(C818),_xlfn.ISFORMULA(J818)),"Y","N")</f>
        <v>Y</v>
      </c>
      <c r="FG818" s="0" t="n">
        <f aca="false">ROW()-1</f>
        <v>817</v>
      </c>
    </row>
    <row r="819" customFormat="false" ht="15" hidden="false" customHeight="false" outlineLevel="0" collapsed="false">
      <c r="C819" s="0" t="str">
        <f aca="false">IF($A819="","",IF(AT819="Y",BL819&amp;"",AY819&amp;""))</f>
        <v/>
      </c>
      <c r="D819" s="0" t="str">
        <f aca="false">IF($A819="","",IF(AT819="Y",BM819&amp;"",AZ819&amp;""))</f>
        <v/>
      </c>
      <c r="E819" s="0" t="str">
        <f aca="false">IF($A819="","",IF(AT819="Y",BN819&amp;"",BA819&amp;""))</f>
        <v/>
      </c>
      <c r="F819" s="0" t="str">
        <f aca="false">IF($A819="","",IF(AT819="Y",BO819&amp;"",BB819&amp;""))</f>
        <v/>
      </c>
      <c r="G819" s="0" t="str">
        <f aca="false">IF($A819="","",IF(AT819="Y",BP819&amp;"",BC819&amp;""))</f>
        <v/>
      </c>
      <c r="H819" s="0" t="str">
        <f aca="false">IF($A819="","",IF(AT819="Y",BQ819&amp;"",BD819&amp;""))</f>
        <v/>
      </c>
      <c r="I819" s="0" t="str">
        <f aca="false">IF($A819="","",IF(R819="Y","warm-intro",IF(H819="verified","email",IF(C819&lt;&gt;"","linkedin",CA819&amp;""))))</f>
        <v/>
      </c>
      <c r="J819" s="0" t="str">
        <f aca="false">IF($A819="","",IF(CK819="pass",ROUND(N(DO819)+N(DP819)+N(DQ819)+N(DR819)+N(DS819)+N(DT819)+N(DU819)+N(DV819),0),0))</f>
        <v/>
      </c>
      <c r="K819" s="0" t="str">
        <f aca="false">IF($A819="","",IF(CK819&lt;&gt;"pass",BY819&amp;"",BY819&amp;", "&amp;IF(AT819="Y",BX819&amp;"",BK819&amp;"")&amp;BZ819&amp;IF(R819="Y","; known to the founder (+10)","")&amp;"."))</f>
        <v/>
      </c>
      <c r="R819" s="5"/>
      <c r="T819" s="5"/>
      <c r="U819" s="5"/>
      <c r="Y819" s="0" t="str">
        <f aca="false">IF(FA819&lt;&gt;"Y","",COUNTIFS($FA$2:$FA$1000,"Y",$J$2:$J$1000,"&gt;"&amp;J819)+COUNTIFS($FA$2:$FA$1000,"Y",$J$2:$J$1000,J819,$FG$2:$FG$1000,"&lt;"&amp;FG819)+1)</f>
        <v/>
      </c>
      <c r="AB819" s="0" t="str">
        <f aca="false">IF($A819="","",IF(AT819="Y",BW819&amp;"",BJ819&amp;""))</f>
        <v/>
      </c>
      <c r="AC819" s="0" t="str">
        <f aca="false">IF($A819="","",IF(AT819="Y",BR819&amp;"",BE819&amp;""))</f>
        <v/>
      </c>
      <c r="AD819" s="0" t="str">
        <f aca="false">IF($A819="","",IF(AT819="Y",BS819&amp;"",BF819&amp;""))</f>
        <v/>
      </c>
      <c r="AE819" s="0" t="str">
        <f aca="false">IF($A819="","",IF(AT819="Y",BT819&amp;"",BG819&amp;""))</f>
        <v/>
      </c>
      <c r="AF819" s="0" t="str">
        <f aca="false">IF($A819="","",IF(AT819="Y",BU819&amp;"",BH819&amp;""))</f>
        <v/>
      </c>
      <c r="AG819" s="0" t="str">
        <f aca="false">IF($A819="","",IF(AT819="Y",BV819&amp;"",BI819&amp;""))</f>
        <v/>
      </c>
      <c r="AO819" s="5"/>
      <c r="AR819" s="0" t="str">
        <f aca="false">IF($A819="","",IF(AND(CK819="pass",AO819&lt;&gt;"Y",C819&lt;&gt;"",OR(AU819&lt;&gt;"Y",AV819="Y")),"Y","N"))</f>
        <v/>
      </c>
      <c r="AS819" s="0" t="str">
        <f aca="false">IF($A819="","",_xlfn.TEXTJOIN("; ",TRUE(),IF(CK819&lt;&gt;"pass","gated out",""),IF(AO819="Y","on hold: "&amp;AP819,""),IF(C819="","no contact named on an opened page",""),IF(AND(AU819="Y",AV819&lt;&gt;"Y"),"founder review pending (Founder review tab)","")))</f>
        <v/>
      </c>
      <c r="BC819" s="0" t="str">
        <f aca="false">IF($A819="","",IFERROR(INDEX(Enrichment!$A$2:$GZ$2000,MATCH($A819,INDEX(Enrichment!$A$2:$GZ$2000,0,MATCH("row_id",Enrichment!$A$1:$GZ$1,0)),0),MATCH("work_email",Enrichment!$A$1:$GZ$1,0))&amp;"",""))</f>
        <v/>
      </c>
      <c r="BD819" s="0" t="str">
        <f aca="false">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P819" s="0" t="str">
        <f aca="false">IF($A819="","",IFERROR(INDEX(Enrichment!$A$2:$GZ$2000,MATCH($A819,INDEX(Enrichment!$A$2:$GZ$2000,0,MATCH("row_id",Enrichment!$A$1:$GZ$1,0)),0),MATCH("backup_work_email",Enrichment!$A$1:$GZ$1,0))&amp;"",""))</f>
        <v/>
      </c>
      <c r="BQ819" s="0" t="str">
        <f aca="false">IF($A819="","",IF(BP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DU819" s="0" t="str">
        <f aca="false">IF($A819="","",IF(R819="Y",10,0))</f>
        <v/>
      </c>
      <c r="EV819" s="0" t="str">
        <f aca="false">IF($A819="","",IF(ISNUMBER(MATCH(U819,{"queued","contacted","replied","call_booked","call_done","yes_in_principle","materials_sent"},0)),"Y","N"))</f>
        <v/>
      </c>
      <c r="EW819" s="0" t="str">
        <f aca="false">IF($A819="","",IF(OR(T819="Y",U819="do_not_contact",AQ819&amp;""&lt;&gt;""),"Y","N"))</f>
        <v/>
      </c>
      <c r="EX819" s="0" t="str">
        <f aca="false">IF($A819="","",IF(AN819&amp;""&lt;&gt;"",AN819&amp;"",$A819))</f>
        <v/>
      </c>
      <c r="EY819" s="0" t="str">
        <f aca="false">IF($A819="","",IF(COUNTIFS($EX$2:$EX$1000,EX819,$EV$2:$EV$1000,"Y")+COUNTIFS($EX$2:$EX$1000,EX819,$EW$2:$EW$1000,"Y")&gt;0,"Y","N"))</f>
        <v/>
      </c>
      <c r="EZ819" s="0" t="str">
        <f aca="false">IF($A819="","",IF(AND(U819="new",T819="N",EW819="N",AR819="Y",EY819="N"),"Y","N"))</f>
        <v/>
      </c>
      <c r="FA819" s="0" t="str">
        <f aca="false">IF($A819="","",IF(EZ819&lt;&gt;"Y","N",IF(COUNTIFS($EX$2:$EX$1000,EX819,$EZ$2:$EZ$1000,"Y",$J$2:$J$1000,"&gt;"&amp;J819)+COUNTIFS($EX$2:$EX$1000,EX819,$EZ$2:$EZ$1000,"Y",$J$2:$J$1000,J819,$FG$2:$FG$1000,"&lt;"&amp;FG819)=0,"Y","N")))</f>
        <v/>
      </c>
      <c r="FB819" s="0" t="str">
        <f aca="false">IF($A819="","",IF(AND(EZ819="Y",FA819="Y",Y819&amp;""&lt;&gt;""),IF(Y819&lt;=10,"Y","N"),"N"))</f>
        <v/>
      </c>
      <c r="FC819" s="0" t="str">
        <f aca="false">IF(FB819="Y",Y819,"")</f>
        <v/>
      </c>
      <c r="FD819" s="0" t="str">
        <f aca="false">IF($A819="","",IF(AND(CK819="pass",AU819="Y",AV819&lt;&gt;"Y",U819="new",EW819="N"),"Y","N"))</f>
        <v/>
      </c>
      <c r="FE819" s="0" t="str">
        <f aca="false">IF(FD819&lt;&gt;"Y","",IF(COUNTIFS($FD$2:$FD$1000,"Y",$J$2:$J$1000,"&gt;"&amp;J819)+COUNTIFS($FD$2:$FD$1000,"Y",$J$2:$J$1000,J819,$FG$2:$FG$1000,"&lt;"&amp;FG819)+1&lt;=30,COUNTIFS($FD$2:$FD$1000,"Y",$J$2:$J$1000,"&gt;"&amp;J819)+COUNTIFS($FD$2:$FD$1000,"Y",$J$2:$J$1000,J819,$FG$2:$FG$1000,"&lt;"&amp;FG819)+1,""))</f>
        <v/>
      </c>
      <c r="FF819" s="0" t="str">
        <f aca="false">IF(AND(_xlfn.ISFORMULA(C819),_xlfn.ISFORMULA(J819)),"Y","N")</f>
        <v>Y</v>
      </c>
      <c r="FG819" s="0" t="n">
        <f aca="false">ROW()-1</f>
        <v>818</v>
      </c>
    </row>
    <row r="820" customFormat="false" ht="15" hidden="false" customHeight="false" outlineLevel="0" collapsed="false">
      <c r="C820" s="0" t="str">
        <f aca="false">IF($A820="","",IF(AT820="Y",BL820&amp;"",AY820&amp;""))</f>
        <v/>
      </c>
      <c r="D820" s="0" t="str">
        <f aca="false">IF($A820="","",IF(AT820="Y",BM820&amp;"",AZ820&amp;""))</f>
        <v/>
      </c>
      <c r="E820" s="0" t="str">
        <f aca="false">IF($A820="","",IF(AT820="Y",BN820&amp;"",BA820&amp;""))</f>
        <v/>
      </c>
      <c r="F820" s="0" t="str">
        <f aca="false">IF($A820="","",IF(AT820="Y",BO820&amp;"",BB820&amp;""))</f>
        <v/>
      </c>
      <c r="G820" s="0" t="str">
        <f aca="false">IF($A820="","",IF(AT820="Y",BP820&amp;"",BC820&amp;""))</f>
        <v/>
      </c>
      <c r="H820" s="0" t="str">
        <f aca="false">IF($A820="","",IF(AT820="Y",BQ820&amp;"",BD820&amp;""))</f>
        <v/>
      </c>
      <c r="I820" s="0" t="str">
        <f aca="false">IF($A820="","",IF(R820="Y","warm-intro",IF(H820="verified","email",IF(C820&lt;&gt;"","linkedin",CA820&amp;""))))</f>
        <v/>
      </c>
      <c r="J820" s="0" t="str">
        <f aca="false">IF($A820="","",IF(CK820="pass",ROUND(N(DO820)+N(DP820)+N(DQ820)+N(DR820)+N(DS820)+N(DT820)+N(DU820)+N(DV820),0),0))</f>
        <v/>
      </c>
      <c r="K820" s="0" t="str">
        <f aca="false">IF($A820="","",IF(CK820&lt;&gt;"pass",BY820&amp;"",BY820&amp;", "&amp;IF(AT820="Y",BX820&amp;"",BK820&amp;"")&amp;BZ820&amp;IF(R820="Y","; known to the founder (+10)","")&amp;"."))</f>
        <v/>
      </c>
      <c r="R820" s="5"/>
      <c r="T820" s="5"/>
      <c r="U820" s="5"/>
      <c r="Y820" s="0" t="str">
        <f aca="false">IF(FA820&lt;&gt;"Y","",COUNTIFS($FA$2:$FA$1000,"Y",$J$2:$J$1000,"&gt;"&amp;J820)+COUNTIFS($FA$2:$FA$1000,"Y",$J$2:$J$1000,J820,$FG$2:$FG$1000,"&lt;"&amp;FG820)+1)</f>
        <v/>
      </c>
      <c r="AB820" s="0" t="str">
        <f aca="false">IF($A820="","",IF(AT820="Y",BW820&amp;"",BJ820&amp;""))</f>
        <v/>
      </c>
      <c r="AC820" s="0" t="str">
        <f aca="false">IF($A820="","",IF(AT820="Y",BR820&amp;"",BE820&amp;""))</f>
        <v/>
      </c>
      <c r="AD820" s="0" t="str">
        <f aca="false">IF($A820="","",IF(AT820="Y",BS820&amp;"",BF820&amp;""))</f>
        <v/>
      </c>
      <c r="AE820" s="0" t="str">
        <f aca="false">IF($A820="","",IF(AT820="Y",BT820&amp;"",BG820&amp;""))</f>
        <v/>
      </c>
      <c r="AF820" s="0" t="str">
        <f aca="false">IF($A820="","",IF(AT820="Y",BU820&amp;"",BH820&amp;""))</f>
        <v/>
      </c>
      <c r="AG820" s="0" t="str">
        <f aca="false">IF($A820="","",IF(AT820="Y",BV820&amp;"",BI820&amp;""))</f>
        <v/>
      </c>
      <c r="AO820" s="5"/>
      <c r="AR820" s="0" t="str">
        <f aca="false">IF($A820="","",IF(AND(CK820="pass",AO820&lt;&gt;"Y",C820&lt;&gt;"",OR(AU820&lt;&gt;"Y",AV820="Y")),"Y","N"))</f>
        <v/>
      </c>
      <c r="AS820" s="0" t="str">
        <f aca="false">IF($A820="","",_xlfn.TEXTJOIN("; ",TRUE(),IF(CK820&lt;&gt;"pass","gated out",""),IF(AO820="Y","on hold: "&amp;AP820,""),IF(C820="","no contact named on an opened page",""),IF(AND(AU820="Y",AV820&lt;&gt;"Y"),"founder review pending (Founder review tab)","")))</f>
        <v/>
      </c>
      <c r="BC820" s="0" t="str">
        <f aca="false">IF($A820="","",IFERROR(INDEX(Enrichment!$A$2:$GZ$2000,MATCH($A820,INDEX(Enrichment!$A$2:$GZ$2000,0,MATCH("row_id",Enrichment!$A$1:$GZ$1,0)),0),MATCH("work_email",Enrichment!$A$1:$GZ$1,0))&amp;"",""))</f>
        <v/>
      </c>
      <c r="BD820" s="0" t="str">
        <f aca="false">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P820" s="0" t="str">
        <f aca="false">IF($A820="","",IFERROR(INDEX(Enrichment!$A$2:$GZ$2000,MATCH($A820,INDEX(Enrichment!$A$2:$GZ$2000,0,MATCH("row_id",Enrichment!$A$1:$GZ$1,0)),0),MATCH("backup_work_email",Enrichment!$A$1:$GZ$1,0))&amp;"",""))</f>
        <v/>
      </c>
      <c r="BQ820" s="0" t="str">
        <f aca="false">IF($A820="","",IF(BP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DU820" s="0" t="str">
        <f aca="false">IF($A820="","",IF(R820="Y",10,0))</f>
        <v/>
      </c>
      <c r="EV820" s="0" t="str">
        <f aca="false">IF($A820="","",IF(ISNUMBER(MATCH(U820,{"queued","contacted","replied","call_booked","call_done","yes_in_principle","materials_sent"},0)),"Y","N"))</f>
        <v/>
      </c>
      <c r="EW820" s="0" t="str">
        <f aca="false">IF($A820="","",IF(OR(T820="Y",U820="do_not_contact",AQ820&amp;""&lt;&gt;""),"Y","N"))</f>
        <v/>
      </c>
      <c r="EX820" s="0" t="str">
        <f aca="false">IF($A820="","",IF(AN820&amp;""&lt;&gt;"",AN820&amp;"",$A820))</f>
        <v/>
      </c>
      <c r="EY820" s="0" t="str">
        <f aca="false">IF($A820="","",IF(COUNTIFS($EX$2:$EX$1000,EX820,$EV$2:$EV$1000,"Y")+COUNTIFS($EX$2:$EX$1000,EX820,$EW$2:$EW$1000,"Y")&gt;0,"Y","N"))</f>
        <v/>
      </c>
      <c r="EZ820" s="0" t="str">
        <f aca="false">IF($A820="","",IF(AND(U820="new",T820="N",EW820="N",AR820="Y",EY820="N"),"Y","N"))</f>
        <v/>
      </c>
      <c r="FA820" s="0" t="str">
        <f aca="false">IF($A820="","",IF(EZ820&lt;&gt;"Y","N",IF(COUNTIFS($EX$2:$EX$1000,EX820,$EZ$2:$EZ$1000,"Y",$J$2:$J$1000,"&gt;"&amp;J820)+COUNTIFS($EX$2:$EX$1000,EX820,$EZ$2:$EZ$1000,"Y",$J$2:$J$1000,J820,$FG$2:$FG$1000,"&lt;"&amp;FG820)=0,"Y","N")))</f>
        <v/>
      </c>
      <c r="FB820" s="0" t="str">
        <f aca="false">IF($A820="","",IF(AND(EZ820="Y",FA820="Y",Y820&amp;""&lt;&gt;""),IF(Y820&lt;=10,"Y","N"),"N"))</f>
        <v/>
      </c>
      <c r="FC820" s="0" t="str">
        <f aca="false">IF(FB820="Y",Y820,"")</f>
        <v/>
      </c>
      <c r="FD820" s="0" t="str">
        <f aca="false">IF($A820="","",IF(AND(CK820="pass",AU820="Y",AV820&lt;&gt;"Y",U820="new",EW820="N"),"Y","N"))</f>
        <v/>
      </c>
      <c r="FE820" s="0" t="str">
        <f aca="false">IF(FD820&lt;&gt;"Y","",IF(COUNTIFS($FD$2:$FD$1000,"Y",$J$2:$J$1000,"&gt;"&amp;J820)+COUNTIFS($FD$2:$FD$1000,"Y",$J$2:$J$1000,J820,$FG$2:$FG$1000,"&lt;"&amp;FG820)+1&lt;=30,COUNTIFS($FD$2:$FD$1000,"Y",$J$2:$J$1000,"&gt;"&amp;J820)+COUNTIFS($FD$2:$FD$1000,"Y",$J$2:$J$1000,J820,$FG$2:$FG$1000,"&lt;"&amp;FG820)+1,""))</f>
        <v/>
      </c>
      <c r="FF820" s="0" t="str">
        <f aca="false">IF(AND(_xlfn.ISFORMULA(C820),_xlfn.ISFORMULA(J820)),"Y","N")</f>
        <v>Y</v>
      </c>
      <c r="FG820" s="0" t="n">
        <f aca="false">ROW()-1</f>
        <v>819</v>
      </c>
    </row>
    <row r="821" customFormat="false" ht="15" hidden="false" customHeight="false" outlineLevel="0" collapsed="false">
      <c r="C821" s="0" t="str">
        <f aca="false">IF($A821="","",IF(AT821="Y",BL821&amp;"",AY821&amp;""))</f>
        <v/>
      </c>
      <c r="D821" s="0" t="str">
        <f aca="false">IF($A821="","",IF(AT821="Y",BM821&amp;"",AZ821&amp;""))</f>
        <v/>
      </c>
      <c r="E821" s="0" t="str">
        <f aca="false">IF($A821="","",IF(AT821="Y",BN821&amp;"",BA821&amp;""))</f>
        <v/>
      </c>
      <c r="F821" s="0" t="str">
        <f aca="false">IF($A821="","",IF(AT821="Y",BO821&amp;"",BB821&amp;""))</f>
        <v/>
      </c>
      <c r="G821" s="0" t="str">
        <f aca="false">IF($A821="","",IF(AT821="Y",BP821&amp;"",BC821&amp;""))</f>
        <v/>
      </c>
      <c r="H821" s="0" t="str">
        <f aca="false">IF($A821="","",IF(AT821="Y",BQ821&amp;"",BD821&amp;""))</f>
        <v/>
      </c>
      <c r="I821" s="0" t="str">
        <f aca="false">IF($A821="","",IF(R821="Y","warm-intro",IF(H821="verified","email",IF(C821&lt;&gt;"","linkedin",CA821&amp;""))))</f>
        <v/>
      </c>
      <c r="J821" s="0" t="str">
        <f aca="false">IF($A821="","",IF(CK821="pass",ROUND(N(DO821)+N(DP821)+N(DQ821)+N(DR821)+N(DS821)+N(DT821)+N(DU821)+N(DV821),0),0))</f>
        <v/>
      </c>
      <c r="K821" s="0" t="str">
        <f aca="false">IF($A821="","",IF(CK821&lt;&gt;"pass",BY821&amp;"",BY821&amp;", "&amp;IF(AT821="Y",BX821&amp;"",BK821&amp;"")&amp;BZ821&amp;IF(R821="Y","; known to the founder (+10)","")&amp;"."))</f>
        <v/>
      </c>
      <c r="R821" s="5"/>
      <c r="T821" s="5"/>
      <c r="U821" s="5"/>
      <c r="Y821" s="0" t="str">
        <f aca="false">IF(FA821&lt;&gt;"Y","",COUNTIFS($FA$2:$FA$1000,"Y",$J$2:$J$1000,"&gt;"&amp;J821)+COUNTIFS($FA$2:$FA$1000,"Y",$J$2:$J$1000,J821,$FG$2:$FG$1000,"&lt;"&amp;FG821)+1)</f>
        <v/>
      </c>
      <c r="AB821" s="0" t="str">
        <f aca="false">IF($A821="","",IF(AT821="Y",BW821&amp;"",BJ821&amp;""))</f>
        <v/>
      </c>
      <c r="AC821" s="0" t="str">
        <f aca="false">IF($A821="","",IF(AT821="Y",BR821&amp;"",BE821&amp;""))</f>
        <v/>
      </c>
      <c r="AD821" s="0" t="str">
        <f aca="false">IF($A821="","",IF(AT821="Y",BS821&amp;"",BF821&amp;""))</f>
        <v/>
      </c>
      <c r="AE821" s="0" t="str">
        <f aca="false">IF($A821="","",IF(AT821="Y",BT821&amp;"",BG821&amp;""))</f>
        <v/>
      </c>
      <c r="AF821" s="0" t="str">
        <f aca="false">IF($A821="","",IF(AT821="Y",BU821&amp;"",BH821&amp;""))</f>
        <v/>
      </c>
      <c r="AG821" s="0" t="str">
        <f aca="false">IF($A821="","",IF(AT821="Y",BV821&amp;"",BI821&amp;""))</f>
        <v/>
      </c>
      <c r="AO821" s="5"/>
      <c r="AR821" s="0" t="str">
        <f aca="false">IF($A821="","",IF(AND(CK821="pass",AO821&lt;&gt;"Y",C821&lt;&gt;"",OR(AU821&lt;&gt;"Y",AV821="Y")),"Y","N"))</f>
        <v/>
      </c>
      <c r="AS821" s="0" t="str">
        <f aca="false">IF($A821="","",_xlfn.TEXTJOIN("; ",TRUE(),IF(CK821&lt;&gt;"pass","gated out",""),IF(AO821="Y","on hold: "&amp;AP821,""),IF(C821="","no contact named on an opened page",""),IF(AND(AU821="Y",AV821&lt;&gt;"Y"),"founder review pending (Founder review tab)","")))</f>
        <v/>
      </c>
      <c r="BC821" s="0" t="str">
        <f aca="false">IF($A821="","",IFERROR(INDEX(Enrichment!$A$2:$GZ$2000,MATCH($A821,INDEX(Enrichment!$A$2:$GZ$2000,0,MATCH("row_id",Enrichment!$A$1:$GZ$1,0)),0),MATCH("work_email",Enrichment!$A$1:$GZ$1,0))&amp;"",""))</f>
        <v/>
      </c>
      <c r="BD821" s="0" t="str">
        <f aca="false">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P821" s="0" t="str">
        <f aca="false">IF($A821="","",IFERROR(INDEX(Enrichment!$A$2:$GZ$2000,MATCH($A821,INDEX(Enrichment!$A$2:$GZ$2000,0,MATCH("row_id",Enrichment!$A$1:$GZ$1,0)),0),MATCH("backup_work_email",Enrichment!$A$1:$GZ$1,0))&amp;"",""))</f>
        <v/>
      </c>
      <c r="BQ821" s="0" t="str">
        <f aca="false">IF($A821="","",IF(BP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DU821" s="0" t="str">
        <f aca="false">IF($A821="","",IF(R821="Y",10,0))</f>
        <v/>
      </c>
      <c r="EV821" s="0" t="str">
        <f aca="false">IF($A821="","",IF(ISNUMBER(MATCH(U821,{"queued","contacted","replied","call_booked","call_done","yes_in_principle","materials_sent"},0)),"Y","N"))</f>
        <v/>
      </c>
      <c r="EW821" s="0" t="str">
        <f aca="false">IF($A821="","",IF(OR(T821="Y",U821="do_not_contact",AQ821&amp;""&lt;&gt;""),"Y","N"))</f>
        <v/>
      </c>
      <c r="EX821" s="0" t="str">
        <f aca="false">IF($A821="","",IF(AN821&amp;""&lt;&gt;"",AN821&amp;"",$A821))</f>
        <v/>
      </c>
      <c r="EY821" s="0" t="str">
        <f aca="false">IF($A821="","",IF(COUNTIFS($EX$2:$EX$1000,EX821,$EV$2:$EV$1000,"Y")+COUNTIFS($EX$2:$EX$1000,EX821,$EW$2:$EW$1000,"Y")&gt;0,"Y","N"))</f>
        <v/>
      </c>
      <c r="EZ821" s="0" t="str">
        <f aca="false">IF($A821="","",IF(AND(U821="new",T821="N",EW821="N",AR821="Y",EY821="N"),"Y","N"))</f>
        <v/>
      </c>
      <c r="FA821" s="0" t="str">
        <f aca="false">IF($A821="","",IF(EZ821&lt;&gt;"Y","N",IF(COUNTIFS($EX$2:$EX$1000,EX821,$EZ$2:$EZ$1000,"Y",$J$2:$J$1000,"&gt;"&amp;J821)+COUNTIFS($EX$2:$EX$1000,EX821,$EZ$2:$EZ$1000,"Y",$J$2:$J$1000,J821,$FG$2:$FG$1000,"&lt;"&amp;FG821)=0,"Y","N")))</f>
        <v/>
      </c>
      <c r="FB821" s="0" t="str">
        <f aca="false">IF($A821="","",IF(AND(EZ821="Y",FA821="Y",Y821&amp;""&lt;&gt;""),IF(Y821&lt;=10,"Y","N"),"N"))</f>
        <v/>
      </c>
      <c r="FC821" s="0" t="str">
        <f aca="false">IF(FB821="Y",Y821,"")</f>
        <v/>
      </c>
      <c r="FD821" s="0" t="str">
        <f aca="false">IF($A821="","",IF(AND(CK821="pass",AU821="Y",AV821&lt;&gt;"Y",U821="new",EW821="N"),"Y","N"))</f>
        <v/>
      </c>
      <c r="FE821" s="0" t="str">
        <f aca="false">IF(FD821&lt;&gt;"Y","",IF(COUNTIFS($FD$2:$FD$1000,"Y",$J$2:$J$1000,"&gt;"&amp;J821)+COUNTIFS($FD$2:$FD$1000,"Y",$J$2:$J$1000,J821,$FG$2:$FG$1000,"&lt;"&amp;FG821)+1&lt;=30,COUNTIFS($FD$2:$FD$1000,"Y",$J$2:$J$1000,"&gt;"&amp;J821)+COUNTIFS($FD$2:$FD$1000,"Y",$J$2:$J$1000,J821,$FG$2:$FG$1000,"&lt;"&amp;FG821)+1,""))</f>
        <v/>
      </c>
      <c r="FF821" s="0" t="str">
        <f aca="false">IF(AND(_xlfn.ISFORMULA(C821),_xlfn.ISFORMULA(J821)),"Y","N")</f>
        <v>Y</v>
      </c>
      <c r="FG821" s="0" t="n">
        <f aca="false">ROW()-1</f>
        <v>820</v>
      </c>
    </row>
    <row r="822" customFormat="false" ht="15" hidden="false" customHeight="false" outlineLevel="0" collapsed="false">
      <c r="C822" s="0" t="str">
        <f aca="false">IF($A822="","",IF(AT822="Y",BL822&amp;"",AY822&amp;""))</f>
        <v/>
      </c>
      <c r="D822" s="0" t="str">
        <f aca="false">IF($A822="","",IF(AT822="Y",BM822&amp;"",AZ822&amp;""))</f>
        <v/>
      </c>
      <c r="E822" s="0" t="str">
        <f aca="false">IF($A822="","",IF(AT822="Y",BN822&amp;"",BA822&amp;""))</f>
        <v/>
      </c>
      <c r="F822" s="0" t="str">
        <f aca="false">IF($A822="","",IF(AT822="Y",BO822&amp;"",BB822&amp;""))</f>
        <v/>
      </c>
      <c r="G822" s="0" t="str">
        <f aca="false">IF($A822="","",IF(AT822="Y",BP822&amp;"",BC822&amp;""))</f>
        <v/>
      </c>
      <c r="H822" s="0" t="str">
        <f aca="false">IF($A822="","",IF(AT822="Y",BQ822&amp;"",BD822&amp;""))</f>
        <v/>
      </c>
      <c r="I822" s="0" t="str">
        <f aca="false">IF($A822="","",IF(R822="Y","warm-intro",IF(H822="verified","email",IF(C822&lt;&gt;"","linkedin",CA822&amp;""))))</f>
        <v/>
      </c>
      <c r="J822" s="0" t="str">
        <f aca="false">IF($A822="","",IF(CK822="pass",ROUND(N(DO822)+N(DP822)+N(DQ822)+N(DR822)+N(DS822)+N(DT822)+N(DU822)+N(DV822),0),0))</f>
        <v/>
      </c>
      <c r="K822" s="0" t="str">
        <f aca="false">IF($A822="","",IF(CK822&lt;&gt;"pass",BY822&amp;"",BY822&amp;", "&amp;IF(AT822="Y",BX822&amp;"",BK822&amp;"")&amp;BZ822&amp;IF(R822="Y","; known to the founder (+10)","")&amp;"."))</f>
        <v/>
      </c>
      <c r="R822" s="5"/>
      <c r="T822" s="5"/>
      <c r="U822" s="5"/>
      <c r="Y822" s="0" t="str">
        <f aca="false">IF(FA822&lt;&gt;"Y","",COUNTIFS($FA$2:$FA$1000,"Y",$J$2:$J$1000,"&gt;"&amp;J822)+COUNTIFS($FA$2:$FA$1000,"Y",$J$2:$J$1000,J822,$FG$2:$FG$1000,"&lt;"&amp;FG822)+1)</f>
        <v/>
      </c>
      <c r="AB822" s="0" t="str">
        <f aca="false">IF($A822="","",IF(AT822="Y",BW822&amp;"",BJ822&amp;""))</f>
        <v/>
      </c>
      <c r="AC822" s="0" t="str">
        <f aca="false">IF($A822="","",IF(AT822="Y",BR822&amp;"",BE822&amp;""))</f>
        <v/>
      </c>
      <c r="AD822" s="0" t="str">
        <f aca="false">IF($A822="","",IF(AT822="Y",BS822&amp;"",BF822&amp;""))</f>
        <v/>
      </c>
      <c r="AE822" s="0" t="str">
        <f aca="false">IF($A822="","",IF(AT822="Y",BT822&amp;"",BG822&amp;""))</f>
        <v/>
      </c>
      <c r="AF822" s="0" t="str">
        <f aca="false">IF($A822="","",IF(AT822="Y",BU822&amp;"",BH822&amp;""))</f>
        <v/>
      </c>
      <c r="AG822" s="0" t="str">
        <f aca="false">IF($A822="","",IF(AT822="Y",BV822&amp;"",BI822&amp;""))</f>
        <v/>
      </c>
      <c r="AO822" s="5"/>
      <c r="AR822" s="0" t="str">
        <f aca="false">IF($A822="","",IF(AND(CK822="pass",AO822&lt;&gt;"Y",C822&lt;&gt;"",OR(AU822&lt;&gt;"Y",AV822="Y")),"Y","N"))</f>
        <v/>
      </c>
      <c r="AS822" s="0" t="str">
        <f aca="false">IF($A822="","",_xlfn.TEXTJOIN("; ",TRUE(),IF(CK822&lt;&gt;"pass","gated out",""),IF(AO822="Y","on hold: "&amp;AP822,""),IF(C822="","no contact named on an opened page",""),IF(AND(AU822="Y",AV822&lt;&gt;"Y"),"founder review pending (Founder review tab)","")))</f>
        <v/>
      </c>
      <c r="BC822" s="0" t="str">
        <f aca="false">IF($A822="","",IFERROR(INDEX(Enrichment!$A$2:$GZ$2000,MATCH($A822,INDEX(Enrichment!$A$2:$GZ$2000,0,MATCH("row_id",Enrichment!$A$1:$GZ$1,0)),0),MATCH("work_email",Enrichment!$A$1:$GZ$1,0))&amp;"",""))</f>
        <v/>
      </c>
      <c r="BD822" s="0" t="str">
        <f aca="false">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P822" s="0" t="str">
        <f aca="false">IF($A822="","",IFERROR(INDEX(Enrichment!$A$2:$GZ$2000,MATCH($A822,INDEX(Enrichment!$A$2:$GZ$2000,0,MATCH("row_id",Enrichment!$A$1:$GZ$1,0)),0),MATCH("backup_work_email",Enrichment!$A$1:$GZ$1,0))&amp;"",""))</f>
        <v/>
      </c>
      <c r="BQ822" s="0" t="str">
        <f aca="false">IF($A822="","",IF(BP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DU822" s="0" t="str">
        <f aca="false">IF($A822="","",IF(R822="Y",10,0))</f>
        <v/>
      </c>
      <c r="EV822" s="0" t="str">
        <f aca="false">IF($A822="","",IF(ISNUMBER(MATCH(U822,{"queued","contacted","replied","call_booked","call_done","yes_in_principle","materials_sent"},0)),"Y","N"))</f>
        <v/>
      </c>
      <c r="EW822" s="0" t="str">
        <f aca="false">IF($A822="","",IF(OR(T822="Y",U822="do_not_contact",AQ822&amp;""&lt;&gt;""),"Y","N"))</f>
        <v/>
      </c>
      <c r="EX822" s="0" t="str">
        <f aca="false">IF($A822="","",IF(AN822&amp;""&lt;&gt;"",AN822&amp;"",$A822))</f>
        <v/>
      </c>
      <c r="EY822" s="0" t="str">
        <f aca="false">IF($A822="","",IF(COUNTIFS($EX$2:$EX$1000,EX822,$EV$2:$EV$1000,"Y")+COUNTIFS($EX$2:$EX$1000,EX822,$EW$2:$EW$1000,"Y")&gt;0,"Y","N"))</f>
        <v/>
      </c>
      <c r="EZ822" s="0" t="str">
        <f aca="false">IF($A822="","",IF(AND(U822="new",T822="N",EW822="N",AR822="Y",EY822="N"),"Y","N"))</f>
        <v/>
      </c>
      <c r="FA822" s="0" t="str">
        <f aca="false">IF($A822="","",IF(EZ822&lt;&gt;"Y","N",IF(COUNTIFS($EX$2:$EX$1000,EX822,$EZ$2:$EZ$1000,"Y",$J$2:$J$1000,"&gt;"&amp;J822)+COUNTIFS($EX$2:$EX$1000,EX822,$EZ$2:$EZ$1000,"Y",$J$2:$J$1000,J822,$FG$2:$FG$1000,"&lt;"&amp;FG822)=0,"Y","N")))</f>
        <v/>
      </c>
      <c r="FB822" s="0" t="str">
        <f aca="false">IF($A822="","",IF(AND(EZ822="Y",FA822="Y",Y822&amp;""&lt;&gt;""),IF(Y822&lt;=10,"Y","N"),"N"))</f>
        <v/>
      </c>
      <c r="FC822" s="0" t="str">
        <f aca="false">IF(FB822="Y",Y822,"")</f>
        <v/>
      </c>
      <c r="FD822" s="0" t="str">
        <f aca="false">IF($A822="","",IF(AND(CK822="pass",AU822="Y",AV822&lt;&gt;"Y",U822="new",EW822="N"),"Y","N"))</f>
        <v/>
      </c>
      <c r="FE822" s="0" t="str">
        <f aca="false">IF(FD822&lt;&gt;"Y","",IF(COUNTIFS($FD$2:$FD$1000,"Y",$J$2:$J$1000,"&gt;"&amp;J822)+COUNTIFS($FD$2:$FD$1000,"Y",$J$2:$J$1000,J822,$FG$2:$FG$1000,"&lt;"&amp;FG822)+1&lt;=30,COUNTIFS($FD$2:$FD$1000,"Y",$J$2:$J$1000,"&gt;"&amp;J822)+COUNTIFS($FD$2:$FD$1000,"Y",$J$2:$J$1000,J822,$FG$2:$FG$1000,"&lt;"&amp;FG822)+1,""))</f>
        <v/>
      </c>
      <c r="FF822" s="0" t="str">
        <f aca="false">IF(AND(_xlfn.ISFORMULA(C822),_xlfn.ISFORMULA(J822)),"Y","N")</f>
        <v>Y</v>
      </c>
      <c r="FG822" s="0" t="n">
        <f aca="false">ROW()-1</f>
        <v>821</v>
      </c>
    </row>
    <row r="823" customFormat="false" ht="15" hidden="false" customHeight="false" outlineLevel="0" collapsed="false">
      <c r="C823" s="0" t="str">
        <f aca="false">IF($A823="","",IF(AT823="Y",BL823&amp;"",AY823&amp;""))</f>
        <v/>
      </c>
      <c r="D823" s="0" t="str">
        <f aca="false">IF($A823="","",IF(AT823="Y",BM823&amp;"",AZ823&amp;""))</f>
        <v/>
      </c>
      <c r="E823" s="0" t="str">
        <f aca="false">IF($A823="","",IF(AT823="Y",BN823&amp;"",BA823&amp;""))</f>
        <v/>
      </c>
      <c r="F823" s="0" t="str">
        <f aca="false">IF($A823="","",IF(AT823="Y",BO823&amp;"",BB823&amp;""))</f>
        <v/>
      </c>
      <c r="G823" s="0" t="str">
        <f aca="false">IF($A823="","",IF(AT823="Y",BP823&amp;"",BC823&amp;""))</f>
        <v/>
      </c>
      <c r="H823" s="0" t="str">
        <f aca="false">IF($A823="","",IF(AT823="Y",BQ823&amp;"",BD823&amp;""))</f>
        <v/>
      </c>
      <c r="I823" s="0" t="str">
        <f aca="false">IF($A823="","",IF(R823="Y","warm-intro",IF(H823="verified","email",IF(C823&lt;&gt;"","linkedin",CA823&amp;""))))</f>
        <v/>
      </c>
      <c r="J823" s="0" t="str">
        <f aca="false">IF($A823="","",IF(CK823="pass",ROUND(N(DO823)+N(DP823)+N(DQ823)+N(DR823)+N(DS823)+N(DT823)+N(DU823)+N(DV823),0),0))</f>
        <v/>
      </c>
      <c r="K823" s="0" t="str">
        <f aca="false">IF($A823="","",IF(CK823&lt;&gt;"pass",BY823&amp;"",BY823&amp;", "&amp;IF(AT823="Y",BX823&amp;"",BK823&amp;"")&amp;BZ823&amp;IF(R823="Y","; known to the founder (+10)","")&amp;"."))</f>
        <v/>
      </c>
      <c r="R823" s="5"/>
      <c r="T823" s="5"/>
      <c r="U823" s="5"/>
      <c r="Y823" s="0" t="str">
        <f aca="false">IF(FA823&lt;&gt;"Y","",COUNTIFS($FA$2:$FA$1000,"Y",$J$2:$J$1000,"&gt;"&amp;J823)+COUNTIFS($FA$2:$FA$1000,"Y",$J$2:$J$1000,J823,$FG$2:$FG$1000,"&lt;"&amp;FG823)+1)</f>
        <v/>
      </c>
      <c r="AB823" s="0" t="str">
        <f aca="false">IF($A823="","",IF(AT823="Y",BW823&amp;"",BJ823&amp;""))</f>
        <v/>
      </c>
      <c r="AC823" s="0" t="str">
        <f aca="false">IF($A823="","",IF(AT823="Y",BR823&amp;"",BE823&amp;""))</f>
        <v/>
      </c>
      <c r="AD823" s="0" t="str">
        <f aca="false">IF($A823="","",IF(AT823="Y",BS823&amp;"",BF823&amp;""))</f>
        <v/>
      </c>
      <c r="AE823" s="0" t="str">
        <f aca="false">IF($A823="","",IF(AT823="Y",BT823&amp;"",BG823&amp;""))</f>
        <v/>
      </c>
      <c r="AF823" s="0" t="str">
        <f aca="false">IF($A823="","",IF(AT823="Y",BU823&amp;"",BH823&amp;""))</f>
        <v/>
      </c>
      <c r="AG823" s="0" t="str">
        <f aca="false">IF($A823="","",IF(AT823="Y",BV823&amp;"",BI823&amp;""))</f>
        <v/>
      </c>
      <c r="AO823" s="5"/>
      <c r="AR823" s="0" t="str">
        <f aca="false">IF($A823="","",IF(AND(CK823="pass",AO823&lt;&gt;"Y",C823&lt;&gt;"",OR(AU823&lt;&gt;"Y",AV823="Y")),"Y","N"))</f>
        <v/>
      </c>
      <c r="AS823" s="0" t="str">
        <f aca="false">IF($A823="","",_xlfn.TEXTJOIN("; ",TRUE(),IF(CK823&lt;&gt;"pass","gated out",""),IF(AO823="Y","on hold: "&amp;AP823,""),IF(C823="","no contact named on an opened page",""),IF(AND(AU823="Y",AV823&lt;&gt;"Y"),"founder review pending (Founder review tab)","")))</f>
        <v/>
      </c>
      <c r="BC823" s="0" t="str">
        <f aca="false">IF($A823="","",IFERROR(INDEX(Enrichment!$A$2:$GZ$2000,MATCH($A823,INDEX(Enrichment!$A$2:$GZ$2000,0,MATCH("row_id",Enrichment!$A$1:$GZ$1,0)),0),MATCH("work_email",Enrichment!$A$1:$GZ$1,0))&amp;"",""))</f>
        <v/>
      </c>
      <c r="BD823" s="0" t="str">
        <f aca="false">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P823" s="0" t="str">
        <f aca="false">IF($A823="","",IFERROR(INDEX(Enrichment!$A$2:$GZ$2000,MATCH($A823,INDEX(Enrichment!$A$2:$GZ$2000,0,MATCH("row_id",Enrichment!$A$1:$GZ$1,0)),0),MATCH("backup_work_email",Enrichment!$A$1:$GZ$1,0))&amp;"",""))</f>
        <v/>
      </c>
      <c r="BQ823" s="0" t="str">
        <f aca="false">IF($A823="","",IF(BP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DU823" s="0" t="str">
        <f aca="false">IF($A823="","",IF(R823="Y",10,0))</f>
        <v/>
      </c>
      <c r="EV823" s="0" t="str">
        <f aca="false">IF($A823="","",IF(ISNUMBER(MATCH(U823,{"queued","contacted","replied","call_booked","call_done","yes_in_principle","materials_sent"},0)),"Y","N"))</f>
        <v/>
      </c>
      <c r="EW823" s="0" t="str">
        <f aca="false">IF($A823="","",IF(OR(T823="Y",U823="do_not_contact",AQ823&amp;""&lt;&gt;""),"Y","N"))</f>
        <v/>
      </c>
      <c r="EX823" s="0" t="str">
        <f aca="false">IF($A823="","",IF(AN823&amp;""&lt;&gt;"",AN823&amp;"",$A823))</f>
        <v/>
      </c>
      <c r="EY823" s="0" t="str">
        <f aca="false">IF($A823="","",IF(COUNTIFS($EX$2:$EX$1000,EX823,$EV$2:$EV$1000,"Y")+COUNTIFS($EX$2:$EX$1000,EX823,$EW$2:$EW$1000,"Y")&gt;0,"Y","N"))</f>
        <v/>
      </c>
      <c r="EZ823" s="0" t="str">
        <f aca="false">IF($A823="","",IF(AND(U823="new",T823="N",EW823="N",AR823="Y",EY823="N"),"Y","N"))</f>
        <v/>
      </c>
      <c r="FA823" s="0" t="str">
        <f aca="false">IF($A823="","",IF(EZ823&lt;&gt;"Y","N",IF(COUNTIFS($EX$2:$EX$1000,EX823,$EZ$2:$EZ$1000,"Y",$J$2:$J$1000,"&gt;"&amp;J823)+COUNTIFS($EX$2:$EX$1000,EX823,$EZ$2:$EZ$1000,"Y",$J$2:$J$1000,J823,$FG$2:$FG$1000,"&lt;"&amp;FG823)=0,"Y","N")))</f>
        <v/>
      </c>
      <c r="FB823" s="0" t="str">
        <f aca="false">IF($A823="","",IF(AND(EZ823="Y",FA823="Y",Y823&amp;""&lt;&gt;""),IF(Y823&lt;=10,"Y","N"),"N"))</f>
        <v/>
      </c>
      <c r="FC823" s="0" t="str">
        <f aca="false">IF(FB823="Y",Y823,"")</f>
        <v/>
      </c>
      <c r="FD823" s="0" t="str">
        <f aca="false">IF($A823="","",IF(AND(CK823="pass",AU823="Y",AV823&lt;&gt;"Y",U823="new",EW823="N"),"Y","N"))</f>
        <v/>
      </c>
      <c r="FE823" s="0" t="str">
        <f aca="false">IF(FD823&lt;&gt;"Y","",IF(COUNTIFS($FD$2:$FD$1000,"Y",$J$2:$J$1000,"&gt;"&amp;J823)+COUNTIFS($FD$2:$FD$1000,"Y",$J$2:$J$1000,J823,$FG$2:$FG$1000,"&lt;"&amp;FG823)+1&lt;=30,COUNTIFS($FD$2:$FD$1000,"Y",$J$2:$J$1000,"&gt;"&amp;J823)+COUNTIFS($FD$2:$FD$1000,"Y",$J$2:$J$1000,J823,$FG$2:$FG$1000,"&lt;"&amp;FG823)+1,""))</f>
        <v/>
      </c>
      <c r="FF823" s="0" t="str">
        <f aca="false">IF(AND(_xlfn.ISFORMULA(C823),_xlfn.ISFORMULA(J823)),"Y","N")</f>
        <v>Y</v>
      </c>
      <c r="FG823" s="0" t="n">
        <f aca="false">ROW()-1</f>
        <v>822</v>
      </c>
    </row>
    <row r="824" customFormat="false" ht="15" hidden="false" customHeight="false" outlineLevel="0" collapsed="false">
      <c r="C824" s="0" t="str">
        <f aca="false">IF($A824="","",IF(AT824="Y",BL824&amp;"",AY824&amp;""))</f>
        <v/>
      </c>
      <c r="D824" s="0" t="str">
        <f aca="false">IF($A824="","",IF(AT824="Y",BM824&amp;"",AZ824&amp;""))</f>
        <v/>
      </c>
      <c r="E824" s="0" t="str">
        <f aca="false">IF($A824="","",IF(AT824="Y",BN824&amp;"",BA824&amp;""))</f>
        <v/>
      </c>
      <c r="F824" s="0" t="str">
        <f aca="false">IF($A824="","",IF(AT824="Y",BO824&amp;"",BB824&amp;""))</f>
        <v/>
      </c>
      <c r="G824" s="0" t="str">
        <f aca="false">IF($A824="","",IF(AT824="Y",BP824&amp;"",BC824&amp;""))</f>
        <v/>
      </c>
      <c r="H824" s="0" t="str">
        <f aca="false">IF($A824="","",IF(AT824="Y",BQ824&amp;"",BD824&amp;""))</f>
        <v/>
      </c>
      <c r="I824" s="0" t="str">
        <f aca="false">IF($A824="","",IF(R824="Y","warm-intro",IF(H824="verified","email",IF(C824&lt;&gt;"","linkedin",CA824&amp;""))))</f>
        <v/>
      </c>
      <c r="J824" s="0" t="str">
        <f aca="false">IF($A824="","",IF(CK824="pass",ROUND(N(DO824)+N(DP824)+N(DQ824)+N(DR824)+N(DS824)+N(DT824)+N(DU824)+N(DV824),0),0))</f>
        <v/>
      </c>
      <c r="K824" s="0" t="str">
        <f aca="false">IF($A824="","",IF(CK824&lt;&gt;"pass",BY824&amp;"",BY824&amp;", "&amp;IF(AT824="Y",BX824&amp;"",BK824&amp;"")&amp;BZ824&amp;IF(R824="Y","; known to the founder (+10)","")&amp;"."))</f>
        <v/>
      </c>
      <c r="R824" s="5"/>
      <c r="T824" s="5"/>
      <c r="U824" s="5"/>
      <c r="Y824" s="0" t="str">
        <f aca="false">IF(FA824&lt;&gt;"Y","",COUNTIFS($FA$2:$FA$1000,"Y",$J$2:$J$1000,"&gt;"&amp;J824)+COUNTIFS($FA$2:$FA$1000,"Y",$J$2:$J$1000,J824,$FG$2:$FG$1000,"&lt;"&amp;FG824)+1)</f>
        <v/>
      </c>
      <c r="AB824" s="0" t="str">
        <f aca="false">IF($A824="","",IF(AT824="Y",BW824&amp;"",BJ824&amp;""))</f>
        <v/>
      </c>
      <c r="AC824" s="0" t="str">
        <f aca="false">IF($A824="","",IF(AT824="Y",BR824&amp;"",BE824&amp;""))</f>
        <v/>
      </c>
      <c r="AD824" s="0" t="str">
        <f aca="false">IF($A824="","",IF(AT824="Y",BS824&amp;"",BF824&amp;""))</f>
        <v/>
      </c>
      <c r="AE824" s="0" t="str">
        <f aca="false">IF($A824="","",IF(AT824="Y",BT824&amp;"",BG824&amp;""))</f>
        <v/>
      </c>
      <c r="AF824" s="0" t="str">
        <f aca="false">IF($A824="","",IF(AT824="Y",BU824&amp;"",BH824&amp;""))</f>
        <v/>
      </c>
      <c r="AG824" s="0" t="str">
        <f aca="false">IF($A824="","",IF(AT824="Y",BV824&amp;"",BI824&amp;""))</f>
        <v/>
      </c>
      <c r="AO824" s="5"/>
      <c r="AR824" s="0" t="str">
        <f aca="false">IF($A824="","",IF(AND(CK824="pass",AO824&lt;&gt;"Y",C824&lt;&gt;"",OR(AU824&lt;&gt;"Y",AV824="Y")),"Y","N"))</f>
        <v/>
      </c>
      <c r="AS824" s="0" t="str">
        <f aca="false">IF($A824="","",_xlfn.TEXTJOIN("; ",TRUE(),IF(CK824&lt;&gt;"pass","gated out",""),IF(AO824="Y","on hold: "&amp;AP824,""),IF(C824="","no contact named on an opened page",""),IF(AND(AU824="Y",AV824&lt;&gt;"Y"),"founder review pending (Founder review tab)","")))</f>
        <v/>
      </c>
      <c r="BC824" s="0" t="str">
        <f aca="false">IF($A824="","",IFERROR(INDEX(Enrichment!$A$2:$GZ$2000,MATCH($A824,INDEX(Enrichment!$A$2:$GZ$2000,0,MATCH("row_id",Enrichment!$A$1:$GZ$1,0)),0),MATCH("work_email",Enrichment!$A$1:$GZ$1,0))&amp;"",""))</f>
        <v/>
      </c>
      <c r="BD824" s="0" t="str">
        <f aca="false">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P824" s="0" t="str">
        <f aca="false">IF($A824="","",IFERROR(INDEX(Enrichment!$A$2:$GZ$2000,MATCH($A824,INDEX(Enrichment!$A$2:$GZ$2000,0,MATCH("row_id",Enrichment!$A$1:$GZ$1,0)),0),MATCH("backup_work_email",Enrichment!$A$1:$GZ$1,0))&amp;"",""))</f>
        <v/>
      </c>
      <c r="BQ824" s="0" t="str">
        <f aca="false">IF($A824="","",IF(BP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DU824" s="0" t="str">
        <f aca="false">IF($A824="","",IF(R824="Y",10,0))</f>
        <v/>
      </c>
      <c r="EV824" s="0" t="str">
        <f aca="false">IF($A824="","",IF(ISNUMBER(MATCH(U824,{"queued","contacted","replied","call_booked","call_done","yes_in_principle","materials_sent"},0)),"Y","N"))</f>
        <v/>
      </c>
      <c r="EW824" s="0" t="str">
        <f aca="false">IF($A824="","",IF(OR(T824="Y",U824="do_not_contact",AQ824&amp;""&lt;&gt;""),"Y","N"))</f>
        <v/>
      </c>
      <c r="EX824" s="0" t="str">
        <f aca="false">IF($A824="","",IF(AN824&amp;""&lt;&gt;"",AN824&amp;"",$A824))</f>
        <v/>
      </c>
      <c r="EY824" s="0" t="str">
        <f aca="false">IF($A824="","",IF(COUNTIFS($EX$2:$EX$1000,EX824,$EV$2:$EV$1000,"Y")+COUNTIFS($EX$2:$EX$1000,EX824,$EW$2:$EW$1000,"Y")&gt;0,"Y","N"))</f>
        <v/>
      </c>
      <c r="EZ824" s="0" t="str">
        <f aca="false">IF($A824="","",IF(AND(U824="new",T824="N",EW824="N",AR824="Y",EY824="N"),"Y","N"))</f>
        <v/>
      </c>
      <c r="FA824" s="0" t="str">
        <f aca="false">IF($A824="","",IF(EZ824&lt;&gt;"Y","N",IF(COUNTIFS($EX$2:$EX$1000,EX824,$EZ$2:$EZ$1000,"Y",$J$2:$J$1000,"&gt;"&amp;J824)+COUNTIFS($EX$2:$EX$1000,EX824,$EZ$2:$EZ$1000,"Y",$J$2:$J$1000,J824,$FG$2:$FG$1000,"&lt;"&amp;FG824)=0,"Y","N")))</f>
        <v/>
      </c>
      <c r="FB824" s="0" t="str">
        <f aca="false">IF($A824="","",IF(AND(EZ824="Y",FA824="Y",Y824&amp;""&lt;&gt;""),IF(Y824&lt;=10,"Y","N"),"N"))</f>
        <v/>
      </c>
      <c r="FC824" s="0" t="str">
        <f aca="false">IF(FB824="Y",Y824,"")</f>
        <v/>
      </c>
      <c r="FD824" s="0" t="str">
        <f aca="false">IF($A824="","",IF(AND(CK824="pass",AU824="Y",AV824&lt;&gt;"Y",U824="new",EW824="N"),"Y","N"))</f>
        <v/>
      </c>
      <c r="FE824" s="0" t="str">
        <f aca="false">IF(FD824&lt;&gt;"Y","",IF(COUNTIFS($FD$2:$FD$1000,"Y",$J$2:$J$1000,"&gt;"&amp;J824)+COUNTIFS($FD$2:$FD$1000,"Y",$J$2:$J$1000,J824,$FG$2:$FG$1000,"&lt;"&amp;FG824)+1&lt;=30,COUNTIFS($FD$2:$FD$1000,"Y",$J$2:$J$1000,"&gt;"&amp;J824)+COUNTIFS($FD$2:$FD$1000,"Y",$J$2:$J$1000,J824,$FG$2:$FG$1000,"&lt;"&amp;FG824)+1,""))</f>
        <v/>
      </c>
      <c r="FF824" s="0" t="str">
        <f aca="false">IF(AND(_xlfn.ISFORMULA(C824),_xlfn.ISFORMULA(J824)),"Y","N")</f>
        <v>Y</v>
      </c>
      <c r="FG824" s="0" t="n">
        <f aca="false">ROW()-1</f>
        <v>823</v>
      </c>
    </row>
    <row r="825" customFormat="false" ht="15" hidden="false" customHeight="false" outlineLevel="0" collapsed="false">
      <c r="C825" s="0" t="str">
        <f aca="false">IF($A825="","",IF(AT825="Y",BL825&amp;"",AY825&amp;""))</f>
        <v/>
      </c>
      <c r="D825" s="0" t="str">
        <f aca="false">IF($A825="","",IF(AT825="Y",BM825&amp;"",AZ825&amp;""))</f>
        <v/>
      </c>
      <c r="E825" s="0" t="str">
        <f aca="false">IF($A825="","",IF(AT825="Y",BN825&amp;"",BA825&amp;""))</f>
        <v/>
      </c>
      <c r="F825" s="0" t="str">
        <f aca="false">IF($A825="","",IF(AT825="Y",BO825&amp;"",BB825&amp;""))</f>
        <v/>
      </c>
      <c r="G825" s="0" t="str">
        <f aca="false">IF($A825="","",IF(AT825="Y",BP825&amp;"",BC825&amp;""))</f>
        <v/>
      </c>
      <c r="H825" s="0" t="str">
        <f aca="false">IF($A825="","",IF(AT825="Y",BQ825&amp;"",BD825&amp;""))</f>
        <v/>
      </c>
      <c r="I825" s="0" t="str">
        <f aca="false">IF($A825="","",IF(R825="Y","warm-intro",IF(H825="verified","email",IF(C825&lt;&gt;"","linkedin",CA825&amp;""))))</f>
        <v/>
      </c>
      <c r="J825" s="0" t="str">
        <f aca="false">IF($A825="","",IF(CK825="pass",ROUND(N(DO825)+N(DP825)+N(DQ825)+N(DR825)+N(DS825)+N(DT825)+N(DU825)+N(DV825),0),0))</f>
        <v/>
      </c>
      <c r="K825" s="0" t="str">
        <f aca="false">IF($A825="","",IF(CK825&lt;&gt;"pass",BY825&amp;"",BY825&amp;", "&amp;IF(AT825="Y",BX825&amp;"",BK825&amp;"")&amp;BZ825&amp;IF(R825="Y","; known to the founder (+10)","")&amp;"."))</f>
        <v/>
      </c>
      <c r="R825" s="5"/>
      <c r="T825" s="5"/>
      <c r="U825" s="5"/>
      <c r="Y825" s="0" t="str">
        <f aca="false">IF(FA825&lt;&gt;"Y","",COUNTIFS($FA$2:$FA$1000,"Y",$J$2:$J$1000,"&gt;"&amp;J825)+COUNTIFS($FA$2:$FA$1000,"Y",$J$2:$J$1000,J825,$FG$2:$FG$1000,"&lt;"&amp;FG825)+1)</f>
        <v/>
      </c>
      <c r="AB825" s="0" t="str">
        <f aca="false">IF($A825="","",IF(AT825="Y",BW825&amp;"",BJ825&amp;""))</f>
        <v/>
      </c>
      <c r="AC825" s="0" t="str">
        <f aca="false">IF($A825="","",IF(AT825="Y",BR825&amp;"",BE825&amp;""))</f>
        <v/>
      </c>
      <c r="AD825" s="0" t="str">
        <f aca="false">IF($A825="","",IF(AT825="Y",BS825&amp;"",BF825&amp;""))</f>
        <v/>
      </c>
      <c r="AE825" s="0" t="str">
        <f aca="false">IF($A825="","",IF(AT825="Y",BT825&amp;"",BG825&amp;""))</f>
        <v/>
      </c>
      <c r="AF825" s="0" t="str">
        <f aca="false">IF($A825="","",IF(AT825="Y",BU825&amp;"",BH825&amp;""))</f>
        <v/>
      </c>
      <c r="AG825" s="0" t="str">
        <f aca="false">IF($A825="","",IF(AT825="Y",BV825&amp;"",BI825&amp;""))</f>
        <v/>
      </c>
      <c r="AO825" s="5"/>
      <c r="AR825" s="0" t="str">
        <f aca="false">IF($A825="","",IF(AND(CK825="pass",AO825&lt;&gt;"Y",C825&lt;&gt;"",OR(AU825&lt;&gt;"Y",AV825="Y")),"Y","N"))</f>
        <v/>
      </c>
      <c r="AS825" s="0" t="str">
        <f aca="false">IF($A825="","",_xlfn.TEXTJOIN("; ",TRUE(),IF(CK825&lt;&gt;"pass","gated out",""),IF(AO825="Y","on hold: "&amp;AP825,""),IF(C825="","no contact named on an opened page",""),IF(AND(AU825="Y",AV825&lt;&gt;"Y"),"founder review pending (Founder review tab)","")))</f>
        <v/>
      </c>
      <c r="BC825" s="0" t="str">
        <f aca="false">IF($A825="","",IFERROR(INDEX(Enrichment!$A$2:$GZ$2000,MATCH($A825,INDEX(Enrichment!$A$2:$GZ$2000,0,MATCH("row_id",Enrichment!$A$1:$GZ$1,0)),0),MATCH("work_email",Enrichment!$A$1:$GZ$1,0))&amp;"",""))</f>
        <v/>
      </c>
      <c r="BD825" s="0" t="str">
        <f aca="false">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P825" s="0" t="str">
        <f aca="false">IF($A825="","",IFERROR(INDEX(Enrichment!$A$2:$GZ$2000,MATCH($A825,INDEX(Enrichment!$A$2:$GZ$2000,0,MATCH("row_id",Enrichment!$A$1:$GZ$1,0)),0),MATCH("backup_work_email",Enrichment!$A$1:$GZ$1,0))&amp;"",""))</f>
        <v/>
      </c>
      <c r="BQ825" s="0" t="str">
        <f aca="false">IF($A825="","",IF(BP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DU825" s="0" t="str">
        <f aca="false">IF($A825="","",IF(R825="Y",10,0))</f>
        <v/>
      </c>
      <c r="EV825" s="0" t="str">
        <f aca="false">IF($A825="","",IF(ISNUMBER(MATCH(U825,{"queued","contacted","replied","call_booked","call_done","yes_in_principle","materials_sent"},0)),"Y","N"))</f>
        <v/>
      </c>
      <c r="EW825" s="0" t="str">
        <f aca="false">IF($A825="","",IF(OR(T825="Y",U825="do_not_contact",AQ825&amp;""&lt;&gt;""),"Y","N"))</f>
        <v/>
      </c>
      <c r="EX825" s="0" t="str">
        <f aca="false">IF($A825="","",IF(AN825&amp;""&lt;&gt;"",AN825&amp;"",$A825))</f>
        <v/>
      </c>
      <c r="EY825" s="0" t="str">
        <f aca="false">IF($A825="","",IF(COUNTIFS($EX$2:$EX$1000,EX825,$EV$2:$EV$1000,"Y")+COUNTIFS($EX$2:$EX$1000,EX825,$EW$2:$EW$1000,"Y")&gt;0,"Y","N"))</f>
        <v/>
      </c>
      <c r="EZ825" s="0" t="str">
        <f aca="false">IF($A825="","",IF(AND(U825="new",T825="N",EW825="N",AR825="Y",EY825="N"),"Y","N"))</f>
        <v/>
      </c>
      <c r="FA825" s="0" t="str">
        <f aca="false">IF($A825="","",IF(EZ825&lt;&gt;"Y","N",IF(COUNTIFS($EX$2:$EX$1000,EX825,$EZ$2:$EZ$1000,"Y",$J$2:$J$1000,"&gt;"&amp;J825)+COUNTIFS($EX$2:$EX$1000,EX825,$EZ$2:$EZ$1000,"Y",$J$2:$J$1000,J825,$FG$2:$FG$1000,"&lt;"&amp;FG825)=0,"Y","N")))</f>
        <v/>
      </c>
      <c r="FB825" s="0" t="str">
        <f aca="false">IF($A825="","",IF(AND(EZ825="Y",FA825="Y",Y825&amp;""&lt;&gt;""),IF(Y825&lt;=10,"Y","N"),"N"))</f>
        <v/>
      </c>
      <c r="FC825" s="0" t="str">
        <f aca="false">IF(FB825="Y",Y825,"")</f>
        <v/>
      </c>
      <c r="FD825" s="0" t="str">
        <f aca="false">IF($A825="","",IF(AND(CK825="pass",AU825="Y",AV825&lt;&gt;"Y",U825="new",EW825="N"),"Y","N"))</f>
        <v/>
      </c>
      <c r="FE825" s="0" t="str">
        <f aca="false">IF(FD825&lt;&gt;"Y","",IF(COUNTIFS($FD$2:$FD$1000,"Y",$J$2:$J$1000,"&gt;"&amp;J825)+COUNTIFS($FD$2:$FD$1000,"Y",$J$2:$J$1000,J825,$FG$2:$FG$1000,"&lt;"&amp;FG825)+1&lt;=30,COUNTIFS($FD$2:$FD$1000,"Y",$J$2:$J$1000,"&gt;"&amp;J825)+COUNTIFS($FD$2:$FD$1000,"Y",$J$2:$J$1000,J825,$FG$2:$FG$1000,"&lt;"&amp;FG825)+1,""))</f>
        <v/>
      </c>
      <c r="FF825" s="0" t="str">
        <f aca="false">IF(AND(_xlfn.ISFORMULA(C825),_xlfn.ISFORMULA(J825)),"Y","N")</f>
        <v>Y</v>
      </c>
      <c r="FG825" s="0" t="n">
        <f aca="false">ROW()-1</f>
        <v>824</v>
      </c>
    </row>
    <row r="826" customFormat="false" ht="15" hidden="false" customHeight="false" outlineLevel="0" collapsed="false">
      <c r="C826" s="0" t="str">
        <f aca="false">IF($A826="","",IF(AT826="Y",BL826&amp;"",AY826&amp;""))</f>
        <v/>
      </c>
      <c r="D826" s="0" t="str">
        <f aca="false">IF($A826="","",IF(AT826="Y",BM826&amp;"",AZ826&amp;""))</f>
        <v/>
      </c>
      <c r="E826" s="0" t="str">
        <f aca="false">IF($A826="","",IF(AT826="Y",BN826&amp;"",BA826&amp;""))</f>
        <v/>
      </c>
      <c r="F826" s="0" t="str">
        <f aca="false">IF($A826="","",IF(AT826="Y",BO826&amp;"",BB826&amp;""))</f>
        <v/>
      </c>
      <c r="G826" s="0" t="str">
        <f aca="false">IF($A826="","",IF(AT826="Y",BP826&amp;"",BC826&amp;""))</f>
        <v/>
      </c>
      <c r="H826" s="0" t="str">
        <f aca="false">IF($A826="","",IF(AT826="Y",BQ826&amp;"",BD826&amp;""))</f>
        <v/>
      </c>
      <c r="I826" s="0" t="str">
        <f aca="false">IF($A826="","",IF(R826="Y","warm-intro",IF(H826="verified","email",IF(C826&lt;&gt;"","linkedin",CA826&amp;""))))</f>
        <v/>
      </c>
      <c r="J826" s="0" t="str">
        <f aca="false">IF($A826="","",IF(CK826="pass",ROUND(N(DO826)+N(DP826)+N(DQ826)+N(DR826)+N(DS826)+N(DT826)+N(DU826)+N(DV826),0),0))</f>
        <v/>
      </c>
      <c r="K826" s="0" t="str">
        <f aca="false">IF($A826="","",IF(CK826&lt;&gt;"pass",BY826&amp;"",BY826&amp;", "&amp;IF(AT826="Y",BX826&amp;"",BK826&amp;"")&amp;BZ826&amp;IF(R826="Y","; known to the founder (+10)","")&amp;"."))</f>
        <v/>
      </c>
      <c r="R826" s="5"/>
      <c r="T826" s="5"/>
      <c r="U826" s="5"/>
      <c r="Y826" s="0" t="str">
        <f aca="false">IF(FA826&lt;&gt;"Y","",COUNTIFS($FA$2:$FA$1000,"Y",$J$2:$J$1000,"&gt;"&amp;J826)+COUNTIFS($FA$2:$FA$1000,"Y",$J$2:$J$1000,J826,$FG$2:$FG$1000,"&lt;"&amp;FG826)+1)</f>
        <v/>
      </c>
      <c r="AB826" s="0" t="str">
        <f aca="false">IF($A826="","",IF(AT826="Y",BW826&amp;"",BJ826&amp;""))</f>
        <v/>
      </c>
      <c r="AC826" s="0" t="str">
        <f aca="false">IF($A826="","",IF(AT826="Y",BR826&amp;"",BE826&amp;""))</f>
        <v/>
      </c>
      <c r="AD826" s="0" t="str">
        <f aca="false">IF($A826="","",IF(AT826="Y",BS826&amp;"",BF826&amp;""))</f>
        <v/>
      </c>
      <c r="AE826" s="0" t="str">
        <f aca="false">IF($A826="","",IF(AT826="Y",BT826&amp;"",BG826&amp;""))</f>
        <v/>
      </c>
      <c r="AF826" s="0" t="str">
        <f aca="false">IF($A826="","",IF(AT826="Y",BU826&amp;"",BH826&amp;""))</f>
        <v/>
      </c>
      <c r="AG826" s="0" t="str">
        <f aca="false">IF($A826="","",IF(AT826="Y",BV826&amp;"",BI826&amp;""))</f>
        <v/>
      </c>
      <c r="AO826" s="5"/>
      <c r="AR826" s="0" t="str">
        <f aca="false">IF($A826="","",IF(AND(CK826="pass",AO826&lt;&gt;"Y",C826&lt;&gt;"",OR(AU826&lt;&gt;"Y",AV826="Y")),"Y","N"))</f>
        <v/>
      </c>
      <c r="AS826" s="0" t="str">
        <f aca="false">IF($A826="","",_xlfn.TEXTJOIN("; ",TRUE(),IF(CK826&lt;&gt;"pass","gated out",""),IF(AO826="Y","on hold: "&amp;AP826,""),IF(C826="","no contact named on an opened page",""),IF(AND(AU826="Y",AV826&lt;&gt;"Y"),"founder review pending (Founder review tab)","")))</f>
        <v/>
      </c>
      <c r="BC826" s="0" t="str">
        <f aca="false">IF($A826="","",IFERROR(INDEX(Enrichment!$A$2:$GZ$2000,MATCH($A826,INDEX(Enrichment!$A$2:$GZ$2000,0,MATCH("row_id",Enrichment!$A$1:$GZ$1,0)),0),MATCH("work_email",Enrichment!$A$1:$GZ$1,0))&amp;"",""))</f>
        <v/>
      </c>
      <c r="BD826" s="0" t="str">
        <f aca="false">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P826" s="0" t="str">
        <f aca="false">IF($A826="","",IFERROR(INDEX(Enrichment!$A$2:$GZ$2000,MATCH($A826,INDEX(Enrichment!$A$2:$GZ$2000,0,MATCH("row_id",Enrichment!$A$1:$GZ$1,0)),0),MATCH("backup_work_email",Enrichment!$A$1:$GZ$1,0))&amp;"",""))</f>
        <v/>
      </c>
      <c r="BQ826" s="0" t="str">
        <f aca="false">IF($A826="","",IF(BP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DU826" s="0" t="str">
        <f aca="false">IF($A826="","",IF(R826="Y",10,0))</f>
        <v/>
      </c>
      <c r="EV826" s="0" t="str">
        <f aca="false">IF($A826="","",IF(ISNUMBER(MATCH(U826,{"queued","contacted","replied","call_booked","call_done","yes_in_principle","materials_sent"},0)),"Y","N"))</f>
        <v/>
      </c>
      <c r="EW826" s="0" t="str">
        <f aca="false">IF($A826="","",IF(OR(T826="Y",U826="do_not_contact",AQ826&amp;""&lt;&gt;""),"Y","N"))</f>
        <v/>
      </c>
      <c r="EX826" s="0" t="str">
        <f aca="false">IF($A826="","",IF(AN826&amp;""&lt;&gt;"",AN826&amp;"",$A826))</f>
        <v/>
      </c>
      <c r="EY826" s="0" t="str">
        <f aca="false">IF($A826="","",IF(COUNTIFS($EX$2:$EX$1000,EX826,$EV$2:$EV$1000,"Y")+COUNTIFS($EX$2:$EX$1000,EX826,$EW$2:$EW$1000,"Y")&gt;0,"Y","N"))</f>
        <v/>
      </c>
      <c r="EZ826" s="0" t="str">
        <f aca="false">IF($A826="","",IF(AND(U826="new",T826="N",EW826="N",AR826="Y",EY826="N"),"Y","N"))</f>
        <v/>
      </c>
      <c r="FA826" s="0" t="str">
        <f aca="false">IF($A826="","",IF(EZ826&lt;&gt;"Y","N",IF(COUNTIFS($EX$2:$EX$1000,EX826,$EZ$2:$EZ$1000,"Y",$J$2:$J$1000,"&gt;"&amp;J826)+COUNTIFS($EX$2:$EX$1000,EX826,$EZ$2:$EZ$1000,"Y",$J$2:$J$1000,J826,$FG$2:$FG$1000,"&lt;"&amp;FG826)=0,"Y","N")))</f>
        <v/>
      </c>
      <c r="FB826" s="0" t="str">
        <f aca="false">IF($A826="","",IF(AND(EZ826="Y",FA826="Y",Y826&amp;""&lt;&gt;""),IF(Y826&lt;=10,"Y","N"),"N"))</f>
        <v/>
      </c>
      <c r="FC826" s="0" t="str">
        <f aca="false">IF(FB826="Y",Y826,"")</f>
        <v/>
      </c>
      <c r="FD826" s="0" t="str">
        <f aca="false">IF($A826="","",IF(AND(CK826="pass",AU826="Y",AV826&lt;&gt;"Y",U826="new",EW826="N"),"Y","N"))</f>
        <v/>
      </c>
      <c r="FE826" s="0" t="str">
        <f aca="false">IF(FD826&lt;&gt;"Y","",IF(COUNTIFS($FD$2:$FD$1000,"Y",$J$2:$J$1000,"&gt;"&amp;J826)+COUNTIFS($FD$2:$FD$1000,"Y",$J$2:$J$1000,J826,$FG$2:$FG$1000,"&lt;"&amp;FG826)+1&lt;=30,COUNTIFS($FD$2:$FD$1000,"Y",$J$2:$J$1000,"&gt;"&amp;J826)+COUNTIFS($FD$2:$FD$1000,"Y",$J$2:$J$1000,J826,$FG$2:$FG$1000,"&lt;"&amp;FG826)+1,""))</f>
        <v/>
      </c>
      <c r="FF826" s="0" t="str">
        <f aca="false">IF(AND(_xlfn.ISFORMULA(C826),_xlfn.ISFORMULA(J826)),"Y","N")</f>
        <v>Y</v>
      </c>
      <c r="FG826" s="0" t="n">
        <f aca="false">ROW()-1</f>
        <v>825</v>
      </c>
    </row>
    <row r="827" customFormat="false" ht="15" hidden="false" customHeight="false" outlineLevel="0" collapsed="false">
      <c r="C827" s="0" t="str">
        <f aca="false">IF($A827="","",IF(AT827="Y",BL827&amp;"",AY827&amp;""))</f>
        <v/>
      </c>
      <c r="D827" s="0" t="str">
        <f aca="false">IF($A827="","",IF(AT827="Y",BM827&amp;"",AZ827&amp;""))</f>
        <v/>
      </c>
      <c r="E827" s="0" t="str">
        <f aca="false">IF($A827="","",IF(AT827="Y",BN827&amp;"",BA827&amp;""))</f>
        <v/>
      </c>
      <c r="F827" s="0" t="str">
        <f aca="false">IF($A827="","",IF(AT827="Y",BO827&amp;"",BB827&amp;""))</f>
        <v/>
      </c>
      <c r="G827" s="0" t="str">
        <f aca="false">IF($A827="","",IF(AT827="Y",BP827&amp;"",BC827&amp;""))</f>
        <v/>
      </c>
      <c r="H827" s="0" t="str">
        <f aca="false">IF($A827="","",IF(AT827="Y",BQ827&amp;"",BD827&amp;""))</f>
        <v/>
      </c>
      <c r="I827" s="0" t="str">
        <f aca="false">IF($A827="","",IF(R827="Y","warm-intro",IF(H827="verified","email",IF(C827&lt;&gt;"","linkedin",CA827&amp;""))))</f>
        <v/>
      </c>
      <c r="J827" s="0" t="str">
        <f aca="false">IF($A827="","",IF(CK827="pass",ROUND(N(DO827)+N(DP827)+N(DQ827)+N(DR827)+N(DS827)+N(DT827)+N(DU827)+N(DV827),0),0))</f>
        <v/>
      </c>
      <c r="K827" s="0" t="str">
        <f aca="false">IF($A827="","",IF(CK827&lt;&gt;"pass",BY827&amp;"",BY827&amp;", "&amp;IF(AT827="Y",BX827&amp;"",BK827&amp;"")&amp;BZ827&amp;IF(R827="Y","; known to the founder (+10)","")&amp;"."))</f>
        <v/>
      </c>
      <c r="R827" s="5"/>
      <c r="T827" s="5"/>
      <c r="U827" s="5"/>
      <c r="Y827" s="0" t="str">
        <f aca="false">IF(FA827&lt;&gt;"Y","",COUNTIFS($FA$2:$FA$1000,"Y",$J$2:$J$1000,"&gt;"&amp;J827)+COUNTIFS($FA$2:$FA$1000,"Y",$J$2:$J$1000,J827,$FG$2:$FG$1000,"&lt;"&amp;FG827)+1)</f>
        <v/>
      </c>
      <c r="AB827" s="0" t="str">
        <f aca="false">IF($A827="","",IF(AT827="Y",BW827&amp;"",BJ827&amp;""))</f>
        <v/>
      </c>
      <c r="AC827" s="0" t="str">
        <f aca="false">IF($A827="","",IF(AT827="Y",BR827&amp;"",BE827&amp;""))</f>
        <v/>
      </c>
      <c r="AD827" s="0" t="str">
        <f aca="false">IF($A827="","",IF(AT827="Y",BS827&amp;"",BF827&amp;""))</f>
        <v/>
      </c>
      <c r="AE827" s="0" t="str">
        <f aca="false">IF($A827="","",IF(AT827="Y",BT827&amp;"",BG827&amp;""))</f>
        <v/>
      </c>
      <c r="AF827" s="0" t="str">
        <f aca="false">IF($A827="","",IF(AT827="Y",BU827&amp;"",BH827&amp;""))</f>
        <v/>
      </c>
      <c r="AG827" s="0" t="str">
        <f aca="false">IF($A827="","",IF(AT827="Y",BV827&amp;"",BI827&amp;""))</f>
        <v/>
      </c>
      <c r="AO827" s="5"/>
      <c r="AR827" s="0" t="str">
        <f aca="false">IF($A827="","",IF(AND(CK827="pass",AO827&lt;&gt;"Y",C827&lt;&gt;"",OR(AU827&lt;&gt;"Y",AV827="Y")),"Y","N"))</f>
        <v/>
      </c>
      <c r="AS827" s="0" t="str">
        <f aca="false">IF($A827="","",_xlfn.TEXTJOIN("; ",TRUE(),IF(CK827&lt;&gt;"pass","gated out",""),IF(AO827="Y","on hold: "&amp;AP827,""),IF(C827="","no contact named on an opened page",""),IF(AND(AU827="Y",AV827&lt;&gt;"Y"),"founder review pending (Founder review tab)","")))</f>
        <v/>
      </c>
      <c r="BC827" s="0" t="str">
        <f aca="false">IF($A827="","",IFERROR(INDEX(Enrichment!$A$2:$GZ$2000,MATCH($A827,INDEX(Enrichment!$A$2:$GZ$2000,0,MATCH("row_id",Enrichment!$A$1:$GZ$1,0)),0),MATCH("work_email",Enrichment!$A$1:$GZ$1,0))&amp;"",""))</f>
        <v/>
      </c>
      <c r="BD827" s="0" t="str">
        <f aca="false">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P827" s="0" t="str">
        <f aca="false">IF($A827="","",IFERROR(INDEX(Enrichment!$A$2:$GZ$2000,MATCH($A827,INDEX(Enrichment!$A$2:$GZ$2000,0,MATCH("row_id",Enrichment!$A$1:$GZ$1,0)),0),MATCH("backup_work_email",Enrichment!$A$1:$GZ$1,0))&amp;"",""))</f>
        <v/>
      </c>
      <c r="BQ827" s="0" t="str">
        <f aca="false">IF($A827="","",IF(BP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DU827" s="0" t="str">
        <f aca="false">IF($A827="","",IF(R827="Y",10,0))</f>
        <v/>
      </c>
      <c r="EV827" s="0" t="str">
        <f aca="false">IF($A827="","",IF(ISNUMBER(MATCH(U827,{"queued","contacted","replied","call_booked","call_done","yes_in_principle","materials_sent"},0)),"Y","N"))</f>
        <v/>
      </c>
      <c r="EW827" s="0" t="str">
        <f aca="false">IF($A827="","",IF(OR(T827="Y",U827="do_not_contact",AQ827&amp;""&lt;&gt;""),"Y","N"))</f>
        <v/>
      </c>
      <c r="EX827" s="0" t="str">
        <f aca="false">IF($A827="","",IF(AN827&amp;""&lt;&gt;"",AN827&amp;"",$A827))</f>
        <v/>
      </c>
      <c r="EY827" s="0" t="str">
        <f aca="false">IF($A827="","",IF(COUNTIFS($EX$2:$EX$1000,EX827,$EV$2:$EV$1000,"Y")+COUNTIFS($EX$2:$EX$1000,EX827,$EW$2:$EW$1000,"Y")&gt;0,"Y","N"))</f>
        <v/>
      </c>
      <c r="EZ827" s="0" t="str">
        <f aca="false">IF($A827="","",IF(AND(U827="new",T827="N",EW827="N",AR827="Y",EY827="N"),"Y","N"))</f>
        <v/>
      </c>
      <c r="FA827" s="0" t="str">
        <f aca="false">IF($A827="","",IF(EZ827&lt;&gt;"Y","N",IF(COUNTIFS($EX$2:$EX$1000,EX827,$EZ$2:$EZ$1000,"Y",$J$2:$J$1000,"&gt;"&amp;J827)+COUNTIFS($EX$2:$EX$1000,EX827,$EZ$2:$EZ$1000,"Y",$J$2:$J$1000,J827,$FG$2:$FG$1000,"&lt;"&amp;FG827)=0,"Y","N")))</f>
        <v/>
      </c>
      <c r="FB827" s="0" t="str">
        <f aca="false">IF($A827="","",IF(AND(EZ827="Y",FA827="Y",Y827&amp;""&lt;&gt;""),IF(Y827&lt;=10,"Y","N"),"N"))</f>
        <v/>
      </c>
      <c r="FC827" s="0" t="str">
        <f aca="false">IF(FB827="Y",Y827,"")</f>
        <v/>
      </c>
      <c r="FD827" s="0" t="str">
        <f aca="false">IF($A827="","",IF(AND(CK827="pass",AU827="Y",AV827&lt;&gt;"Y",U827="new",EW827="N"),"Y","N"))</f>
        <v/>
      </c>
      <c r="FE827" s="0" t="str">
        <f aca="false">IF(FD827&lt;&gt;"Y","",IF(COUNTIFS($FD$2:$FD$1000,"Y",$J$2:$J$1000,"&gt;"&amp;J827)+COUNTIFS($FD$2:$FD$1000,"Y",$J$2:$J$1000,J827,$FG$2:$FG$1000,"&lt;"&amp;FG827)+1&lt;=30,COUNTIFS($FD$2:$FD$1000,"Y",$J$2:$J$1000,"&gt;"&amp;J827)+COUNTIFS($FD$2:$FD$1000,"Y",$J$2:$J$1000,J827,$FG$2:$FG$1000,"&lt;"&amp;FG827)+1,""))</f>
        <v/>
      </c>
      <c r="FF827" s="0" t="str">
        <f aca="false">IF(AND(_xlfn.ISFORMULA(C827),_xlfn.ISFORMULA(J827)),"Y","N")</f>
        <v>Y</v>
      </c>
      <c r="FG827" s="0" t="n">
        <f aca="false">ROW()-1</f>
        <v>826</v>
      </c>
    </row>
    <row r="828" customFormat="false" ht="15" hidden="false" customHeight="false" outlineLevel="0" collapsed="false">
      <c r="C828" s="0" t="str">
        <f aca="false">IF($A828="","",IF(AT828="Y",BL828&amp;"",AY828&amp;""))</f>
        <v/>
      </c>
      <c r="D828" s="0" t="str">
        <f aca="false">IF($A828="","",IF(AT828="Y",BM828&amp;"",AZ828&amp;""))</f>
        <v/>
      </c>
      <c r="E828" s="0" t="str">
        <f aca="false">IF($A828="","",IF(AT828="Y",BN828&amp;"",BA828&amp;""))</f>
        <v/>
      </c>
      <c r="F828" s="0" t="str">
        <f aca="false">IF($A828="","",IF(AT828="Y",BO828&amp;"",BB828&amp;""))</f>
        <v/>
      </c>
      <c r="G828" s="0" t="str">
        <f aca="false">IF($A828="","",IF(AT828="Y",BP828&amp;"",BC828&amp;""))</f>
        <v/>
      </c>
      <c r="H828" s="0" t="str">
        <f aca="false">IF($A828="","",IF(AT828="Y",BQ828&amp;"",BD828&amp;""))</f>
        <v/>
      </c>
      <c r="I828" s="0" t="str">
        <f aca="false">IF($A828="","",IF(R828="Y","warm-intro",IF(H828="verified","email",IF(C828&lt;&gt;"","linkedin",CA828&amp;""))))</f>
        <v/>
      </c>
      <c r="J828" s="0" t="str">
        <f aca="false">IF($A828="","",IF(CK828="pass",ROUND(N(DO828)+N(DP828)+N(DQ828)+N(DR828)+N(DS828)+N(DT828)+N(DU828)+N(DV828),0),0))</f>
        <v/>
      </c>
      <c r="K828" s="0" t="str">
        <f aca="false">IF($A828="","",IF(CK828&lt;&gt;"pass",BY828&amp;"",BY828&amp;", "&amp;IF(AT828="Y",BX828&amp;"",BK828&amp;"")&amp;BZ828&amp;IF(R828="Y","; known to the founder (+10)","")&amp;"."))</f>
        <v/>
      </c>
      <c r="R828" s="5"/>
      <c r="T828" s="5"/>
      <c r="U828" s="5"/>
      <c r="Y828" s="0" t="str">
        <f aca="false">IF(FA828&lt;&gt;"Y","",COUNTIFS($FA$2:$FA$1000,"Y",$J$2:$J$1000,"&gt;"&amp;J828)+COUNTIFS($FA$2:$FA$1000,"Y",$J$2:$J$1000,J828,$FG$2:$FG$1000,"&lt;"&amp;FG828)+1)</f>
        <v/>
      </c>
      <c r="AB828" s="0" t="str">
        <f aca="false">IF($A828="","",IF(AT828="Y",BW828&amp;"",BJ828&amp;""))</f>
        <v/>
      </c>
      <c r="AC828" s="0" t="str">
        <f aca="false">IF($A828="","",IF(AT828="Y",BR828&amp;"",BE828&amp;""))</f>
        <v/>
      </c>
      <c r="AD828" s="0" t="str">
        <f aca="false">IF($A828="","",IF(AT828="Y",BS828&amp;"",BF828&amp;""))</f>
        <v/>
      </c>
      <c r="AE828" s="0" t="str">
        <f aca="false">IF($A828="","",IF(AT828="Y",BT828&amp;"",BG828&amp;""))</f>
        <v/>
      </c>
      <c r="AF828" s="0" t="str">
        <f aca="false">IF($A828="","",IF(AT828="Y",BU828&amp;"",BH828&amp;""))</f>
        <v/>
      </c>
      <c r="AG828" s="0" t="str">
        <f aca="false">IF($A828="","",IF(AT828="Y",BV828&amp;"",BI828&amp;""))</f>
        <v/>
      </c>
      <c r="AO828" s="5"/>
      <c r="AR828" s="0" t="str">
        <f aca="false">IF($A828="","",IF(AND(CK828="pass",AO828&lt;&gt;"Y",C828&lt;&gt;"",OR(AU828&lt;&gt;"Y",AV828="Y")),"Y","N"))</f>
        <v/>
      </c>
      <c r="AS828" s="0" t="str">
        <f aca="false">IF($A828="","",_xlfn.TEXTJOIN("; ",TRUE(),IF(CK828&lt;&gt;"pass","gated out",""),IF(AO828="Y","on hold: "&amp;AP828,""),IF(C828="","no contact named on an opened page",""),IF(AND(AU828="Y",AV828&lt;&gt;"Y"),"founder review pending (Founder review tab)","")))</f>
        <v/>
      </c>
      <c r="BC828" s="0" t="str">
        <f aca="false">IF($A828="","",IFERROR(INDEX(Enrichment!$A$2:$GZ$2000,MATCH($A828,INDEX(Enrichment!$A$2:$GZ$2000,0,MATCH("row_id",Enrichment!$A$1:$GZ$1,0)),0),MATCH("work_email",Enrichment!$A$1:$GZ$1,0))&amp;"",""))</f>
        <v/>
      </c>
      <c r="BD828" s="0" t="str">
        <f aca="false">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P828" s="0" t="str">
        <f aca="false">IF($A828="","",IFERROR(INDEX(Enrichment!$A$2:$GZ$2000,MATCH($A828,INDEX(Enrichment!$A$2:$GZ$2000,0,MATCH("row_id",Enrichment!$A$1:$GZ$1,0)),0),MATCH("backup_work_email",Enrichment!$A$1:$GZ$1,0))&amp;"",""))</f>
        <v/>
      </c>
      <c r="BQ828" s="0" t="str">
        <f aca="false">IF($A828="","",IF(BP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DU828" s="0" t="str">
        <f aca="false">IF($A828="","",IF(R828="Y",10,0))</f>
        <v/>
      </c>
      <c r="EV828" s="0" t="str">
        <f aca="false">IF($A828="","",IF(ISNUMBER(MATCH(U828,{"queued","contacted","replied","call_booked","call_done","yes_in_principle","materials_sent"},0)),"Y","N"))</f>
        <v/>
      </c>
      <c r="EW828" s="0" t="str">
        <f aca="false">IF($A828="","",IF(OR(T828="Y",U828="do_not_contact",AQ828&amp;""&lt;&gt;""),"Y","N"))</f>
        <v/>
      </c>
      <c r="EX828" s="0" t="str">
        <f aca="false">IF($A828="","",IF(AN828&amp;""&lt;&gt;"",AN828&amp;"",$A828))</f>
        <v/>
      </c>
      <c r="EY828" s="0" t="str">
        <f aca="false">IF($A828="","",IF(COUNTIFS($EX$2:$EX$1000,EX828,$EV$2:$EV$1000,"Y")+COUNTIFS($EX$2:$EX$1000,EX828,$EW$2:$EW$1000,"Y")&gt;0,"Y","N"))</f>
        <v/>
      </c>
      <c r="EZ828" s="0" t="str">
        <f aca="false">IF($A828="","",IF(AND(U828="new",T828="N",EW828="N",AR828="Y",EY828="N"),"Y","N"))</f>
        <v/>
      </c>
      <c r="FA828" s="0" t="str">
        <f aca="false">IF($A828="","",IF(EZ828&lt;&gt;"Y","N",IF(COUNTIFS($EX$2:$EX$1000,EX828,$EZ$2:$EZ$1000,"Y",$J$2:$J$1000,"&gt;"&amp;J828)+COUNTIFS($EX$2:$EX$1000,EX828,$EZ$2:$EZ$1000,"Y",$J$2:$J$1000,J828,$FG$2:$FG$1000,"&lt;"&amp;FG828)=0,"Y","N")))</f>
        <v/>
      </c>
      <c r="FB828" s="0" t="str">
        <f aca="false">IF($A828="","",IF(AND(EZ828="Y",FA828="Y",Y828&amp;""&lt;&gt;""),IF(Y828&lt;=10,"Y","N"),"N"))</f>
        <v/>
      </c>
      <c r="FC828" s="0" t="str">
        <f aca="false">IF(FB828="Y",Y828,"")</f>
        <v/>
      </c>
      <c r="FD828" s="0" t="str">
        <f aca="false">IF($A828="","",IF(AND(CK828="pass",AU828="Y",AV828&lt;&gt;"Y",U828="new",EW828="N"),"Y","N"))</f>
        <v/>
      </c>
      <c r="FE828" s="0" t="str">
        <f aca="false">IF(FD828&lt;&gt;"Y","",IF(COUNTIFS($FD$2:$FD$1000,"Y",$J$2:$J$1000,"&gt;"&amp;J828)+COUNTIFS($FD$2:$FD$1000,"Y",$J$2:$J$1000,J828,$FG$2:$FG$1000,"&lt;"&amp;FG828)+1&lt;=30,COUNTIFS($FD$2:$FD$1000,"Y",$J$2:$J$1000,"&gt;"&amp;J828)+COUNTIFS($FD$2:$FD$1000,"Y",$J$2:$J$1000,J828,$FG$2:$FG$1000,"&lt;"&amp;FG828)+1,""))</f>
        <v/>
      </c>
      <c r="FF828" s="0" t="str">
        <f aca="false">IF(AND(_xlfn.ISFORMULA(C828),_xlfn.ISFORMULA(J828)),"Y","N")</f>
        <v>Y</v>
      </c>
      <c r="FG828" s="0" t="n">
        <f aca="false">ROW()-1</f>
        <v>827</v>
      </c>
    </row>
    <row r="829" customFormat="false" ht="15" hidden="false" customHeight="false" outlineLevel="0" collapsed="false">
      <c r="C829" s="0" t="str">
        <f aca="false">IF($A829="","",IF(AT829="Y",BL829&amp;"",AY829&amp;""))</f>
        <v/>
      </c>
      <c r="D829" s="0" t="str">
        <f aca="false">IF($A829="","",IF(AT829="Y",BM829&amp;"",AZ829&amp;""))</f>
        <v/>
      </c>
      <c r="E829" s="0" t="str">
        <f aca="false">IF($A829="","",IF(AT829="Y",BN829&amp;"",BA829&amp;""))</f>
        <v/>
      </c>
      <c r="F829" s="0" t="str">
        <f aca="false">IF($A829="","",IF(AT829="Y",BO829&amp;"",BB829&amp;""))</f>
        <v/>
      </c>
      <c r="G829" s="0" t="str">
        <f aca="false">IF($A829="","",IF(AT829="Y",BP829&amp;"",BC829&amp;""))</f>
        <v/>
      </c>
      <c r="H829" s="0" t="str">
        <f aca="false">IF($A829="","",IF(AT829="Y",BQ829&amp;"",BD829&amp;""))</f>
        <v/>
      </c>
      <c r="I829" s="0" t="str">
        <f aca="false">IF($A829="","",IF(R829="Y","warm-intro",IF(H829="verified","email",IF(C829&lt;&gt;"","linkedin",CA829&amp;""))))</f>
        <v/>
      </c>
      <c r="J829" s="0" t="str">
        <f aca="false">IF($A829="","",IF(CK829="pass",ROUND(N(DO829)+N(DP829)+N(DQ829)+N(DR829)+N(DS829)+N(DT829)+N(DU829)+N(DV829),0),0))</f>
        <v/>
      </c>
      <c r="K829" s="0" t="str">
        <f aca="false">IF($A829="","",IF(CK829&lt;&gt;"pass",BY829&amp;"",BY829&amp;", "&amp;IF(AT829="Y",BX829&amp;"",BK829&amp;"")&amp;BZ829&amp;IF(R829="Y","; known to the founder (+10)","")&amp;"."))</f>
        <v/>
      </c>
      <c r="R829" s="5"/>
      <c r="T829" s="5"/>
      <c r="U829" s="5"/>
      <c r="Y829" s="0" t="str">
        <f aca="false">IF(FA829&lt;&gt;"Y","",COUNTIFS($FA$2:$FA$1000,"Y",$J$2:$J$1000,"&gt;"&amp;J829)+COUNTIFS($FA$2:$FA$1000,"Y",$J$2:$J$1000,J829,$FG$2:$FG$1000,"&lt;"&amp;FG829)+1)</f>
        <v/>
      </c>
      <c r="AB829" s="0" t="str">
        <f aca="false">IF($A829="","",IF(AT829="Y",BW829&amp;"",BJ829&amp;""))</f>
        <v/>
      </c>
      <c r="AC829" s="0" t="str">
        <f aca="false">IF($A829="","",IF(AT829="Y",BR829&amp;"",BE829&amp;""))</f>
        <v/>
      </c>
      <c r="AD829" s="0" t="str">
        <f aca="false">IF($A829="","",IF(AT829="Y",BS829&amp;"",BF829&amp;""))</f>
        <v/>
      </c>
      <c r="AE829" s="0" t="str">
        <f aca="false">IF($A829="","",IF(AT829="Y",BT829&amp;"",BG829&amp;""))</f>
        <v/>
      </c>
      <c r="AF829" s="0" t="str">
        <f aca="false">IF($A829="","",IF(AT829="Y",BU829&amp;"",BH829&amp;""))</f>
        <v/>
      </c>
      <c r="AG829" s="0" t="str">
        <f aca="false">IF($A829="","",IF(AT829="Y",BV829&amp;"",BI829&amp;""))</f>
        <v/>
      </c>
      <c r="AO829" s="5"/>
      <c r="AR829" s="0" t="str">
        <f aca="false">IF($A829="","",IF(AND(CK829="pass",AO829&lt;&gt;"Y",C829&lt;&gt;"",OR(AU829&lt;&gt;"Y",AV829="Y")),"Y","N"))</f>
        <v/>
      </c>
      <c r="AS829" s="0" t="str">
        <f aca="false">IF($A829="","",_xlfn.TEXTJOIN("; ",TRUE(),IF(CK829&lt;&gt;"pass","gated out",""),IF(AO829="Y","on hold: "&amp;AP829,""),IF(C829="","no contact named on an opened page",""),IF(AND(AU829="Y",AV829&lt;&gt;"Y"),"founder review pending (Founder review tab)","")))</f>
        <v/>
      </c>
      <c r="BC829" s="0" t="str">
        <f aca="false">IF($A829="","",IFERROR(INDEX(Enrichment!$A$2:$GZ$2000,MATCH($A829,INDEX(Enrichment!$A$2:$GZ$2000,0,MATCH("row_id",Enrichment!$A$1:$GZ$1,0)),0),MATCH("work_email",Enrichment!$A$1:$GZ$1,0))&amp;"",""))</f>
        <v/>
      </c>
      <c r="BD829" s="0" t="str">
        <f aca="false">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P829" s="0" t="str">
        <f aca="false">IF($A829="","",IFERROR(INDEX(Enrichment!$A$2:$GZ$2000,MATCH($A829,INDEX(Enrichment!$A$2:$GZ$2000,0,MATCH("row_id",Enrichment!$A$1:$GZ$1,0)),0),MATCH("backup_work_email",Enrichment!$A$1:$GZ$1,0))&amp;"",""))</f>
        <v/>
      </c>
      <c r="BQ829" s="0" t="str">
        <f aca="false">IF($A829="","",IF(BP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DU829" s="0" t="str">
        <f aca="false">IF($A829="","",IF(R829="Y",10,0))</f>
        <v/>
      </c>
      <c r="EV829" s="0" t="str">
        <f aca="false">IF($A829="","",IF(ISNUMBER(MATCH(U829,{"queued","contacted","replied","call_booked","call_done","yes_in_principle","materials_sent"},0)),"Y","N"))</f>
        <v/>
      </c>
      <c r="EW829" s="0" t="str">
        <f aca="false">IF($A829="","",IF(OR(T829="Y",U829="do_not_contact",AQ829&amp;""&lt;&gt;""),"Y","N"))</f>
        <v/>
      </c>
      <c r="EX829" s="0" t="str">
        <f aca="false">IF($A829="","",IF(AN829&amp;""&lt;&gt;"",AN829&amp;"",$A829))</f>
        <v/>
      </c>
      <c r="EY829" s="0" t="str">
        <f aca="false">IF($A829="","",IF(COUNTIFS($EX$2:$EX$1000,EX829,$EV$2:$EV$1000,"Y")+COUNTIFS($EX$2:$EX$1000,EX829,$EW$2:$EW$1000,"Y")&gt;0,"Y","N"))</f>
        <v/>
      </c>
      <c r="EZ829" s="0" t="str">
        <f aca="false">IF($A829="","",IF(AND(U829="new",T829="N",EW829="N",AR829="Y",EY829="N"),"Y","N"))</f>
        <v/>
      </c>
      <c r="FA829" s="0" t="str">
        <f aca="false">IF($A829="","",IF(EZ829&lt;&gt;"Y","N",IF(COUNTIFS($EX$2:$EX$1000,EX829,$EZ$2:$EZ$1000,"Y",$J$2:$J$1000,"&gt;"&amp;J829)+COUNTIFS($EX$2:$EX$1000,EX829,$EZ$2:$EZ$1000,"Y",$J$2:$J$1000,J829,$FG$2:$FG$1000,"&lt;"&amp;FG829)=0,"Y","N")))</f>
        <v/>
      </c>
      <c r="FB829" s="0" t="str">
        <f aca="false">IF($A829="","",IF(AND(EZ829="Y",FA829="Y",Y829&amp;""&lt;&gt;""),IF(Y829&lt;=10,"Y","N"),"N"))</f>
        <v/>
      </c>
      <c r="FC829" s="0" t="str">
        <f aca="false">IF(FB829="Y",Y829,"")</f>
        <v/>
      </c>
      <c r="FD829" s="0" t="str">
        <f aca="false">IF($A829="","",IF(AND(CK829="pass",AU829="Y",AV829&lt;&gt;"Y",U829="new",EW829="N"),"Y","N"))</f>
        <v/>
      </c>
      <c r="FE829" s="0" t="str">
        <f aca="false">IF(FD829&lt;&gt;"Y","",IF(COUNTIFS($FD$2:$FD$1000,"Y",$J$2:$J$1000,"&gt;"&amp;J829)+COUNTIFS($FD$2:$FD$1000,"Y",$J$2:$J$1000,J829,$FG$2:$FG$1000,"&lt;"&amp;FG829)+1&lt;=30,COUNTIFS($FD$2:$FD$1000,"Y",$J$2:$J$1000,"&gt;"&amp;J829)+COUNTIFS($FD$2:$FD$1000,"Y",$J$2:$J$1000,J829,$FG$2:$FG$1000,"&lt;"&amp;FG829)+1,""))</f>
        <v/>
      </c>
      <c r="FF829" s="0" t="str">
        <f aca="false">IF(AND(_xlfn.ISFORMULA(C829),_xlfn.ISFORMULA(J829)),"Y","N")</f>
        <v>Y</v>
      </c>
      <c r="FG829" s="0" t="n">
        <f aca="false">ROW()-1</f>
        <v>828</v>
      </c>
    </row>
    <row r="830" customFormat="false" ht="15" hidden="false" customHeight="false" outlineLevel="0" collapsed="false">
      <c r="C830" s="0" t="str">
        <f aca="false">IF($A830="","",IF(AT830="Y",BL830&amp;"",AY830&amp;""))</f>
        <v/>
      </c>
      <c r="D830" s="0" t="str">
        <f aca="false">IF($A830="","",IF(AT830="Y",BM830&amp;"",AZ830&amp;""))</f>
        <v/>
      </c>
      <c r="E830" s="0" t="str">
        <f aca="false">IF($A830="","",IF(AT830="Y",BN830&amp;"",BA830&amp;""))</f>
        <v/>
      </c>
      <c r="F830" s="0" t="str">
        <f aca="false">IF($A830="","",IF(AT830="Y",BO830&amp;"",BB830&amp;""))</f>
        <v/>
      </c>
      <c r="G830" s="0" t="str">
        <f aca="false">IF($A830="","",IF(AT830="Y",BP830&amp;"",BC830&amp;""))</f>
        <v/>
      </c>
      <c r="H830" s="0" t="str">
        <f aca="false">IF($A830="","",IF(AT830="Y",BQ830&amp;"",BD830&amp;""))</f>
        <v/>
      </c>
      <c r="I830" s="0" t="str">
        <f aca="false">IF($A830="","",IF(R830="Y","warm-intro",IF(H830="verified","email",IF(C830&lt;&gt;"","linkedin",CA830&amp;""))))</f>
        <v/>
      </c>
      <c r="J830" s="0" t="str">
        <f aca="false">IF($A830="","",IF(CK830="pass",ROUND(N(DO830)+N(DP830)+N(DQ830)+N(DR830)+N(DS830)+N(DT830)+N(DU830)+N(DV830),0),0))</f>
        <v/>
      </c>
      <c r="K830" s="0" t="str">
        <f aca="false">IF($A830="","",IF(CK830&lt;&gt;"pass",BY830&amp;"",BY830&amp;", "&amp;IF(AT830="Y",BX830&amp;"",BK830&amp;"")&amp;BZ830&amp;IF(R830="Y","; known to the founder (+10)","")&amp;"."))</f>
        <v/>
      </c>
      <c r="R830" s="5"/>
      <c r="T830" s="5"/>
      <c r="U830" s="5"/>
      <c r="Y830" s="0" t="str">
        <f aca="false">IF(FA830&lt;&gt;"Y","",COUNTIFS($FA$2:$FA$1000,"Y",$J$2:$J$1000,"&gt;"&amp;J830)+COUNTIFS($FA$2:$FA$1000,"Y",$J$2:$J$1000,J830,$FG$2:$FG$1000,"&lt;"&amp;FG830)+1)</f>
        <v/>
      </c>
      <c r="AB830" s="0" t="str">
        <f aca="false">IF($A830="","",IF(AT830="Y",BW830&amp;"",BJ830&amp;""))</f>
        <v/>
      </c>
      <c r="AC830" s="0" t="str">
        <f aca="false">IF($A830="","",IF(AT830="Y",BR830&amp;"",BE830&amp;""))</f>
        <v/>
      </c>
      <c r="AD830" s="0" t="str">
        <f aca="false">IF($A830="","",IF(AT830="Y",BS830&amp;"",BF830&amp;""))</f>
        <v/>
      </c>
      <c r="AE830" s="0" t="str">
        <f aca="false">IF($A830="","",IF(AT830="Y",BT830&amp;"",BG830&amp;""))</f>
        <v/>
      </c>
      <c r="AF830" s="0" t="str">
        <f aca="false">IF($A830="","",IF(AT830="Y",BU830&amp;"",BH830&amp;""))</f>
        <v/>
      </c>
      <c r="AG830" s="0" t="str">
        <f aca="false">IF($A830="","",IF(AT830="Y",BV830&amp;"",BI830&amp;""))</f>
        <v/>
      </c>
      <c r="AO830" s="5"/>
      <c r="AR830" s="0" t="str">
        <f aca="false">IF($A830="","",IF(AND(CK830="pass",AO830&lt;&gt;"Y",C830&lt;&gt;"",OR(AU830&lt;&gt;"Y",AV830="Y")),"Y","N"))</f>
        <v/>
      </c>
      <c r="AS830" s="0" t="str">
        <f aca="false">IF($A830="","",_xlfn.TEXTJOIN("; ",TRUE(),IF(CK830&lt;&gt;"pass","gated out",""),IF(AO830="Y","on hold: "&amp;AP830,""),IF(C830="","no contact named on an opened page",""),IF(AND(AU830="Y",AV830&lt;&gt;"Y"),"founder review pending (Founder review tab)","")))</f>
        <v/>
      </c>
      <c r="BC830" s="0" t="str">
        <f aca="false">IF($A830="","",IFERROR(INDEX(Enrichment!$A$2:$GZ$2000,MATCH($A830,INDEX(Enrichment!$A$2:$GZ$2000,0,MATCH("row_id",Enrichment!$A$1:$GZ$1,0)),0),MATCH("work_email",Enrichment!$A$1:$GZ$1,0))&amp;"",""))</f>
        <v/>
      </c>
      <c r="BD830" s="0" t="str">
        <f aca="false">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P830" s="0" t="str">
        <f aca="false">IF($A830="","",IFERROR(INDEX(Enrichment!$A$2:$GZ$2000,MATCH($A830,INDEX(Enrichment!$A$2:$GZ$2000,0,MATCH("row_id",Enrichment!$A$1:$GZ$1,0)),0),MATCH("backup_work_email",Enrichment!$A$1:$GZ$1,0))&amp;"",""))</f>
        <v/>
      </c>
      <c r="BQ830" s="0" t="str">
        <f aca="false">IF($A830="","",IF(BP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DU830" s="0" t="str">
        <f aca="false">IF($A830="","",IF(R830="Y",10,0))</f>
        <v/>
      </c>
      <c r="EV830" s="0" t="str">
        <f aca="false">IF($A830="","",IF(ISNUMBER(MATCH(U830,{"queued","contacted","replied","call_booked","call_done","yes_in_principle","materials_sent"},0)),"Y","N"))</f>
        <v/>
      </c>
      <c r="EW830" s="0" t="str">
        <f aca="false">IF($A830="","",IF(OR(T830="Y",U830="do_not_contact",AQ830&amp;""&lt;&gt;""),"Y","N"))</f>
        <v/>
      </c>
      <c r="EX830" s="0" t="str">
        <f aca="false">IF($A830="","",IF(AN830&amp;""&lt;&gt;"",AN830&amp;"",$A830))</f>
        <v/>
      </c>
      <c r="EY830" s="0" t="str">
        <f aca="false">IF($A830="","",IF(COUNTIFS($EX$2:$EX$1000,EX830,$EV$2:$EV$1000,"Y")+COUNTIFS($EX$2:$EX$1000,EX830,$EW$2:$EW$1000,"Y")&gt;0,"Y","N"))</f>
        <v/>
      </c>
      <c r="EZ830" s="0" t="str">
        <f aca="false">IF($A830="","",IF(AND(U830="new",T830="N",EW830="N",AR830="Y",EY830="N"),"Y","N"))</f>
        <v/>
      </c>
      <c r="FA830" s="0" t="str">
        <f aca="false">IF($A830="","",IF(EZ830&lt;&gt;"Y","N",IF(COUNTIFS($EX$2:$EX$1000,EX830,$EZ$2:$EZ$1000,"Y",$J$2:$J$1000,"&gt;"&amp;J830)+COUNTIFS($EX$2:$EX$1000,EX830,$EZ$2:$EZ$1000,"Y",$J$2:$J$1000,J830,$FG$2:$FG$1000,"&lt;"&amp;FG830)=0,"Y","N")))</f>
        <v/>
      </c>
      <c r="FB830" s="0" t="str">
        <f aca="false">IF($A830="","",IF(AND(EZ830="Y",FA830="Y",Y830&amp;""&lt;&gt;""),IF(Y830&lt;=10,"Y","N"),"N"))</f>
        <v/>
      </c>
      <c r="FC830" s="0" t="str">
        <f aca="false">IF(FB830="Y",Y830,"")</f>
        <v/>
      </c>
      <c r="FD830" s="0" t="str">
        <f aca="false">IF($A830="","",IF(AND(CK830="pass",AU830="Y",AV830&lt;&gt;"Y",U830="new",EW830="N"),"Y","N"))</f>
        <v/>
      </c>
      <c r="FE830" s="0" t="str">
        <f aca="false">IF(FD830&lt;&gt;"Y","",IF(COUNTIFS($FD$2:$FD$1000,"Y",$J$2:$J$1000,"&gt;"&amp;J830)+COUNTIFS($FD$2:$FD$1000,"Y",$J$2:$J$1000,J830,$FG$2:$FG$1000,"&lt;"&amp;FG830)+1&lt;=30,COUNTIFS($FD$2:$FD$1000,"Y",$J$2:$J$1000,"&gt;"&amp;J830)+COUNTIFS($FD$2:$FD$1000,"Y",$J$2:$J$1000,J830,$FG$2:$FG$1000,"&lt;"&amp;FG830)+1,""))</f>
        <v/>
      </c>
      <c r="FF830" s="0" t="str">
        <f aca="false">IF(AND(_xlfn.ISFORMULA(C830),_xlfn.ISFORMULA(J830)),"Y","N")</f>
        <v>Y</v>
      </c>
      <c r="FG830" s="0" t="n">
        <f aca="false">ROW()-1</f>
        <v>829</v>
      </c>
    </row>
    <row r="831" customFormat="false" ht="15" hidden="false" customHeight="false" outlineLevel="0" collapsed="false">
      <c r="C831" s="0" t="str">
        <f aca="false">IF($A831="","",IF(AT831="Y",BL831&amp;"",AY831&amp;""))</f>
        <v/>
      </c>
      <c r="D831" s="0" t="str">
        <f aca="false">IF($A831="","",IF(AT831="Y",BM831&amp;"",AZ831&amp;""))</f>
        <v/>
      </c>
      <c r="E831" s="0" t="str">
        <f aca="false">IF($A831="","",IF(AT831="Y",BN831&amp;"",BA831&amp;""))</f>
        <v/>
      </c>
      <c r="F831" s="0" t="str">
        <f aca="false">IF($A831="","",IF(AT831="Y",BO831&amp;"",BB831&amp;""))</f>
        <v/>
      </c>
      <c r="G831" s="0" t="str">
        <f aca="false">IF($A831="","",IF(AT831="Y",BP831&amp;"",BC831&amp;""))</f>
        <v/>
      </c>
      <c r="H831" s="0" t="str">
        <f aca="false">IF($A831="","",IF(AT831="Y",BQ831&amp;"",BD831&amp;""))</f>
        <v/>
      </c>
      <c r="I831" s="0" t="str">
        <f aca="false">IF($A831="","",IF(R831="Y","warm-intro",IF(H831="verified","email",IF(C831&lt;&gt;"","linkedin",CA831&amp;""))))</f>
        <v/>
      </c>
      <c r="J831" s="0" t="str">
        <f aca="false">IF($A831="","",IF(CK831="pass",ROUND(N(DO831)+N(DP831)+N(DQ831)+N(DR831)+N(DS831)+N(DT831)+N(DU831)+N(DV831),0),0))</f>
        <v/>
      </c>
      <c r="K831" s="0" t="str">
        <f aca="false">IF($A831="","",IF(CK831&lt;&gt;"pass",BY831&amp;"",BY831&amp;", "&amp;IF(AT831="Y",BX831&amp;"",BK831&amp;"")&amp;BZ831&amp;IF(R831="Y","; known to the founder (+10)","")&amp;"."))</f>
        <v/>
      </c>
      <c r="R831" s="5"/>
      <c r="T831" s="5"/>
      <c r="U831" s="5"/>
      <c r="Y831" s="0" t="str">
        <f aca="false">IF(FA831&lt;&gt;"Y","",COUNTIFS($FA$2:$FA$1000,"Y",$J$2:$J$1000,"&gt;"&amp;J831)+COUNTIFS($FA$2:$FA$1000,"Y",$J$2:$J$1000,J831,$FG$2:$FG$1000,"&lt;"&amp;FG831)+1)</f>
        <v/>
      </c>
      <c r="AB831" s="0" t="str">
        <f aca="false">IF($A831="","",IF(AT831="Y",BW831&amp;"",BJ831&amp;""))</f>
        <v/>
      </c>
      <c r="AC831" s="0" t="str">
        <f aca="false">IF($A831="","",IF(AT831="Y",BR831&amp;"",BE831&amp;""))</f>
        <v/>
      </c>
      <c r="AD831" s="0" t="str">
        <f aca="false">IF($A831="","",IF(AT831="Y",BS831&amp;"",BF831&amp;""))</f>
        <v/>
      </c>
      <c r="AE831" s="0" t="str">
        <f aca="false">IF($A831="","",IF(AT831="Y",BT831&amp;"",BG831&amp;""))</f>
        <v/>
      </c>
      <c r="AF831" s="0" t="str">
        <f aca="false">IF($A831="","",IF(AT831="Y",BU831&amp;"",BH831&amp;""))</f>
        <v/>
      </c>
      <c r="AG831" s="0" t="str">
        <f aca="false">IF($A831="","",IF(AT831="Y",BV831&amp;"",BI831&amp;""))</f>
        <v/>
      </c>
      <c r="AO831" s="5"/>
      <c r="AR831" s="0" t="str">
        <f aca="false">IF($A831="","",IF(AND(CK831="pass",AO831&lt;&gt;"Y",C831&lt;&gt;"",OR(AU831&lt;&gt;"Y",AV831="Y")),"Y","N"))</f>
        <v/>
      </c>
      <c r="AS831" s="0" t="str">
        <f aca="false">IF($A831="","",_xlfn.TEXTJOIN("; ",TRUE(),IF(CK831&lt;&gt;"pass","gated out",""),IF(AO831="Y","on hold: "&amp;AP831,""),IF(C831="","no contact named on an opened page",""),IF(AND(AU831="Y",AV831&lt;&gt;"Y"),"founder review pending (Founder review tab)","")))</f>
        <v/>
      </c>
      <c r="BC831" s="0" t="str">
        <f aca="false">IF($A831="","",IFERROR(INDEX(Enrichment!$A$2:$GZ$2000,MATCH($A831,INDEX(Enrichment!$A$2:$GZ$2000,0,MATCH("row_id",Enrichment!$A$1:$GZ$1,0)),0),MATCH("work_email",Enrichment!$A$1:$GZ$1,0))&amp;"",""))</f>
        <v/>
      </c>
      <c r="BD831" s="0" t="str">
        <f aca="false">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P831" s="0" t="str">
        <f aca="false">IF($A831="","",IFERROR(INDEX(Enrichment!$A$2:$GZ$2000,MATCH($A831,INDEX(Enrichment!$A$2:$GZ$2000,0,MATCH("row_id",Enrichment!$A$1:$GZ$1,0)),0),MATCH("backup_work_email",Enrichment!$A$1:$GZ$1,0))&amp;"",""))</f>
        <v/>
      </c>
      <c r="BQ831" s="0" t="str">
        <f aca="false">IF($A831="","",IF(BP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DU831" s="0" t="str">
        <f aca="false">IF($A831="","",IF(R831="Y",10,0))</f>
        <v/>
      </c>
      <c r="EV831" s="0" t="str">
        <f aca="false">IF($A831="","",IF(ISNUMBER(MATCH(U831,{"queued","contacted","replied","call_booked","call_done","yes_in_principle","materials_sent"},0)),"Y","N"))</f>
        <v/>
      </c>
      <c r="EW831" s="0" t="str">
        <f aca="false">IF($A831="","",IF(OR(T831="Y",U831="do_not_contact",AQ831&amp;""&lt;&gt;""),"Y","N"))</f>
        <v/>
      </c>
      <c r="EX831" s="0" t="str">
        <f aca="false">IF($A831="","",IF(AN831&amp;""&lt;&gt;"",AN831&amp;"",$A831))</f>
        <v/>
      </c>
      <c r="EY831" s="0" t="str">
        <f aca="false">IF($A831="","",IF(COUNTIFS($EX$2:$EX$1000,EX831,$EV$2:$EV$1000,"Y")+COUNTIFS($EX$2:$EX$1000,EX831,$EW$2:$EW$1000,"Y")&gt;0,"Y","N"))</f>
        <v/>
      </c>
      <c r="EZ831" s="0" t="str">
        <f aca="false">IF($A831="","",IF(AND(U831="new",T831="N",EW831="N",AR831="Y",EY831="N"),"Y","N"))</f>
        <v/>
      </c>
      <c r="FA831" s="0" t="str">
        <f aca="false">IF($A831="","",IF(EZ831&lt;&gt;"Y","N",IF(COUNTIFS($EX$2:$EX$1000,EX831,$EZ$2:$EZ$1000,"Y",$J$2:$J$1000,"&gt;"&amp;J831)+COUNTIFS($EX$2:$EX$1000,EX831,$EZ$2:$EZ$1000,"Y",$J$2:$J$1000,J831,$FG$2:$FG$1000,"&lt;"&amp;FG831)=0,"Y","N")))</f>
        <v/>
      </c>
      <c r="FB831" s="0" t="str">
        <f aca="false">IF($A831="","",IF(AND(EZ831="Y",FA831="Y",Y831&amp;""&lt;&gt;""),IF(Y831&lt;=10,"Y","N"),"N"))</f>
        <v/>
      </c>
      <c r="FC831" s="0" t="str">
        <f aca="false">IF(FB831="Y",Y831,"")</f>
        <v/>
      </c>
      <c r="FD831" s="0" t="str">
        <f aca="false">IF($A831="","",IF(AND(CK831="pass",AU831="Y",AV831&lt;&gt;"Y",U831="new",EW831="N"),"Y","N"))</f>
        <v/>
      </c>
      <c r="FE831" s="0" t="str">
        <f aca="false">IF(FD831&lt;&gt;"Y","",IF(COUNTIFS($FD$2:$FD$1000,"Y",$J$2:$J$1000,"&gt;"&amp;J831)+COUNTIFS($FD$2:$FD$1000,"Y",$J$2:$J$1000,J831,$FG$2:$FG$1000,"&lt;"&amp;FG831)+1&lt;=30,COUNTIFS($FD$2:$FD$1000,"Y",$J$2:$J$1000,"&gt;"&amp;J831)+COUNTIFS($FD$2:$FD$1000,"Y",$J$2:$J$1000,J831,$FG$2:$FG$1000,"&lt;"&amp;FG831)+1,""))</f>
        <v/>
      </c>
      <c r="FF831" s="0" t="str">
        <f aca="false">IF(AND(_xlfn.ISFORMULA(C831),_xlfn.ISFORMULA(J831)),"Y","N")</f>
        <v>Y</v>
      </c>
      <c r="FG831" s="0" t="n">
        <f aca="false">ROW()-1</f>
        <v>830</v>
      </c>
    </row>
    <row r="832" customFormat="false" ht="15" hidden="false" customHeight="false" outlineLevel="0" collapsed="false">
      <c r="C832" s="0" t="str">
        <f aca="false">IF($A832="","",IF(AT832="Y",BL832&amp;"",AY832&amp;""))</f>
        <v/>
      </c>
      <c r="D832" s="0" t="str">
        <f aca="false">IF($A832="","",IF(AT832="Y",BM832&amp;"",AZ832&amp;""))</f>
        <v/>
      </c>
      <c r="E832" s="0" t="str">
        <f aca="false">IF($A832="","",IF(AT832="Y",BN832&amp;"",BA832&amp;""))</f>
        <v/>
      </c>
      <c r="F832" s="0" t="str">
        <f aca="false">IF($A832="","",IF(AT832="Y",BO832&amp;"",BB832&amp;""))</f>
        <v/>
      </c>
      <c r="G832" s="0" t="str">
        <f aca="false">IF($A832="","",IF(AT832="Y",BP832&amp;"",BC832&amp;""))</f>
        <v/>
      </c>
      <c r="H832" s="0" t="str">
        <f aca="false">IF($A832="","",IF(AT832="Y",BQ832&amp;"",BD832&amp;""))</f>
        <v/>
      </c>
      <c r="I832" s="0" t="str">
        <f aca="false">IF($A832="","",IF(R832="Y","warm-intro",IF(H832="verified","email",IF(C832&lt;&gt;"","linkedin",CA832&amp;""))))</f>
        <v/>
      </c>
      <c r="J832" s="0" t="str">
        <f aca="false">IF($A832="","",IF(CK832="pass",ROUND(N(DO832)+N(DP832)+N(DQ832)+N(DR832)+N(DS832)+N(DT832)+N(DU832)+N(DV832),0),0))</f>
        <v/>
      </c>
      <c r="K832" s="0" t="str">
        <f aca="false">IF($A832="","",IF(CK832&lt;&gt;"pass",BY832&amp;"",BY832&amp;", "&amp;IF(AT832="Y",BX832&amp;"",BK832&amp;"")&amp;BZ832&amp;IF(R832="Y","; known to the founder (+10)","")&amp;"."))</f>
        <v/>
      </c>
      <c r="R832" s="5"/>
      <c r="T832" s="5"/>
      <c r="U832" s="5"/>
      <c r="Y832" s="0" t="str">
        <f aca="false">IF(FA832&lt;&gt;"Y","",COUNTIFS($FA$2:$FA$1000,"Y",$J$2:$J$1000,"&gt;"&amp;J832)+COUNTIFS($FA$2:$FA$1000,"Y",$J$2:$J$1000,J832,$FG$2:$FG$1000,"&lt;"&amp;FG832)+1)</f>
        <v/>
      </c>
      <c r="AB832" s="0" t="str">
        <f aca="false">IF($A832="","",IF(AT832="Y",BW832&amp;"",BJ832&amp;""))</f>
        <v/>
      </c>
      <c r="AC832" s="0" t="str">
        <f aca="false">IF($A832="","",IF(AT832="Y",BR832&amp;"",BE832&amp;""))</f>
        <v/>
      </c>
      <c r="AD832" s="0" t="str">
        <f aca="false">IF($A832="","",IF(AT832="Y",BS832&amp;"",BF832&amp;""))</f>
        <v/>
      </c>
      <c r="AE832" s="0" t="str">
        <f aca="false">IF($A832="","",IF(AT832="Y",BT832&amp;"",BG832&amp;""))</f>
        <v/>
      </c>
      <c r="AF832" s="0" t="str">
        <f aca="false">IF($A832="","",IF(AT832="Y",BU832&amp;"",BH832&amp;""))</f>
        <v/>
      </c>
      <c r="AG832" s="0" t="str">
        <f aca="false">IF($A832="","",IF(AT832="Y",BV832&amp;"",BI832&amp;""))</f>
        <v/>
      </c>
      <c r="AO832" s="5"/>
      <c r="AR832" s="0" t="str">
        <f aca="false">IF($A832="","",IF(AND(CK832="pass",AO832&lt;&gt;"Y",C832&lt;&gt;"",OR(AU832&lt;&gt;"Y",AV832="Y")),"Y","N"))</f>
        <v/>
      </c>
      <c r="AS832" s="0" t="str">
        <f aca="false">IF($A832="","",_xlfn.TEXTJOIN("; ",TRUE(),IF(CK832&lt;&gt;"pass","gated out",""),IF(AO832="Y","on hold: "&amp;AP832,""),IF(C832="","no contact named on an opened page",""),IF(AND(AU832="Y",AV832&lt;&gt;"Y"),"founder review pending (Founder review tab)","")))</f>
        <v/>
      </c>
      <c r="BC832" s="0" t="str">
        <f aca="false">IF($A832="","",IFERROR(INDEX(Enrichment!$A$2:$GZ$2000,MATCH($A832,INDEX(Enrichment!$A$2:$GZ$2000,0,MATCH("row_id",Enrichment!$A$1:$GZ$1,0)),0),MATCH("work_email",Enrichment!$A$1:$GZ$1,0))&amp;"",""))</f>
        <v/>
      </c>
      <c r="BD832" s="0" t="str">
        <f aca="false">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P832" s="0" t="str">
        <f aca="false">IF($A832="","",IFERROR(INDEX(Enrichment!$A$2:$GZ$2000,MATCH($A832,INDEX(Enrichment!$A$2:$GZ$2000,0,MATCH("row_id",Enrichment!$A$1:$GZ$1,0)),0),MATCH("backup_work_email",Enrichment!$A$1:$GZ$1,0))&amp;"",""))</f>
        <v/>
      </c>
      <c r="BQ832" s="0" t="str">
        <f aca="false">IF($A832="","",IF(BP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DU832" s="0" t="str">
        <f aca="false">IF($A832="","",IF(R832="Y",10,0))</f>
        <v/>
      </c>
      <c r="EV832" s="0" t="str">
        <f aca="false">IF($A832="","",IF(ISNUMBER(MATCH(U832,{"queued","contacted","replied","call_booked","call_done","yes_in_principle","materials_sent"},0)),"Y","N"))</f>
        <v/>
      </c>
      <c r="EW832" s="0" t="str">
        <f aca="false">IF($A832="","",IF(OR(T832="Y",U832="do_not_contact",AQ832&amp;""&lt;&gt;""),"Y","N"))</f>
        <v/>
      </c>
      <c r="EX832" s="0" t="str">
        <f aca="false">IF($A832="","",IF(AN832&amp;""&lt;&gt;"",AN832&amp;"",$A832))</f>
        <v/>
      </c>
      <c r="EY832" s="0" t="str">
        <f aca="false">IF($A832="","",IF(COUNTIFS($EX$2:$EX$1000,EX832,$EV$2:$EV$1000,"Y")+COUNTIFS($EX$2:$EX$1000,EX832,$EW$2:$EW$1000,"Y")&gt;0,"Y","N"))</f>
        <v/>
      </c>
      <c r="EZ832" s="0" t="str">
        <f aca="false">IF($A832="","",IF(AND(U832="new",T832="N",EW832="N",AR832="Y",EY832="N"),"Y","N"))</f>
        <v/>
      </c>
      <c r="FA832" s="0" t="str">
        <f aca="false">IF($A832="","",IF(EZ832&lt;&gt;"Y","N",IF(COUNTIFS($EX$2:$EX$1000,EX832,$EZ$2:$EZ$1000,"Y",$J$2:$J$1000,"&gt;"&amp;J832)+COUNTIFS($EX$2:$EX$1000,EX832,$EZ$2:$EZ$1000,"Y",$J$2:$J$1000,J832,$FG$2:$FG$1000,"&lt;"&amp;FG832)=0,"Y","N")))</f>
        <v/>
      </c>
      <c r="FB832" s="0" t="str">
        <f aca="false">IF($A832="","",IF(AND(EZ832="Y",FA832="Y",Y832&amp;""&lt;&gt;""),IF(Y832&lt;=10,"Y","N"),"N"))</f>
        <v/>
      </c>
      <c r="FC832" s="0" t="str">
        <f aca="false">IF(FB832="Y",Y832,"")</f>
        <v/>
      </c>
      <c r="FD832" s="0" t="str">
        <f aca="false">IF($A832="","",IF(AND(CK832="pass",AU832="Y",AV832&lt;&gt;"Y",U832="new",EW832="N"),"Y","N"))</f>
        <v/>
      </c>
      <c r="FE832" s="0" t="str">
        <f aca="false">IF(FD832&lt;&gt;"Y","",IF(COUNTIFS($FD$2:$FD$1000,"Y",$J$2:$J$1000,"&gt;"&amp;J832)+COUNTIFS($FD$2:$FD$1000,"Y",$J$2:$J$1000,J832,$FG$2:$FG$1000,"&lt;"&amp;FG832)+1&lt;=30,COUNTIFS($FD$2:$FD$1000,"Y",$J$2:$J$1000,"&gt;"&amp;J832)+COUNTIFS($FD$2:$FD$1000,"Y",$J$2:$J$1000,J832,$FG$2:$FG$1000,"&lt;"&amp;FG832)+1,""))</f>
        <v/>
      </c>
      <c r="FF832" s="0" t="str">
        <f aca="false">IF(AND(_xlfn.ISFORMULA(C832),_xlfn.ISFORMULA(J832)),"Y","N")</f>
        <v>Y</v>
      </c>
      <c r="FG832" s="0" t="n">
        <f aca="false">ROW()-1</f>
        <v>831</v>
      </c>
    </row>
    <row r="833" customFormat="false" ht="15" hidden="false" customHeight="false" outlineLevel="0" collapsed="false">
      <c r="C833" s="0" t="str">
        <f aca="false">IF($A833="","",IF(AT833="Y",BL833&amp;"",AY833&amp;""))</f>
        <v/>
      </c>
      <c r="D833" s="0" t="str">
        <f aca="false">IF($A833="","",IF(AT833="Y",BM833&amp;"",AZ833&amp;""))</f>
        <v/>
      </c>
      <c r="E833" s="0" t="str">
        <f aca="false">IF($A833="","",IF(AT833="Y",BN833&amp;"",BA833&amp;""))</f>
        <v/>
      </c>
      <c r="F833" s="0" t="str">
        <f aca="false">IF($A833="","",IF(AT833="Y",BO833&amp;"",BB833&amp;""))</f>
        <v/>
      </c>
      <c r="G833" s="0" t="str">
        <f aca="false">IF($A833="","",IF(AT833="Y",BP833&amp;"",BC833&amp;""))</f>
        <v/>
      </c>
      <c r="H833" s="0" t="str">
        <f aca="false">IF($A833="","",IF(AT833="Y",BQ833&amp;"",BD833&amp;""))</f>
        <v/>
      </c>
      <c r="I833" s="0" t="str">
        <f aca="false">IF($A833="","",IF(R833="Y","warm-intro",IF(H833="verified","email",IF(C833&lt;&gt;"","linkedin",CA833&amp;""))))</f>
        <v/>
      </c>
      <c r="J833" s="0" t="str">
        <f aca="false">IF($A833="","",IF(CK833="pass",ROUND(N(DO833)+N(DP833)+N(DQ833)+N(DR833)+N(DS833)+N(DT833)+N(DU833)+N(DV833),0),0))</f>
        <v/>
      </c>
      <c r="K833" s="0" t="str">
        <f aca="false">IF($A833="","",IF(CK833&lt;&gt;"pass",BY833&amp;"",BY833&amp;", "&amp;IF(AT833="Y",BX833&amp;"",BK833&amp;"")&amp;BZ833&amp;IF(R833="Y","; known to the founder (+10)","")&amp;"."))</f>
        <v/>
      </c>
      <c r="R833" s="5"/>
      <c r="T833" s="5"/>
      <c r="U833" s="5"/>
      <c r="Y833" s="0" t="str">
        <f aca="false">IF(FA833&lt;&gt;"Y","",COUNTIFS($FA$2:$FA$1000,"Y",$J$2:$J$1000,"&gt;"&amp;J833)+COUNTIFS($FA$2:$FA$1000,"Y",$J$2:$J$1000,J833,$FG$2:$FG$1000,"&lt;"&amp;FG833)+1)</f>
        <v/>
      </c>
      <c r="AB833" s="0" t="str">
        <f aca="false">IF($A833="","",IF(AT833="Y",BW833&amp;"",BJ833&amp;""))</f>
        <v/>
      </c>
      <c r="AC833" s="0" t="str">
        <f aca="false">IF($A833="","",IF(AT833="Y",BR833&amp;"",BE833&amp;""))</f>
        <v/>
      </c>
      <c r="AD833" s="0" t="str">
        <f aca="false">IF($A833="","",IF(AT833="Y",BS833&amp;"",BF833&amp;""))</f>
        <v/>
      </c>
      <c r="AE833" s="0" t="str">
        <f aca="false">IF($A833="","",IF(AT833="Y",BT833&amp;"",BG833&amp;""))</f>
        <v/>
      </c>
      <c r="AF833" s="0" t="str">
        <f aca="false">IF($A833="","",IF(AT833="Y",BU833&amp;"",BH833&amp;""))</f>
        <v/>
      </c>
      <c r="AG833" s="0" t="str">
        <f aca="false">IF($A833="","",IF(AT833="Y",BV833&amp;"",BI833&amp;""))</f>
        <v/>
      </c>
      <c r="AO833" s="5"/>
      <c r="AR833" s="0" t="str">
        <f aca="false">IF($A833="","",IF(AND(CK833="pass",AO833&lt;&gt;"Y",C833&lt;&gt;"",OR(AU833&lt;&gt;"Y",AV833="Y")),"Y","N"))</f>
        <v/>
      </c>
      <c r="AS833" s="0" t="str">
        <f aca="false">IF($A833="","",_xlfn.TEXTJOIN("; ",TRUE(),IF(CK833&lt;&gt;"pass","gated out",""),IF(AO833="Y","on hold: "&amp;AP833,""),IF(C833="","no contact named on an opened page",""),IF(AND(AU833="Y",AV833&lt;&gt;"Y"),"founder review pending (Founder review tab)","")))</f>
        <v/>
      </c>
      <c r="BC833" s="0" t="str">
        <f aca="false">IF($A833="","",IFERROR(INDEX(Enrichment!$A$2:$GZ$2000,MATCH($A833,INDEX(Enrichment!$A$2:$GZ$2000,0,MATCH("row_id",Enrichment!$A$1:$GZ$1,0)),0),MATCH("work_email",Enrichment!$A$1:$GZ$1,0))&amp;"",""))</f>
        <v/>
      </c>
      <c r="BD833" s="0" t="str">
        <f aca="false">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P833" s="0" t="str">
        <f aca="false">IF($A833="","",IFERROR(INDEX(Enrichment!$A$2:$GZ$2000,MATCH($A833,INDEX(Enrichment!$A$2:$GZ$2000,0,MATCH("row_id",Enrichment!$A$1:$GZ$1,0)),0),MATCH("backup_work_email",Enrichment!$A$1:$GZ$1,0))&amp;"",""))</f>
        <v/>
      </c>
      <c r="BQ833" s="0" t="str">
        <f aca="false">IF($A833="","",IF(BP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DU833" s="0" t="str">
        <f aca="false">IF($A833="","",IF(R833="Y",10,0))</f>
        <v/>
      </c>
      <c r="EV833" s="0" t="str">
        <f aca="false">IF($A833="","",IF(ISNUMBER(MATCH(U833,{"queued","contacted","replied","call_booked","call_done","yes_in_principle","materials_sent"},0)),"Y","N"))</f>
        <v/>
      </c>
      <c r="EW833" s="0" t="str">
        <f aca="false">IF($A833="","",IF(OR(T833="Y",U833="do_not_contact",AQ833&amp;""&lt;&gt;""),"Y","N"))</f>
        <v/>
      </c>
      <c r="EX833" s="0" t="str">
        <f aca="false">IF($A833="","",IF(AN833&amp;""&lt;&gt;"",AN833&amp;"",$A833))</f>
        <v/>
      </c>
      <c r="EY833" s="0" t="str">
        <f aca="false">IF($A833="","",IF(COUNTIFS($EX$2:$EX$1000,EX833,$EV$2:$EV$1000,"Y")+COUNTIFS($EX$2:$EX$1000,EX833,$EW$2:$EW$1000,"Y")&gt;0,"Y","N"))</f>
        <v/>
      </c>
      <c r="EZ833" s="0" t="str">
        <f aca="false">IF($A833="","",IF(AND(U833="new",T833="N",EW833="N",AR833="Y",EY833="N"),"Y","N"))</f>
        <v/>
      </c>
      <c r="FA833" s="0" t="str">
        <f aca="false">IF($A833="","",IF(EZ833&lt;&gt;"Y","N",IF(COUNTIFS($EX$2:$EX$1000,EX833,$EZ$2:$EZ$1000,"Y",$J$2:$J$1000,"&gt;"&amp;J833)+COUNTIFS($EX$2:$EX$1000,EX833,$EZ$2:$EZ$1000,"Y",$J$2:$J$1000,J833,$FG$2:$FG$1000,"&lt;"&amp;FG833)=0,"Y","N")))</f>
        <v/>
      </c>
      <c r="FB833" s="0" t="str">
        <f aca="false">IF($A833="","",IF(AND(EZ833="Y",FA833="Y",Y833&amp;""&lt;&gt;""),IF(Y833&lt;=10,"Y","N"),"N"))</f>
        <v/>
      </c>
      <c r="FC833" s="0" t="str">
        <f aca="false">IF(FB833="Y",Y833,"")</f>
        <v/>
      </c>
      <c r="FD833" s="0" t="str">
        <f aca="false">IF($A833="","",IF(AND(CK833="pass",AU833="Y",AV833&lt;&gt;"Y",U833="new",EW833="N"),"Y","N"))</f>
        <v/>
      </c>
      <c r="FE833" s="0" t="str">
        <f aca="false">IF(FD833&lt;&gt;"Y","",IF(COUNTIFS($FD$2:$FD$1000,"Y",$J$2:$J$1000,"&gt;"&amp;J833)+COUNTIFS($FD$2:$FD$1000,"Y",$J$2:$J$1000,J833,$FG$2:$FG$1000,"&lt;"&amp;FG833)+1&lt;=30,COUNTIFS($FD$2:$FD$1000,"Y",$J$2:$J$1000,"&gt;"&amp;J833)+COUNTIFS($FD$2:$FD$1000,"Y",$J$2:$J$1000,J833,$FG$2:$FG$1000,"&lt;"&amp;FG833)+1,""))</f>
        <v/>
      </c>
      <c r="FF833" s="0" t="str">
        <f aca="false">IF(AND(_xlfn.ISFORMULA(C833),_xlfn.ISFORMULA(J833)),"Y","N")</f>
        <v>Y</v>
      </c>
      <c r="FG833" s="0" t="n">
        <f aca="false">ROW()-1</f>
        <v>832</v>
      </c>
    </row>
    <row r="834" customFormat="false" ht="15" hidden="false" customHeight="false" outlineLevel="0" collapsed="false">
      <c r="C834" s="0" t="str">
        <f aca="false">IF($A834="","",IF(AT834="Y",BL834&amp;"",AY834&amp;""))</f>
        <v/>
      </c>
      <c r="D834" s="0" t="str">
        <f aca="false">IF($A834="","",IF(AT834="Y",BM834&amp;"",AZ834&amp;""))</f>
        <v/>
      </c>
      <c r="E834" s="0" t="str">
        <f aca="false">IF($A834="","",IF(AT834="Y",BN834&amp;"",BA834&amp;""))</f>
        <v/>
      </c>
      <c r="F834" s="0" t="str">
        <f aca="false">IF($A834="","",IF(AT834="Y",BO834&amp;"",BB834&amp;""))</f>
        <v/>
      </c>
      <c r="G834" s="0" t="str">
        <f aca="false">IF($A834="","",IF(AT834="Y",BP834&amp;"",BC834&amp;""))</f>
        <v/>
      </c>
      <c r="H834" s="0" t="str">
        <f aca="false">IF($A834="","",IF(AT834="Y",BQ834&amp;"",BD834&amp;""))</f>
        <v/>
      </c>
      <c r="I834" s="0" t="str">
        <f aca="false">IF($A834="","",IF(R834="Y","warm-intro",IF(H834="verified","email",IF(C834&lt;&gt;"","linkedin",CA834&amp;""))))</f>
        <v/>
      </c>
      <c r="J834" s="0" t="str">
        <f aca="false">IF($A834="","",IF(CK834="pass",ROUND(N(DO834)+N(DP834)+N(DQ834)+N(DR834)+N(DS834)+N(DT834)+N(DU834)+N(DV834),0),0))</f>
        <v/>
      </c>
      <c r="K834" s="0" t="str">
        <f aca="false">IF($A834="","",IF(CK834&lt;&gt;"pass",BY834&amp;"",BY834&amp;", "&amp;IF(AT834="Y",BX834&amp;"",BK834&amp;"")&amp;BZ834&amp;IF(R834="Y","; known to the founder (+10)","")&amp;"."))</f>
        <v/>
      </c>
      <c r="R834" s="5"/>
      <c r="T834" s="5"/>
      <c r="U834" s="5"/>
      <c r="Y834" s="0" t="str">
        <f aca="false">IF(FA834&lt;&gt;"Y","",COUNTIFS($FA$2:$FA$1000,"Y",$J$2:$J$1000,"&gt;"&amp;J834)+COUNTIFS($FA$2:$FA$1000,"Y",$J$2:$J$1000,J834,$FG$2:$FG$1000,"&lt;"&amp;FG834)+1)</f>
        <v/>
      </c>
      <c r="AB834" s="0" t="str">
        <f aca="false">IF($A834="","",IF(AT834="Y",BW834&amp;"",BJ834&amp;""))</f>
        <v/>
      </c>
      <c r="AC834" s="0" t="str">
        <f aca="false">IF($A834="","",IF(AT834="Y",BR834&amp;"",BE834&amp;""))</f>
        <v/>
      </c>
      <c r="AD834" s="0" t="str">
        <f aca="false">IF($A834="","",IF(AT834="Y",BS834&amp;"",BF834&amp;""))</f>
        <v/>
      </c>
      <c r="AE834" s="0" t="str">
        <f aca="false">IF($A834="","",IF(AT834="Y",BT834&amp;"",BG834&amp;""))</f>
        <v/>
      </c>
      <c r="AF834" s="0" t="str">
        <f aca="false">IF($A834="","",IF(AT834="Y",BU834&amp;"",BH834&amp;""))</f>
        <v/>
      </c>
      <c r="AG834" s="0" t="str">
        <f aca="false">IF($A834="","",IF(AT834="Y",BV834&amp;"",BI834&amp;""))</f>
        <v/>
      </c>
      <c r="AO834" s="5"/>
      <c r="AR834" s="0" t="str">
        <f aca="false">IF($A834="","",IF(AND(CK834="pass",AO834&lt;&gt;"Y",C834&lt;&gt;"",OR(AU834&lt;&gt;"Y",AV834="Y")),"Y","N"))</f>
        <v/>
      </c>
      <c r="AS834" s="0" t="str">
        <f aca="false">IF($A834="","",_xlfn.TEXTJOIN("; ",TRUE(),IF(CK834&lt;&gt;"pass","gated out",""),IF(AO834="Y","on hold: "&amp;AP834,""),IF(C834="","no contact named on an opened page",""),IF(AND(AU834="Y",AV834&lt;&gt;"Y"),"founder review pending (Founder review tab)","")))</f>
        <v/>
      </c>
      <c r="BC834" s="0" t="str">
        <f aca="false">IF($A834="","",IFERROR(INDEX(Enrichment!$A$2:$GZ$2000,MATCH($A834,INDEX(Enrichment!$A$2:$GZ$2000,0,MATCH("row_id",Enrichment!$A$1:$GZ$1,0)),0),MATCH("work_email",Enrichment!$A$1:$GZ$1,0))&amp;"",""))</f>
        <v/>
      </c>
      <c r="BD834" s="0" t="str">
        <f aca="false">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P834" s="0" t="str">
        <f aca="false">IF($A834="","",IFERROR(INDEX(Enrichment!$A$2:$GZ$2000,MATCH($A834,INDEX(Enrichment!$A$2:$GZ$2000,0,MATCH("row_id",Enrichment!$A$1:$GZ$1,0)),0),MATCH("backup_work_email",Enrichment!$A$1:$GZ$1,0))&amp;"",""))</f>
        <v/>
      </c>
      <c r="BQ834" s="0" t="str">
        <f aca="false">IF($A834="","",IF(BP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DU834" s="0" t="str">
        <f aca="false">IF($A834="","",IF(R834="Y",10,0))</f>
        <v/>
      </c>
      <c r="EV834" s="0" t="str">
        <f aca="false">IF($A834="","",IF(ISNUMBER(MATCH(U834,{"queued","contacted","replied","call_booked","call_done","yes_in_principle","materials_sent"},0)),"Y","N"))</f>
        <v/>
      </c>
      <c r="EW834" s="0" t="str">
        <f aca="false">IF($A834="","",IF(OR(T834="Y",U834="do_not_contact",AQ834&amp;""&lt;&gt;""),"Y","N"))</f>
        <v/>
      </c>
      <c r="EX834" s="0" t="str">
        <f aca="false">IF($A834="","",IF(AN834&amp;""&lt;&gt;"",AN834&amp;"",$A834))</f>
        <v/>
      </c>
      <c r="EY834" s="0" t="str">
        <f aca="false">IF($A834="","",IF(COUNTIFS($EX$2:$EX$1000,EX834,$EV$2:$EV$1000,"Y")+COUNTIFS($EX$2:$EX$1000,EX834,$EW$2:$EW$1000,"Y")&gt;0,"Y","N"))</f>
        <v/>
      </c>
      <c r="EZ834" s="0" t="str">
        <f aca="false">IF($A834="","",IF(AND(U834="new",T834="N",EW834="N",AR834="Y",EY834="N"),"Y","N"))</f>
        <v/>
      </c>
      <c r="FA834" s="0" t="str">
        <f aca="false">IF($A834="","",IF(EZ834&lt;&gt;"Y","N",IF(COUNTIFS($EX$2:$EX$1000,EX834,$EZ$2:$EZ$1000,"Y",$J$2:$J$1000,"&gt;"&amp;J834)+COUNTIFS($EX$2:$EX$1000,EX834,$EZ$2:$EZ$1000,"Y",$J$2:$J$1000,J834,$FG$2:$FG$1000,"&lt;"&amp;FG834)=0,"Y","N")))</f>
        <v/>
      </c>
      <c r="FB834" s="0" t="str">
        <f aca="false">IF($A834="","",IF(AND(EZ834="Y",FA834="Y",Y834&amp;""&lt;&gt;""),IF(Y834&lt;=10,"Y","N"),"N"))</f>
        <v/>
      </c>
      <c r="FC834" s="0" t="str">
        <f aca="false">IF(FB834="Y",Y834,"")</f>
        <v/>
      </c>
      <c r="FD834" s="0" t="str">
        <f aca="false">IF($A834="","",IF(AND(CK834="pass",AU834="Y",AV834&lt;&gt;"Y",U834="new",EW834="N"),"Y","N"))</f>
        <v/>
      </c>
      <c r="FE834" s="0" t="str">
        <f aca="false">IF(FD834&lt;&gt;"Y","",IF(COUNTIFS($FD$2:$FD$1000,"Y",$J$2:$J$1000,"&gt;"&amp;J834)+COUNTIFS($FD$2:$FD$1000,"Y",$J$2:$J$1000,J834,$FG$2:$FG$1000,"&lt;"&amp;FG834)+1&lt;=30,COUNTIFS($FD$2:$FD$1000,"Y",$J$2:$J$1000,"&gt;"&amp;J834)+COUNTIFS($FD$2:$FD$1000,"Y",$J$2:$J$1000,J834,$FG$2:$FG$1000,"&lt;"&amp;FG834)+1,""))</f>
        <v/>
      </c>
      <c r="FF834" s="0" t="str">
        <f aca="false">IF(AND(_xlfn.ISFORMULA(C834),_xlfn.ISFORMULA(J834)),"Y","N")</f>
        <v>Y</v>
      </c>
      <c r="FG834" s="0" t="n">
        <f aca="false">ROW()-1</f>
        <v>833</v>
      </c>
    </row>
    <row r="835" customFormat="false" ht="15" hidden="false" customHeight="false" outlineLevel="0" collapsed="false">
      <c r="C835" s="0" t="str">
        <f aca="false">IF($A835="","",IF(AT835="Y",BL835&amp;"",AY835&amp;""))</f>
        <v/>
      </c>
      <c r="D835" s="0" t="str">
        <f aca="false">IF($A835="","",IF(AT835="Y",BM835&amp;"",AZ835&amp;""))</f>
        <v/>
      </c>
      <c r="E835" s="0" t="str">
        <f aca="false">IF($A835="","",IF(AT835="Y",BN835&amp;"",BA835&amp;""))</f>
        <v/>
      </c>
      <c r="F835" s="0" t="str">
        <f aca="false">IF($A835="","",IF(AT835="Y",BO835&amp;"",BB835&amp;""))</f>
        <v/>
      </c>
      <c r="G835" s="0" t="str">
        <f aca="false">IF($A835="","",IF(AT835="Y",BP835&amp;"",BC835&amp;""))</f>
        <v/>
      </c>
      <c r="H835" s="0" t="str">
        <f aca="false">IF($A835="","",IF(AT835="Y",BQ835&amp;"",BD835&amp;""))</f>
        <v/>
      </c>
      <c r="I835" s="0" t="str">
        <f aca="false">IF($A835="","",IF(R835="Y","warm-intro",IF(H835="verified","email",IF(C835&lt;&gt;"","linkedin",CA835&amp;""))))</f>
        <v/>
      </c>
      <c r="J835" s="0" t="str">
        <f aca="false">IF($A835="","",IF(CK835="pass",ROUND(N(DO835)+N(DP835)+N(DQ835)+N(DR835)+N(DS835)+N(DT835)+N(DU835)+N(DV835),0),0))</f>
        <v/>
      </c>
      <c r="K835" s="0" t="str">
        <f aca="false">IF($A835="","",IF(CK835&lt;&gt;"pass",BY835&amp;"",BY835&amp;", "&amp;IF(AT835="Y",BX835&amp;"",BK835&amp;"")&amp;BZ835&amp;IF(R835="Y","; known to the founder (+10)","")&amp;"."))</f>
        <v/>
      </c>
      <c r="R835" s="5"/>
      <c r="T835" s="5"/>
      <c r="U835" s="5"/>
      <c r="Y835" s="0" t="str">
        <f aca="false">IF(FA835&lt;&gt;"Y","",COUNTIFS($FA$2:$FA$1000,"Y",$J$2:$J$1000,"&gt;"&amp;J835)+COUNTIFS($FA$2:$FA$1000,"Y",$J$2:$J$1000,J835,$FG$2:$FG$1000,"&lt;"&amp;FG835)+1)</f>
        <v/>
      </c>
      <c r="AB835" s="0" t="str">
        <f aca="false">IF($A835="","",IF(AT835="Y",BW835&amp;"",BJ835&amp;""))</f>
        <v/>
      </c>
      <c r="AC835" s="0" t="str">
        <f aca="false">IF($A835="","",IF(AT835="Y",BR835&amp;"",BE835&amp;""))</f>
        <v/>
      </c>
      <c r="AD835" s="0" t="str">
        <f aca="false">IF($A835="","",IF(AT835="Y",BS835&amp;"",BF835&amp;""))</f>
        <v/>
      </c>
      <c r="AE835" s="0" t="str">
        <f aca="false">IF($A835="","",IF(AT835="Y",BT835&amp;"",BG835&amp;""))</f>
        <v/>
      </c>
      <c r="AF835" s="0" t="str">
        <f aca="false">IF($A835="","",IF(AT835="Y",BU835&amp;"",BH835&amp;""))</f>
        <v/>
      </c>
      <c r="AG835" s="0" t="str">
        <f aca="false">IF($A835="","",IF(AT835="Y",BV835&amp;"",BI835&amp;""))</f>
        <v/>
      </c>
      <c r="AO835" s="5"/>
      <c r="AR835" s="0" t="str">
        <f aca="false">IF($A835="","",IF(AND(CK835="pass",AO835&lt;&gt;"Y",C835&lt;&gt;"",OR(AU835&lt;&gt;"Y",AV835="Y")),"Y","N"))</f>
        <v/>
      </c>
      <c r="AS835" s="0" t="str">
        <f aca="false">IF($A835="","",_xlfn.TEXTJOIN("; ",TRUE(),IF(CK835&lt;&gt;"pass","gated out",""),IF(AO835="Y","on hold: "&amp;AP835,""),IF(C835="","no contact named on an opened page",""),IF(AND(AU835="Y",AV835&lt;&gt;"Y"),"founder review pending (Founder review tab)","")))</f>
        <v/>
      </c>
      <c r="BC835" s="0" t="str">
        <f aca="false">IF($A835="","",IFERROR(INDEX(Enrichment!$A$2:$GZ$2000,MATCH($A835,INDEX(Enrichment!$A$2:$GZ$2000,0,MATCH("row_id",Enrichment!$A$1:$GZ$1,0)),0),MATCH("work_email",Enrichment!$A$1:$GZ$1,0))&amp;"",""))</f>
        <v/>
      </c>
      <c r="BD835" s="0" t="str">
        <f aca="false">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P835" s="0" t="str">
        <f aca="false">IF($A835="","",IFERROR(INDEX(Enrichment!$A$2:$GZ$2000,MATCH($A835,INDEX(Enrichment!$A$2:$GZ$2000,0,MATCH("row_id",Enrichment!$A$1:$GZ$1,0)),0),MATCH("backup_work_email",Enrichment!$A$1:$GZ$1,0))&amp;"",""))</f>
        <v/>
      </c>
      <c r="BQ835" s="0" t="str">
        <f aca="false">IF($A835="","",IF(BP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DU835" s="0" t="str">
        <f aca="false">IF($A835="","",IF(R835="Y",10,0))</f>
        <v/>
      </c>
      <c r="EV835" s="0" t="str">
        <f aca="false">IF($A835="","",IF(ISNUMBER(MATCH(U835,{"queued","contacted","replied","call_booked","call_done","yes_in_principle","materials_sent"},0)),"Y","N"))</f>
        <v/>
      </c>
      <c r="EW835" s="0" t="str">
        <f aca="false">IF($A835="","",IF(OR(T835="Y",U835="do_not_contact",AQ835&amp;""&lt;&gt;""),"Y","N"))</f>
        <v/>
      </c>
      <c r="EX835" s="0" t="str">
        <f aca="false">IF($A835="","",IF(AN835&amp;""&lt;&gt;"",AN835&amp;"",$A835))</f>
        <v/>
      </c>
      <c r="EY835" s="0" t="str">
        <f aca="false">IF($A835="","",IF(COUNTIFS($EX$2:$EX$1000,EX835,$EV$2:$EV$1000,"Y")+COUNTIFS($EX$2:$EX$1000,EX835,$EW$2:$EW$1000,"Y")&gt;0,"Y","N"))</f>
        <v/>
      </c>
      <c r="EZ835" s="0" t="str">
        <f aca="false">IF($A835="","",IF(AND(U835="new",T835="N",EW835="N",AR835="Y",EY835="N"),"Y","N"))</f>
        <v/>
      </c>
      <c r="FA835" s="0" t="str">
        <f aca="false">IF($A835="","",IF(EZ835&lt;&gt;"Y","N",IF(COUNTIFS($EX$2:$EX$1000,EX835,$EZ$2:$EZ$1000,"Y",$J$2:$J$1000,"&gt;"&amp;J835)+COUNTIFS($EX$2:$EX$1000,EX835,$EZ$2:$EZ$1000,"Y",$J$2:$J$1000,J835,$FG$2:$FG$1000,"&lt;"&amp;FG835)=0,"Y","N")))</f>
        <v/>
      </c>
      <c r="FB835" s="0" t="str">
        <f aca="false">IF($A835="","",IF(AND(EZ835="Y",FA835="Y",Y835&amp;""&lt;&gt;""),IF(Y835&lt;=10,"Y","N"),"N"))</f>
        <v/>
      </c>
      <c r="FC835" s="0" t="str">
        <f aca="false">IF(FB835="Y",Y835,"")</f>
        <v/>
      </c>
      <c r="FD835" s="0" t="str">
        <f aca="false">IF($A835="","",IF(AND(CK835="pass",AU835="Y",AV835&lt;&gt;"Y",U835="new",EW835="N"),"Y","N"))</f>
        <v/>
      </c>
      <c r="FE835" s="0" t="str">
        <f aca="false">IF(FD835&lt;&gt;"Y","",IF(COUNTIFS($FD$2:$FD$1000,"Y",$J$2:$J$1000,"&gt;"&amp;J835)+COUNTIFS($FD$2:$FD$1000,"Y",$J$2:$J$1000,J835,$FG$2:$FG$1000,"&lt;"&amp;FG835)+1&lt;=30,COUNTIFS($FD$2:$FD$1000,"Y",$J$2:$J$1000,"&gt;"&amp;J835)+COUNTIFS($FD$2:$FD$1000,"Y",$J$2:$J$1000,J835,$FG$2:$FG$1000,"&lt;"&amp;FG835)+1,""))</f>
        <v/>
      </c>
      <c r="FF835" s="0" t="str">
        <f aca="false">IF(AND(_xlfn.ISFORMULA(C835),_xlfn.ISFORMULA(J835)),"Y","N")</f>
        <v>Y</v>
      </c>
      <c r="FG835" s="0" t="n">
        <f aca="false">ROW()-1</f>
        <v>834</v>
      </c>
    </row>
    <row r="836" customFormat="false" ht="15" hidden="false" customHeight="false" outlineLevel="0" collapsed="false">
      <c r="C836" s="0" t="str">
        <f aca="false">IF($A836="","",IF(AT836="Y",BL836&amp;"",AY836&amp;""))</f>
        <v/>
      </c>
      <c r="D836" s="0" t="str">
        <f aca="false">IF($A836="","",IF(AT836="Y",BM836&amp;"",AZ836&amp;""))</f>
        <v/>
      </c>
      <c r="E836" s="0" t="str">
        <f aca="false">IF($A836="","",IF(AT836="Y",BN836&amp;"",BA836&amp;""))</f>
        <v/>
      </c>
      <c r="F836" s="0" t="str">
        <f aca="false">IF($A836="","",IF(AT836="Y",BO836&amp;"",BB836&amp;""))</f>
        <v/>
      </c>
      <c r="G836" s="0" t="str">
        <f aca="false">IF($A836="","",IF(AT836="Y",BP836&amp;"",BC836&amp;""))</f>
        <v/>
      </c>
      <c r="H836" s="0" t="str">
        <f aca="false">IF($A836="","",IF(AT836="Y",BQ836&amp;"",BD836&amp;""))</f>
        <v/>
      </c>
      <c r="I836" s="0" t="str">
        <f aca="false">IF($A836="","",IF(R836="Y","warm-intro",IF(H836="verified","email",IF(C836&lt;&gt;"","linkedin",CA836&amp;""))))</f>
        <v/>
      </c>
      <c r="J836" s="0" t="str">
        <f aca="false">IF($A836="","",IF(CK836="pass",ROUND(N(DO836)+N(DP836)+N(DQ836)+N(DR836)+N(DS836)+N(DT836)+N(DU836)+N(DV836),0),0))</f>
        <v/>
      </c>
      <c r="K836" s="0" t="str">
        <f aca="false">IF($A836="","",IF(CK836&lt;&gt;"pass",BY836&amp;"",BY836&amp;", "&amp;IF(AT836="Y",BX836&amp;"",BK836&amp;"")&amp;BZ836&amp;IF(R836="Y","; known to the founder (+10)","")&amp;"."))</f>
        <v/>
      </c>
      <c r="R836" s="5"/>
      <c r="T836" s="5"/>
      <c r="U836" s="5"/>
      <c r="Y836" s="0" t="str">
        <f aca="false">IF(FA836&lt;&gt;"Y","",COUNTIFS($FA$2:$FA$1000,"Y",$J$2:$J$1000,"&gt;"&amp;J836)+COUNTIFS($FA$2:$FA$1000,"Y",$J$2:$J$1000,J836,$FG$2:$FG$1000,"&lt;"&amp;FG836)+1)</f>
        <v/>
      </c>
      <c r="AB836" s="0" t="str">
        <f aca="false">IF($A836="","",IF(AT836="Y",BW836&amp;"",BJ836&amp;""))</f>
        <v/>
      </c>
      <c r="AC836" s="0" t="str">
        <f aca="false">IF($A836="","",IF(AT836="Y",BR836&amp;"",BE836&amp;""))</f>
        <v/>
      </c>
      <c r="AD836" s="0" t="str">
        <f aca="false">IF($A836="","",IF(AT836="Y",BS836&amp;"",BF836&amp;""))</f>
        <v/>
      </c>
      <c r="AE836" s="0" t="str">
        <f aca="false">IF($A836="","",IF(AT836="Y",BT836&amp;"",BG836&amp;""))</f>
        <v/>
      </c>
      <c r="AF836" s="0" t="str">
        <f aca="false">IF($A836="","",IF(AT836="Y",BU836&amp;"",BH836&amp;""))</f>
        <v/>
      </c>
      <c r="AG836" s="0" t="str">
        <f aca="false">IF($A836="","",IF(AT836="Y",BV836&amp;"",BI836&amp;""))</f>
        <v/>
      </c>
      <c r="AO836" s="5"/>
      <c r="AR836" s="0" t="str">
        <f aca="false">IF($A836="","",IF(AND(CK836="pass",AO836&lt;&gt;"Y",C836&lt;&gt;"",OR(AU836&lt;&gt;"Y",AV836="Y")),"Y","N"))</f>
        <v/>
      </c>
      <c r="AS836" s="0" t="str">
        <f aca="false">IF($A836="","",_xlfn.TEXTJOIN("; ",TRUE(),IF(CK836&lt;&gt;"pass","gated out",""),IF(AO836="Y","on hold: "&amp;AP836,""),IF(C836="","no contact named on an opened page",""),IF(AND(AU836="Y",AV836&lt;&gt;"Y"),"founder review pending (Founder review tab)","")))</f>
        <v/>
      </c>
      <c r="BC836" s="0" t="str">
        <f aca="false">IF($A836="","",IFERROR(INDEX(Enrichment!$A$2:$GZ$2000,MATCH($A836,INDEX(Enrichment!$A$2:$GZ$2000,0,MATCH("row_id",Enrichment!$A$1:$GZ$1,0)),0),MATCH("work_email",Enrichment!$A$1:$GZ$1,0))&amp;"",""))</f>
        <v/>
      </c>
      <c r="BD836" s="0" t="str">
        <f aca="false">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P836" s="0" t="str">
        <f aca="false">IF($A836="","",IFERROR(INDEX(Enrichment!$A$2:$GZ$2000,MATCH($A836,INDEX(Enrichment!$A$2:$GZ$2000,0,MATCH("row_id",Enrichment!$A$1:$GZ$1,0)),0),MATCH("backup_work_email",Enrichment!$A$1:$GZ$1,0))&amp;"",""))</f>
        <v/>
      </c>
      <c r="BQ836" s="0" t="str">
        <f aca="false">IF($A836="","",IF(BP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DU836" s="0" t="str">
        <f aca="false">IF($A836="","",IF(R836="Y",10,0))</f>
        <v/>
      </c>
      <c r="EV836" s="0" t="str">
        <f aca="false">IF($A836="","",IF(ISNUMBER(MATCH(U836,{"queued","contacted","replied","call_booked","call_done","yes_in_principle","materials_sent"},0)),"Y","N"))</f>
        <v/>
      </c>
      <c r="EW836" s="0" t="str">
        <f aca="false">IF($A836="","",IF(OR(T836="Y",U836="do_not_contact",AQ836&amp;""&lt;&gt;""),"Y","N"))</f>
        <v/>
      </c>
      <c r="EX836" s="0" t="str">
        <f aca="false">IF($A836="","",IF(AN836&amp;""&lt;&gt;"",AN836&amp;"",$A836))</f>
        <v/>
      </c>
      <c r="EY836" s="0" t="str">
        <f aca="false">IF($A836="","",IF(COUNTIFS($EX$2:$EX$1000,EX836,$EV$2:$EV$1000,"Y")+COUNTIFS($EX$2:$EX$1000,EX836,$EW$2:$EW$1000,"Y")&gt;0,"Y","N"))</f>
        <v/>
      </c>
      <c r="EZ836" s="0" t="str">
        <f aca="false">IF($A836="","",IF(AND(U836="new",T836="N",EW836="N",AR836="Y",EY836="N"),"Y","N"))</f>
        <v/>
      </c>
      <c r="FA836" s="0" t="str">
        <f aca="false">IF($A836="","",IF(EZ836&lt;&gt;"Y","N",IF(COUNTIFS($EX$2:$EX$1000,EX836,$EZ$2:$EZ$1000,"Y",$J$2:$J$1000,"&gt;"&amp;J836)+COUNTIFS($EX$2:$EX$1000,EX836,$EZ$2:$EZ$1000,"Y",$J$2:$J$1000,J836,$FG$2:$FG$1000,"&lt;"&amp;FG836)=0,"Y","N")))</f>
        <v/>
      </c>
      <c r="FB836" s="0" t="str">
        <f aca="false">IF($A836="","",IF(AND(EZ836="Y",FA836="Y",Y836&amp;""&lt;&gt;""),IF(Y836&lt;=10,"Y","N"),"N"))</f>
        <v/>
      </c>
      <c r="FC836" s="0" t="str">
        <f aca="false">IF(FB836="Y",Y836,"")</f>
        <v/>
      </c>
      <c r="FD836" s="0" t="str">
        <f aca="false">IF($A836="","",IF(AND(CK836="pass",AU836="Y",AV836&lt;&gt;"Y",U836="new",EW836="N"),"Y","N"))</f>
        <v/>
      </c>
      <c r="FE836" s="0" t="str">
        <f aca="false">IF(FD836&lt;&gt;"Y","",IF(COUNTIFS($FD$2:$FD$1000,"Y",$J$2:$J$1000,"&gt;"&amp;J836)+COUNTIFS($FD$2:$FD$1000,"Y",$J$2:$J$1000,J836,$FG$2:$FG$1000,"&lt;"&amp;FG836)+1&lt;=30,COUNTIFS($FD$2:$FD$1000,"Y",$J$2:$J$1000,"&gt;"&amp;J836)+COUNTIFS($FD$2:$FD$1000,"Y",$J$2:$J$1000,J836,$FG$2:$FG$1000,"&lt;"&amp;FG836)+1,""))</f>
        <v/>
      </c>
      <c r="FF836" s="0" t="str">
        <f aca="false">IF(AND(_xlfn.ISFORMULA(C836),_xlfn.ISFORMULA(J836)),"Y","N")</f>
        <v>Y</v>
      </c>
      <c r="FG836" s="0" t="n">
        <f aca="false">ROW()-1</f>
        <v>835</v>
      </c>
    </row>
    <row r="837" customFormat="false" ht="15" hidden="false" customHeight="false" outlineLevel="0" collapsed="false">
      <c r="C837" s="0" t="str">
        <f aca="false">IF($A837="","",IF(AT837="Y",BL837&amp;"",AY837&amp;""))</f>
        <v/>
      </c>
      <c r="D837" s="0" t="str">
        <f aca="false">IF($A837="","",IF(AT837="Y",BM837&amp;"",AZ837&amp;""))</f>
        <v/>
      </c>
      <c r="E837" s="0" t="str">
        <f aca="false">IF($A837="","",IF(AT837="Y",BN837&amp;"",BA837&amp;""))</f>
        <v/>
      </c>
      <c r="F837" s="0" t="str">
        <f aca="false">IF($A837="","",IF(AT837="Y",BO837&amp;"",BB837&amp;""))</f>
        <v/>
      </c>
      <c r="G837" s="0" t="str">
        <f aca="false">IF($A837="","",IF(AT837="Y",BP837&amp;"",BC837&amp;""))</f>
        <v/>
      </c>
      <c r="H837" s="0" t="str">
        <f aca="false">IF($A837="","",IF(AT837="Y",BQ837&amp;"",BD837&amp;""))</f>
        <v/>
      </c>
      <c r="I837" s="0" t="str">
        <f aca="false">IF($A837="","",IF(R837="Y","warm-intro",IF(H837="verified","email",IF(C837&lt;&gt;"","linkedin",CA837&amp;""))))</f>
        <v/>
      </c>
      <c r="J837" s="0" t="str">
        <f aca="false">IF($A837="","",IF(CK837="pass",ROUND(N(DO837)+N(DP837)+N(DQ837)+N(DR837)+N(DS837)+N(DT837)+N(DU837)+N(DV837),0),0))</f>
        <v/>
      </c>
      <c r="K837" s="0" t="str">
        <f aca="false">IF($A837="","",IF(CK837&lt;&gt;"pass",BY837&amp;"",BY837&amp;", "&amp;IF(AT837="Y",BX837&amp;"",BK837&amp;"")&amp;BZ837&amp;IF(R837="Y","; known to the founder (+10)","")&amp;"."))</f>
        <v/>
      </c>
      <c r="R837" s="5"/>
      <c r="T837" s="5"/>
      <c r="U837" s="5"/>
      <c r="Y837" s="0" t="str">
        <f aca="false">IF(FA837&lt;&gt;"Y","",COUNTIFS($FA$2:$FA$1000,"Y",$J$2:$J$1000,"&gt;"&amp;J837)+COUNTIFS($FA$2:$FA$1000,"Y",$J$2:$J$1000,J837,$FG$2:$FG$1000,"&lt;"&amp;FG837)+1)</f>
        <v/>
      </c>
      <c r="AB837" s="0" t="str">
        <f aca="false">IF($A837="","",IF(AT837="Y",BW837&amp;"",BJ837&amp;""))</f>
        <v/>
      </c>
      <c r="AC837" s="0" t="str">
        <f aca="false">IF($A837="","",IF(AT837="Y",BR837&amp;"",BE837&amp;""))</f>
        <v/>
      </c>
      <c r="AD837" s="0" t="str">
        <f aca="false">IF($A837="","",IF(AT837="Y",BS837&amp;"",BF837&amp;""))</f>
        <v/>
      </c>
      <c r="AE837" s="0" t="str">
        <f aca="false">IF($A837="","",IF(AT837="Y",BT837&amp;"",BG837&amp;""))</f>
        <v/>
      </c>
      <c r="AF837" s="0" t="str">
        <f aca="false">IF($A837="","",IF(AT837="Y",BU837&amp;"",BH837&amp;""))</f>
        <v/>
      </c>
      <c r="AG837" s="0" t="str">
        <f aca="false">IF($A837="","",IF(AT837="Y",BV837&amp;"",BI837&amp;""))</f>
        <v/>
      </c>
      <c r="AO837" s="5"/>
      <c r="AR837" s="0" t="str">
        <f aca="false">IF($A837="","",IF(AND(CK837="pass",AO837&lt;&gt;"Y",C837&lt;&gt;"",OR(AU837&lt;&gt;"Y",AV837="Y")),"Y","N"))</f>
        <v/>
      </c>
      <c r="AS837" s="0" t="str">
        <f aca="false">IF($A837="","",_xlfn.TEXTJOIN("; ",TRUE(),IF(CK837&lt;&gt;"pass","gated out",""),IF(AO837="Y","on hold: "&amp;AP837,""),IF(C837="","no contact named on an opened page",""),IF(AND(AU837="Y",AV837&lt;&gt;"Y"),"founder review pending (Founder review tab)","")))</f>
        <v/>
      </c>
      <c r="BC837" s="0" t="str">
        <f aca="false">IF($A837="","",IFERROR(INDEX(Enrichment!$A$2:$GZ$2000,MATCH($A837,INDEX(Enrichment!$A$2:$GZ$2000,0,MATCH("row_id",Enrichment!$A$1:$GZ$1,0)),0),MATCH("work_email",Enrichment!$A$1:$GZ$1,0))&amp;"",""))</f>
        <v/>
      </c>
      <c r="BD837" s="0" t="str">
        <f aca="false">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P837" s="0" t="str">
        <f aca="false">IF($A837="","",IFERROR(INDEX(Enrichment!$A$2:$GZ$2000,MATCH($A837,INDEX(Enrichment!$A$2:$GZ$2000,0,MATCH("row_id",Enrichment!$A$1:$GZ$1,0)),0),MATCH("backup_work_email",Enrichment!$A$1:$GZ$1,0))&amp;"",""))</f>
        <v/>
      </c>
      <c r="BQ837" s="0" t="str">
        <f aca="false">IF($A837="","",IF(BP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DU837" s="0" t="str">
        <f aca="false">IF($A837="","",IF(R837="Y",10,0))</f>
        <v/>
      </c>
      <c r="EV837" s="0" t="str">
        <f aca="false">IF($A837="","",IF(ISNUMBER(MATCH(U837,{"queued","contacted","replied","call_booked","call_done","yes_in_principle","materials_sent"},0)),"Y","N"))</f>
        <v/>
      </c>
      <c r="EW837" s="0" t="str">
        <f aca="false">IF($A837="","",IF(OR(T837="Y",U837="do_not_contact",AQ837&amp;""&lt;&gt;""),"Y","N"))</f>
        <v/>
      </c>
      <c r="EX837" s="0" t="str">
        <f aca="false">IF($A837="","",IF(AN837&amp;""&lt;&gt;"",AN837&amp;"",$A837))</f>
        <v/>
      </c>
      <c r="EY837" s="0" t="str">
        <f aca="false">IF($A837="","",IF(COUNTIFS($EX$2:$EX$1000,EX837,$EV$2:$EV$1000,"Y")+COUNTIFS($EX$2:$EX$1000,EX837,$EW$2:$EW$1000,"Y")&gt;0,"Y","N"))</f>
        <v/>
      </c>
      <c r="EZ837" s="0" t="str">
        <f aca="false">IF($A837="","",IF(AND(U837="new",T837="N",EW837="N",AR837="Y",EY837="N"),"Y","N"))</f>
        <v/>
      </c>
      <c r="FA837" s="0" t="str">
        <f aca="false">IF($A837="","",IF(EZ837&lt;&gt;"Y","N",IF(COUNTIFS($EX$2:$EX$1000,EX837,$EZ$2:$EZ$1000,"Y",$J$2:$J$1000,"&gt;"&amp;J837)+COUNTIFS($EX$2:$EX$1000,EX837,$EZ$2:$EZ$1000,"Y",$J$2:$J$1000,J837,$FG$2:$FG$1000,"&lt;"&amp;FG837)=0,"Y","N")))</f>
        <v/>
      </c>
      <c r="FB837" s="0" t="str">
        <f aca="false">IF($A837="","",IF(AND(EZ837="Y",FA837="Y",Y837&amp;""&lt;&gt;""),IF(Y837&lt;=10,"Y","N"),"N"))</f>
        <v/>
      </c>
      <c r="FC837" s="0" t="str">
        <f aca="false">IF(FB837="Y",Y837,"")</f>
        <v/>
      </c>
      <c r="FD837" s="0" t="str">
        <f aca="false">IF($A837="","",IF(AND(CK837="pass",AU837="Y",AV837&lt;&gt;"Y",U837="new",EW837="N"),"Y","N"))</f>
        <v/>
      </c>
      <c r="FE837" s="0" t="str">
        <f aca="false">IF(FD837&lt;&gt;"Y","",IF(COUNTIFS($FD$2:$FD$1000,"Y",$J$2:$J$1000,"&gt;"&amp;J837)+COUNTIFS($FD$2:$FD$1000,"Y",$J$2:$J$1000,J837,$FG$2:$FG$1000,"&lt;"&amp;FG837)+1&lt;=30,COUNTIFS($FD$2:$FD$1000,"Y",$J$2:$J$1000,"&gt;"&amp;J837)+COUNTIFS($FD$2:$FD$1000,"Y",$J$2:$J$1000,J837,$FG$2:$FG$1000,"&lt;"&amp;FG837)+1,""))</f>
        <v/>
      </c>
      <c r="FF837" s="0" t="str">
        <f aca="false">IF(AND(_xlfn.ISFORMULA(C837),_xlfn.ISFORMULA(J837)),"Y","N")</f>
        <v>Y</v>
      </c>
      <c r="FG837" s="0" t="n">
        <f aca="false">ROW()-1</f>
        <v>836</v>
      </c>
    </row>
    <row r="838" customFormat="false" ht="15" hidden="false" customHeight="false" outlineLevel="0" collapsed="false">
      <c r="C838" s="0" t="str">
        <f aca="false">IF($A838="","",IF(AT838="Y",BL838&amp;"",AY838&amp;""))</f>
        <v/>
      </c>
      <c r="D838" s="0" t="str">
        <f aca="false">IF($A838="","",IF(AT838="Y",BM838&amp;"",AZ838&amp;""))</f>
        <v/>
      </c>
      <c r="E838" s="0" t="str">
        <f aca="false">IF($A838="","",IF(AT838="Y",BN838&amp;"",BA838&amp;""))</f>
        <v/>
      </c>
      <c r="F838" s="0" t="str">
        <f aca="false">IF($A838="","",IF(AT838="Y",BO838&amp;"",BB838&amp;""))</f>
        <v/>
      </c>
      <c r="G838" s="0" t="str">
        <f aca="false">IF($A838="","",IF(AT838="Y",BP838&amp;"",BC838&amp;""))</f>
        <v/>
      </c>
      <c r="H838" s="0" t="str">
        <f aca="false">IF($A838="","",IF(AT838="Y",BQ838&amp;"",BD838&amp;""))</f>
        <v/>
      </c>
      <c r="I838" s="0" t="str">
        <f aca="false">IF($A838="","",IF(R838="Y","warm-intro",IF(H838="verified","email",IF(C838&lt;&gt;"","linkedin",CA838&amp;""))))</f>
        <v/>
      </c>
      <c r="J838" s="0" t="str">
        <f aca="false">IF($A838="","",IF(CK838="pass",ROUND(N(DO838)+N(DP838)+N(DQ838)+N(DR838)+N(DS838)+N(DT838)+N(DU838)+N(DV838),0),0))</f>
        <v/>
      </c>
      <c r="K838" s="0" t="str">
        <f aca="false">IF($A838="","",IF(CK838&lt;&gt;"pass",BY838&amp;"",BY838&amp;", "&amp;IF(AT838="Y",BX838&amp;"",BK838&amp;"")&amp;BZ838&amp;IF(R838="Y","; known to the founder (+10)","")&amp;"."))</f>
        <v/>
      </c>
      <c r="R838" s="5"/>
      <c r="T838" s="5"/>
      <c r="U838" s="5"/>
      <c r="Y838" s="0" t="str">
        <f aca="false">IF(FA838&lt;&gt;"Y","",COUNTIFS($FA$2:$FA$1000,"Y",$J$2:$J$1000,"&gt;"&amp;J838)+COUNTIFS($FA$2:$FA$1000,"Y",$J$2:$J$1000,J838,$FG$2:$FG$1000,"&lt;"&amp;FG838)+1)</f>
        <v/>
      </c>
      <c r="AB838" s="0" t="str">
        <f aca="false">IF($A838="","",IF(AT838="Y",BW838&amp;"",BJ838&amp;""))</f>
        <v/>
      </c>
      <c r="AC838" s="0" t="str">
        <f aca="false">IF($A838="","",IF(AT838="Y",BR838&amp;"",BE838&amp;""))</f>
        <v/>
      </c>
      <c r="AD838" s="0" t="str">
        <f aca="false">IF($A838="","",IF(AT838="Y",BS838&amp;"",BF838&amp;""))</f>
        <v/>
      </c>
      <c r="AE838" s="0" t="str">
        <f aca="false">IF($A838="","",IF(AT838="Y",BT838&amp;"",BG838&amp;""))</f>
        <v/>
      </c>
      <c r="AF838" s="0" t="str">
        <f aca="false">IF($A838="","",IF(AT838="Y",BU838&amp;"",BH838&amp;""))</f>
        <v/>
      </c>
      <c r="AG838" s="0" t="str">
        <f aca="false">IF($A838="","",IF(AT838="Y",BV838&amp;"",BI838&amp;""))</f>
        <v/>
      </c>
      <c r="AO838" s="5"/>
      <c r="AR838" s="0" t="str">
        <f aca="false">IF($A838="","",IF(AND(CK838="pass",AO838&lt;&gt;"Y",C838&lt;&gt;"",OR(AU838&lt;&gt;"Y",AV838="Y")),"Y","N"))</f>
        <v/>
      </c>
      <c r="AS838" s="0" t="str">
        <f aca="false">IF($A838="","",_xlfn.TEXTJOIN("; ",TRUE(),IF(CK838&lt;&gt;"pass","gated out",""),IF(AO838="Y","on hold: "&amp;AP838,""),IF(C838="","no contact named on an opened page",""),IF(AND(AU838="Y",AV838&lt;&gt;"Y"),"founder review pending (Founder review tab)","")))</f>
        <v/>
      </c>
      <c r="BC838" s="0" t="str">
        <f aca="false">IF($A838="","",IFERROR(INDEX(Enrichment!$A$2:$GZ$2000,MATCH($A838,INDEX(Enrichment!$A$2:$GZ$2000,0,MATCH("row_id",Enrichment!$A$1:$GZ$1,0)),0),MATCH("work_email",Enrichment!$A$1:$GZ$1,0))&amp;"",""))</f>
        <v/>
      </c>
      <c r="BD838" s="0" t="str">
        <f aca="false">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P838" s="0" t="str">
        <f aca="false">IF($A838="","",IFERROR(INDEX(Enrichment!$A$2:$GZ$2000,MATCH($A838,INDEX(Enrichment!$A$2:$GZ$2000,0,MATCH("row_id",Enrichment!$A$1:$GZ$1,0)),0),MATCH("backup_work_email",Enrichment!$A$1:$GZ$1,0))&amp;"",""))</f>
        <v/>
      </c>
      <c r="BQ838" s="0" t="str">
        <f aca="false">IF($A838="","",IF(BP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DU838" s="0" t="str">
        <f aca="false">IF($A838="","",IF(R838="Y",10,0))</f>
        <v/>
      </c>
      <c r="EV838" s="0" t="str">
        <f aca="false">IF($A838="","",IF(ISNUMBER(MATCH(U838,{"queued","contacted","replied","call_booked","call_done","yes_in_principle","materials_sent"},0)),"Y","N"))</f>
        <v/>
      </c>
      <c r="EW838" s="0" t="str">
        <f aca="false">IF($A838="","",IF(OR(T838="Y",U838="do_not_contact",AQ838&amp;""&lt;&gt;""),"Y","N"))</f>
        <v/>
      </c>
      <c r="EX838" s="0" t="str">
        <f aca="false">IF($A838="","",IF(AN838&amp;""&lt;&gt;"",AN838&amp;"",$A838))</f>
        <v/>
      </c>
      <c r="EY838" s="0" t="str">
        <f aca="false">IF($A838="","",IF(COUNTIFS($EX$2:$EX$1000,EX838,$EV$2:$EV$1000,"Y")+COUNTIFS($EX$2:$EX$1000,EX838,$EW$2:$EW$1000,"Y")&gt;0,"Y","N"))</f>
        <v/>
      </c>
      <c r="EZ838" s="0" t="str">
        <f aca="false">IF($A838="","",IF(AND(U838="new",T838="N",EW838="N",AR838="Y",EY838="N"),"Y","N"))</f>
        <v/>
      </c>
      <c r="FA838" s="0" t="str">
        <f aca="false">IF($A838="","",IF(EZ838&lt;&gt;"Y","N",IF(COUNTIFS($EX$2:$EX$1000,EX838,$EZ$2:$EZ$1000,"Y",$J$2:$J$1000,"&gt;"&amp;J838)+COUNTIFS($EX$2:$EX$1000,EX838,$EZ$2:$EZ$1000,"Y",$J$2:$J$1000,J838,$FG$2:$FG$1000,"&lt;"&amp;FG838)=0,"Y","N")))</f>
        <v/>
      </c>
      <c r="FB838" s="0" t="str">
        <f aca="false">IF($A838="","",IF(AND(EZ838="Y",FA838="Y",Y838&amp;""&lt;&gt;""),IF(Y838&lt;=10,"Y","N"),"N"))</f>
        <v/>
      </c>
      <c r="FC838" s="0" t="str">
        <f aca="false">IF(FB838="Y",Y838,"")</f>
        <v/>
      </c>
      <c r="FD838" s="0" t="str">
        <f aca="false">IF($A838="","",IF(AND(CK838="pass",AU838="Y",AV838&lt;&gt;"Y",U838="new",EW838="N"),"Y","N"))</f>
        <v/>
      </c>
      <c r="FE838" s="0" t="str">
        <f aca="false">IF(FD838&lt;&gt;"Y","",IF(COUNTIFS($FD$2:$FD$1000,"Y",$J$2:$J$1000,"&gt;"&amp;J838)+COUNTIFS($FD$2:$FD$1000,"Y",$J$2:$J$1000,J838,$FG$2:$FG$1000,"&lt;"&amp;FG838)+1&lt;=30,COUNTIFS($FD$2:$FD$1000,"Y",$J$2:$J$1000,"&gt;"&amp;J838)+COUNTIFS($FD$2:$FD$1000,"Y",$J$2:$J$1000,J838,$FG$2:$FG$1000,"&lt;"&amp;FG838)+1,""))</f>
        <v/>
      </c>
      <c r="FF838" s="0" t="str">
        <f aca="false">IF(AND(_xlfn.ISFORMULA(C838),_xlfn.ISFORMULA(J838)),"Y","N")</f>
        <v>Y</v>
      </c>
      <c r="FG838" s="0" t="n">
        <f aca="false">ROW()-1</f>
        <v>837</v>
      </c>
    </row>
    <row r="839" customFormat="false" ht="15" hidden="false" customHeight="false" outlineLevel="0" collapsed="false">
      <c r="C839" s="0" t="str">
        <f aca="false">IF($A839="","",IF(AT839="Y",BL839&amp;"",AY839&amp;""))</f>
        <v/>
      </c>
      <c r="D839" s="0" t="str">
        <f aca="false">IF($A839="","",IF(AT839="Y",BM839&amp;"",AZ839&amp;""))</f>
        <v/>
      </c>
      <c r="E839" s="0" t="str">
        <f aca="false">IF($A839="","",IF(AT839="Y",BN839&amp;"",BA839&amp;""))</f>
        <v/>
      </c>
      <c r="F839" s="0" t="str">
        <f aca="false">IF($A839="","",IF(AT839="Y",BO839&amp;"",BB839&amp;""))</f>
        <v/>
      </c>
      <c r="G839" s="0" t="str">
        <f aca="false">IF($A839="","",IF(AT839="Y",BP839&amp;"",BC839&amp;""))</f>
        <v/>
      </c>
      <c r="H839" s="0" t="str">
        <f aca="false">IF($A839="","",IF(AT839="Y",BQ839&amp;"",BD839&amp;""))</f>
        <v/>
      </c>
      <c r="I839" s="0" t="str">
        <f aca="false">IF($A839="","",IF(R839="Y","warm-intro",IF(H839="verified","email",IF(C839&lt;&gt;"","linkedin",CA839&amp;""))))</f>
        <v/>
      </c>
      <c r="J839" s="0" t="str">
        <f aca="false">IF($A839="","",IF(CK839="pass",ROUND(N(DO839)+N(DP839)+N(DQ839)+N(DR839)+N(DS839)+N(DT839)+N(DU839)+N(DV839),0),0))</f>
        <v/>
      </c>
      <c r="K839" s="0" t="str">
        <f aca="false">IF($A839="","",IF(CK839&lt;&gt;"pass",BY839&amp;"",BY839&amp;", "&amp;IF(AT839="Y",BX839&amp;"",BK839&amp;"")&amp;BZ839&amp;IF(R839="Y","; known to the founder (+10)","")&amp;"."))</f>
        <v/>
      </c>
      <c r="R839" s="5"/>
      <c r="T839" s="5"/>
      <c r="U839" s="5"/>
      <c r="Y839" s="0" t="str">
        <f aca="false">IF(FA839&lt;&gt;"Y","",COUNTIFS($FA$2:$FA$1000,"Y",$J$2:$J$1000,"&gt;"&amp;J839)+COUNTIFS($FA$2:$FA$1000,"Y",$J$2:$J$1000,J839,$FG$2:$FG$1000,"&lt;"&amp;FG839)+1)</f>
        <v/>
      </c>
      <c r="AB839" s="0" t="str">
        <f aca="false">IF($A839="","",IF(AT839="Y",BW839&amp;"",BJ839&amp;""))</f>
        <v/>
      </c>
      <c r="AC839" s="0" t="str">
        <f aca="false">IF($A839="","",IF(AT839="Y",BR839&amp;"",BE839&amp;""))</f>
        <v/>
      </c>
      <c r="AD839" s="0" t="str">
        <f aca="false">IF($A839="","",IF(AT839="Y",BS839&amp;"",BF839&amp;""))</f>
        <v/>
      </c>
      <c r="AE839" s="0" t="str">
        <f aca="false">IF($A839="","",IF(AT839="Y",BT839&amp;"",BG839&amp;""))</f>
        <v/>
      </c>
      <c r="AF839" s="0" t="str">
        <f aca="false">IF($A839="","",IF(AT839="Y",BU839&amp;"",BH839&amp;""))</f>
        <v/>
      </c>
      <c r="AG839" s="0" t="str">
        <f aca="false">IF($A839="","",IF(AT839="Y",BV839&amp;"",BI839&amp;""))</f>
        <v/>
      </c>
      <c r="AO839" s="5"/>
      <c r="AR839" s="0" t="str">
        <f aca="false">IF($A839="","",IF(AND(CK839="pass",AO839&lt;&gt;"Y",C839&lt;&gt;"",OR(AU839&lt;&gt;"Y",AV839="Y")),"Y","N"))</f>
        <v/>
      </c>
      <c r="AS839" s="0" t="str">
        <f aca="false">IF($A839="","",_xlfn.TEXTJOIN("; ",TRUE(),IF(CK839&lt;&gt;"pass","gated out",""),IF(AO839="Y","on hold: "&amp;AP839,""),IF(C839="","no contact named on an opened page",""),IF(AND(AU839="Y",AV839&lt;&gt;"Y"),"founder review pending (Founder review tab)","")))</f>
        <v/>
      </c>
      <c r="BC839" s="0" t="str">
        <f aca="false">IF($A839="","",IFERROR(INDEX(Enrichment!$A$2:$GZ$2000,MATCH($A839,INDEX(Enrichment!$A$2:$GZ$2000,0,MATCH("row_id",Enrichment!$A$1:$GZ$1,0)),0),MATCH("work_email",Enrichment!$A$1:$GZ$1,0))&amp;"",""))</f>
        <v/>
      </c>
      <c r="BD839" s="0" t="str">
        <f aca="false">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P839" s="0" t="str">
        <f aca="false">IF($A839="","",IFERROR(INDEX(Enrichment!$A$2:$GZ$2000,MATCH($A839,INDEX(Enrichment!$A$2:$GZ$2000,0,MATCH("row_id",Enrichment!$A$1:$GZ$1,0)),0),MATCH("backup_work_email",Enrichment!$A$1:$GZ$1,0))&amp;"",""))</f>
        <v/>
      </c>
      <c r="BQ839" s="0" t="str">
        <f aca="false">IF($A839="","",IF(BP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DU839" s="0" t="str">
        <f aca="false">IF($A839="","",IF(R839="Y",10,0))</f>
        <v/>
      </c>
      <c r="EV839" s="0" t="str">
        <f aca="false">IF($A839="","",IF(ISNUMBER(MATCH(U839,{"queued","contacted","replied","call_booked","call_done","yes_in_principle","materials_sent"},0)),"Y","N"))</f>
        <v/>
      </c>
      <c r="EW839" s="0" t="str">
        <f aca="false">IF($A839="","",IF(OR(T839="Y",U839="do_not_contact",AQ839&amp;""&lt;&gt;""),"Y","N"))</f>
        <v/>
      </c>
      <c r="EX839" s="0" t="str">
        <f aca="false">IF($A839="","",IF(AN839&amp;""&lt;&gt;"",AN839&amp;"",$A839))</f>
        <v/>
      </c>
      <c r="EY839" s="0" t="str">
        <f aca="false">IF($A839="","",IF(COUNTIFS($EX$2:$EX$1000,EX839,$EV$2:$EV$1000,"Y")+COUNTIFS($EX$2:$EX$1000,EX839,$EW$2:$EW$1000,"Y")&gt;0,"Y","N"))</f>
        <v/>
      </c>
      <c r="EZ839" s="0" t="str">
        <f aca="false">IF($A839="","",IF(AND(U839="new",T839="N",EW839="N",AR839="Y",EY839="N"),"Y","N"))</f>
        <v/>
      </c>
      <c r="FA839" s="0" t="str">
        <f aca="false">IF($A839="","",IF(EZ839&lt;&gt;"Y","N",IF(COUNTIFS($EX$2:$EX$1000,EX839,$EZ$2:$EZ$1000,"Y",$J$2:$J$1000,"&gt;"&amp;J839)+COUNTIFS($EX$2:$EX$1000,EX839,$EZ$2:$EZ$1000,"Y",$J$2:$J$1000,J839,$FG$2:$FG$1000,"&lt;"&amp;FG839)=0,"Y","N")))</f>
        <v/>
      </c>
      <c r="FB839" s="0" t="str">
        <f aca="false">IF($A839="","",IF(AND(EZ839="Y",FA839="Y",Y839&amp;""&lt;&gt;""),IF(Y839&lt;=10,"Y","N"),"N"))</f>
        <v/>
      </c>
      <c r="FC839" s="0" t="str">
        <f aca="false">IF(FB839="Y",Y839,"")</f>
        <v/>
      </c>
      <c r="FD839" s="0" t="str">
        <f aca="false">IF($A839="","",IF(AND(CK839="pass",AU839="Y",AV839&lt;&gt;"Y",U839="new",EW839="N"),"Y","N"))</f>
        <v/>
      </c>
      <c r="FE839" s="0" t="str">
        <f aca="false">IF(FD839&lt;&gt;"Y","",IF(COUNTIFS($FD$2:$FD$1000,"Y",$J$2:$J$1000,"&gt;"&amp;J839)+COUNTIFS($FD$2:$FD$1000,"Y",$J$2:$J$1000,J839,$FG$2:$FG$1000,"&lt;"&amp;FG839)+1&lt;=30,COUNTIFS($FD$2:$FD$1000,"Y",$J$2:$J$1000,"&gt;"&amp;J839)+COUNTIFS($FD$2:$FD$1000,"Y",$J$2:$J$1000,J839,$FG$2:$FG$1000,"&lt;"&amp;FG839)+1,""))</f>
        <v/>
      </c>
      <c r="FF839" s="0" t="str">
        <f aca="false">IF(AND(_xlfn.ISFORMULA(C839),_xlfn.ISFORMULA(J839)),"Y","N")</f>
        <v>Y</v>
      </c>
      <c r="FG839" s="0" t="n">
        <f aca="false">ROW()-1</f>
        <v>838</v>
      </c>
    </row>
    <row r="840" customFormat="false" ht="15" hidden="false" customHeight="false" outlineLevel="0" collapsed="false">
      <c r="C840" s="0" t="str">
        <f aca="false">IF($A840="","",IF(AT840="Y",BL840&amp;"",AY840&amp;""))</f>
        <v/>
      </c>
      <c r="D840" s="0" t="str">
        <f aca="false">IF($A840="","",IF(AT840="Y",BM840&amp;"",AZ840&amp;""))</f>
        <v/>
      </c>
      <c r="E840" s="0" t="str">
        <f aca="false">IF($A840="","",IF(AT840="Y",BN840&amp;"",BA840&amp;""))</f>
        <v/>
      </c>
      <c r="F840" s="0" t="str">
        <f aca="false">IF($A840="","",IF(AT840="Y",BO840&amp;"",BB840&amp;""))</f>
        <v/>
      </c>
      <c r="G840" s="0" t="str">
        <f aca="false">IF($A840="","",IF(AT840="Y",BP840&amp;"",BC840&amp;""))</f>
        <v/>
      </c>
      <c r="H840" s="0" t="str">
        <f aca="false">IF($A840="","",IF(AT840="Y",BQ840&amp;"",BD840&amp;""))</f>
        <v/>
      </c>
      <c r="I840" s="0" t="str">
        <f aca="false">IF($A840="","",IF(R840="Y","warm-intro",IF(H840="verified","email",IF(C840&lt;&gt;"","linkedin",CA840&amp;""))))</f>
        <v/>
      </c>
      <c r="J840" s="0" t="str">
        <f aca="false">IF($A840="","",IF(CK840="pass",ROUND(N(DO840)+N(DP840)+N(DQ840)+N(DR840)+N(DS840)+N(DT840)+N(DU840)+N(DV840),0),0))</f>
        <v/>
      </c>
      <c r="K840" s="0" t="str">
        <f aca="false">IF($A840="","",IF(CK840&lt;&gt;"pass",BY840&amp;"",BY840&amp;", "&amp;IF(AT840="Y",BX840&amp;"",BK840&amp;"")&amp;BZ840&amp;IF(R840="Y","; known to the founder (+10)","")&amp;"."))</f>
        <v/>
      </c>
      <c r="R840" s="5"/>
      <c r="T840" s="5"/>
      <c r="U840" s="5"/>
      <c r="Y840" s="0" t="str">
        <f aca="false">IF(FA840&lt;&gt;"Y","",COUNTIFS($FA$2:$FA$1000,"Y",$J$2:$J$1000,"&gt;"&amp;J840)+COUNTIFS($FA$2:$FA$1000,"Y",$J$2:$J$1000,J840,$FG$2:$FG$1000,"&lt;"&amp;FG840)+1)</f>
        <v/>
      </c>
      <c r="AB840" s="0" t="str">
        <f aca="false">IF($A840="","",IF(AT840="Y",BW840&amp;"",BJ840&amp;""))</f>
        <v/>
      </c>
      <c r="AC840" s="0" t="str">
        <f aca="false">IF($A840="","",IF(AT840="Y",BR840&amp;"",BE840&amp;""))</f>
        <v/>
      </c>
      <c r="AD840" s="0" t="str">
        <f aca="false">IF($A840="","",IF(AT840="Y",BS840&amp;"",BF840&amp;""))</f>
        <v/>
      </c>
      <c r="AE840" s="0" t="str">
        <f aca="false">IF($A840="","",IF(AT840="Y",BT840&amp;"",BG840&amp;""))</f>
        <v/>
      </c>
      <c r="AF840" s="0" t="str">
        <f aca="false">IF($A840="","",IF(AT840="Y",BU840&amp;"",BH840&amp;""))</f>
        <v/>
      </c>
      <c r="AG840" s="0" t="str">
        <f aca="false">IF($A840="","",IF(AT840="Y",BV840&amp;"",BI840&amp;""))</f>
        <v/>
      </c>
      <c r="AO840" s="5"/>
      <c r="AR840" s="0" t="str">
        <f aca="false">IF($A840="","",IF(AND(CK840="pass",AO840&lt;&gt;"Y",C840&lt;&gt;"",OR(AU840&lt;&gt;"Y",AV840="Y")),"Y","N"))</f>
        <v/>
      </c>
      <c r="AS840" s="0" t="str">
        <f aca="false">IF($A840="","",_xlfn.TEXTJOIN("; ",TRUE(),IF(CK840&lt;&gt;"pass","gated out",""),IF(AO840="Y","on hold: "&amp;AP840,""),IF(C840="","no contact named on an opened page",""),IF(AND(AU840="Y",AV840&lt;&gt;"Y"),"founder review pending (Founder review tab)","")))</f>
        <v/>
      </c>
      <c r="BC840" s="0" t="str">
        <f aca="false">IF($A840="","",IFERROR(INDEX(Enrichment!$A$2:$GZ$2000,MATCH($A840,INDEX(Enrichment!$A$2:$GZ$2000,0,MATCH("row_id",Enrichment!$A$1:$GZ$1,0)),0),MATCH("work_email",Enrichment!$A$1:$GZ$1,0))&amp;"",""))</f>
        <v/>
      </c>
      <c r="BD840" s="0" t="str">
        <f aca="false">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P840" s="0" t="str">
        <f aca="false">IF($A840="","",IFERROR(INDEX(Enrichment!$A$2:$GZ$2000,MATCH($A840,INDEX(Enrichment!$A$2:$GZ$2000,0,MATCH("row_id",Enrichment!$A$1:$GZ$1,0)),0),MATCH("backup_work_email",Enrichment!$A$1:$GZ$1,0))&amp;"",""))</f>
        <v/>
      </c>
      <c r="BQ840" s="0" t="str">
        <f aca="false">IF($A840="","",IF(BP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DU840" s="0" t="str">
        <f aca="false">IF($A840="","",IF(R840="Y",10,0))</f>
        <v/>
      </c>
      <c r="EV840" s="0" t="str">
        <f aca="false">IF($A840="","",IF(ISNUMBER(MATCH(U840,{"queued","contacted","replied","call_booked","call_done","yes_in_principle","materials_sent"},0)),"Y","N"))</f>
        <v/>
      </c>
      <c r="EW840" s="0" t="str">
        <f aca="false">IF($A840="","",IF(OR(T840="Y",U840="do_not_contact",AQ840&amp;""&lt;&gt;""),"Y","N"))</f>
        <v/>
      </c>
      <c r="EX840" s="0" t="str">
        <f aca="false">IF($A840="","",IF(AN840&amp;""&lt;&gt;"",AN840&amp;"",$A840))</f>
        <v/>
      </c>
      <c r="EY840" s="0" t="str">
        <f aca="false">IF($A840="","",IF(COUNTIFS($EX$2:$EX$1000,EX840,$EV$2:$EV$1000,"Y")+COUNTIFS($EX$2:$EX$1000,EX840,$EW$2:$EW$1000,"Y")&gt;0,"Y","N"))</f>
        <v/>
      </c>
      <c r="EZ840" s="0" t="str">
        <f aca="false">IF($A840="","",IF(AND(U840="new",T840="N",EW840="N",AR840="Y",EY840="N"),"Y","N"))</f>
        <v/>
      </c>
      <c r="FA840" s="0" t="str">
        <f aca="false">IF($A840="","",IF(EZ840&lt;&gt;"Y","N",IF(COUNTIFS($EX$2:$EX$1000,EX840,$EZ$2:$EZ$1000,"Y",$J$2:$J$1000,"&gt;"&amp;J840)+COUNTIFS($EX$2:$EX$1000,EX840,$EZ$2:$EZ$1000,"Y",$J$2:$J$1000,J840,$FG$2:$FG$1000,"&lt;"&amp;FG840)=0,"Y","N")))</f>
        <v/>
      </c>
      <c r="FB840" s="0" t="str">
        <f aca="false">IF($A840="","",IF(AND(EZ840="Y",FA840="Y",Y840&amp;""&lt;&gt;""),IF(Y840&lt;=10,"Y","N"),"N"))</f>
        <v/>
      </c>
      <c r="FC840" s="0" t="str">
        <f aca="false">IF(FB840="Y",Y840,"")</f>
        <v/>
      </c>
      <c r="FD840" s="0" t="str">
        <f aca="false">IF($A840="","",IF(AND(CK840="pass",AU840="Y",AV840&lt;&gt;"Y",U840="new",EW840="N"),"Y","N"))</f>
        <v/>
      </c>
      <c r="FE840" s="0" t="str">
        <f aca="false">IF(FD840&lt;&gt;"Y","",IF(COUNTIFS($FD$2:$FD$1000,"Y",$J$2:$J$1000,"&gt;"&amp;J840)+COUNTIFS($FD$2:$FD$1000,"Y",$J$2:$J$1000,J840,$FG$2:$FG$1000,"&lt;"&amp;FG840)+1&lt;=30,COUNTIFS($FD$2:$FD$1000,"Y",$J$2:$J$1000,"&gt;"&amp;J840)+COUNTIFS($FD$2:$FD$1000,"Y",$J$2:$J$1000,J840,$FG$2:$FG$1000,"&lt;"&amp;FG840)+1,""))</f>
        <v/>
      </c>
      <c r="FF840" s="0" t="str">
        <f aca="false">IF(AND(_xlfn.ISFORMULA(C840),_xlfn.ISFORMULA(J840)),"Y","N")</f>
        <v>Y</v>
      </c>
      <c r="FG840" s="0" t="n">
        <f aca="false">ROW()-1</f>
        <v>839</v>
      </c>
    </row>
    <row r="841" customFormat="false" ht="15" hidden="false" customHeight="false" outlineLevel="0" collapsed="false">
      <c r="C841" s="0" t="str">
        <f aca="false">IF($A841="","",IF(AT841="Y",BL841&amp;"",AY841&amp;""))</f>
        <v/>
      </c>
      <c r="D841" s="0" t="str">
        <f aca="false">IF($A841="","",IF(AT841="Y",BM841&amp;"",AZ841&amp;""))</f>
        <v/>
      </c>
      <c r="E841" s="0" t="str">
        <f aca="false">IF($A841="","",IF(AT841="Y",BN841&amp;"",BA841&amp;""))</f>
        <v/>
      </c>
      <c r="F841" s="0" t="str">
        <f aca="false">IF($A841="","",IF(AT841="Y",BO841&amp;"",BB841&amp;""))</f>
        <v/>
      </c>
      <c r="G841" s="0" t="str">
        <f aca="false">IF($A841="","",IF(AT841="Y",BP841&amp;"",BC841&amp;""))</f>
        <v/>
      </c>
      <c r="H841" s="0" t="str">
        <f aca="false">IF($A841="","",IF(AT841="Y",BQ841&amp;"",BD841&amp;""))</f>
        <v/>
      </c>
      <c r="I841" s="0" t="str">
        <f aca="false">IF($A841="","",IF(R841="Y","warm-intro",IF(H841="verified","email",IF(C841&lt;&gt;"","linkedin",CA841&amp;""))))</f>
        <v/>
      </c>
      <c r="J841" s="0" t="str">
        <f aca="false">IF($A841="","",IF(CK841="pass",ROUND(N(DO841)+N(DP841)+N(DQ841)+N(DR841)+N(DS841)+N(DT841)+N(DU841)+N(DV841),0),0))</f>
        <v/>
      </c>
      <c r="K841" s="0" t="str">
        <f aca="false">IF($A841="","",IF(CK841&lt;&gt;"pass",BY841&amp;"",BY841&amp;", "&amp;IF(AT841="Y",BX841&amp;"",BK841&amp;"")&amp;BZ841&amp;IF(R841="Y","; known to the founder (+10)","")&amp;"."))</f>
        <v/>
      </c>
      <c r="R841" s="5"/>
      <c r="T841" s="5"/>
      <c r="U841" s="5"/>
      <c r="Y841" s="0" t="str">
        <f aca="false">IF(FA841&lt;&gt;"Y","",COUNTIFS($FA$2:$FA$1000,"Y",$J$2:$J$1000,"&gt;"&amp;J841)+COUNTIFS($FA$2:$FA$1000,"Y",$J$2:$J$1000,J841,$FG$2:$FG$1000,"&lt;"&amp;FG841)+1)</f>
        <v/>
      </c>
      <c r="AB841" s="0" t="str">
        <f aca="false">IF($A841="","",IF(AT841="Y",BW841&amp;"",BJ841&amp;""))</f>
        <v/>
      </c>
      <c r="AC841" s="0" t="str">
        <f aca="false">IF($A841="","",IF(AT841="Y",BR841&amp;"",BE841&amp;""))</f>
        <v/>
      </c>
      <c r="AD841" s="0" t="str">
        <f aca="false">IF($A841="","",IF(AT841="Y",BS841&amp;"",BF841&amp;""))</f>
        <v/>
      </c>
      <c r="AE841" s="0" t="str">
        <f aca="false">IF($A841="","",IF(AT841="Y",BT841&amp;"",BG841&amp;""))</f>
        <v/>
      </c>
      <c r="AF841" s="0" t="str">
        <f aca="false">IF($A841="","",IF(AT841="Y",BU841&amp;"",BH841&amp;""))</f>
        <v/>
      </c>
      <c r="AG841" s="0" t="str">
        <f aca="false">IF($A841="","",IF(AT841="Y",BV841&amp;"",BI841&amp;""))</f>
        <v/>
      </c>
      <c r="AO841" s="5"/>
      <c r="AR841" s="0" t="str">
        <f aca="false">IF($A841="","",IF(AND(CK841="pass",AO841&lt;&gt;"Y",C841&lt;&gt;"",OR(AU841&lt;&gt;"Y",AV841="Y")),"Y","N"))</f>
        <v/>
      </c>
      <c r="AS841" s="0" t="str">
        <f aca="false">IF($A841="","",_xlfn.TEXTJOIN("; ",TRUE(),IF(CK841&lt;&gt;"pass","gated out",""),IF(AO841="Y","on hold: "&amp;AP841,""),IF(C841="","no contact named on an opened page",""),IF(AND(AU841="Y",AV841&lt;&gt;"Y"),"founder review pending (Founder review tab)","")))</f>
        <v/>
      </c>
      <c r="BC841" s="0" t="str">
        <f aca="false">IF($A841="","",IFERROR(INDEX(Enrichment!$A$2:$GZ$2000,MATCH($A841,INDEX(Enrichment!$A$2:$GZ$2000,0,MATCH("row_id",Enrichment!$A$1:$GZ$1,0)),0),MATCH("work_email",Enrichment!$A$1:$GZ$1,0))&amp;"",""))</f>
        <v/>
      </c>
      <c r="BD841" s="0" t="str">
        <f aca="false">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P841" s="0" t="str">
        <f aca="false">IF($A841="","",IFERROR(INDEX(Enrichment!$A$2:$GZ$2000,MATCH($A841,INDEX(Enrichment!$A$2:$GZ$2000,0,MATCH("row_id",Enrichment!$A$1:$GZ$1,0)),0),MATCH("backup_work_email",Enrichment!$A$1:$GZ$1,0))&amp;"",""))</f>
        <v/>
      </c>
      <c r="BQ841" s="0" t="str">
        <f aca="false">IF($A841="","",IF(BP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DU841" s="0" t="str">
        <f aca="false">IF($A841="","",IF(R841="Y",10,0))</f>
        <v/>
      </c>
      <c r="EV841" s="0" t="str">
        <f aca="false">IF($A841="","",IF(ISNUMBER(MATCH(U841,{"queued","contacted","replied","call_booked","call_done","yes_in_principle","materials_sent"},0)),"Y","N"))</f>
        <v/>
      </c>
      <c r="EW841" s="0" t="str">
        <f aca="false">IF($A841="","",IF(OR(T841="Y",U841="do_not_contact",AQ841&amp;""&lt;&gt;""),"Y","N"))</f>
        <v/>
      </c>
      <c r="EX841" s="0" t="str">
        <f aca="false">IF($A841="","",IF(AN841&amp;""&lt;&gt;"",AN841&amp;"",$A841))</f>
        <v/>
      </c>
      <c r="EY841" s="0" t="str">
        <f aca="false">IF($A841="","",IF(COUNTIFS($EX$2:$EX$1000,EX841,$EV$2:$EV$1000,"Y")+COUNTIFS($EX$2:$EX$1000,EX841,$EW$2:$EW$1000,"Y")&gt;0,"Y","N"))</f>
        <v/>
      </c>
      <c r="EZ841" s="0" t="str">
        <f aca="false">IF($A841="","",IF(AND(U841="new",T841="N",EW841="N",AR841="Y",EY841="N"),"Y","N"))</f>
        <v/>
      </c>
      <c r="FA841" s="0" t="str">
        <f aca="false">IF($A841="","",IF(EZ841&lt;&gt;"Y","N",IF(COUNTIFS($EX$2:$EX$1000,EX841,$EZ$2:$EZ$1000,"Y",$J$2:$J$1000,"&gt;"&amp;J841)+COUNTIFS($EX$2:$EX$1000,EX841,$EZ$2:$EZ$1000,"Y",$J$2:$J$1000,J841,$FG$2:$FG$1000,"&lt;"&amp;FG841)=0,"Y","N")))</f>
        <v/>
      </c>
      <c r="FB841" s="0" t="str">
        <f aca="false">IF($A841="","",IF(AND(EZ841="Y",FA841="Y",Y841&amp;""&lt;&gt;""),IF(Y841&lt;=10,"Y","N"),"N"))</f>
        <v/>
      </c>
      <c r="FC841" s="0" t="str">
        <f aca="false">IF(FB841="Y",Y841,"")</f>
        <v/>
      </c>
      <c r="FD841" s="0" t="str">
        <f aca="false">IF($A841="","",IF(AND(CK841="pass",AU841="Y",AV841&lt;&gt;"Y",U841="new",EW841="N"),"Y","N"))</f>
        <v/>
      </c>
      <c r="FE841" s="0" t="str">
        <f aca="false">IF(FD841&lt;&gt;"Y","",IF(COUNTIFS($FD$2:$FD$1000,"Y",$J$2:$J$1000,"&gt;"&amp;J841)+COUNTIFS($FD$2:$FD$1000,"Y",$J$2:$J$1000,J841,$FG$2:$FG$1000,"&lt;"&amp;FG841)+1&lt;=30,COUNTIFS($FD$2:$FD$1000,"Y",$J$2:$J$1000,"&gt;"&amp;J841)+COUNTIFS($FD$2:$FD$1000,"Y",$J$2:$J$1000,J841,$FG$2:$FG$1000,"&lt;"&amp;FG841)+1,""))</f>
        <v/>
      </c>
      <c r="FF841" s="0" t="str">
        <f aca="false">IF(AND(_xlfn.ISFORMULA(C841),_xlfn.ISFORMULA(J841)),"Y","N")</f>
        <v>Y</v>
      </c>
      <c r="FG841" s="0" t="n">
        <f aca="false">ROW()-1</f>
        <v>840</v>
      </c>
    </row>
    <row r="842" customFormat="false" ht="15" hidden="false" customHeight="false" outlineLevel="0" collapsed="false">
      <c r="C842" s="0" t="str">
        <f aca="false">IF($A842="","",IF(AT842="Y",BL842&amp;"",AY842&amp;""))</f>
        <v/>
      </c>
      <c r="D842" s="0" t="str">
        <f aca="false">IF($A842="","",IF(AT842="Y",BM842&amp;"",AZ842&amp;""))</f>
        <v/>
      </c>
      <c r="E842" s="0" t="str">
        <f aca="false">IF($A842="","",IF(AT842="Y",BN842&amp;"",BA842&amp;""))</f>
        <v/>
      </c>
      <c r="F842" s="0" t="str">
        <f aca="false">IF($A842="","",IF(AT842="Y",BO842&amp;"",BB842&amp;""))</f>
        <v/>
      </c>
      <c r="G842" s="0" t="str">
        <f aca="false">IF($A842="","",IF(AT842="Y",BP842&amp;"",BC842&amp;""))</f>
        <v/>
      </c>
      <c r="H842" s="0" t="str">
        <f aca="false">IF($A842="","",IF(AT842="Y",BQ842&amp;"",BD842&amp;""))</f>
        <v/>
      </c>
      <c r="I842" s="0" t="str">
        <f aca="false">IF($A842="","",IF(R842="Y","warm-intro",IF(H842="verified","email",IF(C842&lt;&gt;"","linkedin",CA842&amp;""))))</f>
        <v/>
      </c>
      <c r="J842" s="0" t="str">
        <f aca="false">IF($A842="","",IF(CK842="pass",ROUND(N(DO842)+N(DP842)+N(DQ842)+N(DR842)+N(DS842)+N(DT842)+N(DU842)+N(DV842),0),0))</f>
        <v/>
      </c>
      <c r="K842" s="0" t="str">
        <f aca="false">IF($A842="","",IF(CK842&lt;&gt;"pass",BY842&amp;"",BY842&amp;", "&amp;IF(AT842="Y",BX842&amp;"",BK842&amp;"")&amp;BZ842&amp;IF(R842="Y","; known to the founder (+10)","")&amp;"."))</f>
        <v/>
      </c>
      <c r="R842" s="5"/>
      <c r="T842" s="5"/>
      <c r="U842" s="5"/>
      <c r="Y842" s="0" t="str">
        <f aca="false">IF(FA842&lt;&gt;"Y","",COUNTIFS($FA$2:$FA$1000,"Y",$J$2:$J$1000,"&gt;"&amp;J842)+COUNTIFS($FA$2:$FA$1000,"Y",$J$2:$J$1000,J842,$FG$2:$FG$1000,"&lt;"&amp;FG842)+1)</f>
        <v/>
      </c>
      <c r="AB842" s="0" t="str">
        <f aca="false">IF($A842="","",IF(AT842="Y",BW842&amp;"",BJ842&amp;""))</f>
        <v/>
      </c>
      <c r="AC842" s="0" t="str">
        <f aca="false">IF($A842="","",IF(AT842="Y",BR842&amp;"",BE842&amp;""))</f>
        <v/>
      </c>
      <c r="AD842" s="0" t="str">
        <f aca="false">IF($A842="","",IF(AT842="Y",BS842&amp;"",BF842&amp;""))</f>
        <v/>
      </c>
      <c r="AE842" s="0" t="str">
        <f aca="false">IF($A842="","",IF(AT842="Y",BT842&amp;"",BG842&amp;""))</f>
        <v/>
      </c>
      <c r="AF842" s="0" t="str">
        <f aca="false">IF($A842="","",IF(AT842="Y",BU842&amp;"",BH842&amp;""))</f>
        <v/>
      </c>
      <c r="AG842" s="0" t="str">
        <f aca="false">IF($A842="","",IF(AT842="Y",BV842&amp;"",BI842&amp;""))</f>
        <v/>
      </c>
      <c r="AO842" s="5"/>
      <c r="AR842" s="0" t="str">
        <f aca="false">IF($A842="","",IF(AND(CK842="pass",AO842&lt;&gt;"Y",C842&lt;&gt;"",OR(AU842&lt;&gt;"Y",AV842="Y")),"Y","N"))</f>
        <v/>
      </c>
      <c r="AS842" s="0" t="str">
        <f aca="false">IF($A842="","",_xlfn.TEXTJOIN("; ",TRUE(),IF(CK842&lt;&gt;"pass","gated out",""),IF(AO842="Y","on hold: "&amp;AP842,""),IF(C842="","no contact named on an opened page",""),IF(AND(AU842="Y",AV842&lt;&gt;"Y"),"founder review pending (Founder review tab)","")))</f>
        <v/>
      </c>
      <c r="BC842" s="0" t="str">
        <f aca="false">IF($A842="","",IFERROR(INDEX(Enrichment!$A$2:$GZ$2000,MATCH($A842,INDEX(Enrichment!$A$2:$GZ$2000,0,MATCH("row_id",Enrichment!$A$1:$GZ$1,0)),0),MATCH("work_email",Enrichment!$A$1:$GZ$1,0))&amp;"",""))</f>
        <v/>
      </c>
      <c r="BD842" s="0" t="str">
        <f aca="false">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P842" s="0" t="str">
        <f aca="false">IF($A842="","",IFERROR(INDEX(Enrichment!$A$2:$GZ$2000,MATCH($A842,INDEX(Enrichment!$A$2:$GZ$2000,0,MATCH("row_id",Enrichment!$A$1:$GZ$1,0)),0),MATCH("backup_work_email",Enrichment!$A$1:$GZ$1,0))&amp;"",""))</f>
        <v/>
      </c>
      <c r="BQ842" s="0" t="str">
        <f aca="false">IF($A842="","",IF(BP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DU842" s="0" t="str">
        <f aca="false">IF($A842="","",IF(R842="Y",10,0))</f>
        <v/>
      </c>
      <c r="EV842" s="0" t="str">
        <f aca="false">IF($A842="","",IF(ISNUMBER(MATCH(U842,{"queued","contacted","replied","call_booked","call_done","yes_in_principle","materials_sent"},0)),"Y","N"))</f>
        <v/>
      </c>
      <c r="EW842" s="0" t="str">
        <f aca="false">IF($A842="","",IF(OR(T842="Y",U842="do_not_contact",AQ842&amp;""&lt;&gt;""),"Y","N"))</f>
        <v/>
      </c>
      <c r="EX842" s="0" t="str">
        <f aca="false">IF($A842="","",IF(AN842&amp;""&lt;&gt;"",AN842&amp;"",$A842))</f>
        <v/>
      </c>
      <c r="EY842" s="0" t="str">
        <f aca="false">IF($A842="","",IF(COUNTIFS($EX$2:$EX$1000,EX842,$EV$2:$EV$1000,"Y")+COUNTIFS($EX$2:$EX$1000,EX842,$EW$2:$EW$1000,"Y")&gt;0,"Y","N"))</f>
        <v/>
      </c>
      <c r="EZ842" s="0" t="str">
        <f aca="false">IF($A842="","",IF(AND(U842="new",T842="N",EW842="N",AR842="Y",EY842="N"),"Y","N"))</f>
        <v/>
      </c>
      <c r="FA842" s="0" t="str">
        <f aca="false">IF($A842="","",IF(EZ842&lt;&gt;"Y","N",IF(COUNTIFS($EX$2:$EX$1000,EX842,$EZ$2:$EZ$1000,"Y",$J$2:$J$1000,"&gt;"&amp;J842)+COUNTIFS($EX$2:$EX$1000,EX842,$EZ$2:$EZ$1000,"Y",$J$2:$J$1000,J842,$FG$2:$FG$1000,"&lt;"&amp;FG842)=0,"Y","N")))</f>
        <v/>
      </c>
      <c r="FB842" s="0" t="str">
        <f aca="false">IF($A842="","",IF(AND(EZ842="Y",FA842="Y",Y842&amp;""&lt;&gt;""),IF(Y842&lt;=10,"Y","N"),"N"))</f>
        <v/>
      </c>
      <c r="FC842" s="0" t="str">
        <f aca="false">IF(FB842="Y",Y842,"")</f>
        <v/>
      </c>
      <c r="FD842" s="0" t="str">
        <f aca="false">IF($A842="","",IF(AND(CK842="pass",AU842="Y",AV842&lt;&gt;"Y",U842="new",EW842="N"),"Y","N"))</f>
        <v/>
      </c>
      <c r="FE842" s="0" t="str">
        <f aca="false">IF(FD842&lt;&gt;"Y","",IF(COUNTIFS($FD$2:$FD$1000,"Y",$J$2:$J$1000,"&gt;"&amp;J842)+COUNTIFS($FD$2:$FD$1000,"Y",$J$2:$J$1000,J842,$FG$2:$FG$1000,"&lt;"&amp;FG842)+1&lt;=30,COUNTIFS($FD$2:$FD$1000,"Y",$J$2:$J$1000,"&gt;"&amp;J842)+COUNTIFS($FD$2:$FD$1000,"Y",$J$2:$J$1000,J842,$FG$2:$FG$1000,"&lt;"&amp;FG842)+1,""))</f>
        <v/>
      </c>
      <c r="FF842" s="0" t="str">
        <f aca="false">IF(AND(_xlfn.ISFORMULA(C842),_xlfn.ISFORMULA(J842)),"Y","N")</f>
        <v>Y</v>
      </c>
      <c r="FG842" s="0" t="n">
        <f aca="false">ROW()-1</f>
        <v>841</v>
      </c>
    </row>
    <row r="843" customFormat="false" ht="15" hidden="false" customHeight="false" outlineLevel="0" collapsed="false">
      <c r="C843" s="0" t="str">
        <f aca="false">IF($A843="","",IF(AT843="Y",BL843&amp;"",AY843&amp;""))</f>
        <v/>
      </c>
      <c r="D843" s="0" t="str">
        <f aca="false">IF($A843="","",IF(AT843="Y",BM843&amp;"",AZ843&amp;""))</f>
        <v/>
      </c>
      <c r="E843" s="0" t="str">
        <f aca="false">IF($A843="","",IF(AT843="Y",BN843&amp;"",BA843&amp;""))</f>
        <v/>
      </c>
      <c r="F843" s="0" t="str">
        <f aca="false">IF($A843="","",IF(AT843="Y",BO843&amp;"",BB843&amp;""))</f>
        <v/>
      </c>
      <c r="G843" s="0" t="str">
        <f aca="false">IF($A843="","",IF(AT843="Y",BP843&amp;"",BC843&amp;""))</f>
        <v/>
      </c>
      <c r="H843" s="0" t="str">
        <f aca="false">IF($A843="","",IF(AT843="Y",BQ843&amp;"",BD843&amp;""))</f>
        <v/>
      </c>
      <c r="I843" s="0" t="str">
        <f aca="false">IF($A843="","",IF(R843="Y","warm-intro",IF(H843="verified","email",IF(C843&lt;&gt;"","linkedin",CA843&amp;""))))</f>
        <v/>
      </c>
      <c r="J843" s="0" t="str">
        <f aca="false">IF($A843="","",IF(CK843="pass",ROUND(N(DO843)+N(DP843)+N(DQ843)+N(DR843)+N(DS843)+N(DT843)+N(DU843)+N(DV843),0),0))</f>
        <v/>
      </c>
      <c r="K843" s="0" t="str">
        <f aca="false">IF($A843="","",IF(CK843&lt;&gt;"pass",BY843&amp;"",BY843&amp;", "&amp;IF(AT843="Y",BX843&amp;"",BK843&amp;"")&amp;BZ843&amp;IF(R843="Y","; known to the founder (+10)","")&amp;"."))</f>
        <v/>
      </c>
      <c r="R843" s="5"/>
      <c r="T843" s="5"/>
      <c r="U843" s="5"/>
      <c r="Y843" s="0" t="str">
        <f aca="false">IF(FA843&lt;&gt;"Y","",COUNTIFS($FA$2:$FA$1000,"Y",$J$2:$J$1000,"&gt;"&amp;J843)+COUNTIFS($FA$2:$FA$1000,"Y",$J$2:$J$1000,J843,$FG$2:$FG$1000,"&lt;"&amp;FG843)+1)</f>
        <v/>
      </c>
      <c r="AB843" s="0" t="str">
        <f aca="false">IF($A843="","",IF(AT843="Y",BW843&amp;"",BJ843&amp;""))</f>
        <v/>
      </c>
      <c r="AC843" s="0" t="str">
        <f aca="false">IF($A843="","",IF(AT843="Y",BR843&amp;"",BE843&amp;""))</f>
        <v/>
      </c>
      <c r="AD843" s="0" t="str">
        <f aca="false">IF($A843="","",IF(AT843="Y",BS843&amp;"",BF843&amp;""))</f>
        <v/>
      </c>
      <c r="AE843" s="0" t="str">
        <f aca="false">IF($A843="","",IF(AT843="Y",BT843&amp;"",BG843&amp;""))</f>
        <v/>
      </c>
      <c r="AF843" s="0" t="str">
        <f aca="false">IF($A843="","",IF(AT843="Y",BU843&amp;"",BH843&amp;""))</f>
        <v/>
      </c>
      <c r="AG843" s="0" t="str">
        <f aca="false">IF($A843="","",IF(AT843="Y",BV843&amp;"",BI843&amp;""))</f>
        <v/>
      </c>
      <c r="AO843" s="5"/>
      <c r="AR843" s="0" t="str">
        <f aca="false">IF($A843="","",IF(AND(CK843="pass",AO843&lt;&gt;"Y",C843&lt;&gt;"",OR(AU843&lt;&gt;"Y",AV843="Y")),"Y","N"))</f>
        <v/>
      </c>
      <c r="AS843" s="0" t="str">
        <f aca="false">IF($A843="","",_xlfn.TEXTJOIN("; ",TRUE(),IF(CK843&lt;&gt;"pass","gated out",""),IF(AO843="Y","on hold: "&amp;AP843,""),IF(C843="","no contact named on an opened page",""),IF(AND(AU843="Y",AV843&lt;&gt;"Y"),"founder review pending (Founder review tab)","")))</f>
        <v/>
      </c>
      <c r="BC843" s="0" t="str">
        <f aca="false">IF($A843="","",IFERROR(INDEX(Enrichment!$A$2:$GZ$2000,MATCH($A843,INDEX(Enrichment!$A$2:$GZ$2000,0,MATCH("row_id",Enrichment!$A$1:$GZ$1,0)),0),MATCH("work_email",Enrichment!$A$1:$GZ$1,0))&amp;"",""))</f>
        <v/>
      </c>
      <c r="BD843" s="0" t="str">
        <f aca="false">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P843" s="0" t="str">
        <f aca="false">IF($A843="","",IFERROR(INDEX(Enrichment!$A$2:$GZ$2000,MATCH($A843,INDEX(Enrichment!$A$2:$GZ$2000,0,MATCH("row_id",Enrichment!$A$1:$GZ$1,0)),0),MATCH("backup_work_email",Enrichment!$A$1:$GZ$1,0))&amp;"",""))</f>
        <v/>
      </c>
      <c r="BQ843" s="0" t="str">
        <f aca="false">IF($A843="","",IF(BP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DU843" s="0" t="str">
        <f aca="false">IF($A843="","",IF(R843="Y",10,0))</f>
        <v/>
      </c>
      <c r="EV843" s="0" t="str">
        <f aca="false">IF($A843="","",IF(ISNUMBER(MATCH(U843,{"queued","contacted","replied","call_booked","call_done","yes_in_principle","materials_sent"},0)),"Y","N"))</f>
        <v/>
      </c>
      <c r="EW843" s="0" t="str">
        <f aca="false">IF($A843="","",IF(OR(T843="Y",U843="do_not_contact",AQ843&amp;""&lt;&gt;""),"Y","N"))</f>
        <v/>
      </c>
      <c r="EX843" s="0" t="str">
        <f aca="false">IF($A843="","",IF(AN843&amp;""&lt;&gt;"",AN843&amp;"",$A843))</f>
        <v/>
      </c>
      <c r="EY843" s="0" t="str">
        <f aca="false">IF($A843="","",IF(COUNTIFS($EX$2:$EX$1000,EX843,$EV$2:$EV$1000,"Y")+COUNTIFS($EX$2:$EX$1000,EX843,$EW$2:$EW$1000,"Y")&gt;0,"Y","N"))</f>
        <v/>
      </c>
      <c r="EZ843" s="0" t="str">
        <f aca="false">IF($A843="","",IF(AND(U843="new",T843="N",EW843="N",AR843="Y",EY843="N"),"Y","N"))</f>
        <v/>
      </c>
      <c r="FA843" s="0" t="str">
        <f aca="false">IF($A843="","",IF(EZ843&lt;&gt;"Y","N",IF(COUNTIFS($EX$2:$EX$1000,EX843,$EZ$2:$EZ$1000,"Y",$J$2:$J$1000,"&gt;"&amp;J843)+COUNTIFS($EX$2:$EX$1000,EX843,$EZ$2:$EZ$1000,"Y",$J$2:$J$1000,J843,$FG$2:$FG$1000,"&lt;"&amp;FG843)=0,"Y","N")))</f>
        <v/>
      </c>
      <c r="FB843" s="0" t="str">
        <f aca="false">IF($A843="","",IF(AND(EZ843="Y",FA843="Y",Y843&amp;""&lt;&gt;""),IF(Y843&lt;=10,"Y","N"),"N"))</f>
        <v/>
      </c>
      <c r="FC843" s="0" t="str">
        <f aca="false">IF(FB843="Y",Y843,"")</f>
        <v/>
      </c>
      <c r="FD843" s="0" t="str">
        <f aca="false">IF($A843="","",IF(AND(CK843="pass",AU843="Y",AV843&lt;&gt;"Y",U843="new",EW843="N"),"Y","N"))</f>
        <v/>
      </c>
      <c r="FE843" s="0" t="str">
        <f aca="false">IF(FD843&lt;&gt;"Y","",IF(COUNTIFS($FD$2:$FD$1000,"Y",$J$2:$J$1000,"&gt;"&amp;J843)+COUNTIFS($FD$2:$FD$1000,"Y",$J$2:$J$1000,J843,$FG$2:$FG$1000,"&lt;"&amp;FG843)+1&lt;=30,COUNTIFS($FD$2:$FD$1000,"Y",$J$2:$J$1000,"&gt;"&amp;J843)+COUNTIFS($FD$2:$FD$1000,"Y",$J$2:$J$1000,J843,$FG$2:$FG$1000,"&lt;"&amp;FG843)+1,""))</f>
        <v/>
      </c>
      <c r="FF843" s="0" t="str">
        <f aca="false">IF(AND(_xlfn.ISFORMULA(C843),_xlfn.ISFORMULA(J843)),"Y","N")</f>
        <v>Y</v>
      </c>
      <c r="FG843" s="0" t="n">
        <f aca="false">ROW()-1</f>
        <v>842</v>
      </c>
    </row>
    <row r="844" customFormat="false" ht="15" hidden="false" customHeight="false" outlineLevel="0" collapsed="false">
      <c r="C844" s="0" t="str">
        <f aca="false">IF($A844="","",IF(AT844="Y",BL844&amp;"",AY844&amp;""))</f>
        <v/>
      </c>
      <c r="D844" s="0" t="str">
        <f aca="false">IF($A844="","",IF(AT844="Y",BM844&amp;"",AZ844&amp;""))</f>
        <v/>
      </c>
      <c r="E844" s="0" t="str">
        <f aca="false">IF($A844="","",IF(AT844="Y",BN844&amp;"",BA844&amp;""))</f>
        <v/>
      </c>
      <c r="F844" s="0" t="str">
        <f aca="false">IF($A844="","",IF(AT844="Y",BO844&amp;"",BB844&amp;""))</f>
        <v/>
      </c>
      <c r="G844" s="0" t="str">
        <f aca="false">IF($A844="","",IF(AT844="Y",BP844&amp;"",BC844&amp;""))</f>
        <v/>
      </c>
      <c r="H844" s="0" t="str">
        <f aca="false">IF($A844="","",IF(AT844="Y",BQ844&amp;"",BD844&amp;""))</f>
        <v/>
      </c>
      <c r="I844" s="0" t="str">
        <f aca="false">IF($A844="","",IF(R844="Y","warm-intro",IF(H844="verified","email",IF(C844&lt;&gt;"","linkedin",CA844&amp;""))))</f>
        <v/>
      </c>
      <c r="J844" s="0" t="str">
        <f aca="false">IF($A844="","",IF(CK844="pass",ROUND(N(DO844)+N(DP844)+N(DQ844)+N(DR844)+N(DS844)+N(DT844)+N(DU844)+N(DV844),0),0))</f>
        <v/>
      </c>
      <c r="K844" s="0" t="str">
        <f aca="false">IF($A844="","",IF(CK844&lt;&gt;"pass",BY844&amp;"",BY844&amp;", "&amp;IF(AT844="Y",BX844&amp;"",BK844&amp;"")&amp;BZ844&amp;IF(R844="Y","; known to the founder (+10)","")&amp;"."))</f>
        <v/>
      </c>
      <c r="R844" s="5"/>
      <c r="T844" s="5"/>
      <c r="U844" s="5"/>
      <c r="Y844" s="0" t="str">
        <f aca="false">IF(FA844&lt;&gt;"Y","",COUNTIFS($FA$2:$FA$1000,"Y",$J$2:$J$1000,"&gt;"&amp;J844)+COUNTIFS($FA$2:$FA$1000,"Y",$J$2:$J$1000,J844,$FG$2:$FG$1000,"&lt;"&amp;FG844)+1)</f>
        <v/>
      </c>
      <c r="AB844" s="0" t="str">
        <f aca="false">IF($A844="","",IF(AT844="Y",BW844&amp;"",BJ844&amp;""))</f>
        <v/>
      </c>
      <c r="AC844" s="0" t="str">
        <f aca="false">IF($A844="","",IF(AT844="Y",BR844&amp;"",BE844&amp;""))</f>
        <v/>
      </c>
      <c r="AD844" s="0" t="str">
        <f aca="false">IF($A844="","",IF(AT844="Y",BS844&amp;"",BF844&amp;""))</f>
        <v/>
      </c>
      <c r="AE844" s="0" t="str">
        <f aca="false">IF($A844="","",IF(AT844="Y",BT844&amp;"",BG844&amp;""))</f>
        <v/>
      </c>
      <c r="AF844" s="0" t="str">
        <f aca="false">IF($A844="","",IF(AT844="Y",BU844&amp;"",BH844&amp;""))</f>
        <v/>
      </c>
      <c r="AG844" s="0" t="str">
        <f aca="false">IF($A844="","",IF(AT844="Y",BV844&amp;"",BI844&amp;""))</f>
        <v/>
      </c>
      <c r="AO844" s="5"/>
      <c r="AR844" s="0" t="str">
        <f aca="false">IF($A844="","",IF(AND(CK844="pass",AO844&lt;&gt;"Y",C844&lt;&gt;"",OR(AU844&lt;&gt;"Y",AV844="Y")),"Y","N"))</f>
        <v/>
      </c>
      <c r="AS844" s="0" t="str">
        <f aca="false">IF($A844="","",_xlfn.TEXTJOIN("; ",TRUE(),IF(CK844&lt;&gt;"pass","gated out",""),IF(AO844="Y","on hold: "&amp;AP844,""),IF(C844="","no contact named on an opened page",""),IF(AND(AU844="Y",AV844&lt;&gt;"Y"),"founder review pending (Founder review tab)","")))</f>
        <v/>
      </c>
      <c r="BC844" s="0" t="str">
        <f aca="false">IF($A844="","",IFERROR(INDEX(Enrichment!$A$2:$GZ$2000,MATCH($A844,INDEX(Enrichment!$A$2:$GZ$2000,0,MATCH("row_id",Enrichment!$A$1:$GZ$1,0)),0),MATCH("work_email",Enrichment!$A$1:$GZ$1,0))&amp;"",""))</f>
        <v/>
      </c>
      <c r="BD844" s="0" t="str">
        <f aca="false">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P844" s="0" t="str">
        <f aca="false">IF($A844="","",IFERROR(INDEX(Enrichment!$A$2:$GZ$2000,MATCH($A844,INDEX(Enrichment!$A$2:$GZ$2000,0,MATCH("row_id",Enrichment!$A$1:$GZ$1,0)),0),MATCH("backup_work_email",Enrichment!$A$1:$GZ$1,0))&amp;"",""))</f>
        <v/>
      </c>
      <c r="BQ844" s="0" t="str">
        <f aca="false">IF($A844="","",IF(BP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DU844" s="0" t="str">
        <f aca="false">IF($A844="","",IF(R844="Y",10,0))</f>
        <v/>
      </c>
      <c r="EV844" s="0" t="str">
        <f aca="false">IF($A844="","",IF(ISNUMBER(MATCH(U844,{"queued","contacted","replied","call_booked","call_done","yes_in_principle","materials_sent"},0)),"Y","N"))</f>
        <v/>
      </c>
      <c r="EW844" s="0" t="str">
        <f aca="false">IF($A844="","",IF(OR(T844="Y",U844="do_not_contact",AQ844&amp;""&lt;&gt;""),"Y","N"))</f>
        <v/>
      </c>
      <c r="EX844" s="0" t="str">
        <f aca="false">IF($A844="","",IF(AN844&amp;""&lt;&gt;"",AN844&amp;"",$A844))</f>
        <v/>
      </c>
      <c r="EY844" s="0" t="str">
        <f aca="false">IF($A844="","",IF(COUNTIFS($EX$2:$EX$1000,EX844,$EV$2:$EV$1000,"Y")+COUNTIFS($EX$2:$EX$1000,EX844,$EW$2:$EW$1000,"Y")&gt;0,"Y","N"))</f>
        <v/>
      </c>
      <c r="EZ844" s="0" t="str">
        <f aca="false">IF($A844="","",IF(AND(U844="new",T844="N",EW844="N",AR844="Y",EY844="N"),"Y","N"))</f>
        <v/>
      </c>
      <c r="FA844" s="0" t="str">
        <f aca="false">IF($A844="","",IF(EZ844&lt;&gt;"Y","N",IF(COUNTIFS($EX$2:$EX$1000,EX844,$EZ$2:$EZ$1000,"Y",$J$2:$J$1000,"&gt;"&amp;J844)+COUNTIFS($EX$2:$EX$1000,EX844,$EZ$2:$EZ$1000,"Y",$J$2:$J$1000,J844,$FG$2:$FG$1000,"&lt;"&amp;FG844)=0,"Y","N")))</f>
        <v/>
      </c>
      <c r="FB844" s="0" t="str">
        <f aca="false">IF($A844="","",IF(AND(EZ844="Y",FA844="Y",Y844&amp;""&lt;&gt;""),IF(Y844&lt;=10,"Y","N"),"N"))</f>
        <v/>
      </c>
      <c r="FC844" s="0" t="str">
        <f aca="false">IF(FB844="Y",Y844,"")</f>
        <v/>
      </c>
      <c r="FD844" s="0" t="str">
        <f aca="false">IF($A844="","",IF(AND(CK844="pass",AU844="Y",AV844&lt;&gt;"Y",U844="new",EW844="N"),"Y","N"))</f>
        <v/>
      </c>
      <c r="FE844" s="0" t="str">
        <f aca="false">IF(FD844&lt;&gt;"Y","",IF(COUNTIFS($FD$2:$FD$1000,"Y",$J$2:$J$1000,"&gt;"&amp;J844)+COUNTIFS($FD$2:$FD$1000,"Y",$J$2:$J$1000,J844,$FG$2:$FG$1000,"&lt;"&amp;FG844)+1&lt;=30,COUNTIFS($FD$2:$FD$1000,"Y",$J$2:$J$1000,"&gt;"&amp;J844)+COUNTIFS($FD$2:$FD$1000,"Y",$J$2:$J$1000,J844,$FG$2:$FG$1000,"&lt;"&amp;FG844)+1,""))</f>
        <v/>
      </c>
      <c r="FF844" s="0" t="str">
        <f aca="false">IF(AND(_xlfn.ISFORMULA(C844),_xlfn.ISFORMULA(J844)),"Y","N")</f>
        <v>Y</v>
      </c>
      <c r="FG844" s="0" t="n">
        <f aca="false">ROW()-1</f>
        <v>843</v>
      </c>
    </row>
    <row r="845" customFormat="false" ht="15" hidden="false" customHeight="false" outlineLevel="0" collapsed="false">
      <c r="C845" s="0" t="str">
        <f aca="false">IF($A845="","",IF(AT845="Y",BL845&amp;"",AY845&amp;""))</f>
        <v/>
      </c>
      <c r="D845" s="0" t="str">
        <f aca="false">IF($A845="","",IF(AT845="Y",BM845&amp;"",AZ845&amp;""))</f>
        <v/>
      </c>
      <c r="E845" s="0" t="str">
        <f aca="false">IF($A845="","",IF(AT845="Y",BN845&amp;"",BA845&amp;""))</f>
        <v/>
      </c>
      <c r="F845" s="0" t="str">
        <f aca="false">IF($A845="","",IF(AT845="Y",BO845&amp;"",BB845&amp;""))</f>
        <v/>
      </c>
      <c r="G845" s="0" t="str">
        <f aca="false">IF($A845="","",IF(AT845="Y",BP845&amp;"",BC845&amp;""))</f>
        <v/>
      </c>
      <c r="H845" s="0" t="str">
        <f aca="false">IF($A845="","",IF(AT845="Y",BQ845&amp;"",BD845&amp;""))</f>
        <v/>
      </c>
      <c r="I845" s="0" t="str">
        <f aca="false">IF($A845="","",IF(R845="Y","warm-intro",IF(H845="verified","email",IF(C845&lt;&gt;"","linkedin",CA845&amp;""))))</f>
        <v/>
      </c>
      <c r="J845" s="0" t="str">
        <f aca="false">IF($A845="","",IF(CK845="pass",ROUND(N(DO845)+N(DP845)+N(DQ845)+N(DR845)+N(DS845)+N(DT845)+N(DU845)+N(DV845),0),0))</f>
        <v/>
      </c>
      <c r="K845" s="0" t="str">
        <f aca="false">IF($A845="","",IF(CK845&lt;&gt;"pass",BY845&amp;"",BY845&amp;", "&amp;IF(AT845="Y",BX845&amp;"",BK845&amp;"")&amp;BZ845&amp;IF(R845="Y","; known to the founder (+10)","")&amp;"."))</f>
        <v/>
      </c>
      <c r="R845" s="5"/>
      <c r="T845" s="5"/>
      <c r="U845" s="5"/>
      <c r="Y845" s="0" t="str">
        <f aca="false">IF(FA845&lt;&gt;"Y","",COUNTIFS($FA$2:$FA$1000,"Y",$J$2:$J$1000,"&gt;"&amp;J845)+COUNTIFS($FA$2:$FA$1000,"Y",$J$2:$J$1000,J845,$FG$2:$FG$1000,"&lt;"&amp;FG845)+1)</f>
        <v/>
      </c>
      <c r="AB845" s="0" t="str">
        <f aca="false">IF($A845="","",IF(AT845="Y",BW845&amp;"",BJ845&amp;""))</f>
        <v/>
      </c>
      <c r="AC845" s="0" t="str">
        <f aca="false">IF($A845="","",IF(AT845="Y",BR845&amp;"",BE845&amp;""))</f>
        <v/>
      </c>
      <c r="AD845" s="0" t="str">
        <f aca="false">IF($A845="","",IF(AT845="Y",BS845&amp;"",BF845&amp;""))</f>
        <v/>
      </c>
      <c r="AE845" s="0" t="str">
        <f aca="false">IF($A845="","",IF(AT845="Y",BT845&amp;"",BG845&amp;""))</f>
        <v/>
      </c>
      <c r="AF845" s="0" t="str">
        <f aca="false">IF($A845="","",IF(AT845="Y",BU845&amp;"",BH845&amp;""))</f>
        <v/>
      </c>
      <c r="AG845" s="0" t="str">
        <f aca="false">IF($A845="","",IF(AT845="Y",BV845&amp;"",BI845&amp;""))</f>
        <v/>
      </c>
      <c r="AO845" s="5"/>
      <c r="AR845" s="0" t="str">
        <f aca="false">IF($A845="","",IF(AND(CK845="pass",AO845&lt;&gt;"Y",C845&lt;&gt;"",OR(AU845&lt;&gt;"Y",AV845="Y")),"Y","N"))</f>
        <v/>
      </c>
      <c r="AS845" s="0" t="str">
        <f aca="false">IF($A845="","",_xlfn.TEXTJOIN("; ",TRUE(),IF(CK845&lt;&gt;"pass","gated out",""),IF(AO845="Y","on hold: "&amp;AP845,""),IF(C845="","no contact named on an opened page",""),IF(AND(AU845="Y",AV845&lt;&gt;"Y"),"founder review pending (Founder review tab)","")))</f>
        <v/>
      </c>
      <c r="BC845" s="0" t="str">
        <f aca="false">IF($A845="","",IFERROR(INDEX(Enrichment!$A$2:$GZ$2000,MATCH($A845,INDEX(Enrichment!$A$2:$GZ$2000,0,MATCH("row_id",Enrichment!$A$1:$GZ$1,0)),0),MATCH("work_email",Enrichment!$A$1:$GZ$1,0))&amp;"",""))</f>
        <v/>
      </c>
      <c r="BD845" s="0" t="str">
        <f aca="false">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P845" s="0" t="str">
        <f aca="false">IF($A845="","",IFERROR(INDEX(Enrichment!$A$2:$GZ$2000,MATCH($A845,INDEX(Enrichment!$A$2:$GZ$2000,0,MATCH("row_id",Enrichment!$A$1:$GZ$1,0)),0),MATCH("backup_work_email",Enrichment!$A$1:$GZ$1,0))&amp;"",""))</f>
        <v/>
      </c>
      <c r="BQ845" s="0" t="str">
        <f aca="false">IF($A845="","",IF(BP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DU845" s="0" t="str">
        <f aca="false">IF($A845="","",IF(R845="Y",10,0))</f>
        <v/>
      </c>
      <c r="EV845" s="0" t="str">
        <f aca="false">IF($A845="","",IF(ISNUMBER(MATCH(U845,{"queued","contacted","replied","call_booked","call_done","yes_in_principle","materials_sent"},0)),"Y","N"))</f>
        <v/>
      </c>
      <c r="EW845" s="0" t="str">
        <f aca="false">IF($A845="","",IF(OR(T845="Y",U845="do_not_contact",AQ845&amp;""&lt;&gt;""),"Y","N"))</f>
        <v/>
      </c>
      <c r="EX845" s="0" t="str">
        <f aca="false">IF($A845="","",IF(AN845&amp;""&lt;&gt;"",AN845&amp;"",$A845))</f>
        <v/>
      </c>
      <c r="EY845" s="0" t="str">
        <f aca="false">IF($A845="","",IF(COUNTIFS($EX$2:$EX$1000,EX845,$EV$2:$EV$1000,"Y")+COUNTIFS($EX$2:$EX$1000,EX845,$EW$2:$EW$1000,"Y")&gt;0,"Y","N"))</f>
        <v/>
      </c>
      <c r="EZ845" s="0" t="str">
        <f aca="false">IF($A845="","",IF(AND(U845="new",T845="N",EW845="N",AR845="Y",EY845="N"),"Y","N"))</f>
        <v/>
      </c>
      <c r="FA845" s="0" t="str">
        <f aca="false">IF($A845="","",IF(EZ845&lt;&gt;"Y","N",IF(COUNTIFS($EX$2:$EX$1000,EX845,$EZ$2:$EZ$1000,"Y",$J$2:$J$1000,"&gt;"&amp;J845)+COUNTIFS($EX$2:$EX$1000,EX845,$EZ$2:$EZ$1000,"Y",$J$2:$J$1000,J845,$FG$2:$FG$1000,"&lt;"&amp;FG845)=0,"Y","N")))</f>
        <v/>
      </c>
      <c r="FB845" s="0" t="str">
        <f aca="false">IF($A845="","",IF(AND(EZ845="Y",FA845="Y",Y845&amp;""&lt;&gt;""),IF(Y845&lt;=10,"Y","N"),"N"))</f>
        <v/>
      </c>
      <c r="FC845" s="0" t="str">
        <f aca="false">IF(FB845="Y",Y845,"")</f>
        <v/>
      </c>
      <c r="FD845" s="0" t="str">
        <f aca="false">IF($A845="","",IF(AND(CK845="pass",AU845="Y",AV845&lt;&gt;"Y",U845="new",EW845="N"),"Y","N"))</f>
        <v/>
      </c>
      <c r="FE845" s="0" t="str">
        <f aca="false">IF(FD845&lt;&gt;"Y","",IF(COUNTIFS($FD$2:$FD$1000,"Y",$J$2:$J$1000,"&gt;"&amp;J845)+COUNTIFS($FD$2:$FD$1000,"Y",$J$2:$J$1000,J845,$FG$2:$FG$1000,"&lt;"&amp;FG845)+1&lt;=30,COUNTIFS($FD$2:$FD$1000,"Y",$J$2:$J$1000,"&gt;"&amp;J845)+COUNTIFS($FD$2:$FD$1000,"Y",$J$2:$J$1000,J845,$FG$2:$FG$1000,"&lt;"&amp;FG845)+1,""))</f>
        <v/>
      </c>
      <c r="FF845" s="0" t="str">
        <f aca="false">IF(AND(_xlfn.ISFORMULA(C845),_xlfn.ISFORMULA(J845)),"Y","N")</f>
        <v>Y</v>
      </c>
      <c r="FG845" s="0" t="n">
        <f aca="false">ROW()-1</f>
        <v>844</v>
      </c>
    </row>
    <row r="846" customFormat="false" ht="15" hidden="false" customHeight="false" outlineLevel="0" collapsed="false">
      <c r="C846" s="0" t="str">
        <f aca="false">IF($A846="","",IF(AT846="Y",BL846&amp;"",AY846&amp;""))</f>
        <v/>
      </c>
      <c r="D846" s="0" t="str">
        <f aca="false">IF($A846="","",IF(AT846="Y",BM846&amp;"",AZ846&amp;""))</f>
        <v/>
      </c>
      <c r="E846" s="0" t="str">
        <f aca="false">IF($A846="","",IF(AT846="Y",BN846&amp;"",BA846&amp;""))</f>
        <v/>
      </c>
      <c r="F846" s="0" t="str">
        <f aca="false">IF($A846="","",IF(AT846="Y",BO846&amp;"",BB846&amp;""))</f>
        <v/>
      </c>
      <c r="G846" s="0" t="str">
        <f aca="false">IF($A846="","",IF(AT846="Y",BP846&amp;"",BC846&amp;""))</f>
        <v/>
      </c>
      <c r="H846" s="0" t="str">
        <f aca="false">IF($A846="","",IF(AT846="Y",BQ846&amp;"",BD846&amp;""))</f>
        <v/>
      </c>
      <c r="I846" s="0" t="str">
        <f aca="false">IF($A846="","",IF(R846="Y","warm-intro",IF(H846="verified","email",IF(C846&lt;&gt;"","linkedin",CA846&amp;""))))</f>
        <v/>
      </c>
      <c r="J846" s="0" t="str">
        <f aca="false">IF($A846="","",IF(CK846="pass",ROUND(N(DO846)+N(DP846)+N(DQ846)+N(DR846)+N(DS846)+N(DT846)+N(DU846)+N(DV846),0),0))</f>
        <v/>
      </c>
      <c r="K846" s="0" t="str">
        <f aca="false">IF($A846="","",IF(CK846&lt;&gt;"pass",BY846&amp;"",BY846&amp;", "&amp;IF(AT846="Y",BX846&amp;"",BK846&amp;"")&amp;BZ846&amp;IF(R846="Y","; known to the founder (+10)","")&amp;"."))</f>
        <v/>
      </c>
      <c r="R846" s="5"/>
      <c r="T846" s="5"/>
      <c r="U846" s="5"/>
      <c r="Y846" s="0" t="str">
        <f aca="false">IF(FA846&lt;&gt;"Y","",COUNTIFS($FA$2:$FA$1000,"Y",$J$2:$J$1000,"&gt;"&amp;J846)+COUNTIFS($FA$2:$FA$1000,"Y",$J$2:$J$1000,J846,$FG$2:$FG$1000,"&lt;"&amp;FG846)+1)</f>
        <v/>
      </c>
      <c r="AB846" s="0" t="str">
        <f aca="false">IF($A846="","",IF(AT846="Y",BW846&amp;"",BJ846&amp;""))</f>
        <v/>
      </c>
      <c r="AC846" s="0" t="str">
        <f aca="false">IF($A846="","",IF(AT846="Y",BR846&amp;"",BE846&amp;""))</f>
        <v/>
      </c>
      <c r="AD846" s="0" t="str">
        <f aca="false">IF($A846="","",IF(AT846="Y",BS846&amp;"",BF846&amp;""))</f>
        <v/>
      </c>
      <c r="AE846" s="0" t="str">
        <f aca="false">IF($A846="","",IF(AT846="Y",BT846&amp;"",BG846&amp;""))</f>
        <v/>
      </c>
      <c r="AF846" s="0" t="str">
        <f aca="false">IF($A846="","",IF(AT846="Y",BU846&amp;"",BH846&amp;""))</f>
        <v/>
      </c>
      <c r="AG846" s="0" t="str">
        <f aca="false">IF($A846="","",IF(AT846="Y",BV846&amp;"",BI846&amp;""))</f>
        <v/>
      </c>
      <c r="AO846" s="5"/>
      <c r="AR846" s="0" t="str">
        <f aca="false">IF($A846="","",IF(AND(CK846="pass",AO846&lt;&gt;"Y",C846&lt;&gt;"",OR(AU846&lt;&gt;"Y",AV846="Y")),"Y","N"))</f>
        <v/>
      </c>
      <c r="AS846" s="0" t="str">
        <f aca="false">IF($A846="","",_xlfn.TEXTJOIN("; ",TRUE(),IF(CK846&lt;&gt;"pass","gated out",""),IF(AO846="Y","on hold: "&amp;AP846,""),IF(C846="","no contact named on an opened page",""),IF(AND(AU846="Y",AV846&lt;&gt;"Y"),"founder review pending (Founder review tab)","")))</f>
        <v/>
      </c>
      <c r="BC846" s="0" t="str">
        <f aca="false">IF($A846="","",IFERROR(INDEX(Enrichment!$A$2:$GZ$2000,MATCH($A846,INDEX(Enrichment!$A$2:$GZ$2000,0,MATCH("row_id",Enrichment!$A$1:$GZ$1,0)),0),MATCH("work_email",Enrichment!$A$1:$GZ$1,0))&amp;"",""))</f>
        <v/>
      </c>
      <c r="BD846" s="0" t="str">
        <f aca="false">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P846" s="0" t="str">
        <f aca="false">IF($A846="","",IFERROR(INDEX(Enrichment!$A$2:$GZ$2000,MATCH($A846,INDEX(Enrichment!$A$2:$GZ$2000,0,MATCH("row_id",Enrichment!$A$1:$GZ$1,0)),0),MATCH("backup_work_email",Enrichment!$A$1:$GZ$1,0))&amp;"",""))</f>
        <v/>
      </c>
      <c r="BQ846" s="0" t="str">
        <f aca="false">IF($A846="","",IF(BP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DU846" s="0" t="str">
        <f aca="false">IF($A846="","",IF(R846="Y",10,0))</f>
        <v/>
      </c>
      <c r="EV846" s="0" t="str">
        <f aca="false">IF($A846="","",IF(ISNUMBER(MATCH(U846,{"queued","contacted","replied","call_booked","call_done","yes_in_principle","materials_sent"},0)),"Y","N"))</f>
        <v/>
      </c>
      <c r="EW846" s="0" t="str">
        <f aca="false">IF($A846="","",IF(OR(T846="Y",U846="do_not_contact",AQ846&amp;""&lt;&gt;""),"Y","N"))</f>
        <v/>
      </c>
      <c r="EX846" s="0" t="str">
        <f aca="false">IF($A846="","",IF(AN846&amp;""&lt;&gt;"",AN846&amp;"",$A846))</f>
        <v/>
      </c>
      <c r="EY846" s="0" t="str">
        <f aca="false">IF($A846="","",IF(COUNTIFS($EX$2:$EX$1000,EX846,$EV$2:$EV$1000,"Y")+COUNTIFS($EX$2:$EX$1000,EX846,$EW$2:$EW$1000,"Y")&gt;0,"Y","N"))</f>
        <v/>
      </c>
      <c r="EZ846" s="0" t="str">
        <f aca="false">IF($A846="","",IF(AND(U846="new",T846="N",EW846="N",AR846="Y",EY846="N"),"Y","N"))</f>
        <v/>
      </c>
      <c r="FA846" s="0" t="str">
        <f aca="false">IF($A846="","",IF(EZ846&lt;&gt;"Y","N",IF(COUNTIFS($EX$2:$EX$1000,EX846,$EZ$2:$EZ$1000,"Y",$J$2:$J$1000,"&gt;"&amp;J846)+COUNTIFS($EX$2:$EX$1000,EX846,$EZ$2:$EZ$1000,"Y",$J$2:$J$1000,J846,$FG$2:$FG$1000,"&lt;"&amp;FG846)=0,"Y","N")))</f>
        <v/>
      </c>
      <c r="FB846" s="0" t="str">
        <f aca="false">IF($A846="","",IF(AND(EZ846="Y",FA846="Y",Y846&amp;""&lt;&gt;""),IF(Y846&lt;=10,"Y","N"),"N"))</f>
        <v/>
      </c>
      <c r="FC846" s="0" t="str">
        <f aca="false">IF(FB846="Y",Y846,"")</f>
        <v/>
      </c>
      <c r="FD846" s="0" t="str">
        <f aca="false">IF($A846="","",IF(AND(CK846="pass",AU846="Y",AV846&lt;&gt;"Y",U846="new",EW846="N"),"Y","N"))</f>
        <v/>
      </c>
      <c r="FE846" s="0" t="str">
        <f aca="false">IF(FD846&lt;&gt;"Y","",IF(COUNTIFS($FD$2:$FD$1000,"Y",$J$2:$J$1000,"&gt;"&amp;J846)+COUNTIFS($FD$2:$FD$1000,"Y",$J$2:$J$1000,J846,$FG$2:$FG$1000,"&lt;"&amp;FG846)+1&lt;=30,COUNTIFS($FD$2:$FD$1000,"Y",$J$2:$J$1000,"&gt;"&amp;J846)+COUNTIFS($FD$2:$FD$1000,"Y",$J$2:$J$1000,J846,$FG$2:$FG$1000,"&lt;"&amp;FG846)+1,""))</f>
        <v/>
      </c>
      <c r="FF846" s="0" t="str">
        <f aca="false">IF(AND(_xlfn.ISFORMULA(C846),_xlfn.ISFORMULA(J846)),"Y","N")</f>
        <v>Y</v>
      </c>
      <c r="FG846" s="0" t="n">
        <f aca="false">ROW()-1</f>
        <v>845</v>
      </c>
    </row>
    <row r="847" customFormat="false" ht="15" hidden="false" customHeight="false" outlineLevel="0" collapsed="false">
      <c r="C847" s="0" t="str">
        <f aca="false">IF($A847="","",IF(AT847="Y",BL847&amp;"",AY847&amp;""))</f>
        <v/>
      </c>
      <c r="D847" s="0" t="str">
        <f aca="false">IF($A847="","",IF(AT847="Y",BM847&amp;"",AZ847&amp;""))</f>
        <v/>
      </c>
      <c r="E847" s="0" t="str">
        <f aca="false">IF($A847="","",IF(AT847="Y",BN847&amp;"",BA847&amp;""))</f>
        <v/>
      </c>
      <c r="F847" s="0" t="str">
        <f aca="false">IF($A847="","",IF(AT847="Y",BO847&amp;"",BB847&amp;""))</f>
        <v/>
      </c>
      <c r="G847" s="0" t="str">
        <f aca="false">IF($A847="","",IF(AT847="Y",BP847&amp;"",BC847&amp;""))</f>
        <v/>
      </c>
      <c r="H847" s="0" t="str">
        <f aca="false">IF($A847="","",IF(AT847="Y",BQ847&amp;"",BD847&amp;""))</f>
        <v/>
      </c>
      <c r="I847" s="0" t="str">
        <f aca="false">IF($A847="","",IF(R847="Y","warm-intro",IF(H847="verified","email",IF(C847&lt;&gt;"","linkedin",CA847&amp;""))))</f>
        <v/>
      </c>
      <c r="J847" s="0" t="str">
        <f aca="false">IF($A847="","",IF(CK847="pass",ROUND(N(DO847)+N(DP847)+N(DQ847)+N(DR847)+N(DS847)+N(DT847)+N(DU847)+N(DV847),0),0))</f>
        <v/>
      </c>
      <c r="K847" s="0" t="str">
        <f aca="false">IF($A847="","",IF(CK847&lt;&gt;"pass",BY847&amp;"",BY847&amp;", "&amp;IF(AT847="Y",BX847&amp;"",BK847&amp;"")&amp;BZ847&amp;IF(R847="Y","; known to the founder (+10)","")&amp;"."))</f>
        <v/>
      </c>
      <c r="R847" s="5"/>
      <c r="T847" s="5"/>
      <c r="U847" s="5"/>
      <c r="Y847" s="0" t="str">
        <f aca="false">IF(FA847&lt;&gt;"Y","",COUNTIFS($FA$2:$FA$1000,"Y",$J$2:$J$1000,"&gt;"&amp;J847)+COUNTIFS($FA$2:$FA$1000,"Y",$J$2:$J$1000,J847,$FG$2:$FG$1000,"&lt;"&amp;FG847)+1)</f>
        <v/>
      </c>
      <c r="AB847" s="0" t="str">
        <f aca="false">IF($A847="","",IF(AT847="Y",BW847&amp;"",BJ847&amp;""))</f>
        <v/>
      </c>
      <c r="AC847" s="0" t="str">
        <f aca="false">IF($A847="","",IF(AT847="Y",BR847&amp;"",BE847&amp;""))</f>
        <v/>
      </c>
      <c r="AD847" s="0" t="str">
        <f aca="false">IF($A847="","",IF(AT847="Y",BS847&amp;"",BF847&amp;""))</f>
        <v/>
      </c>
      <c r="AE847" s="0" t="str">
        <f aca="false">IF($A847="","",IF(AT847="Y",BT847&amp;"",BG847&amp;""))</f>
        <v/>
      </c>
      <c r="AF847" s="0" t="str">
        <f aca="false">IF($A847="","",IF(AT847="Y",BU847&amp;"",BH847&amp;""))</f>
        <v/>
      </c>
      <c r="AG847" s="0" t="str">
        <f aca="false">IF($A847="","",IF(AT847="Y",BV847&amp;"",BI847&amp;""))</f>
        <v/>
      </c>
      <c r="AO847" s="5"/>
      <c r="AR847" s="0" t="str">
        <f aca="false">IF($A847="","",IF(AND(CK847="pass",AO847&lt;&gt;"Y",C847&lt;&gt;"",OR(AU847&lt;&gt;"Y",AV847="Y")),"Y","N"))</f>
        <v/>
      </c>
      <c r="AS847" s="0" t="str">
        <f aca="false">IF($A847="","",_xlfn.TEXTJOIN("; ",TRUE(),IF(CK847&lt;&gt;"pass","gated out",""),IF(AO847="Y","on hold: "&amp;AP847,""),IF(C847="","no contact named on an opened page",""),IF(AND(AU847="Y",AV847&lt;&gt;"Y"),"founder review pending (Founder review tab)","")))</f>
        <v/>
      </c>
      <c r="BC847" s="0" t="str">
        <f aca="false">IF($A847="","",IFERROR(INDEX(Enrichment!$A$2:$GZ$2000,MATCH($A847,INDEX(Enrichment!$A$2:$GZ$2000,0,MATCH("row_id",Enrichment!$A$1:$GZ$1,0)),0),MATCH("work_email",Enrichment!$A$1:$GZ$1,0))&amp;"",""))</f>
        <v/>
      </c>
      <c r="BD847" s="0" t="str">
        <f aca="false">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P847" s="0" t="str">
        <f aca="false">IF($A847="","",IFERROR(INDEX(Enrichment!$A$2:$GZ$2000,MATCH($A847,INDEX(Enrichment!$A$2:$GZ$2000,0,MATCH("row_id",Enrichment!$A$1:$GZ$1,0)),0),MATCH("backup_work_email",Enrichment!$A$1:$GZ$1,0))&amp;"",""))</f>
        <v/>
      </c>
      <c r="BQ847" s="0" t="str">
        <f aca="false">IF($A847="","",IF(BP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DU847" s="0" t="str">
        <f aca="false">IF($A847="","",IF(R847="Y",10,0))</f>
        <v/>
      </c>
      <c r="EV847" s="0" t="str">
        <f aca="false">IF($A847="","",IF(ISNUMBER(MATCH(U847,{"queued","contacted","replied","call_booked","call_done","yes_in_principle","materials_sent"},0)),"Y","N"))</f>
        <v/>
      </c>
      <c r="EW847" s="0" t="str">
        <f aca="false">IF($A847="","",IF(OR(T847="Y",U847="do_not_contact",AQ847&amp;""&lt;&gt;""),"Y","N"))</f>
        <v/>
      </c>
      <c r="EX847" s="0" t="str">
        <f aca="false">IF($A847="","",IF(AN847&amp;""&lt;&gt;"",AN847&amp;"",$A847))</f>
        <v/>
      </c>
      <c r="EY847" s="0" t="str">
        <f aca="false">IF($A847="","",IF(COUNTIFS($EX$2:$EX$1000,EX847,$EV$2:$EV$1000,"Y")+COUNTIFS($EX$2:$EX$1000,EX847,$EW$2:$EW$1000,"Y")&gt;0,"Y","N"))</f>
        <v/>
      </c>
      <c r="EZ847" s="0" t="str">
        <f aca="false">IF($A847="","",IF(AND(U847="new",T847="N",EW847="N",AR847="Y",EY847="N"),"Y","N"))</f>
        <v/>
      </c>
      <c r="FA847" s="0" t="str">
        <f aca="false">IF($A847="","",IF(EZ847&lt;&gt;"Y","N",IF(COUNTIFS($EX$2:$EX$1000,EX847,$EZ$2:$EZ$1000,"Y",$J$2:$J$1000,"&gt;"&amp;J847)+COUNTIFS($EX$2:$EX$1000,EX847,$EZ$2:$EZ$1000,"Y",$J$2:$J$1000,J847,$FG$2:$FG$1000,"&lt;"&amp;FG847)=0,"Y","N")))</f>
        <v/>
      </c>
      <c r="FB847" s="0" t="str">
        <f aca="false">IF($A847="","",IF(AND(EZ847="Y",FA847="Y",Y847&amp;""&lt;&gt;""),IF(Y847&lt;=10,"Y","N"),"N"))</f>
        <v/>
      </c>
      <c r="FC847" s="0" t="str">
        <f aca="false">IF(FB847="Y",Y847,"")</f>
        <v/>
      </c>
      <c r="FD847" s="0" t="str">
        <f aca="false">IF($A847="","",IF(AND(CK847="pass",AU847="Y",AV847&lt;&gt;"Y",U847="new",EW847="N"),"Y","N"))</f>
        <v/>
      </c>
      <c r="FE847" s="0" t="str">
        <f aca="false">IF(FD847&lt;&gt;"Y","",IF(COUNTIFS($FD$2:$FD$1000,"Y",$J$2:$J$1000,"&gt;"&amp;J847)+COUNTIFS($FD$2:$FD$1000,"Y",$J$2:$J$1000,J847,$FG$2:$FG$1000,"&lt;"&amp;FG847)+1&lt;=30,COUNTIFS($FD$2:$FD$1000,"Y",$J$2:$J$1000,"&gt;"&amp;J847)+COUNTIFS($FD$2:$FD$1000,"Y",$J$2:$J$1000,J847,$FG$2:$FG$1000,"&lt;"&amp;FG847)+1,""))</f>
        <v/>
      </c>
      <c r="FF847" s="0" t="str">
        <f aca="false">IF(AND(_xlfn.ISFORMULA(C847),_xlfn.ISFORMULA(J847)),"Y","N")</f>
        <v>Y</v>
      </c>
      <c r="FG847" s="0" t="n">
        <f aca="false">ROW()-1</f>
        <v>846</v>
      </c>
    </row>
    <row r="848" customFormat="false" ht="15" hidden="false" customHeight="false" outlineLevel="0" collapsed="false">
      <c r="C848" s="0" t="str">
        <f aca="false">IF($A848="","",IF(AT848="Y",BL848&amp;"",AY848&amp;""))</f>
        <v/>
      </c>
      <c r="D848" s="0" t="str">
        <f aca="false">IF($A848="","",IF(AT848="Y",BM848&amp;"",AZ848&amp;""))</f>
        <v/>
      </c>
      <c r="E848" s="0" t="str">
        <f aca="false">IF($A848="","",IF(AT848="Y",BN848&amp;"",BA848&amp;""))</f>
        <v/>
      </c>
      <c r="F848" s="0" t="str">
        <f aca="false">IF($A848="","",IF(AT848="Y",BO848&amp;"",BB848&amp;""))</f>
        <v/>
      </c>
      <c r="G848" s="0" t="str">
        <f aca="false">IF($A848="","",IF(AT848="Y",BP848&amp;"",BC848&amp;""))</f>
        <v/>
      </c>
      <c r="H848" s="0" t="str">
        <f aca="false">IF($A848="","",IF(AT848="Y",BQ848&amp;"",BD848&amp;""))</f>
        <v/>
      </c>
      <c r="I848" s="0" t="str">
        <f aca="false">IF($A848="","",IF(R848="Y","warm-intro",IF(H848="verified","email",IF(C848&lt;&gt;"","linkedin",CA848&amp;""))))</f>
        <v/>
      </c>
      <c r="J848" s="0" t="str">
        <f aca="false">IF($A848="","",IF(CK848="pass",ROUND(N(DO848)+N(DP848)+N(DQ848)+N(DR848)+N(DS848)+N(DT848)+N(DU848)+N(DV848),0),0))</f>
        <v/>
      </c>
      <c r="K848" s="0" t="str">
        <f aca="false">IF($A848="","",IF(CK848&lt;&gt;"pass",BY848&amp;"",BY848&amp;", "&amp;IF(AT848="Y",BX848&amp;"",BK848&amp;"")&amp;BZ848&amp;IF(R848="Y","; known to the founder (+10)","")&amp;"."))</f>
        <v/>
      </c>
      <c r="R848" s="5"/>
      <c r="T848" s="5"/>
      <c r="U848" s="5"/>
      <c r="Y848" s="0" t="str">
        <f aca="false">IF(FA848&lt;&gt;"Y","",COUNTIFS($FA$2:$FA$1000,"Y",$J$2:$J$1000,"&gt;"&amp;J848)+COUNTIFS($FA$2:$FA$1000,"Y",$J$2:$J$1000,J848,$FG$2:$FG$1000,"&lt;"&amp;FG848)+1)</f>
        <v/>
      </c>
      <c r="AB848" s="0" t="str">
        <f aca="false">IF($A848="","",IF(AT848="Y",BW848&amp;"",BJ848&amp;""))</f>
        <v/>
      </c>
      <c r="AC848" s="0" t="str">
        <f aca="false">IF($A848="","",IF(AT848="Y",BR848&amp;"",BE848&amp;""))</f>
        <v/>
      </c>
      <c r="AD848" s="0" t="str">
        <f aca="false">IF($A848="","",IF(AT848="Y",BS848&amp;"",BF848&amp;""))</f>
        <v/>
      </c>
      <c r="AE848" s="0" t="str">
        <f aca="false">IF($A848="","",IF(AT848="Y",BT848&amp;"",BG848&amp;""))</f>
        <v/>
      </c>
      <c r="AF848" s="0" t="str">
        <f aca="false">IF($A848="","",IF(AT848="Y",BU848&amp;"",BH848&amp;""))</f>
        <v/>
      </c>
      <c r="AG848" s="0" t="str">
        <f aca="false">IF($A848="","",IF(AT848="Y",BV848&amp;"",BI848&amp;""))</f>
        <v/>
      </c>
      <c r="AO848" s="5"/>
      <c r="AR848" s="0" t="str">
        <f aca="false">IF($A848="","",IF(AND(CK848="pass",AO848&lt;&gt;"Y",C848&lt;&gt;"",OR(AU848&lt;&gt;"Y",AV848="Y")),"Y","N"))</f>
        <v/>
      </c>
      <c r="AS848" s="0" t="str">
        <f aca="false">IF($A848="","",_xlfn.TEXTJOIN("; ",TRUE(),IF(CK848&lt;&gt;"pass","gated out",""),IF(AO848="Y","on hold: "&amp;AP848,""),IF(C848="","no contact named on an opened page",""),IF(AND(AU848="Y",AV848&lt;&gt;"Y"),"founder review pending (Founder review tab)","")))</f>
        <v/>
      </c>
      <c r="BC848" s="0" t="str">
        <f aca="false">IF($A848="","",IFERROR(INDEX(Enrichment!$A$2:$GZ$2000,MATCH($A848,INDEX(Enrichment!$A$2:$GZ$2000,0,MATCH("row_id",Enrichment!$A$1:$GZ$1,0)),0),MATCH("work_email",Enrichment!$A$1:$GZ$1,0))&amp;"",""))</f>
        <v/>
      </c>
      <c r="BD848" s="0" t="str">
        <f aca="false">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P848" s="0" t="str">
        <f aca="false">IF($A848="","",IFERROR(INDEX(Enrichment!$A$2:$GZ$2000,MATCH($A848,INDEX(Enrichment!$A$2:$GZ$2000,0,MATCH("row_id",Enrichment!$A$1:$GZ$1,0)),0),MATCH("backup_work_email",Enrichment!$A$1:$GZ$1,0))&amp;"",""))</f>
        <v/>
      </c>
      <c r="BQ848" s="0" t="str">
        <f aca="false">IF($A848="","",IF(BP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DU848" s="0" t="str">
        <f aca="false">IF($A848="","",IF(R848="Y",10,0))</f>
        <v/>
      </c>
      <c r="EV848" s="0" t="str">
        <f aca="false">IF($A848="","",IF(ISNUMBER(MATCH(U848,{"queued","contacted","replied","call_booked","call_done","yes_in_principle","materials_sent"},0)),"Y","N"))</f>
        <v/>
      </c>
      <c r="EW848" s="0" t="str">
        <f aca="false">IF($A848="","",IF(OR(T848="Y",U848="do_not_contact",AQ848&amp;""&lt;&gt;""),"Y","N"))</f>
        <v/>
      </c>
      <c r="EX848" s="0" t="str">
        <f aca="false">IF($A848="","",IF(AN848&amp;""&lt;&gt;"",AN848&amp;"",$A848))</f>
        <v/>
      </c>
      <c r="EY848" s="0" t="str">
        <f aca="false">IF($A848="","",IF(COUNTIFS($EX$2:$EX$1000,EX848,$EV$2:$EV$1000,"Y")+COUNTIFS($EX$2:$EX$1000,EX848,$EW$2:$EW$1000,"Y")&gt;0,"Y","N"))</f>
        <v/>
      </c>
      <c r="EZ848" s="0" t="str">
        <f aca="false">IF($A848="","",IF(AND(U848="new",T848="N",EW848="N",AR848="Y",EY848="N"),"Y","N"))</f>
        <v/>
      </c>
      <c r="FA848" s="0" t="str">
        <f aca="false">IF($A848="","",IF(EZ848&lt;&gt;"Y","N",IF(COUNTIFS($EX$2:$EX$1000,EX848,$EZ$2:$EZ$1000,"Y",$J$2:$J$1000,"&gt;"&amp;J848)+COUNTIFS($EX$2:$EX$1000,EX848,$EZ$2:$EZ$1000,"Y",$J$2:$J$1000,J848,$FG$2:$FG$1000,"&lt;"&amp;FG848)=0,"Y","N")))</f>
        <v/>
      </c>
      <c r="FB848" s="0" t="str">
        <f aca="false">IF($A848="","",IF(AND(EZ848="Y",FA848="Y",Y848&amp;""&lt;&gt;""),IF(Y848&lt;=10,"Y","N"),"N"))</f>
        <v/>
      </c>
      <c r="FC848" s="0" t="str">
        <f aca="false">IF(FB848="Y",Y848,"")</f>
        <v/>
      </c>
      <c r="FD848" s="0" t="str">
        <f aca="false">IF($A848="","",IF(AND(CK848="pass",AU848="Y",AV848&lt;&gt;"Y",U848="new",EW848="N"),"Y","N"))</f>
        <v/>
      </c>
      <c r="FE848" s="0" t="str">
        <f aca="false">IF(FD848&lt;&gt;"Y","",IF(COUNTIFS($FD$2:$FD$1000,"Y",$J$2:$J$1000,"&gt;"&amp;J848)+COUNTIFS($FD$2:$FD$1000,"Y",$J$2:$J$1000,J848,$FG$2:$FG$1000,"&lt;"&amp;FG848)+1&lt;=30,COUNTIFS($FD$2:$FD$1000,"Y",$J$2:$J$1000,"&gt;"&amp;J848)+COUNTIFS($FD$2:$FD$1000,"Y",$J$2:$J$1000,J848,$FG$2:$FG$1000,"&lt;"&amp;FG848)+1,""))</f>
        <v/>
      </c>
      <c r="FF848" s="0" t="str">
        <f aca="false">IF(AND(_xlfn.ISFORMULA(C848),_xlfn.ISFORMULA(J848)),"Y","N")</f>
        <v>Y</v>
      </c>
      <c r="FG848" s="0" t="n">
        <f aca="false">ROW()-1</f>
        <v>847</v>
      </c>
    </row>
    <row r="849" customFormat="false" ht="15" hidden="false" customHeight="false" outlineLevel="0" collapsed="false">
      <c r="C849" s="0" t="str">
        <f aca="false">IF($A849="","",IF(AT849="Y",BL849&amp;"",AY849&amp;""))</f>
        <v/>
      </c>
      <c r="D849" s="0" t="str">
        <f aca="false">IF($A849="","",IF(AT849="Y",BM849&amp;"",AZ849&amp;""))</f>
        <v/>
      </c>
      <c r="E849" s="0" t="str">
        <f aca="false">IF($A849="","",IF(AT849="Y",BN849&amp;"",BA849&amp;""))</f>
        <v/>
      </c>
      <c r="F849" s="0" t="str">
        <f aca="false">IF($A849="","",IF(AT849="Y",BO849&amp;"",BB849&amp;""))</f>
        <v/>
      </c>
      <c r="G849" s="0" t="str">
        <f aca="false">IF($A849="","",IF(AT849="Y",BP849&amp;"",BC849&amp;""))</f>
        <v/>
      </c>
      <c r="H849" s="0" t="str">
        <f aca="false">IF($A849="","",IF(AT849="Y",BQ849&amp;"",BD849&amp;""))</f>
        <v/>
      </c>
      <c r="I849" s="0" t="str">
        <f aca="false">IF($A849="","",IF(R849="Y","warm-intro",IF(H849="verified","email",IF(C849&lt;&gt;"","linkedin",CA849&amp;""))))</f>
        <v/>
      </c>
      <c r="J849" s="0" t="str">
        <f aca="false">IF($A849="","",IF(CK849="pass",ROUND(N(DO849)+N(DP849)+N(DQ849)+N(DR849)+N(DS849)+N(DT849)+N(DU849)+N(DV849),0),0))</f>
        <v/>
      </c>
      <c r="K849" s="0" t="str">
        <f aca="false">IF($A849="","",IF(CK849&lt;&gt;"pass",BY849&amp;"",BY849&amp;", "&amp;IF(AT849="Y",BX849&amp;"",BK849&amp;"")&amp;BZ849&amp;IF(R849="Y","; known to the founder (+10)","")&amp;"."))</f>
        <v/>
      </c>
      <c r="R849" s="5"/>
      <c r="T849" s="5"/>
      <c r="U849" s="5"/>
      <c r="Y849" s="0" t="str">
        <f aca="false">IF(FA849&lt;&gt;"Y","",COUNTIFS($FA$2:$FA$1000,"Y",$J$2:$J$1000,"&gt;"&amp;J849)+COUNTIFS($FA$2:$FA$1000,"Y",$J$2:$J$1000,J849,$FG$2:$FG$1000,"&lt;"&amp;FG849)+1)</f>
        <v/>
      </c>
      <c r="AB849" s="0" t="str">
        <f aca="false">IF($A849="","",IF(AT849="Y",BW849&amp;"",BJ849&amp;""))</f>
        <v/>
      </c>
      <c r="AC849" s="0" t="str">
        <f aca="false">IF($A849="","",IF(AT849="Y",BR849&amp;"",BE849&amp;""))</f>
        <v/>
      </c>
      <c r="AD849" s="0" t="str">
        <f aca="false">IF($A849="","",IF(AT849="Y",BS849&amp;"",BF849&amp;""))</f>
        <v/>
      </c>
      <c r="AE849" s="0" t="str">
        <f aca="false">IF($A849="","",IF(AT849="Y",BT849&amp;"",BG849&amp;""))</f>
        <v/>
      </c>
      <c r="AF849" s="0" t="str">
        <f aca="false">IF($A849="","",IF(AT849="Y",BU849&amp;"",BH849&amp;""))</f>
        <v/>
      </c>
      <c r="AG849" s="0" t="str">
        <f aca="false">IF($A849="","",IF(AT849="Y",BV849&amp;"",BI849&amp;""))</f>
        <v/>
      </c>
      <c r="AO849" s="5"/>
      <c r="AR849" s="0" t="str">
        <f aca="false">IF($A849="","",IF(AND(CK849="pass",AO849&lt;&gt;"Y",C849&lt;&gt;"",OR(AU849&lt;&gt;"Y",AV849="Y")),"Y","N"))</f>
        <v/>
      </c>
      <c r="AS849" s="0" t="str">
        <f aca="false">IF($A849="","",_xlfn.TEXTJOIN("; ",TRUE(),IF(CK849&lt;&gt;"pass","gated out",""),IF(AO849="Y","on hold: "&amp;AP849,""),IF(C849="","no contact named on an opened page",""),IF(AND(AU849="Y",AV849&lt;&gt;"Y"),"founder review pending (Founder review tab)","")))</f>
        <v/>
      </c>
      <c r="BC849" s="0" t="str">
        <f aca="false">IF($A849="","",IFERROR(INDEX(Enrichment!$A$2:$GZ$2000,MATCH($A849,INDEX(Enrichment!$A$2:$GZ$2000,0,MATCH("row_id",Enrichment!$A$1:$GZ$1,0)),0),MATCH("work_email",Enrichment!$A$1:$GZ$1,0))&amp;"",""))</f>
        <v/>
      </c>
      <c r="BD849" s="0" t="str">
        <f aca="false">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P849" s="0" t="str">
        <f aca="false">IF($A849="","",IFERROR(INDEX(Enrichment!$A$2:$GZ$2000,MATCH($A849,INDEX(Enrichment!$A$2:$GZ$2000,0,MATCH("row_id",Enrichment!$A$1:$GZ$1,0)),0),MATCH("backup_work_email",Enrichment!$A$1:$GZ$1,0))&amp;"",""))</f>
        <v/>
      </c>
      <c r="BQ849" s="0" t="str">
        <f aca="false">IF($A849="","",IF(BP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DU849" s="0" t="str">
        <f aca="false">IF($A849="","",IF(R849="Y",10,0))</f>
        <v/>
      </c>
      <c r="EV849" s="0" t="str">
        <f aca="false">IF($A849="","",IF(ISNUMBER(MATCH(U849,{"queued","contacted","replied","call_booked","call_done","yes_in_principle","materials_sent"},0)),"Y","N"))</f>
        <v/>
      </c>
      <c r="EW849" s="0" t="str">
        <f aca="false">IF($A849="","",IF(OR(T849="Y",U849="do_not_contact",AQ849&amp;""&lt;&gt;""),"Y","N"))</f>
        <v/>
      </c>
      <c r="EX849" s="0" t="str">
        <f aca="false">IF($A849="","",IF(AN849&amp;""&lt;&gt;"",AN849&amp;"",$A849))</f>
        <v/>
      </c>
      <c r="EY849" s="0" t="str">
        <f aca="false">IF($A849="","",IF(COUNTIFS($EX$2:$EX$1000,EX849,$EV$2:$EV$1000,"Y")+COUNTIFS($EX$2:$EX$1000,EX849,$EW$2:$EW$1000,"Y")&gt;0,"Y","N"))</f>
        <v/>
      </c>
      <c r="EZ849" s="0" t="str">
        <f aca="false">IF($A849="","",IF(AND(U849="new",T849="N",EW849="N",AR849="Y",EY849="N"),"Y","N"))</f>
        <v/>
      </c>
      <c r="FA849" s="0" t="str">
        <f aca="false">IF($A849="","",IF(EZ849&lt;&gt;"Y","N",IF(COUNTIFS($EX$2:$EX$1000,EX849,$EZ$2:$EZ$1000,"Y",$J$2:$J$1000,"&gt;"&amp;J849)+COUNTIFS($EX$2:$EX$1000,EX849,$EZ$2:$EZ$1000,"Y",$J$2:$J$1000,J849,$FG$2:$FG$1000,"&lt;"&amp;FG849)=0,"Y","N")))</f>
        <v/>
      </c>
      <c r="FB849" s="0" t="str">
        <f aca="false">IF($A849="","",IF(AND(EZ849="Y",FA849="Y",Y849&amp;""&lt;&gt;""),IF(Y849&lt;=10,"Y","N"),"N"))</f>
        <v/>
      </c>
      <c r="FC849" s="0" t="str">
        <f aca="false">IF(FB849="Y",Y849,"")</f>
        <v/>
      </c>
      <c r="FD849" s="0" t="str">
        <f aca="false">IF($A849="","",IF(AND(CK849="pass",AU849="Y",AV849&lt;&gt;"Y",U849="new",EW849="N"),"Y","N"))</f>
        <v/>
      </c>
      <c r="FE849" s="0" t="str">
        <f aca="false">IF(FD849&lt;&gt;"Y","",IF(COUNTIFS($FD$2:$FD$1000,"Y",$J$2:$J$1000,"&gt;"&amp;J849)+COUNTIFS($FD$2:$FD$1000,"Y",$J$2:$J$1000,J849,$FG$2:$FG$1000,"&lt;"&amp;FG849)+1&lt;=30,COUNTIFS($FD$2:$FD$1000,"Y",$J$2:$J$1000,"&gt;"&amp;J849)+COUNTIFS($FD$2:$FD$1000,"Y",$J$2:$J$1000,J849,$FG$2:$FG$1000,"&lt;"&amp;FG849)+1,""))</f>
        <v/>
      </c>
      <c r="FF849" s="0" t="str">
        <f aca="false">IF(AND(_xlfn.ISFORMULA(C849),_xlfn.ISFORMULA(J849)),"Y","N")</f>
        <v>Y</v>
      </c>
      <c r="FG849" s="0" t="n">
        <f aca="false">ROW()-1</f>
        <v>848</v>
      </c>
    </row>
    <row r="850" customFormat="false" ht="15" hidden="false" customHeight="false" outlineLevel="0" collapsed="false">
      <c r="C850" s="0" t="str">
        <f aca="false">IF($A850="","",IF(AT850="Y",BL850&amp;"",AY850&amp;""))</f>
        <v/>
      </c>
      <c r="D850" s="0" t="str">
        <f aca="false">IF($A850="","",IF(AT850="Y",BM850&amp;"",AZ850&amp;""))</f>
        <v/>
      </c>
      <c r="E850" s="0" t="str">
        <f aca="false">IF($A850="","",IF(AT850="Y",BN850&amp;"",BA850&amp;""))</f>
        <v/>
      </c>
      <c r="F850" s="0" t="str">
        <f aca="false">IF($A850="","",IF(AT850="Y",BO850&amp;"",BB850&amp;""))</f>
        <v/>
      </c>
      <c r="G850" s="0" t="str">
        <f aca="false">IF($A850="","",IF(AT850="Y",BP850&amp;"",BC850&amp;""))</f>
        <v/>
      </c>
      <c r="H850" s="0" t="str">
        <f aca="false">IF($A850="","",IF(AT850="Y",BQ850&amp;"",BD850&amp;""))</f>
        <v/>
      </c>
      <c r="I850" s="0" t="str">
        <f aca="false">IF($A850="","",IF(R850="Y","warm-intro",IF(H850="verified","email",IF(C850&lt;&gt;"","linkedin",CA850&amp;""))))</f>
        <v/>
      </c>
      <c r="J850" s="0" t="str">
        <f aca="false">IF($A850="","",IF(CK850="pass",ROUND(N(DO850)+N(DP850)+N(DQ850)+N(DR850)+N(DS850)+N(DT850)+N(DU850)+N(DV850),0),0))</f>
        <v/>
      </c>
      <c r="K850" s="0" t="str">
        <f aca="false">IF($A850="","",IF(CK850&lt;&gt;"pass",BY850&amp;"",BY850&amp;", "&amp;IF(AT850="Y",BX850&amp;"",BK850&amp;"")&amp;BZ850&amp;IF(R850="Y","; known to the founder (+10)","")&amp;"."))</f>
        <v/>
      </c>
      <c r="R850" s="5"/>
      <c r="T850" s="5"/>
      <c r="U850" s="5"/>
      <c r="Y850" s="0" t="str">
        <f aca="false">IF(FA850&lt;&gt;"Y","",COUNTIFS($FA$2:$FA$1000,"Y",$J$2:$J$1000,"&gt;"&amp;J850)+COUNTIFS($FA$2:$FA$1000,"Y",$J$2:$J$1000,J850,$FG$2:$FG$1000,"&lt;"&amp;FG850)+1)</f>
        <v/>
      </c>
      <c r="AB850" s="0" t="str">
        <f aca="false">IF($A850="","",IF(AT850="Y",BW850&amp;"",BJ850&amp;""))</f>
        <v/>
      </c>
      <c r="AC850" s="0" t="str">
        <f aca="false">IF($A850="","",IF(AT850="Y",BR850&amp;"",BE850&amp;""))</f>
        <v/>
      </c>
      <c r="AD850" s="0" t="str">
        <f aca="false">IF($A850="","",IF(AT850="Y",BS850&amp;"",BF850&amp;""))</f>
        <v/>
      </c>
      <c r="AE850" s="0" t="str">
        <f aca="false">IF($A850="","",IF(AT850="Y",BT850&amp;"",BG850&amp;""))</f>
        <v/>
      </c>
      <c r="AF850" s="0" t="str">
        <f aca="false">IF($A850="","",IF(AT850="Y",BU850&amp;"",BH850&amp;""))</f>
        <v/>
      </c>
      <c r="AG850" s="0" t="str">
        <f aca="false">IF($A850="","",IF(AT850="Y",BV850&amp;"",BI850&amp;""))</f>
        <v/>
      </c>
      <c r="AO850" s="5"/>
      <c r="AR850" s="0" t="str">
        <f aca="false">IF($A850="","",IF(AND(CK850="pass",AO850&lt;&gt;"Y",C850&lt;&gt;"",OR(AU850&lt;&gt;"Y",AV850="Y")),"Y","N"))</f>
        <v/>
      </c>
      <c r="AS850" s="0" t="str">
        <f aca="false">IF($A850="","",_xlfn.TEXTJOIN("; ",TRUE(),IF(CK850&lt;&gt;"pass","gated out",""),IF(AO850="Y","on hold: "&amp;AP850,""),IF(C850="","no contact named on an opened page",""),IF(AND(AU850="Y",AV850&lt;&gt;"Y"),"founder review pending (Founder review tab)","")))</f>
        <v/>
      </c>
      <c r="BC850" s="0" t="str">
        <f aca="false">IF($A850="","",IFERROR(INDEX(Enrichment!$A$2:$GZ$2000,MATCH($A850,INDEX(Enrichment!$A$2:$GZ$2000,0,MATCH("row_id",Enrichment!$A$1:$GZ$1,0)),0),MATCH("work_email",Enrichment!$A$1:$GZ$1,0))&amp;"",""))</f>
        <v/>
      </c>
      <c r="BD850" s="0" t="str">
        <f aca="false">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P850" s="0" t="str">
        <f aca="false">IF($A850="","",IFERROR(INDEX(Enrichment!$A$2:$GZ$2000,MATCH($A850,INDEX(Enrichment!$A$2:$GZ$2000,0,MATCH("row_id",Enrichment!$A$1:$GZ$1,0)),0),MATCH("backup_work_email",Enrichment!$A$1:$GZ$1,0))&amp;"",""))</f>
        <v/>
      </c>
      <c r="BQ850" s="0" t="str">
        <f aca="false">IF($A850="","",IF(BP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DU850" s="0" t="str">
        <f aca="false">IF($A850="","",IF(R850="Y",10,0))</f>
        <v/>
      </c>
      <c r="EV850" s="0" t="str">
        <f aca="false">IF($A850="","",IF(ISNUMBER(MATCH(U850,{"queued","contacted","replied","call_booked","call_done","yes_in_principle","materials_sent"},0)),"Y","N"))</f>
        <v/>
      </c>
      <c r="EW850" s="0" t="str">
        <f aca="false">IF($A850="","",IF(OR(T850="Y",U850="do_not_contact",AQ850&amp;""&lt;&gt;""),"Y","N"))</f>
        <v/>
      </c>
      <c r="EX850" s="0" t="str">
        <f aca="false">IF($A850="","",IF(AN850&amp;""&lt;&gt;"",AN850&amp;"",$A850))</f>
        <v/>
      </c>
      <c r="EY850" s="0" t="str">
        <f aca="false">IF($A850="","",IF(COUNTIFS($EX$2:$EX$1000,EX850,$EV$2:$EV$1000,"Y")+COUNTIFS($EX$2:$EX$1000,EX850,$EW$2:$EW$1000,"Y")&gt;0,"Y","N"))</f>
        <v/>
      </c>
      <c r="EZ850" s="0" t="str">
        <f aca="false">IF($A850="","",IF(AND(U850="new",T850="N",EW850="N",AR850="Y",EY850="N"),"Y","N"))</f>
        <v/>
      </c>
      <c r="FA850" s="0" t="str">
        <f aca="false">IF($A850="","",IF(EZ850&lt;&gt;"Y","N",IF(COUNTIFS($EX$2:$EX$1000,EX850,$EZ$2:$EZ$1000,"Y",$J$2:$J$1000,"&gt;"&amp;J850)+COUNTIFS($EX$2:$EX$1000,EX850,$EZ$2:$EZ$1000,"Y",$J$2:$J$1000,J850,$FG$2:$FG$1000,"&lt;"&amp;FG850)=0,"Y","N")))</f>
        <v/>
      </c>
      <c r="FB850" s="0" t="str">
        <f aca="false">IF($A850="","",IF(AND(EZ850="Y",FA850="Y",Y850&amp;""&lt;&gt;""),IF(Y850&lt;=10,"Y","N"),"N"))</f>
        <v/>
      </c>
      <c r="FC850" s="0" t="str">
        <f aca="false">IF(FB850="Y",Y850,"")</f>
        <v/>
      </c>
      <c r="FD850" s="0" t="str">
        <f aca="false">IF($A850="","",IF(AND(CK850="pass",AU850="Y",AV850&lt;&gt;"Y",U850="new",EW850="N"),"Y","N"))</f>
        <v/>
      </c>
      <c r="FE850" s="0" t="str">
        <f aca="false">IF(FD850&lt;&gt;"Y","",IF(COUNTIFS($FD$2:$FD$1000,"Y",$J$2:$J$1000,"&gt;"&amp;J850)+COUNTIFS($FD$2:$FD$1000,"Y",$J$2:$J$1000,J850,$FG$2:$FG$1000,"&lt;"&amp;FG850)+1&lt;=30,COUNTIFS($FD$2:$FD$1000,"Y",$J$2:$J$1000,"&gt;"&amp;J850)+COUNTIFS($FD$2:$FD$1000,"Y",$J$2:$J$1000,J850,$FG$2:$FG$1000,"&lt;"&amp;FG850)+1,""))</f>
        <v/>
      </c>
      <c r="FF850" s="0" t="str">
        <f aca="false">IF(AND(_xlfn.ISFORMULA(C850),_xlfn.ISFORMULA(J850)),"Y","N")</f>
        <v>Y</v>
      </c>
      <c r="FG850" s="0" t="n">
        <f aca="false">ROW()-1</f>
        <v>849</v>
      </c>
    </row>
    <row r="851" customFormat="false" ht="15" hidden="false" customHeight="false" outlineLevel="0" collapsed="false">
      <c r="C851" s="0" t="str">
        <f aca="false">IF($A851="","",IF(AT851="Y",BL851&amp;"",AY851&amp;""))</f>
        <v/>
      </c>
      <c r="D851" s="0" t="str">
        <f aca="false">IF($A851="","",IF(AT851="Y",BM851&amp;"",AZ851&amp;""))</f>
        <v/>
      </c>
      <c r="E851" s="0" t="str">
        <f aca="false">IF($A851="","",IF(AT851="Y",BN851&amp;"",BA851&amp;""))</f>
        <v/>
      </c>
      <c r="F851" s="0" t="str">
        <f aca="false">IF($A851="","",IF(AT851="Y",BO851&amp;"",BB851&amp;""))</f>
        <v/>
      </c>
      <c r="G851" s="0" t="str">
        <f aca="false">IF($A851="","",IF(AT851="Y",BP851&amp;"",BC851&amp;""))</f>
        <v/>
      </c>
      <c r="H851" s="0" t="str">
        <f aca="false">IF($A851="","",IF(AT851="Y",BQ851&amp;"",BD851&amp;""))</f>
        <v/>
      </c>
      <c r="I851" s="0" t="str">
        <f aca="false">IF($A851="","",IF(R851="Y","warm-intro",IF(H851="verified","email",IF(C851&lt;&gt;"","linkedin",CA851&amp;""))))</f>
        <v/>
      </c>
      <c r="J851" s="0" t="str">
        <f aca="false">IF($A851="","",IF(CK851="pass",ROUND(N(DO851)+N(DP851)+N(DQ851)+N(DR851)+N(DS851)+N(DT851)+N(DU851)+N(DV851),0),0))</f>
        <v/>
      </c>
      <c r="K851" s="0" t="str">
        <f aca="false">IF($A851="","",IF(CK851&lt;&gt;"pass",BY851&amp;"",BY851&amp;", "&amp;IF(AT851="Y",BX851&amp;"",BK851&amp;"")&amp;BZ851&amp;IF(R851="Y","; known to the founder (+10)","")&amp;"."))</f>
        <v/>
      </c>
      <c r="R851" s="5"/>
      <c r="T851" s="5"/>
      <c r="U851" s="5"/>
      <c r="Y851" s="0" t="str">
        <f aca="false">IF(FA851&lt;&gt;"Y","",COUNTIFS($FA$2:$FA$1000,"Y",$J$2:$J$1000,"&gt;"&amp;J851)+COUNTIFS($FA$2:$FA$1000,"Y",$J$2:$J$1000,J851,$FG$2:$FG$1000,"&lt;"&amp;FG851)+1)</f>
        <v/>
      </c>
      <c r="AB851" s="0" t="str">
        <f aca="false">IF($A851="","",IF(AT851="Y",BW851&amp;"",BJ851&amp;""))</f>
        <v/>
      </c>
      <c r="AC851" s="0" t="str">
        <f aca="false">IF($A851="","",IF(AT851="Y",BR851&amp;"",BE851&amp;""))</f>
        <v/>
      </c>
      <c r="AD851" s="0" t="str">
        <f aca="false">IF($A851="","",IF(AT851="Y",BS851&amp;"",BF851&amp;""))</f>
        <v/>
      </c>
      <c r="AE851" s="0" t="str">
        <f aca="false">IF($A851="","",IF(AT851="Y",BT851&amp;"",BG851&amp;""))</f>
        <v/>
      </c>
      <c r="AF851" s="0" t="str">
        <f aca="false">IF($A851="","",IF(AT851="Y",BU851&amp;"",BH851&amp;""))</f>
        <v/>
      </c>
      <c r="AG851" s="0" t="str">
        <f aca="false">IF($A851="","",IF(AT851="Y",BV851&amp;"",BI851&amp;""))</f>
        <v/>
      </c>
      <c r="AO851" s="5"/>
      <c r="AR851" s="0" t="str">
        <f aca="false">IF($A851="","",IF(AND(CK851="pass",AO851&lt;&gt;"Y",C851&lt;&gt;"",OR(AU851&lt;&gt;"Y",AV851="Y")),"Y","N"))</f>
        <v/>
      </c>
      <c r="AS851" s="0" t="str">
        <f aca="false">IF($A851="","",_xlfn.TEXTJOIN("; ",TRUE(),IF(CK851&lt;&gt;"pass","gated out",""),IF(AO851="Y","on hold: "&amp;AP851,""),IF(C851="","no contact named on an opened page",""),IF(AND(AU851="Y",AV851&lt;&gt;"Y"),"founder review pending (Founder review tab)","")))</f>
        <v/>
      </c>
      <c r="BC851" s="0" t="str">
        <f aca="false">IF($A851="","",IFERROR(INDEX(Enrichment!$A$2:$GZ$2000,MATCH($A851,INDEX(Enrichment!$A$2:$GZ$2000,0,MATCH("row_id",Enrichment!$A$1:$GZ$1,0)),0),MATCH("work_email",Enrichment!$A$1:$GZ$1,0))&amp;"",""))</f>
        <v/>
      </c>
      <c r="BD851" s="0" t="str">
        <f aca="false">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P851" s="0" t="str">
        <f aca="false">IF($A851="","",IFERROR(INDEX(Enrichment!$A$2:$GZ$2000,MATCH($A851,INDEX(Enrichment!$A$2:$GZ$2000,0,MATCH("row_id",Enrichment!$A$1:$GZ$1,0)),0),MATCH("backup_work_email",Enrichment!$A$1:$GZ$1,0))&amp;"",""))</f>
        <v/>
      </c>
      <c r="BQ851" s="0" t="str">
        <f aca="false">IF($A851="","",IF(BP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DU851" s="0" t="str">
        <f aca="false">IF($A851="","",IF(R851="Y",10,0))</f>
        <v/>
      </c>
      <c r="EV851" s="0" t="str">
        <f aca="false">IF($A851="","",IF(ISNUMBER(MATCH(U851,{"queued","contacted","replied","call_booked","call_done","yes_in_principle","materials_sent"},0)),"Y","N"))</f>
        <v/>
      </c>
      <c r="EW851" s="0" t="str">
        <f aca="false">IF($A851="","",IF(OR(T851="Y",U851="do_not_contact",AQ851&amp;""&lt;&gt;""),"Y","N"))</f>
        <v/>
      </c>
      <c r="EX851" s="0" t="str">
        <f aca="false">IF($A851="","",IF(AN851&amp;""&lt;&gt;"",AN851&amp;"",$A851))</f>
        <v/>
      </c>
      <c r="EY851" s="0" t="str">
        <f aca="false">IF($A851="","",IF(COUNTIFS($EX$2:$EX$1000,EX851,$EV$2:$EV$1000,"Y")+COUNTIFS($EX$2:$EX$1000,EX851,$EW$2:$EW$1000,"Y")&gt;0,"Y","N"))</f>
        <v/>
      </c>
      <c r="EZ851" s="0" t="str">
        <f aca="false">IF($A851="","",IF(AND(U851="new",T851="N",EW851="N",AR851="Y",EY851="N"),"Y","N"))</f>
        <v/>
      </c>
      <c r="FA851" s="0" t="str">
        <f aca="false">IF($A851="","",IF(EZ851&lt;&gt;"Y","N",IF(COUNTIFS($EX$2:$EX$1000,EX851,$EZ$2:$EZ$1000,"Y",$J$2:$J$1000,"&gt;"&amp;J851)+COUNTIFS($EX$2:$EX$1000,EX851,$EZ$2:$EZ$1000,"Y",$J$2:$J$1000,J851,$FG$2:$FG$1000,"&lt;"&amp;FG851)=0,"Y","N")))</f>
        <v/>
      </c>
      <c r="FB851" s="0" t="str">
        <f aca="false">IF($A851="","",IF(AND(EZ851="Y",FA851="Y",Y851&amp;""&lt;&gt;""),IF(Y851&lt;=10,"Y","N"),"N"))</f>
        <v/>
      </c>
      <c r="FC851" s="0" t="str">
        <f aca="false">IF(FB851="Y",Y851,"")</f>
        <v/>
      </c>
      <c r="FD851" s="0" t="str">
        <f aca="false">IF($A851="","",IF(AND(CK851="pass",AU851="Y",AV851&lt;&gt;"Y",U851="new",EW851="N"),"Y","N"))</f>
        <v/>
      </c>
      <c r="FE851" s="0" t="str">
        <f aca="false">IF(FD851&lt;&gt;"Y","",IF(COUNTIFS($FD$2:$FD$1000,"Y",$J$2:$J$1000,"&gt;"&amp;J851)+COUNTIFS($FD$2:$FD$1000,"Y",$J$2:$J$1000,J851,$FG$2:$FG$1000,"&lt;"&amp;FG851)+1&lt;=30,COUNTIFS($FD$2:$FD$1000,"Y",$J$2:$J$1000,"&gt;"&amp;J851)+COUNTIFS($FD$2:$FD$1000,"Y",$J$2:$J$1000,J851,$FG$2:$FG$1000,"&lt;"&amp;FG851)+1,""))</f>
        <v/>
      </c>
      <c r="FF851" s="0" t="str">
        <f aca="false">IF(AND(_xlfn.ISFORMULA(C851),_xlfn.ISFORMULA(J851)),"Y","N")</f>
        <v>Y</v>
      </c>
      <c r="FG851" s="0" t="n">
        <f aca="false">ROW()-1</f>
        <v>850</v>
      </c>
    </row>
    <row r="852" customFormat="false" ht="15" hidden="false" customHeight="false" outlineLevel="0" collapsed="false">
      <c r="C852" s="0" t="str">
        <f aca="false">IF($A852="","",IF(AT852="Y",BL852&amp;"",AY852&amp;""))</f>
        <v/>
      </c>
      <c r="D852" s="0" t="str">
        <f aca="false">IF($A852="","",IF(AT852="Y",BM852&amp;"",AZ852&amp;""))</f>
        <v/>
      </c>
      <c r="E852" s="0" t="str">
        <f aca="false">IF($A852="","",IF(AT852="Y",BN852&amp;"",BA852&amp;""))</f>
        <v/>
      </c>
      <c r="F852" s="0" t="str">
        <f aca="false">IF($A852="","",IF(AT852="Y",BO852&amp;"",BB852&amp;""))</f>
        <v/>
      </c>
      <c r="G852" s="0" t="str">
        <f aca="false">IF($A852="","",IF(AT852="Y",BP852&amp;"",BC852&amp;""))</f>
        <v/>
      </c>
      <c r="H852" s="0" t="str">
        <f aca="false">IF($A852="","",IF(AT852="Y",BQ852&amp;"",BD852&amp;""))</f>
        <v/>
      </c>
      <c r="I852" s="0" t="str">
        <f aca="false">IF($A852="","",IF(R852="Y","warm-intro",IF(H852="verified","email",IF(C852&lt;&gt;"","linkedin",CA852&amp;""))))</f>
        <v/>
      </c>
      <c r="J852" s="0" t="str">
        <f aca="false">IF($A852="","",IF(CK852="pass",ROUND(N(DO852)+N(DP852)+N(DQ852)+N(DR852)+N(DS852)+N(DT852)+N(DU852)+N(DV852),0),0))</f>
        <v/>
      </c>
      <c r="K852" s="0" t="str">
        <f aca="false">IF($A852="","",IF(CK852&lt;&gt;"pass",BY852&amp;"",BY852&amp;", "&amp;IF(AT852="Y",BX852&amp;"",BK852&amp;"")&amp;BZ852&amp;IF(R852="Y","; known to the founder (+10)","")&amp;"."))</f>
        <v/>
      </c>
      <c r="R852" s="5"/>
      <c r="T852" s="5"/>
      <c r="U852" s="5"/>
      <c r="Y852" s="0" t="str">
        <f aca="false">IF(FA852&lt;&gt;"Y","",COUNTIFS($FA$2:$FA$1000,"Y",$J$2:$J$1000,"&gt;"&amp;J852)+COUNTIFS($FA$2:$FA$1000,"Y",$J$2:$J$1000,J852,$FG$2:$FG$1000,"&lt;"&amp;FG852)+1)</f>
        <v/>
      </c>
      <c r="AB852" s="0" t="str">
        <f aca="false">IF($A852="","",IF(AT852="Y",BW852&amp;"",BJ852&amp;""))</f>
        <v/>
      </c>
      <c r="AC852" s="0" t="str">
        <f aca="false">IF($A852="","",IF(AT852="Y",BR852&amp;"",BE852&amp;""))</f>
        <v/>
      </c>
      <c r="AD852" s="0" t="str">
        <f aca="false">IF($A852="","",IF(AT852="Y",BS852&amp;"",BF852&amp;""))</f>
        <v/>
      </c>
      <c r="AE852" s="0" t="str">
        <f aca="false">IF($A852="","",IF(AT852="Y",BT852&amp;"",BG852&amp;""))</f>
        <v/>
      </c>
      <c r="AF852" s="0" t="str">
        <f aca="false">IF($A852="","",IF(AT852="Y",BU852&amp;"",BH852&amp;""))</f>
        <v/>
      </c>
      <c r="AG852" s="0" t="str">
        <f aca="false">IF($A852="","",IF(AT852="Y",BV852&amp;"",BI852&amp;""))</f>
        <v/>
      </c>
      <c r="AO852" s="5"/>
      <c r="AR852" s="0" t="str">
        <f aca="false">IF($A852="","",IF(AND(CK852="pass",AO852&lt;&gt;"Y",C852&lt;&gt;"",OR(AU852&lt;&gt;"Y",AV852="Y")),"Y","N"))</f>
        <v/>
      </c>
      <c r="AS852" s="0" t="str">
        <f aca="false">IF($A852="","",_xlfn.TEXTJOIN("; ",TRUE(),IF(CK852&lt;&gt;"pass","gated out",""),IF(AO852="Y","on hold: "&amp;AP852,""),IF(C852="","no contact named on an opened page",""),IF(AND(AU852="Y",AV852&lt;&gt;"Y"),"founder review pending (Founder review tab)","")))</f>
        <v/>
      </c>
      <c r="BC852" s="0" t="str">
        <f aca="false">IF($A852="","",IFERROR(INDEX(Enrichment!$A$2:$GZ$2000,MATCH($A852,INDEX(Enrichment!$A$2:$GZ$2000,0,MATCH("row_id",Enrichment!$A$1:$GZ$1,0)),0),MATCH("work_email",Enrichment!$A$1:$GZ$1,0))&amp;"",""))</f>
        <v/>
      </c>
      <c r="BD852" s="0" t="str">
        <f aca="false">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P852" s="0" t="str">
        <f aca="false">IF($A852="","",IFERROR(INDEX(Enrichment!$A$2:$GZ$2000,MATCH($A852,INDEX(Enrichment!$A$2:$GZ$2000,0,MATCH("row_id",Enrichment!$A$1:$GZ$1,0)),0),MATCH("backup_work_email",Enrichment!$A$1:$GZ$1,0))&amp;"",""))</f>
        <v/>
      </c>
      <c r="BQ852" s="0" t="str">
        <f aca="false">IF($A852="","",IF(BP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DU852" s="0" t="str">
        <f aca="false">IF($A852="","",IF(R852="Y",10,0))</f>
        <v/>
      </c>
      <c r="EV852" s="0" t="str">
        <f aca="false">IF($A852="","",IF(ISNUMBER(MATCH(U852,{"queued","contacted","replied","call_booked","call_done","yes_in_principle","materials_sent"},0)),"Y","N"))</f>
        <v/>
      </c>
      <c r="EW852" s="0" t="str">
        <f aca="false">IF($A852="","",IF(OR(T852="Y",U852="do_not_contact",AQ852&amp;""&lt;&gt;""),"Y","N"))</f>
        <v/>
      </c>
      <c r="EX852" s="0" t="str">
        <f aca="false">IF($A852="","",IF(AN852&amp;""&lt;&gt;"",AN852&amp;"",$A852))</f>
        <v/>
      </c>
      <c r="EY852" s="0" t="str">
        <f aca="false">IF($A852="","",IF(COUNTIFS($EX$2:$EX$1000,EX852,$EV$2:$EV$1000,"Y")+COUNTIFS($EX$2:$EX$1000,EX852,$EW$2:$EW$1000,"Y")&gt;0,"Y","N"))</f>
        <v/>
      </c>
      <c r="EZ852" s="0" t="str">
        <f aca="false">IF($A852="","",IF(AND(U852="new",T852="N",EW852="N",AR852="Y",EY852="N"),"Y","N"))</f>
        <v/>
      </c>
      <c r="FA852" s="0" t="str">
        <f aca="false">IF($A852="","",IF(EZ852&lt;&gt;"Y","N",IF(COUNTIFS($EX$2:$EX$1000,EX852,$EZ$2:$EZ$1000,"Y",$J$2:$J$1000,"&gt;"&amp;J852)+COUNTIFS($EX$2:$EX$1000,EX852,$EZ$2:$EZ$1000,"Y",$J$2:$J$1000,J852,$FG$2:$FG$1000,"&lt;"&amp;FG852)=0,"Y","N")))</f>
        <v/>
      </c>
      <c r="FB852" s="0" t="str">
        <f aca="false">IF($A852="","",IF(AND(EZ852="Y",FA852="Y",Y852&amp;""&lt;&gt;""),IF(Y852&lt;=10,"Y","N"),"N"))</f>
        <v/>
      </c>
      <c r="FC852" s="0" t="str">
        <f aca="false">IF(FB852="Y",Y852,"")</f>
        <v/>
      </c>
      <c r="FD852" s="0" t="str">
        <f aca="false">IF($A852="","",IF(AND(CK852="pass",AU852="Y",AV852&lt;&gt;"Y",U852="new",EW852="N"),"Y","N"))</f>
        <v/>
      </c>
      <c r="FE852" s="0" t="str">
        <f aca="false">IF(FD852&lt;&gt;"Y","",IF(COUNTIFS($FD$2:$FD$1000,"Y",$J$2:$J$1000,"&gt;"&amp;J852)+COUNTIFS($FD$2:$FD$1000,"Y",$J$2:$J$1000,J852,$FG$2:$FG$1000,"&lt;"&amp;FG852)+1&lt;=30,COUNTIFS($FD$2:$FD$1000,"Y",$J$2:$J$1000,"&gt;"&amp;J852)+COUNTIFS($FD$2:$FD$1000,"Y",$J$2:$J$1000,J852,$FG$2:$FG$1000,"&lt;"&amp;FG852)+1,""))</f>
        <v/>
      </c>
      <c r="FF852" s="0" t="str">
        <f aca="false">IF(AND(_xlfn.ISFORMULA(C852),_xlfn.ISFORMULA(J852)),"Y","N")</f>
        <v>Y</v>
      </c>
      <c r="FG852" s="0" t="n">
        <f aca="false">ROW()-1</f>
        <v>851</v>
      </c>
    </row>
    <row r="853" customFormat="false" ht="15" hidden="false" customHeight="false" outlineLevel="0" collapsed="false">
      <c r="C853" s="0" t="str">
        <f aca="false">IF($A853="","",IF(AT853="Y",BL853&amp;"",AY853&amp;""))</f>
        <v/>
      </c>
      <c r="D853" s="0" t="str">
        <f aca="false">IF($A853="","",IF(AT853="Y",BM853&amp;"",AZ853&amp;""))</f>
        <v/>
      </c>
      <c r="E853" s="0" t="str">
        <f aca="false">IF($A853="","",IF(AT853="Y",BN853&amp;"",BA853&amp;""))</f>
        <v/>
      </c>
      <c r="F853" s="0" t="str">
        <f aca="false">IF($A853="","",IF(AT853="Y",BO853&amp;"",BB853&amp;""))</f>
        <v/>
      </c>
      <c r="G853" s="0" t="str">
        <f aca="false">IF($A853="","",IF(AT853="Y",BP853&amp;"",BC853&amp;""))</f>
        <v/>
      </c>
      <c r="H853" s="0" t="str">
        <f aca="false">IF($A853="","",IF(AT853="Y",BQ853&amp;"",BD853&amp;""))</f>
        <v/>
      </c>
      <c r="I853" s="0" t="str">
        <f aca="false">IF($A853="","",IF(R853="Y","warm-intro",IF(H853="verified","email",IF(C853&lt;&gt;"","linkedin",CA853&amp;""))))</f>
        <v/>
      </c>
      <c r="J853" s="0" t="str">
        <f aca="false">IF($A853="","",IF(CK853="pass",ROUND(N(DO853)+N(DP853)+N(DQ853)+N(DR853)+N(DS853)+N(DT853)+N(DU853)+N(DV853),0),0))</f>
        <v/>
      </c>
      <c r="K853" s="0" t="str">
        <f aca="false">IF($A853="","",IF(CK853&lt;&gt;"pass",BY853&amp;"",BY853&amp;", "&amp;IF(AT853="Y",BX853&amp;"",BK853&amp;"")&amp;BZ853&amp;IF(R853="Y","; known to the founder (+10)","")&amp;"."))</f>
        <v/>
      </c>
      <c r="R853" s="5"/>
      <c r="T853" s="5"/>
      <c r="U853" s="5"/>
      <c r="Y853" s="0" t="str">
        <f aca="false">IF(FA853&lt;&gt;"Y","",COUNTIFS($FA$2:$FA$1000,"Y",$J$2:$J$1000,"&gt;"&amp;J853)+COUNTIFS($FA$2:$FA$1000,"Y",$J$2:$J$1000,J853,$FG$2:$FG$1000,"&lt;"&amp;FG853)+1)</f>
        <v/>
      </c>
      <c r="AB853" s="0" t="str">
        <f aca="false">IF($A853="","",IF(AT853="Y",BW853&amp;"",BJ853&amp;""))</f>
        <v/>
      </c>
      <c r="AC853" s="0" t="str">
        <f aca="false">IF($A853="","",IF(AT853="Y",BR853&amp;"",BE853&amp;""))</f>
        <v/>
      </c>
      <c r="AD853" s="0" t="str">
        <f aca="false">IF($A853="","",IF(AT853="Y",BS853&amp;"",BF853&amp;""))</f>
        <v/>
      </c>
      <c r="AE853" s="0" t="str">
        <f aca="false">IF($A853="","",IF(AT853="Y",BT853&amp;"",BG853&amp;""))</f>
        <v/>
      </c>
      <c r="AF853" s="0" t="str">
        <f aca="false">IF($A853="","",IF(AT853="Y",BU853&amp;"",BH853&amp;""))</f>
        <v/>
      </c>
      <c r="AG853" s="0" t="str">
        <f aca="false">IF($A853="","",IF(AT853="Y",BV853&amp;"",BI853&amp;""))</f>
        <v/>
      </c>
      <c r="AO853" s="5"/>
      <c r="AR853" s="0" t="str">
        <f aca="false">IF($A853="","",IF(AND(CK853="pass",AO853&lt;&gt;"Y",C853&lt;&gt;"",OR(AU853&lt;&gt;"Y",AV853="Y")),"Y","N"))</f>
        <v/>
      </c>
      <c r="AS853" s="0" t="str">
        <f aca="false">IF($A853="","",_xlfn.TEXTJOIN("; ",TRUE(),IF(CK853&lt;&gt;"pass","gated out",""),IF(AO853="Y","on hold: "&amp;AP853,""),IF(C853="","no contact named on an opened page",""),IF(AND(AU853="Y",AV853&lt;&gt;"Y"),"founder review pending (Founder review tab)","")))</f>
        <v/>
      </c>
      <c r="BC853" s="0" t="str">
        <f aca="false">IF($A853="","",IFERROR(INDEX(Enrichment!$A$2:$GZ$2000,MATCH($A853,INDEX(Enrichment!$A$2:$GZ$2000,0,MATCH("row_id",Enrichment!$A$1:$GZ$1,0)),0),MATCH("work_email",Enrichment!$A$1:$GZ$1,0))&amp;"",""))</f>
        <v/>
      </c>
      <c r="BD853" s="0" t="str">
        <f aca="false">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P853" s="0" t="str">
        <f aca="false">IF($A853="","",IFERROR(INDEX(Enrichment!$A$2:$GZ$2000,MATCH($A853,INDEX(Enrichment!$A$2:$GZ$2000,0,MATCH("row_id",Enrichment!$A$1:$GZ$1,0)),0),MATCH("backup_work_email",Enrichment!$A$1:$GZ$1,0))&amp;"",""))</f>
        <v/>
      </c>
      <c r="BQ853" s="0" t="str">
        <f aca="false">IF($A853="","",IF(BP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DU853" s="0" t="str">
        <f aca="false">IF($A853="","",IF(R853="Y",10,0))</f>
        <v/>
      </c>
      <c r="EV853" s="0" t="str">
        <f aca="false">IF($A853="","",IF(ISNUMBER(MATCH(U853,{"queued","contacted","replied","call_booked","call_done","yes_in_principle","materials_sent"},0)),"Y","N"))</f>
        <v/>
      </c>
      <c r="EW853" s="0" t="str">
        <f aca="false">IF($A853="","",IF(OR(T853="Y",U853="do_not_contact",AQ853&amp;""&lt;&gt;""),"Y","N"))</f>
        <v/>
      </c>
      <c r="EX853" s="0" t="str">
        <f aca="false">IF($A853="","",IF(AN853&amp;""&lt;&gt;"",AN853&amp;"",$A853))</f>
        <v/>
      </c>
      <c r="EY853" s="0" t="str">
        <f aca="false">IF($A853="","",IF(COUNTIFS($EX$2:$EX$1000,EX853,$EV$2:$EV$1000,"Y")+COUNTIFS($EX$2:$EX$1000,EX853,$EW$2:$EW$1000,"Y")&gt;0,"Y","N"))</f>
        <v/>
      </c>
      <c r="EZ853" s="0" t="str">
        <f aca="false">IF($A853="","",IF(AND(U853="new",T853="N",EW853="N",AR853="Y",EY853="N"),"Y","N"))</f>
        <v/>
      </c>
      <c r="FA853" s="0" t="str">
        <f aca="false">IF($A853="","",IF(EZ853&lt;&gt;"Y","N",IF(COUNTIFS($EX$2:$EX$1000,EX853,$EZ$2:$EZ$1000,"Y",$J$2:$J$1000,"&gt;"&amp;J853)+COUNTIFS($EX$2:$EX$1000,EX853,$EZ$2:$EZ$1000,"Y",$J$2:$J$1000,J853,$FG$2:$FG$1000,"&lt;"&amp;FG853)=0,"Y","N")))</f>
        <v/>
      </c>
      <c r="FB853" s="0" t="str">
        <f aca="false">IF($A853="","",IF(AND(EZ853="Y",FA853="Y",Y853&amp;""&lt;&gt;""),IF(Y853&lt;=10,"Y","N"),"N"))</f>
        <v/>
      </c>
      <c r="FC853" s="0" t="str">
        <f aca="false">IF(FB853="Y",Y853,"")</f>
        <v/>
      </c>
      <c r="FD853" s="0" t="str">
        <f aca="false">IF($A853="","",IF(AND(CK853="pass",AU853="Y",AV853&lt;&gt;"Y",U853="new",EW853="N"),"Y","N"))</f>
        <v/>
      </c>
      <c r="FE853" s="0" t="str">
        <f aca="false">IF(FD853&lt;&gt;"Y","",IF(COUNTIFS($FD$2:$FD$1000,"Y",$J$2:$J$1000,"&gt;"&amp;J853)+COUNTIFS($FD$2:$FD$1000,"Y",$J$2:$J$1000,J853,$FG$2:$FG$1000,"&lt;"&amp;FG853)+1&lt;=30,COUNTIFS($FD$2:$FD$1000,"Y",$J$2:$J$1000,"&gt;"&amp;J853)+COUNTIFS($FD$2:$FD$1000,"Y",$J$2:$J$1000,J853,$FG$2:$FG$1000,"&lt;"&amp;FG853)+1,""))</f>
        <v/>
      </c>
      <c r="FF853" s="0" t="str">
        <f aca="false">IF(AND(_xlfn.ISFORMULA(C853),_xlfn.ISFORMULA(J853)),"Y","N")</f>
        <v>Y</v>
      </c>
      <c r="FG853" s="0" t="n">
        <f aca="false">ROW()-1</f>
        <v>852</v>
      </c>
    </row>
    <row r="854" customFormat="false" ht="15" hidden="false" customHeight="false" outlineLevel="0" collapsed="false">
      <c r="C854" s="0" t="str">
        <f aca="false">IF($A854="","",IF(AT854="Y",BL854&amp;"",AY854&amp;""))</f>
        <v/>
      </c>
      <c r="D854" s="0" t="str">
        <f aca="false">IF($A854="","",IF(AT854="Y",BM854&amp;"",AZ854&amp;""))</f>
        <v/>
      </c>
      <c r="E854" s="0" t="str">
        <f aca="false">IF($A854="","",IF(AT854="Y",BN854&amp;"",BA854&amp;""))</f>
        <v/>
      </c>
      <c r="F854" s="0" t="str">
        <f aca="false">IF($A854="","",IF(AT854="Y",BO854&amp;"",BB854&amp;""))</f>
        <v/>
      </c>
      <c r="G854" s="0" t="str">
        <f aca="false">IF($A854="","",IF(AT854="Y",BP854&amp;"",BC854&amp;""))</f>
        <v/>
      </c>
      <c r="H854" s="0" t="str">
        <f aca="false">IF($A854="","",IF(AT854="Y",BQ854&amp;"",BD854&amp;""))</f>
        <v/>
      </c>
      <c r="I854" s="0" t="str">
        <f aca="false">IF($A854="","",IF(R854="Y","warm-intro",IF(H854="verified","email",IF(C854&lt;&gt;"","linkedin",CA854&amp;""))))</f>
        <v/>
      </c>
      <c r="J854" s="0" t="str">
        <f aca="false">IF($A854="","",IF(CK854="pass",ROUND(N(DO854)+N(DP854)+N(DQ854)+N(DR854)+N(DS854)+N(DT854)+N(DU854)+N(DV854),0),0))</f>
        <v/>
      </c>
      <c r="K854" s="0" t="str">
        <f aca="false">IF($A854="","",IF(CK854&lt;&gt;"pass",BY854&amp;"",BY854&amp;", "&amp;IF(AT854="Y",BX854&amp;"",BK854&amp;"")&amp;BZ854&amp;IF(R854="Y","; known to the founder (+10)","")&amp;"."))</f>
        <v/>
      </c>
      <c r="R854" s="5"/>
      <c r="T854" s="5"/>
      <c r="U854" s="5"/>
      <c r="Y854" s="0" t="str">
        <f aca="false">IF(FA854&lt;&gt;"Y","",COUNTIFS($FA$2:$FA$1000,"Y",$J$2:$J$1000,"&gt;"&amp;J854)+COUNTIFS($FA$2:$FA$1000,"Y",$J$2:$J$1000,J854,$FG$2:$FG$1000,"&lt;"&amp;FG854)+1)</f>
        <v/>
      </c>
      <c r="AB854" s="0" t="str">
        <f aca="false">IF($A854="","",IF(AT854="Y",BW854&amp;"",BJ854&amp;""))</f>
        <v/>
      </c>
      <c r="AC854" s="0" t="str">
        <f aca="false">IF($A854="","",IF(AT854="Y",BR854&amp;"",BE854&amp;""))</f>
        <v/>
      </c>
      <c r="AD854" s="0" t="str">
        <f aca="false">IF($A854="","",IF(AT854="Y",BS854&amp;"",BF854&amp;""))</f>
        <v/>
      </c>
      <c r="AE854" s="0" t="str">
        <f aca="false">IF($A854="","",IF(AT854="Y",BT854&amp;"",BG854&amp;""))</f>
        <v/>
      </c>
      <c r="AF854" s="0" t="str">
        <f aca="false">IF($A854="","",IF(AT854="Y",BU854&amp;"",BH854&amp;""))</f>
        <v/>
      </c>
      <c r="AG854" s="0" t="str">
        <f aca="false">IF($A854="","",IF(AT854="Y",BV854&amp;"",BI854&amp;""))</f>
        <v/>
      </c>
      <c r="AO854" s="5"/>
      <c r="AR854" s="0" t="str">
        <f aca="false">IF($A854="","",IF(AND(CK854="pass",AO854&lt;&gt;"Y",C854&lt;&gt;"",OR(AU854&lt;&gt;"Y",AV854="Y")),"Y","N"))</f>
        <v/>
      </c>
      <c r="AS854" s="0" t="str">
        <f aca="false">IF($A854="","",_xlfn.TEXTJOIN("; ",TRUE(),IF(CK854&lt;&gt;"pass","gated out",""),IF(AO854="Y","on hold: "&amp;AP854,""),IF(C854="","no contact named on an opened page",""),IF(AND(AU854="Y",AV854&lt;&gt;"Y"),"founder review pending (Founder review tab)","")))</f>
        <v/>
      </c>
      <c r="BC854" s="0" t="str">
        <f aca="false">IF($A854="","",IFERROR(INDEX(Enrichment!$A$2:$GZ$2000,MATCH($A854,INDEX(Enrichment!$A$2:$GZ$2000,0,MATCH("row_id",Enrichment!$A$1:$GZ$1,0)),0),MATCH("work_email",Enrichment!$A$1:$GZ$1,0))&amp;"",""))</f>
        <v/>
      </c>
      <c r="BD854" s="0" t="str">
        <f aca="false">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P854" s="0" t="str">
        <f aca="false">IF($A854="","",IFERROR(INDEX(Enrichment!$A$2:$GZ$2000,MATCH($A854,INDEX(Enrichment!$A$2:$GZ$2000,0,MATCH("row_id",Enrichment!$A$1:$GZ$1,0)),0),MATCH("backup_work_email",Enrichment!$A$1:$GZ$1,0))&amp;"",""))</f>
        <v/>
      </c>
      <c r="BQ854" s="0" t="str">
        <f aca="false">IF($A854="","",IF(BP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DU854" s="0" t="str">
        <f aca="false">IF($A854="","",IF(R854="Y",10,0))</f>
        <v/>
      </c>
      <c r="EV854" s="0" t="str">
        <f aca="false">IF($A854="","",IF(ISNUMBER(MATCH(U854,{"queued","contacted","replied","call_booked","call_done","yes_in_principle","materials_sent"},0)),"Y","N"))</f>
        <v/>
      </c>
      <c r="EW854" s="0" t="str">
        <f aca="false">IF($A854="","",IF(OR(T854="Y",U854="do_not_contact",AQ854&amp;""&lt;&gt;""),"Y","N"))</f>
        <v/>
      </c>
      <c r="EX854" s="0" t="str">
        <f aca="false">IF($A854="","",IF(AN854&amp;""&lt;&gt;"",AN854&amp;"",$A854))</f>
        <v/>
      </c>
      <c r="EY854" s="0" t="str">
        <f aca="false">IF($A854="","",IF(COUNTIFS($EX$2:$EX$1000,EX854,$EV$2:$EV$1000,"Y")+COUNTIFS($EX$2:$EX$1000,EX854,$EW$2:$EW$1000,"Y")&gt;0,"Y","N"))</f>
        <v/>
      </c>
      <c r="EZ854" s="0" t="str">
        <f aca="false">IF($A854="","",IF(AND(U854="new",T854="N",EW854="N",AR854="Y",EY854="N"),"Y","N"))</f>
        <v/>
      </c>
      <c r="FA854" s="0" t="str">
        <f aca="false">IF($A854="","",IF(EZ854&lt;&gt;"Y","N",IF(COUNTIFS($EX$2:$EX$1000,EX854,$EZ$2:$EZ$1000,"Y",$J$2:$J$1000,"&gt;"&amp;J854)+COUNTIFS($EX$2:$EX$1000,EX854,$EZ$2:$EZ$1000,"Y",$J$2:$J$1000,J854,$FG$2:$FG$1000,"&lt;"&amp;FG854)=0,"Y","N")))</f>
        <v/>
      </c>
      <c r="FB854" s="0" t="str">
        <f aca="false">IF($A854="","",IF(AND(EZ854="Y",FA854="Y",Y854&amp;""&lt;&gt;""),IF(Y854&lt;=10,"Y","N"),"N"))</f>
        <v/>
      </c>
      <c r="FC854" s="0" t="str">
        <f aca="false">IF(FB854="Y",Y854,"")</f>
        <v/>
      </c>
      <c r="FD854" s="0" t="str">
        <f aca="false">IF($A854="","",IF(AND(CK854="pass",AU854="Y",AV854&lt;&gt;"Y",U854="new",EW854="N"),"Y","N"))</f>
        <v/>
      </c>
      <c r="FE854" s="0" t="str">
        <f aca="false">IF(FD854&lt;&gt;"Y","",IF(COUNTIFS($FD$2:$FD$1000,"Y",$J$2:$J$1000,"&gt;"&amp;J854)+COUNTIFS($FD$2:$FD$1000,"Y",$J$2:$J$1000,J854,$FG$2:$FG$1000,"&lt;"&amp;FG854)+1&lt;=30,COUNTIFS($FD$2:$FD$1000,"Y",$J$2:$J$1000,"&gt;"&amp;J854)+COUNTIFS($FD$2:$FD$1000,"Y",$J$2:$J$1000,J854,$FG$2:$FG$1000,"&lt;"&amp;FG854)+1,""))</f>
        <v/>
      </c>
      <c r="FF854" s="0" t="str">
        <f aca="false">IF(AND(_xlfn.ISFORMULA(C854),_xlfn.ISFORMULA(J854)),"Y","N")</f>
        <v>Y</v>
      </c>
      <c r="FG854" s="0" t="n">
        <f aca="false">ROW()-1</f>
        <v>853</v>
      </c>
    </row>
    <row r="855" customFormat="false" ht="15" hidden="false" customHeight="false" outlineLevel="0" collapsed="false">
      <c r="C855" s="0" t="str">
        <f aca="false">IF($A855="","",IF(AT855="Y",BL855&amp;"",AY855&amp;""))</f>
        <v/>
      </c>
      <c r="D855" s="0" t="str">
        <f aca="false">IF($A855="","",IF(AT855="Y",BM855&amp;"",AZ855&amp;""))</f>
        <v/>
      </c>
      <c r="E855" s="0" t="str">
        <f aca="false">IF($A855="","",IF(AT855="Y",BN855&amp;"",BA855&amp;""))</f>
        <v/>
      </c>
      <c r="F855" s="0" t="str">
        <f aca="false">IF($A855="","",IF(AT855="Y",BO855&amp;"",BB855&amp;""))</f>
        <v/>
      </c>
      <c r="G855" s="0" t="str">
        <f aca="false">IF($A855="","",IF(AT855="Y",BP855&amp;"",BC855&amp;""))</f>
        <v/>
      </c>
      <c r="H855" s="0" t="str">
        <f aca="false">IF($A855="","",IF(AT855="Y",BQ855&amp;"",BD855&amp;""))</f>
        <v/>
      </c>
      <c r="I855" s="0" t="str">
        <f aca="false">IF($A855="","",IF(R855="Y","warm-intro",IF(H855="verified","email",IF(C855&lt;&gt;"","linkedin",CA855&amp;""))))</f>
        <v/>
      </c>
      <c r="J855" s="0" t="str">
        <f aca="false">IF($A855="","",IF(CK855="pass",ROUND(N(DO855)+N(DP855)+N(DQ855)+N(DR855)+N(DS855)+N(DT855)+N(DU855)+N(DV855),0),0))</f>
        <v/>
      </c>
      <c r="K855" s="0" t="str">
        <f aca="false">IF($A855="","",IF(CK855&lt;&gt;"pass",BY855&amp;"",BY855&amp;", "&amp;IF(AT855="Y",BX855&amp;"",BK855&amp;"")&amp;BZ855&amp;IF(R855="Y","; known to the founder (+10)","")&amp;"."))</f>
        <v/>
      </c>
      <c r="R855" s="5"/>
      <c r="T855" s="5"/>
      <c r="U855" s="5"/>
      <c r="Y855" s="0" t="str">
        <f aca="false">IF(FA855&lt;&gt;"Y","",COUNTIFS($FA$2:$FA$1000,"Y",$J$2:$J$1000,"&gt;"&amp;J855)+COUNTIFS($FA$2:$FA$1000,"Y",$J$2:$J$1000,J855,$FG$2:$FG$1000,"&lt;"&amp;FG855)+1)</f>
        <v/>
      </c>
      <c r="AB855" s="0" t="str">
        <f aca="false">IF($A855="","",IF(AT855="Y",BW855&amp;"",BJ855&amp;""))</f>
        <v/>
      </c>
      <c r="AC855" s="0" t="str">
        <f aca="false">IF($A855="","",IF(AT855="Y",BR855&amp;"",BE855&amp;""))</f>
        <v/>
      </c>
      <c r="AD855" s="0" t="str">
        <f aca="false">IF($A855="","",IF(AT855="Y",BS855&amp;"",BF855&amp;""))</f>
        <v/>
      </c>
      <c r="AE855" s="0" t="str">
        <f aca="false">IF($A855="","",IF(AT855="Y",BT855&amp;"",BG855&amp;""))</f>
        <v/>
      </c>
      <c r="AF855" s="0" t="str">
        <f aca="false">IF($A855="","",IF(AT855="Y",BU855&amp;"",BH855&amp;""))</f>
        <v/>
      </c>
      <c r="AG855" s="0" t="str">
        <f aca="false">IF($A855="","",IF(AT855="Y",BV855&amp;"",BI855&amp;""))</f>
        <v/>
      </c>
      <c r="AO855" s="5"/>
      <c r="AR855" s="0" t="str">
        <f aca="false">IF($A855="","",IF(AND(CK855="pass",AO855&lt;&gt;"Y",C855&lt;&gt;"",OR(AU855&lt;&gt;"Y",AV855="Y")),"Y","N"))</f>
        <v/>
      </c>
      <c r="AS855" s="0" t="str">
        <f aca="false">IF($A855="","",_xlfn.TEXTJOIN("; ",TRUE(),IF(CK855&lt;&gt;"pass","gated out",""),IF(AO855="Y","on hold: "&amp;AP855,""),IF(C855="","no contact named on an opened page",""),IF(AND(AU855="Y",AV855&lt;&gt;"Y"),"founder review pending (Founder review tab)","")))</f>
        <v/>
      </c>
      <c r="BC855" s="0" t="str">
        <f aca="false">IF($A855="","",IFERROR(INDEX(Enrichment!$A$2:$GZ$2000,MATCH($A855,INDEX(Enrichment!$A$2:$GZ$2000,0,MATCH("row_id",Enrichment!$A$1:$GZ$1,0)),0),MATCH("work_email",Enrichment!$A$1:$GZ$1,0))&amp;"",""))</f>
        <v/>
      </c>
      <c r="BD855" s="0" t="str">
        <f aca="false">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P855" s="0" t="str">
        <f aca="false">IF($A855="","",IFERROR(INDEX(Enrichment!$A$2:$GZ$2000,MATCH($A855,INDEX(Enrichment!$A$2:$GZ$2000,0,MATCH("row_id",Enrichment!$A$1:$GZ$1,0)),0),MATCH("backup_work_email",Enrichment!$A$1:$GZ$1,0))&amp;"",""))</f>
        <v/>
      </c>
      <c r="BQ855" s="0" t="str">
        <f aca="false">IF($A855="","",IF(BP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DU855" s="0" t="str">
        <f aca="false">IF($A855="","",IF(R855="Y",10,0))</f>
        <v/>
      </c>
      <c r="EV855" s="0" t="str">
        <f aca="false">IF($A855="","",IF(ISNUMBER(MATCH(U855,{"queued","contacted","replied","call_booked","call_done","yes_in_principle","materials_sent"},0)),"Y","N"))</f>
        <v/>
      </c>
      <c r="EW855" s="0" t="str">
        <f aca="false">IF($A855="","",IF(OR(T855="Y",U855="do_not_contact",AQ855&amp;""&lt;&gt;""),"Y","N"))</f>
        <v/>
      </c>
      <c r="EX855" s="0" t="str">
        <f aca="false">IF($A855="","",IF(AN855&amp;""&lt;&gt;"",AN855&amp;"",$A855))</f>
        <v/>
      </c>
      <c r="EY855" s="0" t="str">
        <f aca="false">IF($A855="","",IF(COUNTIFS($EX$2:$EX$1000,EX855,$EV$2:$EV$1000,"Y")+COUNTIFS($EX$2:$EX$1000,EX855,$EW$2:$EW$1000,"Y")&gt;0,"Y","N"))</f>
        <v/>
      </c>
      <c r="EZ855" s="0" t="str">
        <f aca="false">IF($A855="","",IF(AND(U855="new",T855="N",EW855="N",AR855="Y",EY855="N"),"Y","N"))</f>
        <v/>
      </c>
      <c r="FA855" s="0" t="str">
        <f aca="false">IF($A855="","",IF(EZ855&lt;&gt;"Y","N",IF(COUNTIFS($EX$2:$EX$1000,EX855,$EZ$2:$EZ$1000,"Y",$J$2:$J$1000,"&gt;"&amp;J855)+COUNTIFS($EX$2:$EX$1000,EX855,$EZ$2:$EZ$1000,"Y",$J$2:$J$1000,J855,$FG$2:$FG$1000,"&lt;"&amp;FG855)=0,"Y","N")))</f>
        <v/>
      </c>
      <c r="FB855" s="0" t="str">
        <f aca="false">IF($A855="","",IF(AND(EZ855="Y",FA855="Y",Y855&amp;""&lt;&gt;""),IF(Y855&lt;=10,"Y","N"),"N"))</f>
        <v/>
      </c>
      <c r="FC855" s="0" t="str">
        <f aca="false">IF(FB855="Y",Y855,"")</f>
        <v/>
      </c>
      <c r="FD855" s="0" t="str">
        <f aca="false">IF($A855="","",IF(AND(CK855="pass",AU855="Y",AV855&lt;&gt;"Y",U855="new",EW855="N"),"Y","N"))</f>
        <v/>
      </c>
      <c r="FE855" s="0" t="str">
        <f aca="false">IF(FD855&lt;&gt;"Y","",IF(COUNTIFS($FD$2:$FD$1000,"Y",$J$2:$J$1000,"&gt;"&amp;J855)+COUNTIFS($FD$2:$FD$1000,"Y",$J$2:$J$1000,J855,$FG$2:$FG$1000,"&lt;"&amp;FG855)+1&lt;=30,COUNTIFS($FD$2:$FD$1000,"Y",$J$2:$J$1000,"&gt;"&amp;J855)+COUNTIFS($FD$2:$FD$1000,"Y",$J$2:$J$1000,J855,$FG$2:$FG$1000,"&lt;"&amp;FG855)+1,""))</f>
        <v/>
      </c>
      <c r="FF855" s="0" t="str">
        <f aca="false">IF(AND(_xlfn.ISFORMULA(C855),_xlfn.ISFORMULA(J855)),"Y","N")</f>
        <v>Y</v>
      </c>
      <c r="FG855" s="0" t="n">
        <f aca="false">ROW()-1</f>
        <v>854</v>
      </c>
    </row>
    <row r="856" customFormat="false" ht="15" hidden="false" customHeight="false" outlineLevel="0" collapsed="false">
      <c r="C856" s="0" t="str">
        <f aca="false">IF($A856="","",IF(AT856="Y",BL856&amp;"",AY856&amp;""))</f>
        <v/>
      </c>
      <c r="D856" s="0" t="str">
        <f aca="false">IF($A856="","",IF(AT856="Y",BM856&amp;"",AZ856&amp;""))</f>
        <v/>
      </c>
      <c r="E856" s="0" t="str">
        <f aca="false">IF($A856="","",IF(AT856="Y",BN856&amp;"",BA856&amp;""))</f>
        <v/>
      </c>
      <c r="F856" s="0" t="str">
        <f aca="false">IF($A856="","",IF(AT856="Y",BO856&amp;"",BB856&amp;""))</f>
        <v/>
      </c>
      <c r="G856" s="0" t="str">
        <f aca="false">IF($A856="","",IF(AT856="Y",BP856&amp;"",BC856&amp;""))</f>
        <v/>
      </c>
      <c r="H856" s="0" t="str">
        <f aca="false">IF($A856="","",IF(AT856="Y",BQ856&amp;"",BD856&amp;""))</f>
        <v/>
      </c>
      <c r="I856" s="0" t="str">
        <f aca="false">IF($A856="","",IF(R856="Y","warm-intro",IF(H856="verified","email",IF(C856&lt;&gt;"","linkedin",CA856&amp;""))))</f>
        <v/>
      </c>
      <c r="J856" s="0" t="str">
        <f aca="false">IF($A856="","",IF(CK856="pass",ROUND(N(DO856)+N(DP856)+N(DQ856)+N(DR856)+N(DS856)+N(DT856)+N(DU856)+N(DV856),0),0))</f>
        <v/>
      </c>
      <c r="K856" s="0" t="str">
        <f aca="false">IF($A856="","",IF(CK856&lt;&gt;"pass",BY856&amp;"",BY856&amp;", "&amp;IF(AT856="Y",BX856&amp;"",BK856&amp;"")&amp;BZ856&amp;IF(R856="Y","; known to the founder (+10)","")&amp;"."))</f>
        <v/>
      </c>
      <c r="R856" s="5"/>
      <c r="T856" s="5"/>
      <c r="U856" s="5"/>
      <c r="Y856" s="0" t="str">
        <f aca="false">IF(FA856&lt;&gt;"Y","",COUNTIFS($FA$2:$FA$1000,"Y",$J$2:$J$1000,"&gt;"&amp;J856)+COUNTIFS($FA$2:$FA$1000,"Y",$J$2:$J$1000,J856,$FG$2:$FG$1000,"&lt;"&amp;FG856)+1)</f>
        <v/>
      </c>
      <c r="AB856" s="0" t="str">
        <f aca="false">IF($A856="","",IF(AT856="Y",BW856&amp;"",BJ856&amp;""))</f>
        <v/>
      </c>
      <c r="AC856" s="0" t="str">
        <f aca="false">IF($A856="","",IF(AT856="Y",BR856&amp;"",BE856&amp;""))</f>
        <v/>
      </c>
      <c r="AD856" s="0" t="str">
        <f aca="false">IF($A856="","",IF(AT856="Y",BS856&amp;"",BF856&amp;""))</f>
        <v/>
      </c>
      <c r="AE856" s="0" t="str">
        <f aca="false">IF($A856="","",IF(AT856="Y",BT856&amp;"",BG856&amp;""))</f>
        <v/>
      </c>
      <c r="AF856" s="0" t="str">
        <f aca="false">IF($A856="","",IF(AT856="Y",BU856&amp;"",BH856&amp;""))</f>
        <v/>
      </c>
      <c r="AG856" s="0" t="str">
        <f aca="false">IF($A856="","",IF(AT856="Y",BV856&amp;"",BI856&amp;""))</f>
        <v/>
      </c>
      <c r="AO856" s="5"/>
      <c r="AR856" s="0" t="str">
        <f aca="false">IF($A856="","",IF(AND(CK856="pass",AO856&lt;&gt;"Y",C856&lt;&gt;"",OR(AU856&lt;&gt;"Y",AV856="Y")),"Y","N"))</f>
        <v/>
      </c>
      <c r="AS856" s="0" t="str">
        <f aca="false">IF($A856="","",_xlfn.TEXTJOIN("; ",TRUE(),IF(CK856&lt;&gt;"pass","gated out",""),IF(AO856="Y","on hold: "&amp;AP856,""),IF(C856="","no contact named on an opened page",""),IF(AND(AU856="Y",AV856&lt;&gt;"Y"),"founder review pending (Founder review tab)","")))</f>
        <v/>
      </c>
      <c r="BC856" s="0" t="str">
        <f aca="false">IF($A856="","",IFERROR(INDEX(Enrichment!$A$2:$GZ$2000,MATCH($A856,INDEX(Enrichment!$A$2:$GZ$2000,0,MATCH("row_id",Enrichment!$A$1:$GZ$1,0)),0),MATCH("work_email",Enrichment!$A$1:$GZ$1,0))&amp;"",""))</f>
        <v/>
      </c>
      <c r="BD856" s="0" t="str">
        <f aca="false">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P856" s="0" t="str">
        <f aca="false">IF($A856="","",IFERROR(INDEX(Enrichment!$A$2:$GZ$2000,MATCH($A856,INDEX(Enrichment!$A$2:$GZ$2000,0,MATCH("row_id",Enrichment!$A$1:$GZ$1,0)),0),MATCH("backup_work_email",Enrichment!$A$1:$GZ$1,0))&amp;"",""))</f>
        <v/>
      </c>
      <c r="BQ856" s="0" t="str">
        <f aca="false">IF($A856="","",IF(BP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DU856" s="0" t="str">
        <f aca="false">IF($A856="","",IF(R856="Y",10,0))</f>
        <v/>
      </c>
      <c r="EV856" s="0" t="str">
        <f aca="false">IF($A856="","",IF(ISNUMBER(MATCH(U856,{"queued","contacted","replied","call_booked","call_done","yes_in_principle","materials_sent"},0)),"Y","N"))</f>
        <v/>
      </c>
      <c r="EW856" s="0" t="str">
        <f aca="false">IF($A856="","",IF(OR(T856="Y",U856="do_not_contact",AQ856&amp;""&lt;&gt;""),"Y","N"))</f>
        <v/>
      </c>
      <c r="EX856" s="0" t="str">
        <f aca="false">IF($A856="","",IF(AN856&amp;""&lt;&gt;"",AN856&amp;"",$A856))</f>
        <v/>
      </c>
      <c r="EY856" s="0" t="str">
        <f aca="false">IF($A856="","",IF(COUNTIFS($EX$2:$EX$1000,EX856,$EV$2:$EV$1000,"Y")+COUNTIFS($EX$2:$EX$1000,EX856,$EW$2:$EW$1000,"Y")&gt;0,"Y","N"))</f>
        <v/>
      </c>
      <c r="EZ856" s="0" t="str">
        <f aca="false">IF($A856="","",IF(AND(U856="new",T856="N",EW856="N",AR856="Y",EY856="N"),"Y","N"))</f>
        <v/>
      </c>
      <c r="FA856" s="0" t="str">
        <f aca="false">IF($A856="","",IF(EZ856&lt;&gt;"Y","N",IF(COUNTIFS($EX$2:$EX$1000,EX856,$EZ$2:$EZ$1000,"Y",$J$2:$J$1000,"&gt;"&amp;J856)+COUNTIFS($EX$2:$EX$1000,EX856,$EZ$2:$EZ$1000,"Y",$J$2:$J$1000,J856,$FG$2:$FG$1000,"&lt;"&amp;FG856)=0,"Y","N")))</f>
        <v/>
      </c>
      <c r="FB856" s="0" t="str">
        <f aca="false">IF($A856="","",IF(AND(EZ856="Y",FA856="Y",Y856&amp;""&lt;&gt;""),IF(Y856&lt;=10,"Y","N"),"N"))</f>
        <v/>
      </c>
      <c r="FC856" s="0" t="str">
        <f aca="false">IF(FB856="Y",Y856,"")</f>
        <v/>
      </c>
      <c r="FD856" s="0" t="str">
        <f aca="false">IF($A856="","",IF(AND(CK856="pass",AU856="Y",AV856&lt;&gt;"Y",U856="new",EW856="N"),"Y","N"))</f>
        <v/>
      </c>
      <c r="FE856" s="0" t="str">
        <f aca="false">IF(FD856&lt;&gt;"Y","",IF(COUNTIFS($FD$2:$FD$1000,"Y",$J$2:$J$1000,"&gt;"&amp;J856)+COUNTIFS($FD$2:$FD$1000,"Y",$J$2:$J$1000,J856,$FG$2:$FG$1000,"&lt;"&amp;FG856)+1&lt;=30,COUNTIFS($FD$2:$FD$1000,"Y",$J$2:$J$1000,"&gt;"&amp;J856)+COUNTIFS($FD$2:$FD$1000,"Y",$J$2:$J$1000,J856,$FG$2:$FG$1000,"&lt;"&amp;FG856)+1,""))</f>
        <v/>
      </c>
      <c r="FF856" s="0" t="str">
        <f aca="false">IF(AND(_xlfn.ISFORMULA(C856),_xlfn.ISFORMULA(J856)),"Y","N")</f>
        <v>Y</v>
      </c>
      <c r="FG856" s="0" t="n">
        <f aca="false">ROW()-1</f>
        <v>855</v>
      </c>
    </row>
    <row r="857" customFormat="false" ht="15" hidden="false" customHeight="false" outlineLevel="0" collapsed="false">
      <c r="C857" s="0" t="str">
        <f aca="false">IF($A857="","",IF(AT857="Y",BL857&amp;"",AY857&amp;""))</f>
        <v/>
      </c>
      <c r="D857" s="0" t="str">
        <f aca="false">IF($A857="","",IF(AT857="Y",BM857&amp;"",AZ857&amp;""))</f>
        <v/>
      </c>
      <c r="E857" s="0" t="str">
        <f aca="false">IF($A857="","",IF(AT857="Y",BN857&amp;"",BA857&amp;""))</f>
        <v/>
      </c>
      <c r="F857" s="0" t="str">
        <f aca="false">IF($A857="","",IF(AT857="Y",BO857&amp;"",BB857&amp;""))</f>
        <v/>
      </c>
      <c r="G857" s="0" t="str">
        <f aca="false">IF($A857="","",IF(AT857="Y",BP857&amp;"",BC857&amp;""))</f>
        <v/>
      </c>
      <c r="H857" s="0" t="str">
        <f aca="false">IF($A857="","",IF(AT857="Y",BQ857&amp;"",BD857&amp;""))</f>
        <v/>
      </c>
      <c r="I857" s="0" t="str">
        <f aca="false">IF($A857="","",IF(R857="Y","warm-intro",IF(H857="verified","email",IF(C857&lt;&gt;"","linkedin",CA857&amp;""))))</f>
        <v/>
      </c>
      <c r="J857" s="0" t="str">
        <f aca="false">IF($A857="","",IF(CK857="pass",ROUND(N(DO857)+N(DP857)+N(DQ857)+N(DR857)+N(DS857)+N(DT857)+N(DU857)+N(DV857),0),0))</f>
        <v/>
      </c>
      <c r="K857" s="0" t="str">
        <f aca="false">IF($A857="","",IF(CK857&lt;&gt;"pass",BY857&amp;"",BY857&amp;", "&amp;IF(AT857="Y",BX857&amp;"",BK857&amp;"")&amp;BZ857&amp;IF(R857="Y","; known to the founder (+10)","")&amp;"."))</f>
        <v/>
      </c>
      <c r="R857" s="5"/>
      <c r="T857" s="5"/>
      <c r="U857" s="5"/>
      <c r="Y857" s="0" t="str">
        <f aca="false">IF(FA857&lt;&gt;"Y","",COUNTIFS($FA$2:$FA$1000,"Y",$J$2:$J$1000,"&gt;"&amp;J857)+COUNTIFS($FA$2:$FA$1000,"Y",$J$2:$J$1000,J857,$FG$2:$FG$1000,"&lt;"&amp;FG857)+1)</f>
        <v/>
      </c>
      <c r="AB857" s="0" t="str">
        <f aca="false">IF($A857="","",IF(AT857="Y",BW857&amp;"",BJ857&amp;""))</f>
        <v/>
      </c>
      <c r="AC857" s="0" t="str">
        <f aca="false">IF($A857="","",IF(AT857="Y",BR857&amp;"",BE857&amp;""))</f>
        <v/>
      </c>
      <c r="AD857" s="0" t="str">
        <f aca="false">IF($A857="","",IF(AT857="Y",BS857&amp;"",BF857&amp;""))</f>
        <v/>
      </c>
      <c r="AE857" s="0" t="str">
        <f aca="false">IF($A857="","",IF(AT857="Y",BT857&amp;"",BG857&amp;""))</f>
        <v/>
      </c>
      <c r="AF857" s="0" t="str">
        <f aca="false">IF($A857="","",IF(AT857="Y",BU857&amp;"",BH857&amp;""))</f>
        <v/>
      </c>
      <c r="AG857" s="0" t="str">
        <f aca="false">IF($A857="","",IF(AT857="Y",BV857&amp;"",BI857&amp;""))</f>
        <v/>
      </c>
      <c r="AO857" s="5"/>
      <c r="AR857" s="0" t="str">
        <f aca="false">IF($A857="","",IF(AND(CK857="pass",AO857&lt;&gt;"Y",C857&lt;&gt;"",OR(AU857&lt;&gt;"Y",AV857="Y")),"Y","N"))</f>
        <v/>
      </c>
      <c r="AS857" s="0" t="str">
        <f aca="false">IF($A857="","",_xlfn.TEXTJOIN("; ",TRUE(),IF(CK857&lt;&gt;"pass","gated out",""),IF(AO857="Y","on hold: "&amp;AP857,""),IF(C857="","no contact named on an opened page",""),IF(AND(AU857="Y",AV857&lt;&gt;"Y"),"founder review pending (Founder review tab)","")))</f>
        <v/>
      </c>
      <c r="BC857" s="0" t="str">
        <f aca="false">IF($A857="","",IFERROR(INDEX(Enrichment!$A$2:$GZ$2000,MATCH($A857,INDEX(Enrichment!$A$2:$GZ$2000,0,MATCH("row_id",Enrichment!$A$1:$GZ$1,0)),0),MATCH("work_email",Enrichment!$A$1:$GZ$1,0))&amp;"",""))</f>
        <v/>
      </c>
      <c r="BD857" s="0" t="str">
        <f aca="false">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P857" s="0" t="str">
        <f aca="false">IF($A857="","",IFERROR(INDEX(Enrichment!$A$2:$GZ$2000,MATCH($A857,INDEX(Enrichment!$A$2:$GZ$2000,0,MATCH("row_id",Enrichment!$A$1:$GZ$1,0)),0),MATCH("backup_work_email",Enrichment!$A$1:$GZ$1,0))&amp;"",""))</f>
        <v/>
      </c>
      <c r="BQ857" s="0" t="str">
        <f aca="false">IF($A857="","",IF(BP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DU857" s="0" t="str">
        <f aca="false">IF($A857="","",IF(R857="Y",10,0))</f>
        <v/>
      </c>
      <c r="EV857" s="0" t="str">
        <f aca="false">IF($A857="","",IF(ISNUMBER(MATCH(U857,{"queued","contacted","replied","call_booked","call_done","yes_in_principle","materials_sent"},0)),"Y","N"))</f>
        <v/>
      </c>
      <c r="EW857" s="0" t="str">
        <f aca="false">IF($A857="","",IF(OR(T857="Y",U857="do_not_contact",AQ857&amp;""&lt;&gt;""),"Y","N"))</f>
        <v/>
      </c>
      <c r="EX857" s="0" t="str">
        <f aca="false">IF($A857="","",IF(AN857&amp;""&lt;&gt;"",AN857&amp;"",$A857))</f>
        <v/>
      </c>
      <c r="EY857" s="0" t="str">
        <f aca="false">IF($A857="","",IF(COUNTIFS($EX$2:$EX$1000,EX857,$EV$2:$EV$1000,"Y")+COUNTIFS($EX$2:$EX$1000,EX857,$EW$2:$EW$1000,"Y")&gt;0,"Y","N"))</f>
        <v/>
      </c>
      <c r="EZ857" s="0" t="str">
        <f aca="false">IF($A857="","",IF(AND(U857="new",T857="N",EW857="N",AR857="Y",EY857="N"),"Y","N"))</f>
        <v/>
      </c>
      <c r="FA857" s="0" t="str">
        <f aca="false">IF($A857="","",IF(EZ857&lt;&gt;"Y","N",IF(COUNTIFS($EX$2:$EX$1000,EX857,$EZ$2:$EZ$1000,"Y",$J$2:$J$1000,"&gt;"&amp;J857)+COUNTIFS($EX$2:$EX$1000,EX857,$EZ$2:$EZ$1000,"Y",$J$2:$J$1000,J857,$FG$2:$FG$1000,"&lt;"&amp;FG857)=0,"Y","N")))</f>
        <v/>
      </c>
      <c r="FB857" s="0" t="str">
        <f aca="false">IF($A857="","",IF(AND(EZ857="Y",FA857="Y",Y857&amp;""&lt;&gt;""),IF(Y857&lt;=10,"Y","N"),"N"))</f>
        <v/>
      </c>
      <c r="FC857" s="0" t="str">
        <f aca="false">IF(FB857="Y",Y857,"")</f>
        <v/>
      </c>
      <c r="FD857" s="0" t="str">
        <f aca="false">IF($A857="","",IF(AND(CK857="pass",AU857="Y",AV857&lt;&gt;"Y",U857="new",EW857="N"),"Y","N"))</f>
        <v/>
      </c>
      <c r="FE857" s="0" t="str">
        <f aca="false">IF(FD857&lt;&gt;"Y","",IF(COUNTIFS($FD$2:$FD$1000,"Y",$J$2:$J$1000,"&gt;"&amp;J857)+COUNTIFS($FD$2:$FD$1000,"Y",$J$2:$J$1000,J857,$FG$2:$FG$1000,"&lt;"&amp;FG857)+1&lt;=30,COUNTIFS($FD$2:$FD$1000,"Y",$J$2:$J$1000,"&gt;"&amp;J857)+COUNTIFS($FD$2:$FD$1000,"Y",$J$2:$J$1000,J857,$FG$2:$FG$1000,"&lt;"&amp;FG857)+1,""))</f>
        <v/>
      </c>
      <c r="FF857" s="0" t="str">
        <f aca="false">IF(AND(_xlfn.ISFORMULA(C857),_xlfn.ISFORMULA(J857)),"Y","N")</f>
        <v>Y</v>
      </c>
      <c r="FG857" s="0" t="n">
        <f aca="false">ROW()-1</f>
        <v>856</v>
      </c>
    </row>
    <row r="858" customFormat="false" ht="15" hidden="false" customHeight="false" outlineLevel="0" collapsed="false">
      <c r="C858" s="0" t="str">
        <f aca="false">IF($A858="","",IF(AT858="Y",BL858&amp;"",AY858&amp;""))</f>
        <v/>
      </c>
      <c r="D858" s="0" t="str">
        <f aca="false">IF($A858="","",IF(AT858="Y",BM858&amp;"",AZ858&amp;""))</f>
        <v/>
      </c>
      <c r="E858" s="0" t="str">
        <f aca="false">IF($A858="","",IF(AT858="Y",BN858&amp;"",BA858&amp;""))</f>
        <v/>
      </c>
      <c r="F858" s="0" t="str">
        <f aca="false">IF($A858="","",IF(AT858="Y",BO858&amp;"",BB858&amp;""))</f>
        <v/>
      </c>
      <c r="G858" s="0" t="str">
        <f aca="false">IF($A858="","",IF(AT858="Y",BP858&amp;"",BC858&amp;""))</f>
        <v/>
      </c>
      <c r="H858" s="0" t="str">
        <f aca="false">IF($A858="","",IF(AT858="Y",BQ858&amp;"",BD858&amp;""))</f>
        <v/>
      </c>
      <c r="I858" s="0" t="str">
        <f aca="false">IF($A858="","",IF(R858="Y","warm-intro",IF(H858="verified","email",IF(C858&lt;&gt;"","linkedin",CA858&amp;""))))</f>
        <v/>
      </c>
      <c r="J858" s="0" t="str">
        <f aca="false">IF($A858="","",IF(CK858="pass",ROUND(N(DO858)+N(DP858)+N(DQ858)+N(DR858)+N(DS858)+N(DT858)+N(DU858)+N(DV858),0),0))</f>
        <v/>
      </c>
      <c r="K858" s="0" t="str">
        <f aca="false">IF($A858="","",IF(CK858&lt;&gt;"pass",BY858&amp;"",BY858&amp;", "&amp;IF(AT858="Y",BX858&amp;"",BK858&amp;"")&amp;BZ858&amp;IF(R858="Y","; known to the founder (+10)","")&amp;"."))</f>
        <v/>
      </c>
      <c r="R858" s="5"/>
      <c r="T858" s="5"/>
      <c r="U858" s="5"/>
      <c r="Y858" s="0" t="str">
        <f aca="false">IF(FA858&lt;&gt;"Y","",COUNTIFS($FA$2:$FA$1000,"Y",$J$2:$J$1000,"&gt;"&amp;J858)+COUNTIFS($FA$2:$FA$1000,"Y",$J$2:$J$1000,J858,$FG$2:$FG$1000,"&lt;"&amp;FG858)+1)</f>
        <v/>
      </c>
      <c r="AB858" s="0" t="str">
        <f aca="false">IF($A858="","",IF(AT858="Y",BW858&amp;"",BJ858&amp;""))</f>
        <v/>
      </c>
      <c r="AC858" s="0" t="str">
        <f aca="false">IF($A858="","",IF(AT858="Y",BR858&amp;"",BE858&amp;""))</f>
        <v/>
      </c>
      <c r="AD858" s="0" t="str">
        <f aca="false">IF($A858="","",IF(AT858="Y",BS858&amp;"",BF858&amp;""))</f>
        <v/>
      </c>
      <c r="AE858" s="0" t="str">
        <f aca="false">IF($A858="","",IF(AT858="Y",BT858&amp;"",BG858&amp;""))</f>
        <v/>
      </c>
      <c r="AF858" s="0" t="str">
        <f aca="false">IF($A858="","",IF(AT858="Y",BU858&amp;"",BH858&amp;""))</f>
        <v/>
      </c>
      <c r="AG858" s="0" t="str">
        <f aca="false">IF($A858="","",IF(AT858="Y",BV858&amp;"",BI858&amp;""))</f>
        <v/>
      </c>
      <c r="AO858" s="5"/>
      <c r="AR858" s="0" t="str">
        <f aca="false">IF($A858="","",IF(AND(CK858="pass",AO858&lt;&gt;"Y",C858&lt;&gt;"",OR(AU858&lt;&gt;"Y",AV858="Y")),"Y","N"))</f>
        <v/>
      </c>
      <c r="AS858" s="0" t="str">
        <f aca="false">IF($A858="","",_xlfn.TEXTJOIN("; ",TRUE(),IF(CK858&lt;&gt;"pass","gated out",""),IF(AO858="Y","on hold: "&amp;AP858,""),IF(C858="","no contact named on an opened page",""),IF(AND(AU858="Y",AV858&lt;&gt;"Y"),"founder review pending (Founder review tab)","")))</f>
        <v/>
      </c>
      <c r="BC858" s="0" t="str">
        <f aca="false">IF($A858="","",IFERROR(INDEX(Enrichment!$A$2:$GZ$2000,MATCH($A858,INDEX(Enrichment!$A$2:$GZ$2000,0,MATCH("row_id",Enrichment!$A$1:$GZ$1,0)),0),MATCH("work_email",Enrichment!$A$1:$GZ$1,0))&amp;"",""))</f>
        <v/>
      </c>
      <c r="BD858" s="0" t="str">
        <f aca="false">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P858" s="0" t="str">
        <f aca="false">IF($A858="","",IFERROR(INDEX(Enrichment!$A$2:$GZ$2000,MATCH($A858,INDEX(Enrichment!$A$2:$GZ$2000,0,MATCH("row_id",Enrichment!$A$1:$GZ$1,0)),0),MATCH("backup_work_email",Enrichment!$A$1:$GZ$1,0))&amp;"",""))</f>
        <v/>
      </c>
      <c r="BQ858" s="0" t="str">
        <f aca="false">IF($A858="","",IF(BP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DU858" s="0" t="str">
        <f aca="false">IF($A858="","",IF(R858="Y",10,0))</f>
        <v/>
      </c>
      <c r="EV858" s="0" t="str">
        <f aca="false">IF($A858="","",IF(ISNUMBER(MATCH(U858,{"queued","contacted","replied","call_booked","call_done","yes_in_principle","materials_sent"},0)),"Y","N"))</f>
        <v/>
      </c>
      <c r="EW858" s="0" t="str">
        <f aca="false">IF($A858="","",IF(OR(T858="Y",U858="do_not_contact",AQ858&amp;""&lt;&gt;""),"Y","N"))</f>
        <v/>
      </c>
      <c r="EX858" s="0" t="str">
        <f aca="false">IF($A858="","",IF(AN858&amp;""&lt;&gt;"",AN858&amp;"",$A858))</f>
        <v/>
      </c>
      <c r="EY858" s="0" t="str">
        <f aca="false">IF($A858="","",IF(COUNTIFS($EX$2:$EX$1000,EX858,$EV$2:$EV$1000,"Y")+COUNTIFS($EX$2:$EX$1000,EX858,$EW$2:$EW$1000,"Y")&gt;0,"Y","N"))</f>
        <v/>
      </c>
      <c r="EZ858" s="0" t="str">
        <f aca="false">IF($A858="","",IF(AND(U858="new",T858="N",EW858="N",AR858="Y",EY858="N"),"Y","N"))</f>
        <v/>
      </c>
      <c r="FA858" s="0" t="str">
        <f aca="false">IF($A858="","",IF(EZ858&lt;&gt;"Y","N",IF(COUNTIFS($EX$2:$EX$1000,EX858,$EZ$2:$EZ$1000,"Y",$J$2:$J$1000,"&gt;"&amp;J858)+COUNTIFS($EX$2:$EX$1000,EX858,$EZ$2:$EZ$1000,"Y",$J$2:$J$1000,J858,$FG$2:$FG$1000,"&lt;"&amp;FG858)=0,"Y","N")))</f>
        <v/>
      </c>
      <c r="FB858" s="0" t="str">
        <f aca="false">IF($A858="","",IF(AND(EZ858="Y",FA858="Y",Y858&amp;""&lt;&gt;""),IF(Y858&lt;=10,"Y","N"),"N"))</f>
        <v/>
      </c>
      <c r="FC858" s="0" t="str">
        <f aca="false">IF(FB858="Y",Y858,"")</f>
        <v/>
      </c>
      <c r="FD858" s="0" t="str">
        <f aca="false">IF($A858="","",IF(AND(CK858="pass",AU858="Y",AV858&lt;&gt;"Y",U858="new",EW858="N"),"Y","N"))</f>
        <v/>
      </c>
      <c r="FE858" s="0" t="str">
        <f aca="false">IF(FD858&lt;&gt;"Y","",IF(COUNTIFS($FD$2:$FD$1000,"Y",$J$2:$J$1000,"&gt;"&amp;J858)+COUNTIFS($FD$2:$FD$1000,"Y",$J$2:$J$1000,J858,$FG$2:$FG$1000,"&lt;"&amp;FG858)+1&lt;=30,COUNTIFS($FD$2:$FD$1000,"Y",$J$2:$J$1000,"&gt;"&amp;J858)+COUNTIFS($FD$2:$FD$1000,"Y",$J$2:$J$1000,J858,$FG$2:$FG$1000,"&lt;"&amp;FG858)+1,""))</f>
        <v/>
      </c>
      <c r="FF858" s="0" t="str">
        <f aca="false">IF(AND(_xlfn.ISFORMULA(C858),_xlfn.ISFORMULA(J858)),"Y","N")</f>
        <v>Y</v>
      </c>
      <c r="FG858" s="0" t="n">
        <f aca="false">ROW()-1</f>
        <v>857</v>
      </c>
    </row>
    <row r="859" customFormat="false" ht="15" hidden="false" customHeight="false" outlineLevel="0" collapsed="false">
      <c r="C859" s="0" t="str">
        <f aca="false">IF($A859="","",IF(AT859="Y",BL859&amp;"",AY859&amp;""))</f>
        <v/>
      </c>
      <c r="D859" s="0" t="str">
        <f aca="false">IF($A859="","",IF(AT859="Y",BM859&amp;"",AZ859&amp;""))</f>
        <v/>
      </c>
      <c r="E859" s="0" t="str">
        <f aca="false">IF($A859="","",IF(AT859="Y",BN859&amp;"",BA859&amp;""))</f>
        <v/>
      </c>
      <c r="F859" s="0" t="str">
        <f aca="false">IF($A859="","",IF(AT859="Y",BO859&amp;"",BB859&amp;""))</f>
        <v/>
      </c>
      <c r="G859" s="0" t="str">
        <f aca="false">IF($A859="","",IF(AT859="Y",BP859&amp;"",BC859&amp;""))</f>
        <v/>
      </c>
      <c r="H859" s="0" t="str">
        <f aca="false">IF($A859="","",IF(AT859="Y",BQ859&amp;"",BD859&amp;""))</f>
        <v/>
      </c>
      <c r="I859" s="0" t="str">
        <f aca="false">IF($A859="","",IF(R859="Y","warm-intro",IF(H859="verified","email",IF(C859&lt;&gt;"","linkedin",CA859&amp;""))))</f>
        <v/>
      </c>
      <c r="J859" s="0" t="str">
        <f aca="false">IF($A859="","",IF(CK859="pass",ROUND(N(DO859)+N(DP859)+N(DQ859)+N(DR859)+N(DS859)+N(DT859)+N(DU859)+N(DV859),0),0))</f>
        <v/>
      </c>
      <c r="K859" s="0" t="str">
        <f aca="false">IF($A859="","",IF(CK859&lt;&gt;"pass",BY859&amp;"",BY859&amp;", "&amp;IF(AT859="Y",BX859&amp;"",BK859&amp;"")&amp;BZ859&amp;IF(R859="Y","; known to the founder (+10)","")&amp;"."))</f>
        <v/>
      </c>
      <c r="R859" s="5"/>
      <c r="T859" s="5"/>
      <c r="U859" s="5"/>
      <c r="Y859" s="0" t="str">
        <f aca="false">IF(FA859&lt;&gt;"Y","",COUNTIFS($FA$2:$FA$1000,"Y",$J$2:$J$1000,"&gt;"&amp;J859)+COUNTIFS($FA$2:$FA$1000,"Y",$J$2:$J$1000,J859,$FG$2:$FG$1000,"&lt;"&amp;FG859)+1)</f>
        <v/>
      </c>
      <c r="AB859" s="0" t="str">
        <f aca="false">IF($A859="","",IF(AT859="Y",BW859&amp;"",BJ859&amp;""))</f>
        <v/>
      </c>
      <c r="AC859" s="0" t="str">
        <f aca="false">IF($A859="","",IF(AT859="Y",BR859&amp;"",BE859&amp;""))</f>
        <v/>
      </c>
      <c r="AD859" s="0" t="str">
        <f aca="false">IF($A859="","",IF(AT859="Y",BS859&amp;"",BF859&amp;""))</f>
        <v/>
      </c>
      <c r="AE859" s="0" t="str">
        <f aca="false">IF($A859="","",IF(AT859="Y",BT859&amp;"",BG859&amp;""))</f>
        <v/>
      </c>
      <c r="AF859" s="0" t="str">
        <f aca="false">IF($A859="","",IF(AT859="Y",BU859&amp;"",BH859&amp;""))</f>
        <v/>
      </c>
      <c r="AG859" s="0" t="str">
        <f aca="false">IF($A859="","",IF(AT859="Y",BV859&amp;"",BI859&amp;""))</f>
        <v/>
      </c>
      <c r="AO859" s="5"/>
      <c r="AR859" s="0" t="str">
        <f aca="false">IF($A859="","",IF(AND(CK859="pass",AO859&lt;&gt;"Y",C859&lt;&gt;"",OR(AU859&lt;&gt;"Y",AV859="Y")),"Y","N"))</f>
        <v/>
      </c>
      <c r="AS859" s="0" t="str">
        <f aca="false">IF($A859="","",_xlfn.TEXTJOIN("; ",TRUE(),IF(CK859&lt;&gt;"pass","gated out",""),IF(AO859="Y","on hold: "&amp;AP859,""),IF(C859="","no contact named on an opened page",""),IF(AND(AU859="Y",AV859&lt;&gt;"Y"),"founder review pending (Founder review tab)","")))</f>
        <v/>
      </c>
      <c r="BC859" s="0" t="str">
        <f aca="false">IF($A859="","",IFERROR(INDEX(Enrichment!$A$2:$GZ$2000,MATCH($A859,INDEX(Enrichment!$A$2:$GZ$2000,0,MATCH("row_id",Enrichment!$A$1:$GZ$1,0)),0),MATCH("work_email",Enrichment!$A$1:$GZ$1,0))&amp;"",""))</f>
        <v/>
      </c>
      <c r="BD859" s="0" t="str">
        <f aca="false">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P859" s="0" t="str">
        <f aca="false">IF($A859="","",IFERROR(INDEX(Enrichment!$A$2:$GZ$2000,MATCH($A859,INDEX(Enrichment!$A$2:$GZ$2000,0,MATCH("row_id",Enrichment!$A$1:$GZ$1,0)),0),MATCH("backup_work_email",Enrichment!$A$1:$GZ$1,0))&amp;"",""))</f>
        <v/>
      </c>
      <c r="BQ859" s="0" t="str">
        <f aca="false">IF($A859="","",IF(BP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DU859" s="0" t="str">
        <f aca="false">IF($A859="","",IF(R859="Y",10,0))</f>
        <v/>
      </c>
      <c r="EV859" s="0" t="str">
        <f aca="false">IF($A859="","",IF(ISNUMBER(MATCH(U859,{"queued","contacted","replied","call_booked","call_done","yes_in_principle","materials_sent"},0)),"Y","N"))</f>
        <v/>
      </c>
      <c r="EW859" s="0" t="str">
        <f aca="false">IF($A859="","",IF(OR(T859="Y",U859="do_not_contact",AQ859&amp;""&lt;&gt;""),"Y","N"))</f>
        <v/>
      </c>
      <c r="EX859" s="0" t="str">
        <f aca="false">IF($A859="","",IF(AN859&amp;""&lt;&gt;"",AN859&amp;"",$A859))</f>
        <v/>
      </c>
      <c r="EY859" s="0" t="str">
        <f aca="false">IF($A859="","",IF(COUNTIFS($EX$2:$EX$1000,EX859,$EV$2:$EV$1000,"Y")+COUNTIFS($EX$2:$EX$1000,EX859,$EW$2:$EW$1000,"Y")&gt;0,"Y","N"))</f>
        <v/>
      </c>
      <c r="EZ859" s="0" t="str">
        <f aca="false">IF($A859="","",IF(AND(U859="new",T859="N",EW859="N",AR859="Y",EY859="N"),"Y","N"))</f>
        <v/>
      </c>
      <c r="FA859" s="0" t="str">
        <f aca="false">IF($A859="","",IF(EZ859&lt;&gt;"Y","N",IF(COUNTIFS($EX$2:$EX$1000,EX859,$EZ$2:$EZ$1000,"Y",$J$2:$J$1000,"&gt;"&amp;J859)+COUNTIFS($EX$2:$EX$1000,EX859,$EZ$2:$EZ$1000,"Y",$J$2:$J$1000,J859,$FG$2:$FG$1000,"&lt;"&amp;FG859)=0,"Y","N")))</f>
        <v/>
      </c>
      <c r="FB859" s="0" t="str">
        <f aca="false">IF($A859="","",IF(AND(EZ859="Y",FA859="Y",Y859&amp;""&lt;&gt;""),IF(Y859&lt;=10,"Y","N"),"N"))</f>
        <v/>
      </c>
      <c r="FC859" s="0" t="str">
        <f aca="false">IF(FB859="Y",Y859,"")</f>
        <v/>
      </c>
      <c r="FD859" s="0" t="str">
        <f aca="false">IF($A859="","",IF(AND(CK859="pass",AU859="Y",AV859&lt;&gt;"Y",U859="new",EW859="N"),"Y","N"))</f>
        <v/>
      </c>
      <c r="FE859" s="0" t="str">
        <f aca="false">IF(FD859&lt;&gt;"Y","",IF(COUNTIFS($FD$2:$FD$1000,"Y",$J$2:$J$1000,"&gt;"&amp;J859)+COUNTIFS($FD$2:$FD$1000,"Y",$J$2:$J$1000,J859,$FG$2:$FG$1000,"&lt;"&amp;FG859)+1&lt;=30,COUNTIFS($FD$2:$FD$1000,"Y",$J$2:$J$1000,"&gt;"&amp;J859)+COUNTIFS($FD$2:$FD$1000,"Y",$J$2:$J$1000,J859,$FG$2:$FG$1000,"&lt;"&amp;FG859)+1,""))</f>
        <v/>
      </c>
      <c r="FF859" s="0" t="str">
        <f aca="false">IF(AND(_xlfn.ISFORMULA(C859),_xlfn.ISFORMULA(J859)),"Y","N")</f>
        <v>Y</v>
      </c>
      <c r="FG859" s="0" t="n">
        <f aca="false">ROW()-1</f>
        <v>858</v>
      </c>
    </row>
    <row r="860" customFormat="false" ht="15" hidden="false" customHeight="false" outlineLevel="0" collapsed="false">
      <c r="C860" s="0" t="str">
        <f aca="false">IF($A860="","",IF(AT860="Y",BL860&amp;"",AY860&amp;""))</f>
        <v/>
      </c>
      <c r="D860" s="0" t="str">
        <f aca="false">IF($A860="","",IF(AT860="Y",BM860&amp;"",AZ860&amp;""))</f>
        <v/>
      </c>
      <c r="E860" s="0" t="str">
        <f aca="false">IF($A860="","",IF(AT860="Y",BN860&amp;"",BA860&amp;""))</f>
        <v/>
      </c>
      <c r="F860" s="0" t="str">
        <f aca="false">IF($A860="","",IF(AT860="Y",BO860&amp;"",BB860&amp;""))</f>
        <v/>
      </c>
      <c r="G860" s="0" t="str">
        <f aca="false">IF($A860="","",IF(AT860="Y",BP860&amp;"",BC860&amp;""))</f>
        <v/>
      </c>
      <c r="H860" s="0" t="str">
        <f aca="false">IF($A860="","",IF(AT860="Y",BQ860&amp;"",BD860&amp;""))</f>
        <v/>
      </c>
      <c r="I860" s="0" t="str">
        <f aca="false">IF($A860="","",IF(R860="Y","warm-intro",IF(H860="verified","email",IF(C860&lt;&gt;"","linkedin",CA860&amp;""))))</f>
        <v/>
      </c>
      <c r="J860" s="0" t="str">
        <f aca="false">IF($A860="","",IF(CK860="pass",ROUND(N(DO860)+N(DP860)+N(DQ860)+N(DR860)+N(DS860)+N(DT860)+N(DU860)+N(DV860),0),0))</f>
        <v/>
      </c>
      <c r="K860" s="0" t="str">
        <f aca="false">IF($A860="","",IF(CK860&lt;&gt;"pass",BY860&amp;"",BY860&amp;", "&amp;IF(AT860="Y",BX860&amp;"",BK860&amp;"")&amp;BZ860&amp;IF(R860="Y","; known to the founder (+10)","")&amp;"."))</f>
        <v/>
      </c>
      <c r="R860" s="5"/>
      <c r="T860" s="5"/>
      <c r="U860" s="5"/>
      <c r="Y860" s="0" t="str">
        <f aca="false">IF(FA860&lt;&gt;"Y","",COUNTIFS($FA$2:$FA$1000,"Y",$J$2:$J$1000,"&gt;"&amp;J860)+COUNTIFS($FA$2:$FA$1000,"Y",$J$2:$J$1000,J860,$FG$2:$FG$1000,"&lt;"&amp;FG860)+1)</f>
        <v/>
      </c>
      <c r="AB860" s="0" t="str">
        <f aca="false">IF($A860="","",IF(AT860="Y",BW860&amp;"",BJ860&amp;""))</f>
        <v/>
      </c>
      <c r="AC860" s="0" t="str">
        <f aca="false">IF($A860="","",IF(AT860="Y",BR860&amp;"",BE860&amp;""))</f>
        <v/>
      </c>
      <c r="AD860" s="0" t="str">
        <f aca="false">IF($A860="","",IF(AT860="Y",BS860&amp;"",BF860&amp;""))</f>
        <v/>
      </c>
      <c r="AE860" s="0" t="str">
        <f aca="false">IF($A860="","",IF(AT860="Y",BT860&amp;"",BG860&amp;""))</f>
        <v/>
      </c>
      <c r="AF860" s="0" t="str">
        <f aca="false">IF($A860="","",IF(AT860="Y",BU860&amp;"",BH860&amp;""))</f>
        <v/>
      </c>
      <c r="AG860" s="0" t="str">
        <f aca="false">IF($A860="","",IF(AT860="Y",BV860&amp;"",BI860&amp;""))</f>
        <v/>
      </c>
      <c r="AO860" s="5"/>
      <c r="AR860" s="0" t="str">
        <f aca="false">IF($A860="","",IF(AND(CK860="pass",AO860&lt;&gt;"Y",C860&lt;&gt;"",OR(AU860&lt;&gt;"Y",AV860="Y")),"Y","N"))</f>
        <v/>
      </c>
      <c r="AS860" s="0" t="str">
        <f aca="false">IF($A860="","",_xlfn.TEXTJOIN("; ",TRUE(),IF(CK860&lt;&gt;"pass","gated out",""),IF(AO860="Y","on hold: "&amp;AP860,""),IF(C860="","no contact named on an opened page",""),IF(AND(AU860="Y",AV860&lt;&gt;"Y"),"founder review pending (Founder review tab)","")))</f>
        <v/>
      </c>
      <c r="BC860" s="0" t="str">
        <f aca="false">IF($A860="","",IFERROR(INDEX(Enrichment!$A$2:$GZ$2000,MATCH($A860,INDEX(Enrichment!$A$2:$GZ$2000,0,MATCH("row_id",Enrichment!$A$1:$GZ$1,0)),0),MATCH("work_email",Enrichment!$A$1:$GZ$1,0))&amp;"",""))</f>
        <v/>
      </c>
      <c r="BD860" s="0" t="str">
        <f aca="false">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P860" s="0" t="str">
        <f aca="false">IF($A860="","",IFERROR(INDEX(Enrichment!$A$2:$GZ$2000,MATCH($A860,INDEX(Enrichment!$A$2:$GZ$2000,0,MATCH("row_id",Enrichment!$A$1:$GZ$1,0)),0),MATCH("backup_work_email",Enrichment!$A$1:$GZ$1,0))&amp;"",""))</f>
        <v/>
      </c>
      <c r="BQ860" s="0" t="str">
        <f aca="false">IF($A860="","",IF(BP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DU860" s="0" t="str">
        <f aca="false">IF($A860="","",IF(R860="Y",10,0))</f>
        <v/>
      </c>
      <c r="EV860" s="0" t="str">
        <f aca="false">IF($A860="","",IF(ISNUMBER(MATCH(U860,{"queued","contacted","replied","call_booked","call_done","yes_in_principle","materials_sent"},0)),"Y","N"))</f>
        <v/>
      </c>
      <c r="EW860" s="0" t="str">
        <f aca="false">IF($A860="","",IF(OR(T860="Y",U860="do_not_contact",AQ860&amp;""&lt;&gt;""),"Y","N"))</f>
        <v/>
      </c>
      <c r="EX860" s="0" t="str">
        <f aca="false">IF($A860="","",IF(AN860&amp;""&lt;&gt;"",AN860&amp;"",$A860))</f>
        <v/>
      </c>
      <c r="EY860" s="0" t="str">
        <f aca="false">IF($A860="","",IF(COUNTIFS($EX$2:$EX$1000,EX860,$EV$2:$EV$1000,"Y")+COUNTIFS($EX$2:$EX$1000,EX860,$EW$2:$EW$1000,"Y")&gt;0,"Y","N"))</f>
        <v/>
      </c>
      <c r="EZ860" s="0" t="str">
        <f aca="false">IF($A860="","",IF(AND(U860="new",T860="N",EW860="N",AR860="Y",EY860="N"),"Y","N"))</f>
        <v/>
      </c>
      <c r="FA860" s="0" t="str">
        <f aca="false">IF($A860="","",IF(EZ860&lt;&gt;"Y","N",IF(COUNTIFS($EX$2:$EX$1000,EX860,$EZ$2:$EZ$1000,"Y",$J$2:$J$1000,"&gt;"&amp;J860)+COUNTIFS($EX$2:$EX$1000,EX860,$EZ$2:$EZ$1000,"Y",$J$2:$J$1000,J860,$FG$2:$FG$1000,"&lt;"&amp;FG860)=0,"Y","N")))</f>
        <v/>
      </c>
      <c r="FB860" s="0" t="str">
        <f aca="false">IF($A860="","",IF(AND(EZ860="Y",FA860="Y",Y860&amp;""&lt;&gt;""),IF(Y860&lt;=10,"Y","N"),"N"))</f>
        <v/>
      </c>
      <c r="FC860" s="0" t="str">
        <f aca="false">IF(FB860="Y",Y860,"")</f>
        <v/>
      </c>
      <c r="FD860" s="0" t="str">
        <f aca="false">IF($A860="","",IF(AND(CK860="pass",AU860="Y",AV860&lt;&gt;"Y",U860="new",EW860="N"),"Y","N"))</f>
        <v/>
      </c>
      <c r="FE860" s="0" t="str">
        <f aca="false">IF(FD860&lt;&gt;"Y","",IF(COUNTIFS($FD$2:$FD$1000,"Y",$J$2:$J$1000,"&gt;"&amp;J860)+COUNTIFS($FD$2:$FD$1000,"Y",$J$2:$J$1000,J860,$FG$2:$FG$1000,"&lt;"&amp;FG860)+1&lt;=30,COUNTIFS($FD$2:$FD$1000,"Y",$J$2:$J$1000,"&gt;"&amp;J860)+COUNTIFS($FD$2:$FD$1000,"Y",$J$2:$J$1000,J860,$FG$2:$FG$1000,"&lt;"&amp;FG860)+1,""))</f>
        <v/>
      </c>
      <c r="FF860" s="0" t="str">
        <f aca="false">IF(AND(_xlfn.ISFORMULA(C860),_xlfn.ISFORMULA(J860)),"Y","N")</f>
        <v>Y</v>
      </c>
      <c r="FG860" s="0" t="n">
        <f aca="false">ROW()-1</f>
        <v>859</v>
      </c>
    </row>
    <row r="861" customFormat="false" ht="15" hidden="false" customHeight="false" outlineLevel="0" collapsed="false">
      <c r="C861" s="0" t="str">
        <f aca="false">IF($A861="","",IF(AT861="Y",BL861&amp;"",AY861&amp;""))</f>
        <v/>
      </c>
      <c r="D861" s="0" t="str">
        <f aca="false">IF($A861="","",IF(AT861="Y",BM861&amp;"",AZ861&amp;""))</f>
        <v/>
      </c>
      <c r="E861" s="0" t="str">
        <f aca="false">IF($A861="","",IF(AT861="Y",BN861&amp;"",BA861&amp;""))</f>
        <v/>
      </c>
      <c r="F861" s="0" t="str">
        <f aca="false">IF($A861="","",IF(AT861="Y",BO861&amp;"",BB861&amp;""))</f>
        <v/>
      </c>
      <c r="G861" s="0" t="str">
        <f aca="false">IF($A861="","",IF(AT861="Y",BP861&amp;"",BC861&amp;""))</f>
        <v/>
      </c>
      <c r="H861" s="0" t="str">
        <f aca="false">IF($A861="","",IF(AT861="Y",BQ861&amp;"",BD861&amp;""))</f>
        <v/>
      </c>
      <c r="I861" s="0" t="str">
        <f aca="false">IF($A861="","",IF(R861="Y","warm-intro",IF(H861="verified","email",IF(C861&lt;&gt;"","linkedin",CA861&amp;""))))</f>
        <v/>
      </c>
      <c r="J861" s="0" t="str">
        <f aca="false">IF($A861="","",IF(CK861="pass",ROUND(N(DO861)+N(DP861)+N(DQ861)+N(DR861)+N(DS861)+N(DT861)+N(DU861)+N(DV861),0),0))</f>
        <v/>
      </c>
      <c r="K861" s="0" t="str">
        <f aca="false">IF($A861="","",IF(CK861&lt;&gt;"pass",BY861&amp;"",BY861&amp;", "&amp;IF(AT861="Y",BX861&amp;"",BK861&amp;"")&amp;BZ861&amp;IF(R861="Y","; known to the founder (+10)","")&amp;"."))</f>
        <v/>
      </c>
      <c r="R861" s="5"/>
      <c r="T861" s="5"/>
      <c r="U861" s="5"/>
      <c r="Y861" s="0" t="str">
        <f aca="false">IF(FA861&lt;&gt;"Y","",COUNTIFS($FA$2:$FA$1000,"Y",$J$2:$J$1000,"&gt;"&amp;J861)+COUNTIFS($FA$2:$FA$1000,"Y",$J$2:$J$1000,J861,$FG$2:$FG$1000,"&lt;"&amp;FG861)+1)</f>
        <v/>
      </c>
      <c r="AB861" s="0" t="str">
        <f aca="false">IF($A861="","",IF(AT861="Y",BW861&amp;"",BJ861&amp;""))</f>
        <v/>
      </c>
      <c r="AC861" s="0" t="str">
        <f aca="false">IF($A861="","",IF(AT861="Y",BR861&amp;"",BE861&amp;""))</f>
        <v/>
      </c>
      <c r="AD861" s="0" t="str">
        <f aca="false">IF($A861="","",IF(AT861="Y",BS861&amp;"",BF861&amp;""))</f>
        <v/>
      </c>
      <c r="AE861" s="0" t="str">
        <f aca="false">IF($A861="","",IF(AT861="Y",BT861&amp;"",BG861&amp;""))</f>
        <v/>
      </c>
      <c r="AF861" s="0" t="str">
        <f aca="false">IF($A861="","",IF(AT861="Y",BU861&amp;"",BH861&amp;""))</f>
        <v/>
      </c>
      <c r="AG861" s="0" t="str">
        <f aca="false">IF($A861="","",IF(AT861="Y",BV861&amp;"",BI861&amp;""))</f>
        <v/>
      </c>
      <c r="AO861" s="5"/>
      <c r="AR861" s="0" t="str">
        <f aca="false">IF($A861="","",IF(AND(CK861="pass",AO861&lt;&gt;"Y",C861&lt;&gt;"",OR(AU861&lt;&gt;"Y",AV861="Y")),"Y","N"))</f>
        <v/>
      </c>
      <c r="AS861" s="0" t="str">
        <f aca="false">IF($A861="","",_xlfn.TEXTJOIN("; ",TRUE(),IF(CK861&lt;&gt;"pass","gated out",""),IF(AO861="Y","on hold: "&amp;AP861,""),IF(C861="","no contact named on an opened page",""),IF(AND(AU861="Y",AV861&lt;&gt;"Y"),"founder review pending (Founder review tab)","")))</f>
        <v/>
      </c>
      <c r="BC861" s="0" t="str">
        <f aca="false">IF($A861="","",IFERROR(INDEX(Enrichment!$A$2:$GZ$2000,MATCH($A861,INDEX(Enrichment!$A$2:$GZ$2000,0,MATCH("row_id",Enrichment!$A$1:$GZ$1,0)),0),MATCH("work_email",Enrichment!$A$1:$GZ$1,0))&amp;"",""))</f>
        <v/>
      </c>
      <c r="BD861" s="0" t="str">
        <f aca="false">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P861" s="0" t="str">
        <f aca="false">IF($A861="","",IFERROR(INDEX(Enrichment!$A$2:$GZ$2000,MATCH($A861,INDEX(Enrichment!$A$2:$GZ$2000,0,MATCH("row_id",Enrichment!$A$1:$GZ$1,0)),0),MATCH("backup_work_email",Enrichment!$A$1:$GZ$1,0))&amp;"",""))</f>
        <v/>
      </c>
      <c r="BQ861" s="0" t="str">
        <f aca="false">IF($A861="","",IF(BP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DU861" s="0" t="str">
        <f aca="false">IF($A861="","",IF(R861="Y",10,0))</f>
        <v/>
      </c>
      <c r="EV861" s="0" t="str">
        <f aca="false">IF($A861="","",IF(ISNUMBER(MATCH(U861,{"queued","contacted","replied","call_booked","call_done","yes_in_principle","materials_sent"},0)),"Y","N"))</f>
        <v/>
      </c>
      <c r="EW861" s="0" t="str">
        <f aca="false">IF($A861="","",IF(OR(T861="Y",U861="do_not_contact",AQ861&amp;""&lt;&gt;""),"Y","N"))</f>
        <v/>
      </c>
      <c r="EX861" s="0" t="str">
        <f aca="false">IF($A861="","",IF(AN861&amp;""&lt;&gt;"",AN861&amp;"",$A861))</f>
        <v/>
      </c>
      <c r="EY861" s="0" t="str">
        <f aca="false">IF($A861="","",IF(COUNTIFS($EX$2:$EX$1000,EX861,$EV$2:$EV$1000,"Y")+COUNTIFS($EX$2:$EX$1000,EX861,$EW$2:$EW$1000,"Y")&gt;0,"Y","N"))</f>
        <v/>
      </c>
      <c r="EZ861" s="0" t="str">
        <f aca="false">IF($A861="","",IF(AND(U861="new",T861="N",EW861="N",AR861="Y",EY861="N"),"Y","N"))</f>
        <v/>
      </c>
      <c r="FA861" s="0" t="str">
        <f aca="false">IF($A861="","",IF(EZ861&lt;&gt;"Y","N",IF(COUNTIFS($EX$2:$EX$1000,EX861,$EZ$2:$EZ$1000,"Y",$J$2:$J$1000,"&gt;"&amp;J861)+COUNTIFS($EX$2:$EX$1000,EX861,$EZ$2:$EZ$1000,"Y",$J$2:$J$1000,J861,$FG$2:$FG$1000,"&lt;"&amp;FG861)=0,"Y","N")))</f>
        <v/>
      </c>
      <c r="FB861" s="0" t="str">
        <f aca="false">IF($A861="","",IF(AND(EZ861="Y",FA861="Y",Y861&amp;""&lt;&gt;""),IF(Y861&lt;=10,"Y","N"),"N"))</f>
        <v/>
      </c>
      <c r="FC861" s="0" t="str">
        <f aca="false">IF(FB861="Y",Y861,"")</f>
        <v/>
      </c>
      <c r="FD861" s="0" t="str">
        <f aca="false">IF($A861="","",IF(AND(CK861="pass",AU861="Y",AV861&lt;&gt;"Y",U861="new",EW861="N"),"Y","N"))</f>
        <v/>
      </c>
      <c r="FE861" s="0" t="str">
        <f aca="false">IF(FD861&lt;&gt;"Y","",IF(COUNTIFS($FD$2:$FD$1000,"Y",$J$2:$J$1000,"&gt;"&amp;J861)+COUNTIFS($FD$2:$FD$1000,"Y",$J$2:$J$1000,J861,$FG$2:$FG$1000,"&lt;"&amp;FG861)+1&lt;=30,COUNTIFS($FD$2:$FD$1000,"Y",$J$2:$J$1000,"&gt;"&amp;J861)+COUNTIFS($FD$2:$FD$1000,"Y",$J$2:$J$1000,J861,$FG$2:$FG$1000,"&lt;"&amp;FG861)+1,""))</f>
        <v/>
      </c>
      <c r="FF861" s="0" t="str">
        <f aca="false">IF(AND(_xlfn.ISFORMULA(C861),_xlfn.ISFORMULA(J861)),"Y","N")</f>
        <v>Y</v>
      </c>
      <c r="FG861" s="0" t="n">
        <f aca="false">ROW()-1</f>
        <v>860</v>
      </c>
    </row>
    <row r="862" customFormat="false" ht="15" hidden="false" customHeight="false" outlineLevel="0" collapsed="false">
      <c r="C862" s="0" t="str">
        <f aca="false">IF($A862="","",IF(AT862="Y",BL862&amp;"",AY862&amp;""))</f>
        <v/>
      </c>
      <c r="D862" s="0" t="str">
        <f aca="false">IF($A862="","",IF(AT862="Y",BM862&amp;"",AZ862&amp;""))</f>
        <v/>
      </c>
      <c r="E862" s="0" t="str">
        <f aca="false">IF($A862="","",IF(AT862="Y",BN862&amp;"",BA862&amp;""))</f>
        <v/>
      </c>
      <c r="F862" s="0" t="str">
        <f aca="false">IF($A862="","",IF(AT862="Y",BO862&amp;"",BB862&amp;""))</f>
        <v/>
      </c>
      <c r="G862" s="0" t="str">
        <f aca="false">IF($A862="","",IF(AT862="Y",BP862&amp;"",BC862&amp;""))</f>
        <v/>
      </c>
      <c r="H862" s="0" t="str">
        <f aca="false">IF($A862="","",IF(AT862="Y",BQ862&amp;"",BD862&amp;""))</f>
        <v/>
      </c>
      <c r="I862" s="0" t="str">
        <f aca="false">IF($A862="","",IF(R862="Y","warm-intro",IF(H862="verified","email",IF(C862&lt;&gt;"","linkedin",CA862&amp;""))))</f>
        <v/>
      </c>
      <c r="J862" s="0" t="str">
        <f aca="false">IF($A862="","",IF(CK862="pass",ROUND(N(DO862)+N(DP862)+N(DQ862)+N(DR862)+N(DS862)+N(DT862)+N(DU862)+N(DV862),0),0))</f>
        <v/>
      </c>
      <c r="K862" s="0" t="str">
        <f aca="false">IF($A862="","",IF(CK862&lt;&gt;"pass",BY862&amp;"",BY862&amp;", "&amp;IF(AT862="Y",BX862&amp;"",BK862&amp;"")&amp;BZ862&amp;IF(R862="Y","; known to the founder (+10)","")&amp;"."))</f>
        <v/>
      </c>
      <c r="R862" s="5"/>
      <c r="T862" s="5"/>
      <c r="U862" s="5"/>
      <c r="Y862" s="0" t="str">
        <f aca="false">IF(FA862&lt;&gt;"Y","",COUNTIFS($FA$2:$FA$1000,"Y",$J$2:$J$1000,"&gt;"&amp;J862)+COUNTIFS($FA$2:$FA$1000,"Y",$J$2:$J$1000,J862,$FG$2:$FG$1000,"&lt;"&amp;FG862)+1)</f>
        <v/>
      </c>
      <c r="AB862" s="0" t="str">
        <f aca="false">IF($A862="","",IF(AT862="Y",BW862&amp;"",BJ862&amp;""))</f>
        <v/>
      </c>
      <c r="AC862" s="0" t="str">
        <f aca="false">IF($A862="","",IF(AT862="Y",BR862&amp;"",BE862&amp;""))</f>
        <v/>
      </c>
      <c r="AD862" s="0" t="str">
        <f aca="false">IF($A862="","",IF(AT862="Y",BS862&amp;"",BF862&amp;""))</f>
        <v/>
      </c>
      <c r="AE862" s="0" t="str">
        <f aca="false">IF($A862="","",IF(AT862="Y",BT862&amp;"",BG862&amp;""))</f>
        <v/>
      </c>
      <c r="AF862" s="0" t="str">
        <f aca="false">IF($A862="","",IF(AT862="Y",BU862&amp;"",BH862&amp;""))</f>
        <v/>
      </c>
      <c r="AG862" s="0" t="str">
        <f aca="false">IF($A862="","",IF(AT862="Y",BV862&amp;"",BI862&amp;""))</f>
        <v/>
      </c>
      <c r="AO862" s="5"/>
      <c r="AR862" s="0" t="str">
        <f aca="false">IF($A862="","",IF(AND(CK862="pass",AO862&lt;&gt;"Y",C862&lt;&gt;"",OR(AU862&lt;&gt;"Y",AV862="Y")),"Y","N"))</f>
        <v/>
      </c>
      <c r="AS862" s="0" t="str">
        <f aca="false">IF($A862="","",_xlfn.TEXTJOIN("; ",TRUE(),IF(CK862&lt;&gt;"pass","gated out",""),IF(AO862="Y","on hold: "&amp;AP862,""),IF(C862="","no contact named on an opened page",""),IF(AND(AU862="Y",AV862&lt;&gt;"Y"),"founder review pending (Founder review tab)","")))</f>
        <v/>
      </c>
      <c r="BC862" s="0" t="str">
        <f aca="false">IF($A862="","",IFERROR(INDEX(Enrichment!$A$2:$GZ$2000,MATCH($A862,INDEX(Enrichment!$A$2:$GZ$2000,0,MATCH("row_id",Enrichment!$A$1:$GZ$1,0)),0),MATCH("work_email",Enrichment!$A$1:$GZ$1,0))&amp;"",""))</f>
        <v/>
      </c>
      <c r="BD862" s="0" t="str">
        <f aca="false">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P862" s="0" t="str">
        <f aca="false">IF($A862="","",IFERROR(INDEX(Enrichment!$A$2:$GZ$2000,MATCH($A862,INDEX(Enrichment!$A$2:$GZ$2000,0,MATCH("row_id",Enrichment!$A$1:$GZ$1,0)),0),MATCH("backup_work_email",Enrichment!$A$1:$GZ$1,0))&amp;"",""))</f>
        <v/>
      </c>
      <c r="BQ862" s="0" t="str">
        <f aca="false">IF($A862="","",IF(BP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DU862" s="0" t="str">
        <f aca="false">IF($A862="","",IF(R862="Y",10,0))</f>
        <v/>
      </c>
      <c r="EV862" s="0" t="str">
        <f aca="false">IF($A862="","",IF(ISNUMBER(MATCH(U862,{"queued","contacted","replied","call_booked","call_done","yes_in_principle","materials_sent"},0)),"Y","N"))</f>
        <v/>
      </c>
      <c r="EW862" s="0" t="str">
        <f aca="false">IF($A862="","",IF(OR(T862="Y",U862="do_not_contact",AQ862&amp;""&lt;&gt;""),"Y","N"))</f>
        <v/>
      </c>
      <c r="EX862" s="0" t="str">
        <f aca="false">IF($A862="","",IF(AN862&amp;""&lt;&gt;"",AN862&amp;"",$A862))</f>
        <v/>
      </c>
      <c r="EY862" s="0" t="str">
        <f aca="false">IF($A862="","",IF(COUNTIFS($EX$2:$EX$1000,EX862,$EV$2:$EV$1000,"Y")+COUNTIFS($EX$2:$EX$1000,EX862,$EW$2:$EW$1000,"Y")&gt;0,"Y","N"))</f>
        <v/>
      </c>
      <c r="EZ862" s="0" t="str">
        <f aca="false">IF($A862="","",IF(AND(U862="new",T862="N",EW862="N",AR862="Y",EY862="N"),"Y","N"))</f>
        <v/>
      </c>
      <c r="FA862" s="0" t="str">
        <f aca="false">IF($A862="","",IF(EZ862&lt;&gt;"Y","N",IF(COUNTIFS($EX$2:$EX$1000,EX862,$EZ$2:$EZ$1000,"Y",$J$2:$J$1000,"&gt;"&amp;J862)+COUNTIFS($EX$2:$EX$1000,EX862,$EZ$2:$EZ$1000,"Y",$J$2:$J$1000,J862,$FG$2:$FG$1000,"&lt;"&amp;FG862)=0,"Y","N")))</f>
        <v/>
      </c>
      <c r="FB862" s="0" t="str">
        <f aca="false">IF($A862="","",IF(AND(EZ862="Y",FA862="Y",Y862&amp;""&lt;&gt;""),IF(Y862&lt;=10,"Y","N"),"N"))</f>
        <v/>
      </c>
      <c r="FC862" s="0" t="str">
        <f aca="false">IF(FB862="Y",Y862,"")</f>
        <v/>
      </c>
      <c r="FD862" s="0" t="str">
        <f aca="false">IF($A862="","",IF(AND(CK862="pass",AU862="Y",AV862&lt;&gt;"Y",U862="new",EW862="N"),"Y","N"))</f>
        <v/>
      </c>
      <c r="FE862" s="0" t="str">
        <f aca="false">IF(FD862&lt;&gt;"Y","",IF(COUNTIFS($FD$2:$FD$1000,"Y",$J$2:$J$1000,"&gt;"&amp;J862)+COUNTIFS($FD$2:$FD$1000,"Y",$J$2:$J$1000,J862,$FG$2:$FG$1000,"&lt;"&amp;FG862)+1&lt;=30,COUNTIFS($FD$2:$FD$1000,"Y",$J$2:$J$1000,"&gt;"&amp;J862)+COUNTIFS($FD$2:$FD$1000,"Y",$J$2:$J$1000,J862,$FG$2:$FG$1000,"&lt;"&amp;FG862)+1,""))</f>
        <v/>
      </c>
      <c r="FF862" s="0" t="str">
        <f aca="false">IF(AND(_xlfn.ISFORMULA(C862),_xlfn.ISFORMULA(J862)),"Y","N")</f>
        <v>Y</v>
      </c>
      <c r="FG862" s="0" t="n">
        <f aca="false">ROW()-1</f>
        <v>861</v>
      </c>
    </row>
    <row r="863" customFormat="false" ht="15" hidden="false" customHeight="false" outlineLevel="0" collapsed="false">
      <c r="C863" s="0" t="str">
        <f aca="false">IF($A863="","",IF(AT863="Y",BL863&amp;"",AY863&amp;""))</f>
        <v/>
      </c>
      <c r="D863" s="0" t="str">
        <f aca="false">IF($A863="","",IF(AT863="Y",BM863&amp;"",AZ863&amp;""))</f>
        <v/>
      </c>
      <c r="E863" s="0" t="str">
        <f aca="false">IF($A863="","",IF(AT863="Y",BN863&amp;"",BA863&amp;""))</f>
        <v/>
      </c>
      <c r="F863" s="0" t="str">
        <f aca="false">IF($A863="","",IF(AT863="Y",BO863&amp;"",BB863&amp;""))</f>
        <v/>
      </c>
      <c r="G863" s="0" t="str">
        <f aca="false">IF($A863="","",IF(AT863="Y",BP863&amp;"",BC863&amp;""))</f>
        <v/>
      </c>
      <c r="H863" s="0" t="str">
        <f aca="false">IF($A863="","",IF(AT863="Y",BQ863&amp;"",BD863&amp;""))</f>
        <v/>
      </c>
      <c r="I863" s="0" t="str">
        <f aca="false">IF($A863="","",IF(R863="Y","warm-intro",IF(H863="verified","email",IF(C863&lt;&gt;"","linkedin",CA863&amp;""))))</f>
        <v/>
      </c>
      <c r="J863" s="0" t="str">
        <f aca="false">IF($A863="","",IF(CK863="pass",ROUND(N(DO863)+N(DP863)+N(DQ863)+N(DR863)+N(DS863)+N(DT863)+N(DU863)+N(DV863),0),0))</f>
        <v/>
      </c>
      <c r="K863" s="0" t="str">
        <f aca="false">IF($A863="","",IF(CK863&lt;&gt;"pass",BY863&amp;"",BY863&amp;", "&amp;IF(AT863="Y",BX863&amp;"",BK863&amp;"")&amp;BZ863&amp;IF(R863="Y","; known to the founder (+10)","")&amp;"."))</f>
        <v/>
      </c>
      <c r="R863" s="5"/>
      <c r="T863" s="5"/>
      <c r="U863" s="5"/>
      <c r="Y863" s="0" t="str">
        <f aca="false">IF(FA863&lt;&gt;"Y","",COUNTIFS($FA$2:$FA$1000,"Y",$J$2:$J$1000,"&gt;"&amp;J863)+COUNTIFS($FA$2:$FA$1000,"Y",$J$2:$J$1000,J863,$FG$2:$FG$1000,"&lt;"&amp;FG863)+1)</f>
        <v/>
      </c>
      <c r="AB863" s="0" t="str">
        <f aca="false">IF($A863="","",IF(AT863="Y",BW863&amp;"",BJ863&amp;""))</f>
        <v/>
      </c>
      <c r="AC863" s="0" t="str">
        <f aca="false">IF($A863="","",IF(AT863="Y",BR863&amp;"",BE863&amp;""))</f>
        <v/>
      </c>
      <c r="AD863" s="0" t="str">
        <f aca="false">IF($A863="","",IF(AT863="Y",BS863&amp;"",BF863&amp;""))</f>
        <v/>
      </c>
      <c r="AE863" s="0" t="str">
        <f aca="false">IF($A863="","",IF(AT863="Y",BT863&amp;"",BG863&amp;""))</f>
        <v/>
      </c>
      <c r="AF863" s="0" t="str">
        <f aca="false">IF($A863="","",IF(AT863="Y",BU863&amp;"",BH863&amp;""))</f>
        <v/>
      </c>
      <c r="AG863" s="0" t="str">
        <f aca="false">IF($A863="","",IF(AT863="Y",BV863&amp;"",BI863&amp;""))</f>
        <v/>
      </c>
      <c r="AO863" s="5"/>
      <c r="AR863" s="0" t="str">
        <f aca="false">IF($A863="","",IF(AND(CK863="pass",AO863&lt;&gt;"Y",C863&lt;&gt;"",OR(AU863&lt;&gt;"Y",AV863="Y")),"Y","N"))</f>
        <v/>
      </c>
      <c r="AS863" s="0" t="str">
        <f aca="false">IF($A863="","",_xlfn.TEXTJOIN("; ",TRUE(),IF(CK863&lt;&gt;"pass","gated out",""),IF(AO863="Y","on hold: "&amp;AP863,""),IF(C863="","no contact named on an opened page",""),IF(AND(AU863="Y",AV863&lt;&gt;"Y"),"founder review pending (Founder review tab)","")))</f>
        <v/>
      </c>
      <c r="BC863" s="0" t="str">
        <f aca="false">IF($A863="","",IFERROR(INDEX(Enrichment!$A$2:$GZ$2000,MATCH($A863,INDEX(Enrichment!$A$2:$GZ$2000,0,MATCH("row_id",Enrichment!$A$1:$GZ$1,0)),0),MATCH("work_email",Enrichment!$A$1:$GZ$1,0))&amp;"",""))</f>
        <v/>
      </c>
      <c r="BD863" s="0" t="str">
        <f aca="false">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P863" s="0" t="str">
        <f aca="false">IF($A863="","",IFERROR(INDEX(Enrichment!$A$2:$GZ$2000,MATCH($A863,INDEX(Enrichment!$A$2:$GZ$2000,0,MATCH("row_id",Enrichment!$A$1:$GZ$1,0)),0),MATCH("backup_work_email",Enrichment!$A$1:$GZ$1,0))&amp;"",""))</f>
        <v/>
      </c>
      <c r="BQ863" s="0" t="str">
        <f aca="false">IF($A863="","",IF(BP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DU863" s="0" t="str">
        <f aca="false">IF($A863="","",IF(R863="Y",10,0))</f>
        <v/>
      </c>
      <c r="EV863" s="0" t="str">
        <f aca="false">IF($A863="","",IF(ISNUMBER(MATCH(U863,{"queued","contacted","replied","call_booked","call_done","yes_in_principle","materials_sent"},0)),"Y","N"))</f>
        <v/>
      </c>
      <c r="EW863" s="0" t="str">
        <f aca="false">IF($A863="","",IF(OR(T863="Y",U863="do_not_contact",AQ863&amp;""&lt;&gt;""),"Y","N"))</f>
        <v/>
      </c>
      <c r="EX863" s="0" t="str">
        <f aca="false">IF($A863="","",IF(AN863&amp;""&lt;&gt;"",AN863&amp;"",$A863))</f>
        <v/>
      </c>
      <c r="EY863" s="0" t="str">
        <f aca="false">IF($A863="","",IF(COUNTIFS($EX$2:$EX$1000,EX863,$EV$2:$EV$1000,"Y")+COUNTIFS($EX$2:$EX$1000,EX863,$EW$2:$EW$1000,"Y")&gt;0,"Y","N"))</f>
        <v/>
      </c>
      <c r="EZ863" s="0" t="str">
        <f aca="false">IF($A863="","",IF(AND(U863="new",T863="N",EW863="N",AR863="Y",EY863="N"),"Y","N"))</f>
        <v/>
      </c>
      <c r="FA863" s="0" t="str">
        <f aca="false">IF($A863="","",IF(EZ863&lt;&gt;"Y","N",IF(COUNTIFS($EX$2:$EX$1000,EX863,$EZ$2:$EZ$1000,"Y",$J$2:$J$1000,"&gt;"&amp;J863)+COUNTIFS($EX$2:$EX$1000,EX863,$EZ$2:$EZ$1000,"Y",$J$2:$J$1000,J863,$FG$2:$FG$1000,"&lt;"&amp;FG863)=0,"Y","N")))</f>
        <v/>
      </c>
      <c r="FB863" s="0" t="str">
        <f aca="false">IF($A863="","",IF(AND(EZ863="Y",FA863="Y",Y863&amp;""&lt;&gt;""),IF(Y863&lt;=10,"Y","N"),"N"))</f>
        <v/>
      </c>
      <c r="FC863" s="0" t="str">
        <f aca="false">IF(FB863="Y",Y863,"")</f>
        <v/>
      </c>
      <c r="FD863" s="0" t="str">
        <f aca="false">IF($A863="","",IF(AND(CK863="pass",AU863="Y",AV863&lt;&gt;"Y",U863="new",EW863="N"),"Y","N"))</f>
        <v/>
      </c>
      <c r="FE863" s="0" t="str">
        <f aca="false">IF(FD863&lt;&gt;"Y","",IF(COUNTIFS($FD$2:$FD$1000,"Y",$J$2:$J$1000,"&gt;"&amp;J863)+COUNTIFS($FD$2:$FD$1000,"Y",$J$2:$J$1000,J863,$FG$2:$FG$1000,"&lt;"&amp;FG863)+1&lt;=30,COUNTIFS($FD$2:$FD$1000,"Y",$J$2:$J$1000,"&gt;"&amp;J863)+COUNTIFS($FD$2:$FD$1000,"Y",$J$2:$J$1000,J863,$FG$2:$FG$1000,"&lt;"&amp;FG863)+1,""))</f>
        <v/>
      </c>
      <c r="FF863" s="0" t="str">
        <f aca="false">IF(AND(_xlfn.ISFORMULA(C863),_xlfn.ISFORMULA(J863)),"Y","N")</f>
        <v>Y</v>
      </c>
      <c r="FG863" s="0" t="n">
        <f aca="false">ROW()-1</f>
        <v>862</v>
      </c>
    </row>
    <row r="864" customFormat="false" ht="15" hidden="false" customHeight="false" outlineLevel="0" collapsed="false">
      <c r="C864" s="0" t="str">
        <f aca="false">IF($A864="","",IF(AT864="Y",BL864&amp;"",AY864&amp;""))</f>
        <v/>
      </c>
      <c r="D864" s="0" t="str">
        <f aca="false">IF($A864="","",IF(AT864="Y",BM864&amp;"",AZ864&amp;""))</f>
        <v/>
      </c>
      <c r="E864" s="0" t="str">
        <f aca="false">IF($A864="","",IF(AT864="Y",BN864&amp;"",BA864&amp;""))</f>
        <v/>
      </c>
      <c r="F864" s="0" t="str">
        <f aca="false">IF($A864="","",IF(AT864="Y",BO864&amp;"",BB864&amp;""))</f>
        <v/>
      </c>
      <c r="G864" s="0" t="str">
        <f aca="false">IF($A864="","",IF(AT864="Y",BP864&amp;"",BC864&amp;""))</f>
        <v/>
      </c>
      <c r="H864" s="0" t="str">
        <f aca="false">IF($A864="","",IF(AT864="Y",BQ864&amp;"",BD864&amp;""))</f>
        <v/>
      </c>
      <c r="I864" s="0" t="str">
        <f aca="false">IF($A864="","",IF(R864="Y","warm-intro",IF(H864="verified","email",IF(C864&lt;&gt;"","linkedin",CA864&amp;""))))</f>
        <v/>
      </c>
      <c r="J864" s="0" t="str">
        <f aca="false">IF($A864="","",IF(CK864="pass",ROUND(N(DO864)+N(DP864)+N(DQ864)+N(DR864)+N(DS864)+N(DT864)+N(DU864)+N(DV864),0),0))</f>
        <v/>
      </c>
      <c r="K864" s="0" t="str">
        <f aca="false">IF($A864="","",IF(CK864&lt;&gt;"pass",BY864&amp;"",BY864&amp;", "&amp;IF(AT864="Y",BX864&amp;"",BK864&amp;"")&amp;BZ864&amp;IF(R864="Y","; known to the founder (+10)","")&amp;"."))</f>
        <v/>
      </c>
      <c r="R864" s="5"/>
      <c r="T864" s="5"/>
      <c r="U864" s="5"/>
      <c r="Y864" s="0" t="str">
        <f aca="false">IF(FA864&lt;&gt;"Y","",COUNTIFS($FA$2:$FA$1000,"Y",$J$2:$J$1000,"&gt;"&amp;J864)+COUNTIFS($FA$2:$FA$1000,"Y",$J$2:$J$1000,J864,$FG$2:$FG$1000,"&lt;"&amp;FG864)+1)</f>
        <v/>
      </c>
      <c r="AB864" s="0" t="str">
        <f aca="false">IF($A864="","",IF(AT864="Y",BW864&amp;"",BJ864&amp;""))</f>
        <v/>
      </c>
      <c r="AC864" s="0" t="str">
        <f aca="false">IF($A864="","",IF(AT864="Y",BR864&amp;"",BE864&amp;""))</f>
        <v/>
      </c>
      <c r="AD864" s="0" t="str">
        <f aca="false">IF($A864="","",IF(AT864="Y",BS864&amp;"",BF864&amp;""))</f>
        <v/>
      </c>
      <c r="AE864" s="0" t="str">
        <f aca="false">IF($A864="","",IF(AT864="Y",BT864&amp;"",BG864&amp;""))</f>
        <v/>
      </c>
      <c r="AF864" s="0" t="str">
        <f aca="false">IF($A864="","",IF(AT864="Y",BU864&amp;"",BH864&amp;""))</f>
        <v/>
      </c>
      <c r="AG864" s="0" t="str">
        <f aca="false">IF($A864="","",IF(AT864="Y",BV864&amp;"",BI864&amp;""))</f>
        <v/>
      </c>
      <c r="AO864" s="5"/>
      <c r="AR864" s="0" t="str">
        <f aca="false">IF($A864="","",IF(AND(CK864="pass",AO864&lt;&gt;"Y",C864&lt;&gt;"",OR(AU864&lt;&gt;"Y",AV864="Y")),"Y","N"))</f>
        <v/>
      </c>
      <c r="AS864" s="0" t="str">
        <f aca="false">IF($A864="","",_xlfn.TEXTJOIN("; ",TRUE(),IF(CK864&lt;&gt;"pass","gated out",""),IF(AO864="Y","on hold: "&amp;AP864,""),IF(C864="","no contact named on an opened page",""),IF(AND(AU864="Y",AV864&lt;&gt;"Y"),"founder review pending (Founder review tab)","")))</f>
        <v/>
      </c>
      <c r="BC864" s="0" t="str">
        <f aca="false">IF($A864="","",IFERROR(INDEX(Enrichment!$A$2:$GZ$2000,MATCH($A864,INDEX(Enrichment!$A$2:$GZ$2000,0,MATCH("row_id",Enrichment!$A$1:$GZ$1,0)),0),MATCH("work_email",Enrichment!$A$1:$GZ$1,0))&amp;"",""))</f>
        <v/>
      </c>
      <c r="BD864" s="0" t="str">
        <f aca="false">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P864" s="0" t="str">
        <f aca="false">IF($A864="","",IFERROR(INDEX(Enrichment!$A$2:$GZ$2000,MATCH($A864,INDEX(Enrichment!$A$2:$GZ$2000,0,MATCH("row_id",Enrichment!$A$1:$GZ$1,0)),0),MATCH("backup_work_email",Enrichment!$A$1:$GZ$1,0))&amp;"",""))</f>
        <v/>
      </c>
      <c r="BQ864" s="0" t="str">
        <f aca="false">IF($A864="","",IF(BP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DU864" s="0" t="str">
        <f aca="false">IF($A864="","",IF(R864="Y",10,0))</f>
        <v/>
      </c>
      <c r="EV864" s="0" t="str">
        <f aca="false">IF($A864="","",IF(ISNUMBER(MATCH(U864,{"queued","contacted","replied","call_booked","call_done","yes_in_principle","materials_sent"},0)),"Y","N"))</f>
        <v/>
      </c>
      <c r="EW864" s="0" t="str">
        <f aca="false">IF($A864="","",IF(OR(T864="Y",U864="do_not_contact",AQ864&amp;""&lt;&gt;""),"Y","N"))</f>
        <v/>
      </c>
      <c r="EX864" s="0" t="str">
        <f aca="false">IF($A864="","",IF(AN864&amp;""&lt;&gt;"",AN864&amp;"",$A864))</f>
        <v/>
      </c>
      <c r="EY864" s="0" t="str">
        <f aca="false">IF($A864="","",IF(COUNTIFS($EX$2:$EX$1000,EX864,$EV$2:$EV$1000,"Y")+COUNTIFS($EX$2:$EX$1000,EX864,$EW$2:$EW$1000,"Y")&gt;0,"Y","N"))</f>
        <v/>
      </c>
      <c r="EZ864" s="0" t="str">
        <f aca="false">IF($A864="","",IF(AND(U864="new",T864="N",EW864="N",AR864="Y",EY864="N"),"Y","N"))</f>
        <v/>
      </c>
      <c r="FA864" s="0" t="str">
        <f aca="false">IF($A864="","",IF(EZ864&lt;&gt;"Y","N",IF(COUNTIFS($EX$2:$EX$1000,EX864,$EZ$2:$EZ$1000,"Y",$J$2:$J$1000,"&gt;"&amp;J864)+COUNTIFS($EX$2:$EX$1000,EX864,$EZ$2:$EZ$1000,"Y",$J$2:$J$1000,J864,$FG$2:$FG$1000,"&lt;"&amp;FG864)=0,"Y","N")))</f>
        <v/>
      </c>
      <c r="FB864" s="0" t="str">
        <f aca="false">IF($A864="","",IF(AND(EZ864="Y",FA864="Y",Y864&amp;""&lt;&gt;""),IF(Y864&lt;=10,"Y","N"),"N"))</f>
        <v/>
      </c>
      <c r="FC864" s="0" t="str">
        <f aca="false">IF(FB864="Y",Y864,"")</f>
        <v/>
      </c>
      <c r="FD864" s="0" t="str">
        <f aca="false">IF($A864="","",IF(AND(CK864="pass",AU864="Y",AV864&lt;&gt;"Y",U864="new",EW864="N"),"Y","N"))</f>
        <v/>
      </c>
      <c r="FE864" s="0" t="str">
        <f aca="false">IF(FD864&lt;&gt;"Y","",IF(COUNTIFS($FD$2:$FD$1000,"Y",$J$2:$J$1000,"&gt;"&amp;J864)+COUNTIFS($FD$2:$FD$1000,"Y",$J$2:$J$1000,J864,$FG$2:$FG$1000,"&lt;"&amp;FG864)+1&lt;=30,COUNTIFS($FD$2:$FD$1000,"Y",$J$2:$J$1000,"&gt;"&amp;J864)+COUNTIFS($FD$2:$FD$1000,"Y",$J$2:$J$1000,J864,$FG$2:$FG$1000,"&lt;"&amp;FG864)+1,""))</f>
        <v/>
      </c>
      <c r="FF864" s="0" t="str">
        <f aca="false">IF(AND(_xlfn.ISFORMULA(C864),_xlfn.ISFORMULA(J864)),"Y","N")</f>
        <v>Y</v>
      </c>
      <c r="FG864" s="0" t="n">
        <f aca="false">ROW()-1</f>
        <v>863</v>
      </c>
    </row>
    <row r="865" customFormat="false" ht="15" hidden="false" customHeight="false" outlineLevel="0" collapsed="false">
      <c r="C865" s="0" t="str">
        <f aca="false">IF($A865="","",IF(AT865="Y",BL865&amp;"",AY865&amp;""))</f>
        <v/>
      </c>
      <c r="D865" s="0" t="str">
        <f aca="false">IF($A865="","",IF(AT865="Y",BM865&amp;"",AZ865&amp;""))</f>
        <v/>
      </c>
      <c r="E865" s="0" t="str">
        <f aca="false">IF($A865="","",IF(AT865="Y",BN865&amp;"",BA865&amp;""))</f>
        <v/>
      </c>
      <c r="F865" s="0" t="str">
        <f aca="false">IF($A865="","",IF(AT865="Y",BO865&amp;"",BB865&amp;""))</f>
        <v/>
      </c>
      <c r="G865" s="0" t="str">
        <f aca="false">IF($A865="","",IF(AT865="Y",BP865&amp;"",BC865&amp;""))</f>
        <v/>
      </c>
      <c r="H865" s="0" t="str">
        <f aca="false">IF($A865="","",IF(AT865="Y",BQ865&amp;"",BD865&amp;""))</f>
        <v/>
      </c>
      <c r="I865" s="0" t="str">
        <f aca="false">IF($A865="","",IF(R865="Y","warm-intro",IF(H865="verified","email",IF(C865&lt;&gt;"","linkedin",CA865&amp;""))))</f>
        <v/>
      </c>
      <c r="J865" s="0" t="str">
        <f aca="false">IF($A865="","",IF(CK865="pass",ROUND(N(DO865)+N(DP865)+N(DQ865)+N(DR865)+N(DS865)+N(DT865)+N(DU865)+N(DV865),0),0))</f>
        <v/>
      </c>
      <c r="K865" s="0" t="str">
        <f aca="false">IF($A865="","",IF(CK865&lt;&gt;"pass",BY865&amp;"",BY865&amp;", "&amp;IF(AT865="Y",BX865&amp;"",BK865&amp;"")&amp;BZ865&amp;IF(R865="Y","; known to the founder (+10)","")&amp;"."))</f>
        <v/>
      </c>
      <c r="R865" s="5"/>
      <c r="T865" s="5"/>
      <c r="U865" s="5"/>
      <c r="Y865" s="0" t="str">
        <f aca="false">IF(FA865&lt;&gt;"Y","",COUNTIFS($FA$2:$FA$1000,"Y",$J$2:$J$1000,"&gt;"&amp;J865)+COUNTIFS($FA$2:$FA$1000,"Y",$J$2:$J$1000,J865,$FG$2:$FG$1000,"&lt;"&amp;FG865)+1)</f>
        <v/>
      </c>
      <c r="AB865" s="0" t="str">
        <f aca="false">IF($A865="","",IF(AT865="Y",BW865&amp;"",BJ865&amp;""))</f>
        <v/>
      </c>
      <c r="AC865" s="0" t="str">
        <f aca="false">IF($A865="","",IF(AT865="Y",BR865&amp;"",BE865&amp;""))</f>
        <v/>
      </c>
      <c r="AD865" s="0" t="str">
        <f aca="false">IF($A865="","",IF(AT865="Y",BS865&amp;"",BF865&amp;""))</f>
        <v/>
      </c>
      <c r="AE865" s="0" t="str">
        <f aca="false">IF($A865="","",IF(AT865="Y",BT865&amp;"",BG865&amp;""))</f>
        <v/>
      </c>
      <c r="AF865" s="0" t="str">
        <f aca="false">IF($A865="","",IF(AT865="Y",BU865&amp;"",BH865&amp;""))</f>
        <v/>
      </c>
      <c r="AG865" s="0" t="str">
        <f aca="false">IF($A865="","",IF(AT865="Y",BV865&amp;"",BI865&amp;""))</f>
        <v/>
      </c>
      <c r="AO865" s="5"/>
      <c r="AR865" s="0" t="str">
        <f aca="false">IF($A865="","",IF(AND(CK865="pass",AO865&lt;&gt;"Y",C865&lt;&gt;"",OR(AU865&lt;&gt;"Y",AV865="Y")),"Y","N"))</f>
        <v/>
      </c>
      <c r="AS865" s="0" t="str">
        <f aca="false">IF($A865="","",_xlfn.TEXTJOIN("; ",TRUE(),IF(CK865&lt;&gt;"pass","gated out",""),IF(AO865="Y","on hold: "&amp;AP865,""),IF(C865="","no contact named on an opened page",""),IF(AND(AU865="Y",AV865&lt;&gt;"Y"),"founder review pending (Founder review tab)","")))</f>
        <v/>
      </c>
      <c r="BC865" s="0" t="str">
        <f aca="false">IF($A865="","",IFERROR(INDEX(Enrichment!$A$2:$GZ$2000,MATCH($A865,INDEX(Enrichment!$A$2:$GZ$2000,0,MATCH("row_id",Enrichment!$A$1:$GZ$1,0)),0),MATCH("work_email",Enrichment!$A$1:$GZ$1,0))&amp;"",""))</f>
        <v/>
      </c>
      <c r="BD865" s="0" t="str">
        <f aca="false">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P865" s="0" t="str">
        <f aca="false">IF($A865="","",IFERROR(INDEX(Enrichment!$A$2:$GZ$2000,MATCH($A865,INDEX(Enrichment!$A$2:$GZ$2000,0,MATCH("row_id",Enrichment!$A$1:$GZ$1,0)),0),MATCH("backup_work_email",Enrichment!$A$1:$GZ$1,0))&amp;"",""))</f>
        <v/>
      </c>
      <c r="BQ865" s="0" t="str">
        <f aca="false">IF($A865="","",IF(BP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DU865" s="0" t="str">
        <f aca="false">IF($A865="","",IF(R865="Y",10,0))</f>
        <v/>
      </c>
      <c r="EV865" s="0" t="str">
        <f aca="false">IF($A865="","",IF(ISNUMBER(MATCH(U865,{"queued","contacted","replied","call_booked","call_done","yes_in_principle","materials_sent"},0)),"Y","N"))</f>
        <v/>
      </c>
      <c r="EW865" s="0" t="str">
        <f aca="false">IF($A865="","",IF(OR(T865="Y",U865="do_not_contact",AQ865&amp;""&lt;&gt;""),"Y","N"))</f>
        <v/>
      </c>
      <c r="EX865" s="0" t="str">
        <f aca="false">IF($A865="","",IF(AN865&amp;""&lt;&gt;"",AN865&amp;"",$A865))</f>
        <v/>
      </c>
      <c r="EY865" s="0" t="str">
        <f aca="false">IF($A865="","",IF(COUNTIFS($EX$2:$EX$1000,EX865,$EV$2:$EV$1000,"Y")+COUNTIFS($EX$2:$EX$1000,EX865,$EW$2:$EW$1000,"Y")&gt;0,"Y","N"))</f>
        <v/>
      </c>
      <c r="EZ865" s="0" t="str">
        <f aca="false">IF($A865="","",IF(AND(U865="new",T865="N",EW865="N",AR865="Y",EY865="N"),"Y","N"))</f>
        <v/>
      </c>
      <c r="FA865" s="0" t="str">
        <f aca="false">IF($A865="","",IF(EZ865&lt;&gt;"Y","N",IF(COUNTIFS($EX$2:$EX$1000,EX865,$EZ$2:$EZ$1000,"Y",$J$2:$J$1000,"&gt;"&amp;J865)+COUNTIFS($EX$2:$EX$1000,EX865,$EZ$2:$EZ$1000,"Y",$J$2:$J$1000,J865,$FG$2:$FG$1000,"&lt;"&amp;FG865)=0,"Y","N")))</f>
        <v/>
      </c>
      <c r="FB865" s="0" t="str">
        <f aca="false">IF($A865="","",IF(AND(EZ865="Y",FA865="Y",Y865&amp;""&lt;&gt;""),IF(Y865&lt;=10,"Y","N"),"N"))</f>
        <v/>
      </c>
      <c r="FC865" s="0" t="str">
        <f aca="false">IF(FB865="Y",Y865,"")</f>
        <v/>
      </c>
      <c r="FD865" s="0" t="str">
        <f aca="false">IF($A865="","",IF(AND(CK865="pass",AU865="Y",AV865&lt;&gt;"Y",U865="new",EW865="N"),"Y","N"))</f>
        <v/>
      </c>
      <c r="FE865" s="0" t="str">
        <f aca="false">IF(FD865&lt;&gt;"Y","",IF(COUNTIFS($FD$2:$FD$1000,"Y",$J$2:$J$1000,"&gt;"&amp;J865)+COUNTIFS($FD$2:$FD$1000,"Y",$J$2:$J$1000,J865,$FG$2:$FG$1000,"&lt;"&amp;FG865)+1&lt;=30,COUNTIFS($FD$2:$FD$1000,"Y",$J$2:$J$1000,"&gt;"&amp;J865)+COUNTIFS($FD$2:$FD$1000,"Y",$J$2:$J$1000,J865,$FG$2:$FG$1000,"&lt;"&amp;FG865)+1,""))</f>
        <v/>
      </c>
      <c r="FF865" s="0" t="str">
        <f aca="false">IF(AND(_xlfn.ISFORMULA(C865),_xlfn.ISFORMULA(J865)),"Y","N")</f>
        <v>Y</v>
      </c>
      <c r="FG865" s="0" t="n">
        <f aca="false">ROW()-1</f>
        <v>864</v>
      </c>
    </row>
    <row r="866" customFormat="false" ht="15" hidden="false" customHeight="false" outlineLevel="0" collapsed="false">
      <c r="C866" s="0" t="str">
        <f aca="false">IF($A866="","",IF(AT866="Y",BL866&amp;"",AY866&amp;""))</f>
        <v/>
      </c>
      <c r="D866" s="0" t="str">
        <f aca="false">IF($A866="","",IF(AT866="Y",BM866&amp;"",AZ866&amp;""))</f>
        <v/>
      </c>
      <c r="E866" s="0" t="str">
        <f aca="false">IF($A866="","",IF(AT866="Y",BN866&amp;"",BA866&amp;""))</f>
        <v/>
      </c>
      <c r="F866" s="0" t="str">
        <f aca="false">IF($A866="","",IF(AT866="Y",BO866&amp;"",BB866&amp;""))</f>
        <v/>
      </c>
      <c r="G866" s="0" t="str">
        <f aca="false">IF($A866="","",IF(AT866="Y",BP866&amp;"",BC866&amp;""))</f>
        <v/>
      </c>
      <c r="H866" s="0" t="str">
        <f aca="false">IF($A866="","",IF(AT866="Y",BQ866&amp;"",BD866&amp;""))</f>
        <v/>
      </c>
      <c r="I866" s="0" t="str">
        <f aca="false">IF($A866="","",IF(R866="Y","warm-intro",IF(H866="verified","email",IF(C866&lt;&gt;"","linkedin",CA866&amp;""))))</f>
        <v/>
      </c>
      <c r="J866" s="0" t="str">
        <f aca="false">IF($A866="","",IF(CK866="pass",ROUND(N(DO866)+N(DP866)+N(DQ866)+N(DR866)+N(DS866)+N(DT866)+N(DU866)+N(DV866),0),0))</f>
        <v/>
      </c>
      <c r="K866" s="0" t="str">
        <f aca="false">IF($A866="","",IF(CK866&lt;&gt;"pass",BY866&amp;"",BY866&amp;", "&amp;IF(AT866="Y",BX866&amp;"",BK866&amp;"")&amp;BZ866&amp;IF(R866="Y","; known to the founder (+10)","")&amp;"."))</f>
        <v/>
      </c>
      <c r="R866" s="5"/>
      <c r="T866" s="5"/>
      <c r="U866" s="5"/>
      <c r="Y866" s="0" t="str">
        <f aca="false">IF(FA866&lt;&gt;"Y","",COUNTIFS($FA$2:$FA$1000,"Y",$J$2:$J$1000,"&gt;"&amp;J866)+COUNTIFS($FA$2:$FA$1000,"Y",$J$2:$J$1000,J866,$FG$2:$FG$1000,"&lt;"&amp;FG866)+1)</f>
        <v/>
      </c>
      <c r="AB866" s="0" t="str">
        <f aca="false">IF($A866="","",IF(AT866="Y",BW866&amp;"",BJ866&amp;""))</f>
        <v/>
      </c>
      <c r="AC866" s="0" t="str">
        <f aca="false">IF($A866="","",IF(AT866="Y",BR866&amp;"",BE866&amp;""))</f>
        <v/>
      </c>
      <c r="AD866" s="0" t="str">
        <f aca="false">IF($A866="","",IF(AT866="Y",BS866&amp;"",BF866&amp;""))</f>
        <v/>
      </c>
      <c r="AE866" s="0" t="str">
        <f aca="false">IF($A866="","",IF(AT866="Y",BT866&amp;"",BG866&amp;""))</f>
        <v/>
      </c>
      <c r="AF866" s="0" t="str">
        <f aca="false">IF($A866="","",IF(AT866="Y",BU866&amp;"",BH866&amp;""))</f>
        <v/>
      </c>
      <c r="AG866" s="0" t="str">
        <f aca="false">IF($A866="","",IF(AT866="Y",BV866&amp;"",BI866&amp;""))</f>
        <v/>
      </c>
      <c r="AO866" s="5"/>
      <c r="AR866" s="0" t="str">
        <f aca="false">IF($A866="","",IF(AND(CK866="pass",AO866&lt;&gt;"Y",C866&lt;&gt;"",OR(AU866&lt;&gt;"Y",AV866="Y")),"Y","N"))</f>
        <v/>
      </c>
      <c r="AS866" s="0" t="str">
        <f aca="false">IF($A866="","",_xlfn.TEXTJOIN("; ",TRUE(),IF(CK866&lt;&gt;"pass","gated out",""),IF(AO866="Y","on hold: "&amp;AP866,""),IF(C866="","no contact named on an opened page",""),IF(AND(AU866="Y",AV866&lt;&gt;"Y"),"founder review pending (Founder review tab)","")))</f>
        <v/>
      </c>
      <c r="BC866" s="0" t="str">
        <f aca="false">IF($A866="","",IFERROR(INDEX(Enrichment!$A$2:$GZ$2000,MATCH($A866,INDEX(Enrichment!$A$2:$GZ$2000,0,MATCH("row_id",Enrichment!$A$1:$GZ$1,0)),0),MATCH("work_email",Enrichment!$A$1:$GZ$1,0))&amp;"",""))</f>
        <v/>
      </c>
      <c r="BD866" s="0" t="str">
        <f aca="false">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P866" s="0" t="str">
        <f aca="false">IF($A866="","",IFERROR(INDEX(Enrichment!$A$2:$GZ$2000,MATCH($A866,INDEX(Enrichment!$A$2:$GZ$2000,0,MATCH("row_id",Enrichment!$A$1:$GZ$1,0)),0),MATCH("backup_work_email",Enrichment!$A$1:$GZ$1,0))&amp;"",""))</f>
        <v/>
      </c>
      <c r="BQ866" s="0" t="str">
        <f aca="false">IF($A866="","",IF(BP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DU866" s="0" t="str">
        <f aca="false">IF($A866="","",IF(R866="Y",10,0))</f>
        <v/>
      </c>
      <c r="EV866" s="0" t="str">
        <f aca="false">IF($A866="","",IF(ISNUMBER(MATCH(U866,{"queued","contacted","replied","call_booked","call_done","yes_in_principle","materials_sent"},0)),"Y","N"))</f>
        <v/>
      </c>
      <c r="EW866" s="0" t="str">
        <f aca="false">IF($A866="","",IF(OR(T866="Y",U866="do_not_contact",AQ866&amp;""&lt;&gt;""),"Y","N"))</f>
        <v/>
      </c>
      <c r="EX866" s="0" t="str">
        <f aca="false">IF($A866="","",IF(AN866&amp;""&lt;&gt;"",AN866&amp;"",$A866))</f>
        <v/>
      </c>
      <c r="EY866" s="0" t="str">
        <f aca="false">IF($A866="","",IF(COUNTIFS($EX$2:$EX$1000,EX866,$EV$2:$EV$1000,"Y")+COUNTIFS($EX$2:$EX$1000,EX866,$EW$2:$EW$1000,"Y")&gt;0,"Y","N"))</f>
        <v/>
      </c>
      <c r="EZ866" s="0" t="str">
        <f aca="false">IF($A866="","",IF(AND(U866="new",T866="N",EW866="N",AR866="Y",EY866="N"),"Y","N"))</f>
        <v/>
      </c>
      <c r="FA866" s="0" t="str">
        <f aca="false">IF($A866="","",IF(EZ866&lt;&gt;"Y","N",IF(COUNTIFS($EX$2:$EX$1000,EX866,$EZ$2:$EZ$1000,"Y",$J$2:$J$1000,"&gt;"&amp;J866)+COUNTIFS($EX$2:$EX$1000,EX866,$EZ$2:$EZ$1000,"Y",$J$2:$J$1000,J866,$FG$2:$FG$1000,"&lt;"&amp;FG866)=0,"Y","N")))</f>
        <v/>
      </c>
      <c r="FB866" s="0" t="str">
        <f aca="false">IF($A866="","",IF(AND(EZ866="Y",FA866="Y",Y866&amp;""&lt;&gt;""),IF(Y866&lt;=10,"Y","N"),"N"))</f>
        <v/>
      </c>
      <c r="FC866" s="0" t="str">
        <f aca="false">IF(FB866="Y",Y866,"")</f>
        <v/>
      </c>
      <c r="FD866" s="0" t="str">
        <f aca="false">IF($A866="","",IF(AND(CK866="pass",AU866="Y",AV866&lt;&gt;"Y",U866="new",EW866="N"),"Y","N"))</f>
        <v/>
      </c>
      <c r="FE866" s="0" t="str">
        <f aca="false">IF(FD866&lt;&gt;"Y","",IF(COUNTIFS($FD$2:$FD$1000,"Y",$J$2:$J$1000,"&gt;"&amp;J866)+COUNTIFS($FD$2:$FD$1000,"Y",$J$2:$J$1000,J866,$FG$2:$FG$1000,"&lt;"&amp;FG866)+1&lt;=30,COUNTIFS($FD$2:$FD$1000,"Y",$J$2:$J$1000,"&gt;"&amp;J866)+COUNTIFS($FD$2:$FD$1000,"Y",$J$2:$J$1000,J866,$FG$2:$FG$1000,"&lt;"&amp;FG866)+1,""))</f>
        <v/>
      </c>
      <c r="FF866" s="0" t="str">
        <f aca="false">IF(AND(_xlfn.ISFORMULA(C866),_xlfn.ISFORMULA(J866)),"Y","N")</f>
        <v>Y</v>
      </c>
      <c r="FG866" s="0" t="n">
        <f aca="false">ROW()-1</f>
        <v>865</v>
      </c>
    </row>
    <row r="867" customFormat="false" ht="15" hidden="false" customHeight="false" outlineLevel="0" collapsed="false">
      <c r="C867" s="0" t="str">
        <f aca="false">IF($A867="","",IF(AT867="Y",BL867&amp;"",AY867&amp;""))</f>
        <v/>
      </c>
      <c r="D867" s="0" t="str">
        <f aca="false">IF($A867="","",IF(AT867="Y",BM867&amp;"",AZ867&amp;""))</f>
        <v/>
      </c>
      <c r="E867" s="0" t="str">
        <f aca="false">IF($A867="","",IF(AT867="Y",BN867&amp;"",BA867&amp;""))</f>
        <v/>
      </c>
      <c r="F867" s="0" t="str">
        <f aca="false">IF($A867="","",IF(AT867="Y",BO867&amp;"",BB867&amp;""))</f>
        <v/>
      </c>
      <c r="G867" s="0" t="str">
        <f aca="false">IF($A867="","",IF(AT867="Y",BP867&amp;"",BC867&amp;""))</f>
        <v/>
      </c>
      <c r="H867" s="0" t="str">
        <f aca="false">IF($A867="","",IF(AT867="Y",BQ867&amp;"",BD867&amp;""))</f>
        <v/>
      </c>
      <c r="I867" s="0" t="str">
        <f aca="false">IF($A867="","",IF(R867="Y","warm-intro",IF(H867="verified","email",IF(C867&lt;&gt;"","linkedin",CA867&amp;""))))</f>
        <v/>
      </c>
      <c r="J867" s="0" t="str">
        <f aca="false">IF($A867="","",IF(CK867="pass",ROUND(N(DO867)+N(DP867)+N(DQ867)+N(DR867)+N(DS867)+N(DT867)+N(DU867)+N(DV867),0),0))</f>
        <v/>
      </c>
      <c r="K867" s="0" t="str">
        <f aca="false">IF($A867="","",IF(CK867&lt;&gt;"pass",BY867&amp;"",BY867&amp;", "&amp;IF(AT867="Y",BX867&amp;"",BK867&amp;"")&amp;BZ867&amp;IF(R867="Y","; known to the founder (+10)","")&amp;"."))</f>
        <v/>
      </c>
      <c r="R867" s="5"/>
      <c r="T867" s="5"/>
      <c r="U867" s="5"/>
      <c r="Y867" s="0" t="str">
        <f aca="false">IF(FA867&lt;&gt;"Y","",COUNTIFS($FA$2:$FA$1000,"Y",$J$2:$J$1000,"&gt;"&amp;J867)+COUNTIFS($FA$2:$FA$1000,"Y",$J$2:$J$1000,J867,$FG$2:$FG$1000,"&lt;"&amp;FG867)+1)</f>
        <v/>
      </c>
      <c r="AB867" s="0" t="str">
        <f aca="false">IF($A867="","",IF(AT867="Y",BW867&amp;"",BJ867&amp;""))</f>
        <v/>
      </c>
      <c r="AC867" s="0" t="str">
        <f aca="false">IF($A867="","",IF(AT867="Y",BR867&amp;"",BE867&amp;""))</f>
        <v/>
      </c>
      <c r="AD867" s="0" t="str">
        <f aca="false">IF($A867="","",IF(AT867="Y",BS867&amp;"",BF867&amp;""))</f>
        <v/>
      </c>
      <c r="AE867" s="0" t="str">
        <f aca="false">IF($A867="","",IF(AT867="Y",BT867&amp;"",BG867&amp;""))</f>
        <v/>
      </c>
      <c r="AF867" s="0" t="str">
        <f aca="false">IF($A867="","",IF(AT867="Y",BU867&amp;"",BH867&amp;""))</f>
        <v/>
      </c>
      <c r="AG867" s="0" t="str">
        <f aca="false">IF($A867="","",IF(AT867="Y",BV867&amp;"",BI867&amp;""))</f>
        <v/>
      </c>
      <c r="AO867" s="5"/>
      <c r="AR867" s="0" t="str">
        <f aca="false">IF($A867="","",IF(AND(CK867="pass",AO867&lt;&gt;"Y",C867&lt;&gt;"",OR(AU867&lt;&gt;"Y",AV867="Y")),"Y","N"))</f>
        <v/>
      </c>
      <c r="AS867" s="0" t="str">
        <f aca="false">IF($A867="","",_xlfn.TEXTJOIN("; ",TRUE(),IF(CK867&lt;&gt;"pass","gated out",""),IF(AO867="Y","on hold: "&amp;AP867,""),IF(C867="","no contact named on an opened page",""),IF(AND(AU867="Y",AV867&lt;&gt;"Y"),"founder review pending (Founder review tab)","")))</f>
        <v/>
      </c>
      <c r="BC867" s="0" t="str">
        <f aca="false">IF($A867="","",IFERROR(INDEX(Enrichment!$A$2:$GZ$2000,MATCH($A867,INDEX(Enrichment!$A$2:$GZ$2000,0,MATCH("row_id",Enrichment!$A$1:$GZ$1,0)),0),MATCH("work_email",Enrichment!$A$1:$GZ$1,0))&amp;"",""))</f>
        <v/>
      </c>
      <c r="BD867" s="0" t="str">
        <f aca="false">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P867" s="0" t="str">
        <f aca="false">IF($A867="","",IFERROR(INDEX(Enrichment!$A$2:$GZ$2000,MATCH($A867,INDEX(Enrichment!$A$2:$GZ$2000,0,MATCH("row_id",Enrichment!$A$1:$GZ$1,0)),0),MATCH("backup_work_email",Enrichment!$A$1:$GZ$1,0))&amp;"",""))</f>
        <v/>
      </c>
      <c r="BQ867" s="0" t="str">
        <f aca="false">IF($A867="","",IF(BP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DU867" s="0" t="str">
        <f aca="false">IF($A867="","",IF(R867="Y",10,0))</f>
        <v/>
      </c>
      <c r="EV867" s="0" t="str">
        <f aca="false">IF($A867="","",IF(ISNUMBER(MATCH(U867,{"queued","contacted","replied","call_booked","call_done","yes_in_principle","materials_sent"},0)),"Y","N"))</f>
        <v/>
      </c>
      <c r="EW867" s="0" t="str">
        <f aca="false">IF($A867="","",IF(OR(T867="Y",U867="do_not_contact",AQ867&amp;""&lt;&gt;""),"Y","N"))</f>
        <v/>
      </c>
      <c r="EX867" s="0" t="str">
        <f aca="false">IF($A867="","",IF(AN867&amp;""&lt;&gt;"",AN867&amp;"",$A867))</f>
        <v/>
      </c>
      <c r="EY867" s="0" t="str">
        <f aca="false">IF($A867="","",IF(COUNTIFS($EX$2:$EX$1000,EX867,$EV$2:$EV$1000,"Y")+COUNTIFS($EX$2:$EX$1000,EX867,$EW$2:$EW$1000,"Y")&gt;0,"Y","N"))</f>
        <v/>
      </c>
      <c r="EZ867" s="0" t="str">
        <f aca="false">IF($A867="","",IF(AND(U867="new",T867="N",EW867="N",AR867="Y",EY867="N"),"Y","N"))</f>
        <v/>
      </c>
      <c r="FA867" s="0" t="str">
        <f aca="false">IF($A867="","",IF(EZ867&lt;&gt;"Y","N",IF(COUNTIFS($EX$2:$EX$1000,EX867,$EZ$2:$EZ$1000,"Y",$J$2:$J$1000,"&gt;"&amp;J867)+COUNTIFS($EX$2:$EX$1000,EX867,$EZ$2:$EZ$1000,"Y",$J$2:$J$1000,J867,$FG$2:$FG$1000,"&lt;"&amp;FG867)=0,"Y","N")))</f>
        <v/>
      </c>
      <c r="FB867" s="0" t="str">
        <f aca="false">IF($A867="","",IF(AND(EZ867="Y",FA867="Y",Y867&amp;""&lt;&gt;""),IF(Y867&lt;=10,"Y","N"),"N"))</f>
        <v/>
      </c>
      <c r="FC867" s="0" t="str">
        <f aca="false">IF(FB867="Y",Y867,"")</f>
        <v/>
      </c>
      <c r="FD867" s="0" t="str">
        <f aca="false">IF($A867="","",IF(AND(CK867="pass",AU867="Y",AV867&lt;&gt;"Y",U867="new",EW867="N"),"Y","N"))</f>
        <v/>
      </c>
      <c r="FE867" s="0" t="str">
        <f aca="false">IF(FD867&lt;&gt;"Y","",IF(COUNTIFS($FD$2:$FD$1000,"Y",$J$2:$J$1000,"&gt;"&amp;J867)+COUNTIFS($FD$2:$FD$1000,"Y",$J$2:$J$1000,J867,$FG$2:$FG$1000,"&lt;"&amp;FG867)+1&lt;=30,COUNTIFS($FD$2:$FD$1000,"Y",$J$2:$J$1000,"&gt;"&amp;J867)+COUNTIFS($FD$2:$FD$1000,"Y",$J$2:$J$1000,J867,$FG$2:$FG$1000,"&lt;"&amp;FG867)+1,""))</f>
        <v/>
      </c>
      <c r="FF867" s="0" t="str">
        <f aca="false">IF(AND(_xlfn.ISFORMULA(C867),_xlfn.ISFORMULA(J867)),"Y","N")</f>
        <v>Y</v>
      </c>
      <c r="FG867" s="0" t="n">
        <f aca="false">ROW()-1</f>
        <v>866</v>
      </c>
    </row>
    <row r="868" customFormat="false" ht="15" hidden="false" customHeight="false" outlineLevel="0" collapsed="false">
      <c r="C868" s="0" t="str">
        <f aca="false">IF($A868="","",IF(AT868="Y",BL868&amp;"",AY868&amp;""))</f>
        <v/>
      </c>
      <c r="D868" s="0" t="str">
        <f aca="false">IF($A868="","",IF(AT868="Y",BM868&amp;"",AZ868&amp;""))</f>
        <v/>
      </c>
      <c r="E868" s="0" t="str">
        <f aca="false">IF($A868="","",IF(AT868="Y",BN868&amp;"",BA868&amp;""))</f>
        <v/>
      </c>
      <c r="F868" s="0" t="str">
        <f aca="false">IF($A868="","",IF(AT868="Y",BO868&amp;"",BB868&amp;""))</f>
        <v/>
      </c>
      <c r="G868" s="0" t="str">
        <f aca="false">IF($A868="","",IF(AT868="Y",BP868&amp;"",BC868&amp;""))</f>
        <v/>
      </c>
      <c r="H868" s="0" t="str">
        <f aca="false">IF($A868="","",IF(AT868="Y",BQ868&amp;"",BD868&amp;""))</f>
        <v/>
      </c>
      <c r="I868" s="0" t="str">
        <f aca="false">IF($A868="","",IF(R868="Y","warm-intro",IF(H868="verified","email",IF(C868&lt;&gt;"","linkedin",CA868&amp;""))))</f>
        <v/>
      </c>
      <c r="J868" s="0" t="str">
        <f aca="false">IF($A868="","",IF(CK868="pass",ROUND(N(DO868)+N(DP868)+N(DQ868)+N(DR868)+N(DS868)+N(DT868)+N(DU868)+N(DV868),0),0))</f>
        <v/>
      </c>
      <c r="K868" s="0" t="str">
        <f aca="false">IF($A868="","",IF(CK868&lt;&gt;"pass",BY868&amp;"",BY868&amp;", "&amp;IF(AT868="Y",BX868&amp;"",BK868&amp;"")&amp;BZ868&amp;IF(R868="Y","; known to the founder (+10)","")&amp;"."))</f>
        <v/>
      </c>
      <c r="R868" s="5"/>
      <c r="T868" s="5"/>
      <c r="U868" s="5"/>
      <c r="Y868" s="0" t="str">
        <f aca="false">IF(FA868&lt;&gt;"Y","",COUNTIFS($FA$2:$FA$1000,"Y",$J$2:$J$1000,"&gt;"&amp;J868)+COUNTIFS($FA$2:$FA$1000,"Y",$J$2:$J$1000,J868,$FG$2:$FG$1000,"&lt;"&amp;FG868)+1)</f>
        <v/>
      </c>
      <c r="AB868" s="0" t="str">
        <f aca="false">IF($A868="","",IF(AT868="Y",BW868&amp;"",BJ868&amp;""))</f>
        <v/>
      </c>
      <c r="AC868" s="0" t="str">
        <f aca="false">IF($A868="","",IF(AT868="Y",BR868&amp;"",BE868&amp;""))</f>
        <v/>
      </c>
      <c r="AD868" s="0" t="str">
        <f aca="false">IF($A868="","",IF(AT868="Y",BS868&amp;"",BF868&amp;""))</f>
        <v/>
      </c>
      <c r="AE868" s="0" t="str">
        <f aca="false">IF($A868="","",IF(AT868="Y",BT868&amp;"",BG868&amp;""))</f>
        <v/>
      </c>
      <c r="AF868" s="0" t="str">
        <f aca="false">IF($A868="","",IF(AT868="Y",BU868&amp;"",BH868&amp;""))</f>
        <v/>
      </c>
      <c r="AG868" s="0" t="str">
        <f aca="false">IF($A868="","",IF(AT868="Y",BV868&amp;"",BI868&amp;""))</f>
        <v/>
      </c>
      <c r="AO868" s="5"/>
      <c r="AR868" s="0" t="str">
        <f aca="false">IF($A868="","",IF(AND(CK868="pass",AO868&lt;&gt;"Y",C868&lt;&gt;"",OR(AU868&lt;&gt;"Y",AV868="Y")),"Y","N"))</f>
        <v/>
      </c>
      <c r="AS868" s="0" t="str">
        <f aca="false">IF($A868="","",_xlfn.TEXTJOIN("; ",TRUE(),IF(CK868&lt;&gt;"pass","gated out",""),IF(AO868="Y","on hold: "&amp;AP868,""),IF(C868="","no contact named on an opened page",""),IF(AND(AU868="Y",AV868&lt;&gt;"Y"),"founder review pending (Founder review tab)","")))</f>
        <v/>
      </c>
      <c r="BC868" s="0" t="str">
        <f aca="false">IF($A868="","",IFERROR(INDEX(Enrichment!$A$2:$GZ$2000,MATCH($A868,INDEX(Enrichment!$A$2:$GZ$2000,0,MATCH("row_id",Enrichment!$A$1:$GZ$1,0)),0),MATCH("work_email",Enrichment!$A$1:$GZ$1,0))&amp;"",""))</f>
        <v/>
      </c>
      <c r="BD868" s="0" t="str">
        <f aca="false">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P868" s="0" t="str">
        <f aca="false">IF($A868="","",IFERROR(INDEX(Enrichment!$A$2:$GZ$2000,MATCH($A868,INDEX(Enrichment!$A$2:$GZ$2000,0,MATCH("row_id",Enrichment!$A$1:$GZ$1,0)),0),MATCH("backup_work_email",Enrichment!$A$1:$GZ$1,0))&amp;"",""))</f>
        <v/>
      </c>
      <c r="BQ868" s="0" t="str">
        <f aca="false">IF($A868="","",IF(BP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DU868" s="0" t="str">
        <f aca="false">IF($A868="","",IF(R868="Y",10,0))</f>
        <v/>
      </c>
      <c r="EV868" s="0" t="str">
        <f aca="false">IF($A868="","",IF(ISNUMBER(MATCH(U868,{"queued","contacted","replied","call_booked","call_done","yes_in_principle","materials_sent"},0)),"Y","N"))</f>
        <v/>
      </c>
      <c r="EW868" s="0" t="str">
        <f aca="false">IF($A868="","",IF(OR(T868="Y",U868="do_not_contact",AQ868&amp;""&lt;&gt;""),"Y","N"))</f>
        <v/>
      </c>
      <c r="EX868" s="0" t="str">
        <f aca="false">IF($A868="","",IF(AN868&amp;""&lt;&gt;"",AN868&amp;"",$A868))</f>
        <v/>
      </c>
      <c r="EY868" s="0" t="str">
        <f aca="false">IF($A868="","",IF(COUNTIFS($EX$2:$EX$1000,EX868,$EV$2:$EV$1000,"Y")+COUNTIFS($EX$2:$EX$1000,EX868,$EW$2:$EW$1000,"Y")&gt;0,"Y","N"))</f>
        <v/>
      </c>
      <c r="EZ868" s="0" t="str">
        <f aca="false">IF($A868="","",IF(AND(U868="new",T868="N",EW868="N",AR868="Y",EY868="N"),"Y","N"))</f>
        <v/>
      </c>
      <c r="FA868" s="0" t="str">
        <f aca="false">IF($A868="","",IF(EZ868&lt;&gt;"Y","N",IF(COUNTIFS($EX$2:$EX$1000,EX868,$EZ$2:$EZ$1000,"Y",$J$2:$J$1000,"&gt;"&amp;J868)+COUNTIFS($EX$2:$EX$1000,EX868,$EZ$2:$EZ$1000,"Y",$J$2:$J$1000,J868,$FG$2:$FG$1000,"&lt;"&amp;FG868)=0,"Y","N")))</f>
        <v/>
      </c>
      <c r="FB868" s="0" t="str">
        <f aca="false">IF($A868="","",IF(AND(EZ868="Y",FA868="Y",Y868&amp;""&lt;&gt;""),IF(Y868&lt;=10,"Y","N"),"N"))</f>
        <v/>
      </c>
      <c r="FC868" s="0" t="str">
        <f aca="false">IF(FB868="Y",Y868,"")</f>
        <v/>
      </c>
      <c r="FD868" s="0" t="str">
        <f aca="false">IF($A868="","",IF(AND(CK868="pass",AU868="Y",AV868&lt;&gt;"Y",U868="new",EW868="N"),"Y","N"))</f>
        <v/>
      </c>
      <c r="FE868" s="0" t="str">
        <f aca="false">IF(FD868&lt;&gt;"Y","",IF(COUNTIFS($FD$2:$FD$1000,"Y",$J$2:$J$1000,"&gt;"&amp;J868)+COUNTIFS($FD$2:$FD$1000,"Y",$J$2:$J$1000,J868,$FG$2:$FG$1000,"&lt;"&amp;FG868)+1&lt;=30,COUNTIFS($FD$2:$FD$1000,"Y",$J$2:$J$1000,"&gt;"&amp;J868)+COUNTIFS($FD$2:$FD$1000,"Y",$J$2:$J$1000,J868,$FG$2:$FG$1000,"&lt;"&amp;FG868)+1,""))</f>
        <v/>
      </c>
      <c r="FF868" s="0" t="str">
        <f aca="false">IF(AND(_xlfn.ISFORMULA(C868),_xlfn.ISFORMULA(J868)),"Y","N")</f>
        <v>Y</v>
      </c>
      <c r="FG868" s="0" t="n">
        <f aca="false">ROW()-1</f>
        <v>867</v>
      </c>
    </row>
    <row r="869" customFormat="false" ht="15" hidden="false" customHeight="false" outlineLevel="0" collapsed="false">
      <c r="C869" s="0" t="str">
        <f aca="false">IF($A869="","",IF(AT869="Y",BL869&amp;"",AY869&amp;""))</f>
        <v/>
      </c>
      <c r="D869" s="0" t="str">
        <f aca="false">IF($A869="","",IF(AT869="Y",BM869&amp;"",AZ869&amp;""))</f>
        <v/>
      </c>
      <c r="E869" s="0" t="str">
        <f aca="false">IF($A869="","",IF(AT869="Y",BN869&amp;"",BA869&amp;""))</f>
        <v/>
      </c>
      <c r="F869" s="0" t="str">
        <f aca="false">IF($A869="","",IF(AT869="Y",BO869&amp;"",BB869&amp;""))</f>
        <v/>
      </c>
      <c r="G869" s="0" t="str">
        <f aca="false">IF($A869="","",IF(AT869="Y",BP869&amp;"",BC869&amp;""))</f>
        <v/>
      </c>
      <c r="H869" s="0" t="str">
        <f aca="false">IF($A869="","",IF(AT869="Y",BQ869&amp;"",BD869&amp;""))</f>
        <v/>
      </c>
      <c r="I869" s="0" t="str">
        <f aca="false">IF($A869="","",IF(R869="Y","warm-intro",IF(H869="verified","email",IF(C869&lt;&gt;"","linkedin",CA869&amp;""))))</f>
        <v/>
      </c>
      <c r="J869" s="0" t="str">
        <f aca="false">IF($A869="","",IF(CK869="pass",ROUND(N(DO869)+N(DP869)+N(DQ869)+N(DR869)+N(DS869)+N(DT869)+N(DU869)+N(DV869),0),0))</f>
        <v/>
      </c>
      <c r="K869" s="0" t="str">
        <f aca="false">IF($A869="","",IF(CK869&lt;&gt;"pass",BY869&amp;"",BY869&amp;", "&amp;IF(AT869="Y",BX869&amp;"",BK869&amp;"")&amp;BZ869&amp;IF(R869="Y","; known to the founder (+10)","")&amp;"."))</f>
        <v/>
      </c>
      <c r="R869" s="5"/>
      <c r="T869" s="5"/>
      <c r="U869" s="5"/>
      <c r="Y869" s="0" t="str">
        <f aca="false">IF(FA869&lt;&gt;"Y","",COUNTIFS($FA$2:$FA$1000,"Y",$J$2:$J$1000,"&gt;"&amp;J869)+COUNTIFS($FA$2:$FA$1000,"Y",$J$2:$J$1000,J869,$FG$2:$FG$1000,"&lt;"&amp;FG869)+1)</f>
        <v/>
      </c>
      <c r="AB869" s="0" t="str">
        <f aca="false">IF($A869="","",IF(AT869="Y",BW869&amp;"",BJ869&amp;""))</f>
        <v/>
      </c>
      <c r="AC869" s="0" t="str">
        <f aca="false">IF($A869="","",IF(AT869="Y",BR869&amp;"",BE869&amp;""))</f>
        <v/>
      </c>
      <c r="AD869" s="0" t="str">
        <f aca="false">IF($A869="","",IF(AT869="Y",BS869&amp;"",BF869&amp;""))</f>
        <v/>
      </c>
      <c r="AE869" s="0" t="str">
        <f aca="false">IF($A869="","",IF(AT869="Y",BT869&amp;"",BG869&amp;""))</f>
        <v/>
      </c>
      <c r="AF869" s="0" t="str">
        <f aca="false">IF($A869="","",IF(AT869="Y",BU869&amp;"",BH869&amp;""))</f>
        <v/>
      </c>
      <c r="AG869" s="0" t="str">
        <f aca="false">IF($A869="","",IF(AT869="Y",BV869&amp;"",BI869&amp;""))</f>
        <v/>
      </c>
      <c r="AO869" s="5"/>
      <c r="AR869" s="0" t="str">
        <f aca="false">IF($A869="","",IF(AND(CK869="pass",AO869&lt;&gt;"Y",C869&lt;&gt;"",OR(AU869&lt;&gt;"Y",AV869="Y")),"Y","N"))</f>
        <v/>
      </c>
      <c r="AS869" s="0" t="str">
        <f aca="false">IF($A869="","",_xlfn.TEXTJOIN("; ",TRUE(),IF(CK869&lt;&gt;"pass","gated out",""),IF(AO869="Y","on hold: "&amp;AP869,""),IF(C869="","no contact named on an opened page",""),IF(AND(AU869="Y",AV869&lt;&gt;"Y"),"founder review pending (Founder review tab)","")))</f>
        <v/>
      </c>
      <c r="BC869" s="0" t="str">
        <f aca="false">IF($A869="","",IFERROR(INDEX(Enrichment!$A$2:$GZ$2000,MATCH($A869,INDEX(Enrichment!$A$2:$GZ$2000,0,MATCH("row_id",Enrichment!$A$1:$GZ$1,0)),0),MATCH("work_email",Enrichment!$A$1:$GZ$1,0))&amp;"",""))</f>
        <v/>
      </c>
      <c r="BD869" s="0" t="str">
        <f aca="false">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P869" s="0" t="str">
        <f aca="false">IF($A869="","",IFERROR(INDEX(Enrichment!$A$2:$GZ$2000,MATCH($A869,INDEX(Enrichment!$A$2:$GZ$2000,0,MATCH("row_id",Enrichment!$A$1:$GZ$1,0)),0),MATCH("backup_work_email",Enrichment!$A$1:$GZ$1,0))&amp;"",""))</f>
        <v/>
      </c>
      <c r="BQ869" s="0" t="str">
        <f aca="false">IF($A869="","",IF(BP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DU869" s="0" t="str">
        <f aca="false">IF($A869="","",IF(R869="Y",10,0))</f>
        <v/>
      </c>
      <c r="EV869" s="0" t="str">
        <f aca="false">IF($A869="","",IF(ISNUMBER(MATCH(U869,{"queued","contacted","replied","call_booked","call_done","yes_in_principle","materials_sent"},0)),"Y","N"))</f>
        <v/>
      </c>
      <c r="EW869" s="0" t="str">
        <f aca="false">IF($A869="","",IF(OR(T869="Y",U869="do_not_contact",AQ869&amp;""&lt;&gt;""),"Y","N"))</f>
        <v/>
      </c>
      <c r="EX869" s="0" t="str">
        <f aca="false">IF($A869="","",IF(AN869&amp;""&lt;&gt;"",AN869&amp;"",$A869))</f>
        <v/>
      </c>
      <c r="EY869" s="0" t="str">
        <f aca="false">IF($A869="","",IF(COUNTIFS($EX$2:$EX$1000,EX869,$EV$2:$EV$1000,"Y")+COUNTIFS($EX$2:$EX$1000,EX869,$EW$2:$EW$1000,"Y")&gt;0,"Y","N"))</f>
        <v/>
      </c>
      <c r="EZ869" s="0" t="str">
        <f aca="false">IF($A869="","",IF(AND(U869="new",T869="N",EW869="N",AR869="Y",EY869="N"),"Y","N"))</f>
        <v/>
      </c>
      <c r="FA869" s="0" t="str">
        <f aca="false">IF($A869="","",IF(EZ869&lt;&gt;"Y","N",IF(COUNTIFS($EX$2:$EX$1000,EX869,$EZ$2:$EZ$1000,"Y",$J$2:$J$1000,"&gt;"&amp;J869)+COUNTIFS($EX$2:$EX$1000,EX869,$EZ$2:$EZ$1000,"Y",$J$2:$J$1000,J869,$FG$2:$FG$1000,"&lt;"&amp;FG869)=0,"Y","N")))</f>
        <v/>
      </c>
      <c r="FB869" s="0" t="str">
        <f aca="false">IF($A869="","",IF(AND(EZ869="Y",FA869="Y",Y869&amp;""&lt;&gt;""),IF(Y869&lt;=10,"Y","N"),"N"))</f>
        <v/>
      </c>
      <c r="FC869" s="0" t="str">
        <f aca="false">IF(FB869="Y",Y869,"")</f>
        <v/>
      </c>
      <c r="FD869" s="0" t="str">
        <f aca="false">IF($A869="","",IF(AND(CK869="pass",AU869="Y",AV869&lt;&gt;"Y",U869="new",EW869="N"),"Y","N"))</f>
        <v/>
      </c>
      <c r="FE869" s="0" t="str">
        <f aca="false">IF(FD869&lt;&gt;"Y","",IF(COUNTIFS($FD$2:$FD$1000,"Y",$J$2:$J$1000,"&gt;"&amp;J869)+COUNTIFS($FD$2:$FD$1000,"Y",$J$2:$J$1000,J869,$FG$2:$FG$1000,"&lt;"&amp;FG869)+1&lt;=30,COUNTIFS($FD$2:$FD$1000,"Y",$J$2:$J$1000,"&gt;"&amp;J869)+COUNTIFS($FD$2:$FD$1000,"Y",$J$2:$J$1000,J869,$FG$2:$FG$1000,"&lt;"&amp;FG869)+1,""))</f>
        <v/>
      </c>
      <c r="FF869" s="0" t="str">
        <f aca="false">IF(AND(_xlfn.ISFORMULA(C869),_xlfn.ISFORMULA(J869)),"Y","N")</f>
        <v>Y</v>
      </c>
      <c r="FG869" s="0" t="n">
        <f aca="false">ROW()-1</f>
        <v>868</v>
      </c>
    </row>
    <row r="870" customFormat="false" ht="15" hidden="false" customHeight="false" outlineLevel="0" collapsed="false">
      <c r="C870" s="0" t="str">
        <f aca="false">IF($A870="","",IF(AT870="Y",BL870&amp;"",AY870&amp;""))</f>
        <v/>
      </c>
      <c r="D870" s="0" t="str">
        <f aca="false">IF($A870="","",IF(AT870="Y",BM870&amp;"",AZ870&amp;""))</f>
        <v/>
      </c>
      <c r="E870" s="0" t="str">
        <f aca="false">IF($A870="","",IF(AT870="Y",BN870&amp;"",BA870&amp;""))</f>
        <v/>
      </c>
      <c r="F870" s="0" t="str">
        <f aca="false">IF($A870="","",IF(AT870="Y",BO870&amp;"",BB870&amp;""))</f>
        <v/>
      </c>
      <c r="G870" s="0" t="str">
        <f aca="false">IF($A870="","",IF(AT870="Y",BP870&amp;"",BC870&amp;""))</f>
        <v/>
      </c>
      <c r="H870" s="0" t="str">
        <f aca="false">IF($A870="","",IF(AT870="Y",BQ870&amp;"",BD870&amp;""))</f>
        <v/>
      </c>
      <c r="I870" s="0" t="str">
        <f aca="false">IF($A870="","",IF(R870="Y","warm-intro",IF(H870="verified","email",IF(C870&lt;&gt;"","linkedin",CA870&amp;""))))</f>
        <v/>
      </c>
      <c r="J870" s="0" t="str">
        <f aca="false">IF($A870="","",IF(CK870="pass",ROUND(N(DO870)+N(DP870)+N(DQ870)+N(DR870)+N(DS870)+N(DT870)+N(DU870)+N(DV870),0),0))</f>
        <v/>
      </c>
      <c r="K870" s="0" t="str">
        <f aca="false">IF($A870="","",IF(CK870&lt;&gt;"pass",BY870&amp;"",BY870&amp;", "&amp;IF(AT870="Y",BX870&amp;"",BK870&amp;"")&amp;BZ870&amp;IF(R870="Y","; known to the founder (+10)","")&amp;"."))</f>
        <v/>
      </c>
      <c r="R870" s="5"/>
      <c r="T870" s="5"/>
      <c r="U870" s="5"/>
      <c r="Y870" s="0" t="str">
        <f aca="false">IF(FA870&lt;&gt;"Y","",COUNTIFS($FA$2:$FA$1000,"Y",$J$2:$J$1000,"&gt;"&amp;J870)+COUNTIFS($FA$2:$FA$1000,"Y",$J$2:$J$1000,J870,$FG$2:$FG$1000,"&lt;"&amp;FG870)+1)</f>
        <v/>
      </c>
      <c r="AB870" s="0" t="str">
        <f aca="false">IF($A870="","",IF(AT870="Y",BW870&amp;"",BJ870&amp;""))</f>
        <v/>
      </c>
      <c r="AC870" s="0" t="str">
        <f aca="false">IF($A870="","",IF(AT870="Y",BR870&amp;"",BE870&amp;""))</f>
        <v/>
      </c>
      <c r="AD870" s="0" t="str">
        <f aca="false">IF($A870="","",IF(AT870="Y",BS870&amp;"",BF870&amp;""))</f>
        <v/>
      </c>
      <c r="AE870" s="0" t="str">
        <f aca="false">IF($A870="","",IF(AT870="Y",BT870&amp;"",BG870&amp;""))</f>
        <v/>
      </c>
      <c r="AF870" s="0" t="str">
        <f aca="false">IF($A870="","",IF(AT870="Y",BU870&amp;"",BH870&amp;""))</f>
        <v/>
      </c>
      <c r="AG870" s="0" t="str">
        <f aca="false">IF($A870="","",IF(AT870="Y",BV870&amp;"",BI870&amp;""))</f>
        <v/>
      </c>
      <c r="AO870" s="5"/>
      <c r="AR870" s="0" t="str">
        <f aca="false">IF($A870="","",IF(AND(CK870="pass",AO870&lt;&gt;"Y",C870&lt;&gt;"",OR(AU870&lt;&gt;"Y",AV870="Y")),"Y","N"))</f>
        <v/>
      </c>
      <c r="AS870" s="0" t="str">
        <f aca="false">IF($A870="","",_xlfn.TEXTJOIN("; ",TRUE(),IF(CK870&lt;&gt;"pass","gated out",""),IF(AO870="Y","on hold: "&amp;AP870,""),IF(C870="","no contact named on an opened page",""),IF(AND(AU870="Y",AV870&lt;&gt;"Y"),"founder review pending (Founder review tab)","")))</f>
        <v/>
      </c>
      <c r="BC870" s="0" t="str">
        <f aca="false">IF($A870="","",IFERROR(INDEX(Enrichment!$A$2:$GZ$2000,MATCH($A870,INDEX(Enrichment!$A$2:$GZ$2000,0,MATCH("row_id",Enrichment!$A$1:$GZ$1,0)),0),MATCH("work_email",Enrichment!$A$1:$GZ$1,0))&amp;"",""))</f>
        <v/>
      </c>
      <c r="BD870" s="0" t="str">
        <f aca="false">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P870" s="0" t="str">
        <f aca="false">IF($A870="","",IFERROR(INDEX(Enrichment!$A$2:$GZ$2000,MATCH($A870,INDEX(Enrichment!$A$2:$GZ$2000,0,MATCH("row_id",Enrichment!$A$1:$GZ$1,0)),0),MATCH("backup_work_email",Enrichment!$A$1:$GZ$1,0))&amp;"",""))</f>
        <v/>
      </c>
      <c r="BQ870" s="0" t="str">
        <f aca="false">IF($A870="","",IF(BP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DU870" s="0" t="str">
        <f aca="false">IF($A870="","",IF(R870="Y",10,0))</f>
        <v/>
      </c>
      <c r="EV870" s="0" t="str">
        <f aca="false">IF($A870="","",IF(ISNUMBER(MATCH(U870,{"queued","contacted","replied","call_booked","call_done","yes_in_principle","materials_sent"},0)),"Y","N"))</f>
        <v/>
      </c>
      <c r="EW870" s="0" t="str">
        <f aca="false">IF($A870="","",IF(OR(T870="Y",U870="do_not_contact",AQ870&amp;""&lt;&gt;""),"Y","N"))</f>
        <v/>
      </c>
      <c r="EX870" s="0" t="str">
        <f aca="false">IF($A870="","",IF(AN870&amp;""&lt;&gt;"",AN870&amp;"",$A870))</f>
        <v/>
      </c>
      <c r="EY870" s="0" t="str">
        <f aca="false">IF($A870="","",IF(COUNTIFS($EX$2:$EX$1000,EX870,$EV$2:$EV$1000,"Y")+COUNTIFS($EX$2:$EX$1000,EX870,$EW$2:$EW$1000,"Y")&gt;0,"Y","N"))</f>
        <v/>
      </c>
      <c r="EZ870" s="0" t="str">
        <f aca="false">IF($A870="","",IF(AND(U870="new",T870="N",EW870="N",AR870="Y",EY870="N"),"Y","N"))</f>
        <v/>
      </c>
      <c r="FA870" s="0" t="str">
        <f aca="false">IF($A870="","",IF(EZ870&lt;&gt;"Y","N",IF(COUNTIFS($EX$2:$EX$1000,EX870,$EZ$2:$EZ$1000,"Y",$J$2:$J$1000,"&gt;"&amp;J870)+COUNTIFS($EX$2:$EX$1000,EX870,$EZ$2:$EZ$1000,"Y",$J$2:$J$1000,J870,$FG$2:$FG$1000,"&lt;"&amp;FG870)=0,"Y","N")))</f>
        <v/>
      </c>
      <c r="FB870" s="0" t="str">
        <f aca="false">IF($A870="","",IF(AND(EZ870="Y",FA870="Y",Y870&amp;""&lt;&gt;""),IF(Y870&lt;=10,"Y","N"),"N"))</f>
        <v/>
      </c>
      <c r="FC870" s="0" t="str">
        <f aca="false">IF(FB870="Y",Y870,"")</f>
        <v/>
      </c>
      <c r="FD870" s="0" t="str">
        <f aca="false">IF($A870="","",IF(AND(CK870="pass",AU870="Y",AV870&lt;&gt;"Y",U870="new",EW870="N"),"Y","N"))</f>
        <v/>
      </c>
      <c r="FE870" s="0" t="str">
        <f aca="false">IF(FD870&lt;&gt;"Y","",IF(COUNTIFS($FD$2:$FD$1000,"Y",$J$2:$J$1000,"&gt;"&amp;J870)+COUNTIFS($FD$2:$FD$1000,"Y",$J$2:$J$1000,J870,$FG$2:$FG$1000,"&lt;"&amp;FG870)+1&lt;=30,COUNTIFS($FD$2:$FD$1000,"Y",$J$2:$J$1000,"&gt;"&amp;J870)+COUNTIFS($FD$2:$FD$1000,"Y",$J$2:$J$1000,J870,$FG$2:$FG$1000,"&lt;"&amp;FG870)+1,""))</f>
        <v/>
      </c>
      <c r="FF870" s="0" t="str">
        <f aca="false">IF(AND(_xlfn.ISFORMULA(C870),_xlfn.ISFORMULA(J870)),"Y","N")</f>
        <v>Y</v>
      </c>
      <c r="FG870" s="0" t="n">
        <f aca="false">ROW()-1</f>
        <v>869</v>
      </c>
    </row>
    <row r="871" customFormat="false" ht="15" hidden="false" customHeight="false" outlineLevel="0" collapsed="false">
      <c r="C871" s="0" t="str">
        <f aca="false">IF($A871="","",IF(AT871="Y",BL871&amp;"",AY871&amp;""))</f>
        <v/>
      </c>
      <c r="D871" s="0" t="str">
        <f aca="false">IF($A871="","",IF(AT871="Y",BM871&amp;"",AZ871&amp;""))</f>
        <v/>
      </c>
      <c r="E871" s="0" t="str">
        <f aca="false">IF($A871="","",IF(AT871="Y",BN871&amp;"",BA871&amp;""))</f>
        <v/>
      </c>
      <c r="F871" s="0" t="str">
        <f aca="false">IF($A871="","",IF(AT871="Y",BO871&amp;"",BB871&amp;""))</f>
        <v/>
      </c>
      <c r="G871" s="0" t="str">
        <f aca="false">IF($A871="","",IF(AT871="Y",BP871&amp;"",BC871&amp;""))</f>
        <v/>
      </c>
      <c r="H871" s="0" t="str">
        <f aca="false">IF($A871="","",IF(AT871="Y",BQ871&amp;"",BD871&amp;""))</f>
        <v/>
      </c>
      <c r="I871" s="0" t="str">
        <f aca="false">IF($A871="","",IF(R871="Y","warm-intro",IF(H871="verified","email",IF(C871&lt;&gt;"","linkedin",CA871&amp;""))))</f>
        <v/>
      </c>
      <c r="J871" s="0" t="str">
        <f aca="false">IF($A871="","",IF(CK871="pass",ROUND(N(DO871)+N(DP871)+N(DQ871)+N(DR871)+N(DS871)+N(DT871)+N(DU871)+N(DV871),0),0))</f>
        <v/>
      </c>
      <c r="K871" s="0" t="str">
        <f aca="false">IF($A871="","",IF(CK871&lt;&gt;"pass",BY871&amp;"",BY871&amp;", "&amp;IF(AT871="Y",BX871&amp;"",BK871&amp;"")&amp;BZ871&amp;IF(R871="Y","; known to the founder (+10)","")&amp;"."))</f>
        <v/>
      </c>
      <c r="R871" s="5"/>
      <c r="T871" s="5"/>
      <c r="U871" s="5"/>
      <c r="Y871" s="0" t="str">
        <f aca="false">IF(FA871&lt;&gt;"Y","",COUNTIFS($FA$2:$FA$1000,"Y",$J$2:$J$1000,"&gt;"&amp;J871)+COUNTIFS($FA$2:$FA$1000,"Y",$J$2:$J$1000,J871,$FG$2:$FG$1000,"&lt;"&amp;FG871)+1)</f>
        <v/>
      </c>
      <c r="AB871" s="0" t="str">
        <f aca="false">IF($A871="","",IF(AT871="Y",BW871&amp;"",BJ871&amp;""))</f>
        <v/>
      </c>
      <c r="AC871" s="0" t="str">
        <f aca="false">IF($A871="","",IF(AT871="Y",BR871&amp;"",BE871&amp;""))</f>
        <v/>
      </c>
      <c r="AD871" s="0" t="str">
        <f aca="false">IF($A871="","",IF(AT871="Y",BS871&amp;"",BF871&amp;""))</f>
        <v/>
      </c>
      <c r="AE871" s="0" t="str">
        <f aca="false">IF($A871="","",IF(AT871="Y",BT871&amp;"",BG871&amp;""))</f>
        <v/>
      </c>
      <c r="AF871" s="0" t="str">
        <f aca="false">IF($A871="","",IF(AT871="Y",BU871&amp;"",BH871&amp;""))</f>
        <v/>
      </c>
      <c r="AG871" s="0" t="str">
        <f aca="false">IF($A871="","",IF(AT871="Y",BV871&amp;"",BI871&amp;""))</f>
        <v/>
      </c>
      <c r="AO871" s="5"/>
      <c r="AR871" s="0" t="str">
        <f aca="false">IF($A871="","",IF(AND(CK871="pass",AO871&lt;&gt;"Y",C871&lt;&gt;"",OR(AU871&lt;&gt;"Y",AV871="Y")),"Y","N"))</f>
        <v/>
      </c>
      <c r="AS871" s="0" t="str">
        <f aca="false">IF($A871="","",_xlfn.TEXTJOIN("; ",TRUE(),IF(CK871&lt;&gt;"pass","gated out",""),IF(AO871="Y","on hold: "&amp;AP871,""),IF(C871="","no contact named on an opened page",""),IF(AND(AU871="Y",AV871&lt;&gt;"Y"),"founder review pending (Founder review tab)","")))</f>
        <v/>
      </c>
      <c r="BC871" s="0" t="str">
        <f aca="false">IF($A871="","",IFERROR(INDEX(Enrichment!$A$2:$GZ$2000,MATCH($A871,INDEX(Enrichment!$A$2:$GZ$2000,0,MATCH("row_id",Enrichment!$A$1:$GZ$1,0)),0),MATCH("work_email",Enrichment!$A$1:$GZ$1,0))&amp;"",""))</f>
        <v/>
      </c>
      <c r="BD871" s="0" t="str">
        <f aca="false">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P871" s="0" t="str">
        <f aca="false">IF($A871="","",IFERROR(INDEX(Enrichment!$A$2:$GZ$2000,MATCH($A871,INDEX(Enrichment!$A$2:$GZ$2000,0,MATCH("row_id",Enrichment!$A$1:$GZ$1,0)),0),MATCH("backup_work_email",Enrichment!$A$1:$GZ$1,0))&amp;"",""))</f>
        <v/>
      </c>
      <c r="BQ871" s="0" t="str">
        <f aca="false">IF($A871="","",IF(BP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DU871" s="0" t="str">
        <f aca="false">IF($A871="","",IF(R871="Y",10,0))</f>
        <v/>
      </c>
      <c r="EV871" s="0" t="str">
        <f aca="false">IF($A871="","",IF(ISNUMBER(MATCH(U871,{"queued","contacted","replied","call_booked","call_done","yes_in_principle","materials_sent"},0)),"Y","N"))</f>
        <v/>
      </c>
      <c r="EW871" s="0" t="str">
        <f aca="false">IF($A871="","",IF(OR(T871="Y",U871="do_not_contact",AQ871&amp;""&lt;&gt;""),"Y","N"))</f>
        <v/>
      </c>
      <c r="EX871" s="0" t="str">
        <f aca="false">IF($A871="","",IF(AN871&amp;""&lt;&gt;"",AN871&amp;"",$A871))</f>
        <v/>
      </c>
      <c r="EY871" s="0" t="str">
        <f aca="false">IF($A871="","",IF(COUNTIFS($EX$2:$EX$1000,EX871,$EV$2:$EV$1000,"Y")+COUNTIFS($EX$2:$EX$1000,EX871,$EW$2:$EW$1000,"Y")&gt;0,"Y","N"))</f>
        <v/>
      </c>
      <c r="EZ871" s="0" t="str">
        <f aca="false">IF($A871="","",IF(AND(U871="new",T871="N",EW871="N",AR871="Y",EY871="N"),"Y","N"))</f>
        <v/>
      </c>
      <c r="FA871" s="0" t="str">
        <f aca="false">IF($A871="","",IF(EZ871&lt;&gt;"Y","N",IF(COUNTIFS($EX$2:$EX$1000,EX871,$EZ$2:$EZ$1000,"Y",$J$2:$J$1000,"&gt;"&amp;J871)+COUNTIFS($EX$2:$EX$1000,EX871,$EZ$2:$EZ$1000,"Y",$J$2:$J$1000,J871,$FG$2:$FG$1000,"&lt;"&amp;FG871)=0,"Y","N")))</f>
        <v/>
      </c>
      <c r="FB871" s="0" t="str">
        <f aca="false">IF($A871="","",IF(AND(EZ871="Y",FA871="Y",Y871&amp;""&lt;&gt;""),IF(Y871&lt;=10,"Y","N"),"N"))</f>
        <v/>
      </c>
      <c r="FC871" s="0" t="str">
        <f aca="false">IF(FB871="Y",Y871,"")</f>
        <v/>
      </c>
      <c r="FD871" s="0" t="str">
        <f aca="false">IF($A871="","",IF(AND(CK871="pass",AU871="Y",AV871&lt;&gt;"Y",U871="new",EW871="N"),"Y","N"))</f>
        <v/>
      </c>
      <c r="FE871" s="0" t="str">
        <f aca="false">IF(FD871&lt;&gt;"Y","",IF(COUNTIFS($FD$2:$FD$1000,"Y",$J$2:$J$1000,"&gt;"&amp;J871)+COUNTIFS($FD$2:$FD$1000,"Y",$J$2:$J$1000,J871,$FG$2:$FG$1000,"&lt;"&amp;FG871)+1&lt;=30,COUNTIFS($FD$2:$FD$1000,"Y",$J$2:$J$1000,"&gt;"&amp;J871)+COUNTIFS($FD$2:$FD$1000,"Y",$J$2:$J$1000,J871,$FG$2:$FG$1000,"&lt;"&amp;FG871)+1,""))</f>
        <v/>
      </c>
      <c r="FF871" s="0" t="str">
        <f aca="false">IF(AND(_xlfn.ISFORMULA(C871),_xlfn.ISFORMULA(J871)),"Y","N")</f>
        <v>Y</v>
      </c>
      <c r="FG871" s="0" t="n">
        <f aca="false">ROW()-1</f>
        <v>870</v>
      </c>
    </row>
    <row r="872" customFormat="false" ht="15" hidden="false" customHeight="false" outlineLevel="0" collapsed="false">
      <c r="C872" s="0" t="str">
        <f aca="false">IF($A872="","",IF(AT872="Y",BL872&amp;"",AY872&amp;""))</f>
        <v/>
      </c>
      <c r="D872" s="0" t="str">
        <f aca="false">IF($A872="","",IF(AT872="Y",BM872&amp;"",AZ872&amp;""))</f>
        <v/>
      </c>
      <c r="E872" s="0" t="str">
        <f aca="false">IF($A872="","",IF(AT872="Y",BN872&amp;"",BA872&amp;""))</f>
        <v/>
      </c>
      <c r="F872" s="0" t="str">
        <f aca="false">IF($A872="","",IF(AT872="Y",BO872&amp;"",BB872&amp;""))</f>
        <v/>
      </c>
      <c r="G872" s="0" t="str">
        <f aca="false">IF($A872="","",IF(AT872="Y",BP872&amp;"",BC872&amp;""))</f>
        <v/>
      </c>
      <c r="H872" s="0" t="str">
        <f aca="false">IF($A872="","",IF(AT872="Y",BQ872&amp;"",BD872&amp;""))</f>
        <v/>
      </c>
      <c r="I872" s="0" t="str">
        <f aca="false">IF($A872="","",IF(R872="Y","warm-intro",IF(H872="verified","email",IF(C872&lt;&gt;"","linkedin",CA872&amp;""))))</f>
        <v/>
      </c>
      <c r="J872" s="0" t="str">
        <f aca="false">IF($A872="","",IF(CK872="pass",ROUND(N(DO872)+N(DP872)+N(DQ872)+N(DR872)+N(DS872)+N(DT872)+N(DU872)+N(DV872),0),0))</f>
        <v/>
      </c>
      <c r="K872" s="0" t="str">
        <f aca="false">IF($A872="","",IF(CK872&lt;&gt;"pass",BY872&amp;"",BY872&amp;", "&amp;IF(AT872="Y",BX872&amp;"",BK872&amp;"")&amp;BZ872&amp;IF(R872="Y","; known to the founder (+10)","")&amp;"."))</f>
        <v/>
      </c>
      <c r="R872" s="5"/>
      <c r="T872" s="5"/>
      <c r="U872" s="5"/>
      <c r="Y872" s="0" t="str">
        <f aca="false">IF(FA872&lt;&gt;"Y","",COUNTIFS($FA$2:$FA$1000,"Y",$J$2:$J$1000,"&gt;"&amp;J872)+COUNTIFS($FA$2:$FA$1000,"Y",$J$2:$J$1000,J872,$FG$2:$FG$1000,"&lt;"&amp;FG872)+1)</f>
        <v/>
      </c>
      <c r="AB872" s="0" t="str">
        <f aca="false">IF($A872="","",IF(AT872="Y",BW872&amp;"",BJ872&amp;""))</f>
        <v/>
      </c>
      <c r="AC872" s="0" t="str">
        <f aca="false">IF($A872="","",IF(AT872="Y",BR872&amp;"",BE872&amp;""))</f>
        <v/>
      </c>
      <c r="AD872" s="0" t="str">
        <f aca="false">IF($A872="","",IF(AT872="Y",BS872&amp;"",BF872&amp;""))</f>
        <v/>
      </c>
      <c r="AE872" s="0" t="str">
        <f aca="false">IF($A872="","",IF(AT872="Y",BT872&amp;"",BG872&amp;""))</f>
        <v/>
      </c>
      <c r="AF872" s="0" t="str">
        <f aca="false">IF($A872="","",IF(AT872="Y",BU872&amp;"",BH872&amp;""))</f>
        <v/>
      </c>
      <c r="AG872" s="0" t="str">
        <f aca="false">IF($A872="","",IF(AT872="Y",BV872&amp;"",BI872&amp;""))</f>
        <v/>
      </c>
      <c r="AO872" s="5"/>
      <c r="AR872" s="0" t="str">
        <f aca="false">IF($A872="","",IF(AND(CK872="pass",AO872&lt;&gt;"Y",C872&lt;&gt;"",OR(AU872&lt;&gt;"Y",AV872="Y")),"Y","N"))</f>
        <v/>
      </c>
      <c r="AS872" s="0" t="str">
        <f aca="false">IF($A872="","",_xlfn.TEXTJOIN("; ",TRUE(),IF(CK872&lt;&gt;"pass","gated out",""),IF(AO872="Y","on hold: "&amp;AP872,""),IF(C872="","no contact named on an opened page",""),IF(AND(AU872="Y",AV872&lt;&gt;"Y"),"founder review pending (Founder review tab)","")))</f>
        <v/>
      </c>
      <c r="BC872" s="0" t="str">
        <f aca="false">IF($A872="","",IFERROR(INDEX(Enrichment!$A$2:$GZ$2000,MATCH($A872,INDEX(Enrichment!$A$2:$GZ$2000,0,MATCH("row_id",Enrichment!$A$1:$GZ$1,0)),0),MATCH("work_email",Enrichment!$A$1:$GZ$1,0))&amp;"",""))</f>
        <v/>
      </c>
      <c r="BD872" s="0" t="str">
        <f aca="false">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P872" s="0" t="str">
        <f aca="false">IF($A872="","",IFERROR(INDEX(Enrichment!$A$2:$GZ$2000,MATCH($A872,INDEX(Enrichment!$A$2:$GZ$2000,0,MATCH("row_id",Enrichment!$A$1:$GZ$1,0)),0),MATCH("backup_work_email",Enrichment!$A$1:$GZ$1,0))&amp;"",""))</f>
        <v/>
      </c>
      <c r="BQ872" s="0" t="str">
        <f aca="false">IF($A872="","",IF(BP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DU872" s="0" t="str">
        <f aca="false">IF($A872="","",IF(R872="Y",10,0))</f>
        <v/>
      </c>
      <c r="EV872" s="0" t="str">
        <f aca="false">IF($A872="","",IF(ISNUMBER(MATCH(U872,{"queued","contacted","replied","call_booked","call_done","yes_in_principle","materials_sent"},0)),"Y","N"))</f>
        <v/>
      </c>
      <c r="EW872" s="0" t="str">
        <f aca="false">IF($A872="","",IF(OR(T872="Y",U872="do_not_contact",AQ872&amp;""&lt;&gt;""),"Y","N"))</f>
        <v/>
      </c>
      <c r="EX872" s="0" t="str">
        <f aca="false">IF($A872="","",IF(AN872&amp;""&lt;&gt;"",AN872&amp;"",$A872))</f>
        <v/>
      </c>
      <c r="EY872" s="0" t="str">
        <f aca="false">IF($A872="","",IF(COUNTIFS($EX$2:$EX$1000,EX872,$EV$2:$EV$1000,"Y")+COUNTIFS($EX$2:$EX$1000,EX872,$EW$2:$EW$1000,"Y")&gt;0,"Y","N"))</f>
        <v/>
      </c>
      <c r="EZ872" s="0" t="str">
        <f aca="false">IF($A872="","",IF(AND(U872="new",T872="N",EW872="N",AR872="Y",EY872="N"),"Y","N"))</f>
        <v/>
      </c>
      <c r="FA872" s="0" t="str">
        <f aca="false">IF($A872="","",IF(EZ872&lt;&gt;"Y","N",IF(COUNTIFS($EX$2:$EX$1000,EX872,$EZ$2:$EZ$1000,"Y",$J$2:$J$1000,"&gt;"&amp;J872)+COUNTIFS($EX$2:$EX$1000,EX872,$EZ$2:$EZ$1000,"Y",$J$2:$J$1000,J872,$FG$2:$FG$1000,"&lt;"&amp;FG872)=0,"Y","N")))</f>
        <v/>
      </c>
      <c r="FB872" s="0" t="str">
        <f aca="false">IF($A872="","",IF(AND(EZ872="Y",FA872="Y",Y872&amp;""&lt;&gt;""),IF(Y872&lt;=10,"Y","N"),"N"))</f>
        <v/>
      </c>
      <c r="FC872" s="0" t="str">
        <f aca="false">IF(FB872="Y",Y872,"")</f>
        <v/>
      </c>
      <c r="FD872" s="0" t="str">
        <f aca="false">IF($A872="","",IF(AND(CK872="pass",AU872="Y",AV872&lt;&gt;"Y",U872="new",EW872="N"),"Y","N"))</f>
        <v/>
      </c>
      <c r="FE872" s="0" t="str">
        <f aca="false">IF(FD872&lt;&gt;"Y","",IF(COUNTIFS($FD$2:$FD$1000,"Y",$J$2:$J$1000,"&gt;"&amp;J872)+COUNTIFS($FD$2:$FD$1000,"Y",$J$2:$J$1000,J872,$FG$2:$FG$1000,"&lt;"&amp;FG872)+1&lt;=30,COUNTIFS($FD$2:$FD$1000,"Y",$J$2:$J$1000,"&gt;"&amp;J872)+COUNTIFS($FD$2:$FD$1000,"Y",$J$2:$J$1000,J872,$FG$2:$FG$1000,"&lt;"&amp;FG872)+1,""))</f>
        <v/>
      </c>
      <c r="FF872" s="0" t="str">
        <f aca="false">IF(AND(_xlfn.ISFORMULA(C872),_xlfn.ISFORMULA(J872)),"Y","N")</f>
        <v>Y</v>
      </c>
      <c r="FG872" s="0" t="n">
        <f aca="false">ROW()-1</f>
        <v>871</v>
      </c>
    </row>
    <row r="873" customFormat="false" ht="15" hidden="false" customHeight="false" outlineLevel="0" collapsed="false">
      <c r="C873" s="0" t="str">
        <f aca="false">IF($A873="","",IF(AT873="Y",BL873&amp;"",AY873&amp;""))</f>
        <v/>
      </c>
      <c r="D873" s="0" t="str">
        <f aca="false">IF($A873="","",IF(AT873="Y",BM873&amp;"",AZ873&amp;""))</f>
        <v/>
      </c>
      <c r="E873" s="0" t="str">
        <f aca="false">IF($A873="","",IF(AT873="Y",BN873&amp;"",BA873&amp;""))</f>
        <v/>
      </c>
      <c r="F873" s="0" t="str">
        <f aca="false">IF($A873="","",IF(AT873="Y",BO873&amp;"",BB873&amp;""))</f>
        <v/>
      </c>
      <c r="G873" s="0" t="str">
        <f aca="false">IF($A873="","",IF(AT873="Y",BP873&amp;"",BC873&amp;""))</f>
        <v/>
      </c>
      <c r="H873" s="0" t="str">
        <f aca="false">IF($A873="","",IF(AT873="Y",BQ873&amp;"",BD873&amp;""))</f>
        <v/>
      </c>
      <c r="I873" s="0" t="str">
        <f aca="false">IF($A873="","",IF(R873="Y","warm-intro",IF(H873="verified","email",IF(C873&lt;&gt;"","linkedin",CA873&amp;""))))</f>
        <v/>
      </c>
      <c r="J873" s="0" t="str">
        <f aca="false">IF($A873="","",IF(CK873="pass",ROUND(N(DO873)+N(DP873)+N(DQ873)+N(DR873)+N(DS873)+N(DT873)+N(DU873)+N(DV873),0),0))</f>
        <v/>
      </c>
      <c r="K873" s="0" t="str">
        <f aca="false">IF($A873="","",IF(CK873&lt;&gt;"pass",BY873&amp;"",BY873&amp;", "&amp;IF(AT873="Y",BX873&amp;"",BK873&amp;"")&amp;BZ873&amp;IF(R873="Y","; known to the founder (+10)","")&amp;"."))</f>
        <v/>
      </c>
      <c r="R873" s="5"/>
      <c r="T873" s="5"/>
      <c r="U873" s="5"/>
      <c r="Y873" s="0" t="str">
        <f aca="false">IF(FA873&lt;&gt;"Y","",COUNTIFS($FA$2:$FA$1000,"Y",$J$2:$J$1000,"&gt;"&amp;J873)+COUNTIFS($FA$2:$FA$1000,"Y",$J$2:$J$1000,J873,$FG$2:$FG$1000,"&lt;"&amp;FG873)+1)</f>
        <v/>
      </c>
      <c r="AB873" s="0" t="str">
        <f aca="false">IF($A873="","",IF(AT873="Y",BW873&amp;"",BJ873&amp;""))</f>
        <v/>
      </c>
      <c r="AC873" s="0" t="str">
        <f aca="false">IF($A873="","",IF(AT873="Y",BR873&amp;"",BE873&amp;""))</f>
        <v/>
      </c>
      <c r="AD873" s="0" t="str">
        <f aca="false">IF($A873="","",IF(AT873="Y",BS873&amp;"",BF873&amp;""))</f>
        <v/>
      </c>
      <c r="AE873" s="0" t="str">
        <f aca="false">IF($A873="","",IF(AT873="Y",BT873&amp;"",BG873&amp;""))</f>
        <v/>
      </c>
      <c r="AF873" s="0" t="str">
        <f aca="false">IF($A873="","",IF(AT873="Y",BU873&amp;"",BH873&amp;""))</f>
        <v/>
      </c>
      <c r="AG873" s="0" t="str">
        <f aca="false">IF($A873="","",IF(AT873="Y",BV873&amp;"",BI873&amp;""))</f>
        <v/>
      </c>
      <c r="AO873" s="5"/>
      <c r="AR873" s="0" t="str">
        <f aca="false">IF($A873="","",IF(AND(CK873="pass",AO873&lt;&gt;"Y",C873&lt;&gt;"",OR(AU873&lt;&gt;"Y",AV873="Y")),"Y","N"))</f>
        <v/>
      </c>
      <c r="AS873" s="0" t="str">
        <f aca="false">IF($A873="","",_xlfn.TEXTJOIN("; ",TRUE(),IF(CK873&lt;&gt;"pass","gated out",""),IF(AO873="Y","on hold: "&amp;AP873,""),IF(C873="","no contact named on an opened page",""),IF(AND(AU873="Y",AV873&lt;&gt;"Y"),"founder review pending (Founder review tab)","")))</f>
        <v/>
      </c>
      <c r="BC873" s="0" t="str">
        <f aca="false">IF($A873="","",IFERROR(INDEX(Enrichment!$A$2:$GZ$2000,MATCH($A873,INDEX(Enrichment!$A$2:$GZ$2000,0,MATCH("row_id",Enrichment!$A$1:$GZ$1,0)),0),MATCH("work_email",Enrichment!$A$1:$GZ$1,0))&amp;"",""))</f>
        <v/>
      </c>
      <c r="BD873" s="0" t="str">
        <f aca="false">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P873" s="0" t="str">
        <f aca="false">IF($A873="","",IFERROR(INDEX(Enrichment!$A$2:$GZ$2000,MATCH($A873,INDEX(Enrichment!$A$2:$GZ$2000,0,MATCH("row_id",Enrichment!$A$1:$GZ$1,0)),0),MATCH("backup_work_email",Enrichment!$A$1:$GZ$1,0))&amp;"",""))</f>
        <v/>
      </c>
      <c r="BQ873" s="0" t="str">
        <f aca="false">IF($A873="","",IF(BP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DU873" s="0" t="str">
        <f aca="false">IF($A873="","",IF(R873="Y",10,0))</f>
        <v/>
      </c>
      <c r="EV873" s="0" t="str">
        <f aca="false">IF($A873="","",IF(ISNUMBER(MATCH(U873,{"queued","contacted","replied","call_booked","call_done","yes_in_principle","materials_sent"},0)),"Y","N"))</f>
        <v/>
      </c>
      <c r="EW873" s="0" t="str">
        <f aca="false">IF($A873="","",IF(OR(T873="Y",U873="do_not_contact",AQ873&amp;""&lt;&gt;""),"Y","N"))</f>
        <v/>
      </c>
      <c r="EX873" s="0" t="str">
        <f aca="false">IF($A873="","",IF(AN873&amp;""&lt;&gt;"",AN873&amp;"",$A873))</f>
        <v/>
      </c>
      <c r="EY873" s="0" t="str">
        <f aca="false">IF($A873="","",IF(COUNTIFS($EX$2:$EX$1000,EX873,$EV$2:$EV$1000,"Y")+COUNTIFS($EX$2:$EX$1000,EX873,$EW$2:$EW$1000,"Y")&gt;0,"Y","N"))</f>
        <v/>
      </c>
      <c r="EZ873" s="0" t="str">
        <f aca="false">IF($A873="","",IF(AND(U873="new",T873="N",EW873="N",AR873="Y",EY873="N"),"Y","N"))</f>
        <v/>
      </c>
      <c r="FA873" s="0" t="str">
        <f aca="false">IF($A873="","",IF(EZ873&lt;&gt;"Y","N",IF(COUNTIFS($EX$2:$EX$1000,EX873,$EZ$2:$EZ$1000,"Y",$J$2:$J$1000,"&gt;"&amp;J873)+COUNTIFS($EX$2:$EX$1000,EX873,$EZ$2:$EZ$1000,"Y",$J$2:$J$1000,J873,$FG$2:$FG$1000,"&lt;"&amp;FG873)=0,"Y","N")))</f>
        <v/>
      </c>
      <c r="FB873" s="0" t="str">
        <f aca="false">IF($A873="","",IF(AND(EZ873="Y",FA873="Y",Y873&amp;""&lt;&gt;""),IF(Y873&lt;=10,"Y","N"),"N"))</f>
        <v/>
      </c>
      <c r="FC873" s="0" t="str">
        <f aca="false">IF(FB873="Y",Y873,"")</f>
        <v/>
      </c>
      <c r="FD873" s="0" t="str">
        <f aca="false">IF($A873="","",IF(AND(CK873="pass",AU873="Y",AV873&lt;&gt;"Y",U873="new",EW873="N"),"Y","N"))</f>
        <v/>
      </c>
      <c r="FE873" s="0" t="str">
        <f aca="false">IF(FD873&lt;&gt;"Y","",IF(COUNTIFS($FD$2:$FD$1000,"Y",$J$2:$J$1000,"&gt;"&amp;J873)+COUNTIFS($FD$2:$FD$1000,"Y",$J$2:$J$1000,J873,$FG$2:$FG$1000,"&lt;"&amp;FG873)+1&lt;=30,COUNTIFS($FD$2:$FD$1000,"Y",$J$2:$J$1000,"&gt;"&amp;J873)+COUNTIFS($FD$2:$FD$1000,"Y",$J$2:$J$1000,J873,$FG$2:$FG$1000,"&lt;"&amp;FG873)+1,""))</f>
        <v/>
      </c>
      <c r="FF873" s="0" t="str">
        <f aca="false">IF(AND(_xlfn.ISFORMULA(C873),_xlfn.ISFORMULA(J873)),"Y","N")</f>
        <v>Y</v>
      </c>
      <c r="FG873" s="0" t="n">
        <f aca="false">ROW()-1</f>
        <v>872</v>
      </c>
    </row>
    <row r="874" customFormat="false" ht="15" hidden="false" customHeight="false" outlineLevel="0" collapsed="false">
      <c r="C874" s="0" t="str">
        <f aca="false">IF($A874="","",IF(AT874="Y",BL874&amp;"",AY874&amp;""))</f>
        <v/>
      </c>
      <c r="D874" s="0" t="str">
        <f aca="false">IF($A874="","",IF(AT874="Y",BM874&amp;"",AZ874&amp;""))</f>
        <v/>
      </c>
      <c r="E874" s="0" t="str">
        <f aca="false">IF($A874="","",IF(AT874="Y",BN874&amp;"",BA874&amp;""))</f>
        <v/>
      </c>
      <c r="F874" s="0" t="str">
        <f aca="false">IF($A874="","",IF(AT874="Y",BO874&amp;"",BB874&amp;""))</f>
        <v/>
      </c>
      <c r="G874" s="0" t="str">
        <f aca="false">IF($A874="","",IF(AT874="Y",BP874&amp;"",BC874&amp;""))</f>
        <v/>
      </c>
      <c r="H874" s="0" t="str">
        <f aca="false">IF($A874="","",IF(AT874="Y",BQ874&amp;"",BD874&amp;""))</f>
        <v/>
      </c>
      <c r="I874" s="0" t="str">
        <f aca="false">IF($A874="","",IF(R874="Y","warm-intro",IF(H874="verified","email",IF(C874&lt;&gt;"","linkedin",CA874&amp;""))))</f>
        <v/>
      </c>
      <c r="J874" s="0" t="str">
        <f aca="false">IF($A874="","",IF(CK874="pass",ROUND(N(DO874)+N(DP874)+N(DQ874)+N(DR874)+N(DS874)+N(DT874)+N(DU874)+N(DV874),0),0))</f>
        <v/>
      </c>
      <c r="K874" s="0" t="str">
        <f aca="false">IF($A874="","",IF(CK874&lt;&gt;"pass",BY874&amp;"",BY874&amp;", "&amp;IF(AT874="Y",BX874&amp;"",BK874&amp;"")&amp;BZ874&amp;IF(R874="Y","; known to the founder (+10)","")&amp;"."))</f>
        <v/>
      </c>
      <c r="R874" s="5"/>
      <c r="T874" s="5"/>
      <c r="U874" s="5"/>
      <c r="Y874" s="0" t="str">
        <f aca="false">IF(FA874&lt;&gt;"Y","",COUNTIFS($FA$2:$FA$1000,"Y",$J$2:$J$1000,"&gt;"&amp;J874)+COUNTIFS($FA$2:$FA$1000,"Y",$J$2:$J$1000,J874,$FG$2:$FG$1000,"&lt;"&amp;FG874)+1)</f>
        <v/>
      </c>
      <c r="AB874" s="0" t="str">
        <f aca="false">IF($A874="","",IF(AT874="Y",BW874&amp;"",BJ874&amp;""))</f>
        <v/>
      </c>
      <c r="AC874" s="0" t="str">
        <f aca="false">IF($A874="","",IF(AT874="Y",BR874&amp;"",BE874&amp;""))</f>
        <v/>
      </c>
      <c r="AD874" s="0" t="str">
        <f aca="false">IF($A874="","",IF(AT874="Y",BS874&amp;"",BF874&amp;""))</f>
        <v/>
      </c>
      <c r="AE874" s="0" t="str">
        <f aca="false">IF($A874="","",IF(AT874="Y",BT874&amp;"",BG874&amp;""))</f>
        <v/>
      </c>
      <c r="AF874" s="0" t="str">
        <f aca="false">IF($A874="","",IF(AT874="Y",BU874&amp;"",BH874&amp;""))</f>
        <v/>
      </c>
      <c r="AG874" s="0" t="str">
        <f aca="false">IF($A874="","",IF(AT874="Y",BV874&amp;"",BI874&amp;""))</f>
        <v/>
      </c>
      <c r="AO874" s="5"/>
      <c r="AR874" s="0" t="str">
        <f aca="false">IF($A874="","",IF(AND(CK874="pass",AO874&lt;&gt;"Y",C874&lt;&gt;"",OR(AU874&lt;&gt;"Y",AV874="Y")),"Y","N"))</f>
        <v/>
      </c>
      <c r="AS874" s="0" t="str">
        <f aca="false">IF($A874="","",_xlfn.TEXTJOIN("; ",TRUE(),IF(CK874&lt;&gt;"pass","gated out",""),IF(AO874="Y","on hold: "&amp;AP874,""),IF(C874="","no contact named on an opened page",""),IF(AND(AU874="Y",AV874&lt;&gt;"Y"),"founder review pending (Founder review tab)","")))</f>
        <v/>
      </c>
      <c r="BC874" s="0" t="str">
        <f aca="false">IF($A874="","",IFERROR(INDEX(Enrichment!$A$2:$GZ$2000,MATCH($A874,INDEX(Enrichment!$A$2:$GZ$2000,0,MATCH("row_id",Enrichment!$A$1:$GZ$1,0)),0),MATCH("work_email",Enrichment!$A$1:$GZ$1,0))&amp;"",""))</f>
        <v/>
      </c>
      <c r="BD874" s="0" t="str">
        <f aca="false">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P874" s="0" t="str">
        <f aca="false">IF($A874="","",IFERROR(INDEX(Enrichment!$A$2:$GZ$2000,MATCH($A874,INDEX(Enrichment!$A$2:$GZ$2000,0,MATCH("row_id",Enrichment!$A$1:$GZ$1,0)),0),MATCH("backup_work_email",Enrichment!$A$1:$GZ$1,0))&amp;"",""))</f>
        <v/>
      </c>
      <c r="BQ874" s="0" t="str">
        <f aca="false">IF($A874="","",IF(BP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DU874" s="0" t="str">
        <f aca="false">IF($A874="","",IF(R874="Y",10,0))</f>
        <v/>
      </c>
      <c r="EV874" s="0" t="str">
        <f aca="false">IF($A874="","",IF(ISNUMBER(MATCH(U874,{"queued","contacted","replied","call_booked","call_done","yes_in_principle","materials_sent"},0)),"Y","N"))</f>
        <v/>
      </c>
      <c r="EW874" s="0" t="str">
        <f aca="false">IF($A874="","",IF(OR(T874="Y",U874="do_not_contact",AQ874&amp;""&lt;&gt;""),"Y","N"))</f>
        <v/>
      </c>
      <c r="EX874" s="0" t="str">
        <f aca="false">IF($A874="","",IF(AN874&amp;""&lt;&gt;"",AN874&amp;"",$A874))</f>
        <v/>
      </c>
      <c r="EY874" s="0" t="str">
        <f aca="false">IF($A874="","",IF(COUNTIFS($EX$2:$EX$1000,EX874,$EV$2:$EV$1000,"Y")+COUNTIFS($EX$2:$EX$1000,EX874,$EW$2:$EW$1000,"Y")&gt;0,"Y","N"))</f>
        <v/>
      </c>
      <c r="EZ874" s="0" t="str">
        <f aca="false">IF($A874="","",IF(AND(U874="new",T874="N",EW874="N",AR874="Y",EY874="N"),"Y","N"))</f>
        <v/>
      </c>
      <c r="FA874" s="0" t="str">
        <f aca="false">IF($A874="","",IF(EZ874&lt;&gt;"Y","N",IF(COUNTIFS($EX$2:$EX$1000,EX874,$EZ$2:$EZ$1000,"Y",$J$2:$J$1000,"&gt;"&amp;J874)+COUNTIFS($EX$2:$EX$1000,EX874,$EZ$2:$EZ$1000,"Y",$J$2:$J$1000,J874,$FG$2:$FG$1000,"&lt;"&amp;FG874)=0,"Y","N")))</f>
        <v/>
      </c>
      <c r="FB874" s="0" t="str">
        <f aca="false">IF($A874="","",IF(AND(EZ874="Y",FA874="Y",Y874&amp;""&lt;&gt;""),IF(Y874&lt;=10,"Y","N"),"N"))</f>
        <v/>
      </c>
      <c r="FC874" s="0" t="str">
        <f aca="false">IF(FB874="Y",Y874,"")</f>
        <v/>
      </c>
      <c r="FD874" s="0" t="str">
        <f aca="false">IF($A874="","",IF(AND(CK874="pass",AU874="Y",AV874&lt;&gt;"Y",U874="new",EW874="N"),"Y","N"))</f>
        <v/>
      </c>
      <c r="FE874" s="0" t="str">
        <f aca="false">IF(FD874&lt;&gt;"Y","",IF(COUNTIFS($FD$2:$FD$1000,"Y",$J$2:$J$1000,"&gt;"&amp;J874)+COUNTIFS($FD$2:$FD$1000,"Y",$J$2:$J$1000,J874,$FG$2:$FG$1000,"&lt;"&amp;FG874)+1&lt;=30,COUNTIFS($FD$2:$FD$1000,"Y",$J$2:$J$1000,"&gt;"&amp;J874)+COUNTIFS($FD$2:$FD$1000,"Y",$J$2:$J$1000,J874,$FG$2:$FG$1000,"&lt;"&amp;FG874)+1,""))</f>
        <v/>
      </c>
      <c r="FF874" s="0" t="str">
        <f aca="false">IF(AND(_xlfn.ISFORMULA(C874),_xlfn.ISFORMULA(J874)),"Y","N")</f>
        <v>Y</v>
      </c>
      <c r="FG874" s="0" t="n">
        <f aca="false">ROW()-1</f>
        <v>873</v>
      </c>
    </row>
    <row r="875" customFormat="false" ht="15" hidden="false" customHeight="false" outlineLevel="0" collapsed="false">
      <c r="C875" s="0" t="str">
        <f aca="false">IF($A875="","",IF(AT875="Y",BL875&amp;"",AY875&amp;""))</f>
        <v/>
      </c>
      <c r="D875" s="0" t="str">
        <f aca="false">IF($A875="","",IF(AT875="Y",BM875&amp;"",AZ875&amp;""))</f>
        <v/>
      </c>
      <c r="E875" s="0" t="str">
        <f aca="false">IF($A875="","",IF(AT875="Y",BN875&amp;"",BA875&amp;""))</f>
        <v/>
      </c>
      <c r="F875" s="0" t="str">
        <f aca="false">IF($A875="","",IF(AT875="Y",BO875&amp;"",BB875&amp;""))</f>
        <v/>
      </c>
      <c r="G875" s="0" t="str">
        <f aca="false">IF($A875="","",IF(AT875="Y",BP875&amp;"",BC875&amp;""))</f>
        <v/>
      </c>
      <c r="H875" s="0" t="str">
        <f aca="false">IF($A875="","",IF(AT875="Y",BQ875&amp;"",BD875&amp;""))</f>
        <v/>
      </c>
      <c r="I875" s="0" t="str">
        <f aca="false">IF($A875="","",IF(R875="Y","warm-intro",IF(H875="verified","email",IF(C875&lt;&gt;"","linkedin",CA875&amp;""))))</f>
        <v/>
      </c>
      <c r="J875" s="0" t="str">
        <f aca="false">IF($A875="","",IF(CK875="pass",ROUND(N(DO875)+N(DP875)+N(DQ875)+N(DR875)+N(DS875)+N(DT875)+N(DU875)+N(DV875),0),0))</f>
        <v/>
      </c>
      <c r="K875" s="0" t="str">
        <f aca="false">IF($A875="","",IF(CK875&lt;&gt;"pass",BY875&amp;"",BY875&amp;", "&amp;IF(AT875="Y",BX875&amp;"",BK875&amp;"")&amp;BZ875&amp;IF(R875="Y","; known to the founder (+10)","")&amp;"."))</f>
        <v/>
      </c>
      <c r="R875" s="5"/>
      <c r="T875" s="5"/>
      <c r="U875" s="5"/>
      <c r="Y875" s="0" t="str">
        <f aca="false">IF(FA875&lt;&gt;"Y","",COUNTIFS($FA$2:$FA$1000,"Y",$J$2:$J$1000,"&gt;"&amp;J875)+COUNTIFS($FA$2:$FA$1000,"Y",$J$2:$J$1000,J875,$FG$2:$FG$1000,"&lt;"&amp;FG875)+1)</f>
        <v/>
      </c>
      <c r="AB875" s="0" t="str">
        <f aca="false">IF($A875="","",IF(AT875="Y",BW875&amp;"",BJ875&amp;""))</f>
        <v/>
      </c>
      <c r="AC875" s="0" t="str">
        <f aca="false">IF($A875="","",IF(AT875="Y",BR875&amp;"",BE875&amp;""))</f>
        <v/>
      </c>
      <c r="AD875" s="0" t="str">
        <f aca="false">IF($A875="","",IF(AT875="Y",BS875&amp;"",BF875&amp;""))</f>
        <v/>
      </c>
      <c r="AE875" s="0" t="str">
        <f aca="false">IF($A875="","",IF(AT875="Y",BT875&amp;"",BG875&amp;""))</f>
        <v/>
      </c>
      <c r="AF875" s="0" t="str">
        <f aca="false">IF($A875="","",IF(AT875="Y",BU875&amp;"",BH875&amp;""))</f>
        <v/>
      </c>
      <c r="AG875" s="0" t="str">
        <f aca="false">IF($A875="","",IF(AT875="Y",BV875&amp;"",BI875&amp;""))</f>
        <v/>
      </c>
      <c r="AO875" s="5"/>
      <c r="AR875" s="0" t="str">
        <f aca="false">IF($A875="","",IF(AND(CK875="pass",AO875&lt;&gt;"Y",C875&lt;&gt;"",OR(AU875&lt;&gt;"Y",AV875="Y")),"Y","N"))</f>
        <v/>
      </c>
      <c r="AS875" s="0" t="str">
        <f aca="false">IF($A875="","",_xlfn.TEXTJOIN("; ",TRUE(),IF(CK875&lt;&gt;"pass","gated out",""),IF(AO875="Y","on hold: "&amp;AP875,""),IF(C875="","no contact named on an opened page",""),IF(AND(AU875="Y",AV875&lt;&gt;"Y"),"founder review pending (Founder review tab)","")))</f>
        <v/>
      </c>
      <c r="BC875" s="0" t="str">
        <f aca="false">IF($A875="","",IFERROR(INDEX(Enrichment!$A$2:$GZ$2000,MATCH($A875,INDEX(Enrichment!$A$2:$GZ$2000,0,MATCH("row_id",Enrichment!$A$1:$GZ$1,0)),0),MATCH("work_email",Enrichment!$A$1:$GZ$1,0))&amp;"",""))</f>
        <v/>
      </c>
      <c r="BD875" s="0" t="str">
        <f aca="false">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P875" s="0" t="str">
        <f aca="false">IF($A875="","",IFERROR(INDEX(Enrichment!$A$2:$GZ$2000,MATCH($A875,INDEX(Enrichment!$A$2:$GZ$2000,0,MATCH("row_id",Enrichment!$A$1:$GZ$1,0)),0),MATCH("backup_work_email",Enrichment!$A$1:$GZ$1,0))&amp;"",""))</f>
        <v/>
      </c>
      <c r="BQ875" s="0" t="str">
        <f aca="false">IF($A875="","",IF(BP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DU875" s="0" t="str">
        <f aca="false">IF($A875="","",IF(R875="Y",10,0))</f>
        <v/>
      </c>
      <c r="EV875" s="0" t="str">
        <f aca="false">IF($A875="","",IF(ISNUMBER(MATCH(U875,{"queued","contacted","replied","call_booked","call_done","yes_in_principle","materials_sent"},0)),"Y","N"))</f>
        <v/>
      </c>
      <c r="EW875" s="0" t="str">
        <f aca="false">IF($A875="","",IF(OR(T875="Y",U875="do_not_contact",AQ875&amp;""&lt;&gt;""),"Y","N"))</f>
        <v/>
      </c>
      <c r="EX875" s="0" t="str">
        <f aca="false">IF($A875="","",IF(AN875&amp;""&lt;&gt;"",AN875&amp;"",$A875))</f>
        <v/>
      </c>
      <c r="EY875" s="0" t="str">
        <f aca="false">IF($A875="","",IF(COUNTIFS($EX$2:$EX$1000,EX875,$EV$2:$EV$1000,"Y")+COUNTIFS($EX$2:$EX$1000,EX875,$EW$2:$EW$1000,"Y")&gt;0,"Y","N"))</f>
        <v/>
      </c>
      <c r="EZ875" s="0" t="str">
        <f aca="false">IF($A875="","",IF(AND(U875="new",T875="N",EW875="N",AR875="Y",EY875="N"),"Y","N"))</f>
        <v/>
      </c>
      <c r="FA875" s="0" t="str">
        <f aca="false">IF($A875="","",IF(EZ875&lt;&gt;"Y","N",IF(COUNTIFS($EX$2:$EX$1000,EX875,$EZ$2:$EZ$1000,"Y",$J$2:$J$1000,"&gt;"&amp;J875)+COUNTIFS($EX$2:$EX$1000,EX875,$EZ$2:$EZ$1000,"Y",$J$2:$J$1000,J875,$FG$2:$FG$1000,"&lt;"&amp;FG875)=0,"Y","N")))</f>
        <v/>
      </c>
      <c r="FB875" s="0" t="str">
        <f aca="false">IF($A875="","",IF(AND(EZ875="Y",FA875="Y",Y875&amp;""&lt;&gt;""),IF(Y875&lt;=10,"Y","N"),"N"))</f>
        <v/>
      </c>
      <c r="FC875" s="0" t="str">
        <f aca="false">IF(FB875="Y",Y875,"")</f>
        <v/>
      </c>
      <c r="FD875" s="0" t="str">
        <f aca="false">IF($A875="","",IF(AND(CK875="pass",AU875="Y",AV875&lt;&gt;"Y",U875="new",EW875="N"),"Y","N"))</f>
        <v/>
      </c>
      <c r="FE875" s="0" t="str">
        <f aca="false">IF(FD875&lt;&gt;"Y","",IF(COUNTIFS($FD$2:$FD$1000,"Y",$J$2:$J$1000,"&gt;"&amp;J875)+COUNTIFS($FD$2:$FD$1000,"Y",$J$2:$J$1000,J875,$FG$2:$FG$1000,"&lt;"&amp;FG875)+1&lt;=30,COUNTIFS($FD$2:$FD$1000,"Y",$J$2:$J$1000,"&gt;"&amp;J875)+COUNTIFS($FD$2:$FD$1000,"Y",$J$2:$J$1000,J875,$FG$2:$FG$1000,"&lt;"&amp;FG875)+1,""))</f>
        <v/>
      </c>
      <c r="FF875" s="0" t="str">
        <f aca="false">IF(AND(_xlfn.ISFORMULA(C875),_xlfn.ISFORMULA(J875)),"Y","N")</f>
        <v>Y</v>
      </c>
      <c r="FG875" s="0" t="n">
        <f aca="false">ROW()-1</f>
        <v>874</v>
      </c>
    </row>
    <row r="876" customFormat="false" ht="15" hidden="false" customHeight="false" outlineLevel="0" collapsed="false">
      <c r="C876" s="0" t="str">
        <f aca="false">IF($A876="","",IF(AT876="Y",BL876&amp;"",AY876&amp;""))</f>
        <v/>
      </c>
      <c r="D876" s="0" t="str">
        <f aca="false">IF($A876="","",IF(AT876="Y",BM876&amp;"",AZ876&amp;""))</f>
        <v/>
      </c>
      <c r="E876" s="0" t="str">
        <f aca="false">IF($A876="","",IF(AT876="Y",BN876&amp;"",BA876&amp;""))</f>
        <v/>
      </c>
      <c r="F876" s="0" t="str">
        <f aca="false">IF($A876="","",IF(AT876="Y",BO876&amp;"",BB876&amp;""))</f>
        <v/>
      </c>
      <c r="G876" s="0" t="str">
        <f aca="false">IF($A876="","",IF(AT876="Y",BP876&amp;"",BC876&amp;""))</f>
        <v/>
      </c>
      <c r="H876" s="0" t="str">
        <f aca="false">IF($A876="","",IF(AT876="Y",BQ876&amp;"",BD876&amp;""))</f>
        <v/>
      </c>
      <c r="I876" s="0" t="str">
        <f aca="false">IF($A876="","",IF(R876="Y","warm-intro",IF(H876="verified","email",IF(C876&lt;&gt;"","linkedin",CA876&amp;""))))</f>
        <v/>
      </c>
      <c r="J876" s="0" t="str">
        <f aca="false">IF($A876="","",IF(CK876="pass",ROUND(N(DO876)+N(DP876)+N(DQ876)+N(DR876)+N(DS876)+N(DT876)+N(DU876)+N(DV876),0),0))</f>
        <v/>
      </c>
      <c r="K876" s="0" t="str">
        <f aca="false">IF($A876="","",IF(CK876&lt;&gt;"pass",BY876&amp;"",BY876&amp;", "&amp;IF(AT876="Y",BX876&amp;"",BK876&amp;"")&amp;BZ876&amp;IF(R876="Y","; known to the founder (+10)","")&amp;"."))</f>
        <v/>
      </c>
      <c r="R876" s="5"/>
      <c r="T876" s="5"/>
      <c r="U876" s="5"/>
      <c r="Y876" s="0" t="str">
        <f aca="false">IF(FA876&lt;&gt;"Y","",COUNTIFS($FA$2:$FA$1000,"Y",$J$2:$J$1000,"&gt;"&amp;J876)+COUNTIFS($FA$2:$FA$1000,"Y",$J$2:$J$1000,J876,$FG$2:$FG$1000,"&lt;"&amp;FG876)+1)</f>
        <v/>
      </c>
      <c r="AB876" s="0" t="str">
        <f aca="false">IF($A876="","",IF(AT876="Y",BW876&amp;"",BJ876&amp;""))</f>
        <v/>
      </c>
      <c r="AC876" s="0" t="str">
        <f aca="false">IF($A876="","",IF(AT876="Y",BR876&amp;"",BE876&amp;""))</f>
        <v/>
      </c>
      <c r="AD876" s="0" t="str">
        <f aca="false">IF($A876="","",IF(AT876="Y",BS876&amp;"",BF876&amp;""))</f>
        <v/>
      </c>
      <c r="AE876" s="0" t="str">
        <f aca="false">IF($A876="","",IF(AT876="Y",BT876&amp;"",BG876&amp;""))</f>
        <v/>
      </c>
      <c r="AF876" s="0" t="str">
        <f aca="false">IF($A876="","",IF(AT876="Y",BU876&amp;"",BH876&amp;""))</f>
        <v/>
      </c>
      <c r="AG876" s="0" t="str">
        <f aca="false">IF($A876="","",IF(AT876="Y",BV876&amp;"",BI876&amp;""))</f>
        <v/>
      </c>
      <c r="AO876" s="5"/>
      <c r="AR876" s="0" t="str">
        <f aca="false">IF($A876="","",IF(AND(CK876="pass",AO876&lt;&gt;"Y",C876&lt;&gt;"",OR(AU876&lt;&gt;"Y",AV876="Y")),"Y","N"))</f>
        <v/>
      </c>
      <c r="AS876" s="0" t="str">
        <f aca="false">IF($A876="","",_xlfn.TEXTJOIN("; ",TRUE(),IF(CK876&lt;&gt;"pass","gated out",""),IF(AO876="Y","on hold: "&amp;AP876,""),IF(C876="","no contact named on an opened page",""),IF(AND(AU876="Y",AV876&lt;&gt;"Y"),"founder review pending (Founder review tab)","")))</f>
        <v/>
      </c>
      <c r="BC876" s="0" t="str">
        <f aca="false">IF($A876="","",IFERROR(INDEX(Enrichment!$A$2:$GZ$2000,MATCH($A876,INDEX(Enrichment!$A$2:$GZ$2000,0,MATCH("row_id",Enrichment!$A$1:$GZ$1,0)),0),MATCH("work_email",Enrichment!$A$1:$GZ$1,0))&amp;"",""))</f>
        <v/>
      </c>
      <c r="BD876" s="0" t="str">
        <f aca="false">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P876" s="0" t="str">
        <f aca="false">IF($A876="","",IFERROR(INDEX(Enrichment!$A$2:$GZ$2000,MATCH($A876,INDEX(Enrichment!$A$2:$GZ$2000,0,MATCH("row_id",Enrichment!$A$1:$GZ$1,0)),0),MATCH("backup_work_email",Enrichment!$A$1:$GZ$1,0))&amp;"",""))</f>
        <v/>
      </c>
      <c r="BQ876" s="0" t="str">
        <f aca="false">IF($A876="","",IF(BP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DU876" s="0" t="str">
        <f aca="false">IF($A876="","",IF(R876="Y",10,0))</f>
        <v/>
      </c>
      <c r="EV876" s="0" t="str">
        <f aca="false">IF($A876="","",IF(ISNUMBER(MATCH(U876,{"queued","contacted","replied","call_booked","call_done","yes_in_principle","materials_sent"},0)),"Y","N"))</f>
        <v/>
      </c>
      <c r="EW876" s="0" t="str">
        <f aca="false">IF($A876="","",IF(OR(T876="Y",U876="do_not_contact",AQ876&amp;""&lt;&gt;""),"Y","N"))</f>
        <v/>
      </c>
      <c r="EX876" s="0" t="str">
        <f aca="false">IF($A876="","",IF(AN876&amp;""&lt;&gt;"",AN876&amp;"",$A876))</f>
        <v/>
      </c>
      <c r="EY876" s="0" t="str">
        <f aca="false">IF($A876="","",IF(COUNTIFS($EX$2:$EX$1000,EX876,$EV$2:$EV$1000,"Y")+COUNTIFS($EX$2:$EX$1000,EX876,$EW$2:$EW$1000,"Y")&gt;0,"Y","N"))</f>
        <v/>
      </c>
      <c r="EZ876" s="0" t="str">
        <f aca="false">IF($A876="","",IF(AND(U876="new",T876="N",EW876="N",AR876="Y",EY876="N"),"Y","N"))</f>
        <v/>
      </c>
      <c r="FA876" s="0" t="str">
        <f aca="false">IF($A876="","",IF(EZ876&lt;&gt;"Y","N",IF(COUNTIFS($EX$2:$EX$1000,EX876,$EZ$2:$EZ$1000,"Y",$J$2:$J$1000,"&gt;"&amp;J876)+COUNTIFS($EX$2:$EX$1000,EX876,$EZ$2:$EZ$1000,"Y",$J$2:$J$1000,J876,$FG$2:$FG$1000,"&lt;"&amp;FG876)=0,"Y","N")))</f>
        <v/>
      </c>
      <c r="FB876" s="0" t="str">
        <f aca="false">IF($A876="","",IF(AND(EZ876="Y",FA876="Y",Y876&amp;""&lt;&gt;""),IF(Y876&lt;=10,"Y","N"),"N"))</f>
        <v/>
      </c>
      <c r="FC876" s="0" t="str">
        <f aca="false">IF(FB876="Y",Y876,"")</f>
        <v/>
      </c>
      <c r="FD876" s="0" t="str">
        <f aca="false">IF($A876="","",IF(AND(CK876="pass",AU876="Y",AV876&lt;&gt;"Y",U876="new",EW876="N"),"Y","N"))</f>
        <v/>
      </c>
      <c r="FE876" s="0" t="str">
        <f aca="false">IF(FD876&lt;&gt;"Y","",IF(COUNTIFS($FD$2:$FD$1000,"Y",$J$2:$J$1000,"&gt;"&amp;J876)+COUNTIFS($FD$2:$FD$1000,"Y",$J$2:$J$1000,J876,$FG$2:$FG$1000,"&lt;"&amp;FG876)+1&lt;=30,COUNTIFS($FD$2:$FD$1000,"Y",$J$2:$J$1000,"&gt;"&amp;J876)+COUNTIFS($FD$2:$FD$1000,"Y",$J$2:$J$1000,J876,$FG$2:$FG$1000,"&lt;"&amp;FG876)+1,""))</f>
        <v/>
      </c>
      <c r="FF876" s="0" t="str">
        <f aca="false">IF(AND(_xlfn.ISFORMULA(C876),_xlfn.ISFORMULA(J876)),"Y","N")</f>
        <v>Y</v>
      </c>
      <c r="FG876" s="0" t="n">
        <f aca="false">ROW()-1</f>
        <v>875</v>
      </c>
    </row>
    <row r="877" customFormat="false" ht="15" hidden="false" customHeight="false" outlineLevel="0" collapsed="false">
      <c r="C877" s="0" t="str">
        <f aca="false">IF($A877="","",IF(AT877="Y",BL877&amp;"",AY877&amp;""))</f>
        <v/>
      </c>
      <c r="D877" s="0" t="str">
        <f aca="false">IF($A877="","",IF(AT877="Y",BM877&amp;"",AZ877&amp;""))</f>
        <v/>
      </c>
      <c r="E877" s="0" t="str">
        <f aca="false">IF($A877="","",IF(AT877="Y",BN877&amp;"",BA877&amp;""))</f>
        <v/>
      </c>
      <c r="F877" s="0" t="str">
        <f aca="false">IF($A877="","",IF(AT877="Y",BO877&amp;"",BB877&amp;""))</f>
        <v/>
      </c>
      <c r="G877" s="0" t="str">
        <f aca="false">IF($A877="","",IF(AT877="Y",BP877&amp;"",BC877&amp;""))</f>
        <v/>
      </c>
      <c r="H877" s="0" t="str">
        <f aca="false">IF($A877="","",IF(AT877="Y",BQ877&amp;"",BD877&amp;""))</f>
        <v/>
      </c>
      <c r="I877" s="0" t="str">
        <f aca="false">IF($A877="","",IF(R877="Y","warm-intro",IF(H877="verified","email",IF(C877&lt;&gt;"","linkedin",CA877&amp;""))))</f>
        <v/>
      </c>
      <c r="J877" s="0" t="str">
        <f aca="false">IF($A877="","",IF(CK877="pass",ROUND(N(DO877)+N(DP877)+N(DQ877)+N(DR877)+N(DS877)+N(DT877)+N(DU877)+N(DV877),0),0))</f>
        <v/>
      </c>
      <c r="K877" s="0" t="str">
        <f aca="false">IF($A877="","",IF(CK877&lt;&gt;"pass",BY877&amp;"",BY877&amp;", "&amp;IF(AT877="Y",BX877&amp;"",BK877&amp;"")&amp;BZ877&amp;IF(R877="Y","; known to the founder (+10)","")&amp;"."))</f>
        <v/>
      </c>
      <c r="R877" s="5"/>
      <c r="T877" s="5"/>
      <c r="U877" s="5"/>
      <c r="Y877" s="0" t="str">
        <f aca="false">IF(FA877&lt;&gt;"Y","",COUNTIFS($FA$2:$FA$1000,"Y",$J$2:$J$1000,"&gt;"&amp;J877)+COUNTIFS($FA$2:$FA$1000,"Y",$J$2:$J$1000,J877,$FG$2:$FG$1000,"&lt;"&amp;FG877)+1)</f>
        <v/>
      </c>
      <c r="AB877" s="0" t="str">
        <f aca="false">IF($A877="","",IF(AT877="Y",BW877&amp;"",BJ877&amp;""))</f>
        <v/>
      </c>
      <c r="AC877" s="0" t="str">
        <f aca="false">IF($A877="","",IF(AT877="Y",BR877&amp;"",BE877&amp;""))</f>
        <v/>
      </c>
      <c r="AD877" s="0" t="str">
        <f aca="false">IF($A877="","",IF(AT877="Y",BS877&amp;"",BF877&amp;""))</f>
        <v/>
      </c>
      <c r="AE877" s="0" t="str">
        <f aca="false">IF($A877="","",IF(AT877="Y",BT877&amp;"",BG877&amp;""))</f>
        <v/>
      </c>
      <c r="AF877" s="0" t="str">
        <f aca="false">IF($A877="","",IF(AT877="Y",BU877&amp;"",BH877&amp;""))</f>
        <v/>
      </c>
      <c r="AG877" s="0" t="str">
        <f aca="false">IF($A877="","",IF(AT877="Y",BV877&amp;"",BI877&amp;""))</f>
        <v/>
      </c>
      <c r="AO877" s="5"/>
      <c r="AR877" s="0" t="str">
        <f aca="false">IF($A877="","",IF(AND(CK877="pass",AO877&lt;&gt;"Y",C877&lt;&gt;"",OR(AU877&lt;&gt;"Y",AV877="Y")),"Y","N"))</f>
        <v/>
      </c>
      <c r="AS877" s="0" t="str">
        <f aca="false">IF($A877="","",_xlfn.TEXTJOIN("; ",TRUE(),IF(CK877&lt;&gt;"pass","gated out",""),IF(AO877="Y","on hold: "&amp;AP877,""),IF(C877="","no contact named on an opened page",""),IF(AND(AU877="Y",AV877&lt;&gt;"Y"),"founder review pending (Founder review tab)","")))</f>
        <v/>
      </c>
      <c r="BC877" s="0" t="str">
        <f aca="false">IF($A877="","",IFERROR(INDEX(Enrichment!$A$2:$GZ$2000,MATCH($A877,INDEX(Enrichment!$A$2:$GZ$2000,0,MATCH("row_id",Enrichment!$A$1:$GZ$1,0)),0),MATCH("work_email",Enrichment!$A$1:$GZ$1,0))&amp;"",""))</f>
        <v/>
      </c>
      <c r="BD877" s="0" t="str">
        <f aca="false">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P877" s="0" t="str">
        <f aca="false">IF($A877="","",IFERROR(INDEX(Enrichment!$A$2:$GZ$2000,MATCH($A877,INDEX(Enrichment!$A$2:$GZ$2000,0,MATCH("row_id",Enrichment!$A$1:$GZ$1,0)),0),MATCH("backup_work_email",Enrichment!$A$1:$GZ$1,0))&amp;"",""))</f>
        <v/>
      </c>
      <c r="BQ877" s="0" t="str">
        <f aca="false">IF($A877="","",IF(BP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DU877" s="0" t="str">
        <f aca="false">IF($A877="","",IF(R877="Y",10,0))</f>
        <v/>
      </c>
      <c r="EV877" s="0" t="str">
        <f aca="false">IF($A877="","",IF(ISNUMBER(MATCH(U877,{"queued","contacted","replied","call_booked","call_done","yes_in_principle","materials_sent"},0)),"Y","N"))</f>
        <v/>
      </c>
      <c r="EW877" s="0" t="str">
        <f aca="false">IF($A877="","",IF(OR(T877="Y",U877="do_not_contact",AQ877&amp;""&lt;&gt;""),"Y","N"))</f>
        <v/>
      </c>
      <c r="EX877" s="0" t="str">
        <f aca="false">IF($A877="","",IF(AN877&amp;""&lt;&gt;"",AN877&amp;"",$A877))</f>
        <v/>
      </c>
      <c r="EY877" s="0" t="str">
        <f aca="false">IF($A877="","",IF(COUNTIFS($EX$2:$EX$1000,EX877,$EV$2:$EV$1000,"Y")+COUNTIFS($EX$2:$EX$1000,EX877,$EW$2:$EW$1000,"Y")&gt;0,"Y","N"))</f>
        <v/>
      </c>
      <c r="EZ877" s="0" t="str">
        <f aca="false">IF($A877="","",IF(AND(U877="new",T877="N",EW877="N",AR877="Y",EY877="N"),"Y","N"))</f>
        <v/>
      </c>
      <c r="FA877" s="0" t="str">
        <f aca="false">IF($A877="","",IF(EZ877&lt;&gt;"Y","N",IF(COUNTIFS($EX$2:$EX$1000,EX877,$EZ$2:$EZ$1000,"Y",$J$2:$J$1000,"&gt;"&amp;J877)+COUNTIFS($EX$2:$EX$1000,EX877,$EZ$2:$EZ$1000,"Y",$J$2:$J$1000,J877,$FG$2:$FG$1000,"&lt;"&amp;FG877)=0,"Y","N")))</f>
        <v/>
      </c>
      <c r="FB877" s="0" t="str">
        <f aca="false">IF($A877="","",IF(AND(EZ877="Y",FA877="Y",Y877&amp;""&lt;&gt;""),IF(Y877&lt;=10,"Y","N"),"N"))</f>
        <v/>
      </c>
      <c r="FC877" s="0" t="str">
        <f aca="false">IF(FB877="Y",Y877,"")</f>
        <v/>
      </c>
      <c r="FD877" s="0" t="str">
        <f aca="false">IF($A877="","",IF(AND(CK877="pass",AU877="Y",AV877&lt;&gt;"Y",U877="new",EW877="N"),"Y","N"))</f>
        <v/>
      </c>
      <c r="FE877" s="0" t="str">
        <f aca="false">IF(FD877&lt;&gt;"Y","",IF(COUNTIFS($FD$2:$FD$1000,"Y",$J$2:$J$1000,"&gt;"&amp;J877)+COUNTIFS($FD$2:$FD$1000,"Y",$J$2:$J$1000,J877,$FG$2:$FG$1000,"&lt;"&amp;FG877)+1&lt;=30,COUNTIFS($FD$2:$FD$1000,"Y",$J$2:$J$1000,"&gt;"&amp;J877)+COUNTIFS($FD$2:$FD$1000,"Y",$J$2:$J$1000,J877,$FG$2:$FG$1000,"&lt;"&amp;FG877)+1,""))</f>
        <v/>
      </c>
      <c r="FF877" s="0" t="str">
        <f aca="false">IF(AND(_xlfn.ISFORMULA(C877),_xlfn.ISFORMULA(J877)),"Y","N")</f>
        <v>Y</v>
      </c>
      <c r="FG877" s="0" t="n">
        <f aca="false">ROW()-1</f>
        <v>876</v>
      </c>
    </row>
    <row r="878" customFormat="false" ht="15" hidden="false" customHeight="false" outlineLevel="0" collapsed="false">
      <c r="C878" s="0" t="str">
        <f aca="false">IF($A878="","",IF(AT878="Y",BL878&amp;"",AY878&amp;""))</f>
        <v/>
      </c>
      <c r="D878" s="0" t="str">
        <f aca="false">IF($A878="","",IF(AT878="Y",BM878&amp;"",AZ878&amp;""))</f>
        <v/>
      </c>
      <c r="E878" s="0" t="str">
        <f aca="false">IF($A878="","",IF(AT878="Y",BN878&amp;"",BA878&amp;""))</f>
        <v/>
      </c>
      <c r="F878" s="0" t="str">
        <f aca="false">IF($A878="","",IF(AT878="Y",BO878&amp;"",BB878&amp;""))</f>
        <v/>
      </c>
      <c r="G878" s="0" t="str">
        <f aca="false">IF($A878="","",IF(AT878="Y",BP878&amp;"",BC878&amp;""))</f>
        <v/>
      </c>
      <c r="H878" s="0" t="str">
        <f aca="false">IF($A878="","",IF(AT878="Y",BQ878&amp;"",BD878&amp;""))</f>
        <v/>
      </c>
      <c r="I878" s="0" t="str">
        <f aca="false">IF($A878="","",IF(R878="Y","warm-intro",IF(H878="verified","email",IF(C878&lt;&gt;"","linkedin",CA878&amp;""))))</f>
        <v/>
      </c>
      <c r="J878" s="0" t="str">
        <f aca="false">IF($A878="","",IF(CK878="pass",ROUND(N(DO878)+N(DP878)+N(DQ878)+N(DR878)+N(DS878)+N(DT878)+N(DU878)+N(DV878),0),0))</f>
        <v/>
      </c>
      <c r="K878" s="0" t="str">
        <f aca="false">IF($A878="","",IF(CK878&lt;&gt;"pass",BY878&amp;"",BY878&amp;", "&amp;IF(AT878="Y",BX878&amp;"",BK878&amp;"")&amp;BZ878&amp;IF(R878="Y","; known to the founder (+10)","")&amp;"."))</f>
        <v/>
      </c>
      <c r="R878" s="5"/>
      <c r="T878" s="5"/>
      <c r="U878" s="5"/>
      <c r="Y878" s="0" t="str">
        <f aca="false">IF(FA878&lt;&gt;"Y","",COUNTIFS($FA$2:$FA$1000,"Y",$J$2:$J$1000,"&gt;"&amp;J878)+COUNTIFS($FA$2:$FA$1000,"Y",$J$2:$J$1000,J878,$FG$2:$FG$1000,"&lt;"&amp;FG878)+1)</f>
        <v/>
      </c>
      <c r="AB878" s="0" t="str">
        <f aca="false">IF($A878="","",IF(AT878="Y",BW878&amp;"",BJ878&amp;""))</f>
        <v/>
      </c>
      <c r="AC878" s="0" t="str">
        <f aca="false">IF($A878="","",IF(AT878="Y",BR878&amp;"",BE878&amp;""))</f>
        <v/>
      </c>
      <c r="AD878" s="0" t="str">
        <f aca="false">IF($A878="","",IF(AT878="Y",BS878&amp;"",BF878&amp;""))</f>
        <v/>
      </c>
      <c r="AE878" s="0" t="str">
        <f aca="false">IF($A878="","",IF(AT878="Y",BT878&amp;"",BG878&amp;""))</f>
        <v/>
      </c>
      <c r="AF878" s="0" t="str">
        <f aca="false">IF($A878="","",IF(AT878="Y",BU878&amp;"",BH878&amp;""))</f>
        <v/>
      </c>
      <c r="AG878" s="0" t="str">
        <f aca="false">IF($A878="","",IF(AT878="Y",BV878&amp;"",BI878&amp;""))</f>
        <v/>
      </c>
      <c r="AO878" s="5"/>
      <c r="AR878" s="0" t="str">
        <f aca="false">IF($A878="","",IF(AND(CK878="pass",AO878&lt;&gt;"Y",C878&lt;&gt;"",OR(AU878&lt;&gt;"Y",AV878="Y")),"Y","N"))</f>
        <v/>
      </c>
      <c r="AS878" s="0" t="str">
        <f aca="false">IF($A878="","",_xlfn.TEXTJOIN("; ",TRUE(),IF(CK878&lt;&gt;"pass","gated out",""),IF(AO878="Y","on hold: "&amp;AP878,""),IF(C878="","no contact named on an opened page",""),IF(AND(AU878="Y",AV878&lt;&gt;"Y"),"founder review pending (Founder review tab)","")))</f>
        <v/>
      </c>
      <c r="BC878" s="0" t="str">
        <f aca="false">IF($A878="","",IFERROR(INDEX(Enrichment!$A$2:$GZ$2000,MATCH($A878,INDEX(Enrichment!$A$2:$GZ$2000,0,MATCH("row_id",Enrichment!$A$1:$GZ$1,0)),0),MATCH("work_email",Enrichment!$A$1:$GZ$1,0))&amp;"",""))</f>
        <v/>
      </c>
      <c r="BD878" s="0" t="str">
        <f aca="false">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P878" s="0" t="str">
        <f aca="false">IF($A878="","",IFERROR(INDEX(Enrichment!$A$2:$GZ$2000,MATCH($A878,INDEX(Enrichment!$A$2:$GZ$2000,0,MATCH("row_id",Enrichment!$A$1:$GZ$1,0)),0),MATCH("backup_work_email",Enrichment!$A$1:$GZ$1,0))&amp;"",""))</f>
        <v/>
      </c>
      <c r="BQ878" s="0" t="str">
        <f aca="false">IF($A878="","",IF(BP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DU878" s="0" t="str">
        <f aca="false">IF($A878="","",IF(R878="Y",10,0))</f>
        <v/>
      </c>
      <c r="EV878" s="0" t="str">
        <f aca="false">IF($A878="","",IF(ISNUMBER(MATCH(U878,{"queued","contacted","replied","call_booked","call_done","yes_in_principle","materials_sent"},0)),"Y","N"))</f>
        <v/>
      </c>
      <c r="EW878" s="0" t="str">
        <f aca="false">IF($A878="","",IF(OR(T878="Y",U878="do_not_contact",AQ878&amp;""&lt;&gt;""),"Y","N"))</f>
        <v/>
      </c>
      <c r="EX878" s="0" t="str">
        <f aca="false">IF($A878="","",IF(AN878&amp;""&lt;&gt;"",AN878&amp;"",$A878))</f>
        <v/>
      </c>
      <c r="EY878" s="0" t="str">
        <f aca="false">IF($A878="","",IF(COUNTIFS($EX$2:$EX$1000,EX878,$EV$2:$EV$1000,"Y")+COUNTIFS($EX$2:$EX$1000,EX878,$EW$2:$EW$1000,"Y")&gt;0,"Y","N"))</f>
        <v/>
      </c>
      <c r="EZ878" s="0" t="str">
        <f aca="false">IF($A878="","",IF(AND(U878="new",T878="N",EW878="N",AR878="Y",EY878="N"),"Y","N"))</f>
        <v/>
      </c>
      <c r="FA878" s="0" t="str">
        <f aca="false">IF($A878="","",IF(EZ878&lt;&gt;"Y","N",IF(COUNTIFS($EX$2:$EX$1000,EX878,$EZ$2:$EZ$1000,"Y",$J$2:$J$1000,"&gt;"&amp;J878)+COUNTIFS($EX$2:$EX$1000,EX878,$EZ$2:$EZ$1000,"Y",$J$2:$J$1000,J878,$FG$2:$FG$1000,"&lt;"&amp;FG878)=0,"Y","N")))</f>
        <v/>
      </c>
      <c r="FB878" s="0" t="str">
        <f aca="false">IF($A878="","",IF(AND(EZ878="Y",FA878="Y",Y878&amp;""&lt;&gt;""),IF(Y878&lt;=10,"Y","N"),"N"))</f>
        <v/>
      </c>
      <c r="FC878" s="0" t="str">
        <f aca="false">IF(FB878="Y",Y878,"")</f>
        <v/>
      </c>
      <c r="FD878" s="0" t="str">
        <f aca="false">IF($A878="","",IF(AND(CK878="pass",AU878="Y",AV878&lt;&gt;"Y",U878="new",EW878="N"),"Y","N"))</f>
        <v/>
      </c>
      <c r="FE878" s="0" t="str">
        <f aca="false">IF(FD878&lt;&gt;"Y","",IF(COUNTIFS($FD$2:$FD$1000,"Y",$J$2:$J$1000,"&gt;"&amp;J878)+COUNTIFS($FD$2:$FD$1000,"Y",$J$2:$J$1000,J878,$FG$2:$FG$1000,"&lt;"&amp;FG878)+1&lt;=30,COUNTIFS($FD$2:$FD$1000,"Y",$J$2:$J$1000,"&gt;"&amp;J878)+COUNTIFS($FD$2:$FD$1000,"Y",$J$2:$J$1000,J878,$FG$2:$FG$1000,"&lt;"&amp;FG878)+1,""))</f>
        <v/>
      </c>
      <c r="FF878" s="0" t="str">
        <f aca="false">IF(AND(_xlfn.ISFORMULA(C878),_xlfn.ISFORMULA(J878)),"Y","N")</f>
        <v>Y</v>
      </c>
      <c r="FG878" s="0" t="n">
        <f aca="false">ROW()-1</f>
        <v>877</v>
      </c>
    </row>
    <row r="879" customFormat="false" ht="15" hidden="false" customHeight="false" outlineLevel="0" collapsed="false">
      <c r="C879" s="0" t="str">
        <f aca="false">IF($A879="","",IF(AT879="Y",BL879&amp;"",AY879&amp;""))</f>
        <v/>
      </c>
      <c r="D879" s="0" t="str">
        <f aca="false">IF($A879="","",IF(AT879="Y",BM879&amp;"",AZ879&amp;""))</f>
        <v/>
      </c>
      <c r="E879" s="0" t="str">
        <f aca="false">IF($A879="","",IF(AT879="Y",BN879&amp;"",BA879&amp;""))</f>
        <v/>
      </c>
      <c r="F879" s="0" t="str">
        <f aca="false">IF($A879="","",IF(AT879="Y",BO879&amp;"",BB879&amp;""))</f>
        <v/>
      </c>
      <c r="G879" s="0" t="str">
        <f aca="false">IF($A879="","",IF(AT879="Y",BP879&amp;"",BC879&amp;""))</f>
        <v/>
      </c>
      <c r="H879" s="0" t="str">
        <f aca="false">IF($A879="","",IF(AT879="Y",BQ879&amp;"",BD879&amp;""))</f>
        <v/>
      </c>
      <c r="I879" s="0" t="str">
        <f aca="false">IF($A879="","",IF(R879="Y","warm-intro",IF(H879="verified","email",IF(C879&lt;&gt;"","linkedin",CA879&amp;""))))</f>
        <v/>
      </c>
      <c r="J879" s="0" t="str">
        <f aca="false">IF($A879="","",IF(CK879="pass",ROUND(N(DO879)+N(DP879)+N(DQ879)+N(DR879)+N(DS879)+N(DT879)+N(DU879)+N(DV879),0),0))</f>
        <v/>
      </c>
      <c r="K879" s="0" t="str">
        <f aca="false">IF($A879="","",IF(CK879&lt;&gt;"pass",BY879&amp;"",BY879&amp;", "&amp;IF(AT879="Y",BX879&amp;"",BK879&amp;"")&amp;BZ879&amp;IF(R879="Y","; known to the founder (+10)","")&amp;"."))</f>
        <v/>
      </c>
      <c r="R879" s="5"/>
      <c r="T879" s="5"/>
      <c r="U879" s="5"/>
      <c r="Y879" s="0" t="str">
        <f aca="false">IF(FA879&lt;&gt;"Y","",COUNTIFS($FA$2:$FA$1000,"Y",$J$2:$J$1000,"&gt;"&amp;J879)+COUNTIFS($FA$2:$FA$1000,"Y",$J$2:$J$1000,J879,$FG$2:$FG$1000,"&lt;"&amp;FG879)+1)</f>
        <v/>
      </c>
      <c r="AB879" s="0" t="str">
        <f aca="false">IF($A879="","",IF(AT879="Y",BW879&amp;"",BJ879&amp;""))</f>
        <v/>
      </c>
      <c r="AC879" s="0" t="str">
        <f aca="false">IF($A879="","",IF(AT879="Y",BR879&amp;"",BE879&amp;""))</f>
        <v/>
      </c>
      <c r="AD879" s="0" t="str">
        <f aca="false">IF($A879="","",IF(AT879="Y",BS879&amp;"",BF879&amp;""))</f>
        <v/>
      </c>
      <c r="AE879" s="0" t="str">
        <f aca="false">IF($A879="","",IF(AT879="Y",BT879&amp;"",BG879&amp;""))</f>
        <v/>
      </c>
      <c r="AF879" s="0" t="str">
        <f aca="false">IF($A879="","",IF(AT879="Y",BU879&amp;"",BH879&amp;""))</f>
        <v/>
      </c>
      <c r="AG879" s="0" t="str">
        <f aca="false">IF($A879="","",IF(AT879="Y",BV879&amp;"",BI879&amp;""))</f>
        <v/>
      </c>
      <c r="AO879" s="5"/>
      <c r="AR879" s="0" t="str">
        <f aca="false">IF($A879="","",IF(AND(CK879="pass",AO879&lt;&gt;"Y",C879&lt;&gt;"",OR(AU879&lt;&gt;"Y",AV879="Y")),"Y","N"))</f>
        <v/>
      </c>
      <c r="AS879" s="0" t="str">
        <f aca="false">IF($A879="","",_xlfn.TEXTJOIN("; ",TRUE(),IF(CK879&lt;&gt;"pass","gated out",""),IF(AO879="Y","on hold: "&amp;AP879,""),IF(C879="","no contact named on an opened page",""),IF(AND(AU879="Y",AV879&lt;&gt;"Y"),"founder review pending (Founder review tab)","")))</f>
        <v/>
      </c>
      <c r="BC879" s="0" t="str">
        <f aca="false">IF($A879="","",IFERROR(INDEX(Enrichment!$A$2:$GZ$2000,MATCH($A879,INDEX(Enrichment!$A$2:$GZ$2000,0,MATCH("row_id",Enrichment!$A$1:$GZ$1,0)),0),MATCH("work_email",Enrichment!$A$1:$GZ$1,0))&amp;"",""))</f>
        <v/>
      </c>
      <c r="BD879" s="0" t="str">
        <f aca="false">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P879" s="0" t="str">
        <f aca="false">IF($A879="","",IFERROR(INDEX(Enrichment!$A$2:$GZ$2000,MATCH($A879,INDEX(Enrichment!$A$2:$GZ$2000,0,MATCH("row_id",Enrichment!$A$1:$GZ$1,0)),0),MATCH("backup_work_email",Enrichment!$A$1:$GZ$1,0))&amp;"",""))</f>
        <v/>
      </c>
      <c r="BQ879" s="0" t="str">
        <f aca="false">IF($A879="","",IF(BP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DU879" s="0" t="str">
        <f aca="false">IF($A879="","",IF(R879="Y",10,0))</f>
        <v/>
      </c>
      <c r="EV879" s="0" t="str">
        <f aca="false">IF($A879="","",IF(ISNUMBER(MATCH(U879,{"queued","contacted","replied","call_booked","call_done","yes_in_principle","materials_sent"},0)),"Y","N"))</f>
        <v/>
      </c>
      <c r="EW879" s="0" t="str">
        <f aca="false">IF($A879="","",IF(OR(T879="Y",U879="do_not_contact",AQ879&amp;""&lt;&gt;""),"Y","N"))</f>
        <v/>
      </c>
      <c r="EX879" s="0" t="str">
        <f aca="false">IF($A879="","",IF(AN879&amp;""&lt;&gt;"",AN879&amp;"",$A879))</f>
        <v/>
      </c>
      <c r="EY879" s="0" t="str">
        <f aca="false">IF($A879="","",IF(COUNTIFS($EX$2:$EX$1000,EX879,$EV$2:$EV$1000,"Y")+COUNTIFS($EX$2:$EX$1000,EX879,$EW$2:$EW$1000,"Y")&gt;0,"Y","N"))</f>
        <v/>
      </c>
      <c r="EZ879" s="0" t="str">
        <f aca="false">IF($A879="","",IF(AND(U879="new",T879="N",EW879="N",AR879="Y",EY879="N"),"Y","N"))</f>
        <v/>
      </c>
      <c r="FA879" s="0" t="str">
        <f aca="false">IF($A879="","",IF(EZ879&lt;&gt;"Y","N",IF(COUNTIFS($EX$2:$EX$1000,EX879,$EZ$2:$EZ$1000,"Y",$J$2:$J$1000,"&gt;"&amp;J879)+COUNTIFS($EX$2:$EX$1000,EX879,$EZ$2:$EZ$1000,"Y",$J$2:$J$1000,J879,$FG$2:$FG$1000,"&lt;"&amp;FG879)=0,"Y","N")))</f>
        <v/>
      </c>
      <c r="FB879" s="0" t="str">
        <f aca="false">IF($A879="","",IF(AND(EZ879="Y",FA879="Y",Y879&amp;""&lt;&gt;""),IF(Y879&lt;=10,"Y","N"),"N"))</f>
        <v/>
      </c>
      <c r="FC879" s="0" t="str">
        <f aca="false">IF(FB879="Y",Y879,"")</f>
        <v/>
      </c>
      <c r="FD879" s="0" t="str">
        <f aca="false">IF($A879="","",IF(AND(CK879="pass",AU879="Y",AV879&lt;&gt;"Y",U879="new",EW879="N"),"Y","N"))</f>
        <v/>
      </c>
      <c r="FE879" s="0" t="str">
        <f aca="false">IF(FD879&lt;&gt;"Y","",IF(COUNTIFS($FD$2:$FD$1000,"Y",$J$2:$J$1000,"&gt;"&amp;J879)+COUNTIFS($FD$2:$FD$1000,"Y",$J$2:$J$1000,J879,$FG$2:$FG$1000,"&lt;"&amp;FG879)+1&lt;=30,COUNTIFS($FD$2:$FD$1000,"Y",$J$2:$J$1000,"&gt;"&amp;J879)+COUNTIFS($FD$2:$FD$1000,"Y",$J$2:$J$1000,J879,$FG$2:$FG$1000,"&lt;"&amp;FG879)+1,""))</f>
        <v/>
      </c>
      <c r="FF879" s="0" t="str">
        <f aca="false">IF(AND(_xlfn.ISFORMULA(C879),_xlfn.ISFORMULA(J879)),"Y","N")</f>
        <v>Y</v>
      </c>
      <c r="FG879" s="0" t="n">
        <f aca="false">ROW()-1</f>
        <v>878</v>
      </c>
    </row>
    <row r="880" customFormat="false" ht="15" hidden="false" customHeight="false" outlineLevel="0" collapsed="false">
      <c r="C880" s="0" t="str">
        <f aca="false">IF($A880="","",IF(AT880="Y",BL880&amp;"",AY880&amp;""))</f>
        <v/>
      </c>
      <c r="D880" s="0" t="str">
        <f aca="false">IF($A880="","",IF(AT880="Y",BM880&amp;"",AZ880&amp;""))</f>
        <v/>
      </c>
      <c r="E880" s="0" t="str">
        <f aca="false">IF($A880="","",IF(AT880="Y",BN880&amp;"",BA880&amp;""))</f>
        <v/>
      </c>
      <c r="F880" s="0" t="str">
        <f aca="false">IF($A880="","",IF(AT880="Y",BO880&amp;"",BB880&amp;""))</f>
        <v/>
      </c>
      <c r="G880" s="0" t="str">
        <f aca="false">IF($A880="","",IF(AT880="Y",BP880&amp;"",BC880&amp;""))</f>
        <v/>
      </c>
      <c r="H880" s="0" t="str">
        <f aca="false">IF($A880="","",IF(AT880="Y",BQ880&amp;"",BD880&amp;""))</f>
        <v/>
      </c>
      <c r="I880" s="0" t="str">
        <f aca="false">IF($A880="","",IF(R880="Y","warm-intro",IF(H880="verified","email",IF(C880&lt;&gt;"","linkedin",CA880&amp;""))))</f>
        <v/>
      </c>
      <c r="J880" s="0" t="str">
        <f aca="false">IF($A880="","",IF(CK880="pass",ROUND(N(DO880)+N(DP880)+N(DQ880)+N(DR880)+N(DS880)+N(DT880)+N(DU880)+N(DV880),0),0))</f>
        <v/>
      </c>
      <c r="K880" s="0" t="str">
        <f aca="false">IF($A880="","",IF(CK880&lt;&gt;"pass",BY880&amp;"",BY880&amp;", "&amp;IF(AT880="Y",BX880&amp;"",BK880&amp;"")&amp;BZ880&amp;IF(R880="Y","; known to the founder (+10)","")&amp;"."))</f>
        <v/>
      </c>
      <c r="R880" s="5"/>
      <c r="T880" s="5"/>
      <c r="U880" s="5"/>
      <c r="Y880" s="0" t="str">
        <f aca="false">IF(FA880&lt;&gt;"Y","",COUNTIFS($FA$2:$FA$1000,"Y",$J$2:$J$1000,"&gt;"&amp;J880)+COUNTIFS($FA$2:$FA$1000,"Y",$J$2:$J$1000,J880,$FG$2:$FG$1000,"&lt;"&amp;FG880)+1)</f>
        <v/>
      </c>
      <c r="AB880" s="0" t="str">
        <f aca="false">IF($A880="","",IF(AT880="Y",BW880&amp;"",BJ880&amp;""))</f>
        <v/>
      </c>
      <c r="AC880" s="0" t="str">
        <f aca="false">IF($A880="","",IF(AT880="Y",BR880&amp;"",BE880&amp;""))</f>
        <v/>
      </c>
      <c r="AD880" s="0" t="str">
        <f aca="false">IF($A880="","",IF(AT880="Y",BS880&amp;"",BF880&amp;""))</f>
        <v/>
      </c>
      <c r="AE880" s="0" t="str">
        <f aca="false">IF($A880="","",IF(AT880="Y",BT880&amp;"",BG880&amp;""))</f>
        <v/>
      </c>
      <c r="AF880" s="0" t="str">
        <f aca="false">IF($A880="","",IF(AT880="Y",BU880&amp;"",BH880&amp;""))</f>
        <v/>
      </c>
      <c r="AG880" s="0" t="str">
        <f aca="false">IF($A880="","",IF(AT880="Y",BV880&amp;"",BI880&amp;""))</f>
        <v/>
      </c>
      <c r="AO880" s="5"/>
      <c r="AR880" s="0" t="str">
        <f aca="false">IF($A880="","",IF(AND(CK880="pass",AO880&lt;&gt;"Y",C880&lt;&gt;"",OR(AU880&lt;&gt;"Y",AV880="Y")),"Y","N"))</f>
        <v/>
      </c>
      <c r="AS880" s="0" t="str">
        <f aca="false">IF($A880="","",_xlfn.TEXTJOIN("; ",TRUE(),IF(CK880&lt;&gt;"pass","gated out",""),IF(AO880="Y","on hold: "&amp;AP880,""),IF(C880="","no contact named on an opened page",""),IF(AND(AU880="Y",AV880&lt;&gt;"Y"),"founder review pending (Founder review tab)","")))</f>
        <v/>
      </c>
      <c r="BC880" s="0" t="str">
        <f aca="false">IF($A880="","",IFERROR(INDEX(Enrichment!$A$2:$GZ$2000,MATCH($A880,INDEX(Enrichment!$A$2:$GZ$2000,0,MATCH("row_id",Enrichment!$A$1:$GZ$1,0)),0),MATCH("work_email",Enrichment!$A$1:$GZ$1,0))&amp;"",""))</f>
        <v/>
      </c>
      <c r="BD880" s="0" t="str">
        <f aca="false">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P880" s="0" t="str">
        <f aca="false">IF($A880="","",IFERROR(INDEX(Enrichment!$A$2:$GZ$2000,MATCH($A880,INDEX(Enrichment!$A$2:$GZ$2000,0,MATCH("row_id",Enrichment!$A$1:$GZ$1,0)),0),MATCH("backup_work_email",Enrichment!$A$1:$GZ$1,0))&amp;"",""))</f>
        <v/>
      </c>
      <c r="BQ880" s="0" t="str">
        <f aca="false">IF($A880="","",IF(BP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DU880" s="0" t="str">
        <f aca="false">IF($A880="","",IF(R880="Y",10,0))</f>
        <v/>
      </c>
      <c r="EV880" s="0" t="str">
        <f aca="false">IF($A880="","",IF(ISNUMBER(MATCH(U880,{"queued","contacted","replied","call_booked","call_done","yes_in_principle","materials_sent"},0)),"Y","N"))</f>
        <v/>
      </c>
      <c r="EW880" s="0" t="str">
        <f aca="false">IF($A880="","",IF(OR(T880="Y",U880="do_not_contact",AQ880&amp;""&lt;&gt;""),"Y","N"))</f>
        <v/>
      </c>
      <c r="EX880" s="0" t="str">
        <f aca="false">IF($A880="","",IF(AN880&amp;""&lt;&gt;"",AN880&amp;"",$A880))</f>
        <v/>
      </c>
      <c r="EY880" s="0" t="str">
        <f aca="false">IF($A880="","",IF(COUNTIFS($EX$2:$EX$1000,EX880,$EV$2:$EV$1000,"Y")+COUNTIFS($EX$2:$EX$1000,EX880,$EW$2:$EW$1000,"Y")&gt;0,"Y","N"))</f>
        <v/>
      </c>
      <c r="EZ880" s="0" t="str">
        <f aca="false">IF($A880="","",IF(AND(U880="new",T880="N",EW880="N",AR880="Y",EY880="N"),"Y","N"))</f>
        <v/>
      </c>
      <c r="FA880" s="0" t="str">
        <f aca="false">IF($A880="","",IF(EZ880&lt;&gt;"Y","N",IF(COUNTIFS($EX$2:$EX$1000,EX880,$EZ$2:$EZ$1000,"Y",$J$2:$J$1000,"&gt;"&amp;J880)+COUNTIFS($EX$2:$EX$1000,EX880,$EZ$2:$EZ$1000,"Y",$J$2:$J$1000,J880,$FG$2:$FG$1000,"&lt;"&amp;FG880)=0,"Y","N")))</f>
        <v/>
      </c>
      <c r="FB880" s="0" t="str">
        <f aca="false">IF($A880="","",IF(AND(EZ880="Y",FA880="Y",Y880&amp;""&lt;&gt;""),IF(Y880&lt;=10,"Y","N"),"N"))</f>
        <v/>
      </c>
      <c r="FC880" s="0" t="str">
        <f aca="false">IF(FB880="Y",Y880,"")</f>
        <v/>
      </c>
      <c r="FD880" s="0" t="str">
        <f aca="false">IF($A880="","",IF(AND(CK880="pass",AU880="Y",AV880&lt;&gt;"Y",U880="new",EW880="N"),"Y","N"))</f>
        <v/>
      </c>
      <c r="FE880" s="0" t="str">
        <f aca="false">IF(FD880&lt;&gt;"Y","",IF(COUNTIFS($FD$2:$FD$1000,"Y",$J$2:$J$1000,"&gt;"&amp;J880)+COUNTIFS($FD$2:$FD$1000,"Y",$J$2:$J$1000,J880,$FG$2:$FG$1000,"&lt;"&amp;FG880)+1&lt;=30,COUNTIFS($FD$2:$FD$1000,"Y",$J$2:$J$1000,"&gt;"&amp;J880)+COUNTIFS($FD$2:$FD$1000,"Y",$J$2:$J$1000,J880,$FG$2:$FG$1000,"&lt;"&amp;FG880)+1,""))</f>
        <v/>
      </c>
      <c r="FF880" s="0" t="str">
        <f aca="false">IF(AND(_xlfn.ISFORMULA(C880),_xlfn.ISFORMULA(J880)),"Y","N")</f>
        <v>Y</v>
      </c>
      <c r="FG880" s="0" t="n">
        <f aca="false">ROW()-1</f>
        <v>879</v>
      </c>
    </row>
    <row r="881" customFormat="false" ht="15" hidden="false" customHeight="false" outlineLevel="0" collapsed="false">
      <c r="C881" s="0" t="str">
        <f aca="false">IF($A881="","",IF(AT881="Y",BL881&amp;"",AY881&amp;""))</f>
        <v/>
      </c>
      <c r="D881" s="0" t="str">
        <f aca="false">IF($A881="","",IF(AT881="Y",BM881&amp;"",AZ881&amp;""))</f>
        <v/>
      </c>
      <c r="E881" s="0" t="str">
        <f aca="false">IF($A881="","",IF(AT881="Y",BN881&amp;"",BA881&amp;""))</f>
        <v/>
      </c>
      <c r="F881" s="0" t="str">
        <f aca="false">IF($A881="","",IF(AT881="Y",BO881&amp;"",BB881&amp;""))</f>
        <v/>
      </c>
      <c r="G881" s="0" t="str">
        <f aca="false">IF($A881="","",IF(AT881="Y",BP881&amp;"",BC881&amp;""))</f>
        <v/>
      </c>
      <c r="H881" s="0" t="str">
        <f aca="false">IF($A881="","",IF(AT881="Y",BQ881&amp;"",BD881&amp;""))</f>
        <v/>
      </c>
      <c r="I881" s="0" t="str">
        <f aca="false">IF($A881="","",IF(R881="Y","warm-intro",IF(H881="verified","email",IF(C881&lt;&gt;"","linkedin",CA881&amp;""))))</f>
        <v/>
      </c>
      <c r="J881" s="0" t="str">
        <f aca="false">IF($A881="","",IF(CK881="pass",ROUND(N(DO881)+N(DP881)+N(DQ881)+N(DR881)+N(DS881)+N(DT881)+N(DU881)+N(DV881),0),0))</f>
        <v/>
      </c>
      <c r="K881" s="0" t="str">
        <f aca="false">IF($A881="","",IF(CK881&lt;&gt;"pass",BY881&amp;"",BY881&amp;", "&amp;IF(AT881="Y",BX881&amp;"",BK881&amp;"")&amp;BZ881&amp;IF(R881="Y","; known to the founder (+10)","")&amp;"."))</f>
        <v/>
      </c>
      <c r="R881" s="5"/>
      <c r="T881" s="5"/>
      <c r="U881" s="5"/>
      <c r="Y881" s="0" t="str">
        <f aca="false">IF(FA881&lt;&gt;"Y","",COUNTIFS($FA$2:$FA$1000,"Y",$J$2:$J$1000,"&gt;"&amp;J881)+COUNTIFS($FA$2:$FA$1000,"Y",$J$2:$J$1000,J881,$FG$2:$FG$1000,"&lt;"&amp;FG881)+1)</f>
        <v/>
      </c>
      <c r="AB881" s="0" t="str">
        <f aca="false">IF($A881="","",IF(AT881="Y",BW881&amp;"",BJ881&amp;""))</f>
        <v/>
      </c>
      <c r="AC881" s="0" t="str">
        <f aca="false">IF($A881="","",IF(AT881="Y",BR881&amp;"",BE881&amp;""))</f>
        <v/>
      </c>
      <c r="AD881" s="0" t="str">
        <f aca="false">IF($A881="","",IF(AT881="Y",BS881&amp;"",BF881&amp;""))</f>
        <v/>
      </c>
      <c r="AE881" s="0" t="str">
        <f aca="false">IF($A881="","",IF(AT881="Y",BT881&amp;"",BG881&amp;""))</f>
        <v/>
      </c>
      <c r="AF881" s="0" t="str">
        <f aca="false">IF($A881="","",IF(AT881="Y",BU881&amp;"",BH881&amp;""))</f>
        <v/>
      </c>
      <c r="AG881" s="0" t="str">
        <f aca="false">IF($A881="","",IF(AT881="Y",BV881&amp;"",BI881&amp;""))</f>
        <v/>
      </c>
      <c r="AO881" s="5"/>
      <c r="AR881" s="0" t="str">
        <f aca="false">IF($A881="","",IF(AND(CK881="pass",AO881&lt;&gt;"Y",C881&lt;&gt;"",OR(AU881&lt;&gt;"Y",AV881="Y")),"Y","N"))</f>
        <v/>
      </c>
      <c r="AS881" s="0" t="str">
        <f aca="false">IF($A881="","",_xlfn.TEXTJOIN("; ",TRUE(),IF(CK881&lt;&gt;"pass","gated out",""),IF(AO881="Y","on hold: "&amp;AP881,""),IF(C881="","no contact named on an opened page",""),IF(AND(AU881="Y",AV881&lt;&gt;"Y"),"founder review pending (Founder review tab)","")))</f>
        <v/>
      </c>
      <c r="BC881" s="0" t="str">
        <f aca="false">IF($A881="","",IFERROR(INDEX(Enrichment!$A$2:$GZ$2000,MATCH($A881,INDEX(Enrichment!$A$2:$GZ$2000,0,MATCH("row_id",Enrichment!$A$1:$GZ$1,0)),0),MATCH("work_email",Enrichment!$A$1:$GZ$1,0))&amp;"",""))</f>
        <v/>
      </c>
      <c r="BD881" s="0" t="str">
        <f aca="false">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P881" s="0" t="str">
        <f aca="false">IF($A881="","",IFERROR(INDEX(Enrichment!$A$2:$GZ$2000,MATCH($A881,INDEX(Enrichment!$A$2:$GZ$2000,0,MATCH("row_id",Enrichment!$A$1:$GZ$1,0)),0),MATCH("backup_work_email",Enrichment!$A$1:$GZ$1,0))&amp;"",""))</f>
        <v/>
      </c>
      <c r="BQ881" s="0" t="str">
        <f aca="false">IF($A881="","",IF(BP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DU881" s="0" t="str">
        <f aca="false">IF($A881="","",IF(R881="Y",10,0))</f>
        <v/>
      </c>
      <c r="EV881" s="0" t="str">
        <f aca="false">IF($A881="","",IF(ISNUMBER(MATCH(U881,{"queued","contacted","replied","call_booked","call_done","yes_in_principle","materials_sent"},0)),"Y","N"))</f>
        <v/>
      </c>
      <c r="EW881" s="0" t="str">
        <f aca="false">IF($A881="","",IF(OR(T881="Y",U881="do_not_contact",AQ881&amp;""&lt;&gt;""),"Y","N"))</f>
        <v/>
      </c>
      <c r="EX881" s="0" t="str">
        <f aca="false">IF($A881="","",IF(AN881&amp;""&lt;&gt;"",AN881&amp;"",$A881))</f>
        <v/>
      </c>
      <c r="EY881" s="0" t="str">
        <f aca="false">IF($A881="","",IF(COUNTIFS($EX$2:$EX$1000,EX881,$EV$2:$EV$1000,"Y")+COUNTIFS($EX$2:$EX$1000,EX881,$EW$2:$EW$1000,"Y")&gt;0,"Y","N"))</f>
        <v/>
      </c>
      <c r="EZ881" s="0" t="str">
        <f aca="false">IF($A881="","",IF(AND(U881="new",T881="N",EW881="N",AR881="Y",EY881="N"),"Y","N"))</f>
        <v/>
      </c>
      <c r="FA881" s="0" t="str">
        <f aca="false">IF($A881="","",IF(EZ881&lt;&gt;"Y","N",IF(COUNTIFS($EX$2:$EX$1000,EX881,$EZ$2:$EZ$1000,"Y",$J$2:$J$1000,"&gt;"&amp;J881)+COUNTIFS($EX$2:$EX$1000,EX881,$EZ$2:$EZ$1000,"Y",$J$2:$J$1000,J881,$FG$2:$FG$1000,"&lt;"&amp;FG881)=0,"Y","N")))</f>
        <v/>
      </c>
      <c r="FB881" s="0" t="str">
        <f aca="false">IF($A881="","",IF(AND(EZ881="Y",FA881="Y",Y881&amp;""&lt;&gt;""),IF(Y881&lt;=10,"Y","N"),"N"))</f>
        <v/>
      </c>
      <c r="FC881" s="0" t="str">
        <f aca="false">IF(FB881="Y",Y881,"")</f>
        <v/>
      </c>
      <c r="FD881" s="0" t="str">
        <f aca="false">IF($A881="","",IF(AND(CK881="pass",AU881="Y",AV881&lt;&gt;"Y",U881="new",EW881="N"),"Y","N"))</f>
        <v/>
      </c>
      <c r="FE881" s="0" t="str">
        <f aca="false">IF(FD881&lt;&gt;"Y","",IF(COUNTIFS($FD$2:$FD$1000,"Y",$J$2:$J$1000,"&gt;"&amp;J881)+COUNTIFS($FD$2:$FD$1000,"Y",$J$2:$J$1000,J881,$FG$2:$FG$1000,"&lt;"&amp;FG881)+1&lt;=30,COUNTIFS($FD$2:$FD$1000,"Y",$J$2:$J$1000,"&gt;"&amp;J881)+COUNTIFS($FD$2:$FD$1000,"Y",$J$2:$J$1000,J881,$FG$2:$FG$1000,"&lt;"&amp;FG881)+1,""))</f>
        <v/>
      </c>
      <c r="FF881" s="0" t="str">
        <f aca="false">IF(AND(_xlfn.ISFORMULA(C881),_xlfn.ISFORMULA(J881)),"Y","N")</f>
        <v>Y</v>
      </c>
      <c r="FG881" s="0" t="n">
        <f aca="false">ROW()-1</f>
        <v>880</v>
      </c>
    </row>
    <row r="882" customFormat="false" ht="15" hidden="false" customHeight="false" outlineLevel="0" collapsed="false">
      <c r="C882" s="0" t="str">
        <f aca="false">IF($A882="","",IF(AT882="Y",BL882&amp;"",AY882&amp;""))</f>
        <v/>
      </c>
      <c r="D882" s="0" t="str">
        <f aca="false">IF($A882="","",IF(AT882="Y",BM882&amp;"",AZ882&amp;""))</f>
        <v/>
      </c>
      <c r="E882" s="0" t="str">
        <f aca="false">IF($A882="","",IF(AT882="Y",BN882&amp;"",BA882&amp;""))</f>
        <v/>
      </c>
      <c r="F882" s="0" t="str">
        <f aca="false">IF($A882="","",IF(AT882="Y",BO882&amp;"",BB882&amp;""))</f>
        <v/>
      </c>
      <c r="G882" s="0" t="str">
        <f aca="false">IF($A882="","",IF(AT882="Y",BP882&amp;"",BC882&amp;""))</f>
        <v/>
      </c>
      <c r="H882" s="0" t="str">
        <f aca="false">IF($A882="","",IF(AT882="Y",BQ882&amp;"",BD882&amp;""))</f>
        <v/>
      </c>
      <c r="I882" s="0" t="str">
        <f aca="false">IF($A882="","",IF(R882="Y","warm-intro",IF(H882="verified","email",IF(C882&lt;&gt;"","linkedin",CA882&amp;""))))</f>
        <v/>
      </c>
      <c r="J882" s="0" t="str">
        <f aca="false">IF($A882="","",IF(CK882="pass",ROUND(N(DO882)+N(DP882)+N(DQ882)+N(DR882)+N(DS882)+N(DT882)+N(DU882)+N(DV882),0),0))</f>
        <v/>
      </c>
      <c r="K882" s="0" t="str">
        <f aca="false">IF($A882="","",IF(CK882&lt;&gt;"pass",BY882&amp;"",BY882&amp;", "&amp;IF(AT882="Y",BX882&amp;"",BK882&amp;"")&amp;BZ882&amp;IF(R882="Y","; known to the founder (+10)","")&amp;"."))</f>
        <v/>
      </c>
      <c r="R882" s="5"/>
      <c r="T882" s="5"/>
      <c r="U882" s="5"/>
      <c r="Y882" s="0" t="str">
        <f aca="false">IF(FA882&lt;&gt;"Y","",COUNTIFS($FA$2:$FA$1000,"Y",$J$2:$J$1000,"&gt;"&amp;J882)+COUNTIFS($FA$2:$FA$1000,"Y",$J$2:$J$1000,J882,$FG$2:$FG$1000,"&lt;"&amp;FG882)+1)</f>
        <v/>
      </c>
      <c r="AB882" s="0" t="str">
        <f aca="false">IF($A882="","",IF(AT882="Y",BW882&amp;"",BJ882&amp;""))</f>
        <v/>
      </c>
      <c r="AC882" s="0" t="str">
        <f aca="false">IF($A882="","",IF(AT882="Y",BR882&amp;"",BE882&amp;""))</f>
        <v/>
      </c>
      <c r="AD882" s="0" t="str">
        <f aca="false">IF($A882="","",IF(AT882="Y",BS882&amp;"",BF882&amp;""))</f>
        <v/>
      </c>
      <c r="AE882" s="0" t="str">
        <f aca="false">IF($A882="","",IF(AT882="Y",BT882&amp;"",BG882&amp;""))</f>
        <v/>
      </c>
      <c r="AF882" s="0" t="str">
        <f aca="false">IF($A882="","",IF(AT882="Y",BU882&amp;"",BH882&amp;""))</f>
        <v/>
      </c>
      <c r="AG882" s="0" t="str">
        <f aca="false">IF($A882="","",IF(AT882="Y",BV882&amp;"",BI882&amp;""))</f>
        <v/>
      </c>
      <c r="AO882" s="5"/>
      <c r="AR882" s="0" t="str">
        <f aca="false">IF($A882="","",IF(AND(CK882="pass",AO882&lt;&gt;"Y",C882&lt;&gt;"",OR(AU882&lt;&gt;"Y",AV882="Y")),"Y","N"))</f>
        <v/>
      </c>
      <c r="AS882" s="0" t="str">
        <f aca="false">IF($A882="","",_xlfn.TEXTJOIN("; ",TRUE(),IF(CK882&lt;&gt;"pass","gated out",""),IF(AO882="Y","on hold: "&amp;AP882,""),IF(C882="","no contact named on an opened page",""),IF(AND(AU882="Y",AV882&lt;&gt;"Y"),"founder review pending (Founder review tab)","")))</f>
        <v/>
      </c>
      <c r="BC882" s="0" t="str">
        <f aca="false">IF($A882="","",IFERROR(INDEX(Enrichment!$A$2:$GZ$2000,MATCH($A882,INDEX(Enrichment!$A$2:$GZ$2000,0,MATCH("row_id",Enrichment!$A$1:$GZ$1,0)),0),MATCH("work_email",Enrichment!$A$1:$GZ$1,0))&amp;"",""))</f>
        <v/>
      </c>
      <c r="BD882" s="0" t="str">
        <f aca="false">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P882" s="0" t="str">
        <f aca="false">IF($A882="","",IFERROR(INDEX(Enrichment!$A$2:$GZ$2000,MATCH($A882,INDEX(Enrichment!$A$2:$GZ$2000,0,MATCH("row_id",Enrichment!$A$1:$GZ$1,0)),0),MATCH("backup_work_email",Enrichment!$A$1:$GZ$1,0))&amp;"",""))</f>
        <v/>
      </c>
      <c r="BQ882" s="0" t="str">
        <f aca="false">IF($A882="","",IF(BP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DU882" s="0" t="str">
        <f aca="false">IF($A882="","",IF(R882="Y",10,0))</f>
        <v/>
      </c>
      <c r="EV882" s="0" t="str">
        <f aca="false">IF($A882="","",IF(ISNUMBER(MATCH(U882,{"queued","contacted","replied","call_booked","call_done","yes_in_principle","materials_sent"},0)),"Y","N"))</f>
        <v/>
      </c>
      <c r="EW882" s="0" t="str">
        <f aca="false">IF($A882="","",IF(OR(T882="Y",U882="do_not_contact",AQ882&amp;""&lt;&gt;""),"Y","N"))</f>
        <v/>
      </c>
      <c r="EX882" s="0" t="str">
        <f aca="false">IF($A882="","",IF(AN882&amp;""&lt;&gt;"",AN882&amp;"",$A882))</f>
        <v/>
      </c>
      <c r="EY882" s="0" t="str">
        <f aca="false">IF($A882="","",IF(COUNTIFS($EX$2:$EX$1000,EX882,$EV$2:$EV$1000,"Y")+COUNTIFS($EX$2:$EX$1000,EX882,$EW$2:$EW$1000,"Y")&gt;0,"Y","N"))</f>
        <v/>
      </c>
      <c r="EZ882" s="0" t="str">
        <f aca="false">IF($A882="","",IF(AND(U882="new",T882="N",EW882="N",AR882="Y",EY882="N"),"Y","N"))</f>
        <v/>
      </c>
      <c r="FA882" s="0" t="str">
        <f aca="false">IF($A882="","",IF(EZ882&lt;&gt;"Y","N",IF(COUNTIFS($EX$2:$EX$1000,EX882,$EZ$2:$EZ$1000,"Y",$J$2:$J$1000,"&gt;"&amp;J882)+COUNTIFS($EX$2:$EX$1000,EX882,$EZ$2:$EZ$1000,"Y",$J$2:$J$1000,J882,$FG$2:$FG$1000,"&lt;"&amp;FG882)=0,"Y","N")))</f>
        <v/>
      </c>
      <c r="FB882" s="0" t="str">
        <f aca="false">IF($A882="","",IF(AND(EZ882="Y",FA882="Y",Y882&amp;""&lt;&gt;""),IF(Y882&lt;=10,"Y","N"),"N"))</f>
        <v/>
      </c>
      <c r="FC882" s="0" t="str">
        <f aca="false">IF(FB882="Y",Y882,"")</f>
        <v/>
      </c>
      <c r="FD882" s="0" t="str">
        <f aca="false">IF($A882="","",IF(AND(CK882="pass",AU882="Y",AV882&lt;&gt;"Y",U882="new",EW882="N"),"Y","N"))</f>
        <v/>
      </c>
      <c r="FE882" s="0" t="str">
        <f aca="false">IF(FD882&lt;&gt;"Y","",IF(COUNTIFS($FD$2:$FD$1000,"Y",$J$2:$J$1000,"&gt;"&amp;J882)+COUNTIFS($FD$2:$FD$1000,"Y",$J$2:$J$1000,J882,$FG$2:$FG$1000,"&lt;"&amp;FG882)+1&lt;=30,COUNTIFS($FD$2:$FD$1000,"Y",$J$2:$J$1000,"&gt;"&amp;J882)+COUNTIFS($FD$2:$FD$1000,"Y",$J$2:$J$1000,J882,$FG$2:$FG$1000,"&lt;"&amp;FG882)+1,""))</f>
        <v/>
      </c>
      <c r="FF882" s="0" t="str">
        <f aca="false">IF(AND(_xlfn.ISFORMULA(C882),_xlfn.ISFORMULA(J882)),"Y","N")</f>
        <v>Y</v>
      </c>
      <c r="FG882" s="0" t="n">
        <f aca="false">ROW()-1</f>
        <v>881</v>
      </c>
    </row>
    <row r="883" customFormat="false" ht="15" hidden="false" customHeight="false" outlineLevel="0" collapsed="false">
      <c r="C883" s="0" t="str">
        <f aca="false">IF($A883="","",IF(AT883="Y",BL883&amp;"",AY883&amp;""))</f>
        <v/>
      </c>
      <c r="D883" s="0" t="str">
        <f aca="false">IF($A883="","",IF(AT883="Y",BM883&amp;"",AZ883&amp;""))</f>
        <v/>
      </c>
      <c r="E883" s="0" t="str">
        <f aca="false">IF($A883="","",IF(AT883="Y",BN883&amp;"",BA883&amp;""))</f>
        <v/>
      </c>
      <c r="F883" s="0" t="str">
        <f aca="false">IF($A883="","",IF(AT883="Y",BO883&amp;"",BB883&amp;""))</f>
        <v/>
      </c>
      <c r="G883" s="0" t="str">
        <f aca="false">IF($A883="","",IF(AT883="Y",BP883&amp;"",BC883&amp;""))</f>
        <v/>
      </c>
      <c r="H883" s="0" t="str">
        <f aca="false">IF($A883="","",IF(AT883="Y",BQ883&amp;"",BD883&amp;""))</f>
        <v/>
      </c>
      <c r="I883" s="0" t="str">
        <f aca="false">IF($A883="","",IF(R883="Y","warm-intro",IF(H883="verified","email",IF(C883&lt;&gt;"","linkedin",CA883&amp;""))))</f>
        <v/>
      </c>
      <c r="J883" s="0" t="str">
        <f aca="false">IF($A883="","",IF(CK883="pass",ROUND(N(DO883)+N(DP883)+N(DQ883)+N(DR883)+N(DS883)+N(DT883)+N(DU883)+N(DV883),0),0))</f>
        <v/>
      </c>
      <c r="K883" s="0" t="str">
        <f aca="false">IF($A883="","",IF(CK883&lt;&gt;"pass",BY883&amp;"",BY883&amp;", "&amp;IF(AT883="Y",BX883&amp;"",BK883&amp;"")&amp;BZ883&amp;IF(R883="Y","; known to the founder (+10)","")&amp;"."))</f>
        <v/>
      </c>
      <c r="R883" s="5"/>
      <c r="T883" s="5"/>
      <c r="U883" s="5"/>
      <c r="Y883" s="0" t="str">
        <f aca="false">IF(FA883&lt;&gt;"Y","",COUNTIFS($FA$2:$FA$1000,"Y",$J$2:$J$1000,"&gt;"&amp;J883)+COUNTIFS($FA$2:$FA$1000,"Y",$J$2:$J$1000,J883,$FG$2:$FG$1000,"&lt;"&amp;FG883)+1)</f>
        <v/>
      </c>
      <c r="AB883" s="0" t="str">
        <f aca="false">IF($A883="","",IF(AT883="Y",BW883&amp;"",BJ883&amp;""))</f>
        <v/>
      </c>
      <c r="AC883" s="0" t="str">
        <f aca="false">IF($A883="","",IF(AT883="Y",BR883&amp;"",BE883&amp;""))</f>
        <v/>
      </c>
      <c r="AD883" s="0" t="str">
        <f aca="false">IF($A883="","",IF(AT883="Y",BS883&amp;"",BF883&amp;""))</f>
        <v/>
      </c>
      <c r="AE883" s="0" t="str">
        <f aca="false">IF($A883="","",IF(AT883="Y",BT883&amp;"",BG883&amp;""))</f>
        <v/>
      </c>
      <c r="AF883" s="0" t="str">
        <f aca="false">IF($A883="","",IF(AT883="Y",BU883&amp;"",BH883&amp;""))</f>
        <v/>
      </c>
      <c r="AG883" s="0" t="str">
        <f aca="false">IF($A883="","",IF(AT883="Y",BV883&amp;"",BI883&amp;""))</f>
        <v/>
      </c>
      <c r="AO883" s="5"/>
      <c r="AR883" s="0" t="str">
        <f aca="false">IF($A883="","",IF(AND(CK883="pass",AO883&lt;&gt;"Y",C883&lt;&gt;"",OR(AU883&lt;&gt;"Y",AV883="Y")),"Y","N"))</f>
        <v/>
      </c>
      <c r="AS883" s="0" t="str">
        <f aca="false">IF($A883="","",_xlfn.TEXTJOIN("; ",TRUE(),IF(CK883&lt;&gt;"pass","gated out",""),IF(AO883="Y","on hold: "&amp;AP883,""),IF(C883="","no contact named on an opened page",""),IF(AND(AU883="Y",AV883&lt;&gt;"Y"),"founder review pending (Founder review tab)","")))</f>
        <v/>
      </c>
      <c r="BC883" s="0" t="str">
        <f aca="false">IF($A883="","",IFERROR(INDEX(Enrichment!$A$2:$GZ$2000,MATCH($A883,INDEX(Enrichment!$A$2:$GZ$2000,0,MATCH("row_id",Enrichment!$A$1:$GZ$1,0)),0),MATCH("work_email",Enrichment!$A$1:$GZ$1,0))&amp;"",""))</f>
        <v/>
      </c>
      <c r="BD883" s="0" t="str">
        <f aca="false">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P883" s="0" t="str">
        <f aca="false">IF($A883="","",IFERROR(INDEX(Enrichment!$A$2:$GZ$2000,MATCH($A883,INDEX(Enrichment!$A$2:$GZ$2000,0,MATCH("row_id",Enrichment!$A$1:$GZ$1,0)),0),MATCH("backup_work_email",Enrichment!$A$1:$GZ$1,0))&amp;"",""))</f>
        <v/>
      </c>
      <c r="BQ883" s="0" t="str">
        <f aca="false">IF($A883="","",IF(BP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DU883" s="0" t="str">
        <f aca="false">IF($A883="","",IF(R883="Y",10,0))</f>
        <v/>
      </c>
      <c r="EV883" s="0" t="str">
        <f aca="false">IF($A883="","",IF(ISNUMBER(MATCH(U883,{"queued","contacted","replied","call_booked","call_done","yes_in_principle","materials_sent"},0)),"Y","N"))</f>
        <v/>
      </c>
      <c r="EW883" s="0" t="str">
        <f aca="false">IF($A883="","",IF(OR(T883="Y",U883="do_not_contact",AQ883&amp;""&lt;&gt;""),"Y","N"))</f>
        <v/>
      </c>
      <c r="EX883" s="0" t="str">
        <f aca="false">IF($A883="","",IF(AN883&amp;""&lt;&gt;"",AN883&amp;"",$A883))</f>
        <v/>
      </c>
      <c r="EY883" s="0" t="str">
        <f aca="false">IF($A883="","",IF(COUNTIFS($EX$2:$EX$1000,EX883,$EV$2:$EV$1000,"Y")+COUNTIFS($EX$2:$EX$1000,EX883,$EW$2:$EW$1000,"Y")&gt;0,"Y","N"))</f>
        <v/>
      </c>
      <c r="EZ883" s="0" t="str">
        <f aca="false">IF($A883="","",IF(AND(U883="new",T883="N",EW883="N",AR883="Y",EY883="N"),"Y","N"))</f>
        <v/>
      </c>
      <c r="FA883" s="0" t="str">
        <f aca="false">IF($A883="","",IF(EZ883&lt;&gt;"Y","N",IF(COUNTIFS($EX$2:$EX$1000,EX883,$EZ$2:$EZ$1000,"Y",$J$2:$J$1000,"&gt;"&amp;J883)+COUNTIFS($EX$2:$EX$1000,EX883,$EZ$2:$EZ$1000,"Y",$J$2:$J$1000,J883,$FG$2:$FG$1000,"&lt;"&amp;FG883)=0,"Y","N")))</f>
        <v/>
      </c>
      <c r="FB883" s="0" t="str">
        <f aca="false">IF($A883="","",IF(AND(EZ883="Y",FA883="Y",Y883&amp;""&lt;&gt;""),IF(Y883&lt;=10,"Y","N"),"N"))</f>
        <v/>
      </c>
      <c r="FC883" s="0" t="str">
        <f aca="false">IF(FB883="Y",Y883,"")</f>
        <v/>
      </c>
      <c r="FD883" s="0" t="str">
        <f aca="false">IF($A883="","",IF(AND(CK883="pass",AU883="Y",AV883&lt;&gt;"Y",U883="new",EW883="N"),"Y","N"))</f>
        <v/>
      </c>
      <c r="FE883" s="0" t="str">
        <f aca="false">IF(FD883&lt;&gt;"Y","",IF(COUNTIFS($FD$2:$FD$1000,"Y",$J$2:$J$1000,"&gt;"&amp;J883)+COUNTIFS($FD$2:$FD$1000,"Y",$J$2:$J$1000,J883,$FG$2:$FG$1000,"&lt;"&amp;FG883)+1&lt;=30,COUNTIFS($FD$2:$FD$1000,"Y",$J$2:$J$1000,"&gt;"&amp;J883)+COUNTIFS($FD$2:$FD$1000,"Y",$J$2:$J$1000,J883,$FG$2:$FG$1000,"&lt;"&amp;FG883)+1,""))</f>
        <v/>
      </c>
      <c r="FF883" s="0" t="str">
        <f aca="false">IF(AND(_xlfn.ISFORMULA(C883),_xlfn.ISFORMULA(J883)),"Y","N")</f>
        <v>Y</v>
      </c>
      <c r="FG883" s="0" t="n">
        <f aca="false">ROW()-1</f>
        <v>882</v>
      </c>
    </row>
    <row r="884" customFormat="false" ht="15" hidden="false" customHeight="false" outlineLevel="0" collapsed="false">
      <c r="C884" s="0" t="str">
        <f aca="false">IF($A884="","",IF(AT884="Y",BL884&amp;"",AY884&amp;""))</f>
        <v/>
      </c>
      <c r="D884" s="0" t="str">
        <f aca="false">IF($A884="","",IF(AT884="Y",BM884&amp;"",AZ884&amp;""))</f>
        <v/>
      </c>
      <c r="E884" s="0" t="str">
        <f aca="false">IF($A884="","",IF(AT884="Y",BN884&amp;"",BA884&amp;""))</f>
        <v/>
      </c>
      <c r="F884" s="0" t="str">
        <f aca="false">IF($A884="","",IF(AT884="Y",BO884&amp;"",BB884&amp;""))</f>
        <v/>
      </c>
      <c r="G884" s="0" t="str">
        <f aca="false">IF($A884="","",IF(AT884="Y",BP884&amp;"",BC884&amp;""))</f>
        <v/>
      </c>
      <c r="H884" s="0" t="str">
        <f aca="false">IF($A884="","",IF(AT884="Y",BQ884&amp;"",BD884&amp;""))</f>
        <v/>
      </c>
      <c r="I884" s="0" t="str">
        <f aca="false">IF($A884="","",IF(R884="Y","warm-intro",IF(H884="verified","email",IF(C884&lt;&gt;"","linkedin",CA884&amp;""))))</f>
        <v/>
      </c>
      <c r="J884" s="0" t="str">
        <f aca="false">IF($A884="","",IF(CK884="pass",ROUND(N(DO884)+N(DP884)+N(DQ884)+N(DR884)+N(DS884)+N(DT884)+N(DU884)+N(DV884),0),0))</f>
        <v/>
      </c>
      <c r="K884" s="0" t="str">
        <f aca="false">IF($A884="","",IF(CK884&lt;&gt;"pass",BY884&amp;"",BY884&amp;", "&amp;IF(AT884="Y",BX884&amp;"",BK884&amp;"")&amp;BZ884&amp;IF(R884="Y","; known to the founder (+10)","")&amp;"."))</f>
        <v/>
      </c>
      <c r="R884" s="5"/>
      <c r="T884" s="5"/>
      <c r="U884" s="5"/>
      <c r="Y884" s="0" t="str">
        <f aca="false">IF(FA884&lt;&gt;"Y","",COUNTIFS($FA$2:$FA$1000,"Y",$J$2:$J$1000,"&gt;"&amp;J884)+COUNTIFS($FA$2:$FA$1000,"Y",$J$2:$J$1000,J884,$FG$2:$FG$1000,"&lt;"&amp;FG884)+1)</f>
        <v/>
      </c>
      <c r="AB884" s="0" t="str">
        <f aca="false">IF($A884="","",IF(AT884="Y",BW884&amp;"",BJ884&amp;""))</f>
        <v/>
      </c>
      <c r="AC884" s="0" t="str">
        <f aca="false">IF($A884="","",IF(AT884="Y",BR884&amp;"",BE884&amp;""))</f>
        <v/>
      </c>
      <c r="AD884" s="0" t="str">
        <f aca="false">IF($A884="","",IF(AT884="Y",BS884&amp;"",BF884&amp;""))</f>
        <v/>
      </c>
      <c r="AE884" s="0" t="str">
        <f aca="false">IF($A884="","",IF(AT884="Y",BT884&amp;"",BG884&amp;""))</f>
        <v/>
      </c>
      <c r="AF884" s="0" t="str">
        <f aca="false">IF($A884="","",IF(AT884="Y",BU884&amp;"",BH884&amp;""))</f>
        <v/>
      </c>
      <c r="AG884" s="0" t="str">
        <f aca="false">IF($A884="","",IF(AT884="Y",BV884&amp;"",BI884&amp;""))</f>
        <v/>
      </c>
      <c r="AO884" s="5"/>
      <c r="AR884" s="0" t="str">
        <f aca="false">IF($A884="","",IF(AND(CK884="pass",AO884&lt;&gt;"Y",C884&lt;&gt;"",OR(AU884&lt;&gt;"Y",AV884="Y")),"Y","N"))</f>
        <v/>
      </c>
      <c r="AS884" s="0" t="str">
        <f aca="false">IF($A884="","",_xlfn.TEXTJOIN("; ",TRUE(),IF(CK884&lt;&gt;"pass","gated out",""),IF(AO884="Y","on hold: "&amp;AP884,""),IF(C884="","no contact named on an opened page",""),IF(AND(AU884="Y",AV884&lt;&gt;"Y"),"founder review pending (Founder review tab)","")))</f>
        <v/>
      </c>
      <c r="BC884" s="0" t="str">
        <f aca="false">IF($A884="","",IFERROR(INDEX(Enrichment!$A$2:$GZ$2000,MATCH($A884,INDEX(Enrichment!$A$2:$GZ$2000,0,MATCH("row_id",Enrichment!$A$1:$GZ$1,0)),0),MATCH("work_email",Enrichment!$A$1:$GZ$1,0))&amp;"",""))</f>
        <v/>
      </c>
      <c r="BD884" s="0" t="str">
        <f aca="false">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P884" s="0" t="str">
        <f aca="false">IF($A884="","",IFERROR(INDEX(Enrichment!$A$2:$GZ$2000,MATCH($A884,INDEX(Enrichment!$A$2:$GZ$2000,0,MATCH("row_id",Enrichment!$A$1:$GZ$1,0)),0),MATCH("backup_work_email",Enrichment!$A$1:$GZ$1,0))&amp;"",""))</f>
        <v/>
      </c>
      <c r="BQ884" s="0" t="str">
        <f aca="false">IF($A884="","",IF(BP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DU884" s="0" t="str">
        <f aca="false">IF($A884="","",IF(R884="Y",10,0))</f>
        <v/>
      </c>
      <c r="EV884" s="0" t="str">
        <f aca="false">IF($A884="","",IF(ISNUMBER(MATCH(U884,{"queued","contacted","replied","call_booked","call_done","yes_in_principle","materials_sent"},0)),"Y","N"))</f>
        <v/>
      </c>
      <c r="EW884" s="0" t="str">
        <f aca="false">IF($A884="","",IF(OR(T884="Y",U884="do_not_contact",AQ884&amp;""&lt;&gt;""),"Y","N"))</f>
        <v/>
      </c>
      <c r="EX884" s="0" t="str">
        <f aca="false">IF($A884="","",IF(AN884&amp;""&lt;&gt;"",AN884&amp;"",$A884))</f>
        <v/>
      </c>
      <c r="EY884" s="0" t="str">
        <f aca="false">IF($A884="","",IF(COUNTIFS($EX$2:$EX$1000,EX884,$EV$2:$EV$1000,"Y")+COUNTIFS($EX$2:$EX$1000,EX884,$EW$2:$EW$1000,"Y")&gt;0,"Y","N"))</f>
        <v/>
      </c>
      <c r="EZ884" s="0" t="str">
        <f aca="false">IF($A884="","",IF(AND(U884="new",T884="N",EW884="N",AR884="Y",EY884="N"),"Y","N"))</f>
        <v/>
      </c>
      <c r="FA884" s="0" t="str">
        <f aca="false">IF($A884="","",IF(EZ884&lt;&gt;"Y","N",IF(COUNTIFS($EX$2:$EX$1000,EX884,$EZ$2:$EZ$1000,"Y",$J$2:$J$1000,"&gt;"&amp;J884)+COUNTIFS($EX$2:$EX$1000,EX884,$EZ$2:$EZ$1000,"Y",$J$2:$J$1000,J884,$FG$2:$FG$1000,"&lt;"&amp;FG884)=0,"Y","N")))</f>
        <v/>
      </c>
      <c r="FB884" s="0" t="str">
        <f aca="false">IF($A884="","",IF(AND(EZ884="Y",FA884="Y",Y884&amp;""&lt;&gt;""),IF(Y884&lt;=10,"Y","N"),"N"))</f>
        <v/>
      </c>
      <c r="FC884" s="0" t="str">
        <f aca="false">IF(FB884="Y",Y884,"")</f>
        <v/>
      </c>
      <c r="FD884" s="0" t="str">
        <f aca="false">IF($A884="","",IF(AND(CK884="pass",AU884="Y",AV884&lt;&gt;"Y",U884="new",EW884="N"),"Y","N"))</f>
        <v/>
      </c>
      <c r="FE884" s="0" t="str">
        <f aca="false">IF(FD884&lt;&gt;"Y","",IF(COUNTIFS($FD$2:$FD$1000,"Y",$J$2:$J$1000,"&gt;"&amp;J884)+COUNTIFS($FD$2:$FD$1000,"Y",$J$2:$J$1000,J884,$FG$2:$FG$1000,"&lt;"&amp;FG884)+1&lt;=30,COUNTIFS($FD$2:$FD$1000,"Y",$J$2:$J$1000,"&gt;"&amp;J884)+COUNTIFS($FD$2:$FD$1000,"Y",$J$2:$J$1000,J884,$FG$2:$FG$1000,"&lt;"&amp;FG884)+1,""))</f>
        <v/>
      </c>
      <c r="FF884" s="0" t="str">
        <f aca="false">IF(AND(_xlfn.ISFORMULA(C884),_xlfn.ISFORMULA(J884)),"Y","N")</f>
        <v>Y</v>
      </c>
      <c r="FG884" s="0" t="n">
        <f aca="false">ROW()-1</f>
        <v>883</v>
      </c>
    </row>
    <row r="885" customFormat="false" ht="15" hidden="false" customHeight="false" outlineLevel="0" collapsed="false">
      <c r="C885" s="0" t="str">
        <f aca="false">IF($A885="","",IF(AT885="Y",BL885&amp;"",AY885&amp;""))</f>
        <v/>
      </c>
      <c r="D885" s="0" t="str">
        <f aca="false">IF($A885="","",IF(AT885="Y",BM885&amp;"",AZ885&amp;""))</f>
        <v/>
      </c>
      <c r="E885" s="0" t="str">
        <f aca="false">IF($A885="","",IF(AT885="Y",BN885&amp;"",BA885&amp;""))</f>
        <v/>
      </c>
      <c r="F885" s="0" t="str">
        <f aca="false">IF($A885="","",IF(AT885="Y",BO885&amp;"",BB885&amp;""))</f>
        <v/>
      </c>
      <c r="G885" s="0" t="str">
        <f aca="false">IF($A885="","",IF(AT885="Y",BP885&amp;"",BC885&amp;""))</f>
        <v/>
      </c>
      <c r="H885" s="0" t="str">
        <f aca="false">IF($A885="","",IF(AT885="Y",BQ885&amp;"",BD885&amp;""))</f>
        <v/>
      </c>
      <c r="I885" s="0" t="str">
        <f aca="false">IF($A885="","",IF(R885="Y","warm-intro",IF(H885="verified","email",IF(C885&lt;&gt;"","linkedin",CA885&amp;""))))</f>
        <v/>
      </c>
      <c r="J885" s="0" t="str">
        <f aca="false">IF($A885="","",IF(CK885="pass",ROUND(N(DO885)+N(DP885)+N(DQ885)+N(DR885)+N(DS885)+N(DT885)+N(DU885)+N(DV885),0),0))</f>
        <v/>
      </c>
      <c r="K885" s="0" t="str">
        <f aca="false">IF($A885="","",IF(CK885&lt;&gt;"pass",BY885&amp;"",BY885&amp;", "&amp;IF(AT885="Y",BX885&amp;"",BK885&amp;"")&amp;BZ885&amp;IF(R885="Y","; known to the founder (+10)","")&amp;"."))</f>
        <v/>
      </c>
      <c r="R885" s="5"/>
      <c r="T885" s="5"/>
      <c r="U885" s="5"/>
      <c r="Y885" s="0" t="str">
        <f aca="false">IF(FA885&lt;&gt;"Y","",COUNTIFS($FA$2:$FA$1000,"Y",$J$2:$J$1000,"&gt;"&amp;J885)+COUNTIFS($FA$2:$FA$1000,"Y",$J$2:$J$1000,J885,$FG$2:$FG$1000,"&lt;"&amp;FG885)+1)</f>
        <v/>
      </c>
      <c r="AB885" s="0" t="str">
        <f aca="false">IF($A885="","",IF(AT885="Y",BW885&amp;"",BJ885&amp;""))</f>
        <v/>
      </c>
      <c r="AC885" s="0" t="str">
        <f aca="false">IF($A885="","",IF(AT885="Y",BR885&amp;"",BE885&amp;""))</f>
        <v/>
      </c>
      <c r="AD885" s="0" t="str">
        <f aca="false">IF($A885="","",IF(AT885="Y",BS885&amp;"",BF885&amp;""))</f>
        <v/>
      </c>
      <c r="AE885" s="0" t="str">
        <f aca="false">IF($A885="","",IF(AT885="Y",BT885&amp;"",BG885&amp;""))</f>
        <v/>
      </c>
      <c r="AF885" s="0" t="str">
        <f aca="false">IF($A885="","",IF(AT885="Y",BU885&amp;"",BH885&amp;""))</f>
        <v/>
      </c>
      <c r="AG885" s="0" t="str">
        <f aca="false">IF($A885="","",IF(AT885="Y",BV885&amp;"",BI885&amp;""))</f>
        <v/>
      </c>
      <c r="AO885" s="5"/>
      <c r="AR885" s="0" t="str">
        <f aca="false">IF($A885="","",IF(AND(CK885="pass",AO885&lt;&gt;"Y",C885&lt;&gt;"",OR(AU885&lt;&gt;"Y",AV885="Y")),"Y","N"))</f>
        <v/>
      </c>
      <c r="AS885" s="0" t="str">
        <f aca="false">IF($A885="","",_xlfn.TEXTJOIN("; ",TRUE(),IF(CK885&lt;&gt;"pass","gated out",""),IF(AO885="Y","on hold: "&amp;AP885,""),IF(C885="","no contact named on an opened page",""),IF(AND(AU885="Y",AV885&lt;&gt;"Y"),"founder review pending (Founder review tab)","")))</f>
        <v/>
      </c>
      <c r="BC885" s="0" t="str">
        <f aca="false">IF($A885="","",IFERROR(INDEX(Enrichment!$A$2:$GZ$2000,MATCH($A885,INDEX(Enrichment!$A$2:$GZ$2000,0,MATCH("row_id",Enrichment!$A$1:$GZ$1,0)),0),MATCH("work_email",Enrichment!$A$1:$GZ$1,0))&amp;"",""))</f>
        <v/>
      </c>
      <c r="BD885" s="0" t="str">
        <f aca="false">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P885" s="0" t="str">
        <f aca="false">IF($A885="","",IFERROR(INDEX(Enrichment!$A$2:$GZ$2000,MATCH($A885,INDEX(Enrichment!$A$2:$GZ$2000,0,MATCH("row_id",Enrichment!$A$1:$GZ$1,0)),0),MATCH("backup_work_email",Enrichment!$A$1:$GZ$1,0))&amp;"",""))</f>
        <v/>
      </c>
      <c r="BQ885" s="0" t="str">
        <f aca="false">IF($A885="","",IF(BP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DU885" s="0" t="str">
        <f aca="false">IF($A885="","",IF(R885="Y",10,0))</f>
        <v/>
      </c>
      <c r="EV885" s="0" t="str">
        <f aca="false">IF($A885="","",IF(ISNUMBER(MATCH(U885,{"queued","contacted","replied","call_booked","call_done","yes_in_principle","materials_sent"},0)),"Y","N"))</f>
        <v/>
      </c>
      <c r="EW885" s="0" t="str">
        <f aca="false">IF($A885="","",IF(OR(T885="Y",U885="do_not_contact",AQ885&amp;""&lt;&gt;""),"Y","N"))</f>
        <v/>
      </c>
      <c r="EX885" s="0" t="str">
        <f aca="false">IF($A885="","",IF(AN885&amp;""&lt;&gt;"",AN885&amp;"",$A885))</f>
        <v/>
      </c>
      <c r="EY885" s="0" t="str">
        <f aca="false">IF($A885="","",IF(COUNTIFS($EX$2:$EX$1000,EX885,$EV$2:$EV$1000,"Y")+COUNTIFS($EX$2:$EX$1000,EX885,$EW$2:$EW$1000,"Y")&gt;0,"Y","N"))</f>
        <v/>
      </c>
      <c r="EZ885" s="0" t="str">
        <f aca="false">IF($A885="","",IF(AND(U885="new",T885="N",EW885="N",AR885="Y",EY885="N"),"Y","N"))</f>
        <v/>
      </c>
      <c r="FA885" s="0" t="str">
        <f aca="false">IF($A885="","",IF(EZ885&lt;&gt;"Y","N",IF(COUNTIFS($EX$2:$EX$1000,EX885,$EZ$2:$EZ$1000,"Y",$J$2:$J$1000,"&gt;"&amp;J885)+COUNTIFS($EX$2:$EX$1000,EX885,$EZ$2:$EZ$1000,"Y",$J$2:$J$1000,J885,$FG$2:$FG$1000,"&lt;"&amp;FG885)=0,"Y","N")))</f>
        <v/>
      </c>
      <c r="FB885" s="0" t="str">
        <f aca="false">IF($A885="","",IF(AND(EZ885="Y",FA885="Y",Y885&amp;""&lt;&gt;""),IF(Y885&lt;=10,"Y","N"),"N"))</f>
        <v/>
      </c>
      <c r="FC885" s="0" t="str">
        <f aca="false">IF(FB885="Y",Y885,"")</f>
        <v/>
      </c>
      <c r="FD885" s="0" t="str">
        <f aca="false">IF($A885="","",IF(AND(CK885="pass",AU885="Y",AV885&lt;&gt;"Y",U885="new",EW885="N"),"Y","N"))</f>
        <v/>
      </c>
      <c r="FE885" s="0" t="str">
        <f aca="false">IF(FD885&lt;&gt;"Y","",IF(COUNTIFS($FD$2:$FD$1000,"Y",$J$2:$J$1000,"&gt;"&amp;J885)+COUNTIFS($FD$2:$FD$1000,"Y",$J$2:$J$1000,J885,$FG$2:$FG$1000,"&lt;"&amp;FG885)+1&lt;=30,COUNTIFS($FD$2:$FD$1000,"Y",$J$2:$J$1000,"&gt;"&amp;J885)+COUNTIFS($FD$2:$FD$1000,"Y",$J$2:$J$1000,J885,$FG$2:$FG$1000,"&lt;"&amp;FG885)+1,""))</f>
        <v/>
      </c>
      <c r="FF885" s="0" t="str">
        <f aca="false">IF(AND(_xlfn.ISFORMULA(C885),_xlfn.ISFORMULA(J885)),"Y","N")</f>
        <v>Y</v>
      </c>
      <c r="FG885" s="0" t="n">
        <f aca="false">ROW()-1</f>
        <v>884</v>
      </c>
    </row>
    <row r="886" customFormat="false" ht="15" hidden="false" customHeight="false" outlineLevel="0" collapsed="false">
      <c r="C886" s="0" t="str">
        <f aca="false">IF($A886="","",IF(AT886="Y",BL886&amp;"",AY886&amp;""))</f>
        <v/>
      </c>
      <c r="D886" s="0" t="str">
        <f aca="false">IF($A886="","",IF(AT886="Y",BM886&amp;"",AZ886&amp;""))</f>
        <v/>
      </c>
      <c r="E886" s="0" t="str">
        <f aca="false">IF($A886="","",IF(AT886="Y",BN886&amp;"",BA886&amp;""))</f>
        <v/>
      </c>
      <c r="F886" s="0" t="str">
        <f aca="false">IF($A886="","",IF(AT886="Y",BO886&amp;"",BB886&amp;""))</f>
        <v/>
      </c>
      <c r="G886" s="0" t="str">
        <f aca="false">IF($A886="","",IF(AT886="Y",BP886&amp;"",BC886&amp;""))</f>
        <v/>
      </c>
      <c r="H886" s="0" t="str">
        <f aca="false">IF($A886="","",IF(AT886="Y",BQ886&amp;"",BD886&amp;""))</f>
        <v/>
      </c>
      <c r="I886" s="0" t="str">
        <f aca="false">IF($A886="","",IF(R886="Y","warm-intro",IF(H886="verified","email",IF(C886&lt;&gt;"","linkedin",CA886&amp;""))))</f>
        <v/>
      </c>
      <c r="J886" s="0" t="str">
        <f aca="false">IF($A886="","",IF(CK886="pass",ROUND(N(DO886)+N(DP886)+N(DQ886)+N(DR886)+N(DS886)+N(DT886)+N(DU886)+N(DV886),0),0))</f>
        <v/>
      </c>
      <c r="K886" s="0" t="str">
        <f aca="false">IF($A886="","",IF(CK886&lt;&gt;"pass",BY886&amp;"",BY886&amp;", "&amp;IF(AT886="Y",BX886&amp;"",BK886&amp;"")&amp;BZ886&amp;IF(R886="Y","; known to the founder (+10)","")&amp;"."))</f>
        <v/>
      </c>
      <c r="R886" s="5"/>
      <c r="T886" s="5"/>
      <c r="U886" s="5"/>
      <c r="Y886" s="0" t="str">
        <f aca="false">IF(FA886&lt;&gt;"Y","",COUNTIFS($FA$2:$FA$1000,"Y",$J$2:$J$1000,"&gt;"&amp;J886)+COUNTIFS($FA$2:$FA$1000,"Y",$J$2:$J$1000,J886,$FG$2:$FG$1000,"&lt;"&amp;FG886)+1)</f>
        <v/>
      </c>
      <c r="AB886" s="0" t="str">
        <f aca="false">IF($A886="","",IF(AT886="Y",BW886&amp;"",BJ886&amp;""))</f>
        <v/>
      </c>
      <c r="AC886" s="0" t="str">
        <f aca="false">IF($A886="","",IF(AT886="Y",BR886&amp;"",BE886&amp;""))</f>
        <v/>
      </c>
      <c r="AD886" s="0" t="str">
        <f aca="false">IF($A886="","",IF(AT886="Y",BS886&amp;"",BF886&amp;""))</f>
        <v/>
      </c>
      <c r="AE886" s="0" t="str">
        <f aca="false">IF($A886="","",IF(AT886="Y",BT886&amp;"",BG886&amp;""))</f>
        <v/>
      </c>
      <c r="AF886" s="0" t="str">
        <f aca="false">IF($A886="","",IF(AT886="Y",BU886&amp;"",BH886&amp;""))</f>
        <v/>
      </c>
      <c r="AG886" s="0" t="str">
        <f aca="false">IF($A886="","",IF(AT886="Y",BV886&amp;"",BI886&amp;""))</f>
        <v/>
      </c>
      <c r="AO886" s="5"/>
      <c r="AR886" s="0" t="str">
        <f aca="false">IF($A886="","",IF(AND(CK886="pass",AO886&lt;&gt;"Y",C886&lt;&gt;"",OR(AU886&lt;&gt;"Y",AV886="Y")),"Y","N"))</f>
        <v/>
      </c>
      <c r="AS886" s="0" t="str">
        <f aca="false">IF($A886="","",_xlfn.TEXTJOIN("; ",TRUE(),IF(CK886&lt;&gt;"pass","gated out",""),IF(AO886="Y","on hold: "&amp;AP886,""),IF(C886="","no contact named on an opened page",""),IF(AND(AU886="Y",AV886&lt;&gt;"Y"),"founder review pending (Founder review tab)","")))</f>
        <v/>
      </c>
      <c r="BC886" s="0" t="str">
        <f aca="false">IF($A886="","",IFERROR(INDEX(Enrichment!$A$2:$GZ$2000,MATCH($A886,INDEX(Enrichment!$A$2:$GZ$2000,0,MATCH("row_id",Enrichment!$A$1:$GZ$1,0)),0),MATCH("work_email",Enrichment!$A$1:$GZ$1,0))&amp;"",""))</f>
        <v/>
      </c>
      <c r="BD886" s="0" t="str">
        <f aca="false">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P886" s="0" t="str">
        <f aca="false">IF($A886="","",IFERROR(INDEX(Enrichment!$A$2:$GZ$2000,MATCH($A886,INDEX(Enrichment!$A$2:$GZ$2000,0,MATCH("row_id",Enrichment!$A$1:$GZ$1,0)),0),MATCH("backup_work_email",Enrichment!$A$1:$GZ$1,0))&amp;"",""))</f>
        <v/>
      </c>
      <c r="BQ886" s="0" t="str">
        <f aca="false">IF($A886="","",IF(BP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DU886" s="0" t="str">
        <f aca="false">IF($A886="","",IF(R886="Y",10,0))</f>
        <v/>
      </c>
      <c r="EV886" s="0" t="str">
        <f aca="false">IF($A886="","",IF(ISNUMBER(MATCH(U886,{"queued","contacted","replied","call_booked","call_done","yes_in_principle","materials_sent"},0)),"Y","N"))</f>
        <v/>
      </c>
      <c r="EW886" s="0" t="str">
        <f aca="false">IF($A886="","",IF(OR(T886="Y",U886="do_not_contact",AQ886&amp;""&lt;&gt;""),"Y","N"))</f>
        <v/>
      </c>
      <c r="EX886" s="0" t="str">
        <f aca="false">IF($A886="","",IF(AN886&amp;""&lt;&gt;"",AN886&amp;"",$A886))</f>
        <v/>
      </c>
      <c r="EY886" s="0" t="str">
        <f aca="false">IF($A886="","",IF(COUNTIFS($EX$2:$EX$1000,EX886,$EV$2:$EV$1000,"Y")+COUNTIFS($EX$2:$EX$1000,EX886,$EW$2:$EW$1000,"Y")&gt;0,"Y","N"))</f>
        <v/>
      </c>
      <c r="EZ886" s="0" t="str">
        <f aca="false">IF($A886="","",IF(AND(U886="new",T886="N",EW886="N",AR886="Y",EY886="N"),"Y","N"))</f>
        <v/>
      </c>
      <c r="FA886" s="0" t="str">
        <f aca="false">IF($A886="","",IF(EZ886&lt;&gt;"Y","N",IF(COUNTIFS($EX$2:$EX$1000,EX886,$EZ$2:$EZ$1000,"Y",$J$2:$J$1000,"&gt;"&amp;J886)+COUNTIFS($EX$2:$EX$1000,EX886,$EZ$2:$EZ$1000,"Y",$J$2:$J$1000,J886,$FG$2:$FG$1000,"&lt;"&amp;FG886)=0,"Y","N")))</f>
        <v/>
      </c>
      <c r="FB886" s="0" t="str">
        <f aca="false">IF($A886="","",IF(AND(EZ886="Y",FA886="Y",Y886&amp;""&lt;&gt;""),IF(Y886&lt;=10,"Y","N"),"N"))</f>
        <v/>
      </c>
      <c r="FC886" s="0" t="str">
        <f aca="false">IF(FB886="Y",Y886,"")</f>
        <v/>
      </c>
      <c r="FD886" s="0" t="str">
        <f aca="false">IF($A886="","",IF(AND(CK886="pass",AU886="Y",AV886&lt;&gt;"Y",U886="new",EW886="N"),"Y","N"))</f>
        <v/>
      </c>
      <c r="FE886" s="0" t="str">
        <f aca="false">IF(FD886&lt;&gt;"Y","",IF(COUNTIFS($FD$2:$FD$1000,"Y",$J$2:$J$1000,"&gt;"&amp;J886)+COUNTIFS($FD$2:$FD$1000,"Y",$J$2:$J$1000,J886,$FG$2:$FG$1000,"&lt;"&amp;FG886)+1&lt;=30,COUNTIFS($FD$2:$FD$1000,"Y",$J$2:$J$1000,"&gt;"&amp;J886)+COUNTIFS($FD$2:$FD$1000,"Y",$J$2:$J$1000,J886,$FG$2:$FG$1000,"&lt;"&amp;FG886)+1,""))</f>
        <v/>
      </c>
      <c r="FF886" s="0" t="str">
        <f aca="false">IF(AND(_xlfn.ISFORMULA(C886),_xlfn.ISFORMULA(J886)),"Y","N")</f>
        <v>Y</v>
      </c>
      <c r="FG886" s="0" t="n">
        <f aca="false">ROW()-1</f>
        <v>885</v>
      </c>
    </row>
    <row r="887" customFormat="false" ht="15" hidden="false" customHeight="false" outlineLevel="0" collapsed="false">
      <c r="C887" s="0" t="str">
        <f aca="false">IF($A887="","",IF(AT887="Y",BL887&amp;"",AY887&amp;""))</f>
        <v/>
      </c>
      <c r="D887" s="0" t="str">
        <f aca="false">IF($A887="","",IF(AT887="Y",BM887&amp;"",AZ887&amp;""))</f>
        <v/>
      </c>
      <c r="E887" s="0" t="str">
        <f aca="false">IF($A887="","",IF(AT887="Y",BN887&amp;"",BA887&amp;""))</f>
        <v/>
      </c>
      <c r="F887" s="0" t="str">
        <f aca="false">IF($A887="","",IF(AT887="Y",BO887&amp;"",BB887&amp;""))</f>
        <v/>
      </c>
      <c r="G887" s="0" t="str">
        <f aca="false">IF($A887="","",IF(AT887="Y",BP887&amp;"",BC887&amp;""))</f>
        <v/>
      </c>
      <c r="H887" s="0" t="str">
        <f aca="false">IF($A887="","",IF(AT887="Y",BQ887&amp;"",BD887&amp;""))</f>
        <v/>
      </c>
      <c r="I887" s="0" t="str">
        <f aca="false">IF($A887="","",IF(R887="Y","warm-intro",IF(H887="verified","email",IF(C887&lt;&gt;"","linkedin",CA887&amp;""))))</f>
        <v/>
      </c>
      <c r="J887" s="0" t="str">
        <f aca="false">IF($A887="","",IF(CK887="pass",ROUND(N(DO887)+N(DP887)+N(DQ887)+N(DR887)+N(DS887)+N(DT887)+N(DU887)+N(DV887),0),0))</f>
        <v/>
      </c>
      <c r="K887" s="0" t="str">
        <f aca="false">IF($A887="","",IF(CK887&lt;&gt;"pass",BY887&amp;"",BY887&amp;", "&amp;IF(AT887="Y",BX887&amp;"",BK887&amp;"")&amp;BZ887&amp;IF(R887="Y","; known to the founder (+10)","")&amp;"."))</f>
        <v/>
      </c>
      <c r="R887" s="5"/>
      <c r="T887" s="5"/>
      <c r="U887" s="5"/>
      <c r="Y887" s="0" t="str">
        <f aca="false">IF(FA887&lt;&gt;"Y","",COUNTIFS($FA$2:$FA$1000,"Y",$J$2:$J$1000,"&gt;"&amp;J887)+COUNTIFS($FA$2:$FA$1000,"Y",$J$2:$J$1000,J887,$FG$2:$FG$1000,"&lt;"&amp;FG887)+1)</f>
        <v/>
      </c>
      <c r="AB887" s="0" t="str">
        <f aca="false">IF($A887="","",IF(AT887="Y",BW887&amp;"",BJ887&amp;""))</f>
        <v/>
      </c>
      <c r="AC887" s="0" t="str">
        <f aca="false">IF($A887="","",IF(AT887="Y",BR887&amp;"",BE887&amp;""))</f>
        <v/>
      </c>
      <c r="AD887" s="0" t="str">
        <f aca="false">IF($A887="","",IF(AT887="Y",BS887&amp;"",BF887&amp;""))</f>
        <v/>
      </c>
      <c r="AE887" s="0" t="str">
        <f aca="false">IF($A887="","",IF(AT887="Y",BT887&amp;"",BG887&amp;""))</f>
        <v/>
      </c>
      <c r="AF887" s="0" t="str">
        <f aca="false">IF($A887="","",IF(AT887="Y",BU887&amp;"",BH887&amp;""))</f>
        <v/>
      </c>
      <c r="AG887" s="0" t="str">
        <f aca="false">IF($A887="","",IF(AT887="Y",BV887&amp;"",BI887&amp;""))</f>
        <v/>
      </c>
      <c r="AO887" s="5"/>
      <c r="AR887" s="0" t="str">
        <f aca="false">IF($A887="","",IF(AND(CK887="pass",AO887&lt;&gt;"Y",C887&lt;&gt;"",OR(AU887&lt;&gt;"Y",AV887="Y")),"Y","N"))</f>
        <v/>
      </c>
      <c r="AS887" s="0" t="str">
        <f aca="false">IF($A887="","",_xlfn.TEXTJOIN("; ",TRUE(),IF(CK887&lt;&gt;"pass","gated out",""),IF(AO887="Y","on hold: "&amp;AP887,""),IF(C887="","no contact named on an opened page",""),IF(AND(AU887="Y",AV887&lt;&gt;"Y"),"founder review pending (Founder review tab)","")))</f>
        <v/>
      </c>
      <c r="BC887" s="0" t="str">
        <f aca="false">IF($A887="","",IFERROR(INDEX(Enrichment!$A$2:$GZ$2000,MATCH($A887,INDEX(Enrichment!$A$2:$GZ$2000,0,MATCH("row_id",Enrichment!$A$1:$GZ$1,0)),0),MATCH("work_email",Enrichment!$A$1:$GZ$1,0))&amp;"",""))</f>
        <v/>
      </c>
      <c r="BD887" s="0" t="str">
        <f aca="false">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P887" s="0" t="str">
        <f aca="false">IF($A887="","",IFERROR(INDEX(Enrichment!$A$2:$GZ$2000,MATCH($A887,INDEX(Enrichment!$A$2:$GZ$2000,0,MATCH("row_id",Enrichment!$A$1:$GZ$1,0)),0),MATCH("backup_work_email",Enrichment!$A$1:$GZ$1,0))&amp;"",""))</f>
        <v/>
      </c>
      <c r="BQ887" s="0" t="str">
        <f aca="false">IF($A887="","",IF(BP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DU887" s="0" t="str">
        <f aca="false">IF($A887="","",IF(R887="Y",10,0))</f>
        <v/>
      </c>
      <c r="EV887" s="0" t="str">
        <f aca="false">IF($A887="","",IF(ISNUMBER(MATCH(U887,{"queued","contacted","replied","call_booked","call_done","yes_in_principle","materials_sent"},0)),"Y","N"))</f>
        <v/>
      </c>
      <c r="EW887" s="0" t="str">
        <f aca="false">IF($A887="","",IF(OR(T887="Y",U887="do_not_contact",AQ887&amp;""&lt;&gt;""),"Y","N"))</f>
        <v/>
      </c>
      <c r="EX887" s="0" t="str">
        <f aca="false">IF($A887="","",IF(AN887&amp;""&lt;&gt;"",AN887&amp;"",$A887))</f>
        <v/>
      </c>
      <c r="EY887" s="0" t="str">
        <f aca="false">IF($A887="","",IF(COUNTIFS($EX$2:$EX$1000,EX887,$EV$2:$EV$1000,"Y")+COUNTIFS($EX$2:$EX$1000,EX887,$EW$2:$EW$1000,"Y")&gt;0,"Y","N"))</f>
        <v/>
      </c>
      <c r="EZ887" s="0" t="str">
        <f aca="false">IF($A887="","",IF(AND(U887="new",T887="N",EW887="N",AR887="Y",EY887="N"),"Y","N"))</f>
        <v/>
      </c>
      <c r="FA887" s="0" t="str">
        <f aca="false">IF($A887="","",IF(EZ887&lt;&gt;"Y","N",IF(COUNTIFS($EX$2:$EX$1000,EX887,$EZ$2:$EZ$1000,"Y",$J$2:$J$1000,"&gt;"&amp;J887)+COUNTIFS($EX$2:$EX$1000,EX887,$EZ$2:$EZ$1000,"Y",$J$2:$J$1000,J887,$FG$2:$FG$1000,"&lt;"&amp;FG887)=0,"Y","N")))</f>
        <v/>
      </c>
      <c r="FB887" s="0" t="str">
        <f aca="false">IF($A887="","",IF(AND(EZ887="Y",FA887="Y",Y887&amp;""&lt;&gt;""),IF(Y887&lt;=10,"Y","N"),"N"))</f>
        <v/>
      </c>
      <c r="FC887" s="0" t="str">
        <f aca="false">IF(FB887="Y",Y887,"")</f>
        <v/>
      </c>
      <c r="FD887" s="0" t="str">
        <f aca="false">IF($A887="","",IF(AND(CK887="pass",AU887="Y",AV887&lt;&gt;"Y",U887="new",EW887="N"),"Y","N"))</f>
        <v/>
      </c>
      <c r="FE887" s="0" t="str">
        <f aca="false">IF(FD887&lt;&gt;"Y","",IF(COUNTIFS($FD$2:$FD$1000,"Y",$J$2:$J$1000,"&gt;"&amp;J887)+COUNTIFS($FD$2:$FD$1000,"Y",$J$2:$J$1000,J887,$FG$2:$FG$1000,"&lt;"&amp;FG887)+1&lt;=30,COUNTIFS($FD$2:$FD$1000,"Y",$J$2:$J$1000,"&gt;"&amp;J887)+COUNTIFS($FD$2:$FD$1000,"Y",$J$2:$J$1000,J887,$FG$2:$FG$1000,"&lt;"&amp;FG887)+1,""))</f>
        <v/>
      </c>
      <c r="FF887" s="0" t="str">
        <f aca="false">IF(AND(_xlfn.ISFORMULA(C887),_xlfn.ISFORMULA(J887)),"Y","N")</f>
        <v>Y</v>
      </c>
      <c r="FG887" s="0" t="n">
        <f aca="false">ROW()-1</f>
        <v>886</v>
      </c>
    </row>
    <row r="888" customFormat="false" ht="15" hidden="false" customHeight="false" outlineLevel="0" collapsed="false">
      <c r="C888" s="0" t="str">
        <f aca="false">IF($A888="","",IF(AT888="Y",BL888&amp;"",AY888&amp;""))</f>
        <v/>
      </c>
      <c r="D888" s="0" t="str">
        <f aca="false">IF($A888="","",IF(AT888="Y",BM888&amp;"",AZ888&amp;""))</f>
        <v/>
      </c>
      <c r="E888" s="0" t="str">
        <f aca="false">IF($A888="","",IF(AT888="Y",BN888&amp;"",BA888&amp;""))</f>
        <v/>
      </c>
      <c r="F888" s="0" t="str">
        <f aca="false">IF($A888="","",IF(AT888="Y",BO888&amp;"",BB888&amp;""))</f>
        <v/>
      </c>
      <c r="G888" s="0" t="str">
        <f aca="false">IF($A888="","",IF(AT888="Y",BP888&amp;"",BC888&amp;""))</f>
        <v/>
      </c>
      <c r="H888" s="0" t="str">
        <f aca="false">IF($A888="","",IF(AT888="Y",BQ888&amp;"",BD888&amp;""))</f>
        <v/>
      </c>
      <c r="I888" s="0" t="str">
        <f aca="false">IF($A888="","",IF(R888="Y","warm-intro",IF(H888="verified","email",IF(C888&lt;&gt;"","linkedin",CA888&amp;""))))</f>
        <v/>
      </c>
      <c r="J888" s="0" t="str">
        <f aca="false">IF($A888="","",IF(CK888="pass",ROUND(N(DO888)+N(DP888)+N(DQ888)+N(DR888)+N(DS888)+N(DT888)+N(DU888)+N(DV888),0),0))</f>
        <v/>
      </c>
      <c r="K888" s="0" t="str">
        <f aca="false">IF($A888="","",IF(CK888&lt;&gt;"pass",BY888&amp;"",BY888&amp;", "&amp;IF(AT888="Y",BX888&amp;"",BK888&amp;"")&amp;BZ888&amp;IF(R888="Y","; known to the founder (+10)","")&amp;"."))</f>
        <v/>
      </c>
      <c r="R888" s="5"/>
      <c r="T888" s="5"/>
      <c r="U888" s="5"/>
      <c r="Y888" s="0" t="str">
        <f aca="false">IF(FA888&lt;&gt;"Y","",COUNTIFS($FA$2:$FA$1000,"Y",$J$2:$J$1000,"&gt;"&amp;J888)+COUNTIFS($FA$2:$FA$1000,"Y",$J$2:$J$1000,J888,$FG$2:$FG$1000,"&lt;"&amp;FG888)+1)</f>
        <v/>
      </c>
      <c r="AB888" s="0" t="str">
        <f aca="false">IF($A888="","",IF(AT888="Y",BW888&amp;"",BJ888&amp;""))</f>
        <v/>
      </c>
      <c r="AC888" s="0" t="str">
        <f aca="false">IF($A888="","",IF(AT888="Y",BR888&amp;"",BE888&amp;""))</f>
        <v/>
      </c>
      <c r="AD888" s="0" t="str">
        <f aca="false">IF($A888="","",IF(AT888="Y",BS888&amp;"",BF888&amp;""))</f>
        <v/>
      </c>
      <c r="AE888" s="0" t="str">
        <f aca="false">IF($A888="","",IF(AT888="Y",BT888&amp;"",BG888&amp;""))</f>
        <v/>
      </c>
      <c r="AF888" s="0" t="str">
        <f aca="false">IF($A888="","",IF(AT888="Y",BU888&amp;"",BH888&amp;""))</f>
        <v/>
      </c>
      <c r="AG888" s="0" t="str">
        <f aca="false">IF($A888="","",IF(AT888="Y",BV888&amp;"",BI888&amp;""))</f>
        <v/>
      </c>
      <c r="AO888" s="5"/>
      <c r="AR888" s="0" t="str">
        <f aca="false">IF($A888="","",IF(AND(CK888="pass",AO888&lt;&gt;"Y",C888&lt;&gt;"",OR(AU888&lt;&gt;"Y",AV888="Y")),"Y","N"))</f>
        <v/>
      </c>
      <c r="AS888" s="0" t="str">
        <f aca="false">IF($A888="","",_xlfn.TEXTJOIN("; ",TRUE(),IF(CK888&lt;&gt;"pass","gated out",""),IF(AO888="Y","on hold: "&amp;AP888,""),IF(C888="","no contact named on an opened page",""),IF(AND(AU888="Y",AV888&lt;&gt;"Y"),"founder review pending (Founder review tab)","")))</f>
        <v/>
      </c>
      <c r="BC888" s="0" t="str">
        <f aca="false">IF($A888="","",IFERROR(INDEX(Enrichment!$A$2:$GZ$2000,MATCH($A888,INDEX(Enrichment!$A$2:$GZ$2000,0,MATCH("row_id",Enrichment!$A$1:$GZ$1,0)),0),MATCH("work_email",Enrichment!$A$1:$GZ$1,0))&amp;"",""))</f>
        <v/>
      </c>
      <c r="BD888" s="0" t="str">
        <f aca="false">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P888" s="0" t="str">
        <f aca="false">IF($A888="","",IFERROR(INDEX(Enrichment!$A$2:$GZ$2000,MATCH($A888,INDEX(Enrichment!$A$2:$GZ$2000,0,MATCH("row_id",Enrichment!$A$1:$GZ$1,0)),0),MATCH("backup_work_email",Enrichment!$A$1:$GZ$1,0))&amp;"",""))</f>
        <v/>
      </c>
      <c r="BQ888" s="0" t="str">
        <f aca="false">IF($A888="","",IF(BP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DU888" s="0" t="str">
        <f aca="false">IF($A888="","",IF(R888="Y",10,0))</f>
        <v/>
      </c>
      <c r="EV888" s="0" t="str">
        <f aca="false">IF($A888="","",IF(ISNUMBER(MATCH(U888,{"queued","contacted","replied","call_booked","call_done","yes_in_principle","materials_sent"},0)),"Y","N"))</f>
        <v/>
      </c>
      <c r="EW888" s="0" t="str">
        <f aca="false">IF($A888="","",IF(OR(T888="Y",U888="do_not_contact",AQ888&amp;""&lt;&gt;""),"Y","N"))</f>
        <v/>
      </c>
      <c r="EX888" s="0" t="str">
        <f aca="false">IF($A888="","",IF(AN888&amp;""&lt;&gt;"",AN888&amp;"",$A888))</f>
        <v/>
      </c>
      <c r="EY888" s="0" t="str">
        <f aca="false">IF($A888="","",IF(COUNTIFS($EX$2:$EX$1000,EX888,$EV$2:$EV$1000,"Y")+COUNTIFS($EX$2:$EX$1000,EX888,$EW$2:$EW$1000,"Y")&gt;0,"Y","N"))</f>
        <v/>
      </c>
      <c r="EZ888" s="0" t="str">
        <f aca="false">IF($A888="","",IF(AND(U888="new",T888="N",EW888="N",AR888="Y",EY888="N"),"Y","N"))</f>
        <v/>
      </c>
      <c r="FA888" s="0" t="str">
        <f aca="false">IF($A888="","",IF(EZ888&lt;&gt;"Y","N",IF(COUNTIFS($EX$2:$EX$1000,EX888,$EZ$2:$EZ$1000,"Y",$J$2:$J$1000,"&gt;"&amp;J888)+COUNTIFS($EX$2:$EX$1000,EX888,$EZ$2:$EZ$1000,"Y",$J$2:$J$1000,J888,$FG$2:$FG$1000,"&lt;"&amp;FG888)=0,"Y","N")))</f>
        <v/>
      </c>
      <c r="FB888" s="0" t="str">
        <f aca="false">IF($A888="","",IF(AND(EZ888="Y",FA888="Y",Y888&amp;""&lt;&gt;""),IF(Y888&lt;=10,"Y","N"),"N"))</f>
        <v/>
      </c>
      <c r="FC888" s="0" t="str">
        <f aca="false">IF(FB888="Y",Y888,"")</f>
        <v/>
      </c>
      <c r="FD888" s="0" t="str">
        <f aca="false">IF($A888="","",IF(AND(CK888="pass",AU888="Y",AV888&lt;&gt;"Y",U888="new",EW888="N"),"Y","N"))</f>
        <v/>
      </c>
      <c r="FE888" s="0" t="str">
        <f aca="false">IF(FD888&lt;&gt;"Y","",IF(COUNTIFS($FD$2:$FD$1000,"Y",$J$2:$J$1000,"&gt;"&amp;J888)+COUNTIFS($FD$2:$FD$1000,"Y",$J$2:$J$1000,J888,$FG$2:$FG$1000,"&lt;"&amp;FG888)+1&lt;=30,COUNTIFS($FD$2:$FD$1000,"Y",$J$2:$J$1000,"&gt;"&amp;J888)+COUNTIFS($FD$2:$FD$1000,"Y",$J$2:$J$1000,J888,$FG$2:$FG$1000,"&lt;"&amp;FG888)+1,""))</f>
        <v/>
      </c>
      <c r="FF888" s="0" t="str">
        <f aca="false">IF(AND(_xlfn.ISFORMULA(C888),_xlfn.ISFORMULA(J888)),"Y","N")</f>
        <v>Y</v>
      </c>
      <c r="FG888" s="0" t="n">
        <f aca="false">ROW()-1</f>
        <v>887</v>
      </c>
    </row>
    <row r="889" customFormat="false" ht="15" hidden="false" customHeight="false" outlineLevel="0" collapsed="false">
      <c r="C889" s="0" t="str">
        <f aca="false">IF($A889="","",IF(AT889="Y",BL889&amp;"",AY889&amp;""))</f>
        <v/>
      </c>
      <c r="D889" s="0" t="str">
        <f aca="false">IF($A889="","",IF(AT889="Y",BM889&amp;"",AZ889&amp;""))</f>
        <v/>
      </c>
      <c r="E889" s="0" t="str">
        <f aca="false">IF($A889="","",IF(AT889="Y",BN889&amp;"",BA889&amp;""))</f>
        <v/>
      </c>
      <c r="F889" s="0" t="str">
        <f aca="false">IF($A889="","",IF(AT889="Y",BO889&amp;"",BB889&amp;""))</f>
        <v/>
      </c>
      <c r="G889" s="0" t="str">
        <f aca="false">IF($A889="","",IF(AT889="Y",BP889&amp;"",BC889&amp;""))</f>
        <v/>
      </c>
      <c r="H889" s="0" t="str">
        <f aca="false">IF($A889="","",IF(AT889="Y",BQ889&amp;"",BD889&amp;""))</f>
        <v/>
      </c>
      <c r="I889" s="0" t="str">
        <f aca="false">IF($A889="","",IF(R889="Y","warm-intro",IF(H889="verified","email",IF(C889&lt;&gt;"","linkedin",CA889&amp;""))))</f>
        <v/>
      </c>
      <c r="J889" s="0" t="str">
        <f aca="false">IF($A889="","",IF(CK889="pass",ROUND(N(DO889)+N(DP889)+N(DQ889)+N(DR889)+N(DS889)+N(DT889)+N(DU889)+N(DV889),0),0))</f>
        <v/>
      </c>
      <c r="K889" s="0" t="str">
        <f aca="false">IF($A889="","",IF(CK889&lt;&gt;"pass",BY889&amp;"",BY889&amp;", "&amp;IF(AT889="Y",BX889&amp;"",BK889&amp;"")&amp;BZ889&amp;IF(R889="Y","; known to the founder (+10)","")&amp;"."))</f>
        <v/>
      </c>
      <c r="R889" s="5"/>
      <c r="T889" s="5"/>
      <c r="U889" s="5"/>
      <c r="Y889" s="0" t="str">
        <f aca="false">IF(FA889&lt;&gt;"Y","",COUNTIFS($FA$2:$FA$1000,"Y",$J$2:$J$1000,"&gt;"&amp;J889)+COUNTIFS($FA$2:$FA$1000,"Y",$J$2:$J$1000,J889,$FG$2:$FG$1000,"&lt;"&amp;FG889)+1)</f>
        <v/>
      </c>
      <c r="AB889" s="0" t="str">
        <f aca="false">IF($A889="","",IF(AT889="Y",BW889&amp;"",BJ889&amp;""))</f>
        <v/>
      </c>
      <c r="AC889" s="0" t="str">
        <f aca="false">IF($A889="","",IF(AT889="Y",BR889&amp;"",BE889&amp;""))</f>
        <v/>
      </c>
      <c r="AD889" s="0" t="str">
        <f aca="false">IF($A889="","",IF(AT889="Y",BS889&amp;"",BF889&amp;""))</f>
        <v/>
      </c>
      <c r="AE889" s="0" t="str">
        <f aca="false">IF($A889="","",IF(AT889="Y",BT889&amp;"",BG889&amp;""))</f>
        <v/>
      </c>
      <c r="AF889" s="0" t="str">
        <f aca="false">IF($A889="","",IF(AT889="Y",BU889&amp;"",BH889&amp;""))</f>
        <v/>
      </c>
      <c r="AG889" s="0" t="str">
        <f aca="false">IF($A889="","",IF(AT889="Y",BV889&amp;"",BI889&amp;""))</f>
        <v/>
      </c>
      <c r="AO889" s="5"/>
      <c r="AR889" s="0" t="str">
        <f aca="false">IF($A889="","",IF(AND(CK889="pass",AO889&lt;&gt;"Y",C889&lt;&gt;"",OR(AU889&lt;&gt;"Y",AV889="Y")),"Y","N"))</f>
        <v/>
      </c>
      <c r="AS889" s="0" t="str">
        <f aca="false">IF($A889="","",_xlfn.TEXTJOIN("; ",TRUE(),IF(CK889&lt;&gt;"pass","gated out",""),IF(AO889="Y","on hold: "&amp;AP889,""),IF(C889="","no contact named on an opened page",""),IF(AND(AU889="Y",AV889&lt;&gt;"Y"),"founder review pending (Founder review tab)","")))</f>
        <v/>
      </c>
      <c r="BC889" s="0" t="str">
        <f aca="false">IF($A889="","",IFERROR(INDEX(Enrichment!$A$2:$GZ$2000,MATCH($A889,INDEX(Enrichment!$A$2:$GZ$2000,0,MATCH("row_id",Enrichment!$A$1:$GZ$1,0)),0),MATCH("work_email",Enrichment!$A$1:$GZ$1,0))&amp;"",""))</f>
        <v/>
      </c>
      <c r="BD889" s="0" t="str">
        <f aca="false">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P889" s="0" t="str">
        <f aca="false">IF($A889="","",IFERROR(INDEX(Enrichment!$A$2:$GZ$2000,MATCH($A889,INDEX(Enrichment!$A$2:$GZ$2000,0,MATCH("row_id",Enrichment!$A$1:$GZ$1,0)),0),MATCH("backup_work_email",Enrichment!$A$1:$GZ$1,0))&amp;"",""))</f>
        <v/>
      </c>
      <c r="BQ889" s="0" t="str">
        <f aca="false">IF($A889="","",IF(BP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DU889" s="0" t="str">
        <f aca="false">IF($A889="","",IF(R889="Y",10,0))</f>
        <v/>
      </c>
      <c r="EV889" s="0" t="str">
        <f aca="false">IF($A889="","",IF(ISNUMBER(MATCH(U889,{"queued","contacted","replied","call_booked","call_done","yes_in_principle","materials_sent"},0)),"Y","N"))</f>
        <v/>
      </c>
      <c r="EW889" s="0" t="str">
        <f aca="false">IF($A889="","",IF(OR(T889="Y",U889="do_not_contact",AQ889&amp;""&lt;&gt;""),"Y","N"))</f>
        <v/>
      </c>
      <c r="EX889" s="0" t="str">
        <f aca="false">IF($A889="","",IF(AN889&amp;""&lt;&gt;"",AN889&amp;"",$A889))</f>
        <v/>
      </c>
      <c r="EY889" s="0" t="str">
        <f aca="false">IF($A889="","",IF(COUNTIFS($EX$2:$EX$1000,EX889,$EV$2:$EV$1000,"Y")+COUNTIFS($EX$2:$EX$1000,EX889,$EW$2:$EW$1000,"Y")&gt;0,"Y","N"))</f>
        <v/>
      </c>
      <c r="EZ889" s="0" t="str">
        <f aca="false">IF($A889="","",IF(AND(U889="new",T889="N",EW889="N",AR889="Y",EY889="N"),"Y","N"))</f>
        <v/>
      </c>
      <c r="FA889" s="0" t="str">
        <f aca="false">IF($A889="","",IF(EZ889&lt;&gt;"Y","N",IF(COUNTIFS($EX$2:$EX$1000,EX889,$EZ$2:$EZ$1000,"Y",$J$2:$J$1000,"&gt;"&amp;J889)+COUNTIFS($EX$2:$EX$1000,EX889,$EZ$2:$EZ$1000,"Y",$J$2:$J$1000,J889,$FG$2:$FG$1000,"&lt;"&amp;FG889)=0,"Y","N")))</f>
        <v/>
      </c>
      <c r="FB889" s="0" t="str">
        <f aca="false">IF($A889="","",IF(AND(EZ889="Y",FA889="Y",Y889&amp;""&lt;&gt;""),IF(Y889&lt;=10,"Y","N"),"N"))</f>
        <v/>
      </c>
      <c r="FC889" s="0" t="str">
        <f aca="false">IF(FB889="Y",Y889,"")</f>
        <v/>
      </c>
      <c r="FD889" s="0" t="str">
        <f aca="false">IF($A889="","",IF(AND(CK889="pass",AU889="Y",AV889&lt;&gt;"Y",U889="new",EW889="N"),"Y","N"))</f>
        <v/>
      </c>
      <c r="FE889" s="0" t="str">
        <f aca="false">IF(FD889&lt;&gt;"Y","",IF(COUNTIFS($FD$2:$FD$1000,"Y",$J$2:$J$1000,"&gt;"&amp;J889)+COUNTIFS($FD$2:$FD$1000,"Y",$J$2:$J$1000,J889,$FG$2:$FG$1000,"&lt;"&amp;FG889)+1&lt;=30,COUNTIFS($FD$2:$FD$1000,"Y",$J$2:$J$1000,"&gt;"&amp;J889)+COUNTIFS($FD$2:$FD$1000,"Y",$J$2:$J$1000,J889,$FG$2:$FG$1000,"&lt;"&amp;FG889)+1,""))</f>
        <v/>
      </c>
      <c r="FF889" s="0" t="str">
        <f aca="false">IF(AND(_xlfn.ISFORMULA(C889),_xlfn.ISFORMULA(J889)),"Y","N")</f>
        <v>Y</v>
      </c>
      <c r="FG889" s="0" t="n">
        <f aca="false">ROW()-1</f>
        <v>888</v>
      </c>
    </row>
    <row r="890" customFormat="false" ht="15" hidden="false" customHeight="false" outlineLevel="0" collapsed="false">
      <c r="C890" s="0" t="str">
        <f aca="false">IF($A890="","",IF(AT890="Y",BL890&amp;"",AY890&amp;""))</f>
        <v/>
      </c>
      <c r="D890" s="0" t="str">
        <f aca="false">IF($A890="","",IF(AT890="Y",BM890&amp;"",AZ890&amp;""))</f>
        <v/>
      </c>
      <c r="E890" s="0" t="str">
        <f aca="false">IF($A890="","",IF(AT890="Y",BN890&amp;"",BA890&amp;""))</f>
        <v/>
      </c>
      <c r="F890" s="0" t="str">
        <f aca="false">IF($A890="","",IF(AT890="Y",BO890&amp;"",BB890&amp;""))</f>
        <v/>
      </c>
      <c r="G890" s="0" t="str">
        <f aca="false">IF($A890="","",IF(AT890="Y",BP890&amp;"",BC890&amp;""))</f>
        <v/>
      </c>
      <c r="H890" s="0" t="str">
        <f aca="false">IF($A890="","",IF(AT890="Y",BQ890&amp;"",BD890&amp;""))</f>
        <v/>
      </c>
      <c r="I890" s="0" t="str">
        <f aca="false">IF($A890="","",IF(R890="Y","warm-intro",IF(H890="verified","email",IF(C890&lt;&gt;"","linkedin",CA890&amp;""))))</f>
        <v/>
      </c>
      <c r="J890" s="0" t="str">
        <f aca="false">IF($A890="","",IF(CK890="pass",ROUND(N(DO890)+N(DP890)+N(DQ890)+N(DR890)+N(DS890)+N(DT890)+N(DU890)+N(DV890),0),0))</f>
        <v/>
      </c>
      <c r="K890" s="0" t="str">
        <f aca="false">IF($A890="","",IF(CK890&lt;&gt;"pass",BY890&amp;"",BY890&amp;", "&amp;IF(AT890="Y",BX890&amp;"",BK890&amp;"")&amp;BZ890&amp;IF(R890="Y","; known to the founder (+10)","")&amp;"."))</f>
        <v/>
      </c>
      <c r="R890" s="5"/>
      <c r="T890" s="5"/>
      <c r="U890" s="5"/>
      <c r="Y890" s="0" t="str">
        <f aca="false">IF(FA890&lt;&gt;"Y","",COUNTIFS($FA$2:$FA$1000,"Y",$J$2:$J$1000,"&gt;"&amp;J890)+COUNTIFS($FA$2:$FA$1000,"Y",$J$2:$J$1000,J890,$FG$2:$FG$1000,"&lt;"&amp;FG890)+1)</f>
        <v/>
      </c>
      <c r="AB890" s="0" t="str">
        <f aca="false">IF($A890="","",IF(AT890="Y",BW890&amp;"",BJ890&amp;""))</f>
        <v/>
      </c>
      <c r="AC890" s="0" t="str">
        <f aca="false">IF($A890="","",IF(AT890="Y",BR890&amp;"",BE890&amp;""))</f>
        <v/>
      </c>
      <c r="AD890" s="0" t="str">
        <f aca="false">IF($A890="","",IF(AT890="Y",BS890&amp;"",BF890&amp;""))</f>
        <v/>
      </c>
      <c r="AE890" s="0" t="str">
        <f aca="false">IF($A890="","",IF(AT890="Y",BT890&amp;"",BG890&amp;""))</f>
        <v/>
      </c>
      <c r="AF890" s="0" t="str">
        <f aca="false">IF($A890="","",IF(AT890="Y",BU890&amp;"",BH890&amp;""))</f>
        <v/>
      </c>
      <c r="AG890" s="0" t="str">
        <f aca="false">IF($A890="","",IF(AT890="Y",BV890&amp;"",BI890&amp;""))</f>
        <v/>
      </c>
      <c r="AO890" s="5"/>
      <c r="AR890" s="0" t="str">
        <f aca="false">IF($A890="","",IF(AND(CK890="pass",AO890&lt;&gt;"Y",C890&lt;&gt;"",OR(AU890&lt;&gt;"Y",AV890="Y")),"Y","N"))</f>
        <v/>
      </c>
      <c r="AS890" s="0" t="str">
        <f aca="false">IF($A890="","",_xlfn.TEXTJOIN("; ",TRUE(),IF(CK890&lt;&gt;"pass","gated out",""),IF(AO890="Y","on hold: "&amp;AP890,""),IF(C890="","no contact named on an opened page",""),IF(AND(AU890="Y",AV890&lt;&gt;"Y"),"founder review pending (Founder review tab)","")))</f>
        <v/>
      </c>
      <c r="BC890" s="0" t="str">
        <f aca="false">IF($A890="","",IFERROR(INDEX(Enrichment!$A$2:$GZ$2000,MATCH($A890,INDEX(Enrichment!$A$2:$GZ$2000,0,MATCH("row_id",Enrichment!$A$1:$GZ$1,0)),0),MATCH("work_email",Enrichment!$A$1:$GZ$1,0))&amp;"",""))</f>
        <v/>
      </c>
      <c r="BD890" s="0" t="str">
        <f aca="false">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P890" s="0" t="str">
        <f aca="false">IF($A890="","",IFERROR(INDEX(Enrichment!$A$2:$GZ$2000,MATCH($A890,INDEX(Enrichment!$A$2:$GZ$2000,0,MATCH("row_id",Enrichment!$A$1:$GZ$1,0)),0),MATCH("backup_work_email",Enrichment!$A$1:$GZ$1,0))&amp;"",""))</f>
        <v/>
      </c>
      <c r="BQ890" s="0" t="str">
        <f aca="false">IF($A890="","",IF(BP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DU890" s="0" t="str">
        <f aca="false">IF($A890="","",IF(R890="Y",10,0))</f>
        <v/>
      </c>
      <c r="EV890" s="0" t="str">
        <f aca="false">IF($A890="","",IF(ISNUMBER(MATCH(U890,{"queued","contacted","replied","call_booked","call_done","yes_in_principle","materials_sent"},0)),"Y","N"))</f>
        <v/>
      </c>
      <c r="EW890" s="0" t="str">
        <f aca="false">IF($A890="","",IF(OR(T890="Y",U890="do_not_contact",AQ890&amp;""&lt;&gt;""),"Y","N"))</f>
        <v/>
      </c>
      <c r="EX890" s="0" t="str">
        <f aca="false">IF($A890="","",IF(AN890&amp;""&lt;&gt;"",AN890&amp;"",$A890))</f>
        <v/>
      </c>
      <c r="EY890" s="0" t="str">
        <f aca="false">IF($A890="","",IF(COUNTIFS($EX$2:$EX$1000,EX890,$EV$2:$EV$1000,"Y")+COUNTIFS($EX$2:$EX$1000,EX890,$EW$2:$EW$1000,"Y")&gt;0,"Y","N"))</f>
        <v/>
      </c>
      <c r="EZ890" s="0" t="str">
        <f aca="false">IF($A890="","",IF(AND(U890="new",T890="N",EW890="N",AR890="Y",EY890="N"),"Y","N"))</f>
        <v/>
      </c>
      <c r="FA890" s="0" t="str">
        <f aca="false">IF($A890="","",IF(EZ890&lt;&gt;"Y","N",IF(COUNTIFS($EX$2:$EX$1000,EX890,$EZ$2:$EZ$1000,"Y",$J$2:$J$1000,"&gt;"&amp;J890)+COUNTIFS($EX$2:$EX$1000,EX890,$EZ$2:$EZ$1000,"Y",$J$2:$J$1000,J890,$FG$2:$FG$1000,"&lt;"&amp;FG890)=0,"Y","N")))</f>
        <v/>
      </c>
      <c r="FB890" s="0" t="str">
        <f aca="false">IF($A890="","",IF(AND(EZ890="Y",FA890="Y",Y890&amp;""&lt;&gt;""),IF(Y890&lt;=10,"Y","N"),"N"))</f>
        <v/>
      </c>
      <c r="FC890" s="0" t="str">
        <f aca="false">IF(FB890="Y",Y890,"")</f>
        <v/>
      </c>
      <c r="FD890" s="0" t="str">
        <f aca="false">IF($A890="","",IF(AND(CK890="pass",AU890="Y",AV890&lt;&gt;"Y",U890="new",EW890="N"),"Y","N"))</f>
        <v/>
      </c>
      <c r="FE890" s="0" t="str">
        <f aca="false">IF(FD890&lt;&gt;"Y","",IF(COUNTIFS($FD$2:$FD$1000,"Y",$J$2:$J$1000,"&gt;"&amp;J890)+COUNTIFS($FD$2:$FD$1000,"Y",$J$2:$J$1000,J890,$FG$2:$FG$1000,"&lt;"&amp;FG890)+1&lt;=30,COUNTIFS($FD$2:$FD$1000,"Y",$J$2:$J$1000,"&gt;"&amp;J890)+COUNTIFS($FD$2:$FD$1000,"Y",$J$2:$J$1000,J890,$FG$2:$FG$1000,"&lt;"&amp;FG890)+1,""))</f>
        <v/>
      </c>
      <c r="FF890" s="0" t="str">
        <f aca="false">IF(AND(_xlfn.ISFORMULA(C890),_xlfn.ISFORMULA(J890)),"Y","N")</f>
        <v>Y</v>
      </c>
      <c r="FG890" s="0" t="n">
        <f aca="false">ROW()-1</f>
        <v>889</v>
      </c>
    </row>
    <row r="891" customFormat="false" ht="15" hidden="false" customHeight="false" outlineLevel="0" collapsed="false">
      <c r="C891" s="0" t="str">
        <f aca="false">IF($A891="","",IF(AT891="Y",BL891&amp;"",AY891&amp;""))</f>
        <v/>
      </c>
      <c r="D891" s="0" t="str">
        <f aca="false">IF($A891="","",IF(AT891="Y",BM891&amp;"",AZ891&amp;""))</f>
        <v/>
      </c>
      <c r="E891" s="0" t="str">
        <f aca="false">IF($A891="","",IF(AT891="Y",BN891&amp;"",BA891&amp;""))</f>
        <v/>
      </c>
      <c r="F891" s="0" t="str">
        <f aca="false">IF($A891="","",IF(AT891="Y",BO891&amp;"",BB891&amp;""))</f>
        <v/>
      </c>
      <c r="G891" s="0" t="str">
        <f aca="false">IF($A891="","",IF(AT891="Y",BP891&amp;"",BC891&amp;""))</f>
        <v/>
      </c>
      <c r="H891" s="0" t="str">
        <f aca="false">IF($A891="","",IF(AT891="Y",BQ891&amp;"",BD891&amp;""))</f>
        <v/>
      </c>
      <c r="I891" s="0" t="str">
        <f aca="false">IF($A891="","",IF(R891="Y","warm-intro",IF(H891="verified","email",IF(C891&lt;&gt;"","linkedin",CA891&amp;""))))</f>
        <v/>
      </c>
      <c r="J891" s="0" t="str">
        <f aca="false">IF($A891="","",IF(CK891="pass",ROUND(N(DO891)+N(DP891)+N(DQ891)+N(DR891)+N(DS891)+N(DT891)+N(DU891)+N(DV891),0),0))</f>
        <v/>
      </c>
      <c r="K891" s="0" t="str">
        <f aca="false">IF($A891="","",IF(CK891&lt;&gt;"pass",BY891&amp;"",BY891&amp;", "&amp;IF(AT891="Y",BX891&amp;"",BK891&amp;"")&amp;BZ891&amp;IF(R891="Y","; known to the founder (+10)","")&amp;"."))</f>
        <v/>
      </c>
      <c r="R891" s="5"/>
      <c r="T891" s="5"/>
      <c r="U891" s="5"/>
      <c r="Y891" s="0" t="str">
        <f aca="false">IF(FA891&lt;&gt;"Y","",COUNTIFS($FA$2:$FA$1000,"Y",$J$2:$J$1000,"&gt;"&amp;J891)+COUNTIFS($FA$2:$FA$1000,"Y",$J$2:$J$1000,J891,$FG$2:$FG$1000,"&lt;"&amp;FG891)+1)</f>
        <v/>
      </c>
      <c r="AB891" s="0" t="str">
        <f aca="false">IF($A891="","",IF(AT891="Y",BW891&amp;"",BJ891&amp;""))</f>
        <v/>
      </c>
      <c r="AC891" s="0" t="str">
        <f aca="false">IF($A891="","",IF(AT891="Y",BR891&amp;"",BE891&amp;""))</f>
        <v/>
      </c>
      <c r="AD891" s="0" t="str">
        <f aca="false">IF($A891="","",IF(AT891="Y",BS891&amp;"",BF891&amp;""))</f>
        <v/>
      </c>
      <c r="AE891" s="0" t="str">
        <f aca="false">IF($A891="","",IF(AT891="Y",BT891&amp;"",BG891&amp;""))</f>
        <v/>
      </c>
      <c r="AF891" s="0" t="str">
        <f aca="false">IF($A891="","",IF(AT891="Y",BU891&amp;"",BH891&amp;""))</f>
        <v/>
      </c>
      <c r="AG891" s="0" t="str">
        <f aca="false">IF($A891="","",IF(AT891="Y",BV891&amp;"",BI891&amp;""))</f>
        <v/>
      </c>
      <c r="AO891" s="5"/>
      <c r="AR891" s="0" t="str">
        <f aca="false">IF($A891="","",IF(AND(CK891="pass",AO891&lt;&gt;"Y",C891&lt;&gt;"",OR(AU891&lt;&gt;"Y",AV891="Y")),"Y","N"))</f>
        <v/>
      </c>
      <c r="AS891" s="0" t="str">
        <f aca="false">IF($A891="","",_xlfn.TEXTJOIN("; ",TRUE(),IF(CK891&lt;&gt;"pass","gated out",""),IF(AO891="Y","on hold: "&amp;AP891,""),IF(C891="","no contact named on an opened page",""),IF(AND(AU891="Y",AV891&lt;&gt;"Y"),"founder review pending (Founder review tab)","")))</f>
        <v/>
      </c>
      <c r="BC891" s="0" t="str">
        <f aca="false">IF($A891="","",IFERROR(INDEX(Enrichment!$A$2:$GZ$2000,MATCH($A891,INDEX(Enrichment!$A$2:$GZ$2000,0,MATCH("row_id",Enrichment!$A$1:$GZ$1,0)),0),MATCH("work_email",Enrichment!$A$1:$GZ$1,0))&amp;"",""))</f>
        <v/>
      </c>
      <c r="BD891" s="0" t="str">
        <f aca="false">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P891" s="0" t="str">
        <f aca="false">IF($A891="","",IFERROR(INDEX(Enrichment!$A$2:$GZ$2000,MATCH($A891,INDEX(Enrichment!$A$2:$GZ$2000,0,MATCH("row_id",Enrichment!$A$1:$GZ$1,0)),0),MATCH("backup_work_email",Enrichment!$A$1:$GZ$1,0))&amp;"",""))</f>
        <v/>
      </c>
      <c r="BQ891" s="0" t="str">
        <f aca="false">IF($A891="","",IF(BP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DU891" s="0" t="str">
        <f aca="false">IF($A891="","",IF(R891="Y",10,0))</f>
        <v/>
      </c>
      <c r="EV891" s="0" t="str">
        <f aca="false">IF($A891="","",IF(ISNUMBER(MATCH(U891,{"queued","contacted","replied","call_booked","call_done","yes_in_principle","materials_sent"},0)),"Y","N"))</f>
        <v/>
      </c>
      <c r="EW891" s="0" t="str">
        <f aca="false">IF($A891="","",IF(OR(T891="Y",U891="do_not_contact",AQ891&amp;""&lt;&gt;""),"Y","N"))</f>
        <v/>
      </c>
      <c r="EX891" s="0" t="str">
        <f aca="false">IF($A891="","",IF(AN891&amp;""&lt;&gt;"",AN891&amp;"",$A891))</f>
        <v/>
      </c>
      <c r="EY891" s="0" t="str">
        <f aca="false">IF($A891="","",IF(COUNTIFS($EX$2:$EX$1000,EX891,$EV$2:$EV$1000,"Y")+COUNTIFS($EX$2:$EX$1000,EX891,$EW$2:$EW$1000,"Y")&gt;0,"Y","N"))</f>
        <v/>
      </c>
      <c r="EZ891" s="0" t="str">
        <f aca="false">IF($A891="","",IF(AND(U891="new",T891="N",EW891="N",AR891="Y",EY891="N"),"Y","N"))</f>
        <v/>
      </c>
      <c r="FA891" s="0" t="str">
        <f aca="false">IF($A891="","",IF(EZ891&lt;&gt;"Y","N",IF(COUNTIFS($EX$2:$EX$1000,EX891,$EZ$2:$EZ$1000,"Y",$J$2:$J$1000,"&gt;"&amp;J891)+COUNTIFS($EX$2:$EX$1000,EX891,$EZ$2:$EZ$1000,"Y",$J$2:$J$1000,J891,$FG$2:$FG$1000,"&lt;"&amp;FG891)=0,"Y","N")))</f>
        <v/>
      </c>
      <c r="FB891" s="0" t="str">
        <f aca="false">IF($A891="","",IF(AND(EZ891="Y",FA891="Y",Y891&amp;""&lt;&gt;""),IF(Y891&lt;=10,"Y","N"),"N"))</f>
        <v/>
      </c>
      <c r="FC891" s="0" t="str">
        <f aca="false">IF(FB891="Y",Y891,"")</f>
        <v/>
      </c>
      <c r="FD891" s="0" t="str">
        <f aca="false">IF($A891="","",IF(AND(CK891="pass",AU891="Y",AV891&lt;&gt;"Y",U891="new",EW891="N"),"Y","N"))</f>
        <v/>
      </c>
      <c r="FE891" s="0" t="str">
        <f aca="false">IF(FD891&lt;&gt;"Y","",IF(COUNTIFS($FD$2:$FD$1000,"Y",$J$2:$J$1000,"&gt;"&amp;J891)+COUNTIFS($FD$2:$FD$1000,"Y",$J$2:$J$1000,J891,$FG$2:$FG$1000,"&lt;"&amp;FG891)+1&lt;=30,COUNTIFS($FD$2:$FD$1000,"Y",$J$2:$J$1000,"&gt;"&amp;J891)+COUNTIFS($FD$2:$FD$1000,"Y",$J$2:$J$1000,J891,$FG$2:$FG$1000,"&lt;"&amp;FG891)+1,""))</f>
        <v/>
      </c>
      <c r="FF891" s="0" t="str">
        <f aca="false">IF(AND(_xlfn.ISFORMULA(C891),_xlfn.ISFORMULA(J891)),"Y","N")</f>
        <v>Y</v>
      </c>
      <c r="FG891" s="0" t="n">
        <f aca="false">ROW()-1</f>
        <v>890</v>
      </c>
    </row>
    <row r="892" customFormat="false" ht="15" hidden="false" customHeight="false" outlineLevel="0" collapsed="false">
      <c r="C892" s="0" t="str">
        <f aca="false">IF($A892="","",IF(AT892="Y",BL892&amp;"",AY892&amp;""))</f>
        <v/>
      </c>
      <c r="D892" s="0" t="str">
        <f aca="false">IF($A892="","",IF(AT892="Y",BM892&amp;"",AZ892&amp;""))</f>
        <v/>
      </c>
      <c r="E892" s="0" t="str">
        <f aca="false">IF($A892="","",IF(AT892="Y",BN892&amp;"",BA892&amp;""))</f>
        <v/>
      </c>
      <c r="F892" s="0" t="str">
        <f aca="false">IF($A892="","",IF(AT892="Y",BO892&amp;"",BB892&amp;""))</f>
        <v/>
      </c>
      <c r="G892" s="0" t="str">
        <f aca="false">IF($A892="","",IF(AT892="Y",BP892&amp;"",BC892&amp;""))</f>
        <v/>
      </c>
      <c r="H892" s="0" t="str">
        <f aca="false">IF($A892="","",IF(AT892="Y",BQ892&amp;"",BD892&amp;""))</f>
        <v/>
      </c>
      <c r="I892" s="0" t="str">
        <f aca="false">IF($A892="","",IF(R892="Y","warm-intro",IF(H892="verified","email",IF(C892&lt;&gt;"","linkedin",CA892&amp;""))))</f>
        <v/>
      </c>
      <c r="J892" s="0" t="str">
        <f aca="false">IF($A892="","",IF(CK892="pass",ROUND(N(DO892)+N(DP892)+N(DQ892)+N(DR892)+N(DS892)+N(DT892)+N(DU892)+N(DV892),0),0))</f>
        <v/>
      </c>
      <c r="K892" s="0" t="str">
        <f aca="false">IF($A892="","",IF(CK892&lt;&gt;"pass",BY892&amp;"",BY892&amp;", "&amp;IF(AT892="Y",BX892&amp;"",BK892&amp;"")&amp;BZ892&amp;IF(R892="Y","; known to the founder (+10)","")&amp;"."))</f>
        <v/>
      </c>
      <c r="R892" s="5"/>
      <c r="T892" s="5"/>
      <c r="U892" s="5"/>
      <c r="Y892" s="0" t="str">
        <f aca="false">IF(FA892&lt;&gt;"Y","",COUNTIFS($FA$2:$FA$1000,"Y",$J$2:$J$1000,"&gt;"&amp;J892)+COUNTIFS($FA$2:$FA$1000,"Y",$J$2:$J$1000,J892,$FG$2:$FG$1000,"&lt;"&amp;FG892)+1)</f>
        <v/>
      </c>
      <c r="AB892" s="0" t="str">
        <f aca="false">IF($A892="","",IF(AT892="Y",BW892&amp;"",BJ892&amp;""))</f>
        <v/>
      </c>
      <c r="AC892" s="0" t="str">
        <f aca="false">IF($A892="","",IF(AT892="Y",BR892&amp;"",BE892&amp;""))</f>
        <v/>
      </c>
      <c r="AD892" s="0" t="str">
        <f aca="false">IF($A892="","",IF(AT892="Y",BS892&amp;"",BF892&amp;""))</f>
        <v/>
      </c>
      <c r="AE892" s="0" t="str">
        <f aca="false">IF($A892="","",IF(AT892="Y",BT892&amp;"",BG892&amp;""))</f>
        <v/>
      </c>
      <c r="AF892" s="0" t="str">
        <f aca="false">IF($A892="","",IF(AT892="Y",BU892&amp;"",BH892&amp;""))</f>
        <v/>
      </c>
      <c r="AG892" s="0" t="str">
        <f aca="false">IF($A892="","",IF(AT892="Y",BV892&amp;"",BI892&amp;""))</f>
        <v/>
      </c>
      <c r="AO892" s="5"/>
      <c r="AR892" s="0" t="str">
        <f aca="false">IF($A892="","",IF(AND(CK892="pass",AO892&lt;&gt;"Y",C892&lt;&gt;"",OR(AU892&lt;&gt;"Y",AV892="Y")),"Y","N"))</f>
        <v/>
      </c>
      <c r="AS892" s="0" t="str">
        <f aca="false">IF($A892="","",_xlfn.TEXTJOIN("; ",TRUE(),IF(CK892&lt;&gt;"pass","gated out",""),IF(AO892="Y","on hold: "&amp;AP892,""),IF(C892="","no contact named on an opened page",""),IF(AND(AU892="Y",AV892&lt;&gt;"Y"),"founder review pending (Founder review tab)","")))</f>
        <v/>
      </c>
      <c r="BC892" s="0" t="str">
        <f aca="false">IF($A892="","",IFERROR(INDEX(Enrichment!$A$2:$GZ$2000,MATCH($A892,INDEX(Enrichment!$A$2:$GZ$2000,0,MATCH("row_id",Enrichment!$A$1:$GZ$1,0)),0),MATCH("work_email",Enrichment!$A$1:$GZ$1,0))&amp;"",""))</f>
        <v/>
      </c>
      <c r="BD892" s="0" t="str">
        <f aca="false">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P892" s="0" t="str">
        <f aca="false">IF($A892="","",IFERROR(INDEX(Enrichment!$A$2:$GZ$2000,MATCH($A892,INDEX(Enrichment!$A$2:$GZ$2000,0,MATCH("row_id",Enrichment!$A$1:$GZ$1,0)),0),MATCH("backup_work_email",Enrichment!$A$1:$GZ$1,0))&amp;"",""))</f>
        <v/>
      </c>
      <c r="BQ892" s="0" t="str">
        <f aca="false">IF($A892="","",IF(BP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DU892" s="0" t="str">
        <f aca="false">IF($A892="","",IF(R892="Y",10,0))</f>
        <v/>
      </c>
      <c r="EV892" s="0" t="str">
        <f aca="false">IF($A892="","",IF(ISNUMBER(MATCH(U892,{"queued","contacted","replied","call_booked","call_done","yes_in_principle","materials_sent"},0)),"Y","N"))</f>
        <v/>
      </c>
      <c r="EW892" s="0" t="str">
        <f aca="false">IF($A892="","",IF(OR(T892="Y",U892="do_not_contact",AQ892&amp;""&lt;&gt;""),"Y","N"))</f>
        <v/>
      </c>
      <c r="EX892" s="0" t="str">
        <f aca="false">IF($A892="","",IF(AN892&amp;""&lt;&gt;"",AN892&amp;"",$A892))</f>
        <v/>
      </c>
      <c r="EY892" s="0" t="str">
        <f aca="false">IF($A892="","",IF(COUNTIFS($EX$2:$EX$1000,EX892,$EV$2:$EV$1000,"Y")+COUNTIFS($EX$2:$EX$1000,EX892,$EW$2:$EW$1000,"Y")&gt;0,"Y","N"))</f>
        <v/>
      </c>
      <c r="EZ892" s="0" t="str">
        <f aca="false">IF($A892="","",IF(AND(U892="new",T892="N",EW892="N",AR892="Y",EY892="N"),"Y","N"))</f>
        <v/>
      </c>
      <c r="FA892" s="0" t="str">
        <f aca="false">IF($A892="","",IF(EZ892&lt;&gt;"Y","N",IF(COUNTIFS($EX$2:$EX$1000,EX892,$EZ$2:$EZ$1000,"Y",$J$2:$J$1000,"&gt;"&amp;J892)+COUNTIFS($EX$2:$EX$1000,EX892,$EZ$2:$EZ$1000,"Y",$J$2:$J$1000,J892,$FG$2:$FG$1000,"&lt;"&amp;FG892)=0,"Y","N")))</f>
        <v/>
      </c>
      <c r="FB892" s="0" t="str">
        <f aca="false">IF($A892="","",IF(AND(EZ892="Y",FA892="Y",Y892&amp;""&lt;&gt;""),IF(Y892&lt;=10,"Y","N"),"N"))</f>
        <v/>
      </c>
      <c r="FC892" s="0" t="str">
        <f aca="false">IF(FB892="Y",Y892,"")</f>
        <v/>
      </c>
      <c r="FD892" s="0" t="str">
        <f aca="false">IF($A892="","",IF(AND(CK892="pass",AU892="Y",AV892&lt;&gt;"Y",U892="new",EW892="N"),"Y","N"))</f>
        <v/>
      </c>
      <c r="FE892" s="0" t="str">
        <f aca="false">IF(FD892&lt;&gt;"Y","",IF(COUNTIFS($FD$2:$FD$1000,"Y",$J$2:$J$1000,"&gt;"&amp;J892)+COUNTIFS($FD$2:$FD$1000,"Y",$J$2:$J$1000,J892,$FG$2:$FG$1000,"&lt;"&amp;FG892)+1&lt;=30,COUNTIFS($FD$2:$FD$1000,"Y",$J$2:$J$1000,"&gt;"&amp;J892)+COUNTIFS($FD$2:$FD$1000,"Y",$J$2:$J$1000,J892,$FG$2:$FG$1000,"&lt;"&amp;FG892)+1,""))</f>
        <v/>
      </c>
      <c r="FF892" s="0" t="str">
        <f aca="false">IF(AND(_xlfn.ISFORMULA(C892),_xlfn.ISFORMULA(J892)),"Y","N")</f>
        <v>Y</v>
      </c>
      <c r="FG892" s="0" t="n">
        <f aca="false">ROW()-1</f>
        <v>891</v>
      </c>
    </row>
    <row r="893" customFormat="false" ht="15" hidden="false" customHeight="false" outlineLevel="0" collapsed="false">
      <c r="C893" s="0" t="str">
        <f aca="false">IF($A893="","",IF(AT893="Y",BL893&amp;"",AY893&amp;""))</f>
        <v/>
      </c>
      <c r="D893" s="0" t="str">
        <f aca="false">IF($A893="","",IF(AT893="Y",BM893&amp;"",AZ893&amp;""))</f>
        <v/>
      </c>
      <c r="E893" s="0" t="str">
        <f aca="false">IF($A893="","",IF(AT893="Y",BN893&amp;"",BA893&amp;""))</f>
        <v/>
      </c>
      <c r="F893" s="0" t="str">
        <f aca="false">IF($A893="","",IF(AT893="Y",BO893&amp;"",BB893&amp;""))</f>
        <v/>
      </c>
      <c r="G893" s="0" t="str">
        <f aca="false">IF($A893="","",IF(AT893="Y",BP893&amp;"",BC893&amp;""))</f>
        <v/>
      </c>
      <c r="H893" s="0" t="str">
        <f aca="false">IF($A893="","",IF(AT893="Y",BQ893&amp;"",BD893&amp;""))</f>
        <v/>
      </c>
      <c r="I893" s="0" t="str">
        <f aca="false">IF($A893="","",IF(R893="Y","warm-intro",IF(H893="verified","email",IF(C893&lt;&gt;"","linkedin",CA893&amp;""))))</f>
        <v/>
      </c>
      <c r="J893" s="0" t="str">
        <f aca="false">IF($A893="","",IF(CK893="pass",ROUND(N(DO893)+N(DP893)+N(DQ893)+N(DR893)+N(DS893)+N(DT893)+N(DU893)+N(DV893),0),0))</f>
        <v/>
      </c>
      <c r="K893" s="0" t="str">
        <f aca="false">IF($A893="","",IF(CK893&lt;&gt;"pass",BY893&amp;"",BY893&amp;", "&amp;IF(AT893="Y",BX893&amp;"",BK893&amp;"")&amp;BZ893&amp;IF(R893="Y","; known to the founder (+10)","")&amp;"."))</f>
        <v/>
      </c>
      <c r="R893" s="5"/>
      <c r="T893" s="5"/>
      <c r="U893" s="5"/>
      <c r="Y893" s="0" t="str">
        <f aca="false">IF(FA893&lt;&gt;"Y","",COUNTIFS($FA$2:$FA$1000,"Y",$J$2:$J$1000,"&gt;"&amp;J893)+COUNTIFS($FA$2:$FA$1000,"Y",$J$2:$J$1000,J893,$FG$2:$FG$1000,"&lt;"&amp;FG893)+1)</f>
        <v/>
      </c>
      <c r="AB893" s="0" t="str">
        <f aca="false">IF($A893="","",IF(AT893="Y",BW893&amp;"",BJ893&amp;""))</f>
        <v/>
      </c>
      <c r="AC893" s="0" t="str">
        <f aca="false">IF($A893="","",IF(AT893="Y",BR893&amp;"",BE893&amp;""))</f>
        <v/>
      </c>
      <c r="AD893" s="0" t="str">
        <f aca="false">IF($A893="","",IF(AT893="Y",BS893&amp;"",BF893&amp;""))</f>
        <v/>
      </c>
      <c r="AE893" s="0" t="str">
        <f aca="false">IF($A893="","",IF(AT893="Y",BT893&amp;"",BG893&amp;""))</f>
        <v/>
      </c>
      <c r="AF893" s="0" t="str">
        <f aca="false">IF($A893="","",IF(AT893="Y",BU893&amp;"",BH893&amp;""))</f>
        <v/>
      </c>
      <c r="AG893" s="0" t="str">
        <f aca="false">IF($A893="","",IF(AT893="Y",BV893&amp;"",BI893&amp;""))</f>
        <v/>
      </c>
      <c r="AO893" s="5"/>
      <c r="AR893" s="0" t="str">
        <f aca="false">IF($A893="","",IF(AND(CK893="pass",AO893&lt;&gt;"Y",C893&lt;&gt;"",OR(AU893&lt;&gt;"Y",AV893="Y")),"Y","N"))</f>
        <v/>
      </c>
      <c r="AS893" s="0" t="str">
        <f aca="false">IF($A893="","",_xlfn.TEXTJOIN("; ",TRUE(),IF(CK893&lt;&gt;"pass","gated out",""),IF(AO893="Y","on hold: "&amp;AP893,""),IF(C893="","no contact named on an opened page",""),IF(AND(AU893="Y",AV893&lt;&gt;"Y"),"founder review pending (Founder review tab)","")))</f>
        <v/>
      </c>
      <c r="BC893" s="0" t="str">
        <f aca="false">IF($A893="","",IFERROR(INDEX(Enrichment!$A$2:$GZ$2000,MATCH($A893,INDEX(Enrichment!$A$2:$GZ$2000,0,MATCH("row_id",Enrichment!$A$1:$GZ$1,0)),0),MATCH("work_email",Enrichment!$A$1:$GZ$1,0))&amp;"",""))</f>
        <v/>
      </c>
      <c r="BD893" s="0" t="str">
        <f aca="false">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P893" s="0" t="str">
        <f aca="false">IF($A893="","",IFERROR(INDEX(Enrichment!$A$2:$GZ$2000,MATCH($A893,INDEX(Enrichment!$A$2:$GZ$2000,0,MATCH("row_id",Enrichment!$A$1:$GZ$1,0)),0),MATCH("backup_work_email",Enrichment!$A$1:$GZ$1,0))&amp;"",""))</f>
        <v/>
      </c>
      <c r="BQ893" s="0" t="str">
        <f aca="false">IF($A893="","",IF(BP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DU893" s="0" t="str">
        <f aca="false">IF($A893="","",IF(R893="Y",10,0))</f>
        <v/>
      </c>
      <c r="EV893" s="0" t="str">
        <f aca="false">IF($A893="","",IF(ISNUMBER(MATCH(U893,{"queued","contacted","replied","call_booked","call_done","yes_in_principle","materials_sent"},0)),"Y","N"))</f>
        <v/>
      </c>
      <c r="EW893" s="0" t="str">
        <f aca="false">IF($A893="","",IF(OR(T893="Y",U893="do_not_contact",AQ893&amp;""&lt;&gt;""),"Y","N"))</f>
        <v/>
      </c>
      <c r="EX893" s="0" t="str">
        <f aca="false">IF($A893="","",IF(AN893&amp;""&lt;&gt;"",AN893&amp;"",$A893))</f>
        <v/>
      </c>
      <c r="EY893" s="0" t="str">
        <f aca="false">IF($A893="","",IF(COUNTIFS($EX$2:$EX$1000,EX893,$EV$2:$EV$1000,"Y")+COUNTIFS($EX$2:$EX$1000,EX893,$EW$2:$EW$1000,"Y")&gt;0,"Y","N"))</f>
        <v/>
      </c>
      <c r="EZ893" s="0" t="str">
        <f aca="false">IF($A893="","",IF(AND(U893="new",T893="N",EW893="N",AR893="Y",EY893="N"),"Y","N"))</f>
        <v/>
      </c>
      <c r="FA893" s="0" t="str">
        <f aca="false">IF($A893="","",IF(EZ893&lt;&gt;"Y","N",IF(COUNTIFS($EX$2:$EX$1000,EX893,$EZ$2:$EZ$1000,"Y",$J$2:$J$1000,"&gt;"&amp;J893)+COUNTIFS($EX$2:$EX$1000,EX893,$EZ$2:$EZ$1000,"Y",$J$2:$J$1000,J893,$FG$2:$FG$1000,"&lt;"&amp;FG893)=0,"Y","N")))</f>
        <v/>
      </c>
      <c r="FB893" s="0" t="str">
        <f aca="false">IF($A893="","",IF(AND(EZ893="Y",FA893="Y",Y893&amp;""&lt;&gt;""),IF(Y893&lt;=10,"Y","N"),"N"))</f>
        <v/>
      </c>
      <c r="FC893" s="0" t="str">
        <f aca="false">IF(FB893="Y",Y893,"")</f>
        <v/>
      </c>
      <c r="FD893" s="0" t="str">
        <f aca="false">IF($A893="","",IF(AND(CK893="pass",AU893="Y",AV893&lt;&gt;"Y",U893="new",EW893="N"),"Y","N"))</f>
        <v/>
      </c>
      <c r="FE893" s="0" t="str">
        <f aca="false">IF(FD893&lt;&gt;"Y","",IF(COUNTIFS($FD$2:$FD$1000,"Y",$J$2:$J$1000,"&gt;"&amp;J893)+COUNTIFS($FD$2:$FD$1000,"Y",$J$2:$J$1000,J893,$FG$2:$FG$1000,"&lt;"&amp;FG893)+1&lt;=30,COUNTIFS($FD$2:$FD$1000,"Y",$J$2:$J$1000,"&gt;"&amp;J893)+COUNTIFS($FD$2:$FD$1000,"Y",$J$2:$J$1000,J893,$FG$2:$FG$1000,"&lt;"&amp;FG893)+1,""))</f>
        <v/>
      </c>
      <c r="FF893" s="0" t="str">
        <f aca="false">IF(AND(_xlfn.ISFORMULA(C893),_xlfn.ISFORMULA(J893)),"Y","N")</f>
        <v>Y</v>
      </c>
      <c r="FG893" s="0" t="n">
        <f aca="false">ROW()-1</f>
        <v>892</v>
      </c>
    </row>
    <row r="894" customFormat="false" ht="15" hidden="false" customHeight="false" outlineLevel="0" collapsed="false">
      <c r="C894" s="0" t="str">
        <f aca="false">IF($A894="","",IF(AT894="Y",BL894&amp;"",AY894&amp;""))</f>
        <v/>
      </c>
      <c r="D894" s="0" t="str">
        <f aca="false">IF($A894="","",IF(AT894="Y",BM894&amp;"",AZ894&amp;""))</f>
        <v/>
      </c>
      <c r="E894" s="0" t="str">
        <f aca="false">IF($A894="","",IF(AT894="Y",BN894&amp;"",BA894&amp;""))</f>
        <v/>
      </c>
      <c r="F894" s="0" t="str">
        <f aca="false">IF($A894="","",IF(AT894="Y",BO894&amp;"",BB894&amp;""))</f>
        <v/>
      </c>
      <c r="G894" s="0" t="str">
        <f aca="false">IF($A894="","",IF(AT894="Y",BP894&amp;"",BC894&amp;""))</f>
        <v/>
      </c>
      <c r="H894" s="0" t="str">
        <f aca="false">IF($A894="","",IF(AT894="Y",BQ894&amp;"",BD894&amp;""))</f>
        <v/>
      </c>
      <c r="I894" s="0" t="str">
        <f aca="false">IF($A894="","",IF(R894="Y","warm-intro",IF(H894="verified","email",IF(C894&lt;&gt;"","linkedin",CA894&amp;""))))</f>
        <v/>
      </c>
      <c r="J894" s="0" t="str">
        <f aca="false">IF($A894="","",IF(CK894="pass",ROUND(N(DO894)+N(DP894)+N(DQ894)+N(DR894)+N(DS894)+N(DT894)+N(DU894)+N(DV894),0),0))</f>
        <v/>
      </c>
      <c r="K894" s="0" t="str">
        <f aca="false">IF($A894="","",IF(CK894&lt;&gt;"pass",BY894&amp;"",BY894&amp;", "&amp;IF(AT894="Y",BX894&amp;"",BK894&amp;"")&amp;BZ894&amp;IF(R894="Y","; known to the founder (+10)","")&amp;"."))</f>
        <v/>
      </c>
      <c r="R894" s="5"/>
      <c r="T894" s="5"/>
      <c r="U894" s="5"/>
      <c r="Y894" s="0" t="str">
        <f aca="false">IF(FA894&lt;&gt;"Y","",COUNTIFS($FA$2:$FA$1000,"Y",$J$2:$J$1000,"&gt;"&amp;J894)+COUNTIFS($FA$2:$FA$1000,"Y",$J$2:$J$1000,J894,$FG$2:$FG$1000,"&lt;"&amp;FG894)+1)</f>
        <v/>
      </c>
      <c r="AB894" s="0" t="str">
        <f aca="false">IF($A894="","",IF(AT894="Y",BW894&amp;"",BJ894&amp;""))</f>
        <v/>
      </c>
      <c r="AC894" s="0" t="str">
        <f aca="false">IF($A894="","",IF(AT894="Y",BR894&amp;"",BE894&amp;""))</f>
        <v/>
      </c>
      <c r="AD894" s="0" t="str">
        <f aca="false">IF($A894="","",IF(AT894="Y",BS894&amp;"",BF894&amp;""))</f>
        <v/>
      </c>
      <c r="AE894" s="0" t="str">
        <f aca="false">IF($A894="","",IF(AT894="Y",BT894&amp;"",BG894&amp;""))</f>
        <v/>
      </c>
      <c r="AF894" s="0" t="str">
        <f aca="false">IF($A894="","",IF(AT894="Y",BU894&amp;"",BH894&amp;""))</f>
        <v/>
      </c>
      <c r="AG894" s="0" t="str">
        <f aca="false">IF($A894="","",IF(AT894="Y",BV894&amp;"",BI894&amp;""))</f>
        <v/>
      </c>
      <c r="AO894" s="5"/>
      <c r="AR894" s="0" t="str">
        <f aca="false">IF($A894="","",IF(AND(CK894="pass",AO894&lt;&gt;"Y",C894&lt;&gt;"",OR(AU894&lt;&gt;"Y",AV894="Y")),"Y","N"))</f>
        <v/>
      </c>
      <c r="AS894" s="0" t="str">
        <f aca="false">IF($A894="","",_xlfn.TEXTJOIN("; ",TRUE(),IF(CK894&lt;&gt;"pass","gated out",""),IF(AO894="Y","on hold: "&amp;AP894,""),IF(C894="","no contact named on an opened page",""),IF(AND(AU894="Y",AV894&lt;&gt;"Y"),"founder review pending (Founder review tab)","")))</f>
        <v/>
      </c>
      <c r="BC894" s="0" t="str">
        <f aca="false">IF($A894="","",IFERROR(INDEX(Enrichment!$A$2:$GZ$2000,MATCH($A894,INDEX(Enrichment!$A$2:$GZ$2000,0,MATCH("row_id",Enrichment!$A$1:$GZ$1,0)),0),MATCH("work_email",Enrichment!$A$1:$GZ$1,0))&amp;"",""))</f>
        <v/>
      </c>
      <c r="BD894" s="0" t="str">
        <f aca="false">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P894" s="0" t="str">
        <f aca="false">IF($A894="","",IFERROR(INDEX(Enrichment!$A$2:$GZ$2000,MATCH($A894,INDEX(Enrichment!$A$2:$GZ$2000,0,MATCH("row_id",Enrichment!$A$1:$GZ$1,0)),0),MATCH("backup_work_email",Enrichment!$A$1:$GZ$1,0))&amp;"",""))</f>
        <v/>
      </c>
      <c r="BQ894" s="0" t="str">
        <f aca="false">IF($A894="","",IF(BP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DU894" s="0" t="str">
        <f aca="false">IF($A894="","",IF(R894="Y",10,0))</f>
        <v/>
      </c>
      <c r="EV894" s="0" t="str">
        <f aca="false">IF($A894="","",IF(ISNUMBER(MATCH(U894,{"queued","contacted","replied","call_booked","call_done","yes_in_principle","materials_sent"},0)),"Y","N"))</f>
        <v/>
      </c>
      <c r="EW894" s="0" t="str">
        <f aca="false">IF($A894="","",IF(OR(T894="Y",U894="do_not_contact",AQ894&amp;""&lt;&gt;""),"Y","N"))</f>
        <v/>
      </c>
      <c r="EX894" s="0" t="str">
        <f aca="false">IF($A894="","",IF(AN894&amp;""&lt;&gt;"",AN894&amp;"",$A894))</f>
        <v/>
      </c>
      <c r="EY894" s="0" t="str">
        <f aca="false">IF($A894="","",IF(COUNTIFS($EX$2:$EX$1000,EX894,$EV$2:$EV$1000,"Y")+COUNTIFS($EX$2:$EX$1000,EX894,$EW$2:$EW$1000,"Y")&gt;0,"Y","N"))</f>
        <v/>
      </c>
      <c r="EZ894" s="0" t="str">
        <f aca="false">IF($A894="","",IF(AND(U894="new",T894="N",EW894="N",AR894="Y",EY894="N"),"Y","N"))</f>
        <v/>
      </c>
      <c r="FA894" s="0" t="str">
        <f aca="false">IF($A894="","",IF(EZ894&lt;&gt;"Y","N",IF(COUNTIFS($EX$2:$EX$1000,EX894,$EZ$2:$EZ$1000,"Y",$J$2:$J$1000,"&gt;"&amp;J894)+COUNTIFS($EX$2:$EX$1000,EX894,$EZ$2:$EZ$1000,"Y",$J$2:$J$1000,J894,$FG$2:$FG$1000,"&lt;"&amp;FG894)=0,"Y","N")))</f>
        <v/>
      </c>
      <c r="FB894" s="0" t="str">
        <f aca="false">IF($A894="","",IF(AND(EZ894="Y",FA894="Y",Y894&amp;""&lt;&gt;""),IF(Y894&lt;=10,"Y","N"),"N"))</f>
        <v/>
      </c>
      <c r="FC894" s="0" t="str">
        <f aca="false">IF(FB894="Y",Y894,"")</f>
        <v/>
      </c>
      <c r="FD894" s="0" t="str">
        <f aca="false">IF($A894="","",IF(AND(CK894="pass",AU894="Y",AV894&lt;&gt;"Y",U894="new",EW894="N"),"Y","N"))</f>
        <v/>
      </c>
      <c r="FE894" s="0" t="str">
        <f aca="false">IF(FD894&lt;&gt;"Y","",IF(COUNTIFS($FD$2:$FD$1000,"Y",$J$2:$J$1000,"&gt;"&amp;J894)+COUNTIFS($FD$2:$FD$1000,"Y",$J$2:$J$1000,J894,$FG$2:$FG$1000,"&lt;"&amp;FG894)+1&lt;=30,COUNTIFS($FD$2:$FD$1000,"Y",$J$2:$J$1000,"&gt;"&amp;J894)+COUNTIFS($FD$2:$FD$1000,"Y",$J$2:$J$1000,J894,$FG$2:$FG$1000,"&lt;"&amp;FG894)+1,""))</f>
        <v/>
      </c>
      <c r="FF894" s="0" t="str">
        <f aca="false">IF(AND(_xlfn.ISFORMULA(C894),_xlfn.ISFORMULA(J894)),"Y","N")</f>
        <v>Y</v>
      </c>
      <c r="FG894" s="0" t="n">
        <f aca="false">ROW()-1</f>
        <v>893</v>
      </c>
    </row>
    <row r="895" customFormat="false" ht="15" hidden="false" customHeight="false" outlineLevel="0" collapsed="false">
      <c r="C895" s="0" t="str">
        <f aca="false">IF($A895="","",IF(AT895="Y",BL895&amp;"",AY895&amp;""))</f>
        <v/>
      </c>
      <c r="D895" s="0" t="str">
        <f aca="false">IF($A895="","",IF(AT895="Y",BM895&amp;"",AZ895&amp;""))</f>
        <v/>
      </c>
      <c r="E895" s="0" t="str">
        <f aca="false">IF($A895="","",IF(AT895="Y",BN895&amp;"",BA895&amp;""))</f>
        <v/>
      </c>
      <c r="F895" s="0" t="str">
        <f aca="false">IF($A895="","",IF(AT895="Y",BO895&amp;"",BB895&amp;""))</f>
        <v/>
      </c>
      <c r="G895" s="0" t="str">
        <f aca="false">IF($A895="","",IF(AT895="Y",BP895&amp;"",BC895&amp;""))</f>
        <v/>
      </c>
      <c r="H895" s="0" t="str">
        <f aca="false">IF($A895="","",IF(AT895="Y",BQ895&amp;"",BD895&amp;""))</f>
        <v/>
      </c>
      <c r="I895" s="0" t="str">
        <f aca="false">IF($A895="","",IF(R895="Y","warm-intro",IF(H895="verified","email",IF(C895&lt;&gt;"","linkedin",CA895&amp;""))))</f>
        <v/>
      </c>
      <c r="J895" s="0" t="str">
        <f aca="false">IF($A895="","",IF(CK895="pass",ROUND(N(DO895)+N(DP895)+N(DQ895)+N(DR895)+N(DS895)+N(DT895)+N(DU895)+N(DV895),0),0))</f>
        <v/>
      </c>
      <c r="K895" s="0" t="str">
        <f aca="false">IF($A895="","",IF(CK895&lt;&gt;"pass",BY895&amp;"",BY895&amp;", "&amp;IF(AT895="Y",BX895&amp;"",BK895&amp;"")&amp;BZ895&amp;IF(R895="Y","; known to the founder (+10)","")&amp;"."))</f>
        <v/>
      </c>
      <c r="R895" s="5"/>
      <c r="T895" s="5"/>
      <c r="U895" s="5"/>
      <c r="Y895" s="0" t="str">
        <f aca="false">IF(FA895&lt;&gt;"Y","",COUNTIFS($FA$2:$FA$1000,"Y",$J$2:$J$1000,"&gt;"&amp;J895)+COUNTIFS($FA$2:$FA$1000,"Y",$J$2:$J$1000,J895,$FG$2:$FG$1000,"&lt;"&amp;FG895)+1)</f>
        <v/>
      </c>
      <c r="AB895" s="0" t="str">
        <f aca="false">IF($A895="","",IF(AT895="Y",BW895&amp;"",BJ895&amp;""))</f>
        <v/>
      </c>
      <c r="AC895" s="0" t="str">
        <f aca="false">IF($A895="","",IF(AT895="Y",BR895&amp;"",BE895&amp;""))</f>
        <v/>
      </c>
      <c r="AD895" s="0" t="str">
        <f aca="false">IF($A895="","",IF(AT895="Y",BS895&amp;"",BF895&amp;""))</f>
        <v/>
      </c>
      <c r="AE895" s="0" t="str">
        <f aca="false">IF($A895="","",IF(AT895="Y",BT895&amp;"",BG895&amp;""))</f>
        <v/>
      </c>
      <c r="AF895" s="0" t="str">
        <f aca="false">IF($A895="","",IF(AT895="Y",BU895&amp;"",BH895&amp;""))</f>
        <v/>
      </c>
      <c r="AG895" s="0" t="str">
        <f aca="false">IF($A895="","",IF(AT895="Y",BV895&amp;"",BI895&amp;""))</f>
        <v/>
      </c>
      <c r="AO895" s="5"/>
      <c r="AR895" s="0" t="str">
        <f aca="false">IF($A895="","",IF(AND(CK895="pass",AO895&lt;&gt;"Y",C895&lt;&gt;"",OR(AU895&lt;&gt;"Y",AV895="Y")),"Y","N"))</f>
        <v/>
      </c>
      <c r="AS895" s="0" t="str">
        <f aca="false">IF($A895="","",_xlfn.TEXTJOIN("; ",TRUE(),IF(CK895&lt;&gt;"pass","gated out",""),IF(AO895="Y","on hold: "&amp;AP895,""),IF(C895="","no contact named on an opened page",""),IF(AND(AU895="Y",AV895&lt;&gt;"Y"),"founder review pending (Founder review tab)","")))</f>
        <v/>
      </c>
      <c r="BC895" s="0" t="str">
        <f aca="false">IF($A895="","",IFERROR(INDEX(Enrichment!$A$2:$GZ$2000,MATCH($A895,INDEX(Enrichment!$A$2:$GZ$2000,0,MATCH("row_id",Enrichment!$A$1:$GZ$1,0)),0),MATCH("work_email",Enrichment!$A$1:$GZ$1,0))&amp;"",""))</f>
        <v/>
      </c>
      <c r="BD895" s="0" t="str">
        <f aca="false">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P895" s="0" t="str">
        <f aca="false">IF($A895="","",IFERROR(INDEX(Enrichment!$A$2:$GZ$2000,MATCH($A895,INDEX(Enrichment!$A$2:$GZ$2000,0,MATCH("row_id",Enrichment!$A$1:$GZ$1,0)),0),MATCH("backup_work_email",Enrichment!$A$1:$GZ$1,0))&amp;"",""))</f>
        <v/>
      </c>
      <c r="BQ895" s="0" t="str">
        <f aca="false">IF($A895="","",IF(BP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DU895" s="0" t="str">
        <f aca="false">IF($A895="","",IF(R895="Y",10,0))</f>
        <v/>
      </c>
      <c r="EV895" s="0" t="str">
        <f aca="false">IF($A895="","",IF(ISNUMBER(MATCH(U895,{"queued","contacted","replied","call_booked","call_done","yes_in_principle","materials_sent"},0)),"Y","N"))</f>
        <v/>
      </c>
      <c r="EW895" s="0" t="str">
        <f aca="false">IF($A895="","",IF(OR(T895="Y",U895="do_not_contact",AQ895&amp;""&lt;&gt;""),"Y","N"))</f>
        <v/>
      </c>
      <c r="EX895" s="0" t="str">
        <f aca="false">IF($A895="","",IF(AN895&amp;""&lt;&gt;"",AN895&amp;"",$A895))</f>
        <v/>
      </c>
      <c r="EY895" s="0" t="str">
        <f aca="false">IF($A895="","",IF(COUNTIFS($EX$2:$EX$1000,EX895,$EV$2:$EV$1000,"Y")+COUNTIFS($EX$2:$EX$1000,EX895,$EW$2:$EW$1000,"Y")&gt;0,"Y","N"))</f>
        <v/>
      </c>
      <c r="EZ895" s="0" t="str">
        <f aca="false">IF($A895="","",IF(AND(U895="new",T895="N",EW895="N",AR895="Y",EY895="N"),"Y","N"))</f>
        <v/>
      </c>
      <c r="FA895" s="0" t="str">
        <f aca="false">IF($A895="","",IF(EZ895&lt;&gt;"Y","N",IF(COUNTIFS($EX$2:$EX$1000,EX895,$EZ$2:$EZ$1000,"Y",$J$2:$J$1000,"&gt;"&amp;J895)+COUNTIFS($EX$2:$EX$1000,EX895,$EZ$2:$EZ$1000,"Y",$J$2:$J$1000,J895,$FG$2:$FG$1000,"&lt;"&amp;FG895)=0,"Y","N")))</f>
        <v/>
      </c>
      <c r="FB895" s="0" t="str">
        <f aca="false">IF($A895="","",IF(AND(EZ895="Y",FA895="Y",Y895&amp;""&lt;&gt;""),IF(Y895&lt;=10,"Y","N"),"N"))</f>
        <v/>
      </c>
      <c r="FC895" s="0" t="str">
        <f aca="false">IF(FB895="Y",Y895,"")</f>
        <v/>
      </c>
      <c r="FD895" s="0" t="str">
        <f aca="false">IF($A895="","",IF(AND(CK895="pass",AU895="Y",AV895&lt;&gt;"Y",U895="new",EW895="N"),"Y","N"))</f>
        <v/>
      </c>
      <c r="FE895" s="0" t="str">
        <f aca="false">IF(FD895&lt;&gt;"Y","",IF(COUNTIFS($FD$2:$FD$1000,"Y",$J$2:$J$1000,"&gt;"&amp;J895)+COUNTIFS($FD$2:$FD$1000,"Y",$J$2:$J$1000,J895,$FG$2:$FG$1000,"&lt;"&amp;FG895)+1&lt;=30,COUNTIFS($FD$2:$FD$1000,"Y",$J$2:$J$1000,"&gt;"&amp;J895)+COUNTIFS($FD$2:$FD$1000,"Y",$J$2:$J$1000,J895,$FG$2:$FG$1000,"&lt;"&amp;FG895)+1,""))</f>
        <v/>
      </c>
      <c r="FF895" s="0" t="str">
        <f aca="false">IF(AND(_xlfn.ISFORMULA(C895),_xlfn.ISFORMULA(J895)),"Y","N")</f>
        <v>Y</v>
      </c>
      <c r="FG895" s="0" t="n">
        <f aca="false">ROW()-1</f>
        <v>894</v>
      </c>
    </row>
    <row r="896" customFormat="false" ht="15" hidden="false" customHeight="false" outlineLevel="0" collapsed="false">
      <c r="C896" s="0" t="str">
        <f aca="false">IF($A896="","",IF(AT896="Y",BL896&amp;"",AY896&amp;""))</f>
        <v/>
      </c>
      <c r="D896" s="0" t="str">
        <f aca="false">IF($A896="","",IF(AT896="Y",BM896&amp;"",AZ896&amp;""))</f>
        <v/>
      </c>
      <c r="E896" s="0" t="str">
        <f aca="false">IF($A896="","",IF(AT896="Y",BN896&amp;"",BA896&amp;""))</f>
        <v/>
      </c>
      <c r="F896" s="0" t="str">
        <f aca="false">IF($A896="","",IF(AT896="Y",BO896&amp;"",BB896&amp;""))</f>
        <v/>
      </c>
      <c r="G896" s="0" t="str">
        <f aca="false">IF($A896="","",IF(AT896="Y",BP896&amp;"",BC896&amp;""))</f>
        <v/>
      </c>
      <c r="H896" s="0" t="str">
        <f aca="false">IF($A896="","",IF(AT896="Y",BQ896&amp;"",BD896&amp;""))</f>
        <v/>
      </c>
      <c r="I896" s="0" t="str">
        <f aca="false">IF($A896="","",IF(R896="Y","warm-intro",IF(H896="verified","email",IF(C896&lt;&gt;"","linkedin",CA896&amp;""))))</f>
        <v/>
      </c>
      <c r="J896" s="0" t="str">
        <f aca="false">IF($A896="","",IF(CK896="pass",ROUND(N(DO896)+N(DP896)+N(DQ896)+N(DR896)+N(DS896)+N(DT896)+N(DU896)+N(DV896),0),0))</f>
        <v/>
      </c>
      <c r="K896" s="0" t="str">
        <f aca="false">IF($A896="","",IF(CK896&lt;&gt;"pass",BY896&amp;"",BY896&amp;", "&amp;IF(AT896="Y",BX896&amp;"",BK896&amp;"")&amp;BZ896&amp;IF(R896="Y","; known to the founder (+10)","")&amp;"."))</f>
        <v/>
      </c>
      <c r="R896" s="5"/>
      <c r="T896" s="5"/>
      <c r="U896" s="5"/>
      <c r="Y896" s="0" t="str">
        <f aca="false">IF(FA896&lt;&gt;"Y","",COUNTIFS($FA$2:$FA$1000,"Y",$J$2:$J$1000,"&gt;"&amp;J896)+COUNTIFS($FA$2:$FA$1000,"Y",$J$2:$J$1000,J896,$FG$2:$FG$1000,"&lt;"&amp;FG896)+1)</f>
        <v/>
      </c>
      <c r="AB896" s="0" t="str">
        <f aca="false">IF($A896="","",IF(AT896="Y",BW896&amp;"",BJ896&amp;""))</f>
        <v/>
      </c>
      <c r="AC896" s="0" t="str">
        <f aca="false">IF($A896="","",IF(AT896="Y",BR896&amp;"",BE896&amp;""))</f>
        <v/>
      </c>
      <c r="AD896" s="0" t="str">
        <f aca="false">IF($A896="","",IF(AT896="Y",BS896&amp;"",BF896&amp;""))</f>
        <v/>
      </c>
      <c r="AE896" s="0" t="str">
        <f aca="false">IF($A896="","",IF(AT896="Y",BT896&amp;"",BG896&amp;""))</f>
        <v/>
      </c>
      <c r="AF896" s="0" t="str">
        <f aca="false">IF($A896="","",IF(AT896="Y",BU896&amp;"",BH896&amp;""))</f>
        <v/>
      </c>
      <c r="AG896" s="0" t="str">
        <f aca="false">IF($A896="","",IF(AT896="Y",BV896&amp;"",BI896&amp;""))</f>
        <v/>
      </c>
      <c r="AO896" s="5"/>
      <c r="AR896" s="0" t="str">
        <f aca="false">IF($A896="","",IF(AND(CK896="pass",AO896&lt;&gt;"Y",C896&lt;&gt;"",OR(AU896&lt;&gt;"Y",AV896="Y")),"Y","N"))</f>
        <v/>
      </c>
      <c r="AS896" s="0" t="str">
        <f aca="false">IF($A896="","",_xlfn.TEXTJOIN("; ",TRUE(),IF(CK896&lt;&gt;"pass","gated out",""),IF(AO896="Y","on hold: "&amp;AP896,""),IF(C896="","no contact named on an opened page",""),IF(AND(AU896="Y",AV896&lt;&gt;"Y"),"founder review pending (Founder review tab)","")))</f>
        <v/>
      </c>
      <c r="BC896" s="0" t="str">
        <f aca="false">IF($A896="","",IFERROR(INDEX(Enrichment!$A$2:$GZ$2000,MATCH($A896,INDEX(Enrichment!$A$2:$GZ$2000,0,MATCH("row_id",Enrichment!$A$1:$GZ$1,0)),0),MATCH("work_email",Enrichment!$A$1:$GZ$1,0))&amp;"",""))</f>
        <v/>
      </c>
      <c r="BD896" s="0" t="str">
        <f aca="false">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P896" s="0" t="str">
        <f aca="false">IF($A896="","",IFERROR(INDEX(Enrichment!$A$2:$GZ$2000,MATCH($A896,INDEX(Enrichment!$A$2:$GZ$2000,0,MATCH("row_id",Enrichment!$A$1:$GZ$1,0)),0),MATCH("backup_work_email",Enrichment!$A$1:$GZ$1,0))&amp;"",""))</f>
        <v/>
      </c>
      <c r="BQ896" s="0" t="str">
        <f aca="false">IF($A896="","",IF(BP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DU896" s="0" t="str">
        <f aca="false">IF($A896="","",IF(R896="Y",10,0))</f>
        <v/>
      </c>
      <c r="EV896" s="0" t="str">
        <f aca="false">IF($A896="","",IF(ISNUMBER(MATCH(U896,{"queued","contacted","replied","call_booked","call_done","yes_in_principle","materials_sent"},0)),"Y","N"))</f>
        <v/>
      </c>
      <c r="EW896" s="0" t="str">
        <f aca="false">IF($A896="","",IF(OR(T896="Y",U896="do_not_contact",AQ896&amp;""&lt;&gt;""),"Y","N"))</f>
        <v/>
      </c>
      <c r="EX896" s="0" t="str">
        <f aca="false">IF($A896="","",IF(AN896&amp;""&lt;&gt;"",AN896&amp;"",$A896))</f>
        <v/>
      </c>
      <c r="EY896" s="0" t="str">
        <f aca="false">IF($A896="","",IF(COUNTIFS($EX$2:$EX$1000,EX896,$EV$2:$EV$1000,"Y")+COUNTIFS($EX$2:$EX$1000,EX896,$EW$2:$EW$1000,"Y")&gt;0,"Y","N"))</f>
        <v/>
      </c>
      <c r="EZ896" s="0" t="str">
        <f aca="false">IF($A896="","",IF(AND(U896="new",T896="N",EW896="N",AR896="Y",EY896="N"),"Y","N"))</f>
        <v/>
      </c>
      <c r="FA896" s="0" t="str">
        <f aca="false">IF($A896="","",IF(EZ896&lt;&gt;"Y","N",IF(COUNTIFS($EX$2:$EX$1000,EX896,$EZ$2:$EZ$1000,"Y",$J$2:$J$1000,"&gt;"&amp;J896)+COUNTIFS($EX$2:$EX$1000,EX896,$EZ$2:$EZ$1000,"Y",$J$2:$J$1000,J896,$FG$2:$FG$1000,"&lt;"&amp;FG896)=0,"Y","N")))</f>
        <v/>
      </c>
      <c r="FB896" s="0" t="str">
        <f aca="false">IF($A896="","",IF(AND(EZ896="Y",FA896="Y",Y896&amp;""&lt;&gt;""),IF(Y896&lt;=10,"Y","N"),"N"))</f>
        <v/>
      </c>
      <c r="FC896" s="0" t="str">
        <f aca="false">IF(FB896="Y",Y896,"")</f>
        <v/>
      </c>
      <c r="FD896" s="0" t="str">
        <f aca="false">IF($A896="","",IF(AND(CK896="pass",AU896="Y",AV896&lt;&gt;"Y",U896="new",EW896="N"),"Y","N"))</f>
        <v/>
      </c>
      <c r="FE896" s="0" t="str">
        <f aca="false">IF(FD896&lt;&gt;"Y","",IF(COUNTIFS($FD$2:$FD$1000,"Y",$J$2:$J$1000,"&gt;"&amp;J896)+COUNTIFS($FD$2:$FD$1000,"Y",$J$2:$J$1000,J896,$FG$2:$FG$1000,"&lt;"&amp;FG896)+1&lt;=30,COUNTIFS($FD$2:$FD$1000,"Y",$J$2:$J$1000,"&gt;"&amp;J896)+COUNTIFS($FD$2:$FD$1000,"Y",$J$2:$J$1000,J896,$FG$2:$FG$1000,"&lt;"&amp;FG896)+1,""))</f>
        <v/>
      </c>
      <c r="FF896" s="0" t="str">
        <f aca="false">IF(AND(_xlfn.ISFORMULA(C896),_xlfn.ISFORMULA(J896)),"Y","N")</f>
        <v>Y</v>
      </c>
      <c r="FG896" s="0" t="n">
        <f aca="false">ROW()-1</f>
        <v>895</v>
      </c>
    </row>
    <row r="897" customFormat="false" ht="15" hidden="false" customHeight="false" outlineLevel="0" collapsed="false">
      <c r="C897" s="0" t="str">
        <f aca="false">IF($A897="","",IF(AT897="Y",BL897&amp;"",AY897&amp;""))</f>
        <v/>
      </c>
      <c r="D897" s="0" t="str">
        <f aca="false">IF($A897="","",IF(AT897="Y",BM897&amp;"",AZ897&amp;""))</f>
        <v/>
      </c>
      <c r="E897" s="0" t="str">
        <f aca="false">IF($A897="","",IF(AT897="Y",BN897&amp;"",BA897&amp;""))</f>
        <v/>
      </c>
      <c r="F897" s="0" t="str">
        <f aca="false">IF($A897="","",IF(AT897="Y",BO897&amp;"",BB897&amp;""))</f>
        <v/>
      </c>
      <c r="G897" s="0" t="str">
        <f aca="false">IF($A897="","",IF(AT897="Y",BP897&amp;"",BC897&amp;""))</f>
        <v/>
      </c>
      <c r="H897" s="0" t="str">
        <f aca="false">IF($A897="","",IF(AT897="Y",BQ897&amp;"",BD897&amp;""))</f>
        <v/>
      </c>
      <c r="I897" s="0" t="str">
        <f aca="false">IF($A897="","",IF(R897="Y","warm-intro",IF(H897="verified","email",IF(C897&lt;&gt;"","linkedin",CA897&amp;""))))</f>
        <v/>
      </c>
      <c r="J897" s="0" t="str">
        <f aca="false">IF($A897="","",IF(CK897="pass",ROUND(N(DO897)+N(DP897)+N(DQ897)+N(DR897)+N(DS897)+N(DT897)+N(DU897)+N(DV897),0),0))</f>
        <v/>
      </c>
      <c r="K897" s="0" t="str">
        <f aca="false">IF($A897="","",IF(CK897&lt;&gt;"pass",BY897&amp;"",BY897&amp;", "&amp;IF(AT897="Y",BX897&amp;"",BK897&amp;"")&amp;BZ897&amp;IF(R897="Y","; known to the founder (+10)","")&amp;"."))</f>
        <v/>
      </c>
      <c r="R897" s="5"/>
      <c r="T897" s="5"/>
      <c r="U897" s="5"/>
      <c r="Y897" s="0" t="str">
        <f aca="false">IF(FA897&lt;&gt;"Y","",COUNTIFS($FA$2:$FA$1000,"Y",$J$2:$J$1000,"&gt;"&amp;J897)+COUNTIFS($FA$2:$FA$1000,"Y",$J$2:$J$1000,J897,$FG$2:$FG$1000,"&lt;"&amp;FG897)+1)</f>
        <v/>
      </c>
      <c r="AB897" s="0" t="str">
        <f aca="false">IF($A897="","",IF(AT897="Y",BW897&amp;"",BJ897&amp;""))</f>
        <v/>
      </c>
      <c r="AC897" s="0" t="str">
        <f aca="false">IF($A897="","",IF(AT897="Y",BR897&amp;"",BE897&amp;""))</f>
        <v/>
      </c>
      <c r="AD897" s="0" t="str">
        <f aca="false">IF($A897="","",IF(AT897="Y",BS897&amp;"",BF897&amp;""))</f>
        <v/>
      </c>
      <c r="AE897" s="0" t="str">
        <f aca="false">IF($A897="","",IF(AT897="Y",BT897&amp;"",BG897&amp;""))</f>
        <v/>
      </c>
      <c r="AF897" s="0" t="str">
        <f aca="false">IF($A897="","",IF(AT897="Y",BU897&amp;"",BH897&amp;""))</f>
        <v/>
      </c>
      <c r="AG897" s="0" t="str">
        <f aca="false">IF($A897="","",IF(AT897="Y",BV897&amp;"",BI897&amp;""))</f>
        <v/>
      </c>
      <c r="AO897" s="5"/>
      <c r="AR897" s="0" t="str">
        <f aca="false">IF($A897="","",IF(AND(CK897="pass",AO897&lt;&gt;"Y",C897&lt;&gt;"",OR(AU897&lt;&gt;"Y",AV897="Y")),"Y","N"))</f>
        <v/>
      </c>
      <c r="AS897" s="0" t="str">
        <f aca="false">IF($A897="","",_xlfn.TEXTJOIN("; ",TRUE(),IF(CK897&lt;&gt;"pass","gated out",""),IF(AO897="Y","on hold: "&amp;AP897,""),IF(C897="","no contact named on an opened page",""),IF(AND(AU897="Y",AV897&lt;&gt;"Y"),"founder review pending (Founder review tab)","")))</f>
        <v/>
      </c>
      <c r="BC897" s="0" t="str">
        <f aca="false">IF($A897="","",IFERROR(INDEX(Enrichment!$A$2:$GZ$2000,MATCH($A897,INDEX(Enrichment!$A$2:$GZ$2000,0,MATCH("row_id",Enrichment!$A$1:$GZ$1,0)),0),MATCH("work_email",Enrichment!$A$1:$GZ$1,0))&amp;"",""))</f>
        <v/>
      </c>
      <c r="BD897" s="0" t="str">
        <f aca="false">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P897" s="0" t="str">
        <f aca="false">IF($A897="","",IFERROR(INDEX(Enrichment!$A$2:$GZ$2000,MATCH($A897,INDEX(Enrichment!$A$2:$GZ$2000,0,MATCH("row_id",Enrichment!$A$1:$GZ$1,0)),0),MATCH("backup_work_email",Enrichment!$A$1:$GZ$1,0))&amp;"",""))</f>
        <v/>
      </c>
      <c r="BQ897" s="0" t="str">
        <f aca="false">IF($A897="","",IF(BP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DU897" s="0" t="str">
        <f aca="false">IF($A897="","",IF(R897="Y",10,0))</f>
        <v/>
      </c>
      <c r="EV897" s="0" t="str">
        <f aca="false">IF($A897="","",IF(ISNUMBER(MATCH(U897,{"queued","contacted","replied","call_booked","call_done","yes_in_principle","materials_sent"},0)),"Y","N"))</f>
        <v/>
      </c>
      <c r="EW897" s="0" t="str">
        <f aca="false">IF($A897="","",IF(OR(T897="Y",U897="do_not_contact",AQ897&amp;""&lt;&gt;""),"Y","N"))</f>
        <v/>
      </c>
      <c r="EX897" s="0" t="str">
        <f aca="false">IF($A897="","",IF(AN897&amp;""&lt;&gt;"",AN897&amp;"",$A897))</f>
        <v/>
      </c>
      <c r="EY897" s="0" t="str">
        <f aca="false">IF($A897="","",IF(COUNTIFS($EX$2:$EX$1000,EX897,$EV$2:$EV$1000,"Y")+COUNTIFS($EX$2:$EX$1000,EX897,$EW$2:$EW$1000,"Y")&gt;0,"Y","N"))</f>
        <v/>
      </c>
      <c r="EZ897" s="0" t="str">
        <f aca="false">IF($A897="","",IF(AND(U897="new",T897="N",EW897="N",AR897="Y",EY897="N"),"Y","N"))</f>
        <v/>
      </c>
      <c r="FA897" s="0" t="str">
        <f aca="false">IF($A897="","",IF(EZ897&lt;&gt;"Y","N",IF(COUNTIFS($EX$2:$EX$1000,EX897,$EZ$2:$EZ$1000,"Y",$J$2:$J$1000,"&gt;"&amp;J897)+COUNTIFS($EX$2:$EX$1000,EX897,$EZ$2:$EZ$1000,"Y",$J$2:$J$1000,J897,$FG$2:$FG$1000,"&lt;"&amp;FG897)=0,"Y","N")))</f>
        <v/>
      </c>
      <c r="FB897" s="0" t="str">
        <f aca="false">IF($A897="","",IF(AND(EZ897="Y",FA897="Y",Y897&amp;""&lt;&gt;""),IF(Y897&lt;=10,"Y","N"),"N"))</f>
        <v/>
      </c>
      <c r="FC897" s="0" t="str">
        <f aca="false">IF(FB897="Y",Y897,"")</f>
        <v/>
      </c>
      <c r="FD897" s="0" t="str">
        <f aca="false">IF($A897="","",IF(AND(CK897="pass",AU897="Y",AV897&lt;&gt;"Y",U897="new",EW897="N"),"Y","N"))</f>
        <v/>
      </c>
      <c r="FE897" s="0" t="str">
        <f aca="false">IF(FD897&lt;&gt;"Y","",IF(COUNTIFS($FD$2:$FD$1000,"Y",$J$2:$J$1000,"&gt;"&amp;J897)+COUNTIFS($FD$2:$FD$1000,"Y",$J$2:$J$1000,J897,$FG$2:$FG$1000,"&lt;"&amp;FG897)+1&lt;=30,COUNTIFS($FD$2:$FD$1000,"Y",$J$2:$J$1000,"&gt;"&amp;J897)+COUNTIFS($FD$2:$FD$1000,"Y",$J$2:$J$1000,J897,$FG$2:$FG$1000,"&lt;"&amp;FG897)+1,""))</f>
        <v/>
      </c>
      <c r="FF897" s="0" t="str">
        <f aca="false">IF(AND(_xlfn.ISFORMULA(C897),_xlfn.ISFORMULA(J897)),"Y","N")</f>
        <v>Y</v>
      </c>
      <c r="FG897" s="0" t="n">
        <f aca="false">ROW()-1</f>
        <v>896</v>
      </c>
    </row>
    <row r="898" customFormat="false" ht="15" hidden="false" customHeight="false" outlineLevel="0" collapsed="false">
      <c r="C898" s="0" t="str">
        <f aca="false">IF($A898="","",IF(AT898="Y",BL898&amp;"",AY898&amp;""))</f>
        <v/>
      </c>
      <c r="D898" s="0" t="str">
        <f aca="false">IF($A898="","",IF(AT898="Y",BM898&amp;"",AZ898&amp;""))</f>
        <v/>
      </c>
      <c r="E898" s="0" t="str">
        <f aca="false">IF($A898="","",IF(AT898="Y",BN898&amp;"",BA898&amp;""))</f>
        <v/>
      </c>
      <c r="F898" s="0" t="str">
        <f aca="false">IF($A898="","",IF(AT898="Y",BO898&amp;"",BB898&amp;""))</f>
        <v/>
      </c>
      <c r="G898" s="0" t="str">
        <f aca="false">IF($A898="","",IF(AT898="Y",BP898&amp;"",BC898&amp;""))</f>
        <v/>
      </c>
      <c r="H898" s="0" t="str">
        <f aca="false">IF($A898="","",IF(AT898="Y",BQ898&amp;"",BD898&amp;""))</f>
        <v/>
      </c>
      <c r="I898" s="0" t="str">
        <f aca="false">IF($A898="","",IF(R898="Y","warm-intro",IF(H898="verified","email",IF(C898&lt;&gt;"","linkedin",CA898&amp;""))))</f>
        <v/>
      </c>
      <c r="J898" s="0" t="str">
        <f aca="false">IF($A898="","",IF(CK898="pass",ROUND(N(DO898)+N(DP898)+N(DQ898)+N(DR898)+N(DS898)+N(DT898)+N(DU898)+N(DV898),0),0))</f>
        <v/>
      </c>
      <c r="K898" s="0" t="str">
        <f aca="false">IF($A898="","",IF(CK898&lt;&gt;"pass",BY898&amp;"",BY898&amp;", "&amp;IF(AT898="Y",BX898&amp;"",BK898&amp;"")&amp;BZ898&amp;IF(R898="Y","; known to the founder (+10)","")&amp;"."))</f>
        <v/>
      </c>
      <c r="R898" s="5"/>
      <c r="T898" s="5"/>
      <c r="U898" s="5"/>
      <c r="Y898" s="0" t="str">
        <f aca="false">IF(FA898&lt;&gt;"Y","",COUNTIFS($FA$2:$FA$1000,"Y",$J$2:$J$1000,"&gt;"&amp;J898)+COUNTIFS($FA$2:$FA$1000,"Y",$J$2:$J$1000,J898,$FG$2:$FG$1000,"&lt;"&amp;FG898)+1)</f>
        <v/>
      </c>
      <c r="AB898" s="0" t="str">
        <f aca="false">IF($A898="","",IF(AT898="Y",BW898&amp;"",BJ898&amp;""))</f>
        <v/>
      </c>
      <c r="AC898" s="0" t="str">
        <f aca="false">IF($A898="","",IF(AT898="Y",BR898&amp;"",BE898&amp;""))</f>
        <v/>
      </c>
      <c r="AD898" s="0" t="str">
        <f aca="false">IF($A898="","",IF(AT898="Y",BS898&amp;"",BF898&amp;""))</f>
        <v/>
      </c>
      <c r="AE898" s="0" t="str">
        <f aca="false">IF($A898="","",IF(AT898="Y",BT898&amp;"",BG898&amp;""))</f>
        <v/>
      </c>
      <c r="AF898" s="0" t="str">
        <f aca="false">IF($A898="","",IF(AT898="Y",BU898&amp;"",BH898&amp;""))</f>
        <v/>
      </c>
      <c r="AG898" s="0" t="str">
        <f aca="false">IF($A898="","",IF(AT898="Y",BV898&amp;"",BI898&amp;""))</f>
        <v/>
      </c>
      <c r="AO898" s="5"/>
      <c r="AR898" s="0" t="str">
        <f aca="false">IF($A898="","",IF(AND(CK898="pass",AO898&lt;&gt;"Y",C898&lt;&gt;"",OR(AU898&lt;&gt;"Y",AV898="Y")),"Y","N"))</f>
        <v/>
      </c>
      <c r="AS898" s="0" t="str">
        <f aca="false">IF($A898="","",_xlfn.TEXTJOIN("; ",TRUE(),IF(CK898&lt;&gt;"pass","gated out",""),IF(AO898="Y","on hold: "&amp;AP898,""),IF(C898="","no contact named on an opened page",""),IF(AND(AU898="Y",AV898&lt;&gt;"Y"),"founder review pending (Founder review tab)","")))</f>
        <v/>
      </c>
      <c r="BC898" s="0" t="str">
        <f aca="false">IF($A898="","",IFERROR(INDEX(Enrichment!$A$2:$GZ$2000,MATCH($A898,INDEX(Enrichment!$A$2:$GZ$2000,0,MATCH("row_id",Enrichment!$A$1:$GZ$1,0)),0),MATCH("work_email",Enrichment!$A$1:$GZ$1,0))&amp;"",""))</f>
        <v/>
      </c>
      <c r="BD898" s="0" t="str">
        <f aca="false">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P898" s="0" t="str">
        <f aca="false">IF($A898="","",IFERROR(INDEX(Enrichment!$A$2:$GZ$2000,MATCH($A898,INDEX(Enrichment!$A$2:$GZ$2000,0,MATCH("row_id",Enrichment!$A$1:$GZ$1,0)),0),MATCH("backup_work_email",Enrichment!$A$1:$GZ$1,0))&amp;"",""))</f>
        <v/>
      </c>
      <c r="BQ898" s="0" t="str">
        <f aca="false">IF($A898="","",IF(BP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DU898" s="0" t="str">
        <f aca="false">IF($A898="","",IF(R898="Y",10,0))</f>
        <v/>
      </c>
      <c r="EV898" s="0" t="str">
        <f aca="false">IF($A898="","",IF(ISNUMBER(MATCH(U898,{"queued","contacted","replied","call_booked","call_done","yes_in_principle","materials_sent"},0)),"Y","N"))</f>
        <v/>
      </c>
      <c r="EW898" s="0" t="str">
        <f aca="false">IF($A898="","",IF(OR(T898="Y",U898="do_not_contact",AQ898&amp;""&lt;&gt;""),"Y","N"))</f>
        <v/>
      </c>
      <c r="EX898" s="0" t="str">
        <f aca="false">IF($A898="","",IF(AN898&amp;""&lt;&gt;"",AN898&amp;"",$A898))</f>
        <v/>
      </c>
      <c r="EY898" s="0" t="str">
        <f aca="false">IF($A898="","",IF(COUNTIFS($EX$2:$EX$1000,EX898,$EV$2:$EV$1000,"Y")+COUNTIFS($EX$2:$EX$1000,EX898,$EW$2:$EW$1000,"Y")&gt;0,"Y","N"))</f>
        <v/>
      </c>
      <c r="EZ898" s="0" t="str">
        <f aca="false">IF($A898="","",IF(AND(U898="new",T898="N",EW898="N",AR898="Y",EY898="N"),"Y","N"))</f>
        <v/>
      </c>
      <c r="FA898" s="0" t="str">
        <f aca="false">IF($A898="","",IF(EZ898&lt;&gt;"Y","N",IF(COUNTIFS($EX$2:$EX$1000,EX898,$EZ$2:$EZ$1000,"Y",$J$2:$J$1000,"&gt;"&amp;J898)+COUNTIFS($EX$2:$EX$1000,EX898,$EZ$2:$EZ$1000,"Y",$J$2:$J$1000,J898,$FG$2:$FG$1000,"&lt;"&amp;FG898)=0,"Y","N")))</f>
        <v/>
      </c>
      <c r="FB898" s="0" t="str">
        <f aca="false">IF($A898="","",IF(AND(EZ898="Y",FA898="Y",Y898&amp;""&lt;&gt;""),IF(Y898&lt;=10,"Y","N"),"N"))</f>
        <v/>
      </c>
      <c r="FC898" s="0" t="str">
        <f aca="false">IF(FB898="Y",Y898,"")</f>
        <v/>
      </c>
      <c r="FD898" s="0" t="str">
        <f aca="false">IF($A898="","",IF(AND(CK898="pass",AU898="Y",AV898&lt;&gt;"Y",U898="new",EW898="N"),"Y","N"))</f>
        <v/>
      </c>
      <c r="FE898" s="0" t="str">
        <f aca="false">IF(FD898&lt;&gt;"Y","",IF(COUNTIFS($FD$2:$FD$1000,"Y",$J$2:$J$1000,"&gt;"&amp;J898)+COUNTIFS($FD$2:$FD$1000,"Y",$J$2:$J$1000,J898,$FG$2:$FG$1000,"&lt;"&amp;FG898)+1&lt;=30,COUNTIFS($FD$2:$FD$1000,"Y",$J$2:$J$1000,"&gt;"&amp;J898)+COUNTIFS($FD$2:$FD$1000,"Y",$J$2:$J$1000,J898,$FG$2:$FG$1000,"&lt;"&amp;FG898)+1,""))</f>
        <v/>
      </c>
      <c r="FF898" s="0" t="str">
        <f aca="false">IF(AND(_xlfn.ISFORMULA(C898),_xlfn.ISFORMULA(J898)),"Y","N")</f>
        <v>Y</v>
      </c>
      <c r="FG898" s="0" t="n">
        <f aca="false">ROW()-1</f>
        <v>897</v>
      </c>
    </row>
    <row r="899" customFormat="false" ht="15" hidden="false" customHeight="false" outlineLevel="0" collapsed="false">
      <c r="C899" s="0" t="str">
        <f aca="false">IF($A899="","",IF(AT899="Y",BL899&amp;"",AY899&amp;""))</f>
        <v/>
      </c>
      <c r="D899" s="0" t="str">
        <f aca="false">IF($A899="","",IF(AT899="Y",BM899&amp;"",AZ899&amp;""))</f>
        <v/>
      </c>
      <c r="E899" s="0" t="str">
        <f aca="false">IF($A899="","",IF(AT899="Y",BN899&amp;"",BA899&amp;""))</f>
        <v/>
      </c>
      <c r="F899" s="0" t="str">
        <f aca="false">IF($A899="","",IF(AT899="Y",BO899&amp;"",BB899&amp;""))</f>
        <v/>
      </c>
      <c r="G899" s="0" t="str">
        <f aca="false">IF($A899="","",IF(AT899="Y",BP899&amp;"",BC899&amp;""))</f>
        <v/>
      </c>
      <c r="H899" s="0" t="str">
        <f aca="false">IF($A899="","",IF(AT899="Y",BQ899&amp;"",BD899&amp;""))</f>
        <v/>
      </c>
      <c r="I899" s="0" t="str">
        <f aca="false">IF($A899="","",IF(R899="Y","warm-intro",IF(H899="verified","email",IF(C899&lt;&gt;"","linkedin",CA899&amp;""))))</f>
        <v/>
      </c>
      <c r="J899" s="0" t="str">
        <f aca="false">IF($A899="","",IF(CK899="pass",ROUND(N(DO899)+N(DP899)+N(DQ899)+N(DR899)+N(DS899)+N(DT899)+N(DU899)+N(DV899),0),0))</f>
        <v/>
      </c>
      <c r="K899" s="0" t="str">
        <f aca="false">IF($A899="","",IF(CK899&lt;&gt;"pass",BY899&amp;"",BY899&amp;", "&amp;IF(AT899="Y",BX899&amp;"",BK899&amp;"")&amp;BZ899&amp;IF(R899="Y","; known to the founder (+10)","")&amp;"."))</f>
        <v/>
      </c>
      <c r="R899" s="5"/>
      <c r="T899" s="5"/>
      <c r="U899" s="5"/>
      <c r="Y899" s="0" t="str">
        <f aca="false">IF(FA899&lt;&gt;"Y","",COUNTIFS($FA$2:$FA$1000,"Y",$J$2:$J$1000,"&gt;"&amp;J899)+COUNTIFS($FA$2:$FA$1000,"Y",$J$2:$J$1000,J899,$FG$2:$FG$1000,"&lt;"&amp;FG899)+1)</f>
        <v/>
      </c>
      <c r="AB899" s="0" t="str">
        <f aca="false">IF($A899="","",IF(AT899="Y",BW899&amp;"",BJ899&amp;""))</f>
        <v/>
      </c>
      <c r="AC899" s="0" t="str">
        <f aca="false">IF($A899="","",IF(AT899="Y",BR899&amp;"",BE899&amp;""))</f>
        <v/>
      </c>
      <c r="AD899" s="0" t="str">
        <f aca="false">IF($A899="","",IF(AT899="Y",BS899&amp;"",BF899&amp;""))</f>
        <v/>
      </c>
      <c r="AE899" s="0" t="str">
        <f aca="false">IF($A899="","",IF(AT899="Y",BT899&amp;"",BG899&amp;""))</f>
        <v/>
      </c>
      <c r="AF899" s="0" t="str">
        <f aca="false">IF($A899="","",IF(AT899="Y",BU899&amp;"",BH899&amp;""))</f>
        <v/>
      </c>
      <c r="AG899" s="0" t="str">
        <f aca="false">IF($A899="","",IF(AT899="Y",BV899&amp;"",BI899&amp;""))</f>
        <v/>
      </c>
      <c r="AO899" s="5"/>
      <c r="AR899" s="0" t="str">
        <f aca="false">IF($A899="","",IF(AND(CK899="pass",AO899&lt;&gt;"Y",C899&lt;&gt;"",OR(AU899&lt;&gt;"Y",AV899="Y")),"Y","N"))</f>
        <v/>
      </c>
      <c r="AS899" s="0" t="str">
        <f aca="false">IF($A899="","",_xlfn.TEXTJOIN("; ",TRUE(),IF(CK899&lt;&gt;"pass","gated out",""),IF(AO899="Y","on hold: "&amp;AP899,""),IF(C899="","no contact named on an opened page",""),IF(AND(AU899="Y",AV899&lt;&gt;"Y"),"founder review pending (Founder review tab)","")))</f>
        <v/>
      </c>
      <c r="BC899" s="0" t="str">
        <f aca="false">IF($A899="","",IFERROR(INDEX(Enrichment!$A$2:$GZ$2000,MATCH($A899,INDEX(Enrichment!$A$2:$GZ$2000,0,MATCH("row_id",Enrichment!$A$1:$GZ$1,0)),0),MATCH("work_email",Enrichment!$A$1:$GZ$1,0))&amp;"",""))</f>
        <v/>
      </c>
      <c r="BD899" s="0" t="str">
        <f aca="false">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P899" s="0" t="str">
        <f aca="false">IF($A899="","",IFERROR(INDEX(Enrichment!$A$2:$GZ$2000,MATCH($A899,INDEX(Enrichment!$A$2:$GZ$2000,0,MATCH("row_id",Enrichment!$A$1:$GZ$1,0)),0),MATCH("backup_work_email",Enrichment!$A$1:$GZ$1,0))&amp;"",""))</f>
        <v/>
      </c>
      <c r="BQ899" s="0" t="str">
        <f aca="false">IF($A899="","",IF(BP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DU899" s="0" t="str">
        <f aca="false">IF($A899="","",IF(R899="Y",10,0))</f>
        <v/>
      </c>
      <c r="EV899" s="0" t="str">
        <f aca="false">IF($A899="","",IF(ISNUMBER(MATCH(U899,{"queued","contacted","replied","call_booked","call_done","yes_in_principle","materials_sent"},0)),"Y","N"))</f>
        <v/>
      </c>
      <c r="EW899" s="0" t="str">
        <f aca="false">IF($A899="","",IF(OR(T899="Y",U899="do_not_contact",AQ899&amp;""&lt;&gt;""),"Y","N"))</f>
        <v/>
      </c>
      <c r="EX899" s="0" t="str">
        <f aca="false">IF($A899="","",IF(AN899&amp;""&lt;&gt;"",AN899&amp;"",$A899))</f>
        <v/>
      </c>
      <c r="EY899" s="0" t="str">
        <f aca="false">IF($A899="","",IF(COUNTIFS($EX$2:$EX$1000,EX899,$EV$2:$EV$1000,"Y")+COUNTIFS($EX$2:$EX$1000,EX899,$EW$2:$EW$1000,"Y")&gt;0,"Y","N"))</f>
        <v/>
      </c>
      <c r="EZ899" s="0" t="str">
        <f aca="false">IF($A899="","",IF(AND(U899="new",T899="N",EW899="N",AR899="Y",EY899="N"),"Y","N"))</f>
        <v/>
      </c>
      <c r="FA899" s="0" t="str">
        <f aca="false">IF($A899="","",IF(EZ899&lt;&gt;"Y","N",IF(COUNTIFS($EX$2:$EX$1000,EX899,$EZ$2:$EZ$1000,"Y",$J$2:$J$1000,"&gt;"&amp;J899)+COUNTIFS($EX$2:$EX$1000,EX899,$EZ$2:$EZ$1000,"Y",$J$2:$J$1000,J899,$FG$2:$FG$1000,"&lt;"&amp;FG899)=0,"Y","N")))</f>
        <v/>
      </c>
      <c r="FB899" s="0" t="str">
        <f aca="false">IF($A899="","",IF(AND(EZ899="Y",FA899="Y",Y899&amp;""&lt;&gt;""),IF(Y899&lt;=10,"Y","N"),"N"))</f>
        <v/>
      </c>
      <c r="FC899" s="0" t="str">
        <f aca="false">IF(FB899="Y",Y899,"")</f>
        <v/>
      </c>
      <c r="FD899" s="0" t="str">
        <f aca="false">IF($A899="","",IF(AND(CK899="pass",AU899="Y",AV899&lt;&gt;"Y",U899="new",EW899="N"),"Y","N"))</f>
        <v/>
      </c>
      <c r="FE899" s="0" t="str">
        <f aca="false">IF(FD899&lt;&gt;"Y","",IF(COUNTIFS($FD$2:$FD$1000,"Y",$J$2:$J$1000,"&gt;"&amp;J899)+COUNTIFS($FD$2:$FD$1000,"Y",$J$2:$J$1000,J899,$FG$2:$FG$1000,"&lt;"&amp;FG899)+1&lt;=30,COUNTIFS($FD$2:$FD$1000,"Y",$J$2:$J$1000,"&gt;"&amp;J899)+COUNTIFS($FD$2:$FD$1000,"Y",$J$2:$J$1000,J899,$FG$2:$FG$1000,"&lt;"&amp;FG899)+1,""))</f>
        <v/>
      </c>
      <c r="FF899" s="0" t="str">
        <f aca="false">IF(AND(_xlfn.ISFORMULA(C899),_xlfn.ISFORMULA(J899)),"Y","N")</f>
        <v>Y</v>
      </c>
      <c r="FG899" s="0" t="n">
        <f aca="false">ROW()-1</f>
        <v>898</v>
      </c>
    </row>
    <row r="900" customFormat="false" ht="15" hidden="false" customHeight="false" outlineLevel="0" collapsed="false">
      <c r="C900" s="0" t="str">
        <f aca="false">IF($A900="","",IF(AT900="Y",BL900&amp;"",AY900&amp;""))</f>
        <v/>
      </c>
      <c r="D900" s="0" t="str">
        <f aca="false">IF($A900="","",IF(AT900="Y",BM900&amp;"",AZ900&amp;""))</f>
        <v/>
      </c>
      <c r="E900" s="0" t="str">
        <f aca="false">IF($A900="","",IF(AT900="Y",BN900&amp;"",BA900&amp;""))</f>
        <v/>
      </c>
      <c r="F900" s="0" t="str">
        <f aca="false">IF($A900="","",IF(AT900="Y",BO900&amp;"",BB900&amp;""))</f>
        <v/>
      </c>
      <c r="G900" s="0" t="str">
        <f aca="false">IF($A900="","",IF(AT900="Y",BP900&amp;"",BC900&amp;""))</f>
        <v/>
      </c>
      <c r="H900" s="0" t="str">
        <f aca="false">IF($A900="","",IF(AT900="Y",BQ900&amp;"",BD900&amp;""))</f>
        <v/>
      </c>
      <c r="I900" s="0" t="str">
        <f aca="false">IF($A900="","",IF(R900="Y","warm-intro",IF(H900="verified","email",IF(C900&lt;&gt;"","linkedin",CA900&amp;""))))</f>
        <v/>
      </c>
      <c r="J900" s="0" t="str">
        <f aca="false">IF($A900="","",IF(CK900="pass",ROUND(N(DO900)+N(DP900)+N(DQ900)+N(DR900)+N(DS900)+N(DT900)+N(DU900)+N(DV900),0),0))</f>
        <v/>
      </c>
      <c r="K900" s="0" t="str">
        <f aca="false">IF($A900="","",IF(CK900&lt;&gt;"pass",BY900&amp;"",BY900&amp;", "&amp;IF(AT900="Y",BX900&amp;"",BK900&amp;"")&amp;BZ900&amp;IF(R900="Y","; known to the founder (+10)","")&amp;"."))</f>
        <v/>
      </c>
      <c r="R900" s="5"/>
      <c r="T900" s="5"/>
      <c r="U900" s="5"/>
      <c r="Y900" s="0" t="str">
        <f aca="false">IF(FA900&lt;&gt;"Y","",COUNTIFS($FA$2:$FA$1000,"Y",$J$2:$J$1000,"&gt;"&amp;J900)+COUNTIFS($FA$2:$FA$1000,"Y",$J$2:$J$1000,J900,$FG$2:$FG$1000,"&lt;"&amp;FG900)+1)</f>
        <v/>
      </c>
      <c r="AB900" s="0" t="str">
        <f aca="false">IF($A900="","",IF(AT900="Y",BW900&amp;"",BJ900&amp;""))</f>
        <v/>
      </c>
      <c r="AC900" s="0" t="str">
        <f aca="false">IF($A900="","",IF(AT900="Y",BR900&amp;"",BE900&amp;""))</f>
        <v/>
      </c>
      <c r="AD900" s="0" t="str">
        <f aca="false">IF($A900="","",IF(AT900="Y",BS900&amp;"",BF900&amp;""))</f>
        <v/>
      </c>
      <c r="AE900" s="0" t="str">
        <f aca="false">IF($A900="","",IF(AT900="Y",BT900&amp;"",BG900&amp;""))</f>
        <v/>
      </c>
      <c r="AF900" s="0" t="str">
        <f aca="false">IF($A900="","",IF(AT900="Y",BU900&amp;"",BH900&amp;""))</f>
        <v/>
      </c>
      <c r="AG900" s="0" t="str">
        <f aca="false">IF($A900="","",IF(AT900="Y",BV900&amp;"",BI900&amp;""))</f>
        <v/>
      </c>
      <c r="AO900" s="5"/>
      <c r="AR900" s="0" t="str">
        <f aca="false">IF($A900="","",IF(AND(CK900="pass",AO900&lt;&gt;"Y",C900&lt;&gt;"",OR(AU900&lt;&gt;"Y",AV900="Y")),"Y","N"))</f>
        <v/>
      </c>
      <c r="AS900" s="0" t="str">
        <f aca="false">IF($A900="","",_xlfn.TEXTJOIN("; ",TRUE(),IF(CK900&lt;&gt;"pass","gated out",""),IF(AO900="Y","on hold: "&amp;AP900,""),IF(C900="","no contact named on an opened page",""),IF(AND(AU900="Y",AV900&lt;&gt;"Y"),"founder review pending (Founder review tab)","")))</f>
        <v/>
      </c>
      <c r="BC900" s="0" t="str">
        <f aca="false">IF($A900="","",IFERROR(INDEX(Enrichment!$A$2:$GZ$2000,MATCH($A900,INDEX(Enrichment!$A$2:$GZ$2000,0,MATCH("row_id",Enrichment!$A$1:$GZ$1,0)),0),MATCH("work_email",Enrichment!$A$1:$GZ$1,0))&amp;"",""))</f>
        <v/>
      </c>
      <c r="BD900" s="0" t="str">
        <f aca="false">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P900" s="0" t="str">
        <f aca="false">IF($A900="","",IFERROR(INDEX(Enrichment!$A$2:$GZ$2000,MATCH($A900,INDEX(Enrichment!$A$2:$GZ$2000,0,MATCH("row_id",Enrichment!$A$1:$GZ$1,0)),0),MATCH("backup_work_email",Enrichment!$A$1:$GZ$1,0))&amp;"",""))</f>
        <v/>
      </c>
      <c r="BQ900" s="0" t="str">
        <f aca="false">IF($A900="","",IF(BP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DU900" s="0" t="str">
        <f aca="false">IF($A900="","",IF(R900="Y",10,0))</f>
        <v/>
      </c>
      <c r="EV900" s="0" t="str">
        <f aca="false">IF($A900="","",IF(ISNUMBER(MATCH(U900,{"queued","contacted","replied","call_booked","call_done","yes_in_principle","materials_sent"},0)),"Y","N"))</f>
        <v/>
      </c>
      <c r="EW900" s="0" t="str">
        <f aca="false">IF($A900="","",IF(OR(T900="Y",U900="do_not_contact",AQ900&amp;""&lt;&gt;""),"Y","N"))</f>
        <v/>
      </c>
      <c r="EX900" s="0" t="str">
        <f aca="false">IF($A900="","",IF(AN900&amp;""&lt;&gt;"",AN900&amp;"",$A900))</f>
        <v/>
      </c>
      <c r="EY900" s="0" t="str">
        <f aca="false">IF($A900="","",IF(COUNTIFS($EX$2:$EX$1000,EX900,$EV$2:$EV$1000,"Y")+COUNTIFS($EX$2:$EX$1000,EX900,$EW$2:$EW$1000,"Y")&gt;0,"Y","N"))</f>
        <v/>
      </c>
      <c r="EZ900" s="0" t="str">
        <f aca="false">IF($A900="","",IF(AND(U900="new",T900="N",EW900="N",AR900="Y",EY900="N"),"Y","N"))</f>
        <v/>
      </c>
      <c r="FA900" s="0" t="str">
        <f aca="false">IF($A900="","",IF(EZ900&lt;&gt;"Y","N",IF(COUNTIFS($EX$2:$EX$1000,EX900,$EZ$2:$EZ$1000,"Y",$J$2:$J$1000,"&gt;"&amp;J900)+COUNTIFS($EX$2:$EX$1000,EX900,$EZ$2:$EZ$1000,"Y",$J$2:$J$1000,J900,$FG$2:$FG$1000,"&lt;"&amp;FG900)=0,"Y","N")))</f>
        <v/>
      </c>
      <c r="FB900" s="0" t="str">
        <f aca="false">IF($A900="","",IF(AND(EZ900="Y",FA900="Y",Y900&amp;""&lt;&gt;""),IF(Y900&lt;=10,"Y","N"),"N"))</f>
        <v/>
      </c>
      <c r="FC900" s="0" t="str">
        <f aca="false">IF(FB900="Y",Y900,"")</f>
        <v/>
      </c>
      <c r="FD900" s="0" t="str">
        <f aca="false">IF($A900="","",IF(AND(CK900="pass",AU900="Y",AV900&lt;&gt;"Y",U900="new",EW900="N"),"Y","N"))</f>
        <v/>
      </c>
      <c r="FE900" s="0" t="str">
        <f aca="false">IF(FD900&lt;&gt;"Y","",IF(COUNTIFS($FD$2:$FD$1000,"Y",$J$2:$J$1000,"&gt;"&amp;J900)+COUNTIFS($FD$2:$FD$1000,"Y",$J$2:$J$1000,J900,$FG$2:$FG$1000,"&lt;"&amp;FG900)+1&lt;=30,COUNTIFS($FD$2:$FD$1000,"Y",$J$2:$J$1000,"&gt;"&amp;J900)+COUNTIFS($FD$2:$FD$1000,"Y",$J$2:$J$1000,J900,$FG$2:$FG$1000,"&lt;"&amp;FG900)+1,""))</f>
        <v/>
      </c>
      <c r="FF900" s="0" t="str">
        <f aca="false">IF(AND(_xlfn.ISFORMULA(C900),_xlfn.ISFORMULA(J900)),"Y","N")</f>
        <v>Y</v>
      </c>
      <c r="FG900" s="0" t="n">
        <f aca="false">ROW()-1</f>
        <v>899</v>
      </c>
    </row>
    <row r="901" customFormat="false" ht="15" hidden="false" customHeight="false" outlineLevel="0" collapsed="false">
      <c r="C901" s="0" t="str">
        <f aca="false">IF($A901="","",IF(AT901="Y",BL901&amp;"",AY901&amp;""))</f>
        <v/>
      </c>
      <c r="D901" s="0" t="str">
        <f aca="false">IF($A901="","",IF(AT901="Y",BM901&amp;"",AZ901&amp;""))</f>
        <v/>
      </c>
      <c r="E901" s="0" t="str">
        <f aca="false">IF($A901="","",IF(AT901="Y",BN901&amp;"",BA901&amp;""))</f>
        <v/>
      </c>
      <c r="F901" s="0" t="str">
        <f aca="false">IF($A901="","",IF(AT901="Y",BO901&amp;"",BB901&amp;""))</f>
        <v/>
      </c>
      <c r="G901" s="0" t="str">
        <f aca="false">IF($A901="","",IF(AT901="Y",BP901&amp;"",BC901&amp;""))</f>
        <v/>
      </c>
      <c r="H901" s="0" t="str">
        <f aca="false">IF($A901="","",IF(AT901="Y",BQ901&amp;"",BD901&amp;""))</f>
        <v/>
      </c>
      <c r="I901" s="0" t="str">
        <f aca="false">IF($A901="","",IF(R901="Y","warm-intro",IF(H901="verified","email",IF(C901&lt;&gt;"","linkedin",CA901&amp;""))))</f>
        <v/>
      </c>
      <c r="J901" s="0" t="str">
        <f aca="false">IF($A901="","",IF(CK901="pass",ROUND(N(DO901)+N(DP901)+N(DQ901)+N(DR901)+N(DS901)+N(DT901)+N(DU901)+N(DV901),0),0))</f>
        <v/>
      </c>
      <c r="K901" s="0" t="str">
        <f aca="false">IF($A901="","",IF(CK901&lt;&gt;"pass",BY901&amp;"",BY901&amp;", "&amp;IF(AT901="Y",BX901&amp;"",BK901&amp;"")&amp;BZ901&amp;IF(R901="Y","; known to the founder (+10)","")&amp;"."))</f>
        <v/>
      </c>
      <c r="R901" s="5"/>
      <c r="T901" s="5"/>
      <c r="U901" s="5"/>
      <c r="Y901" s="0" t="str">
        <f aca="false">IF(FA901&lt;&gt;"Y","",COUNTIFS($FA$2:$FA$1000,"Y",$J$2:$J$1000,"&gt;"&amp;J901)+COUNTIFS($FA$2:$FA$1000,"Y",$J$2:$J$1000,J901,$FG$2:$FG$1000,"&lt;"&amp;FG901)+1)</f>
        <v/>
      </c>
      <c r="AB901" s="0" t="str">
        <f aca="false">IF($A901="","",IF(AT901="Y",BW901&amp;"",BJ901&amp;""))</f>
        <v/>
      </c>
      <c r="AC901" s="0" t="str">
        <f aca="false">IF($A901="","",IF(AT901="Y",BR901&amp;"",BE901&amp;""))</f>
        <v/>
      </c>
      <c r="AD901" s="0" t="str">
        <f aca="false">IF($A901="","",IF(AT901="Y",BS901&amp;"",BF901&amp;""))</f>
        <v/>
      </c>
      <c r="AE901" s="0" t="str">
        <f aca="false">IF($A901="","",IF(AT901="Y",BT901&amp;"",BG901&amp;""))</f>
        <v/>
      </c>
      <c r="AF901" s="0" t="str">
        <f aca="false">IF($A901="","",IF(AT901="Y",BU901&amp;"",BH901&amp;""))</f>
        <v/>
      </c>
      <c r="AG901" s="0" t="str">
        <f aca="false">IF($A901="","",IF(AT901="Y",BV901&amp;"",BI901&amp;""))</f>
        <v/>
      </c>
      <c r="AO901" s="5"/>
      <c r="AR901" s="0" t="str">
        <f aca="false">IF($A901="","",IF(AND(CK901="pass",AO901&lt;&gt;"Y",C901&lt;&gt;"",OR(AU901&lt;&gt;"Y",AV901="Y")),"Y","N"))</f>
        <v/>
      </c>
      <c r="AS901" s="0" t="str">
        <f aca="false">IF($A901="","",_xlfn.TEXTJOIN("; ",TRUE(),IF(CK901&lt;&gt;"pass","gated out",""),IF(AO901="Y","on hold: "&amp;AP901,""),IF(C901="","no contact named on an opened page",""),IF(AND(AU901="Y",AV901&lt;&gt;"Y"),"founder review pending (Founder review tab)","")))</f>
        <v/>
      </c>
      <c r="BC901" s="0" t="str">
        <f aca="false">IF($A901="","",IFERROR(INDEX(Enrichment!$A$2:$GZ$2000,MATCH($A901,INDEX(Enrichment!$A$2:$GZ$2000,0,MATCH("row_id",Enrichment!$A$1:$GZ$1,0)),0),MATCH("work_email",Enrichment!$A$1:$GZ$1,0))&amp;"",""))</f>
        <v/>
      </c>
      <c r="BD901" s="0" t="str">
        <f aca="false">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P901" s="0" t="str">
        <f aca="false">IF($A901="","",IFERROR(INDEX(Enrichment!$A$2:$GZ$2000,MATCH($A901,INDEX(Enrichment!$A$2:$GZ$2000,0,MATCH("row_id",Enrichment!$A$1:$GZ$1,0)),0),MATCH("backup_work_email",Enrichment!$A$1:$GZ$1,0))&amp;"",""))</f>
        <v/>
      </c>
      <c r="BQ901" s="0" t="str">
        <f aca="false">IF($A901="","",IF(BP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DU901" s="0" t="str">
        <f aca="false">IF($A901="","",IF(R901="Y",10,0))</f>
        <v/>
      </c>
      <c r="EV901" s="0" t="str">
        <f aca="false">IF($A901="","",IF(ISNUMBER(MATCH(U901,{"queued","contacted","replied","call_booked","call_done","yes_in_principle","materials_sent"},0)),"Y","N"))</f>
        <v/>
      </c>
      <c r="EW901" s="0" t="str">
        <f aca="false">IF($A901="","",IF(OR(T901="Y",U901="do_not_contact",AQ901&amp;""&lt;&gt;""),"Y","N"))</f>
        <v/>
      </c>
      <c r="EX901" s="0" t="str">
        <f aca="false">IF($A901="","",IF(AN901&amp;""&lt;&gt;"",AN901&amp;"",$A901))</f>
        <v/>
      </c>
      <c r="EY901" s="0" t="str">
        <f aca="false">IF($A901="","",IF(COUNTIFS($EX$2:$EX$1000,EX901,$EV$2:$EV$1000,"Y")+COUNTIFS($EX$2:$EX$1000,EX901,$EW$2:$EW$1000,"Y")&gt;0,"Y","N"))</f>
        <v/>
      </c>
      <c r="EZ901" s="0" t="str">
        <f aca="false">IF($A901="","",IF(AND(U901="new",T901="N",EW901="N",AR901="Y",EY901="N"),"Y","N"))</f>
        <v/>
      </c>
      <c r="FA901" s="0" t="str">
        <f aca="false">IF($A901="","",IF(EZ901&lt;&gt;"Y","N",IF(COUNTIFS($EX$2:$EX$1000,EX901,$EZ$2:$EZ$1000,"Y",$J$2:$J$1000,"&gt;"&amp;J901)+COUNTIFS($EX$2:$EX$1000,EX901,$EZ$2:$EZ$1000,"Y",$J$2:$J$1000,J901,$FG$2:$FG$1000,"&lt;"&amp;FG901)=0,"Y","N")))</f>
        <v/>
      </c>
      <c r="FB901" s="0" t="str">
        <f aca="false">IF($A901="","",IF(AND(EZ901="Y",FA901="Y",Y901&amp;""&lt;&gt;""),IF(Y901&lt;=10,"Y","N"),"N"))</f>
        <v/>
      </c>
      <c r="FC901" s="0" t="str">
        <f aca="false">IF(FB901="Y",Y901,"")</f>
        <v/>
      </c>
      <c r="FD901" s="0" t="str">
        <f aca="false">IF($A901="","",IF(AND(CK901="pass",AU901="Y",AV901&lt;&gt;"Y",U901="new",EW901="N"),"Y","N"))</f>
        <v/>
      </c>
      <c r="FE901" s="0" t="str">
        <f aca="false">IF(FD901&lt;&gt;"Y","",IF(COUNTIFS($FD$2:$FD$1000,"Y",$J$2:$J$1000,"&gt;"&amp;J901)+COUNTIFS($FD$2:$FD$1000,"Y",$J$2:$J$1000,J901,$FG$2:$FG$1000,"&lt;"&amp;FG901)+1&lt;=30,COUNTIFS($FD$2:$FD$1000,"Y",$J$2:$J$1000,"&gt;"&amp;J901)+COUNTIFS($FD$2:$FD$1000,"Y",$J$2:$J$1000,J901,$FG$2:$FG$1000,"&lt;"&amp;FG901)+1,""))</f>
        <v/>
      </c>
      <c r="FF901" s="0" t="str">
        <f aca="false">IF(AND(_xlfn.ISFORMULA(C901),_xlfn.ISFORMULA(J901)),"Y","N")</f>
        <v>Y</v>
      </c>
      <c r="FG901" s="0" t="n">
        <f aca="false">ROW()-1</f>
        <v>900</v>
      </c>
    </row>
    <row r="902" customFormat="false" ht="15" hidden="false" customHeight="false" outlineLevel="0" collapsed="false">
      <c r="C902" s="0" t="str">
        <f aca="false">IF($A902="","",IF(AT902="Y",BL902&amp;"",AY902&amp;""))</f>
        <v/>
      </c>
      <c r="D902" s="0" t="str">
        <f aca="false">IF($A902="","",IF(AT902="Y",BM902&amp;"",AZ902&amp;""))</f>
        <v/>
      </c>
      <c r="E902" s="0" t="str">
        <f aca="false">IF($A902="","",IF(AT902="Y",BN902&amp;"",BA902&amp;""))</f>
        <v/>
      </c>
      <c r="F902" s="0" t="str">
        <f aca="false">IF($A902="","",IF(AT902="Y",BO902&amp;"",BB902&amp;""))</f>
        <v/>
      </c>
      <c r="G902" s="0" t="str">
        <f aca="false">IF($A902="","",IF(AT902="Y",BP902&amp;"",BC902&amp;""))</f>
        <v/>
      </c>
      <c r="H902" s="0" t="str">
        <f aca="false">IF($A902="","",IF(AT902="Y",BQ902&amp;"",BD902&amp;""))</f>
        <v/>
      </c>
      <c r="I902" s="0" t="str">
        <f aca="false">IF($A902="","",IF(R902="Y","warm-intro",IF(H902="verified","email",IF(C902&lt;&gt;"","linkedin",CA902&amp;""))))</f>
        <v/>
      </c>
      <c r="J902" s="0" t="str">
        <f aca="false">IF($A902="","",IF(CK902="pass",ROUND(N(DO902)+N(DP902)+N(DQ902)+N(DR902)+N(DS902)+N(DT902)+N(DU902)+N(DV902),0),0))</f>
        <v/>
      </c>
      <c r="K902" s="0" t="str">
        <f aca="false">IF($A902="","",IF(CK902&lt;&gt;"pass",BY902&amp;"",BY902&amp;", "&amp;IF(AT902="Y",BX902&amp;"",BK902&amp;"")&amp;BZ902&amp;IF(R902="Y","; known to the founder (+10)","")&amp;"."))</f>
        <v/>
      </c>
      <c r="R902" s="5"/>
      <c r="T902" s="5"/>
      <c r="U902" s="5"/>
      <c r="Y902" s="0" t="str">
        <f aca="false">IF(FA902&lt;&gt;"Y","",COUNTIFS($FA$2:$FA$1000,"Y",$J$2:$J$1000,"&gt;"&amp;J902)+COUNTIFS($FA$2:$FA$1000,"Y",$J$2:$J$1000,J902,$FG$2:$FG$1000,"&lt;"&amp;FG902)+1)</f>
        <v/>
      </c>
      <c r="AB902" s="0" t="str">
        <f aca="false">IF($A902="","",IF(AT902="Y",BW902&amp;"",BJ902&amp;""))</f>
        <v/>
      </c>
      <c r="AC902" s="0" t="str">
        <f aca="false">IF($A902="","",IF(AT902="Y",BR902&amp;"",BE902&amp;""))</f>
        <v/>
      </c>
      <c r="AD902" s="0" t="str">
        <f aca="false">IF($A902="","",IF(AT902="Y",BS902&amp;"",BF902&amp;""))</f>
        <v/>
      </c>
      <c r="AE902" s="0" t="str">
        <f aca="false">IF($A902="","",IF(AT902="Y",BT902&amp;"",BG902&amp;""))</f>
        <v/>
      </c>
      <c r="AF902" s="0" t="str">
        <f aca="false">IF($A902="","",IF(AT902="Y",BU902&amp;"",BH902&amp;""))</f>
        <v/>
      </c>
      <c r="AG902" s="0" t="str">
        <f aca="false">IF($A902="","",IF(AT902="Y",BV902&amp;"",BI902&amp;""))</f>
        <v/>
      </c>
      <c r="AO902" s="5"/>
      <c r="AR902" s="0" t="str">
        <f aca="false">IF($A902="","",IF(AND(CK902="pass",AO902&lt;&gt;"Y",C902&lt;&gt;"",OR(AU902&lt;&gt;"Y",AV902="Y")),"Y","N"))</f>
        <v/>
      </c>
      <c r="AS902" s="0" t="str">
        <f aca="false">IF($A902="","",_xlfn.TEXTJOIN("; ",TRUE(),IF(CK902&lt;&gt;"pass","gated out",""),IF(AO902="Y","on hold: "&amp;AP902,""),IF(C902="","no contact named on an opened page",""),IF(AND(AU902="Y",AV902&lt;&gt;"Y"),"founder review pending (Founder review tab)","")))</f>
        <v/>
      </c>
      <c r="BC902" s="0" t="str">
        <f aca="false">IF($A902="","",IFERROR(INDEX(Enrichment!$A$2:$GZ$2000,MATCH($A902,INDEX(Enrichment!$A$2:$GZ$2000,0,MATCH("row_id",Enrichment!$A$1:$GZ$1,0)),0),MATCH("work_email",Enrichment!$A$1:$GZ$1,0))&amp;"",""))</f>
        <v/>
      </c>
      <c r="BD902" s="0" t="str">
        <f aca="false">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P902" s="0" t="str">
        <f aca="false">IF($A902="","",IFERROR(INDEX(Enrichment!$A$2:$GZ$2000,MATCH($A902,INDEX(Enrichment!$A$2:$GZ$2000,0,MATCH("row_id",Enrichment!$A$1:$GZ$1,0)),0),MATCH("backup_work_email",Enrichment!$A$1:$GZ$1,0))&amp;"",""))</f>
        <v/>
      </c>
      <c r="BQ902" s="0" t="str">
        <f aca="false">IF($A902="","",IF(BP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DU902" s="0" t="str">
        <f aca="false">IF($A902="","",IF(R902="Y",10,0))</f>
        <v/>
      </c>
      <c r="EV902" s="0" t="str">
        <f aca="false">IF($A902="","",IF(ISNUMBER(MATCH(U902,{"queued","contacted","replied","call_booked","call_done","yes_in_principle","materials_sent"},0)),"Y","N"))</f>
        <v/>
      </c>
      <c r="EW902" s="0" t="str">
        <f aca="false">IF($A902="","",IF(OR(T902="Y",U902="do_not_contact",AQ902&amp;""&lt;&gt;""),"Y","N"))</f>
        <v/>
      </c>
      <c r="EX902" s="0" t="str">
        <f aca="false">IF($A902="","",IF(AN902&amp;""&lt;&gt;"",AN902&amp;"",$A902))</f>
        <v/>
      </c>
      <c r="EY902" s="0" t="str">
        <f aca="false">IF($A902="","",IF(COUNTIFS($EX$2:$EX$1000,EX902,$EV$2:$EV$1000,"Y")+COUNTIFS($EX$2:$EX$1000,EX902,$EW$2:$EW$1000,"Y")&gt;0,"Y","N"))</f>
        <v/>
      </c>
      <c r="EZ902" s="0" t="str">
        <f aca="false">IF($A902="","",IF(AND(U902="new",T902="N",EW902="N",AR902="Y",EY902="N"),"Y","N"))</f>
        <v/>
      </c>
      <c r="FA902" s="0" t="str">
        <f aca="false">IF($A902="","",IF(EZ902&lt;&gt;"Y","N",IF(COUNTIFS($EX$2:$EX$1000,EX902,$EZ$2:$EZ$1000,"Y",$J$2:$J$1000,"&gt;"&amp;J902)+COUNTIFS($EX$2:$EX$1000,EX902,$EZ$2:$EZ$1000,"Y",$J$2:$J$1000,J902,$FG$2:$FG$1000,"&lt;"&amp;FG902)=0,"Y","N")))</f>
        <v/>
      </c>
      <c r="FB902" s="0" t="str">
        <f aca="false">IF($A902="","",IF(AND(EZ902="Y",FA902="Y",Y902&amp;""&lt;&gt;""),IF(Y902&lt;=10,"Y","N"),"N"))</f>
        <v/>
      </c>
      <c r="FC902" s="0" t="str">
        <f aca="false">IF(FB902="Y",Y902,"")</f>
        <v/>
      </c>
      <c r="FD902" s="0" t="str">
        <f aca="false">IF($A902="","",IF(AND(CK902="pass",AU902="Y",AV902&lt;&gt;"Y",U902="new",EW902="N"),"Y","N"))</f>
        <v/>
      </c>
      <c r="FE902" s="0" t="str">
        <f aca="false">IF(FD902&lt;&gt;"Y","",IF(COUNTIFS($FD$2:$FD$1000,"Y",$J$2:$J$1000,"&gt;"&amp;J902)+COUNTIFS($FD$2:$FD$1000,"Y",$J$2:$J$1000,J902,$FG$2:$FG$1000,"&lt;"&amp;FG902)+1&lt;=30,COUNTIFS($FD$2:$FD$1000,"Y",$J$2:$J$1000,"&gt;"&amp;J902)+COUNTIFS($FD$2:$FD$1000,"Y",$J$2:$J$1000,J902,$FG$2:$FG$1000,"&lt;"&amp;FG902)+1,""))</f>
        <v/>
      </c>
      <c r="FF902" s="0" t="str">
        <f aca="false">IF(AND(_xlfn.ISFORMULA(C902),_xlfn.ISFORMULA(J902)),"Y","N")</f>
        <v>Y</v>
      </c>
      <c r="FG902" s="0" t="n">
        <f aca="false">ROW()-1</f>
        <v>901</v>
      </c>
    </row>
    <row r="903" customFormat="false" ht="15" hidden="false" customHeight="false" outlineLevel="0" collapsed="false">
      <c r="C903" s="0" t="str">
        <f aca="false">IF($A903="","",IF(AT903="Y",BL903&amp;"",AY903&amp;""))</f>
        <v/>
      </c>
      <c r="D903" s="0" t="str">
        <f aca="false">IF($A903="","",IF(AT903="Y",BM903&amp;"",AZ903&amp;""))</f>
        <v/>
      </c>
      <c r="E903" s="0" t="str">
        <f aca="false">IF($A903="","",IF(AT903="Y",BN903&amp;"",BA903&amp;""))</f>
        <v/>
      </c>
      <c r="F903" s="0" t="str">
        <f aca="false">IF($A903="","",IF(AT903="Y",BO903&amp;"",BB903&amp;""))</f>
        <v/>
      </c>
      <c r="G903" s="0" t="str">
        <f aca="false">IF($A903="","",IF(AT903="Y",BP903&amp;"",BC903&amp;""))</f>
        <v/>
      </c>
      <c r="H903" s="0" t="str">
        <f aca="false">IF($A903="","",IF(AT903="Y",BQ903&amp;"",BD903&amp;""))</f>
        <v/>
      </c>
      <c r="I903" s="0" t="str">
        <f aca="false">IF($A903="","",IF(R903="Y","warm-intro",IF(H903="verified","email",IF(C903&lt;&gt;"","linkedin",CA903&amp;""))))</f>
        <v/>
      </c>
      <c r="J903" s="0" t="str">
        <f aca="false">IF($A903="","",IF(CK903="pass",ROUND(N(DO903)+N(DP903)+N(DQ903)+N(DR903)+N(DS903)+N(DT903)+N(DU903)+N(DV903),0),0))</f>
        <v/>
      </c>
      <c r="K903" s="0" t="str">
        <f aca="false">IF($A903="","",IF(CK903&lt;&gt;"pass",BY903&amp;"",BY903&amp;", "&amp;IF(AT903="Y",BX903&amp;"",BK903&amp;"")&amp;BZ903&amp;IF(R903="Y","; known to the founder (+10)","")&amp;"."))</f>
        <v/>
      </c>
      <c r="R903" s="5"/>
      <c r="T903" s="5"/>
      <c r="U903" s="5"/>
      <c r="Y903" s="0" t="str">
        <f aca="false">IF(FA903&lt;&gt;"Y","",COUNTIFS($FA$2:$FA$1000,"Y",$J$2:$J$1000,"&gt;"&amp;J903)+COUNTIFS($FA$2:$FA$1000,"Y",$J$2:$J$1000,J903,$FG$2:$FG$1000,"&lt;"&amp;FG903)+1)</f>
        <v/>
      </c>
      <c r="AB903" s="0" t="str">
        <f aca="false">IF($A903="","",IF(AT903="Y",BW903&amp;"",BJ903&amp;""))</f>
        <v/>
      </c>
      <c r="AC903" s="0" t="str">
        <f aca="false">IF($A903="","",IF(AT903="Y",BR903&amp;"",BE903&amp;""))</f>
        <v/>
      </c>
      <c r="AD903" s="0" t="str">
        <f aca="false">IF($A903="","",IF(AT903="Y",BS903&amp;"",BF903&amp;""))</f>
        <v/>
      </c>
      <c r="AE903" s="0" t="str">
        <f aca="false">IF($A903="","",IF(AT903="Y",BT903&amp;"",BG903&amp;""))</f>
        <v/>
      </c>
      <c r="AF903" s="0" t="str">
        <f aca="false">IF($A903="","",IF(AT903="Y",BU903&amp;"",BH903&amp;""))</f>
        <v/>
      </c>
      <c r="AG903" s="0" t="str">
        <f aca="false">IF($A903="","",IF(AT903="Y",BV903&amp;"",BI903&amp;""))</f>
        <v/>
      </c>
      <c r="AO903" s="5"/>
      <c r="AR903" s="0" t="str">
        <f aca="false">IF($A903="","",IF(AND(CK903="pass",AO903&lt;&gt;"Y",C903&lt;&gt;"",OR(AU903&lt;&gt;"Y",AV903="Y")),"Y","N"))</f>
        <v/>
      </c>
      <c r="AS903" s="0" t="str">
        <f aca="false">IF($A903="","",_xlfn.TEXTJOIN("; ",TRUE(),IF(CK903&lt;&gt;"pass","gated out",""),IF(AO903="Y","on hold: "&amp;AP903,""),IF(C903="","no contact named on an opened page",""),IF(AND(AU903="Y",AV903&lt;&gt;"Y"),"founder review pending (Founder review tab)","")))</f>
        <v/>
      </c>
      <c r="BC903" s="0" t="str">
        <f aca="false">IF($A903="","",IFERROR(INDEX(Enrichment!$A$2:$GZ$2000,MATCH($A903,INDEX(Enrichment!$A$2:$GZ$2000,0,MATCH("row_id",Enrichment!$A$1:$GZ$1,0)),0),MATCH("work_email",Enrichment!$A$1:$GZ$1,0))&amp;"",""))</f>
        <v/>
      </c>
      <c r="BD903" s="0" t="str">
        <f aca="false">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P903" s="0" t="str">
        <f aca="false">IF($A903="","",IFERROR(INDEX(Enrichment!$A$2:$GZ$2000,MATCH($A903,INDEX(Enrichment!$A$2:$GZ$2000,0,MATCH("row_id",Enrichment!$A$1:$GZ$1,0)),0),MATCH("backup_work_email",Enrichment!$A$1:$GZ$1,0))&amp;"",""))</f>
        <v/>
      </c>
      <c r="BQ903" s="0" t="str">
        <f aca="false">IF($A903="","",IF(BP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DU903" s="0" t="str">
        <f aca="false">IF($A903="","",IF(R903="Y",10,0))</f>
        <v/>
      </c>
      <c r="EV903" s="0" t="str">
        <f aca="false">IF($A903="","",IF(ISNUMBER(MATCH(U903,{"queued","contacted","replied","call_booked","call_done","yes_in_principle","materials_sent"},0)),"Y","N"))</f>
        <v/>
      </c>
      <c r="EW903" s="0" t="str">
        <f aca="false">IF($A903="","",IF(OR(T903="Y",U903="do_not_contact",AQ903&amp;""&lt;&gt;""),"Y","N"))</f>
        <v/>
      </c>
      <c r="EX903" s="0" t="str">
        <f aca="false">IF($A903="","",IF(AN903&amp;""&lt;&gt;"",AN903&amp;"",$A903))</f>
        <v/>
      </c>
      <c r="EY903" s="0" t="str">
        <f aca="false">IF($A903="","",IF(COUNTIFS($EX$2:$EX$1000,EX903,$EV$2:$EV$1000,"Y")+COUNTIFS($EX$2:$EX$1000,EX903,$EW$2:$EW$1000,"Y")&gt;0,"Y","N"))</f>
        <v/>
      </c>
      <c r="EZ903" s="0" t="str">
        <f aca="false">IF($A903="","",IF(AND(U903="new",T903="N",EW903="N",AR903="Y",EY903="N"),"Y","N"))</f>
        <v/>
      </c>
      <c r="FA903" s="0" t="str">
        <f aca="false">IF($A903="","",IF(EZ903&lt;&gt;"Y","N",IF(COUNTIFS($EX$2:$EX$1000,EX903,$EZ$2:$EZ$1000,"Y",$J$2:$J$1000,"&gt;"&amp;J903)+COUNTIFS($EX$2:$EX$1000,EX903,$EZ$2:$EZ$1000,"Y",$J$2:$J$1000,J903,$FG$2:$FG$1000,"&lt;"&amp;FG903)=0,"Y","N")))</f>
        <v/>
      </c>
      <c r="FB903" s="0" t="str">
        <f aca="false">IF($A903="","",IF(AND(EZ903="Y",FA903="Y",Y903&amp;""&lt;&gt;""),IF(Y903&lt;=10,"Y","N"),"N"))</f>
        <v/>
      </c>
      <c r="FC903" s="0" t="str">
        <f aca="false">IF(FB903="Y",Y903,"")</f>
        <v/>
      </c>
      <c r="FD903" s="0" t="str">
        <f aca="false">IF($A903="","",IF(AND(CK903="pass",AU903="Y",AV903&lt;&gt;"Y",U903="new",EW903="N"),"Y","N"))</f>
        <v/>
      </c>
      <c r="FE903" s="0" t="str">
        <f aca="false">IF(FD903&lt;&gt;"Y","",IF(COUNTIFS($FD$2:$FD$1000,"Y",$J$2:$J$1000,"&gt;"&amp;J903)+COUNTIFS($FD$2:$FD$1000,"Y",$J$2:$J$1000,J903,$FG$2:$FG$1000,"&lt;"&amp;FG903)+1&lt;=30,COUNTIFS($FD$2:$FD$1000,"Y",$J$2:$J$1000,"&gt;"&amp;J903)+COUNTIFS($FD$2:$FD$1000,"Y",$J$2:$J$1000,J903,$FG$2:$FG$1000,"&lt;"&amp;FG903)+1,""))</f>
        <v/>
      </c>
      <c r="FF903" s="0" t="str">
        <f aca="false">IF(AND(_xlfn.ISFORMULA(C903),_xlfn.ISFORMULA(J903)),"Y","N")</f>
        <v>Y</v>
      </c>
      <c r="FG903" s="0" t="n">
        <f aca="false">ROW()-1</f>
        <v>902</v>
      </c>
    </row>
    <row r="904" customFormat="false" ht="15" hidden="false" customHeight="false" outlineLevel="0" collapsed="false">
      <c r="C904" s="0" t="str">
        <f aca="false">IF($A904="","",IF(AT904="Y",BL904&amp;"",AY904&amp;""))</f>
        <v/>
      </c>
      <c r="D904" s="0" t="str">
        <f aca="false">IF($A904="","",IF(AT904="Y",BM904&amp;"",AZ904&amp;""))</f>
        <v/>
      </c>
      <c r="E904" s="0" t="str">
        <f aca="false">IF($A904="","",IF(AT904="Y",BN904&amp;"",BA904&amp;""))</f>
        <v/>
      </c>
      <c r="F904" s="0" t="str">
        <f aca="false">IF($A904="","",IF(AT904="Y",BO904&amp;"",BB904&amp;""))</f>
        <v/>
      </c>
      <c r="G904" s="0" t="str">
        <f aca="false">IF($A904="","",IF(AT904="Y",BP904&amp;"",BC904&amp;""))</f>
        <v/>
      </c>
      <c r="H904" s="0" t="str">
        <f aca="false">IF($A904="","",IF(AT904="Y",BQ904&amp;"",BD904&amp;""))</f>
        <v/>
      </c>
      <c r="I904" s="0" t="str">
        <f aca="false">IF($A904="","",IF(R904="Y","warm-intro",IF(H904="verified","email",IF(C904&lt;&gt;"","linkedin",CA904&amp;""))))</f>
        <v/>
      </c>
      <c r="J904" s="0" t="str">
        <f aca="false">IF($A904="","",IF(CK904="pass",ROUND(N(DO904)+N(DP904)+N(DQ904)+N(DR904)+N(DS904)+N(DT904)+N(DU904)+N(DV904),0),0))</f>
        <v/>
      </c>
      <c r="K904" s="0" t="str">
        <f aca="false">IF($A904="","",IF(CK904&lt;&gt;"pass",BY904&amp;"",BY904&amp;", "&amp;IF(AT904="Y",BX904&amp;"",BK904&amp;"")&amp;BZ904&amp;IF(R904="Y","; known to the founder (+10)","")&amp;"."))</f>
        <v/>
      </c>
      <c r="R904" s="5"/>
      <c r="T904" s="5"/>
      <c r="U904" s="5"/>
      <c r="Y904" s="0" t="str">
        <f aca="false">IF(FA904&lt;&gt;"Y","",COUNTIFS($FA$2:$FA$1000,"Y",$J$2:$J$1000,"&gt;"&amp;J904)+COUNTIFS($FA$2:$FA$1000,"Y",$J$2:$J$1000,J904,$FG$2:$FG$1000,"&lt;"&amp;FG904)+1)</f>
        <v/>
      </c>
      <c r="AB904" s="0" t="str">
        <f aca="false">IF($A904="","",IF(AT904="Y",BW904&amp;"",BJ904&amp;""))</f>
        <v/>
      </c>
      <c r="AC904" s="0" t="str">
        <f aca="false">IF($A904="","",IF(AT904="Y",BR904&amp;"",BE904&amp;""))</f>
        <v/>
      </c>
      <c r="AD904" s="0" t="str">
        <f aca="false">IF($A904="","",IF(AT904="Y",BS904&amp;"",BF904&amp;""))</f>
        <v/>
      </c>
      <c r="AE904" s="0" t="str">
        <f aca="false">IF($A904="","",IF(AT904="Y",BT904&amp;"",BG904&amp;""))</f>
        <v/>
      </c>
      <c r="AF904" s="0" t="str">
        <f aca="false">IF($A904="","",IF(AT904="Y",BU904&amp;"",BH904&amp;""))</f>
        <v/>
      </c>
      <c r="AG904" s="0" t="str">
        <f aca="false">IF($A904="","",IF(AT904="Y",BV904&amp;"",BI904&amp;""))</f>
        <v/>
      </c>
      <c r="AO904" s="5"/>
      <c r="AR904" s="0" t="str">
        <f aca="false">IF($A904="","",IF(AND(CK904="pass",AO904&lt;&gt;"Y",C904&lt;&gt;"",OR(AU904&lt;&gt;"Y",AV904="Y")),"Y","N"))</f>
        <v/>
      </c>
      <c r="AS904" s="0" t="str">
        <f aca="false">IF($A904="","",_xlfn.TEXTJOIN("; ",TRUE(),IF(CK904&lt;&gt;"pass","gated out",""),IF(AO904="Y","on hold: "&amp;AP904,""),IF(C904="","no contact named on an opened page",""),IF(AND(AU904="Y",AV904&lt;&gt;"Y"),"founder review pending (Founder review tab)","")))</f>
        <v/>
      </c>
      <c r="BC904" s="0" t="str">
        <f aca="false">IF($A904="","",IFERROR(INDEX(Enrichment!$A$2:$GZ$2000,MATCH($A904,INDEX(Enrichment!$A$2:$GZ$2000,0,MATCH("row_id",Enrichment!$A$1:$GZ$1,0)),0),MATCH("work_email",Enrichment!$A$1:$GZ$1,0))&amp;"",""))</f>
        <v/>
      </c>
      <c r="BD904" s="0" t="str">
        <f aca="false">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P904" s="0" t="str">
        <f aca="false">IF($A904="","",IFERROR(INDEX(Enrichment!$A$2:$GZ$2000,MATCH($A904,INDEX(Enrichment!$A$2:$GZ$2000,0,MATCH("row_id",Enrichment!$A$1:$GZ$1,0)),0),MATCH("backup_work_email",Enrichment!$A$1:$GZ$1,0))&amp;"",""))</f>
        <v/>
      </c>
      <c r="BQ904" s="0" t="str">
        <f aca="false">IF($A904="","",IF(BP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DU904" s="0" t="str">
        <f aca="false">IF($A904="","",IF(R904="Y",10,0))</f>
        <v/>
      </c>
      <c r="EV904" s="0" t="str">
        <f aca="false">IF($A904="","",IF(ISNUMBER(MATCH(U904,{"queued","contacted","replied","call_booked","call_done","yes_in_principle","materials_sent"},0)),"Y","N"))</f>
        <v/>
      </c>
      <c r="EW904" s="0" t="str">
        <f aca="false">IF($A904="","",IF(OR(T904="Y",U904="do_not_contact",AQ904&amp;""&lt;&gt;""),"Y","N"))</f>
        <v/>
      </c>
      <c r="EX904" s="0" t="str">
        <f aca="false">IF($A904="","",IF(AN904&amp;""&lt;&gt;"",AN904&amp;"",$A904))</f>
        <v/>
      </c>
      <c r="EY904" s="0" t="str">
        <f aca="false">IF($A904="","",IF(COUNTIFS($EX$2:$EX$1000,EX904,$EV$2:$EV$1000,"Y")+COUNTIFS($EX$2:$EX$1000,EX904,$EW$2:$EW$1000,"Y")&gt;0,"Y","N"))</f>
        <v/>
      </c>
      <c r="EZ904" s="0" t="str">
        <f aca="false">IF($A904="","",IF(AND(U904="new",T904="N",EW904="N",AR904="Y",EY904="N"),"Y","N"))</f>
        <v/>
      </c>
      <c r="FA904" s="0" t="str">
        <f aca="false">IF($A904="","",IF(EZ904&lt;&gt;"Y","N",IF(COUNTIFS($EX$2:$EX$1000,EX904,$EZ$2:$EZ$1000,"Y",$J$2:$J$1000,"&gt;"&amp;J904)+COUNTIFS($EX$2:$EX$1000,EX904,$EZ$2:$EZ$1000,"Y",$J$2:$J$1000,J904,$FG$2:$FG$1000,"&lt;"&amp;FG904)=0,"Y","N")))</f>
        <v/>
      </c>
      <c r="FB904" s="0" t="str">
        <f aca="false">IF($A904="","",IF(AND(EZ904="Y",FA904="Y",Y904&amp;""&lt;&gt;""),IF(Y904&lt;=10,"Y","N"),"N"))</f>
        <v/>
      </c>
      <c r="FC904" s="0" t="str">
        <f aca="false">IF(FB904="Y",Y904,"")</f>
        <v/>
      </c>
      <c r="FD904" s="0" t="str">
        <f aca="false">IF($A904="","",IF(AND(CK904="pass",AU904="Y",AV904&lt;&gt;"Y",U904="new",EW904="N"),"Y","N"))</f>
        <v/>
      </c>
      <c r="FE904" s="0" t="str">
        <f aca="false">IF(FD904&lt;&gt;"Y","",IF(COUNTIFS($FD$2:$FD$1000,"Y",$J$2:$J$1000,"&gt;"&amp;J904)+COUNTIFS($FD$2:$FD$1000,"Y",$J$2:$J$1000,J904,$FG$2:$FG$1000,"&lt;"&amp;FG904)+1&lt;=30,COUNTIFS($FD$2:$FD$1000,"Y",$J$2:$J$1000,"&gt;"&amp;J904)+COUNTIFS($FD$2:$FD$1000,"Y",$J$2:$J$1000,J904,$FG$2:$FG$1000,"&lt;"&amp;FG904)+1,""))</f>
        <v/>
      </c>
      <c r="FF904" s="0" t="str">
        <f aca="false">IF(AND(_xlfn.ISFORMULA(C904),_xlfn.ISFORMULA(J904)),"Y","N")</f>
        <v>Y</v>
      </c>
      <c r="FG904" s="0" t="n">
        <f aca="false">ROW()-1</f>
        <v>903</v>
      </c>
    </row>
    <row r="905" customFormat="false" ht="15" hidden="false" customHeight="false" outlineLevel="0" collapsed="false">
      <c r="C905" s="0" t="str">
        <f aca="false">IF($A905="","",IF(AT905="Y",BL905&amp;"",AY905&amp;""))</f>
        <v/>
      </c>
      <c r="D905" s="0" t="str">
        <f aca="false">IF($A905="","",IF(AT905="Y",BM905&amp;"",AZ905&amp;""))</f>
        <v/>
      </c>
      <c r="E905" s="0" t="str">
        <f aca="false">IF($A905="","",IF(AT905="Y",BN905&amp;"",BA905&amp;""))</f>
        <v/>
      </c>
      <c r="F905" s="0" t="str">
        <f aca="false">IF($A905="","",IF(AT905="Y",BO905&amp;"",BB905&amp;""))</f>
        <v/>
      </c>
      <c r="G905" s="0" t="str">
        <f aca="false">IF($A905="","",IF(AT905="Y",BP905&amp;"",BC905&amp;""))</f>
        <v/>
      </c>
      <c r="H905" s="0" t="str">
        <f aca="false">IF($A905="","",IF(AT905="Y",BQ905&amp;"",BD905&amp;""))</f>
        <v/>
      </c>
      <c r="I905" s="0" t="str">
        <f aca="false">IF($A905="","",IF(R905="Y","warm-intro",IF(H905="verified","email",IF(C905&lt;&gt;"","linkedin",CA905&amp;""))))</f>
        <v/>
      </c>
      <c r="J905" s="0" t="str">
        <f aca="false">IF($A905="","",IF(CK905="pass",ROUND(N(DO905)+N(DP905)+N(DQ905)+N(DR905)+N(DS905)+N(DT905)+N(DU905)+N(DV905),0),0))</f>
        <v/>
      </c>
      <c r="K905" s="0" t="str">
        <f aca="false">IF($A905="","",IF(CK905&lt;&gt;"pass",BY905&amp;"",BY905&amp;", "&amp;IF(AT905="Y",BX905&amp;"",BK905&amp;"")&amp;BZ905&amp;IF(R905="Y","; known to the founder (+10)","")&amp;"."))</f>
        <v/>
      </c>
      <c r="R905" s="5"/>
      <c r="T905" s="5"/>
      <c r="U905" s="5"/>
      <c r="Y905" s="0" t="str">
        <f aca="false">IF(FA905&lt;&gt;"Y","",COUNTIFS($FA$2:$FA$1000,"Y",$J$2:$J$1000,"&gt;"&amp;J905)+COUNTIFS($FA$2:$FA$1000,"Y",$J$2:$J$1000,J905,$FG$2:$FG$1000,"&lt;"&amp;FG905)+1)</f>
        <v/>
      </c>
      <c r="AB905" s="0" t="str">
        <f aca="false">IF($A905="","",IF(AT905="Y",BW905&amp;"",BJ905&amp;""))</f>
        <v/>
      </c>
      <c r="AC905" s="0" t="str">
        <f aca="false">IF($A905="","",IF(AT905="Y",BR905&amp;"",BE905&amp;""))</f>
        <v/>
      </c>
      <c r="AD905" s="0" t="str">
        <f aca="false">IF($A905="","",IF(AT905="Y",BS905&amp;"",BF905&amp;""))</f>
        <v/>
      </c>
      <c r="AE905" s="0" t="str">
        <f aca="false">IF($A905="","",IF(AT905="Y",BT905&amp;"",BG905&amp;""))</f>
        <v/>
      </c>
      <c r="AF905" s="0" t="str">
        <f aca="false">IF($A905="","",IF(AT905="Y",BU905&amp;"",BH905&amp;""))</f>
        <v/>
      </c>
      <c r="AG905" s="0" t="str">
        <f aca="false">IF($A905="","",IF(AT905="Y",BV905&amp;"",BI905&amp;""))</f>
        <v/>
      </c>
      <c r="AO905" s="5"/>
      <c r="AR905" s="0" t="str">
        <f aca="false">IF($A905="","",IF(AND(CK905="pass",AO905&lt;&gt;"Y",C905&lt;&gt;"",OR(AU905&lt;&gt;"Y",AV905="Y")),"Y","N"))</f>
        <v/>
      </c>
      <c r="AS905" s="0" t="str">
        <f aca="false">IF($A905="","",_xlfn.TEXTJOIN("; ",TRUE(),IF(CK905&lt;&gt;"pass","gated out",""),IF(AO905="Y","on hold: "&amp;AP905,""),IF(C905="","no contact named on an opened page",""),IF(AND(AU905="Y",AV905&lt;&gt;"Y"),"founder review pending (Founder review tab)","")))</f>
        <v/>
      </c>
      <c r="BC905" s="0" t="str">
        <f aca="false">IF($A905="","",IFERROR(INDEX(Enrichment!$A$2:$GZ$2000,MATCH($A905,INDEX(Enrichment!$A$2:$GZ$2000,0,MATCH("row_id",Enrichment!$A$1:$GZ$1,0)),0),MATCH("work_email",Enrichment!$A$1:$GZ$1,0))&amp;"",""))</f>
        <v/>
      </c>
      <c r="BD905" s="0" t="str">
        <f aca="false">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P905" s="0" t="str">
        <f aca="false">IF($A905="","",IFERROR(INDEX(Enrichment!$A$2:$GZ$2000,MATCH($A905,INDEX(Enrichment!$A$2:$GZ$2000,0,MATCH("row_id",Enrichment!$A$1:$GZ$1,0)),0),MATCH("backup_work_email",Enrichment!$A$1:$GZ$1,0))&amp;"",""))</f>
        <v/>
      </c>
      <c r="BQ905" s="0" t="str">
        <f aca="false">IF($A905="","",IF(BP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DU905" s="0" t="str">
        <f aca="false">IF($A905="","",IF(R905="Y",10,0))</f>
        <v/>
      </c>
      <c r="EV905" s="0" t="str">
        <f aca="false">IF($A905="","",IF(ISNUMBER(MATCH(U905,{"queued","contacted","replied","call_booked","call_done","yes_in_principle","materials_sent"},0)),"Y","N"))</f>
        <v/>
      </c>
      <c r="EW905" s="0" t="str">
        <f aca="false">IF($A905="","",IF(OR(T905="Y",U905="do_not_contact",AQ905&amp;""&lt;&gt;""),"Y","N"))</f>
        <v/>
      </c>
      <c r="EX905" s="0" t="str">
        <f aca="false">IF($A905="","",IF(AN905&amp;""&lt;&gt;"",AN905&amp;"",$A905))</f>
        <v/>
      </c>
      <c r="EY905" s="0" t="str">
        <f aca="false">IF($A905="","",IF(COUNTIFS($EX$2:$EX$1000,EX905,$EV$2:$EV$1000,"Y")+COUNTIFS($EX$2:$EX$1000,EX905,$EW$2:$EW$1000,"Y")&gt;0,"Y","N"))</f>
        <v/>
      </c>
      <c r="EZ905" s="0" t="str">
        <f aca="false">IF($A905="","",IF(AND(U905="new",T905="N",EW905="N",AR905="Y",EY905="N"),"Y","N"))</f>
        <v/>
      </c>
      <c r="FA905" s="0" t="str">
        <f aca="false">IF($A905="","",IF(EZ905&lt;&gt;"Y","N",IF(COUNTIFS($EX$2:$EX$1000,EX905,$EZ$2:$EZ$1000,"Y",$J$2:$J$1000,"&gt;"&amp;J905)+COUNTIFS($EX$2:$EX$1000,EX905,$EZ$2:$EZ$1000,"Y",$J$2:$J$1000,J905,$FG$2:$FG$1000,"&lt;"&amp;FG905)=0,"Y","N")))</f>
        <v/>
      </c>
      <c r="FB905" s="0" t="str">
        <f aca="false">IF($A905="","",IF(AND(EZ905="Y",FA905="Y",Y905&amp;""&lt;&gt;""),IF(Y905&lt;=10,"Y","N"),"N"))</f>
        <v/>
      </c>
      <c r="FC905" s="0" t="str">
        <f aca="false">IF(FB905="Y",Y905,"")</f>
        <v/>
      </c>
      <c r="FD905" s="0" t="str">
        <f aca="false">IF($A905="","",IF(AND(CK905="pass",AU905="Y",AV905&lt;&gt;"Y",U905="new",EW905="N"),"Y","N"))</f>
        <v/>
      </c>
      <c r="FE905" s="0" t="str">
        <f aca="false">IF(FD905&lt;&gt;"Y","",IF(COUNTIFS($FD$2:$FD$1000,"Y",$J$2:$J$1000,"&gt;"&amp;J905)+COUNTIFS($FD$2:$FD$1000,"Y",$J$2:$J$1000,J905,$FG$2:$FG$1000,"&lt;"&amp;FG905)+1&lt;=30,COUNTIFS($FD$2:$FD$1000,"Y",$J$2:$J$1000,"&gt;"&amp;J905)+COUNTIFS($FD$2:$FD$1000,"Y",$J$2:$J$1000,J905,$FG$2:$FG$1000,"&lt;"&amp;FG905)+1,""))</f>
        <v/>
      </c>
      <c r="FF905" s="0" t="str">
        <f aca="false">IF(AND(_xlfn.ISFORMULA(C905),_xlfn.ISFORMULA(J905)),"Y","N")</f>
        <v>Y</v>
      </c>
      <c r="FG905" s="0" t="n">
        <f aca="false">ROW()-1</f>
        <v>904</v>
      </c>
    </row>
    <row r="906" customFormat="false" ht="15" hidden="false" customHeight="false" outlineLevel="0" collapsed="false">
      <c r="C906" s="0" t="str">
        <f aca="false">IF($A906="","",IF(AT906="Y",BL906&amp;"",AY906&amp;""))</f>
        <v/>
      </c>
      <c r="D906" s="0" t="str">
        <f aca="false">IF($A906="","",IF(AT906="Y",BM906&amp;"",AZ906&amp;""))</f>
        <v/>
      </c>
      <c r="E906" s="0" t="str">
        <f aca="false">IF($A906="","",IF(AT906="Y",BN906&amp;"",BA906&amp;""))</f>
        <v/>
      </c>
      <c r="F906" s="0" t="str">
        <f aca="false">IF($A906="","",IF(AT906="Y",BO906&amp;"",BB906&amp;""))</f>
        <v/>
      </c>
      <c r="G906" s="0" t="str">
        <f aca="false">IF($A906="","",IF(AT906="Y",BP906&amp;"",BC906&amp;""))</f>
        <v/>
      </c>
      <c r="H906" s="0" t="str">
        <f aca="false">IF($A906="","",IF(AT906="Y",BQ906&amp;"",BD906&amp;""))</f>
        <v/>
      </c>
      <c r="I906" s="0" t="str">
        <f aca="false">IF($A906="","",IF(R906="Y","warm-intro",IF(H906="verified","email",IF(C906&lt;&gt;"","linkedin",CA906&amp;""))))</f>
        <v/>
      </c>
      <c r="J906" s="0" t="str">
        <f aca="false">IF($A906="","",IF(CK906="pass",ROUND(N(DO906)+N(DP906)+N(DQ906)+N(DR906)+N(DS906)+N(DT906)+N(DU906)+N(DV906),0),0))</f>
        <v/>
      </c>
      <c r="K906" s="0" t="str">
        <f aca="false">IF($A906="","",IF(CK906&lt;&gt;"pass",BY906&amp;"",BY906&amp;", "&amp;IF(AT906="Y",BX906&amp;"",BK906&amp;"")&amp;BZ906&amp;IF(R906="Y","; known to the founder (+10)","")&amp;"."))</f>
        <v/>
      </c>
      <c r="R906" s="5"/>
      <c r="T906" s="5"/>
      <c r="U906" s="5"/>
      <c r="Y906" s="0" t="str">
        <f aca="false">IF(FA906&lt;&gt;"Y","",COUNTIFS($FA$2:$FA$1000,"Y",$J$2:$J$1000,"&gt;"&amp;J906)+COUNTIFS($FA$2:$FA$1000,"Y",$J$2:$J$1000,J906,$FG$2:$FG$1000,"&lt;"&amp;FG906)+1)</f>
        <v/>
      </c>
      <c r="AB906" s="0" t="str">
        <f aca="false">IF($A906="","",IF(AT906="Y",BW906&amp;"",BJ906&amp;""))</f>
        <v/>
      </c>
      <c r="AC906" s="0" t="str">
        <f aca="false">IF($A906="","",IF(AT906="Y",BR906&amp;"",BE906&amp;""))</f>
        <v/>
      </c>
      <c r="AD906" s="0" t="str">
        <f aca="false">IF($A906="","",IF(AT906="Y",BS906&amp;"",BF906&amp;""))</f>
        <v/>
      </c>
      <c r="AE906" s="0" t="str">
        <f aca="false">IF($A906="","",IF(AT906="Y",BT906&amp;"",BG906&amp;""))</f>
        <v/>
      </c>
      <c r="AF906" s="0" t="str">
        <f aca="false">IF($A906="","",IF(AT906="Y",BU906&amp;"",BH906&amp;""))</f>
        <v/>
      </c>
      <c r="AG906" s="0" t="str">
        <f aca="false">IF($A906="","",IF(AT906="Y",BV906&amp;"",BI906&amp;""))</f>
        <v/>
      </c>
      <c r="AO906" s="5"/>
      <c r="AR906" s="0" t="str">
        <f aca="false">IF($A906="","",IF(AND(CK906="pass",AO906&lt;&gt;"Y",C906&lt;&gt;"",OR(AU906&lt;&gt;"Y",AV906="Y")),"Y","N"))</f>
        <v/>
      </c>
      <c r="AS906" s="0" t="str">
        <f aca="false">IF($A906="","",_xlfn.TEXTJOIN("; ",TRUE(),IF(CK906&lt;&gt;"pass","gated out",""),IF(AO906="Y","on hold: "&amp;AP906,""),IF(C906="","no contact named on an opened page",""),IF(AND(AU906="Y",AV906&lt;&gt;"Y"),"founder review pending (Founder review tab)","")))</f>
        <v/>
      </c>
      <c r="BC906" s="0" t="str">
        <f aca="false">IF($A906="","",IFERROR(INDEX(Enrichment!$A$2:$GZ$2000,MATCH($A906,INDEX(Enrichment!$A$2:$GZ$2000,0,MATCH("row_id",Enrichment!$A$1:$GZ$1,0)),0),MATCH("work_email",Enrichment!$A$1:$GZ$1,0))&amp;"",""))</f>
        <v/>
      </c>
      <c r="BD906" s="0" t="str">
        <f aca="false">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P906" s="0" t="str">
        <f aca="false">IF($A906="","",IFERROR(INDEX(Enrichment!$A$2:$GZ$2000,MATCH($A906,INDEX(Enrichment!$A$2:$GZ$2000,0,MATCH("row_id",Enrichment!$A$1:$GZ$1,0)),0),MATCH("backup_work_email",Enrichment!$A$1:$GZ$1,0))&amp;"",""))</f>
        <v/>
      </c>
      <c r="BQ906" s="0" t="str">
        <f aca="false">IF($A906="","",IF(BP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DU906" s="0" t="str">
        <f aca="false">IF($A906="","",IF(R906="Y",10,0))</f>
        <v/>
      </c>
      <c r="EV906" s="0" t="str">
        <f aca="false">IF($A906="","",IF(ISNUMBER(MATCH(U906,{"queued","contacted","replied","call_booked","call_done","yes_in_principle","materials_sent"},0)),"Y","N"))</f>
        <v/>
      </c>
      <c r="EW906" s="0" t="str">
        <f aca="false">IF($A906="","",IF(OR(T906="Y",U906="do_not_contact",AQ906&amp;""&lt;&gt;""),"Y","N"))</f>
        <v/>
      </c>
      <c r="EX906" s="0" t="str">
        <f aca="false">IF($A906="","",IF(AN906&amp;""&lt;&gt;"",AN906&amp;"",$A906))</f>
        <v/>
      </c>
      <c r="EY906" s="0" t="str">
        <f aca="false">IF($A906="","",IF(COUNTIFS($EX$2:$EX$1000,EX906,$EV$2:$EV$1000,"Y")+COUNTIFS($EX$2:$EX$1000,EX906,$EW$2:$EW$1000,"Y")&gt;0,"Y","N"))</f>
        <v/>
      </c>
      <c r="EZ906" s="0" t="str">
        <f aca="false">IF($A906="","",IF(AND(U906="new",T906="N",EW906="N",AR906="Y",EY906="N"),"Y","N"))</f>
        <v/>
      </c>
      <c r="FA906" s="0" t="str">
        <f aca="false">IF($A906="","",IF(EZ906&lt;&gt;"Y","N",IF(COUNTIFS($EX$2:$EX$1000,EX906,$EZ$2:$EZ$1000,"Y",$J$2:$J$1000,"&gt;"&amp;J906)+COUNTIFS($EX$2:$EX$1000,EX906,$EZ$2:$EZ$1000,"Y",$J$2:$J$1000,J906,$FG$2:$FG$1000,"&lt;"&amp;FG906)=0,"Y","N")))</f>
        <v/>
      </c>
      <c r="FB906" s="0" t="str">
        <f aca="false">IF($A906="","",IF(AND(EZ906="Y",FA906="Y",Y906&amp;""&lt;&gt;""),IF(Y906&lt;=10,"Y","N"),"N"))</f>
        <v/>
      </c>
      <c r="FC906" s="0" t="str">
        <f aca="false">IF(FB906="Y",Y906,"")</f>
        <v/>
      </c>
      <c r="FD906" s="0" t="str">
        <f aca="false">IF($A906="","",IF(AND(CK906="pass",AU906="Y",AV906&lt;&gt;"Y",U906="new",EW906="N"),"Y","N"))</f>
        <v/>
      </c>
      <c r="FE906" s="0" t="str">
        <f aca="false">IF(FD906&lt;&gt;"Y","",IF(COUNTIFS($FD$2:$FD$1000,"Y",$J$2:$J$1000,"&gt;"&amp;J906)+COUNTIFS($FD$2:$FD$1000,"Y",$J$2:$J$1000,J906,$FG$2:$FG$1000,"&lt;"&amp;FG906)+1&lt;=30,COUNTIFS($FD$2:$FD$1000,"Y",$J$2:$J$1000,"&gt;"&amp;J906)+COUNTIFS($FD$2:$FD$1000,"Y",$J$2:$J$1000,J906,$FG$2:$FG$1000,"&lt;"&amp;FG906)+1,""))</f>
        <v/>
      </c>
      <c r="FF906" s="0" t="str">
        <f aca="false">IF(AND(_xlfn.ISFORMULA(C906),_xlfn.ISFORMULA(J906)),"Y","N")</f>
        <v>Y</v>
      </c>
      <c r="FG906" s="0" t="n">
        <f aca="false">ROW()-1</f>
        <v>905</v>
      </c>
    </row>
    <row r="907" customFormat="false" ht="15" hidden="false" customHeight="false" outlineLevel="0" collapsed="false">
      <c r="C907" s="0" t="str">
        <f aca="false">IF($A907="","",IF(AT907="Y",BL907&amp;"",AY907&amp;""))</f>
        <v/>
      </c>
      <c r="D907" s="0" t="str">
        <f aca="false">IF($A907="","",IF(AT907="Y",BM907&amp;"",AZ907&amp;""))</f>
        <v/>
      </c>
      <c r="E907" s="0" t="str">
        <f aca="false">IF($A907="","",IF(AT907="Y",BN907&amp;"",BA907&amp;""))</f>
        <v/>
      </c>
      <c r="F907" s="0" t="str">
        <f aca="false">IF($A907="","",IF(AT907="Y",BO907&amp;"",BB907&amp;""))</f>
        <v/>
      </c>
      <c r="G907" s="0" t="str">
        <f aca="false">IF($A907="","",IF(AT907="Y",BP907&amp;"",BC907&amp;""))</f>
        <v/>
      </c>
      <c r="H907" s="0" t="str">
        <f aca="false">IF($A907="","",IF(AT907="Y",BQ907&amp;"",BD907&amp;""))</f>
        <v/>
      </c>
      <c r="I907" s="0" t="str">
        <f aca="false">IF($A907="","",IF(R907="Y","warm-intro",IF(H907="verified","email",IF(C907&lt;&gt;"","linkedin",CA907&amp;""))))</f>
        <v/>
      </c>
      <c r="J907" s="0" t="str">
        <f aca="false">IF($A907="","",IF(CK907="pass",ROUND(N(DO907)+N(DP907)+N(DQ907)+N(DR907)+N(DS907)+N(DT907)+N(DU907)+N(DV907),0),0))</f>
        <v/>
      </c>
      <c r="K907" s="0" t="str">
        <f aca="false">IF($A907="","",IF(CK907&lt;&gt;"pass",BY907&amp;"",BY907&amp;", "&amp;IF(AT907="Y",BX907&amp;"",BK907&amp;"")&amp;BZ907&amp;IF(R907="Y","; known to the founder (+10)","")&amp;"."))</f>
        <v/>
      </c>
      <c r="R907" s="5"/>
      <c r="T907" s="5"/>
      <c r="U907" s="5"/>
      <c r="Y907" s="0" t="str">
        <f aca="false">IF(FA907&lt;&gt;"Y","",COUNTIFS($FA$2:$FA$1000,"Y",$J$2:$J$1000,"&gt;"&amp;J907)+COUNTIFS($FA$2:$FA$1000,"Y",$J$2:$J$1000,J907,$FG$2:$FG$1000,"&lt;"&amp;FG907)+1)</f>
        <v/>
      </c>
      <c r="AB907" s="0" t="str">
        <f aca="false">IF($A907="","",IF(AT907="Y",BW907&amp;"",BJ907&amp;""))</f>
        <v/>
      </c>
      <c r="AC907" s="0" t="str">
        <f aca="false">IF($A907="","",IF(AT907="Y",BR907&amp;"",BE907&amp;""))</f>
        <v/>
      </c>
      <c r="AD907" s="0" t="str">
        <f aca="false">IF($A907="","",IF(AT907="Y",BS907&amp;"",BF907&amp;""))</f>
        <v/>
      </c>
      <c r="AE907" s="0" t="str">
        <f aca="false">IF($A907="","",IF(AT907="Y",BT907&amp;"",BG907&amp;""))</f>
        <v/>
      </c>
      <c r="AF907" s="0" t="str">
        <f aca="false">IF($A907="","",IF(AT907="Y",BU907&amp;"",BH907&amp;""))</f>
        <v/>
      </c>
      <c r="AG907" s="0" t="str">
        <f aca="false">IF($A907="","",IF(AT907="Y",BV907&amp;"",BI907&amp;""))</f>
        <v/>
      </c>
      <c r="AO907" s="5"/>
      <c r="AR907" s="0" t="str">
        <f aca="false">IF($A907="","",IF(AND(CK907="pass",AO907&lt;&gt;"Y",C907&lt;&gt;"",OR(AU907&lt;&gt;"Y",AV907="Y")),"Y","N"))</f>
        <v/>
      </c>
      <c r="AS907" s="0" t="str">
        <f aca="false">IF($A907="","",_xlfn.TEXTJOIN("; ",TRUE(),IF(CK907&lt;&gt;"pass","gated out",""),IF(AO907="Y","on hold: "&amp;AP907,""),IF(C907="","no contact named on an opened page",""),IF(AND(AU907="Y",AV907&lt;&gt;"Y"),"founder review pending (Founder review tab)","")))</f>
        <v/>
      </c>
      <c r="BC907" s="0" t="str">
        <f aca="false">IF($A907="","",IFERROR(INDEX(Enrichment!$A$2:$GZ$2000,MATCH($A907,INDEX(Enrichment!$A$2:$GZ$2000,0,MATCH("row_id",Enrichment!$A$1:$GZ$1,0)),0),MATCH("work_email",Enrichment!$A$1:$GZ$1,0))&amp;"",""))</f>
        <v/>
      </c>
      <c r="BD907" s="0" t="str">
        <f aca="false">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P907" s="0" t="str">
        <f aca="false">IF($A907="","",IFERROR(INDEX(Enrichment!$A$2:$GZ$2000,MATCH($A907,INDEX(Enrichment!$A$2:$GZ$2000,0,MATCH("row_id",Enrichment!$A$1:$GZ$1,0)),0),MATCH("backup_work_email",Enrichment!$A$1:$GZ$1,0))&amp;"",""))</f>
        <v/>
      </c>
      <c r="BQ907" s="0" t="str">
        <f aca="false">IF($A907="","",IF(BP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DU907" s="0" t="str">
        <f aca="false">IF($A907="","",IF(R907="Y",10,0))</f>
        <v/>
      </c>
      <c r="EV907" s="0" t="str">
        <f aca="false">IF($A907="","",IF(ISNUMBER(MATCH(U907,{"queued","contacted","replied","call_booked","call_done","yes_in_principle","materials_sent"},0)),"Y","N"))</f>
        <v/>
      </c>
      <c r="EW907" s="0" t="str">
        <f aca="false">IF($A907="","",IF(OR(T907="Y",U907="do_not_contact",AQ907&amp;""&lt;&gt;""),"Y","N"))</f>
        <v/>
      </c>
      <c r="EX907" s="0" t="str">
        <f aca="false">IF($A907="","",IF(AN907&amp;""&lt;&gt;"",AN907&amp;"",$A907))</f>
        <v/>
      </c>
      <c r="EY907" s="0" t="str">
        <f aca="false">IF($A907="","",IF(COUNTIFS($EX$2:$EX$1000,EX907,$EV$2:$EV$1000,"Y")+COUNTIFS($EX$2:$EX$1000,EX907,$EW$2:$EW$1000,"Y")&gt;0,"Y","N"))</f>
        <v/>
      </c>
      <c r="EZ907" s="0" t="str">
        <f aca="false">IF($A907="","",IF(AND(U907="new",T907="N",EW907="N",AR907="Y",EY907="N"),"Y","N"))</f>
        <v/>
      </c>
      <c r="FA907" s="0" t="str">
        <f aca="false">IF($A907="","",IF(EZ907&lt;&gt;"Y","N",IF(COUNTIFS($EX$2:$EX$1000,EX907,$EZ$2:$EZ$1000,"Y",$J$2:$J$1000,"&gt;"&amp;J907)+COUNTIFS($EX$2:$EX$1000,EX907,$EZ$2:$EZ$1000,"Y",$J$2:$J$1000,J907,$FG$2:$FG$1000,"&lt;"&amp;FG907)=0,"Y","N")))</f>
        <v/>
      </c>
      <c r="FB907" s="0" t="str">
        <f aca="false">IF($A907="","",IF(AND(EZ907="Y",FA907="Y",Y907&amp;""&lt;&gt;""),IF(Y907&lt;=10,"Y","N"),"N"))</f>
        <v/>
      </c>
      <c r="FC907" s="0" t="str">
        <f aca="false">IF(FB907="Y",Y907,"")</f>
        <v/>
      </c>
      <c r="FD907" s="0" t="str">
        <f aca="false">IF($A907="","",IF(AND(CK907="pass",AU907="Y",AV907&lt;&gt;"Y",U907="new",EW907="N"),"Y","N"))</f>
        <v/>
      </c>
      <c r="FE907" s="0" t="str">
        <f aca="false">IF(FD907&lt;&gt;"Y","",IF(COUNTIFS($FD$2:$FD$1000,"Y",$J$2:$J$1000,"&gt;"&amp;J907)+COUNTIFS($FD$2:$FD$1000,"Y",$J$2:$J$1000,J907,$FG$2:$FG$1000,"&lt;"&amp;FG907)+1&lt;=30,COUNTIFS($FD$2:$FD$1000,"Y",$J$2:$J$1000,"&gt;"&amp;J907)+COUNTIFS($FD$2:$FD$1000,"Y",$J$2:$J$1000,J907,$FG$2:$FG$1000,"&lt;"&amp;FG907)+1,""))</f>
        <v/>
      </c>
      <c r="FF907" s="0" t="str">
        <f aca="false">IF(AND(_xlfn.ISFORMULA(C907),_xlfn.ISFORMULA(J907)),"Y","N")</f>
        <v>Y</v>
      </c>
      <c r="FG907" s="0" t="n">
        <f aca="false">ROW()-1</f>
        <v>906</v>
      </c>
    </row>
    <row r="908" customFormat="false" ht="15" hidden="false" customHeight="false" outlineLevel="0" collapsed="false">
      <c r="C908" s="0" t="str">
        <f aca="false">IF($A908="","",IF(AT908="Y",BL908&amp;"",AY908&amp;""))</f>
        <v/>
      </c>
      <c r="D908" s="0" t="str">
        <f aca="false">IF($A908="","",IF(AT908="Y",BM908&amp;"",AZ908&amp;""))</f>
        <v/>
      </c>
      <c r="E908" s="0" t="str">
        <f aca="false">IF($A908="","",IF(AT908="Y",BN908&amp;"",BA908&amp;""))</f>
        <v/>
      </c>
      <c r="F908" s="0" t="str">
        <f aca="false">IF($A908="","",IF(AT908="Y",BO908&amp;"",BB908&amp;""))</f>
        <v/>
      </c>
      <c r="G908" s="0" t="str">
        <f aca="false">IF($A908="","",IF(AT908="Y",BP908&amp;"",BC908&amp;""))</f>
        <v/>
      </c>
      <c r="H908" s="0" t="str">
        <f aca="false">IF($A908="","",IF(AT908="Y",BQ908&amp;"",BD908&amp;""))</f>
        <v/>
      </c>
      <c r="I908" s="0" t="str">
        <f aca="false">IF($A908="","",IF(R908="Y","warm-intro",IF(H908="verified","email",IF(C908&lt;&gt;"","linkedin",CA908&amp;""))))</f>
        <v/>
      </c>
      <c r="J908" s="0" t="str">
        <f aca="false">IF($A908="","",IF(CK908="pass",ROUND(N(DO908)+N(DP908)+N(DQ908)+N(DR908)+N(DS908)+N(DT908)+N(DU908)+N(DV908),0),0))</f>
        <v/>
      </c>
      <c r="K908" s="0" t="str">
        <f aca="false">IF($A908="","",IF(CK908&lt;&gt;"pass",BY908&amp;"",BY908&amp;", "&amp;IF(AT908="Y",BX908&amp;"",BK908&amp;"")&amp;BZ908&amp;IF(R908="Y","; known to the founder (+10)","")&amp;"."))</f>
        <v/>
      </c>
      <c r="R908" s="5"/>
      <c r="T908" s="5"/>
      <c r="U908" s="5"/>
      <c r="Y908" s="0" t="str">
        <f aca="false">IF(FA908&lt;&gt;"Y","",COUNTIFS($FA$2:$FA$1000,"Y",$J$2:$J$1000,"&gt;"&amp;J908)+COUNTIFS($FA$2:$FA$1000,"Y",$J$2:$J$1000,J908,$FG$2:$FG$1000,"&lt;"&amp;FG908)+1)</f>
        <v/>
      </c>
      <c r="AB908" s="0" t="str">
        <f aca="false">IF($A908="","",IF(AT908="Y",BW908&amp;"",BJ908&amp;""))</f>
        <v/>
      </c>
      <c r="AC908" s="0" t="str">
        <f aca="false">IF($A908="","",IF(AT908="Y",BR908&amp;"",BE908&amp;""))</f>
        <v/>
      </c>
      <c r="AD908" s="0" t="str">
        <f aca="false">IF($A908="","",IF(AT908="Y",BS908&amp;"",BF908&amp;""))</f>
        <v/>
      </c>
      <c r="AE908" s="0" t="str">
        <f aca="false">IF($A908="","",IF(AT908="Y",BT908&amp;"",BG908&amp;""))</f>
        <v/>
      </c>
      <c r="AF908" s="0" t="str">
        <f aca="false">IF($A908="","",IF(AT908="Y",BU908&amp;"",BH908&amp;""))</f>
        <v/>
      </c>
      <c r="AG908" s="0" t="str">
        <f aca="false">IF($A908="","",IF(AT908="Y",BV908&amp;"",BI908&amp;""))</f>
        <v/>
      </c>
      <c r="AO908" s="5"/>
      <c r="AR908" s="0" t="str">
        <f aca="false">IF($A908="","",IF(AND(CK908="pass",AO908&lt;&gt;"Y",C908&lt;&gt;"",OR(AU908&lt;&gt;"Y",AV908="Y")),"Y","N"))</f>
        <v/>
      </c>
      <c r="AS908" s="0" t="str">
        <f aca="false">IF($A908="","",_xlfn.TEXTJOIN("; ",TRUE(),IF(CK908&lt;&gt;"pass","gated out",""),IF(AO908="Y","on hold: "&amp;AP908,""),IF(C908="","no contact named on an opened page",""),IF(AND(AU908="Y",AV908&lt;&gt;"Y"),"founder review pending (Founder review tab)","")))</f>
        <v/>
      </c>
      <c r="BC908" s="0" t="str">
        <f aca="false">IF($A908="","",IFERROR(INDEX(Enrichment!$A$2:$GZ$2000,MATCH($A908,INDEX(Enrichment!$A$2:$GZ$2000,0,MATCH("row_id",Enrichment!$A$1:$GZ$1,0)),0),MATCH("work_email",Enrichment!$A$1:$GZ$1,0))&amp;"",""))</f>
        <v/>
      </c>
      <c r="BD908" s="0" t="str">
        <f aca="false">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P908" s="0" t="str">
        <f aca="false">IF($A908="","",IFERROR(INDEX(Enrichment!$A$2:$GZ$2000,MATCH($A908,INDEX(Enrichment!$A$2:$GZ$2000,0,MATCH("row_id",Enrichment!$A$1:$GZ$1,0)),0),MATCH("backup_work_email",Enrichment!$A$1:$GZ$1,0))&amp;"",""))</f>
        <v/>
      </c>
      <c r="BQ908" s="0" t="str">
        <f aca="false">IF($A908="","",IF(BP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DU908" s="0" t="str">
        <f aca="false">IF($A908="","",IF(R908="Y",10,0))</f>
        <v/>
      </c>
      <c r="EV908" s="0" t="str">
        <f aca="false">IF($A908="","",IF(ISNUMBER(MATCH(U908,{"queued","contacted","replied","call_booked","call_done","yes_in_principle","materials_sent"},0)),"Y","N"))</f>
        <v/>
      </c>
      <c r="EW908" s="0" t="str">
        <f aca="false">IF($A908="","",IF(OR(T908="Y",U908="do_not_contact",AQ908&amp;""&lt;&gt;""),"Y","N"))</f>
        <v/>
      </c>
      <c r="EX908" s="0" t="str">
        <f aca="false">IF($A908="","",IF(AN908&amp;""&lt;&gt;"",AN908&amp;"",$A908))</f>
        <v/>
      </c>
      <c r="EY908" s="0" t="str">
        <f aca="false">IF($A908="","",IF(COUNTIFS($EX$2:$EX$1000,EX908,$EV$2:$EV$1000,"Y")+COUNTIFS($EX$2:$EX$1000,EX908,$EW$2:$EW$1000,"Y")&gt;0,"Y","N"))</f>
        <v/>
      </c>
      <c r="EZ908" s="0" t="str">
        <f aca="false">IF($A908="","",IF(AND(U908="new",T908="N",EW908="N",AR908="Y",EY908="N"),"Y","N"))</f>
        <v/>
      </c>
      <c r="FA908" s="0" t="str">
        <f aca="false">IF($A908="","",IF(EZ908&lt;&gt;"Y","N",IF(COUNTIFS($EX$2:$EX$1000,EX908,$EZ$2:$EZ$1000,"Y",$J$2:$J$1000,"&gt;"&amp;J908)+COUNTIFS($EX$2:$EX$1000,EX908,$EZ$2:$EZ$1000,"Y",$J$2:$J$1000,J908,$FG$2:$FG$1000,"&lt;"&amp;FG908)=0,"Y","N")))</f>
        <v/>
      </c>
      <c r="FB908" s="0" t="str">
        <f aca="false">IF($A908="","",IF(AND(EZ908="Y",FA908="Y",Y908&amp;""&lt;&gt;""),IF(Y908&lt;=10,"Y","N"),"N"))</f>
        <v/>
      </c>
      <c r="FC908" s="0" t="str">
        <f aca="false">IF(FB908="Y",Y908,"")</f>
        <v/>
      </c>
      <c r="FD908" s="0" t="str">
        <f aca="false">IF($A908="","",IF(AND(CK908="pass",AU908="Y",AV908&lt;&gt;"Y",U908="new",EW908="N"),"Y","N"))</f>
        <v/>
      </c>
      <c r="FE908" s="0" t="str">
        <f aca="false">IF(FD908&lt;&gt;"Y","",IF(COUNTIFS($FD$2:$FD$1000,"Y",$J$2:$J$1000,"&gt;"&amp;J908)+COUNTIFS($FD$2:$FD$1000,"Y",$J$2:$J$1000,J908,$FG$2:$FG$1000,"&lt;"&amp;FG908)+1&lt;=30,COUNTIFS($FD$2:$FD$1000,"Y",$J$2:$J$1000,"&gt;"&amp;J908)+COUNTIFS($FD$2:$FD$1000,"Y",$J$2:$J$1000,J908,$FG$2:$FG$1000,"&lt;"&amp;FG908)+1,""))</f>
        <v/>
      </c>
      <c r="FF908" s="0" t="str">
        <f aca="false">IF(AND(_xlfn.ISFORMULA(C908),_xlfn.ISFORMULA(J908)),"Y","N")</f>
        <v>Y</v>
      </c>
      <c r="FG908" s="0" t="n">
        <f aca="false">ROW()-1</f>
        <v>907</v>
      </c>
    </row>
    <row r="909" customFormat="false" ht="15" hidden="false" customHeight="false" outlineLevel="0" collapsed="false">
      <c r="C909" s="0" t="str">
        <f aca="false">IF($A909="","",IF(AT909="Y",BL909&amp;"",AY909&amp;""))</f>
        <v/>
      </c>
      <c r="D909" s="0" t="str">
        <f aca="false">IF($A909="","",IF(AT909="Y",BM909&amp;"",AZ909&amp;""))</f>
        <v/>
      </c>
      <c r="E909" s="0" t="str">
        <f aca="false">IF($A909="","",IF(AT909="Y",BN909&amp;"",BA909&amp;""))</f>
        <v/>
      </c>
      <c r="F909" s="0" t="str">
        <f aca="false">IF($A909="","",IF(AT909="Y",BO909&amp;"",BB909&amp;""))</f>
        <v/>
      </c>
      <c r="G909" s="0" t="str">
        <f aca="false">IF($A909="","",IF(AT909="Y",BP909&amp;"",BC909&amp;""))</f>
        <v/>
      </c>
      <c r="H909" s="0" t="str">
        <f aca="false">IF($A909="","",IF(AT909="Y",BQ909&amp;"",BD909&amp;""))</f>
        <v/>
      </c>
      <c r="I909" s="0" t="str">
        <f aca="false">IF($A909="","",IF(R909="Y","warm-intro",IF(H909="verified","email",IF(C909&lt;&gt;"","linkedin",CA909&amp;""))))</f>
        <v/>
      </c>
      <c r="J909" s="0" t="str">
        <f aca="false">IF($A909="","",IF(CK909="pass",ROUND(N(DO909)+N(DP909)+N(DQ909)+N(DR909)+N(DS909)+N(DT909)+N(DU909)+N(DV909),0),0))</f>
        <v/>
      </c>
      <c r="K909" s="0" t="str">
        <f aca="false">IF($A909="","",IF(CK909&lt;&gt;"pass",BY909&amp;"",BY909&amp;", "&amp;IF(AT909="Y",BX909&amp;"",BK909&amp;"")&amp;BZ909&amp;IF(R909="Y","; known to the founder (+10)","")&amp;"."))</f>
        <v/>
      </c>
      <c r="R909" s="5"/>
      <c r="T909" s="5"/>
      <c r="U909" s="5"/>
      <c r="Y909" s="0" t="str">
        <f aca="false">IF(FA909&lt;&gt;"Y","",COUNTIFS($FA$2:$FA$1000,"Y",$J$2:$J$1000,"&gt;"&amp;J909)+COUNTIFS($FA$2:$FA$1000,"Y",$J$2:$J$1000,J909,$FG$2:$FG$1000,"&lt;"&amp;FG909)+1)</f>
        <v/>
      </c>
      <c r="AB909" s="0" t="str">
        <f aca="false">IF($A909="","",IF(AT909="Y",BW909&amp;"",BJ909&amp;""))</f>
        <v/>
      </c>
      <c r="AC909" s="0" t="str">
        <f aca="false">IF($A909="","",IF(AT909="Y",BR909&amp;"",BE909&amp;""))</f>
        <v/>
      </c>
      <c r="AD909" s="0" t="str">
        <f aca="false">IF($A909="","",IF(AT909="Y",BS909&amp;"",BF909&amp;""))</f>
        <v/>
      </c>
      <c r="AE909" s="0" t="str">
        <f aca="false">IF($A909="","",IF(AT909="Y",BT909&amp;"",BG909&amp;""))</f>
        <v/>
      </c>
      <c r="AF909" s="0" t="str">
        <f aca="false">IF($A909="","",IF(AT909="Y",BU909&amp;"",BH909&amp;""))</f>
        <v/>
      </c>
      <c r="AG909" s="0" t="str">
        <f aca="false">IF($A909="","",IF(AT909="Y",BV909&amp;"",BI909&amp;""))</f>
        <v/>
      </c>
      <c r="AO909" s="5"/>
      <c r="AR909" s="0" t="str">
        <f aca="false">IF($A909="","",IF(AND(CK909="pass",AO909&lt;&gt;"Y",C909&lt;&gt;"",OR(AU909&lt;&gt;"Y",AV909="Y")),"Y","N"))</f>
        <v/>
      </c>
      <c r="AS909" s="0" t="str">
        <f aca="false">IF($A909="","",_xlfn.TEXTJOIN("; ",TRUE(),IF(CK909&lt;&gt;"pass","gated out",""),IF(AO909="Y","on hold: "&amp;AP909,""),IF(C909="","no contact named on an opened page",""),IF(AND(AU909="Y",AV909&lt;&gt;"Y"),"founder review pending (Founder review tab)","")))</f>
        <v/>
      </c>
      <c r="BC909" s="0" t="str">
        <f aca="false">IF($A909="","",IFERROR(INDEX(Enrichment!$A$2:$GZ$2000,MATCH($A909,INDEX(Enrichment!$A$2:$GZ$2000,0,MATCH("row_id",Enrichment!$A$1:$GZ$1,0)),0),MATCH("work_email",Enrichment!$A$1:$GZ$1,0))&amp;"",""))</f>
        <v/>
      </c>
      <c r="BD909" s="0" t="str">
        <f aca="false">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P909" s="0" t="str">
        <f aca="false">IF($A909="","",IFERROR(INDEX(Enrichment!$A$2:$GZ$2000,MATCH($A909,INDEX(Enrichment!$A$2:$GZ$2000,0,MATCH("row_id",Enrichment!$A$1:$GZ$1,0)),0),MATCH("backup_work_email",Enrichment!$A$1:$GZ$1,0))&amp;"",""))</f>
        <v/>
      </c>
      <c r="BQ909" s="0" t="str">
        <f aca="false">IF($A909="","",IF(BP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DU909" s="0" t="str">
        <f aca="false">IF($A909="","",IF(R909="Y",10,0))</f>
        <v/>
      </c>
      <c r="EV909" s="0" t="str">
        <f aca="false">IF($A909="","",IF(ISNUMBER(MATCH(U909,{"queued","contacted","replied","call_booked","call_done","yes_in_principle","materials_sent"},0)),"Y","N"))</f>
        <v/>
      </c>
      <c r="EW909" s="0" t="str">
        <f aca="false">IF($A909="","",IF(OR(T909="Y",U909="do_not_contact",AQ909&amp;""&lt;&gt;""),"Y","N"))</f>
        <v/>
      </c>
      <c r="EX909" s="0" t="str">
        <f aca="false">IF($A909="","",IF(AN909&amp;""&lt;&gt;"",AN909&amp;"",$A909))</f>
        <v/>
      </c>
      <c r="EY909" s="0" t="str">
        <f aca="false">IF($A909="","",IF(COUNTIFS($EX$2:$EX$1000,EX909,$EV$2:$EV$1000,"Y")+COUNTIFS($EX$2:$EX$1000,EX909,$EW$2:$EW$1000,"Y")&gt;0,"Y","N"))</f>
        <v/>
      </c>
      <c r="EZ909" s="0" t="str">
        <f aca="false">IF($A909="","",IF(AND(U909="new",T909="N",EW909="N",AR909="Y",EY909="N"),"Y","N"))</f>
        <v/>
      </c>
      <c r="FA909" s="0" t="str">
        <f aca="false">IF($A909="","",IF(EZ909&lt;&gt;"Y","N",IF(COUNTIFS($EX$2:$EX$1000,EX909,$EZ$2:$EZ$1000,"Y",$J$2:$J$1000,"&gt;"&amp;J909)+COUNTIFS($EX$2:$EX$1000,EX909,$EZ$2:$EZ$1000,"Y",$J$2:$J$1000,J909,$FG$2:$FG$1000,"&lt;"&amp;FG909)=0,"Y","N")))</f>
        <v/>
      </c>
      <c r="FB909" s="0" t="str">
        <f aca="false">IF($A909="","",IF(AND(EZ909="Y",FA909="Y",Y909&amp;""&lt;&gt;""),IF(Y909&lt;=10,"Y","N"),"N"))</f>
        <v/>
      </c>
      <c r="FC909" s="0" t="str">
        <f aca="false">IF(FB909="Y",Y909,"")</f>
        <v/>
      </c>
      <c r="FD909" s="0" t="str">
        <f aca="false">IF($A909="","",IF(AND(CK909="pass",AU909="Y",AV909&lt;&gt;"Y",U909="new",EW909="N"),"Y","N"))</f>
        <v/>
      </c>
      <c r="FE909" s="0" t="str">
        <f aca="false">IF(FD909&lt;&gt;"Y","",IF(COUNTIFS($FD$2:$FD$1000,"Y",$J$2:$J$1000,"&gt;"&amp;J909)+COUNTIFS($FD$2:$FD$1000,"Y",$J$2:$J$1000,J909,$FG$2:$FG$1000,"&lt;"&amp;FG909)+1&lt;=30,COUNTIFS($FD$2:$FD$1000,"Y",$J$2:$J$1000,"&gt;"&amp;J909)+COUNTIFS($FD$2:$FD$1000,"Y",$J$2:$J$1000,J909,$FG$2:$FG$1000,"&lt;"&amp;FG909)+1,""))</f>
        <v/>
      </c>
      <c r="FF909" s="0" t="str">
        <f aca="false">IF(AND(_xlfn.ISFORMULA(C909),_xlfn.ISFORMULA(J909)),"Y","N")</f>
        <v>Y</v>
      </c>
      <c r="FG909" s="0" t="n">
        <f aca="false">ROW()-1</f>
        <v>908</v>
      </c>
    </row>
    <row r="910" customFormat="false" ht="15" hidden="false" customHeight="false" outlineLevel="0" collapsed="false">
      <c r="C910" s="0" t="str">
        <f aca="false">IF($A910="","",IF(AT910="Y",BL910&amp;"",AY910&amp;""))</f>
        <v/>
      </c>
      <c r="D910" s="0" t="str">
        <f aca="false">IF($A910="","",IF(AT910="Y",BM910&amp;"",AZ910&amp;""))</f>
        <v/>
      </c>
      <c r="E910" s="0" t="str">
        <f aca="false">IF($A910="","",IF(AT910="Y",BN910&amp;"",BA910&amp;""))</f>
        <v/>
      </c>
      <c r="F910" s="0" t="str">
        <f aca="false">IF($A910="","",IF(AT910="Y",BO910&amp;"",BB910&amp;""))</f>
        <v/>
      </c>
      <c r="G910" s="0" t="str">
        <f aca="false">IF($A910="","",IF(AT910="Y",BP910&amp;"",BC910&amp;""))</f>
        <v/>
      </c>
      <c r="H910" s="0" t="str">
        <f aca="false">IF($A910="","",IF(AT910="Y",BQ910&amp;"",BD910&amp;""))</f>
        <v/>
      </c>
      <c r="I910" s="0" t="str">
        <f aca="false">IF($A910="","",IF(R910="Y","warm-intro",IF(H910="verified","email",IF(C910&lt;&gt;"","linkedin",CA910&amp;""))))</f>
        <v/>
      </c>
      <c r="J910" s="0" t="str">
        <f aca="false">IF($A910="","",IF(CK910="pass",ROUND(N(DO910)+N(DP910)+N(DQ910)+N(DR910)+N(DS910)+N(DT910)+N(DU910)+N(DV910),0),0))</f>
        <v/>
      </c>
      <c r="K910" s="0" t="str">
        <f aca="false">IF($A910="","",IF(CK910&lt;&gt;"pass",BY910&amp;"",BY910&amp;", "&amp;IF(AT910="Y",BX910&amp;"",BK910&amp;"")&amp;BZ910&amp;IF(R910="Y","; known to the founder (+10)","")&amp;"."))</f>
        <v/>
      </c>
      <c r="R910" s="5"/>
      <c r="T910" s="5"/>
      <c r="U910" s="5"/>
      <c r="Y910" s="0" t="str">
        <f aca="false">IF(FA910&lt;&gt;"Y","",COUNTIFS($FA$2:$FA$1000,"Y",$J$2:$J$1000,"&gt;"&amp;J910)+COUNTIFS($FA$2:$FA$1000,"Y",$J$2:$J$1000,J910,$FG$2:$FG$1000,"&lt;"&amp;FG910)+1)</f>
        <v/>
      </c>
      <c r="AB910" s="0" t="str">
        <f aca="false">IF($A910="","",IF(AT910="Y",BW910&amp;"",BJ910&amp;""))</f>
        <v/>
      </c>
      <c r="AC910" s="0" t="str">
        <f aca="false">IF($A910="","",IF(AT910="Y",BR910&amp;"",BE910&amp;""))</f>
        <v/>
      </c>
      <c r="AD910" s="0" t="str">
        <f aca="false">IF($A910="","",IF(AT910="Y",BS910&amp;"",BF910&amp;""))</f>
        <v/>
      </c>
      <c r="AE910" s="0" t="str">
        <f aca="false">IF($A910="","",IF(AT910="Y",BT910&amp;"",BG910&amp;""))</f>
        <v/>
      </c>
      <c r="AF910" s="0" t="str">
        <f aca="false">IF($A910="","",IF(AT910="Y",BU910&amp;"",BH910&amp;""))</f>
        <v/>
      </c>
      <c r="AG910" s="0" t="str">
        <f aca="false">IF($A910="","",IF(AT910="Y",BV910&amp;"",BI910&amp;""))</f>
        <v/>
      </c>
      <c r="AO910" s="5"/>
      <c r="AR910" s="0" t="str">
        <f aca="false">IF($A910="","",IF(AND(CK910="pass",AO910&lt;&gt;"Y",C910&lt;&gt;"",OR(AU910&lt;&gt;"Y",AV910="Y")),"Y","N"))</f>
        <v/>
      </c>
      <c r="AS910" s="0" t="str">
        <f aca="false">IF($A910="","",_xlfn.TEXTJOIN("; ",TRUE(),IF(CK910&lt;&gt;"pass","gated out",""),IF(AO910="Y","on hold: "&amp;AP910,""),IF(C910="","no contact named on an opened page",""),IF(AND(AU910="Y",AV910&lt;&gt;"Y"),"founder review pending (Founder review tab)","")))</f>
        <v/>
      </c>
      <c r="BC910" s="0" t="str">
        <f aca="false">IF($A910="","",IFERROR(INDEX(Enrichment!$A$2:$GZ$2000,MATCH($A910,INDEX(Enrichment!$A$2:$GZ$2000,0,MATCH("row_id",Enrichment!$A$1:$GZ$1,0)),0),MATCH("work_email",Enrichment!$A$1:$GZ$1,0))&amp;"",""))</f>
        <v/>
      </c>
      <c r="BD910" s="0" t="str">
        <f aca="false">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P910" s="0" t="str">
        <f aca="false">IF($A910="","",IFERROR(INDEX(Enrichment!$A$2:$GZ$2000,MATCH($A910,INDEX(Enrichment!$A$2:$GZ$2000,0,MATCH("row_id",Enrichment!$A$1:$GZ$1,0)),0),MATCH("backup_work_email",Enrichment!$A$1:$GZ$1,0))&amp;"",""))</f>
        <v/>
      </c>
      <c r="BQ910" s="0" t="str">
        <f aca="false">IF($A910="","",IF(BP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DU910" s="0" t="str">
        <f aca="false">IF($A910="","",IF(R910="Y",10,0))</f>
        <v/>
      </c>
      <c r="EV910" s="0" t="str">
        <f aca="false">IF($A910="","",IF(ISNUMBER(MATCH(U910,{"queued","contacted","replied","call_booked","call_done","yes_in_principle","materials_sent"},0)),"Y","N"))</f>
        <v/>
      </c>
      <c r="EW910" s="0" t="str">
        <f aca="false">IF($A910="","",IF(OR(T910="Y",U910="do_not_contact",AQ910&amp;""&lt;&gt;""),"Y","N"))</f>
        <v/>
      </c>
      <c r="EX910" s="0" t="str">
        <f aca="false">IF($A910="","",IF(AN910&amp;""&lt;&gt;"",AN910&amp;"",$A910))</f>
        <v/>
      </c>
      <c r="EY910" s="0" t="str">
        <f aca="false">IF($A910="","",IF(COUNTIFS($EX$2:$EX$1000,EX910,$EV$2:$EV$1000,"Y")+COUNTIFS($EX$2:$EX$1000,EX910,$EW$2:$EW$1000,"Y")&gt;0,"Y","N"))</f>
        <v/>
      </c>
      <c r="EZ910" s="0" t="str">
        <f aca="false">IF($A910="","",IF(AND(U910="new",T910="N",EW910="N",AR910="Y",EY910="N"),"Y","N"))</f>
        <v/>
      </c>
      <c r="FA910" s="0" t="str">
        <f aca="false">IF($A910="","",IF(EZ910&lt;&gt;"Y","N",IF(COUNTIFS($EX$2:$EX$1000,EX910,$EZ$2:$EZ$1000,"Y",$J$2:$J$1000,"&gt;"&amp;J910)+COUNTIFS($EX$2:$EX$1000,EX910,$EZ$2:$EZ$1000,"Y",$J$2:$J$1000,J910,$FG$2:$FG$1000,"&lt;"&amp;FG910)=0,"Y","N")))</f>
        <v/>
      </c>
      <c r="FB910" s="0" t="str">
        <f aca="false">IF($A910="","",IF(AND(EZ910="Y",FA910="Y",Y910&amp;""&lt;&gt;""),IF(Y910&lt;=10,"Y","N"),"N"))</f>
        <v/>
      </c>
      <c r="FC910" s="0" t="str">
        <f aca="false">IF(FB910="Y",Y910,"")</f>
        <v/>
      </c>
      <c r="FD910" s="0" t="str">
        <f aca="false">IF($A910="","",IF(AND(CK910="pass",AU910="Y",AV910&lt;&gt;"Y",U910="new",EW910="N"),"Y","N"))</f>
        <v/>
      </c>
      <c r="FE910" s="0" t="str">
        <f aca="false">IF(FD910&lt;&gt;"Y","",IF(COUNTIFS($FD$2:$FD$1000,"Y",$J$2:$J$1000,"&gt;"&amp;J910)+COUNTIFS($FD$2:$FD$1000,"Y",$J$2:$J$1000,J910,$FG$2:$FG$1000,"&lt;"&amp;FG910)+1&lt;=30,COUNTIFS($FD$2:$FD$1000,"Y",$J$2:$J$1000,"&gt;"&amp;J910)+COUNTIFS($FD$2:$FD$1000,"Y",$J$2:$J$1000,J910,$FG$2:$FG$1000,"&lt;"&amp;FG910)+1,""))</f>
        <v/>
      </c>
      <c r="FF910" s="0" t="str">
        <f aca="false">IF(AND(_xlfn.ISFORMULA(C910),_xlfn.ISFORMULA(J910)),"Y","N")</f>
        <v>Y</v>
      </c>
      <c r="FG910" s="0" t="n">
        <f aca="false">ROW()-1</f>
        <v>909</v>
      </c>
    </row>
    <row r="911" customFormat="false" ht="15" hidden="false" customHeight="false" outlineLevel="0" collapsed="false">
      <c r="C911" s="0" t="str">
        <f aca="false">IF($A911="","",IF(AT911="Y",BL911&amp;"",AY911&amp;""))</f>
        <v/>
      </c>
      <c r="D911" s="0" t="str">
        <f aca="false">IF($A911="","",IF(AT911="Y",BM911&amp;"",AZ911&amp;""))</f>
        <v/>
      </c>
      <c r="E911" s="0" t="str">
        <f aca="false">IF($A911="","",IF(AT911="Y",BN911&amp;"",BA911&amp;""))</f>
        <v/>
      </c>
      <c r="F911" s="0" t="str">
        <f aca="false">IF($A911="","",IF(AT911="Y",BO911&amp;"",BB911&amp;""))</f>
        <v/>
      </c>
      <c r="G911" s="0" t="str">
        <f aca="false">IF($A911="","",IF(AT911="Y",BP911&amp;"",BC911&amp;""))</f>
        <v/>
      </c>
      <c r="H911" s="0" t="str">
        <f aca="false">IF($A911="","",IF(AT911="Y",BQ911&amp;"",BD911&amp;""))</f>
        <v/>
      </c>
      <c r="I911" s="0" t="str">
        <f aca="false">IF($A911="","",IF(R911="Y","warm-intro",IF(H911="verified","email",IF(C911&lt;&gt;"","linkedin",CA911&amp;""))))</f>
        <v/>
      </c>
      <c r="J911" s="0" t="str">
        <f aca="false">IF($A911="","",IF(CK911="pass",ROUND(N(DO911)+N(DP911)+N(DQ911)+N(DR911)+N(DS911)+N(DT911)+N(DU911)+N(DV911),0),0))</f>
        <v/>
      </c>
      <c r="K911" s="0" t="str">
        <f aca="false">IF($A911="","",IF(CK911&lt;&gt;"pass",BY911&amp;"",BY911&amp;", "&amp;IF(AT911="Y",BX911&amp;"",BK911&amp;"")&amp;BZ911&amp;IF(R911="Y","; known to the founder (+10)","")&amp;"."))</f>
        <v/>
      </c>
      <c r="R911" s="5"/>
      <c r="T911" s="5"/>
      <c r="U911" s="5"/>
      <c r="Y911" s="0" t="str">
        <f aca="false">IF(FA911&lt;&gt;"Y","",COUNTIFS($FA$2:$FA$1000,"Y",$J$2:$J$1000,"&gt;"&amp;J911)+COUNTIFS($FA$2:$FA$1000,"Y",$J$2:$J$1000,J911,$FG$2:$FG$1000,"&lt;"&amp;FG911)+1)</f>
        <v/>
      </c>
      <c r="AB911" s="0" t="str">
        <f aca="false">IF($A911="","",IF(AT911="Y",BW911&amp;"",BJ911&amp;""))</f>
        <v/>
      </c>
      <c r="AC911" s="0" t="str">
        <f aca="false">IF($A911="","",IF(AT911="Y",BR911&amp;"",BE911&amp;""))</f>
        <v/>
      </c>
      <c r="AD911" s="0" t="str">
        <f aca="false">IF($A911="","",IF(AT911="Y",BS911&amp;"",BF911&amp;""))</f>
        <v/>
      </c>
      <c r="AE911" s="0" t="str">
        <f aca="false">IF($A911="","",IF(AT911="Y",BT911&amp;"",BG911&amp;""))</f>
        <v/>
      </c>
      <c r="AF911" s="0" t="str">
        <f aca="false">IF($A911="","",IF(AT911="Y",BU911&amp;"",BH911&amp;""))</f>
        <v/>
      </c>
      <c r="AG911" s="0" t="str">
        <f aca="false">IF($A911="","",IF(AT911="Y",BV911&amp;"",BI911&amp;""))</f>
        <v/>
      </c>
      <c r="AO911" s="5"/>
      <c r="AR911" s="0" t="str">
        <f aca="false">IF($A911="","",IF(AND(CK911="pass",AO911&lt;&gt;"Y",C911&lt;&gt;"",OR(AU911&lt;&gt;"Y",AV911="Y")),"Y","N"))</f>
        <v/>
      </c>
      <c r="AS911" s="0" t="str">
        <f aca="false">IF($A911="","",_xlfn.TEXTJOIN("; ",TRUE(),IF(CK911&lt;&gt;"pass","gated out",""),IF(AO911="Y","on hold: "&amp;AP911,""),IF(C911="","no contact named on an opened page",""),IF(AND(AU911="Y",AV911&lt;&gt;"Y"),"founder review pending (Founder review tab)","")))</f>
        <v/>
      </c>
      <c r="BC911" s="0" t="str">
        <f aca="false">IF($A911="","",IFERROR(INDEX(Enrichment!$A$2:$GZ$2000,MATCH($A911,INDEX(Enrichment!$A$2:$GZ$2000,0,MATCH("row_id",Enrichment!$A$1:$GZ$1,0)),0),MATCH("work_email",Enrichment!$A$1:$GZ$1,0))&amp;"",""))</f>
        <v/>
      </c>
      <c r="BD911" s="0" t="str">
        <f aca="false">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P911" s="0" t="str">
        <f aca="false">IF($A911="","",IFERROR(INDEX(Enrichment!$A$2:$GZ$2000,MATCH($A911,INDEX(Enrichment!$A$2:$GZ$2000,0,MATCH("row_id",Enrichment!$A$1:$GZ$1,0)),0),MATCH("backup_work_email",Enrichment!$A$1:$GZ$1,0))&amp;"",""))</f>
        <v/>
      </c>
      <c r="BQ911" s="0" t="str">
        <f aca="false">IF($A911="","",IF(BP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DU911" s="0" t="str">
        <f aca="false">IF($A911="","",IF(R911="Y",10,0))</f>
        <v/>
      </c>
      <c r="EV911" s="0" t="str">
        <f aca="false">IF($A911="","",IF(ISNUMBER(MATCH(U911,{"queued","contacted","replied","call_booked","call_done","yes_in_principle","materials_sent"},0)),"Y","N"))</f>
        <v/>
      </c>
      <c r="EW911" s="0" t="str">
        <f aca="false">IF($A911="","",IF(OR(T911="Y",U911="do_not_contact",AQ911&amp;""&lt;&gt;""),"Y","N"))</f>
        <v/>
      </c>
      <c r="EX911" s="0" t="str">
        <f aca="false">IF($A911="","",IF(AN911&amp;""&lt;&gt;"",AN911&amp;"",$A911))</f>
        <v/>
      </c>
      <c r="EY911" s="0" t="str">
        <f aca="false">IF($A911="","",IF(COUNTIFS($EX$2:$EX$1000,EX911,$EV$2:$EV$1000,"Y")+COUNTIFS($EX$2:$EX$1000,EX911,$EW$2:$EW$1000,"Y")&gt;0,"Y","N"))</f>
        <v/>
      </c>
      <c r="EZ911" s="0" t="str">
        <f aca="false">IF($A911="","",IF(AND(U911="new",T911="N",EW911="N",AR911="Y",EY911="N"),"Y","N"))</f>
        <v/>
      </c>
      <c r="FA911" s="0" t="str">
        <f aca="false">IF($A911="","",IF(EZ911&lt;&gt;"Y","N",IF(COUNTIFS($EX$2:$EX$1000,EX911,$EZ$2:$EZ$1000,"Y",$J$2:$J$1000,"&gt;"&amp;J911)+COUNTIFS($EX$2:$EX$1000,EX911,$EZ$2:$EZ$1000,"Y",$J$2:$J$1000,J911,$FG$2:$FG$1000,"&lt;"&amp;FG911)=0,"Y","N")))</f>
        <v/>
      </c>
      <c r="FB911" s="0" t="str">
        <f aca="false">IF($A911="","",IF(AND(EZ911="Y",FA911="Y",Y911&amp;""&lt;&gt;""),IF(Y911&lt;=10,"Y","N"),"N"))</f>
        <v/>
      </c>
      <c r="FC911" s="0" t="str">
        <f aca="false">IF(FB911="Y",Y911,"")</f>
        <v/>
      </c>
      <c r="FD911" s="0" t="str">
        <f aca="false">IF($A911="","",IF(AND(CK911="pass",AU911="Y",AV911&lt;&gt;"Y",U911="new",EW911="N"),"Y","N"))</f>
        <v/>
      </c>
      <c r="FE911" s="0" t="str">
        <f aca="false">IF(FD911&lt;&gt;"Y","",IF(COUNTIFS($FD$2:$FD$1000,"Y",$J$2:$J$1000,"&gt;"&amp;J911)+COUNTIFS($FD$2:$FD$1000,"Y",$J$2:$J$1000,J911,$FG$2:$FG$1000,"&lt;"&amp;FG911)+1&lt;=30,COUNTIFS($FD$2:$FD$1000,"Y",$J$2:$J$1000,"&gt;"&amp;J911)+COUNTIFS($FD$2:$FD$1000,"Y",$J$2:$J$1000,J911,$FG$2:$FG$1000,"&lt;"&amp;FG911)+1,""))</f>
        <v/>
      </c>
      <c r="FF911" s="0" t="str">
        <f aca="false">IF(AND(_xlfn.ISFORMULA(C911),_xlfn.ISFORMULA(J911)),"Y","N")</f>
        <v>Y</v>
      </c>
      <c r="FG911" s="0" t="n">
        <f aca="false">ROW()-1</f>
        <v>910</v>
      </c>
    </row>
    <row r="912" customFormat="false" ht="15" hidden="false" customHeight="false" outlineLevel="0" collapsed="false">
      <c r="C912" s="0" t="str">
        <f aca="false">IF($A912="","",IF(AT912="Y",BL912&amp;"",AY912&amp;""))</f>
        <v/>
      </c>
      <c r="D912" s="0" t="str">
        <f aca="false">IF($A912="","",IF(AT912="Y",BM912&amp;"",AZ912&amp;""))</f>
        <v/>
      </c>
      <c r="E912" s="0" t="str">
        <f aca="false">IF($A912="","",IF(AT912="Y",BN912&amp;"",BA912&amp;""))</f>
        <v/>
      </c>
      <c r="F912" s="0" t="str">
        <f aca="false">IF($A912="","",IF(AT912="Y",BO912&amp;"",BB912&amp;""))</f>
        <v/>
      </c>
      <c r="G912" s="0" t="str">
        <f aca="false">IF($A912="","",IF(AT912="Y",BP912&amp;"",BC912&amp;""))</f>
        <v/>
      </c>
      <c r="H912" s="0" t="str">
        <f aca="false">IF($A912="","",IF(AT912="Y",BQ912&amp;"",BD912&amp;""))</f>
        <v/>
      </c>
      <c r="I912" s="0" t="str">
        <f aca="false">IF($A912="","",IF(R912="Y","warm-intro",IF(H912="verified","email",IF(C912&lt;&gt;"","linkedin",CA912&amp;""))))</f>
        <v/>
      </c>
      <c r="J912" s="0" t="str">
        <f aca="false">IF($A912="","",IF(CK912="pass",ROUND(N(DO912)+N(DP912)+N(DQ912)+N(DR912)+N(DS912)+N(DT912)+N(DU912)+N(DV912),0),0))</f>
        <v/>
      </c>
      <c r="K912" s="0" t="str">
        <f aca="false">IF($A912="","",IF(CK912&lt;&gt;"pass",BY912&amp;"",BY912&amp;", "&amp;IF(AT912="Y",BX912&amp;"",BK912&amp;"")&amp;BZ912&amp;IF(R912="Y","; known to the founder (+10)","")&amp;"."))</f>
        <v/>
      </c>
      <c r="R912" s="5"/>
      <c r="T912" s="5"/>
      <c r="U912" s="5"/>
      <c r="Y912" s="0" t="str">
        <f aca="false">IF(FA912&lt;&gt;"Y","",COUNTIFS($FA$2:$FA$1000,"Y",$J$2:$J$1000,"&gt;"&amp;J912)+COUNTIFS($FA$2:$FA$1000,"Y",$J$2:$J$1000,J912,$FG$2:$FG$1000,"&lt;"&amp;FG912)+1)</f>
        <v/>
      </c>
      <c r="AB912" s="0" t="str">
        <f aca="false">IF($A912="","",IF(AT912="Y",BW912&amp;"",BJ912&amp;""))</f>
        <v/>
      </c>
      <c r="AC912" s="0" t="str">
        <f aca="false">IF($A912="","",IF(AT912="Y",BR912&amp;"",BE912&amp;""))</f>
        <v/>
      </c>
      <c r="AD912" s="0" t="str">
        <f aca="false">IF($A912="","",IF(AT912="Y",BS912&amp;"",BF912&amp;""))</f>
        <v/>
      </c>
      <c r="AE912" s="0" t="str">
        <f aca="false">IF($A912="","",IF(AT912="Y",BT912&amp;"",BG912&amp;""))</f>
        <v/>
      </c>
      <c r="AF912" s="0" t="str">
        <f aca="false">IF($A912="","",IF(AT912="Y",BU912&amp;"",BH912&amp;""))</f>
        <v/>
      </c>
      <c r="AG912" s="0" t="str">
        <f aca="false">IF($A912="","",IF(AT912="Y",BV912&amp;"",BI912&amp;""))</f>
        <v/>
      </c>
      <c r="AO912" s="5"/>
      <c r="AR912" s="0" t="str">
        <f aca="false">IF($A912="","",IF(AND(CK912="pass",AO912&lt;&gt;"Y",C912&lt;&gt;"",OR(AU912&lt;&gt;"Y",AV912="Y")),"Y","N"))</f>
        <v/>
      </c>
      <c r="AS912" s="0" t="str">
        <f aca="false">IF($A912="","",_xlfn.TEXTJOIN("; ",TRUE(),IF(CK912&lt;&gt;"pass","gated out",""),IF(AO912="Y","on hold: "&amp;AP912,""),IF(C912="","no contact named on an opened page",""),IF(AND(AU912="Y",AV912&lt;&gt;"Y"),"founder review pending (Founder review tab)","")))</f>
        <v/>
      </c>
      <c r="BC912" s="0" t="str">
        <f aca="false">IF($A912="","",IFERROR(INDEX(Enrichment!$A$2:$GZ$2000,MATCH($A912,INDEX(Enrichment!$A$2:$GZ$2000,0,MATCH("row_id",Enrichment!$A$1:$GZ$1,0)),0),MATCH("work_email",Enrichment!$A$1:$GZ$1,0))&amp;"",""))</f>
        <v/>
      </c>
      <c r="BD912" s="0" t="str">
        <f aca="false">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P912" s="0" t="str">
        <f aca="false">IF($A912="","",IFERROR(INDEX(Enrichment!$A$2:$GZ$2000,MATCH($A912,INDEX(Enrichment!$A$2:$GZ$2000,0,MATCH("row_id",Enrichment!$A$1:$GZ$1,0)),0),MATCH("backup_work_email",Enrichment!$A$1:$GZ$1,0))&amp;"",""))</f>
        <v/>
      </c>
      <c r="BQ912" s="0" t="str">
        <f aca="false">IF($A912="","",IF(BP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DU912" s="0" t="str">
        <f aca="false">IF($A912="","",IF(R912="Y",10,0))</f>
        <v/>
      </c>
      <c r="EV912" s="0" t="str">
        <f aca="false">IF($A912="","",IF(ISNUMBER(MATCH(U912,{"queued","contacted","replied","call_booked","call_done","yes_in_principle","materials_sent"},0)),"Y","N"))</f>
        <v/>
      </c>
      <c r="EW912" s="0" t="str">
        <f aca="false">IF($A912="","",IF(OR(T912="Y",U912="do_not_contact",AQ912&amp;""&lt;&gt;""),"Y","N"))</f>
        <v/>
      </c>
      <c r="EX912" s="0" t="str">
        <f aca="false">IF($A912="","",IF(AN912&amp;""&lt;&gt;"",AN912&amp;"",$A912))</f>
        <v/>
      </c>
      <c r="EY912" s="0" t="str">
        <f aca="false">IF($A912="","",IF(COUNTIFS($EX$2:$EX$1000,EX912,$EV$2:$EV$1000,"Y")+COUNTIFS($EX$2:$EX$1000,EX912,$EW$2:$EW$1000,"Y")&gt;0,"Y","N"))</f>
        <v/>
      </c>
      <c r="EZ912" s="0" t="str">
        <f aca="false">IF($A912="","",IF(AND(U912="new",T912="N",EW912="N",AR912="Y",EY912="N"),"Y","N"))</f>
        <v/>
      </c>
      <c r="FA912" s="0" t="str">
        <f aca="false">IF($A912="","",IF(EZ912&lt;&gt;"Y","N",IF(COUNTIFS($EX$2:$EX$1000,EX912,$EZ$2:$EZ$1000,"Y",$J$2:$J$1000,"&gt;"&amp;J912)+COUNTIFS($EX$2:$EX$1000,EX912,$EZ$2:$EZ$1000,"Y",$J$2:$J$1000,J912,$FG$2:$FG$1000,"&lt;"&amp;FG912)=0,"Y","N")))</f>
        <v/>
      </c>
      <c r="FB912" s="0" t="str">
        <f aca="false">IF($A912="","",IF(AND(EZ912="Y",FA912="Y",Y912&amp;""&lt;&gt;""),IF(Y912&lt;=10,"Y","N"),"N"))</f>
        <v/>
      </c>
      <c r="FC912" s="0" t="str">
        <f aca="false">IF(FB912="Y",Y912,"")</f>
        <v/>
      </c>
      <c r="FD912" s="0" t="str">
        <f aca="false">IF($A912="","",IF(AND(CK912="pass",AU912="Y",AV912&lt;&gt;"Y",U912="new",EW912="N"),"Y","N"))</f>
        <v/>
      </c>
      <c r="FE912" s="0" t="str">
        <f aca="false">IF(FD912&lt;&gt;"Y","",IF(COUNTIFS($FD$2:$FD$1000,"Y",$J$2:$J$1000,"&gt;"&amp;J912)+COUNTIFS($FD$2:$FD$1000,"Y",$J$2:$J$1000,J912,$FG$2:$FG$1000,"&lt;"&amp;FG912)+1&lt;=30,COUNTIFS($FD$2:$FD$1000,"Y",$J$2:$J$1000,"&gt;"&amp;J912)+COUNTIFS($FD$2:$FD$1000,"Y",$J$2:$J$1000,J912,$FG$2:$FG$1000,"&lt;"&amp;FG912)+1,""))</f>
        <v/>
      </c>
      <c r="FF912" s="0" t="str">
        <f aca="false">IF(AND(_xlfn.ISFORMULA(C912),_xlfn.ISFORMULA(J912)),"Y","N")</f>
        <v>Y</v>
      </c>
      <c r="FG912" s="0" t="n">
        <f aca="false">ROW()-1</f>
        <v>911</v>
      </c>
    </row>
    <row r="913" customFormat="false" ht="15" hidden="false" customHeight="false" outlineLevel="0" collapsed="false">
      <c r="C913" s="0" t="str">
        <f aca="false">IF($A913="","",IF(AT913="Y",BL913&amp;"",AY913&amp;""))</f>
        <v/>
      </c>
      <c r="D913" s="0" t="str">
        <f aca="false">IF($A913="","",IF(AT913="Y",BM913&amp;"",AZ913&amp;""))</f>
        <v/>
      </c>
      <c r="E913" s="0" t="str">
        <f aca="false">IF($A913="","",IF(AT913="Y",BN913&amp;"",BA913&amp;""))</f>
        <v/>
      </c>
      <c r="F913" s="0" t="str">
        <f aca="false">IF($A913="","",IF(AT913="Y",BO913&amp;"",BB913&amp;""))</f>
        <v/>
      </c>
      <c r="G913" s="0" t="str">
        <f aca="false">IF($A913="","",IF(AT913="Y",BP913&amp;"",BC913&amp;""))</f>
        <v/>
      </c>
      <c r="H913" s="0" t="str">
        <f aca="false">IF($A913="","",IF(AT913="Y",BQ913&amp;"",BD913&amp;""))</f>
        <v/>
      </c>
      <c r="I913" s="0" t="str">
        <f aca="false">IF($A913="","",IF(R913="Y","warm-intro",IF(H913="verified","email",IF(C913&lt;&gt;"","linkedin",CA913&amp;""))))</f>
        <v/>
      </c>
      <c r="J913" s="0" t="str">
        <f aca="false">IF($A913="","",IF(CK913="pass",ROUND(N(DO913)+N(DP913)+N(DQ913)+N(DR913)+N(DS913)+N(DT913)+N(DU913)+N(DV913),0),0))</f>
        <v/>
      </c>
      <c r="K913" s="0" t="str">
        <f aca="false">IF($A913="","",IF(CK913&lt;&gt;"pass",BY913&amp;"",BY913&amp;", "&amp;IF(AT913="Y",BX913&amp;"",BK913&amp;"")&amp;BZ913&amp;IF(R913="Y","; known to the founder (+10)","")&amp;"."))</f>
        <v/>
      </c>
      <c r="R913" s="5"/>
      <c r="T913" s="5"/>
      <c r="U913" s="5"/>
      <c r="Y913" s="0" t="str">
        <f aca="false">IF(FA913&lt;&gt;"Y","",COUNTIFS($FA$2:$FA$1000,"Y",$J$2:$J$1000,"&gt;"&amp;J913)+COUNTIFS($FA$2:$FA$1000,"Y",$J$2:$J$1000,J913,$FG$2:$FG$1000,"&lt;"&amp;FG913)+1)</f>
        <v/>
      </c>
      <c r="AB913" s="0" t="str">
        <f aca="false">IF($A913="","",IF(AT913="Y",BW913&amp;"",BJ913&amp;""))</f>
        <v/>
      </c>
      <c r="AC913" s="0" t="str">
        <f aca="false">IF($A913="","",IF(AT913="Y",BR913&amp;"",BE913&amp;""))</f>
        <v/>
      </c>
      <c r="AD913" s="0" t="str">
        <f aca="false">IF($A913="","",IF(AT913="Y",BS913&amp;"",BF913&amp;""))</f>
        <v/>
      </c>
      <c r="AE913" s="0" t="str">
        <f aca="false">IF($A913="","",IF(AT913="Y",BT913&amp;"",BG913&amp;""))</f>
        <v/>
      </c>
      <c r="AF913" s="0" t="str">
        <f aca="false">IF($A913="","",IF(AT913="Y",BU913&amp;"",BH913&amp;""))</f>
        <v/>
      </c>
      <c r="AG913" s="0" t="str">
        <f aca="false">IF($A913="","",IF(AT913="Y",BV913&amp;"",BI913&amp;""))</f>
        <v/>
      </c>
      <c r="AO913" s="5"/>
      <c r="AR913" s="0" t="str">
        <f aca="false">IF($A913="","",IF(AND(CK913="pass",AO913&lt;&gt;"Y",C913&lt;&gt;"",OR(AU913&lt;&gt;"Y",AV913="Y")),"Y","N"))</f>
        <v/>
      </c>
      <c r="AS913" s="0" t="str">
        <f aca="false">IF($A913="","",_xlfn.TEXTJOIN("; ",TRUE(),IF(CK913&lt;&gt;"pass","gated out",""),IF(AO913="Y","on hold: "&amp;AP913,""),IF(C913="","no contact named on an opened page",""),IF(AND(AU913="Y",AV913&lt;&gt;"Y"),"founder review pending (Founder review tab)","")))</f>
        <v/>
      </c>
      <c r="BC913" s="0" t="str">
        <f aca="false">IF($A913="","",IFERROR(INDEX(Enrichment!$A$2:$GZ$2000,MATCH($A913,INDEX(Enrichment!$A$2:$GZ$2000,0,MATCH("row_id",Enrichment!$A$1:$GZ$1,0)),0),MATCH("work_email",Enrichment!$A$1:$GZ$1,0))&amp;"",""))</f>
        <v/>
      </c>
      <c r="BD913" s="0" t="str">
        <f aca="false">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P913" s="0" t="str">
        <f aca="false">IF($A913="","",IFERROR(INDEX(Enrichment!$A$2:$GZ$2000,MATCH($A913,INDEX(Enrichment!$A$2:$GZ$2000,0,MATCH("row_id",Enrichment!$A$1:$GZ$1,0)),0),MATCH("backup_work_email",Enrichment!$A$1:$GZ$1,0))&amp;"",""))</f>
        <v/>
      </c>
      <c r="BQ913" s="0" t="str">
        <f aca="false">IF($A913="","",IF(BP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DU913" s="0" t="str">
        <f aca="false">IF($A913="","",IF(R913="Y",10,0))</f>
        <v/>
      </c>
      <c r="EV913" s="0" t="str">
        <f aca="false">IF($A913="","",IF(ISNUMBER(MATCH(U913,{"queued","contacted","replied","call_booked","call_done","yes_in_principle","materials_sent"},0)),"Y","N"))</f>
        <v/>
      </c>
      <c r="EW913" s="0" t="str">
        <f aca="false">IF($A913="","",IF(OR(T913="Y",U913="do_not_contact",AQ913&amp;""&lt;&gt;""),"Y","N"))</f>
        <v/>
      </c>
      <c r="EX913" s="0" t="str">
        <f aca="false">IF($A913="","",IF(AN913&amp;""&lt;&gt;"",AN913&amp;"",$A913))</f>
        <v/>
      </c>
      <c r="EY913" s="0" t="str">
        <f aca="false">IF($A913="","",IF(COUNTIFS($EX$2:$EX$1000,EX913,$EV$2:$EV$1000,"Y")+COUNTIFS($EX$2:$EX$1000,EX913,$EW$2:$EW$1000,"Y")&gt;0,"Y","N"))</f>
        <v/>
      </c>
      <c r="EZ913" s="0" t="str">
        <f aca="false">IF($A913="","",IF(AND(U913="new",T913="N",EW913="N",AR913="Y",EY913="N"),"Y","N"))</f>
        <v/>
      </c>
      <c r="FA913" s="0" t="str">
        <f aca="false">IF($A913="","",IF(EZ913&lt;&gt;"Y","N",IF(COUNTIFS($EX$2:$EX$1000,EX913,$EZ$2:$EZ$1000,"Y",$J$2:$J$1000,"&gt;"&amp;J913)+COUNTIFS($EX$2:$EX$1000,EX913,$EZ$2:$EZ$1000,"Y",$J$2:$J$1000,J913,$FG$2:$FG$1000,"&lt;"&amp;FG913)=0,"Y","N")))</f>
        <v/>
      </c>
      <c r="FB913" s="0" t="str">
        <f aca="false">IF($A913="","",IF(AND(EZ913="Y",FA913="Y",Y913&amp;""&lt;&gt;""),IF(Y913&lt;=10,"Y","N"),"N"))</f>
        <v/>
      </c>
      <c r="FC913" s="0" t="str">
        <f aca="false">IF(FB913="Y",Y913,"")</f>
        <v/>
      </c>
      <c r="FD913" s="0" t="str">
        <f aca="false">IF($A913="","",IF(AND(CK913="pass",AU913="Y",AV913&lt;&gt;"Y",U913="new",EW913="N"),"Y","N"))</f>
        <v/>
      </c>
      <c r="FE913" s="0" t="str">
        <f aca="false">IF(FD913&lt;&gt;"Y","",IF(COUNTIFS($FD$2:$FD$1000,"Y",$J$2:$J$1000,"&gt;"&amp;J913)+COUNTIFS($FD$2:$FD$1000,"Y",$J$2:$J$1000,J913,$FG$2:$FG$1000,"&lt;"&amp;FG913)+1&lt;=30,COUNTIFS($FD$2:$FD$1000,"Y",$J$2:$J$1000,"&gt;"&amp;J913)+COUNTIFS($FD$2:$FD$1000,"Y",$J$2:$J$1000,J913,$FG$2:$FG$1000,"&lt;"&amp;FG913)+1,""))</f>
        <v/>
      </c>
      <c r="FF913" s="0" t="str">
        <f aca="false">IF(AND(_xlfn.ISFORMULA(C913),_xlfn.ISFORMULA(J913)),"Y","N")</f>
        <v>Y</v>
      </c>
      <c r="FG913" s="0" t="n">
        <f aca="false">ROW()-1</f>
        <v>912</v>
      </c>
    </row>
    <row r="914" customFormat="false" ht="15" hidden="false" customHeight="false" outlineLevel="0" collapsed="false">
      <c r="C914" s="0" t="str">
        <f aca="false">IF($A914="","",IF(AT914="Y",BL914&amp;"",AY914&amp;""))</f>
        <v/>
      </c>
      <c r="D914" s="0" t="str">
        <f aca="false">IF($A914="","",IF(AT914="Y",BM914&amp;"",AZ914&amp;""))</f>
        <v/>
      </c>
      <c r="E914" s="0" t="str">
        <f aca="false">IF($A914="","",IF(AT914="Y",BN914&amp;"",BA914&amp;""))</f>
        <v/>
      </c>
      <c r="F914" s="0" t="str">
        <f aca="false">IF($A914="","",IF(AT914="Y",BO914&amp;"",BB914&amp;""))</f>
        <v/>
      </c>
      <c r="G914" s="0" t="str">
        <f aca="false">IF($A914="","",IF(AT914="Y",BP914&amp;"",BC914&amp;""))</f>
        <v/>
      </c>
      <c r="H914" s="0" t="str">
        <f aca="false">IF($A914="","",IF(AT914="Y",BQ914&amp;"",BD914&amp;""))</f>
        <v/>
      </c>
      <c r="I914" s="0" t="str">
        <f aca="false">IF($A914="","",IF(R914="Y","warm-intro",IF(H914="verified","email",IF(C914&lt;&gt;"","linkedin",CA914&amp;""))))</f>
        <v/>
      </c>
      <c r="J914" s="0" t="str">
        <f aca="false">IF($A914="","",IF(CK914="pass",ROUND(N(DO914)+N(DP914)+N(DQ914)+N(DR914)+N(DS914)+N(DT914)+N(DU914)+N(DV914),0),0))</f>
        <v/>
      </c>
      <c r="K914" s="0" t="str">
        <f aca="false">IF($A914="","",IF(CK914&lt;&gt;"pass",BY914&amp;"",BY914&amp;", "&amp;IF(AT914="Y",BX914&amp;"",BK914&amp;"")&amp;BZ914&amp;IF(R914="Y","; known to the founder (+10)","")&amp;"."))</f>
        <v/>
      </c>
      <c r="R914" s="5"/>
      <c r="T914" s="5"/>
      <c r="U914" s="5"/>
      <c r="Y914" s="0" t="str">
        <f aca="false">IF(FA914&lt;&gt;"Y","",COUNTIFS($FA$2:$FA$1000,"Y",$J$2:$J$1000,"&gt;"&amp;J914)+COUNTIFS($FA$2:$FA$1000,"Y",$J$2:$J$1000,J914,$FG$2:$FG$1000,"&lt;"&amp;FG914)+1)</f>
        <v/>
      </c>
      <c r="AB914" s="0" t="str">
        <f aca="false">IF($A914="","",IF(AT914="Y",BW914&amp;"",BJ914&amp;""))</f>
        <v/>
      </c>
      <c r="AC914" s="0" t="str">
        <f aca="false">IF($A914="","",IF(AT914="Y",BR914&amp;"",BE914&amp;""))</f>
        <v/>
      </c>
      <c r="AD914" s="0" t="str">
        <f aca="false">IF($A914="","",IF(AT914="Y",BS914&amp;"",BF914&amp;""))</f>
        <v/>
      </c>
      <c r="AE914" s="0" t="str">
        <f aca="false">IF($A914="","",IF(AT914="Y",BT914&amp;"",BG914&amp;""))</f>
        <v/>
      </c>
      <c r="AF914" s="0" t="str">
        <f aca="false">IF($A914="","",IF(AT914="Y",BU914&amp;"",BH914&amp;""))</f>
        <v/>
      </c>
      <c r="AG914" s="0" t="str">
        <f aca="false">IF($A914="","",IF(AT914="Y",BV914&amp;"",BI914&amp;""))</f>
        <v/>
      </c>
      <c r="AO914" s="5"/>
      <c r="AR914" s="0" t="str">
        <f aca="false">IF($A914="","",IF(AND(CK914="pass",AO914&lt;&gt;"Y",C914&lt;&gt;"",OR(AU914&lt;&gt;"Y",AV914="Y")),"Y","N"))</f>
        <v/>
      </c>
      <c r="AS914" s="0" t="str">
        <f aca="false">IF($A914="","",_xlfn.TEXTJOIN("; ",TRUE(),IF(CK914&lt;&gt;"pass","gated out",""),IF(AO914="Y","on hold: "&amp;AP914,""),IF(C914="","no contact named on an opened page",""),IF(AND(AU914="Y",AV914&lt;&gt;"Y"),"founder review pending (Founder review tab)","")))</f>
        <v/>
      </c>
      <c r="BC914" s="0" t="str">
        <f aca="false">IF($A914="","",IFERROR(INDEX(Enrichment!$A$2:$GZ$2000,MATCH($A914,INDEX(Enrichment!$A$2:$GZ$2000,0,MATCH("row_id",Enrichment!$A$1:$GZ$1,0)),0),MATCH("work_email",Enrichment!$A$1:$GZ$1,0))&amp;"",""))</f>
        <v/>
      </c>
      <c r="BD914" s="0" t="str">
        <f aca="false">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P914" s="0" t="str">
        <f aca="false">IF($A914="","",IFERROR(INDEX(Enrichment!$A$2:$GZ$2000,MATCH($A914,INDEX(Enrichment!$A$2:$GZ$2000,0,MATCH("row_id",Enrichment!$A$1:$GZ$1,0)),0),MATCH("backup_work_email",Enrichment!$A$1:$GZ$1,0))&amp;"",""))</f>
        <v/>
      </c>
      <c r="BQ914" s="0" t="str">
        <f aca="false">IF($A914="","",IF(BP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DU914" s="0" t="str">
        <f aca="false">IF($A914="","",IF(R914="Y",10,0))</f>
        <v/>
      </c>
      <c r="EV914" s="0" t="str">
        <f aca="false">IF($A914="","",IF(ISNUMBER(MATCH(U914,{"queued","contacted","replied","call_booked","call_done","yes_in_principle","materials_sent"},0)),"Y","N"))</f>
        <v/>
      </c>
      <c r="EW914" s="0" t="str">
        <f aca="false">IF($A914="","",IF(OR(T914="Y",U914="do_not_contact",AQ914&amp;""&lt;&gt;""),"Y","N"))</f>
        <v/>
      </c>
      <c r="EX914" s="0" t="str">
        <f aca="false">IF($A914="","",IF(AN914&amp;""&lt;&gt;"",AN914&amp;"",$A914))</f>
        <v/>
      </c>
      <c r="EY914" s="0" t="str">
        <f aca="false">IF($A914="","",IF(COUNTIFS($EX$2:$EX$1000,EX914,$EV$2:$EV$1000,"Y")+COUNTIFS($EX$2:$EX$1000,EX914,$EW$2:$EW$1000,"Y")&gt;0,"Y","N"))</f>
        <v/>
      </c>
      <c r="EZ914" s="0" t="str">
        <f aca="false">IF($A914="","",IF(AND(U914="new",T914="N",EW914="N",AR914="Y",EY914="N"),"Y","N"))</f>
        <v/>
      </c>
      <c r="FA914" s="0" t="str">
        <f aca="false">IF($A914="","",IF(EZ914&lt;&gt;"Y","N",IF(COUNTIFS($EX$2:$EX$1000,EX914,$EZ$2:$EZ$1000,"Y",$J$2:$J$1000,"&gt;"&amp;J914)+COUNTIFS($EX$2:$EX$1000,EX914,$EZ$2:$EZ$1000,"Y",$J$2:$J$1000,J914,$FG$2:$FG$1000,"&lt;"&amp;FG914)=0,"Y","N")))</f>
        <v/>
      </c>
      <c r="FB914" s="0" t="str">
        <f aca="false">IF($A914="","",IF(AND(EZ914="Y",FA914="Y",Y914&amp;""&lt;&gt;""),IF(Y914&lt;=10,"Y","N"),"N"))</f>
        <v/>
      </c>
      <c r="FC914" s="0" t="str">
        <f aca="false">IF(FB914="Y",Y914,"")</f>
        <v/>
      </c>
      <c r="FD914" s="0" t="str">
        <f aca="false">IF($A914="","",IF(AND(CK914="pass",AU914="Y",AV914&lt;&gt;"Y",U914="new",EW914="N"),"Y","N"))</f>
        <v/>
      </c>
      <c r="FE914" s="0" t="str">
        <f aca="false">IF(FD914&lt;&gt;"Y","",IF(COUNTIFS($FD$2:$FD$1000,"Y",$J$2:$J$1000,"&gt;"&amp;J914)+COUNTIFS($FD$2:$FD$1000,"Y",$J$2:$J$1000,J914,$FG$2:$FG$1000,"&lt;"&amp;FG914)+1&lt;=30,COUNTIFS($FD$2:$FD$1000,"Y",$J$2:$J$1000,"&gt;"&amp;J914)+COUNTIFS($FD$2:$FD$1000,"Y",$J$2:$J$1000,J914,$FG$2:$FG$1000,"&lt;"&amp;FG914)+1,""))</f>
        <v/>
      </c>
      <c r="FF914" s="0" t="str">
        <f aca="false">IF(AND(_xlfn.ISFORMULA(C914),_xlfn.ISFORMULA(J914)),"Y","N")</f>
        <v>Y</v>
      </c>
      <c r="FG914" s="0" t="n">
        <f aca="false">ROW()-1</f>
        <v>913</v>
      </c>
    </row>
    <row r="915" customFormat="false" ht="15" hidden="false" customHeight="false" outlineLevel="0" collapsed="false">
      <c r="C915" s="0" t="str">
        <f aca="false">IF($A915="","",IF(AT915="Y",BL915&amp;"",AY915&amp;""))</f>
        <v/>
      </c>
      <c r="D915" s="0" t="str">
        <f aca="false">IF($A915="","",IF(AT915="Y",BM915&amp;"",AZ915&amp;""))</f>
        <v/>
      </c>
      <c r="E915" s="0" t="str">
        <f aca="false">IF($A915="","",IF(AT915="Y",BN915&amp;"",BA915&amp;""))</f>
        <v/>
      </c>
      <c r="F915" s="0" t="str">
        <f aca="false">IF($A915="","",IF(AT915="Y",BO915&amp;"",BB915&amp;""))</f>
        <v/>
      </c>
      <c r="G915" s="0" t="str">
        <f aca="false">IF($A915="","",IF(AT915="Y",BP915&amp;"",BC915&amp;""))</f>
        <v/>
      </c>
      <c r="H915" s="0" t="str">
        <f aca="false">IF($A915="","",IF(AT915="Y",BQ915&amp;"",BD915&amp;""))</f>
        <v/>
      </c>
      <c r="I915" s="0" t="str">
        <f aca="false">IF($A915="","",IF(R915="Y","warm-intro",IF(H915="verified","email",IF(C915&lt;&gt;"","linkedin",CA915&amp;""))))</f>
        <v/>
      </c>
      <c r="J915" s="0" t="str">
        <f aca="false">IF($A915="","",IF(CK915="pass",ROUND(N(DO915)+N(DP915)+N(DQ915)+N(DR915)+N(DS915)+N(DT915)+N(DU915)+N(DV915),0),0))</f>
        <v/>
      </c>
      <c r="K915" s="0" t="str">
        <f aca="false">IF($A915="","",IF(CK915&lt;&gt;"pass",BY915&amp;"",BY915&amp;", "&amp;IF(AT915="Y",BX915&amp;"",BK915&amp;"")&amp;BZ915&amp;IF(R915="Y","; known to the founder (+10)","")&amp;"."))</f>
        <v/>
      </c>
      <c r="R915" s="5"/>
      <c r="T915" s="5"/>
      <c r="U915" s="5"/>
      <c r="Y915" s="0" t="str">
        <f aca="false">IF(FA915&lt;&gt;"Y","",COUNTIFS($FA$2:$FA$1000,"Y",$J$2:$J$1000,"&gt;"&amp;J915)+COUNTIFS($FA$2:$FA$1000,"Y",$J$2:$J$1000,J915,$FG$2:$FG$1000,"&lt;"&amp;FG915)+1)</f>
        <v/>
      </c>
      <c r="AB915" s="0" t="str">
        <f aca="false">IF($A915="","",IF(AT915="Y",BW915&amp;"",BJ915&amp;""))</f>
        <v/>
      </c>
      <c r="AC915" s="0" t="str">
        <f aca="false">IF($A915="","",IF(AT915="Y",BR915&amp;"",BE915&amp;""))</f>
        <v/>
      </c>
      <c r="AD915" s="0" t="str">
        <f aca="false">IF($A915="","",IF(AT915="Y",BS915&amp;"",BF915&amp;""))</f>
        <v/>
      </c>
      <c r="AE915" s="0" t="str">
        <f aca="false">IF($A915="","",IF(AT915="Y",BT915&amp;"",BG915&amp;""))</f>
        <v/>
      </c>
      <c r="AF915" s="0" t="str">
        <f aca="false">IF($A915="","",IF(AT915="Y",BU915&amp;"",BH915&amp;""))</f>
        <v/>
      </c>
      <c r="AG915" s="0" t="str">
        <f aca="false">IF($A915="","",IF(AT915="Y",BV915&amp;"",BI915&amp;""))</f>
        <v/>
      </c>
      <c r="AO915" s="5"/>
      <c r="AR915" s="0" t="str">
        <f aca="false">IF($A915="","",IF(AND(CK915="pass",AO915&lt;&gt;"Y",C915&lt;&gt;"",OR(AU915&lt;&gt;"Y",AV915="Y")),"Y","N"))</f>
        <v/>
      </c>
      <c r="AS915" s="0" t="str">
        <f aca="false">IF($A915="","",_xlfn.TEXTJOIN("; ",TRUE(),IF(CK915&lt;&gt;"pass","gated out",""),IF(AO915="Y","on hold: "&amp;AP915,""),IF(C915="","no contact named on an opened page",""),IF(AND(AU915="Y",AV915&lt;&gt;"Y"),"founder review pending (Founder review tab)","")))</f>
        <v/>
      </c>
      <c r="BC915" s="0" t="str">
        <f aca="false">IF($A915="","",IFERROR(INDEX(Enrichment!$A$2:$GZ$2000,MATCH($A915,INDEX(Enrichment!$A$2:$GZ$2000,0,MATCH("row_id",Enrichment!$A$1:$GZ$1,0)),0),MATCH("work_email",Enrichment!$A$1:$GZ$1,0))&amp;"",""))</f>
        <v/>
      </c>
      <c r="BD915" s="0" t="str">
        <f aca="false">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P915" s="0" t="str">
        <f aca="false">IF($A915="","",IFERROR(INDEX(Enrichment!$A$2:$GZ$2000,MATCH($A915,INDEX(Enrichment!$A$2:$GZ$2000,0,MATCH("row_id",Enrichment!$A$1:$GZ$1,0)),0),MATCH("backup_work_email",Enrichment!$A$1:$GZ$1,0))&amp;"",""))</f>
        <v/>
      </c>
      <c r="BQ915" s="0" t="str">
        <f aca="false">IF($A915="","",IF(BP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DU915" s="0" t="str">
        <f aca="false">IF($A915="","",IF(R915="Y",10,0))</f>
        <v/>
      </c>
      <c r="EV915" s="0" t="str">
        <f aca="false">IF($A915="","",IF(ISNUMBER(MATCH(U915,{"queued","contacted","replied","call_booked","call_done","yes_in_principle","materials_sent"},0)),"Y","N"))</f>
        <v/>
      </c>
      <c r="EW915" s="0" t="str">
        <f aca="false">IF($A915="","",IF(OR(T915="Y",U915="do_not_contact",AQ915&amp;""&lt;&gt;""),"Y","N"))</f>
        <v/>
      </c>
      <c r="EX915" s="0" t="str">
        <f aca="false">IF($A915="","",IF(AN915&amp;""&lt;&gt;"",AN915&amp;"",$A915))</f>
        <v/>
      </c>
      <c r="EY915" s="0" t="str">
        <f aca="false">IF($A915="","",IF(COUNTIFS($EX$2:$EX$1000,EX915,$EV$2:$EV$1000,"Y")+COUNTIFS($EX$2:$EX$1000,EX915,$EW$2:$EW$1000,"Y")&gt;0,"Y","N"))</f>
        <v/>
      </c>
      <c r="EZ915" s="0" t="str">
        <f aca="false">IF($A915="","",IF(AND(U915="new",T915="N",EW915="N",AR915="Y",EY915="N"),"Y","N"))</f>
        <v/>
      </c>
      <c r="FA915" s="0" t="str">
        <f aca="false">IF($A915="","",IF(EZ915&lt;&gt;"Y","N",IF(COUNTIFS($EX$2:$EX$1000,EX915,$EZ$2:$EZ$1000,"Y",$J$2:$J$1000,"&gt;"&amp;J915)+COUNTIFS($EX$2:$EX$1000,EX915,$EZ$2:$EZ$1000,"Y",$J$2:$J$1000,J915,$FG$2:$FG$1000,"&lt;"&amp;FG915)=0,"Y","N")))</f>
        <v/>
      </c>
      <c r="FB915" s="0" t="str">
        <f aca="false">IF($A915="","",IF(AND(EZ915="Y",FA915="Y",Y915&amp;""&lt;&gt;""),IF(Y915&lt;=10,"Y","N"),"N"))</f>
        <v/>
      </c>
      <c r="FC915" s="0" t="str">
        <f aca="false">IF(FB915="Y",Y915,"")</f>
        <v/>
      </c>
      <c r="FD915" s="0" t="str">
        <f aca="false">IF($A915="","",IF(AND(CK915="pass",AU915="Y",AV915&lt;&gt;"Y",U915="new",EW915="N"),"Y","N"))</f>
        <v/>
      </c>
      <c r="FE915" s="0" t="str">
        <f aca="false">IF(FD915&lt;&gt;"Y","",IF(COUNTIFS($FD$2:$FD$1000,"Y",$J$2:$J$1000,"&gt;"&amp;J915)+COUNTIFS($FD$2:$FD$1000,"Y",$J$2:$J$1000,J915,$FG$2:$FG$1000,"&lt;"&amp;FG915)+1&lt;=30,COUNTIFS($FD$2:$FD$1000,"Y",$J$2:$J$1000,"&gt;"&amp;J915)+COUNTIFS($FD$2:$FD$1000,"Y",$J$2:$J$1000,J915,$FG$2:$FG$1000,"&lt;"&amp;FG915)+1,""))</f>
        <v/>
      </c>
      <c r="FF915" s="0" t="str">
        <f aca="false">IF(AND(_xlfn.ISFORMULA(C915),_xlfn.ISFORMULA(J915)),"Y","N")</f>
        <v>Y</v>
      </c>
      <c r="FG915" s="0" t="n">
        <f aca="false">ROW()-1</f>
        <v>914</v>
      </c>
    </row>
    <row r="916" customFormat="false" ht="15" hidden="false" customHeight="false" outlineLevel="0" collapsed="false">
      <c r="C916" s="0" t="str">
        <f aca="false">IF($A916="","",IF(AT916="Y",BL916&amp;"",AY916&amp;""))</f>
        <v/>
      </c>
      <c r="D916" s="0" t="str">
        <f aca="false">IF($A916="","",IF(AT916="Y",BM916&amp;"",AZ916&amp;""))</f>
        <v/>
      </c>
      <c r="E916" s="0" t="str">
        <f aca="false">IF($A916="","",IF(AT916="Y",BN916&amp;"",BA916&amp;""))</f>
        <v/>
      </c>
      <c r="F916" s="0" t="str">
        <f aca="false">IF($A916="","",IF(AT916="Y",BO916&amp;"",BB916&amp;""))</f>
        <v/>
      </c>
      <c r="G916" s="0" t="str">
        <f aca="false">IF($A916="","",IF(AT916="Y",BP916&amp;"",BC916&amp;""))</f>
        <v/>
      </c>
      <c r="H916" s="0" t="str">
        <f aca="false">IF($A916="","",IF(AT916="Y",BQ916&amp;"",BD916&amp;""))</f>
        <v/>
      </c>
      <c r="I916" s="0" t="str">
        <f aca="false">IF($A916="","",IF(R916="Y","warm-intro",IF(H916="verified","email",IF(C916&lt;&gt;"","linkedin",CA916&amp;""))))</f>
        <v/>
      </c>
      <c r="J916" s="0" t="str">
        <f aca="false">IF($A916="","",IF(CK916="pass",ROUND(N(DO916)+N(DP916)+N(DQ916)+N(DR916)+N(DS916)+N(DT916)+N(DU916)+N(DV916),0),0))</f>
        <v/>
      </c>
      <c r="K916" s="0" t="str">
        <f aca="false">IF($A916="","",IF(CK916&lt;&gt;"pass",BY916&amp;"",BY916&amp;", "&amp;IF(AT916="Y",BX916&amp;"",BK916&amp;"")&amp;BZ916&amp;IF(R916="Y","; known to the founder (+10)","")&amp;"."))</f>
        <v/>
      </c>
      <c r="R916" s="5"/>
      <c r="T916" s="5"/>
      <c r="U916" s="5"/>
      <c r="Y916" s="0" t="str">
        <f aca="false">IF(FA916&lt;&gt;"Y","",COUNTIFS($FA$2:$FA$1000,"Y",$J$2:$J$1000,"&gt;"&amp;J916)+COUNTIFS($FA$2:$FA$1000,"Y",$J$2:$J$1000,J916,$FG$2:$FG$1000,"&lt;"&amp;FG916)+1)</f>
        <v/>
      </c>
      <c r="AB916" s="0" t="str">
        <f aca="false">IF($A916="","",IF(AT916="Y",BW916&amp;"",BJ916&amp;""))</f>
        <v/>
      </c>
      <c r="AC916" s="0" t="str">
        <f aca="false">IF($A916="","",IF(AT916="Y",BR916&amp;"",BE916&amp;""))</f>
        <v/>
      </c>
      <c r="AD916" s="0" t="str">
        <f aca="false">IF($A916="","",IF(AT916="Y",BS916&amp;"",BF916&amp;""))</f>
        <v/>
      </c>
      <c r="AE916" s="0" t="str">
        <f aca="false">IF($A916="","",IF(AT916="Y",BT916&amp;"",BG916&amp;""))</f>
        <v/>
      </c>
      <c r="AF916" s="0" t="str">
        <f aca="false">IF($A916="","",IF(AT916="Y",BU916&amp;"",BH916&amp;""))</f>
        <v/>
      </c>
      <c r="AG916" s="0" t="str">
        <f aca="false">IF($A916="","",IF(AT916="Y",BV916&amp;"",BI916&amp;""))</f>
        <v/>
      </c>
      <c r="AO916" s="5"/>
      <c r="AR916" s="0" t="str">
        <f aca="false">IF($A916="","",IF(AND(CK916="pass",AO916&lt;&gt;"Y",C916&lt;&gt;"",OR(AU916&lt;&gt;"Y",AV916="Y")),"Y","N"))</f>
        <v/>
      </c>
      <c r="AS916" s="0" t="str">
        <f aca="false">IF($A916="","",_xlfn.TEXTJOIN("; ",TRUE(),IF(CK916&lt;&gt;"pass","gated out",""),IF(AO916="Y","on hold: "&amp;AP916,""),IF(C916="","no contact named on an opened page",""),IF(AND(AU916="Y",AV916&lt;&gt;"Y"),"founder review pending (Founder review tab)","")))</f>
        <v/>
      </c>
      <c r="BC916" s="0" t="str">
        <f aca="false">IF($A916="","",IFERROR(INDEX(Enrichment!$A$2:$GZ$2000,MATCH($A916,INDEX(Enrichment!$A$2:$GZ$2000,0,MATCH("row_id",Enrichment!$A$1:$GZ$1,0)),0),MATCH("work_email",Enrichment!$A$1:$GZ$1,0))&amp;"",""))</f>
        <v/>
      </c>
      <c r="BD916" s="0" t="str">
        <f aca="false">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P916" s="0" t="str">
        <f aca="false">IF($A916="","",IFERROR(INDEX(Enrichment!$A$2:$GZ$2000,MATCH($A916,INDEX(Enrichment!$A$2:$GZ$2000,0,MATCH("row_id",Enrichment!$A$1:$GZ$1,0)),0),MATCH("backup_work_email",Enrichment!$A$1:$GZ$1,0))&amp;"",""))</f>
        <v/>
      </c>
      <c r="BQ916" s="0" t="str">
        <f aca="false">IF($A916="","",IF(BP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DU916" s="0" t="str">
        <f aca="false">IF($A916="","",IF(R916="Y",10,0))</f>
        <v/>
      </c>
      <c r="EV916" s="0" t="str">
        <f aca="false">IF($A916="","",IF(ISNUMBER(MATCH(U916,{"queued","contacted","replied","call_booked","call_done","yes_in_principle","materials_sent"},0)),"Y","N"))</f>
        <v/>
      </c>
      <c r="EW916" s="0" t="str">
        <f aca="false">IF($A916="","",IF(OR(T916="Y",U916="do_not_contact",AQ916&amp;""&lt;&gt;""),"Y","N"))</f>
        <v/>
      </c>
      <c r="EX916" s="0" t="str">
        <f aca="false">IF($A916="","",IF(AN916&amp;""&lt;&gt;"",AN916&amp;"",$A916))</f>
        <v/>
      </c>
      <c r="EY916" s="0" t="str">
        <f aca="false">IF($A916="","",IF(COUNTIFS($EX$2:$EX$1000,EX916,$EV$2:$EV$1000,"Y")+COUNTIFS($EX$2:$EX$1000,EX916,$EW$2:$EW$1000,"Y")&gt;0,"Y","N"))</f>
        <v/>
      </c>
      <c r="EZ916" s="0" t="str">
        <f aca="false">IF($A916="","",IF(AND(U916="new",T916="N",EW916="N",AR916="Y",EY916="N"),"Y","N"))</f>
        <v/>
      </c>
      <c r="FA916" s="0" t="str">
        <f aca="false">IF($A916="","",IF(EZ916&lt;&gt;"Y","N",IF(COUNTIFS($EX$2:$EX$1000,EX916,$EZ$2:$EZ$1000,"Y",$J$2:$J$1000,"&gt;"&amp;J916)+COUNTIFS($EX$2:$EX$1000,EX916,$EZ$2:$EZ$1000,"Y",$J$2:$J$1000,J916,$FG$2:$FG$1000,"&lt;"&amp;FG916)=0,"Y","N")))</f>
        <v/>
      </c>
      <c r="FB916" s="0" t="str">
        <f aca="false">IF($A916="","",IF(AND(EZ916="Y",FA916="Y",Y916&amp;""&lt;&gt;""),IF(Y916&lt;=10,"Y","N"),"N"))</f>
        <v/>
      </c>
      <c r="FC916" s="0" t="str">
        <f aca="false">IF(FB916="Y",Y916,"")</f>
        <v/>
      </c>
      <c r="FD916" s="0" t="str">
        <f aca="false">IF($A916="","",IF(AND(CK916="pass",AU916="Y",AV916&lt;&gt;"Y",U916="new",EW916="N"),"Y","N"))</f>
        <v/>
      </c>
      <c r="FE916" s="0" t="str">
        <f aca="false">IF(FD916&lt;&gt;"Y","",IF(COUNTIFS($FD$2:$FD$1000,"Y",$J$2:$J$1000,"&gt;"&amp;J916)+COUNTIFS($FD$2:$FD$1000,"Y",$J$2:$J$1000,J916,$FG$2:$FG$1000,"&lt;"&amp;FG916)+1&lt;=30,COUNTIFS($FD$2:$FD$1000,"Y",$J$2:$J$1000,"&gt;"&amp;J916)+COUNTIFS($FD$2:$FD$1000,"Y",$J$2:$J$1000,J916,$FG$2:$FG$1000,"&lt;"&amp;FG916)+1,""))</f>
        <v/>
      </c>
      <c r="FF916" s="0" t="str">
        <f aca="false">IF(AND(_xlfn.ISFORMULA(C916),_xlfn.ISFORMULA(J916)),"Y","N")</f>
        <v>Y</v>
      </c>
      <c r="FG916" s="0" t="n">
        <f aca="false">ROW()-1</f>
        <v>915</v>
      </c>
    </row>
    <row r="917" customFormat="false" ht="15" hidden="false" customHeight="false" outlineLevel="0" collapsed="false">
      <c r="C917" s="0" t="str">
        <f aca="false">IF($A917="","",IF(AT917="Y",BL917&amp;"",AY917&amp;""))</f>
        <v/>
      </c>
      <c r="D917" s="0" t="str">
        <f aca="false">IF($A917="","",IF(AT917="Y",BM917&amp;"",AZ917&amp;""))</f>
        <v/>
      </c>
      <c r="E917" s="0" t="str">
        <f aca="false">IF($A917="","",IF(AT917="Y",BN917&amp;"",BA917&amp;""))</f>
        <v/>
      </c>
      <c r="F917" s="0" t="str">
        <f aca="false">IF($A917="","",IF(AT917="Y",BO917&amp;"",BB917&amp;""))</f>
        <v/>
      </c>
      <c r="G917" s="0" t="str">
        <f aca="false">IF($A917="","",IF(AT917="Y",BP917&amp;"",BC917&amp;""))</f>
        <v/>
      </c>
      <c r="H917" s="0" t="str">
        <f aca="false">IF($A917="","",IF(AT917="Y",BQ917&amp;"",BD917&amp;""))</f>
        <v/>
      </c>
      <c r="I917" s="0" t="str">
        <f aca="false">IF($A917="","",IF(R917="Y","warm-intro",IF(H917="verified","email",IF(C917&lt;&gt;"","linkedin",CA917&amp;""))))</f>
        <v/>
      </c>
      <c r="J917" s="0" t="str">
        <f aca="false">IF($A917="","",IF(CK917="pass",ROUND(N(DO917)+N(DP917)+N(DQ917)+N(DR917)+N(DS917)+N(DT917)+N(DU917)+N(DV917),0),0))</f>
        <v/>
      </c>
      <c r="K917" s="0" t="str">
        <f aca="false">IF($A917="","",IF(CK917&lt;&gt;"pass",BY917&amp;"",BY917&amp;", "&amp;IF(AT917="Y",BX917&amp;"",BK917&amp;"")&amp;BZ917&amp;IF(R917="Y","; known to the founder (+10)","")&amp;"."))</f>
        <v/>
      </c>
      <c r="R917" s="5"/>
      <c r="T917" s="5"/>
      <c r="U917" s="5"/>
      <c r="Y917" s="0" t="str">
        <f aca="false">IF(FA917&lt;&gt;"Y","",COUNTIFS($FA$2:$FA$1000,"Y",$J$2:$J$1000,"&gt;"&amp;J917)+COUNTIFS($FA$2:$FA$1000,"Y",$J$2:$J$1000,J917,$FG$2:$FG$1000,"&lt;"&amp;FG917)+1)</f>
        <v/>
      </c>
      <c r="AB917" s="0" t="str">
        <f aca="false">IF($A917="","",IF(AT917="Y",BW917&amp;"",BJ917&amp;""))</f>
        <v/>
      </c>
      <c r="AC917" s="0" t="str">
        <f aca="false">IF($A917="","",IF(AT917="Y",BR917&amp;"",BE917&amp;""))</f>
        <v/>
      </c>
      <c r="AD917" s="0" t="str">
        <f aca="false">IF($A917="","",IF(AT917="Y",BS917&amp;"",BF917&amp;""))</f>
        <v/>
      </c>
      <c r="AE917" s="0" t="str">
        <f aca="false">IF($A917="","",IF(AT917="Y",BT917&amp;"",BG917&amp;""))</f>
        <v/>
      </c>
      <c r="AF917" s="0" t="str">
        <f aca="false">IF($A917="","",IF(AT917="Y",BU917&amp;"",BH917&amp;""))</f>
        <v/>
      </c>
      <c r="AG917" s="0" t="str">
        <f aca="false">IF($A917="","",IF(AT917="Y",BV917&amp;"",BI917&amp;""))</f>
        <v/>
      </c>
      <c r="AO917" s="5"/>
      <c r="AR917" s="0" t="str">
        <f aca="false">IF($A917="","",IF(AND(CK917="pass",AO917&lt;&gt;"Y",C917&lt;&gt;"",OR(AU917&lt;&gt;"Y",AV917="Y")),"Y","N"))</f>
        <v/>
      </c>
      <c r="AS917" s="0" t="str">
        <f aca="false">IF($A917="","",_xlfn.TEXTJOIN("; ",TRUE(),IF(CK917&lt;&gt;"pass","gated out",""),IF(AO917="Y","on hold: "&amp;AP917,""),IF(C917="","no contact named on an opened page",""),IF(AND(AU917="Y",AV917&lt;&gt;"Y"),"founder review pending (Founder review tab)","")))</f>
        <v/>
      </c>
      <c r="BC917" s="0" t="str">
        <f aca="false">IF($A917="","",IFERROR(INDEX(Enrichment!$A$2:$GZ$2000,MATCH($A917,INDEX(Enrichment!$A$2:$GZ$2000,0,MATCH("row_id",Enrichment!$A$1:$GZ$1,0)),0),MATCH("work_email",Enrichment!$A$1:$GZ$1,0))&amp;"",""))</f>
        <v/>
      </c>
      <c r="BD917" s="0" t="str">
        <f aca="false">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P917" s="0" t="str">
        <f aca="false">IF($A917="","",IFERROR(INDEX(Enrichment!$A$2:$GZ$2000,MATCH($A917,INDEX(Enrichment!$A$2:$GZ$2000,0,MATCH("row_id",Enrichment!$A$1:$GZ$1,0)),0),MATCH("backup_work_email",Enrichment!$A$1:$GZ$1,0))&amp;"",""))</f>
        <v/>
      </c>
      <c r="BQ917" s="0" t="str">
        <f aca="false">IF($A917="","",IF(BP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DU917" s="0" t="str">
        <f aca="false">IF($A917="","",IF(R917="Y",10,0))</f>
        <v/>
      </c>
      <c r="EV917" s="0" t="str">
        <f aca="false">IF($A917="","",IF(ISNUMBER(MATCH(U917,{"queued","contacted","replied","call_booked","call_done","yes_in_principle","materials_sent"},0)),"Y","N"))</f>
        <v/>
      </c>
      <c r="EW917" s="0" t="str">
        <f aca="false">IF($A917="","",IF(OR(T917="Y",U917="do_not_contact",AQ917&amp;""&lt;&gt;""),"Y","N"))</f>
        <v/>
      </c>
      <c r="EX917" s="0" t="str">
        <f aca="false">IF($A917="","",IF(AN917&amp;""&lt;&gt;"",AN917&amp;"",$A917))</f>
        <v/>
      </c>
      <c r="EY917" s="0" t="str">
        <f aca="false">IF($A917="","",IF(COUNTIFS($EX$2:$EX$1000,EX917,$EV$2:$EV$1000,"Y")+COUNTIFS($EX$2:$EX$1000,EX917,$EW$2:$EW$1000,"Y")&gt;0,"Y","N"))</f>
        <v/>
      </c>
      <c r="EZ917" s="0" t="str">
        <f aca="false">IF($A917="","",IF(AND(U917="new",T917="N",EW917="N",AR917="Y",EY917="N"),"Y","N"))</f>
        <v/>
      </c>
      <c r="FA917" s="0" t="str">
        <f aca="false">IF($A917="","",IF(EZ917&lt;&gt;"Y","N",IF(COUNTIFS($EX$2:$EX$1000,EX917,$EZ$2:$EZ$1000,"Y",$J$2:$J$1000,"&gt;"&amp;J917)+COUNTIFS($EX$2:$EX$1000,EX917,$EZ$2:$EZ$1000,"Y",$J$2:$J$1000,J917,$FG$2:$FG$1000,"&lt;"&amp;FG917)=0,"Y","N")))</f>
        <v/>
      </c>
      <c r="FB917" s="0" t="str">
        <f aca="false">IF($A917="","",IF(AND(EZ917="Y",FA917="Y",Y917&amp;""&lt;&gt;""),IF(Y917&lt;=10,"Y","N"),"N"))</f>
        <v/>
      </c>
      <c r="FC917" s="0" t="str">
        <f aca="false">IF(FB917="Y",Y917,"")</f>
        <v/>
      </c>
      <c r="FD917" s="0" t="str">
        <f aca="false">IF($A917="","",IF(AND(CK917="pass",AU917="Y",AV917&lt;&gt;"Y",U917="new",EW917="N"),"Y","N"))</f>
        <v/>
      </c>
      <c r="FE917" s="0" t="str">
        <f aca="false">IF(FD917&lt;&gt;"Y","",IF(COUNTIFS($FD$2:$FD$1000,"Y",$J$2:$J$1000,"&gt;"&amp;J917)+COUNTIFS($FD$2:$FD$1000,"Y",$J$2:$J$1000,J917,$FG$2:$FG$1000,"&lt;"&amp;FG917)+1&lt;=30,COUNTIFS($FD$2:$FD$1000,"Y",$J$2:$J$1000,"&gt;"&amp;J917)+COUNTIFS($FD$2:$FD$1000,"Y",$J$2:$J$1000,J917,$FG$2:$FG$1000,"&lt;"&amp;FG917)+1,""))</f>
        <v/>
      </c>
      <c r="FF917" s="0" t="str">
        <f aca="false">IF(AND(_xlfn.ISFORMULA(C917),_xlfn.ISFORMULA(J917)),"Y","N")</f>
        <v>Y</v>
      </c>
      <c r="FG917" s="0" t="n">
        <f aca="false">ROW()-1</f>
        <v>916</v>
      </c>
    </row>
    <row r="918" customFormat="false" ht="15" hidden="false" customHeight="false" outlineLevel="0" collapsed="false">
      <c r="C918" s="0" t="str">
        <f aca="false">IF($A918="","",IF(AT918="Y",BL918&amp;"",AY918&amp;""))</f>
        <v/>
      </c>
      <c r="D918" s="0" t="str">
        <f aca="false">IF($A918="","",IF(AT918="Y",BM918&amp;"",AZ918&amp;""))</f>
        <v/>
      </c>
      <c r="E918" s="0" t="str">
        <f aca="false">IF($A918="","",IF(AT918="Y",BN918&amp;"",BA918&amp;""))</f>
        <v/>
      </c>
      <c r="F918" s="0" t="str">
        <f aca="false">IF($A918="","",IF(AT918="Y",BO918&amp;"",BB918&amp;""))</f>
        <v/>
      </c>
      <c r="G918" s="0" t="str">
        <f aca="false">IF($A918="","",IF(AT918="Y",BP918&amp;"",BC918&amp;""))</f>
        <v/>
      </c>
      <c r="H918" s="0" t="str">
        <f aca="false">IF($A918="","",IF(AT918="Y",BQ918&amp;"",BD918&amp;""))</f>
        <v/>
      </c>
      <c r="I918" s="0" t="str">
        <f aca="false">IF($A918="","",IF(R918="Y","warm-intro",IF(H918="verified","email",IF(C918&lt;&gt;"","linkedin",CA918&amp;""))))</f>
        <v/>
      </c>
      <c r="J918" s="0" t="str">
        <f aca="false">IF($A918="","",IF(CK918="pass",ROUND(N(DO918)+N(DP918)+N(DQ918)+N(DR918)+N(DS918)+N(DT918)+N(DU918)+N(DV918),0),0))</f>
        <v/>
      </c>
      <c r="K918" s="0" t="str">
        <f aca="false">IF($A918="","",IF(CK918&lt;&gt;"pass",BY918&amp;"",BY918&amp;", "&amp;IF(AT918="Y",BX918&amp;"",BK918&amp;"")&amp;BZ918&amp;IF(R918="Y","; known to the founder (+10)","")&amp;"."))</f>
        <v/>
      </c>
      <c r="R918" s="5"/>
      <c r="T918" s="5"/>
      <c r="U918" s="5"/>
      <c r="Y918" s="0" t="str">
        <f aca="false">IF(FA918&lt;&gt;"Y","",COUNTIFS($FA$2:$FA$1000,"Y",$J$2:$J$1000,"&gt;"&amp;J918)+COUNTIFS($FA$2:$FA$1000,"Y",$J$2:$J$1000,J918,$FG$2:$FG$1000,"&lt;"&amp;FG918)+1)</f>
        <v/>
      </c>
      <c r="AB918" s="0" t="str">
        <f aca="false">IF($A918="","",IF(AT918="Y",BW918&amp;"",BJ918&amp;""))</f>
        <v/>
      </c>
      <c r="AC918" s="0" t="str">
        <f aca="false">IF($A918="","",IF(AT918="Y",BR918&amp;"",BE918&amp;""))</f>
        <v/>
      </c>
      <c r="AD918" s="0" t="str">
        <f aca="false">IF($A918="","",IF(AT918="Y",BS918&amp;"",BF918&amp;""))</f>
        <v/>
      </c>
      <c r="AE918" s="0" t="str">
        <f aca="false">IF($A918="","",IF(AT918="Y",BT918&amp;"",BG918&amp;""))</f>
        <v/>
      </c>
      <c r="AF918" s="0" t="str">
        <f aca="false">IF($A918="","",IF(AT918="Y",BU918&amp;"",BH918&amp;""))</f>
        <v/>
      </c>
      <c r="AG918" s="0" t="str">
        <f aca="false">IF($A918="","",IF(AT918="Y",BV918&amp;"",BI918&amp;""))</f>
        <v/>
      </c>
      <c r="AO918" s="5"/>
      <c r="AR918" s="0" t="str">
        <f aca="false">IF($A918="","",IF(AND(CK918="pass",AO918&lt;&gt;"Y",C918&lt;&gt;"",OR(AU918&lt;&gt;"Y",AV918="Y")),"Y","N"))</f>
        <v/>
      </c>
      <c r="AS918" s="0" t="str">
        <f aca="false">IF($A918="","",_xlfn.TEXTJOIN("; ",TRUE(),IF(CK918&lt;&gt;"pass","gated out",""),IF(AO918="Y","on hold: "&amp;AP918,""),IF(C918="","no contact named on an opened page",""),IF(AND(AU918="Y",AV918&lt;&gt;"Y"),"founder review pending (Founder review tab)","")))</f>
        <v/>
      </c>
      <c r="BC918" s="0" t="str">
        <f aca="false">IF($A918="","",IFERROR(INDEX(Enrichment!$A$2:$GZ$2000,MATCH($A918,INDEX(Enrichment!$A$2:$GZ$2000,0,MATCH("row_id",Enrichment!$A$1:$GZ$1,0)),0),MATCH("work_email",Enrichment!$A$1:$GZ$1,0))&amp;"",""))</f>
        <v/>
      </c>
      <c r="BD918" s="0" t="str">
        <f aca="false">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P918" s="0" t="str">
        <f aca="false">IF($A918="","",IFERROR(INDEX(Enrichment!$A$2:$GZ$2000,MATCH($A918,INDEX(Enrichment!$A$2:$GZ$2000,0,MATCH("row_id",Enrichment!$A$1:$GZ$1,0)),0),MATCH("backup_work_email",Enrichment!$A$1:$GZ$1,0))&amp;"",""))</f>
        <v/>
      </c>
      <c r="BQ918" s="0" t="str">
        <f aca="false">IF($A918="","",IF(BP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DU918" s="0" t="str">
        <f aca="false">IF($A918="","",IF(R918="Y",10,0))</f>
        <v/>
      </c>
      <c r="EV918" s="0" t="str">
        <f aca="false">IF($A918="","",IF(ISNUMBER(MATCH(U918,{"queued","contacted","replied","call_booked","call_done","yes_in_principle","materials_sent"},0)),"Y","N"))</f>
        <v/>
      </c>
      <c r="EW918" s="0" t="str">
        <f aca="false">IF($A918="","",IF(OR(T918="Y",U918="do_not_contact",AQ918&amp;""&lt;&gt;""),"Y","N"))</f>
        <v/>
      </c>
      <c r="EX918" s="0" t="str">
        <f aca="false">IF($A918="","",IF(AN918&amp;""&lt;&gt;"",AN918&amp;"",$A918))</f>
        <v/>
      </c>
      <c r="EY918" s="0" t="str">
        <f aca="false">IF($A918="","",IF(COUNTIFS($EX$2:$EX$1000,EX918,$EV$2:$EV$1000,"Y")+COUNTIFS($EX$2:$EX$1000,EX918,$EW$2:$EW$1000,"Y")&gt;0,"Y","N"))</f>
        <v/>
      </c>
      <c r="EZ918" s="0" t="str">
        <f aca="false">IF($A918="","",IF(AND(U918="new",T918="N",EW918="N",AR918="Y",EY918="N"),"Y","N"))</f>
        <v/>
      </c>
      <c r="FA918" s="0" t="str">
        <f aca="false">IF($A918="","",IF(EZ918&lt;&gt;"Y","N",IF(COUNTIFS($EX$2:$EX$1000,EX918,$EZ$2:$EZ$1000,"Y",$J$2:$J$1000,"&gt;"&amp;J918)+COUNTIFS($EX$2:$EX$1000,EX918,$EZ$2:$EZ$1000,"Y",$J$2:$J$1000,J918,$FG$2:$FG$1000,"&lt;"&amp;FG918)=0,"Y","N")))</f>
        <v/>
      </c>
      <c r="FB918" s="0" t="str">
        <f aca="false">IF($A918="","",IF(AND(EZ918="Y",FA918="Y",Y918&amp;""&lt;&gt;""),IF(Y918&lt;=10,"Y","N"),"N"))</f>
        <v/>
      </c>
      <c r="FC918" s="0" t="str">
        <f aca="false">IF(FB918="Y",Y918,"")</f>
        <v/>
      </c>
      <c r="FD918" s="0" t="str">
        <f aca="false">IF($A918="","",IF(AND(CK918="pass",AU918="Y",AV918&lt;&gt;"Y",U918="new",EW918="N"),"Y","N"))</f>
        <v/>
      </c>
      <c r="FE918" s="0" t="str">
        <f aca="false">IF(FD918&lt;&gt;"Y","",IF(COUNTIFS($FD$2:$FD$1000,"Y",$J$2:$J$1000,"&gt;"&amp;J918)+COUNTIFS($FD$2:$FD$1000,"Y",$J$2:$J$1000,J918,$FG$2:$FG$1000,"&lt;"&amp;FG918)+1&lt;=30,COUNTIFS($FD$2:$FD$1000,"Y",$J$2:$J$1000,"&gt;"&amp;J918)+COUNTIFS($FD$2:$FD$1000,"Y",$J$2:$J$1000,J918,$FG$2:$FG$1000,"&lt;"&amp;FG918)+1,""))</f>
        <v/>
      </c>
      <c r="FF918" s="0" t="str">
        <f aca="false">IF(AND(_xlfn.ISFORMULA(C918),_xlfn.ISFORMULA(J918)),"Y","N")</f>
        <v>Y</v>
      </c>
      <c r="FG918" s="0" t="n">
        <f aca="false">ROW()-1</f>
        <v>917</v>
      </c>
    </row>
    <row r="919" customFormat="false" ht="15" hidden="false" customHeight="false" outlineLevel="0" collapsed="false">
      <c r="C919" s="0" t="str">
        <f aca="false">IF($A919="","",IF(AT919="Y",BL919&amp;"",AY919&amp;""))</f>
        <v/>
      </c>
      <c r="D919" s="0" t="str">
        <f aca="false">IF($A919="","",IF(AT919="Y",BM919&amp;"",AZ919&amp;""))</f>
        <v/>
      </c>
      <c r="E919" s="0" t="str">
        <f aca="false">IF($A919="","",IF(AT919="Y",BN919&amp;"",BA919&amp;""))</f>
        <v/>
      </c>
      <c r="F919" s="0" t="str">
        <f aca="false">IF($A919="","",IF(AT919="Y",BO919&amp;"",BB919&amp;""))</f>
        <v/>
      </c>
      <c r="G919" s="0" t="str">
        <f aca="false">IF($A919="","",IF(AT919="Y",BP919&amp;"",BC919&amp;""))</f>
        <v/>
      </c>
      <c r="H919" s="0" t="str">
        <f aca="false">IF($A919="","",IF(AT919="Y",BQ919&amp;"",BD919&amp;""))</f>
        <v/>
      </c>
      <c r="I919" s="0" t="str">
        <f aca="false">IF($A919="","",IF(R919="Y","warm-intro",IF(H919="verified","email",IF(C919&lt;&gt;"","linkedin",CA919&amp;""))))</f>
        <v/>
      </c>
      <c r="J919" s="0" t="str">
        <f aca="false">IF($A919="","",IF(CK919="pass",ROUND(N(DO919)+N(DP919)+N(DQ919)+N(DR919)+N(DS919)+N(DT919)+N(DU919)+N(DV919),0),0))</f>
        <v/>
      </c>
      <c r="K919" s="0" t="str">
        <f aca="false">IF($A919="","",IF(CK919&lt;&gt;"pass",BY919&amp;"",BY919&amp;", "&amp;IF(AT919="Y",BX919&amp;"",BK919&amp;"")&amp;BZ919&amp;IF(R919="Y","; known to the founder (+10)","")&amp;"."))</f>
        <v/>
      </c>
      <c r="R919" s="5"/>
      <c r="T919" s="5"/>
      <c r="U919" s="5"/>
      <c r="Y919" s="0" t="str">
        <f aca="false">IF(FA919&lt;&gt;"Y","",COUNTIFS($FA$2:$FA$1000,"Y",$J$2:$J$1000,"&gt;"&amp;J919)+COUNTIFS($FA$2:$FA$1000,"Y",$J$2:$J$1000,J919,$FG$2:$FG$1000,"&lt;"&amp;FG919)+1)</f>
        <v/>
      </c>
      <c r="AB919" s="0" t="str">
        <f aca="false">IF($A919="","",IF(AT919="Y",BW919&amp;"",BJ919&amp;""))</f>
        <v/>
      </c>
      <c r="AC919" s="0" t="str">
        <f aca="false">IF($A919="","",IF(AT919="Y",BR919&amp;"",BE919&amp;""))</f>
        <v/>
      </c>
      <c r="AD919" s="0" t="str">
        <f aca="false">IF($A919="","",IF(AT919="Y",BS919&amp;"",BF919&amp;""))</f>
        <v/>
      </c>
      <c r="AE919" s="0" t="str">
        <f aca="false">IF($A919="","",IF(AT919="Y",BT919&amp;"",BG919&amp;""))</f>
        <v/>
      </c>
      <c r="AF919" s="0" t="str">
        <f aca="false">IF($A919="","",IF(AT919="Y",BU919&amp;"",BH919&amp;""))</f>
        <v/>
      </c>
      <c r="AG919" s="0" t="str">
        <f aca="false">IF($A919="","",IF(AT919="Y",BV919&amp;"",BI919&amp;""))</f>
        <v/>
      </c>
      <c r="AO919" s="5"/>
      <c r="AR919" s="0" t="str">
        <f aca="false">IF($A919="","",IF(AND(CK919="pass",AO919&lt;&gt;"Y",C919&lt;&gt;"",OR(AU919&lt;&gt;"Y",AV919="Y")),"Y","N"))</f>
        <v/>
      </c>
      <c r="AS919" s="0" t="str">
        <f aca="false">IF($A919="","",_xlfn.TEXTJOIN("; ",TRUE(),IF(CK919&lt;&gt;"pass","gated out",""),IF(AO919="Y","on hold: "&amp;AP919,""),IF(C919="","no contact named on an opened page",""),IF(AND(AU919="Y",AV919&lt;&gt;"Y"),"founder review pending (Founder review tab)","")))</f>
        <v/>
      </c>
      <c r="BC919" s="0" t="str">
        <f aca="false">IF($A919="","",IFERROR(INDEX(Enrichment!$A$2:$GZ$2000,MATCH($A919,INDEX(Enrichment!$A$2:$GZ$2000,0,MATCH("row_id",Enrichment!$A$1:$GZ$1,0)),0),MATCH("work_email",Enrichment!$A$1:$GZ$1,0))&amp;"",""))</f>
        <v/>
      </c>
      <c r="BD919" s="0" t="str">
        <f aca="false">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P919" s="0" t="str">
        <f aca="false">IF($A919="","",IFERROR(INDEX(Enrichment!$A$2:$GZ$2000,MATCH($A919,INDEX(Enrichment!$A$2:$GZ$2000,0,MATCH("row_id",Enrichment!$A$1:$GZ$1,0)),0),MATCH("backup_work_email",Enrichment!$A$1:$GZ$1,0))&amp;"",""))</f>
        <v/>
      </c>
      <c r="BQ919" s="0" t="str">
        <f aca="false">IF($A919="","",IF(BP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DU919" s="0" t="str">
        <f aca="false">IF($A919="","",IF(R919="Y",10,0))</f>
        <v/>
      </c>
      <c r="EV919" s="0" t="str">
        <f aca="false">IF($A919="","",IF(ISNUMBER(MATCH(U919,{"queued","contacted","replied","call_booked","call_done","yes_in_principle","materials_sent"},0)),"Y","N"))</f>
        <v/>
      </c>
      <c r="EW919" s="0" t="str">
        <f aca="false">IF($A919="","",IF(OR(T919="Y",U919="do_not_contact",AQ919&amp;""&lt;&gt;""),"Y","N"))</f>
        <v/>
      </c>
      <c r="EX919" s="0" t="str">
        <f aca="false">IF($A919="","",IF(AN919&amp;""&lt;&gt;"",AN919&amp;"",$A919))</f>
        <v/>
      </c>
      <c r="EY919" s="0" t="str">
        <f aca="false">IF($A919="","",IF(COUNTIFS($EX$2:$EX$1000,EX919,$EV$2:$EV$1000,"Y")+COUNTIFS($EX$2:$EX$1000,EX919,$EW$2:$EW$1000,"Y")&gt;0,"Y","N"))</f>
        <v/>
      </c>
      <c r="EZ919" s="0" t="str">
        <f aca="false">IF($A919="","",IF(AND(U919="new",T919="N",EW919="N",AR919="Y",EY919="N"),"Y","N"))</f>
        <v/>
      </c>
      <c r="FA919" s="0" t="str">
        <f aca="false">IF($A919="","",IF(EZ919&lt;&gt;"Y","N",IF(COUNTIFS($EX$2:$EX$1000,EX919,$EZ$2:$EZ$1000,"Y",$J$2:$J$1000,"&gt;"&amp;J919)+COUNTIFS($EX$2:$EX$1000,EX919,$EZ$2:$EZ$1000,"Y",$J$2:$J$1000,J919,$FG$2:$FG$1000,"&lt;"&amp;FG919)=0,"Y","N")))</f>
        <v/>
      </c>
      <c r="FB919" s="0" t="str">
        <f aca="false">IF($A919="","",IF(AND(EZ919="Y",FA919="Y",Y919&amp;""&lt;&gt;""),IF(Y919&lt;=10,"Y","N"),"N"))</f>
        <v/>
      </c>
      <c r="FC919" s="0" t="str">
        <f aca="false">IF(FB919="Y",Y919,"")</f>
        <v/>
      </c>
      <c r="FD919" s="0" t="str">
        <f aca="false">IF($A919="","",IF(AND(CK919="pass",AU919="Y",AV919&lt;&gt;"Y",U919="new",EW919="N"),"Y","N"))</f>
        <v/>
      </c>
      <c r="FE919" s="0" t="str">
        <f aca="false">IF(FD919&lt;&gt;"Y","",IF(COUNTIFS($FD$2:$FD$1000,"Y",$J$2:$J$1000,"&gt;"&amp;J919)+COUNTIFS($FD$2:$FD$1000,"Y",$J$2:$J$1000,J919,$FG$2:$FG$1000,"&lt;"&amp;FG919)+1&lt;=30,COUNTIFS($FD$2:$FD$1000,"Y",$J$2:$J$1000,"&gt;"&amp;J919)+COUNTIFS($FD$2:$FD$1000,"Y",$J$2:$J$1000,J919,$FG$2:$FG$1000,"&lt;"&amp;FG919)+1,""))</f>
        <v/>
      </c>
      <c r="FF919" s="0" t="str">
        <f aca="false">IF(AND(_xlfn.ISFORMULA(C919),_xlfn.ISFORMULA(J919)),"Y","N")</f>
        <v>Y</v>
      </c>
      <c r="FG919" s="0" t="n">
        <f aca="false">ROW()-1</f>
        <v>918</v>
      </c>
    </row>
    <row r="920" customFormat="false" ht="15" hidden="false" customHeight="false" outlineLevel="0" collapsed="false">
      <c r="C920" s="0" t="str">
        <f aca="false">IF($A920="","",IF(AT920="Y",BL920&amp;"",AY920&amp;""))</f>
        <v/>
      </c>
      <c r="D920" s="0" t="str">
        <f aca="false">IF($A920="","",IF(AT920="Y",BM920&amp;"",AZ920&amp;""))</f>
        <v/>
      </c>
      <c r="E920" s="0" t="str">
        <f aca="false">IF($A920="","",IF(AT920="Y",BN920&amp;"",BA920&amp;""))</f>
        <v/>
      </c>
      <c r="F920" s="0" t="str">
        <f aca="false">IF($A920="","",IF(AT920="Y",BO920&amp;"",BB920&amp;""))</f>
        <v/>
      </c>
      <c r="G920" s="0" t="str">
        <f aca="false">IF($A920="","",IF(AT920="Y",BP920&amp;"",BC920&amp;""))</f>
        <v/>
      </c>
      <c r="H920" s="0" t="str">
        <f aca="false">IF($A920="","",IF(AT920="Y",BQ920&amp;"",BD920&amp;""))</f>
        <v/>
      </c>
      <c r="I920" s="0" t="str">
        <f aca="false">IF($A920="","",IF(R920="Y","warm-intro",IF(H920="verified","email",IF(C920&lt;&gt;"","linkedin",CA920&amp;""))))</f>
        <v/>
      </c>
      <c r="J920" s="0" t="str">
        <f aca="false">IF($A920="","",IF(CK920="pass",ROUND(N(DO920)+N(DP920)+N(DQ920)+N(DR920)+N(DS920)+N(DT920)+N(DU920)+N(DV920),0),0))</f>
        <v/>
      </c>
      <c r="K920" s="0" t="str">
        <f aca="false">IF($A920="","",IF(CK920&lt;&gt;"pass",BY920&amp;"",BY920&amp;", "&amp;IF(AT920="Y",BX920&amp;"",BK920&amp;"")&amp;BZ920&amp;IF(R920="Y","; known to the founder (+10)","")&amp;"."))</f>
        <v/>
      </c>
      <c r="R920" s="5"/>
      <c r="T920" s="5"/>
      <c r="U920" s="5"/>
      <c r="Y920" s="0" t="str">
        <f aca="false">IF(FA920&lt;&gt;"Y","",COUNTIFS($FA$2:$FA$1000,"Y",$J$2:$J$1000,"&gt;"&amp;J920)+COUNTIFS($FA$2:$FA$1000,"Y",$J$2:$J$1000,J920,$FG$2:$FG$1000,"&lt;"&amp;FG920)+1)</f>
        <v/>
      </c>
      <c r="AB920" s="0" t="str">
        <f aca="false">IF($A920="","",IF(AT920="Y",BW920&amp;"",BJ920&amp;""))</f>
        <v/>
      </c>
      <c r="AC920" s="0" t="str">
        <f aca="false">IF($A920="","",IF(AT920="Y",BR920&amp;"",BE920&amp;""))</f>
        <v/>
      </c>
      <c r="AD920" s="0" t="str">
        <f aca="false">IF($A920="","",IF(AT920="Y",BS920&amp;"",BF920&amp;""))</f>
        <v/>
      </c>
      <c r="AE920" s="0" t="str">
        <f aca="false">IF($A920="","",IF(AT920="Y",BT920&amp;"",BG920&amp;""))</f>
        <v/>
      </c>
      <c r="AF920" s="0" t="str">
        <f aca="false">IF($A920="","",IF(AT920="Y",BU920&amp;"",BH920&amp;""))</f>
        <v/>
      </c>
      <c r="AG920" s="0" t="str">
        <f aca="false">IF($A920="","",IF(AT920="Y",BV920&amp;"",BI920&amp;""))</f>
        <v/>
      </c>
      <c r="AO920" s="5"/>
      <c r="AR920" s="0" t="str">
        <f aca="false">IF($A920="","",IF(AND(CK920="pass",AO920&lt;&gt;"Y",C920&lt;&gt;"",OR(AU920&lt;&gt;"Y",AV920="Y")),"Y","N"))</f>
        <v/>
      </c>
      <c r="AS920" s="0" t="str">
        <f aca="false">IF($A920="","",_xlfn.TEXTJOIN("; ",TRUE(),IF(CK920&lt;&gt;"pass","gated out",""),IF(AO920="Y","on hold: "&amp;AP920,""),IF(C920="","no contact named on an opened page",""),IF(AND(AU920="Y",AV920&lt;&gt;"Y"),"founder review pending (Founder review tab)","")))</f>
        <v/>
      </c>
      <c r="BC920" s="0" t="str">
        <f aca="false">IF($A920="","",IFERROR(INDEX(Enrichment!$A$2:$GZ$2000,MATCH($A920,INDEX(Enrichment!$A$2:$GZ$2000,0,MATCH("row_id",Enrichment!$A$1:$GZ$1,0)),0),MATCH("work_email",Enrichment!$A$1:$GZ$1,0))&amp;"",""))</f>
        <v/>
      </c>
      <c r="BD920" s="0" t="str">
        <f aca="false">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P920" s="0" t="str">
        <f aca="false">IF($A920="","",IFERROR(INDEX(Enrichment!$A$2:$GZ$2000,MATCH($A920,INDEX(Enrichment!$A$2:$GZ$2000,0,MATCH("row_id",Enrichment!$A$1:$GZ$1,0)),0),MATCH("backup_work_email",Enrichment!$A$1:$GZ$1,0))&amp;"",""))</f>
        <v/>
      </c>
      <c r="BQ920" s="0" t="str">
        <f aca="false">IF($A920="","",IF(BP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DU920" s="0" t="str">
        <f aca="false">IF($A920="","",IF(R920="Y",10,0))</f>
        <v/>
      </c>
      <c r="EV920" s="0" t="str">
        <f aca="false">IF($A920="","",IF(ISNUMBER(MATCH(U920,{"queued","contacted","replied","call_booked","call_done","yes_in_principle","materials_sent"},0)),"Y","N"))</f>
        <v/>
      </c>
      <c r="EW920" s="0" t="str">
        <f aca="false">IF($A920="","",IF(OR(T920="Y",U920="do_not_contact",AQ920&amp;""&lt;&gt;""),"Y","N"))</f>
        <v/>
      </c>
      <c r="EX920" s="0" t="str">
        <f aca="false">IF($A920="","",IF(AN920&amp;""&lt;&gt;"",AN920&amp;"",$A920))</f>
        <v/>
      </c>
      <c r="EY920" s="0" t="str">
        <f aca="false">IF($A920="","",IF(COUNTIFS($EX$2:$EX$1000,EX920,$EV$2:$EV$1000,"Y")+COUNTIFS($EX$2:$EX$1000,EX920,$EW$2:$EW$1000,"Y")&gt;0,"Y","N"))</f>
        <v/>
      </c>
      <c r="EZ920" s="0" t="str">
        <f aca="false">IF($A920="","",IF(AND(U920="new",T920="N",EW920="N",AR920="Y",EY920="N"),"Y","N"))</f>
        <v/>
      </c>
      <c r="FA920" s="0" t="str">
        <f aca="false">IF($A920="","",IF(EZ920&lt;&gt;"Y","N",IF(COUNTIFS($EX$2:$EX$1000,EX920,$EZ$2:$EZ$1000,"Y",$J$2:$J$1000,"&gt;"&amp;J920)+COUNTIFS($EX$2:$EX$1000,EX920,$EZ$2:$EZ$1000,"Y",$J$2:$J$1000,J920,$FG$2:$FG$1000,"&lt;"&amp;FG920)=0,"Y","N")))</f>
        <v/>
      </c>
      <c r="FB920" s="0" t="str">
        <f aca="false">IF($A920="","",IF(AND(EZ920="Y",FA920="Y",Y920&amp;""&lt;&gt;""),IF(Y920&lt;=10,"Y","N"),"N"))</f>
        <v/>
      </c>
      <c r="FC920" s="0" t="str">
        <f aca="false">IF(FB920="Y",Y920,"")</f>
        <v/>
      </c>
      <c r="FD920" s="0" t="str">
        <f aca="false">IF($A920="","",IF(AND(CK920="pass",AU920="Y",AV920&lt;&gt;"Y",U920="new",EW920="N"),"Y","N"))</f>
        <v/>
      </c>
      <c r="FE920" s="0" t="str">
        <f aca="false">IF(FD920&lt;&gt;"Y","",IF(COUNTIFS($FD$2:$FD$1000,"Y",$J$2:$J$1000,"&gt;"&amp;J920)+COUNTIFS($FD$2:$FD$1000,"Y",$J$2:$J$1000,J920,$FG$2:$FG$1000,"&lt;"&amp;FG920)+1&lt;=30,COUNTIFS($FD$2:$FD$1000,"Y",$J$2:$J$1000,"&gt;"&amp;J920)+COUNTIFS($FD$2:$FD$1000,"Y",$J$2:$J$1000,J920,$FG$2:$FG$1000,"&lt;"&amp;FG920)+1,""))</f>
        <v/>
      </c>
      <c r="FF920" s="0" t="str">
        <f aca="false">IF(AND(_xlfn.ISFORMULA(C920),_xlfn.ISFORMULA(J920)),"Y","N")</f>
        <v>Y</v>
      </c>
      <c r="FG920" s="0" t="n">
        <f aca="false">ROW()-1</f>
        <v>919</v>
      </c>
    </row>
    <row r="921" customFormat="false" ht="15" hidden="false" customHeight="false" outlineLevel="0" collapsed="false">
      <c r="C921" s="0" t="str">
        <f aca="false">IF($A921="","",IF(AT921="Y",BL921&amp;"",AY921&amp;""))</f>
        <v/>
      </c>
      <c r="D921" s="0" t="str">
        <f aca="false">IF($A921="","",IF(AT921="Y",BM921&amp;"",AZ921&amp;""))</f>
        <v/>
      </c>
      <c r="E921" s="0" t="str">
        <f aca="false">IF($A921="","",IF(AT921="Y",BN921&amp;"",BA921&amp;""))</f>
        <v/>
      </c>
      <c r="F921" s="0" t="str">
        <f aca="false">IF($A921="","",IF(AT921="Y",BO921&amp;"",BB921&amp;""))</f>
        <v/>
      </c>
      <c r="G921" s="0" t="str">
        <f aca="false">IF($A921="","",IF(AT921="Y",BP921&amp;"",BC921&amp;""))</f>
        <v/>
      </c>
      <c r="H921" s="0" t="str">
        <f aca="false">IF($A921="","",IF(AT921="Y",BQ921&amp;"",BD921&amp;""))</f>
        <v/>
      </c>
      <c r="I921" s="0" t="str">
        <f aca="false">IF($A921="","",IF(R921="Y","warm-intro",IF(H921="verified","email",IF(C921&lt;&gt;"","linkedin",CA921&amp;""))))</f>
        <v/>
      </c>
      <c r="J921" s="0" t="str">
        <f aca="false">IF($A921="","",IF(CK921="pass",ROUND(N(DO921)+N(DP921)+N(DQ921)+N(DR921)+N(DS921)+N(DT921)+N(DU921)+N(DV921),0),0))</f>
        <v/>
      </c>
      <c r="K921" s="0" t="str">
        <f aca="false">IF($A921="","",IF(CK921&lt;&gt;"pass",BY921&amp;"",BY921&amp;", "&amp;IF(AT921="Y",BX921&amp;"",BK921&amp;"")&amp;BZ921&amp;IF(R921="Y","; known to the founder (+10)","")&amp;"."))</f>
        <v/>
      </c>
      <c r="R921" s="5"/>
      <c r="T921" s="5"/>
      <c r="U921" s="5"/>
      <c r="Y921" s="0" t="str">
        <f aca="false">IF(FA921&lt;&gt;"Y","",COUNTIFS($FA$2:$FA$1000,"Y",$J$2:$J$1000,"&gt;"&amp;J921)+COUNTIFS($FA$2:$FA$1000,"Y",$J$2:$J$1000,J921,$FG$2:$FG$1000,"&lt;"&amp;FG921)+1)</f>
        <v/>
      </c>
      <c r="AB921" s="0" t="str">
        <f aca="false">IF($A921="","",IF(AT921="Y",BW921&amp;"",BJ921&amp;""))</f>
        <v/>
      </c>
      <c r="AC921" s="0" t="str">
        <f aca="false">IF($A921="","",IF(AT921="Y",BR921&amp;"",BE921&amp;""))</f>
        <v/>
      </c>
      <c r="AD921" s="0" t="str">
        <f aca="false">IF($A921="","",IF(AT921="Y",BS921&amp;"",BF921&amp;""))</f>
        <v/>
      </c>
      <c r="AE921" s="0" t="str">
        <f aca="false">IF($A921="","",IF(AT921="Y",BT921&amp;"",BG921&amp;""))</f>
        <v/>
      </c>
      <c r="AF921" s="0" t="str">
        <f aca="false">IF($A921="","",IF(AT921="Y",BU921&amp;"",BH921&amp;""))</f>
        <v/>
      </c>
      <c r="AG921" s="0" t="str">
        <f aca="false">IF($A921="","",IF(AT921="Y",BV921&amp;"",BI921&amp;""))</f>
        <v/>
      </c>
      <c r="AO921" s="5"/>
      <c r="AR921" s="0" t="str">
        <f aca="false">IF($A921="","",IF(AND(CK921="pass",AO921&lt;&gt;"Y",C921&lt;&gt;"",OR(AU921&lt;&gt;"Y",AV921="Y")),"Y","N"))</f>
        <v/>
      </c>
      <c r="AS921" s="0" t="str">
        <f aca="false">IF($A921="","",_xlfn.TEXTJOIN("; ",TRUE(),IF(CK921&lt;&gt;"pass","gated out",""),IF(AO921="Y","on hold: "&amp;AP921,""),IF(C921="","no contact named on an opened page",""),IF(AND(AU921="Y",AV921&lt;&gt;"Y"),"founder review pending (Founder review tab)","")))</f>
        <v/>
      </c>
      <c r="BC921" s="0" t="str">
        <f aca="false">IF($A921="","",IFERROR(INDEX(Enrichment!$A$2:$GZ$2000,MATCH($A921,INDEX(Enrichment!$A$2:$GZ$2000,0,MATCH("row_id",Enrichment!$A$1:$GZ$1,0)),0),MATCH("work_email",Enrichment!$A$1:$GZ$1,0))&amp;"",""))</f>
        <v/>
      </c>
      <c r="BD921" s="0" t="str">
        <f aca="false">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P921" s="0" t="str">
        <f aca="false">IF($A921="","",IFERROR(INDEX(Enrichment!$A$2:$GZ$2000,MATCH($A921,INDEX(Enrichment!$A$2:$GZ$2000,0,MATCH("row_id",Enrichment!$A$1:$GZ$1,0)),0),MATCH("backup_work_email",Enrichment!$A$1:$GZ$1,0))&amp;"",""))</f>
        <v/>
      </c>
      <c r="BQ921" s="0" t="str">
        <f aca="false">IF($A921="","",IF(BP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DU921" s="0" t="str">
        <f aca="false">IF($A921="","",IF(R921="Y",10,0))</f>
        <v/>
      </c>
      <c r="EV921" s="0" t="str">
        <f aca="false">IF($A921="","",IF(ISNUMBER(MATCH(U921,{"queued","contacted","replied","call_booked","call_done","yes_in_principle","materials_sent"},0)),"Y","N"))</f>
        <v/>
      </c>
      <c r="EW921" s="0" t="str">
        <f aca="false">IF($A921="","",IF(OR(T921="Y",U921="do_not_contact",AQ921&amp;""&lt;&gt;""),"Y","N"))</f>
        <v/>
      </c>
      <c r="EX921" s="0" t="str">
        <f aca="false">IF($A921="","",IF(AN921&amp;""&lt;&gt;"",AN921&amp;"",$A921))</f>
        <v/>
      </c>
      <c r="EY921" s="0" t="str">
        <f aca="false">IF($A921="","",IF(COUNTIFS($EX$2:$EX$1000,EX921,$EV$2:$EV$1000,"Y")+COUNTIFS($EX$2:$EX$1000,EX921,$EW$2:$EW$1000,"Y")&gt;0,"Y","N"))</f>
        <v/>
      </c>
      <c r="EZ921" s="0" t="str">
        <f aca="false">IF($A921="","",IF(AND(U921="new",T921="N",EW921="N",AR921="Y",EY921="N"),"Y","N"))</f>
        <v/>
      </c>
      <c r="FA921" s="0" t="str">
        <f aca="false">IF($A921="","",IF(EZ921&lt;&gt;"Y","N",IF(COUNTIFS($EX$2:$EX$1000,EX921,$EZ$2:$EZ$1000,"Y",$J$2:$J$1000,"&gt;"&amp;J921)+COUNTIFS($EX$2:$EX$1000,EX921,$EZ$2:$EZ$1000,"Y",$J$2:$J$1000,J921,$FG$2:$FG$1000,"&lt;"&amp;FG921)=0,"Y","N")))</f>
        <v/>
      </c>
      <c r="FB921" s="0" t="str">
        <f aca="false">IF($A921="","",IF(AND(EZ921="Y",FA921="Y",Y921&amp;""&lt;&gt;""),IF(Y921&lt;=10,"Y","N"),"N"))</f>
        <v/>
      </c>
      <c r="FC921" s="0" t="str">
        <f aca="false">IF(FB921="Y",Y921,"")</f>
        <v/>
      </c>
      <c r="FD921" s="0" t="str">
        <f aca="false">IF($A921="","",IF(AND(CK921="pass",AU921="Y",AV921&lt;&gt;"Y",U921="new",EW921="N"),"Y","N"))</f>
        <v/>
      </c>
      <c r="FE921" s="0" t="str">
        <f aca="false">IF(FD921&lt;&gt;"Y","",IF(COUNTIFS($FD$2:$FD$1000,"Y",$J$2:$J$1000,"&gt;"&amp;J921)+COUNTIFS($FD$2:$FD$1000,"Y",$J$2:$J$1000,J921,$FG$2:$FG$1000,"&lt;"&amp;FG921)+1&lt;=30,COUNTIFS($FD$2:$FD$1000,"Y",$J$2:$J$1000,"&gt;"&amp;J921)+COUNTIFS($FD$2:$FD$1000,"Y",$J$2:$J$1000,J921,$FG$2:$FG$1000,"&lt;"&amp;FG921)+1,""))</f>
        <v/>
      </c>
      <c r="FF921" s="0" t="str">
        <f aca="false">IF(AND(_xlfn.ISFORMULA(C921),_xlfn.ISFORMULA(J921)),"Y","N")</f>
        <v>Y</v>
      </c>
      <c r="FG921" s="0" t="n">
        <f aca="false">ROW()-1</f>
        <v>920</v>
      </c>
    </row>
    <row r="922" customFormat="false" ht="15" hidden="false" customHeight="false" outlineLevel="0" collapsed="false">
      <c r="C922" s="0" t="str">
        <f aca="false">IF($A922="","",IF(AT922="Y",BL922&amp;"",AY922&amp;""))</f>
        <v/>
      </c>
      <c r="D922" s="0" t="str">
        <f aca="false">IF($A922="","",IF(AT922="Y",BM922&amp;"",AZ922&amp;""))</f>
        <v/>
      </c>
      <c r="E922" s="0" t="str">
        <f aca="false">IF($A922="","",IF(AT922="Y",BN922&amp;"",BA922&amp;""))</f>
        <v/>
      </c>
      <c r="F922" s="0" t="str">
        <f aca="false">IF($A922="","",IF(AT922="Y",BO922&amp;"",BB922&amp;""))</f>
        <v/>
      </c>
      <c r="G922" s="0" t="str">
        <f aca="false">IF($A922="","",IF(AT922="Y",BP922&amp;"",BC922&amp;""))</f>
        <v/>
      </c>
      <c r="H922" s="0" t="str">
        <f aca="false">IF($A922="","",IF(AT922="Y",BQ922&amp;"",BD922&amp;""))</f>
        <v/>
      </c>
      <c r="I922" s="0" t="str">
        <f aca="false">IF($A922="","",IF(R922="Y","warm-intro",IF(H922="verified","email",IF(C922&lt;&gt;"","linkedin",CA922&amp;""))))</f>
        <v/>
      </c>
      <c r="J922" s="0" t="str">
        <f aca="false">IF($A922="","",IF(CK922="pass",ROUND(N(DO922)+N(DP922)+N(DQ922)+N(DR922)+N(DS922)+N(DT922)+N(DU922)+N(DV922),0),0))</f>
        <v/>
      </c>
      <c r="K922" s="0" t="str">
        <f aca="false">IF($A922="","",IF(CK922&lt;&gt;"pass",BY922&amp;"",BY922&amp;", "&amp;IF(AT922="Y",BX922&amp;"",BK922&amp;"")&amp;BZ922&amp;IF(R922="Y","; known to the founder (+10)","")&amp;"."))</f>
        <v/>
      </c>
      <c r="R922" s="5"/>
      <c r="T922" s="5"/>
      <c r="U922" s="5"/>
      <c r="Y922" s="0" t="str">
        <f aca="false">IF(FA922&lt;&gt;"Y","",COUNTIFS($FA$2:$FA$1000,"Y",$J$2:$J$1000,"&gt;"&amp;J922)+COUNTIFS($FA$2:$FA$1000,"Y",$J$2:$J$1000,J922,$FG$2:$FG$1000,"&lt;"&amp;FG922)+1)</f>
        <v/>
      </c>
      <c r="AB922" s="0" t="str">
        <f aca="false">IF($A922="","",IF(AT922="Y",BW922&amp;"",BJ922&amp;""))</f>
        <v/>
      </c>
      <c r="AC922" s="0" t="str">
        <f aca="false">IF($A922="","",IF(AT922="Y",BR922&amp;"",BE922&amp;""))</f>
        <v/>
      </c>
      <c r="AD922" s="0" t="str">
        <f aca="false">IF($A922="","",IF(AT922="Y",BS922&amp;"",BF922&amp;""))</f>
        <v/>
      </c>
      <c r="AE922" s="0" t="str">
        <f aca="false">IF($A922="","",IF(AT922="Y",BT922&amp;"",BG922&amp;""))</f>
        <v/>
      </c>
      <c r="AF922" s="0" t="str">
        <f aca="false">IF($A922="","",IF(AT922="Y",BU922&amp;"",BH922&amp;""))</f>
        <v/>
      </c>
      <c r="AG922" s="0" t="str">
        <f aca="false">IF($A922="","",IF(AT922="Y",BV922&amp;"",BI922&amp;""))</f>
        <v/>
      </c>
      <c r="AO922" s="5"/>
      <c r="AR922" s="0" t="str">
        <f aca="false">IF($A922="","",IF(AND(CK922="pass",AO922&lt;&gt;"Y",C922&lt;&gt;"",OR(AU922&lt;&gt;"Y",AV922="Y")),"Y","N"))</f>
        <v/>
      </c>
      <c r="AS922" s="0" t="str">
        <f aca="false">IF($A922="","",_xlfn.TEXTJOIN("; ",TRUE(),IF(CK922&lt;&gt;"pass","gated out",""),IF(AO922="Y","on hold: "&amp;AP922,""),IF(C922="","no contact named on an opened page",""),IF(AND(AU922="Y",AV922&lt;&gt;"Y"),"founder review pending (Founder review tab)","")))</f>
        <v/>
      </c>
      <c r="BC922" s="0" t="str">
        <f aca="false">IF($A922="","",IFERROR(INDEX(Enrichment!$A$2:$GZ$2000,MATCH($A922,INDEX(Enrichment!$A$2:$GZ$2000,0,MATCH("row_id",Enrichment!$A$1:$GZ$1,0)),0),MATCH("work_email",Enrichment!$A$1:$GZ$1,0))&amp;"",""))</f>
        <v/>
      </c>
      <c r="BD922" s="0" t="str">
        <f aca="false">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P922" s="0" t="str">
        <f aca="false">IF($A922="","",IFERROR(INDEX(Enrichment!$A$2:$GZ$2000,MATCH($A922,INDEX(Enrichment!$A$2:$GZ$2000,0,MATCH("row_id",Enrichment!$A$1:$GZ$1,0)),0),MATCH("backup_work_email",Enrichment!$A$1:$GZ$1,0))&amp;"",""))</f>
        <v/>
      </c>
      <c r="BQ922" s="0" t="str">
        <f aca="false">IF($A922="","",IF(BP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DU922" s="0" t="str">
        <f aca="false">IF($A922="","",IF(R922="Y",10,0))</f>
        <v/>
      </c>
      <c r="EV922" s="0" t="str">
        <f aca="false">IF($A922="","",IF(ISNUMBER(MATCH(U922,{"queued","contacted","replied","call_booked","call_done","yes_in_principle","materials_sent"},0)),"Y","N"))</f>
        <v/>
      </c>
      <c r="EW922" s="0" t="str">
        <f aca="false">IF($A922="","",IF(OR(T922="Y",U922="do_not_contact",AQ922&amp;""&lt;&gt;""),"Y","N"))</f>
        <v/>
      </c>
      <c r="EX922" s="0" t="str">
        <f aca="false">IF($A922="","",IF(AN922&amp;""&lt;&gt;"",AN922&amp;"",$A922))</f>
        <v/>
      </c>
      <c r="EY922" s="0" t="str">
        <f aca="false">IF($A922="","",IF(COUNTIFS($EX$2:$EX$1000,EX922,$EV$2:$EV$1000,"Y")+COUNTIFS($EX$2:$EX$1000,EX922,$EW$2:$EW$1000,"Y")&gt;0,"Y","N"))</f>
        <v/>
      </c>
      <c r="EZ922" s="0" t="str">
        <f aca="false">IF($A922="","",IF(AND(U922="new",T922="N",EW922="N",AR922="Y",EY922="N"),"Y","N"))</f>
        <v/>
      </c>
      <c r="FA922" s="0" t="str">
        <f aca="false">IF($A922="","",IF(EZ922&lt;&gt;"Y","N",IF(COUNTIFS($EX$2:$EX$1000,EX922,$EZ$2:$EZ$1000,"Y",$J$2:$J$1000,"&gt;"&amp;J922)+COUNTIFS($EX$2:$EX$1000,EX922,$EZ$2:$EZ$1000,"Y",$J$2:$J$1000,J922,$FG$2:$FG$1000,"&lt;"&amp;FG922)=0,"Y","N")))</f>
        <v/>
      </c>
      <c r="FB922" s="0" t="str">
        <f aca="false">IF($A922="","",IF(AND(EZ922="Y",FA922="Y",Y922&amp;""&lt;&gt;""),IF(Y922&lt;=10,"Y","N"),"N"))</f>
        <v/>
      </c>
      <c r="FC922" s="0" t="str">
        <f aca="false">IF(FB922="Y",Y922,"")</f>
        <v/>
      </c>
      <c r="FD922" s="0" t="str">
        <f aca="false">IF($A922="","",IF(AND(CK922="pass",AU922="Y",AV922&lt;&gt;"Y",U922="new",EW922="N"),"Y","N"))</f>
        <v/>
      </c>
      <c r="FE922" s="0" t="str">
        <f aca="false">IF(FD922&lt;&gt;"Y","",IF(COUNTIFS($FD$2:$FD$1000,"Y",$J$2:$J$1000,"&gt;"&amp;J922)+COUNTIFS($FD$2:$FD$1000,"Y",$J$2:$J$1000,J922,$FG$2:$FG$1000,"&lt;"&amp;FG922)+1&lt;=30,COUNTIFS($FD$2:$FD$1000,"Y",$J$2:$J$1000,"&gt;"&amp;J922)+COUNTIFS($FD$2:$FD$1000,"Y",$J$2:$J$1000,J922,$FG$2:$FG$1000,"&lt;"&amp;FG922)+1,""))</f>
        <v/>
      </c>
      <c r="FF922" s="0" t="str">
        <f aca="false">IF(AND(_xlfn.ISFORMULA(C922),_xlfn.ISFORMULA(J922)),"Y","N")</f>
        <v>Y</v>
      </c>
      <c r="FG922" s="0" t="n">
        <f aca="false">ROW()-1</f>
        <v>921</v>
      </c>
    </row>
    <row r="923" customFormat="false" ht="15" hidden="false" customHeight="false" outlineLevel="0" collapsed="false">
      <c r="C923" s="0" t="str">
        <f aca="false">IF($A923="","",IF(AT923="Y",BL923&amp;"",AY923&amp;""))</f>
        <v/>
      </c>
      <c r="D923" s="0" t="str">
        <f aca="false">IF($A923="","",IF(AT923="Y",BM923&amp;"",AZ923&amp;""))</f>
        <v/>
      </c>
      <c r="E923" s="0" t="str">
        <f aca="false">IF($A923="","",IF(AT923="Y",BN923&amp;"",BA923&amp;""))</f>
        <v/>
      </c>
      <c r="F923" s="0" t="str">
        <f aca="false">IF($A923="","",IF(AT923="Y",BO923&amp;"",BB923&amp;""))</f>
        <v/>
      </c>
      <c r="G923" s="0" t="str">
        <f aca="false">IF($A923="","",IF(AT923="Y",BP923&amp;"",BC923&amp;""))</f>
        <v/>
      </c>
      <c r="H923" s="0" t="str">
        <f aca="false">IF($A923="","",IF(AT923="Y",BQ923&amp;"",BD923&amp;""))</f>
        <v/>
      </c>
      <c r="I923" s="0" t="str">
        <f aca="false">IF($A923="","",IF(R923="Y","warm-intro",IF(H923="verified","email",IF(C923&lt;&gt;"","linkedin",CA923&amp;""))))</f>
        <v/>
      </c>
      <c r="J923" s="0" t="str">
        <f aca="false">IF($A923="","",IF(CK923="pass",ROUND(N(DO923)+N(DP923)+N(DQ923)+N(DR923)+N(DS923)+N(DT923)+N(DU923)+N(DV923),0),0))</f>
        <v/>
      </c>
      <c r="K923" s="0" t="str">
        <f aca="false">IF($A923="","",IF(CK923&lt;&gt;"pass",BY923&amp;"",BY923&amp;", "&amp;IF(AT923="Y",BX923&amp;"",BK923&amp;"")&amp;BZ923&amp;IF(R923="Y","; known to the founder (+10)","")&amp;"."))</f>
        <v/>
      </c>
      <c r="R923" s="5"/>
      <c r="T923" s="5"/>
      <c r="U923" s="5"/>
      <c r="Y923" s="0" t="str">
        <f aca="false">IF(FA923&lt;&gt;"Y","",COUNTIFS($FA$2:$FA$1000,"Y",$J$2:$J$1000,"&gt;"&amp;J923)+COUNTIFS($FA$2:$FA$1000,"Y",$J$2:$J$1000,J923,$FG$2:$FG$1000,"&lt;"&amp;FG923)+1)</f>
        <v/>
      </c>
      <c r="AB923" s="0" t="str">
        <f aca="false">IF($A923="","",IF(AT923="Y",BW923&amp;"",BJ923&amp;""))</f>
        <v/>
      </c>
      <c r="AC923" s="0" t="str">
        <f aca="false">IF($A923="","",IF(AT923="Y",BR923&amp;"",BE923&amp;""))</f>
        <v/>
      </c>
      <c r="AD923" s="0" t="str">
        <f aca="false">IF($A923="","",IF(AT923="Y",BS923&amp;"",BF923&amp;""))</f>
        <v/>
      </c>
      <c r="AE923" s="0" t="str">
        <f aca="false">IF($A923="","",IF(AT923="Y",BT923&amp;"",BG923&amp;""))</f>
        <v/>
      </c>
      <c r="AF923" s="0" t="str">
        <f aca="false">IF($A923="","",IF(AT923="Y",BU923&amp;"",BH923&amp;""))</f>
        <v/>
      </c>
      <c r="AG923" s="0" t="str">
        <f aca="false">IF($A923="","",IF(AT923="Y",BV923&amp;"",BI923&amp;""))</f>
        <v/>
      </c>
      <c r="AO923" s="5"/>
      <c r="AR923" s="0" t="str">
        <f aca="false">IF($A923="","",IF(AND(CK923="pass",AO923&lt;&gt;"Y",C923&lt;&gt;"",OR(AU923&lt;&gt;"Y",AV923="Y")),"Y","N"))</f>
        <v/>
      </c>
      <c r="AS923" s="0" t="str">
        <f aca="false">IF($A923="","",_xlfn.TEXTJOIN("; ",TRUE(),IF(CK923&lt;&gt;"pass","gated out",""),IF(AO923="Y","on hold: "&amp;AP923,""),IF(C923="","no contact named on an opened page",""),IF(AND(AU923="Y",AV923&lt;&gt;"Y"),"founder review pending (Founder review tab)","")))</f>
        <v/>
      </c>
      <c r="BC923" s="0" t="str">
        <f aca="false">IF($A923="","",IFERROR(INDEX(Enrichment!$A$2:$GZ$2000,MATCH($A923,INDEX(Enrichment!$A$2:$GZ$2000,0,MATCH("row_id",Enrichment!$A$1:$GZ$1,0)),0),MATCH("work_email",Enrichment!$A$1:$GZ$1,0))&amp;"",""))</f>
        <v/>
      </c>
      <c r="BD923" s="0" t="str">
        <f aca="false">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P923" s="0" t="str">
        <f aca="false">IF($A923="","",IFERROR(INDEX(Enrichment!$A$2:$GZ$2000,MATCH($A923,INDEX(Enrichment!$A$2:$GZ$2000,0,MATCH("row_id",Enrichment!$A$1:$GZ$1,0)),0),MATCH("backup_work_email",Enrichment!$A$1:$GZ$1,0))&amp;"",""))</f>
        <v/>
      </c>
      <c r="BQ923" s="0" t="str">
        <f aca="false">IF($A923="","",IF(BP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DU923" s="0" t="str">
        <f aca="false">IF($A923="","",IF(R923="Y",10,0))</f>
        <v/>
      </c>
      <c r="EV923" s="0" t="str">
        <f aca="false">IF($A923="","",IF(ISNUMBER(MATCH(U923,{"queued","contacted","replied","call_booked","call_done","yes_in_principle","materials_sent"},0)),"Y","N"))</f>
        <v/>
      </c>
      <c r="EW923" s="0" t="str">
        <f aca="false">IF($A923="","",IF(OR(T923="Y",U923="do_not_contact",AQ923&amp;""&lt;&gt;""),"Y","N"))</f>
        <v/>
      </c>
      <c r="EX923" s="0" t="str">
        <f aca="false">IF($A923="","",IF(AN923&amp;""&lt;&gt;"",AN923&amp;"",$A923))</f>
        <v/>
      </c>
      <c r="EY923" s="0" t="str">
        <f aca="false">IF($A923="","",IF(COUNTIFS($EX$2:$EX$1000,EX923,$EV$2:$EV$1000,"Y")+COUNTIFS($EX$2:$EX$1000,EX923,$EW$2:$EW$1000,"Y")&gt;0,"Y","N"))</f>
        <v/>
      </c>
      <c r="EZ923" s="0" t="str">
        <f aca="false">IF($A923="","",IF(AND(U923="new",T923="N",EW923="N",AR923="Y",EY923="N"),"Y","N"))</f>
        <v/>
      </c>
      <c r="FA923" s="0" t="str">
        <f aca="false">IF($A923="","",IF(EZ923&lt;&gt;"Y","N",IF(COUNTIFS($EX$2:$EX$1000,EX923,$EZ$2:$EZ$1000,"Y",$J$2:$J$1000,"&gt;"&amp;J923)+COUNTIFS($EX$2:$EX$1000,EX923,$EZ$2:$EZ$1000,"Y",$J$2:$J$1000,J923,$FG$2:$FG$1000,"&lt;"&amp;FG923)=0,"Y","N")))</f>
        <v/>
      </c>
      <c r="FB923" s="0" t="str">
        <f aca="false">IF($A923="","",IF(AND(EZ923="Y",FA923="Y",Y923&amp;""&lt;&gt;""),IF(Y923&lt;=10,"Y","N"),"N"))</f>
        <v/>
      </c>
      <c r="FC923" s="0" t="str">
        <f aca="false">IF(FB923="Y",Y923,"")</f>
        <v/>
      </c>
      <c r="FD923" s="0" t="str">
        <f aca="false">IF($A923="","",IF(AND(CK923="pass",AU923="Y",AV923&lt;&gt;"Y",U923="new",EW923="N"),"Y","N"))</f>
        <v/>
      </c>
      <c r="FE923" s="0" t="str">
        <f aca="false">IF(FD923&lt;&gt;"Y","",IF(COUNTIFS($FD$2:$FD$1000,"Y",$J$2:$J$1000,"&gt;"&amp;J923)+COUNTIFS($FD$2:$FD$1000,"Y",$J$2:$J$1000,J923,$FG$2:$FG$1000,"&lt;"&amp;FG923)+1&lt;=30,COUNTIFS($FD$2:$FD$1000,"Y",$J$2:$J$1000,"&gt;"&amp;J923)+COUNTIFS($FD$2:$FD$1000,"Y",$J$2:$J$1000,J923,$FG$2:$FG$1000,"&lt;"&amp;FG923)+1,""))</f>
        <v/>
      </c>
      <c r="FF923" s="0" t="str">
        <f aca="false">IF(AND(_xlfn.ISFORMULA(C923),_xlfn.ISFORMULA(J923)),"Y","N")</f>
        <v>Y</v>
      </c>
      <c r="FG923" s="0" t="n">
        <f aca="false">ROW()-1</f>
        <v>922</v>
      </c>
    </row>
    <row r="924" customFormat="false" ht="15" hidden="false" customHeight="false" outlineLevel="0" collapsed="false">
      <c r="C924" s="0" t="str">
        <f aca="false">IF($A924="","",IF(AT924="Y",BL924&amp;"",AY924&amp;""))</f>
        <v/>
      </c>
      <c r="D924" s="0" t="str">
        <f aca="false">IF($A924="","",IF(AT924="Y",BM924&amp;"",AZ924&amp;""))</f>
        <v/>
      </c>
      <c r="E924" s="0" t="str">
        <f aca="false">IF($A924="","",IF(AT924="Y",BN924&amp;"",BA924&amp;""))</f>
        <v/>
      </c>
      <c r="F924" s="0" t="str">
        <f aca="false">IF($A924="","",IF(AT924="Y",BO924&amp;"",BB924&amp;""))</f>
        <v/>
      </c>
      <c r="G924" s="0" t="str">
        <f aca="false">IF($A924="","",IF(AT924="Y",BP924&amp;"",BC924&amp;""))</f>
        <v/>
      </c>
      <c r="H924" s="0" t="str">
        <f aca="false">IF($A924="","",IF(AT924="Y",BQ924&amp;"",BD924&amp;""))</f>
        <v/>
      </c>
      <c r="I924" s="0" t="str">
        <f aca="false">IF($A924="","",IF(R924="Y","warm-intro",IF(H924="verified","email",IF(C924&lt;&gt;"","linkedin",CA924&amp;""))))</f>
        <v/>
      </c>
      <c r="J924" s="0" t="str">
        <f aca="false">IF($A924="","",IF(CK924="pass",ROUND(N(DO924)+N(DP924)+N(DQ924)+N(DR924)+N(DS924)+N(DT924)+N(DU924)+N(DV924),0),0))</f>
        <v/>
      </c>
      <c r="K924" s="0" t="str">
        <f aca="false">IF($A924="","",IF(CK924&lt;&gt;"pass",BY924&amp;"",BY924&amp;", "&amp;IF(AT924="Y",BX924&amp;"",BK924&amp;"")&amp;BZ924&amp;IF(R924="Y","; known to the founder (+10)","")&amp;"."))</f>
        <v/>
      </c>
      <c r="R924" s="5"/>
      <c r="T924" s="5"/>
      <c r="U924" s="5"/>
      <c r="Y924" s="0" t="str">
        <f aca="false">IF(FA924&lt;&gt;"Y","",COUNTIFS($FA$2:$FA$1000,"Y",$J$2:$J$1000,"&gt;"&amp;J924)+COUNTIFS($FA$2:$FA$1000,"Y",$J$2:$J$1000,J924,$FG$2:$FG$1000,"&lt;"&amp;FG924)+1)</f>
        <v/>
      </c>
      <c r="AB924" s="0" t="str">
        <f aca="false">IF($A924="","",IF(AT924="Y",BW924&amp;"",BJ924&amp;""))</f>
        <v/>
      </c>
      <c r="AC924" s="0" t="str">
        <f aca="false">IF($A924="","",IF(AT924="Y",BR924&amp;"",BE924&amp;""))</f>
        <v/>
      </c>
      <c r="AD924" s="0" t="str">
        <f aca="false">IF($A924="","",IF(AT924="Y",BS924&amp;"",BF924&amp;""))</f>
        <v/>
      </c>
      <c r="AE924" s="0" t="str">
        <f aca="false">IF($A924="","",IF(AT924="Y",BT924&amp;"",BG924&amp;""))</f>
        <v/>
      </c>
      <c r="AF924" s="0" t="str">
        <f aca="false">IF($A924="","",IF(AT924="Y",BU924&amp;"",BH924&amp;""))</f>
        <v/>
      </c>
      <c r="AG924" s="0" t="str">
        <f aca="false">IF($A924="","",IF(AT924="Y",BV924&amp;"",BI924&amp;""))</f>
        <v/>
      </c>
      <c r="AO924" s="5"/>
      <c r="AR924" s="0" t="str">
        <f aca="false">IF($A924="","",IF(AND(CK924="pass",AO924&lt;&gt;"Y",C924&lt;&gt;"",OR(AU924&lt;&gt;"Y",AV924="Y")),"Y","N"))</f>
        <v/>
      </c>
      <c r="AS924" s="0" t="str">
        <f aca="false">IF($A924="","",_xlfn.TEXTJOIN("; ",TRUE(),IF(CK924&lt;&gt;"pass","gated out",""),IF(AO924="Y","on hold: "&amp;AP924,""),IF(C924="","no contact named on an opened page",""),IF(AND(AU924="Y",AV924&lt;&gt;"Y"),"founder review pending (Founder review tab)","")))</f>
        <v/>
      </c>
      <c r="BC924" s="0" t="str">
        <f aca="false">IF($A924="","",IFERROR(INDEX(Enrichment!$A$2:$GZ$2000,MATCH($A924,INDEX(Enrichment!$A$2:$GZ$2000,0,MATCH("row_id",Enrichment!$A$1:$GZ$1,0)),0),MATCH("work_email",Enrichment!$A$1:$GZ$1,0))&amp;"",""))</f>
        <v/>
      </c>
      <c r="BD924" s="0" t="str">
        <f aca="false">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P924" s="0" t="str">
        <f aca="false">IF($A924="","",IFERROR(INDEX(Enrichment!$A$2:$GZ$2000,MATCH($A924,INDEX(Enrichment!$A$2:$GZ$2000,0,MATCH("row_id",Enrichment!$A$1:$GZ$1,0)),0),MATCH("backup_work_email",Enrichment!$A$1:$GZ$1,0))&amp;"",""))</f>
        <v/>
      </c>
      <c r="BQ924" s="0" t="str">
        <f aca="false">IF($A924="","",IF(BP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DU924" s="0" t="str">
        <f aca="false">IF($A924="","",IF(R924="Y",10,0))</f>
        <v/>
      </c>
      <c r="EV924" s="0" t="str">
        <f aca="false">IF($A924="","",IF(ISNUMBER(MATCH(U924,{"queued","contacted","replied","call_booked","call_done","yes_in_principle","materials_sent"},0)),"Y","N"))</f>
        <v/>
      </c>
      <c r="EW924" s="0" t="str">
        <f aca="false">IF($A924="","",IF(OR(T924="Y",U924="do_not_contact",AQ924&amp;""&lt;&gt;""),"Y","N"))</f>
        <v/>
      </c>
      <c r="EX924" s="0" t="str">
        <f aca="false">IF($A924="","",IF(AN924&amp;""&lt;&gt;"",AN924&amp;"",$A924))</f>
        <v/>
      </c>
      <c r="EY924" s="0" t="str">
        <f aca="false">IF($A924="","",IF(COUNTIFS($EX$2:$EX$1000,EX924,$EV$2:$EV$1000,"Y")+COUNTIFS($EX$2:$EX$1000,EX924,$EW$2:$EW$1000,"Y")&gt;0,"Y","N"))</f>
        <v/>
      </c>
      <c r="EZ924" s="0" t="str">
        <f aca="false">IF($A924="","",IF(AND(U924="new",T924="N",EW924="N",AR924="Y",EY924="N"),"Y","N"))</f>
        <v/>
      </c>
      <c r="FA924" s="0" t="str">
        <f aca="false">IF($A924="","",IF(EZ924&lt;&gt;"Y","N",IF(COUNTIFS($EX$2:$EX$1000,EX924,$EZ$2:$EZ$1000,"Y",$J$2:$J$1000,"&gt;"&amp;J924)+COUNTIFS($EX$2:$EX$1000,EX924,$EZ$2:$EZ$1000,"Y",$J$2:$J$1000,J924,$FG$2:$FG$1000,"&lt;"&amp;FG924)=0,"Y","N")))</f>
        <v/>
      </c>
      <c r="FB924" s="0" t="str">
        <f aca="false">IF($A924="","",IF(AND(EZ924="Y",FA924="Y",Y924&amp;""&lt;&gt;""),IF(Y924&lt;=10,"Y","N"),"N"))</f>
        <v/>
      </c>
      <c r="FC924" s="0" t="str">
        <f aca="false">IF(FB924="Y",Y924,"")</f>
        <v/>
      </c>
      <c r="FD924" s="0" t="str">
        <f aca="false">IF($A924="","",IF(AND(CK924="pass",AU924="Y",AV924&lt;&gt;"Y",U924="new",EW924="N"),"Y","N"))</f>
        <v/>
      </c>
      <c r="FE924" s="0" t="str">
        <f aca="false">IF(FD924&lt;&gt;"Y","",IF(COUNTIFS($FD$2:$FD$1000,"Y",$J$2:$J$1000,"&gt;"&amp;J924)+COUNTIFS($FD$2:$FD$1000,"Y",$J$2:$J$1000,J924,$FG$2:$FG$1000,"&lt;"&amp;FG924)+1&lt;=30,COUNTIFS($FD$2:$FD$1000,"Y",$J$2:$J$1000,"&gt;"&amp;J924)+COUNTIFS($FD$2:$FD$1000,"Y",$J$2:$J$1000,J924,$FG$2:$FG$1000,"&lt;"&amp;FG924)+1,""))</f>
        <v/>
      </c>
      <c r="FF924" s="0" t="str">
        <f aca="false">IF(AND(_xlfn.ISFORMULA(C924),_xlfn.ISFORMULA(J924)),"Y","N")</f>
        <v>Y</v>
      </c>
      <c r="FG924" s="0" t="n">
        <f aca="false">ROW()-1</f>
        <v>923</v>
      </c>
    </row>
    <row r="925" customFormat="false" ht="15" hidden="false" customHeight="false" outlineLevel="0" collapsed="false">
      <c r="C925" s="0" t="str">
        <f aca="false">IF($A925="","",IF(AT925="Y",BL925&amp;"",AY925&amp;""))</f>
        <v/>
      </c>
      <c r="D925" s="0" t="str">
        <f aca="false">IF($A925="","",IF(AT925="Y",BM925&amp;"",AZ925&amp;""))</f>
        <v/>
      </c>
      <c r="E925" s="0" t="str">
        <f aca="false">IF($A925="","",IF(AT925="Y",BN925&amp;"",BA925&amp;""))</f>
        <v/>
      </c>
      <c r="F925" s="0" t="str">
        <f aca="false">IF($A925="","",IF(AT925="Y",BO925&amp;"",BB925&amp;""))</f>
        <v/>
      </c>
      <c r="G925" s="0" t="str">
        <f aca="false">IF($A925="","",IF(AT925="Y",BP925&amp;"",BC925&amp;""))</f>
        <v/>
      </c>
      <c r="H925" s="0" t="str">
        <f aca="false">IF($A925="","",IF(AT925="Y",BQ925&amp;"",BD925&amp;""))</f>
        <v/>
      </c>
      <c r="I925" s="0" t="str">
        <f aca="false">IF($A925="","",IF(R925="Y","warm-intro",IF(H925="verified","email",IF(C925&lt;&gt;"","linkedin",CA925&amp;""))))</f>
        <v/>
      </c>
      <c r="J925" s="0" t="str">
        <f aca="false">IF($A925="","",IF(CK925="pass",ROUND(N(DO925)+N(DP925)+N(DQ925)+N(DR925)+N(DS925)+N(DT925)+N(DU925)+N(DV925),0),0))</f>
        <v/>
      </c>
      <c r="K925" s="0" t="str">
        <f aca="false">IF($A925="","",IF(CK925&lt;&gt;"pass",BY925&amp;"",BY925&amp;", "&amp;IF(AT925="Y",BX925&amp;"",BK925&amp;"")&amp;BZ925&amp;IF(R925="Y","; known to the founder (+10)","")&amp;"."))</f>
        <v/>
      </c>
      <c r="R925" s="5"/>
      <c r="T925" s="5"/>
      <c r="U925" s="5"/>
      <c r="Y925" s="0" t="str">
        <f aca="false">IF(FA925&lt;&gt;"Y","",COUNTIFS($FA$2:$FA$1000,"Y",$J$2:$J$1000,"&gt;"&amp;J925)+COUNTIFS($FA$2:$FA$1000,"Y",$J$2:$J$1000,J925,$FG$2:$FG$1000,"&lt;"&amp;FG925)+1)</f>
        <v/>
      </c>
      <c r="AB925" s="0" t="str">
        <f aca="false">IF($A925="","",IF(AT925="Y",BW925&amp;"",BJ925&amp;""))</f>
        <v/>
      </c>
      <c r="AC925" s="0" t="str">
        <f aca="false">IF($A925="","",IF(AT925="Y",BR925&amp;"",BE925&amp;""))</f>
        <v/>
      </c>
      <c r="AD925" s="0" t="str">
        <f aca="false">IF($A925="","",IF(AT925="Y",BS925&amp;"",BF925&amp;""))</f>
        <v/>
      </c>
      <c r="AE925" s="0" t="str">
        <f aca="false">IF($A925="","",IF(AT925="Y",BT925&amp;"",BG925&amp;""))</f>
        <v/>
      </c>
      <c r="AF925" s="0" t="str">
        <f aca="false">IF($A925="","",IF(AT925="Y",BU925&amp;"",BH925&amp;""))</f>
        <v/>
      </c>
      <c r="AG925" s="0" t="str">
        <f aca="false">IF($A925="","",IF(AT925="Y",BV925&amp;"",BI925&amp;""))</f>
        <v/>
      </c>
      <c r="AO925" s="5"/>
      <c r="AR925" s="0" t="str">
        <f aca="false">IF($A925="","",IF(AND(CK925="pass",AO925&lt;&gt;"Y",C925&lt;&gt;"",OR(AU925&lt;&gt;"Y",AV925="Y")),"Y","N"))</f>
        <v/>
      </c>
      <c r="AS925" s="0" t="str">
        <f aca="false">IF($A925="","",_xlfn.TEXTJOIN("; ",TRUE(),IF(CK925&lt;&gt;"pass","gated out",""),IF(AO925="Y","on hold: "&amp;AP925,""),IF(C925="","no contact named on an opened page",""),IF(AND(AU925="Y",AV925&lt;&gt;"Y"),"founder review pending (Founder review tab)","")))</f>
        <v/>
      </c>
      <c r="BC925" s="0" t="str">
        <f aca="false">IF($A925="","",IFERROR(INDEX(Enrichment!$A$2:$GZ$2000,MATCH($A925,INDEX(Enrichment!$A$2:$GZ$2000,0,MATCH("row_id",Enrichment!$A$1:$GZ$1,0)),0),MATCH("work_email",Enrichment!$A$1:$GZ$1,0))&amp;"",""))</f>
        <v/>
      </c>
      <c r="BD925" s="0" t="str">
        <f aca="false">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P925" s="0" t="str">
        <f aca="false">IF($A925="","",IFERROR(INDEX(Enrichment!$A$2:$GZ$2000,MATCH($A925,INDEX(Enrichment!$A$2:$GZ$2000,0,MATCH("row_id",Enrichment!$A$1:$GZ$1,0)),0),MATCH("backup_work_email",Enrichment!$A$1:$GZ$1,0))&amp;"",""))</f>
        <v/>
      </c>
      <c r="BQ925" s="0" t="str">
        <f aca="false">IF($A925="","",IF(BP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DU925" s="0" t="str">
        <f aca="false">IF($A925="","",IF(R925="Y",10,0))</f>
        <v/>
      </c>
      <c r="EV925" s="0" t="str">
        <f aca="false">IF($A925="","",IF(ISNUMBER(MATCH(U925,{"queued","contacted","replied","call_booked","call_done","yes_in_principle","materials_sent"},0)),"Y","N"))</f>
        <v/>
      </c>
      <c r="EW925" s="0" t="str">
        <f aca="false">IF($A925="","",IF(OR(T925="Y",U925="do_not_contact",AQ925&amp;""&lt;&gt;""),"Y","N"))</f>
        <v/>
      </c>
      <c r="EX925" s="0" t="str">
        <f aca="false">IF($A925="","",IF(AN925&amp;""&lt;&gt;"",AN925&amp;"",$A925))</f>
        <v/>
      </c>
      <c r="EY925" s="0" t="str">
        <f aca="false">IF($A925="","",IF(COUNTIFS($EX$2:$EX$1000,EX925,$EV$2:$EV$1000,"Y")+COUNTIFS($EX$2:$EX$1000,EX925,$EW$2:$EW$1000,"Y")&gt;0,"Y","N"))</f>
        <v/>
      </c>
      <c r="EZ925" s="0" t="str">
        <f aca="false">IF($A925="","",IF(AND(U925="new",T925="N",EW925="N",AR925="Y",EY925="N"),"Y","N"))</f>
        <v/>
      </c>
      <c r="FA925" s="0" t="str">
        <f aca="false">IF($A925="","",IF(EZ925&lt;&gt;"Y","N",IF(COUNTIFS($EX$2:$EX$1000,EX925,$EZ$2:$EZ$1000,"Y",$J$2:$J$1000,"&gt;"&amp;J925)+COUNTIFS($EX$2:$EX$1000,EX925,$EZ$2:$EZ$1000,"Y",$J$2:$J$1000,J925,$FG$2:$FG$1000,"&lt;"&amp;FG925)=0,"Y","N")))</f>
        <v/>
      </c>
      <c r="FB925" s="0" t="str">
        <f aca="false">IF($A925="","",IF(AND(EZ925="Y",FA925="Y",Y925&amp;""&lt;&gt;""),IF(Y925&lt;=10,"Y","N"),"N"))</f>
        <v/>
      </c>
      <c r="FC925" s="0" t="str">
        <f aca="false">IF(FB925="Y",Y925,"")</f>
        <v/>
      </c>
      <c r="FD925" s="0" t="str">
        <f aca="false">IF($A925="","",IF(AND(CK925="pass",AU925="Y",AV925&lt;&gt;"Y",U925="new",EW925="N"),"Y","N"))</f>
        <v/>
      </c>
      <c r="FE925" s="0" t="str">
        <f aca="false">IF(FD925&lt;&gt;"Y","",IF(COUNTIFS($FD$2:$FD$1000,"Y",$J$2:$J$1000,"&gt;"&amp;J925)+COUNTIFS($FD$2:$FD$1000,"Y",$J$2:$J$1000,J925,$FG$2:$FG$1000,"&lt;"&amp;FG925)+1&lt;=30,COUNTIFS($FD$2:$FD$1000,"Y",$J$2:$J$1000,"&gt;"&amp;J925)+COUNTIFS($FD$2:$FD$1000,"Y",$J$2:$J$1000,J925,$FG$2:$FG$1000,"&lt;"&amp;FG925)+1,""))</f>
        <v/>
      </c>
      <c r="FF925" s="0" t="str">
        <f aca="false">IF(AND(_xlfn.ISFORMULA(C925),_xlfn.ISFORMULA(J925)),"Y","N")</f>
        <v>Y</v>
      </c>
      <c r="FG925" s="0" t="n">
        <f aca="false">ROW()-1</f>
        <v>924</v>
      </c>
    </row>
    <row r="926" customFormat="false" ht="15" hidden="false" customHeight="false" outlineLevel="0" collapsed="false">
      <c r="C926" s="0" t="str">
        <f aca="false">IF($A926="","",IF(AT926="Y",BL926&amp;"",AY926&amp;""))</f>
        <v/>
      </c>
      <c r="D926" s="0" t="str">
        <f aca="false">IF($A926="","",IF(AT926="Y",BM926&amp;"",AZ926&amp;""))</f>
        <v/>
      </c>
      <c r="E926" s="0" t="str">
        <f aca="false">IF($A926="","",IF(AT926="Y",BN926&amp;"",BA926&amp;""))</f>
        <v/>
      </c>
      <c r="F926" s="0" t="str">
        <f aca="false">IF($A926="","",IF(AT926="Y",BO926&amp;"",BB926&amp;""))</f>
        <v/>
      </c>
      <c r="G926" s="0" t="str">
        <f aca="false">IF($A926="","",IF(AT926="Y",BP926&amp;"",BC926&amp;""))</f>
        <v/>
      </c>
      <c r="H926" s="0" t="str">
        <f aca="false">IF($A926="","",IF(AT926="Y",BQ926&amp;"",BD926&amp;""))</f>
        <v/>
      </c>
      <c r="I926" s="0" t="str">
        <f aca="false">IF($A926="","",IF(R926="Y","warm-intro",IF(H926="verified","email",IF(C926&lt;&gt;"","linkedin",CA926&amp;""))))</f>
        <v/>
      </c>
      <c r="J926" s="0" t="str">
        <f aca="false">IF($A926="","",IF(CK926="pass",ROUND(N(DO926)+N(DP926)+N(DQ926)+N(DR926)+N(DS926)+N(DT926)+N(DU926)+N(DV926),0),0))</f>
        <v/>
      </c>
      <c r="K926" s="0" t="str">
        <f aca="false">IF($A926="","",IF(CK926&lt;&gt;"pass",BY926&amp;"",BY926&amp;", "&amp;IF(AT926="Y",BX926&amp;"",BK926&amp;"")&amp;BZ926&amp;IF(R926="Y","; known to the founder (+10)","")&amp;"."))</f>
        <v/>
      </c>
      <c r="R926" s="5"/>
      <c r="T926" s="5"/>
      <c r="U926" s="5"/>
      <c r="Y926" s="0" t="str">
        <f aca="false">IF(FA926&lt;&gt;"Y","",COUNTIFS($FA$2:$FA$1000,"Y",$J$2:$J$1000,"&gt;"&amp;J926)+COUNTIFS($FA$2:$FA$1000,"Y",$J$2:$J$1000,J926,$FG$2:$FG$1000,"&lt;"&amp;FG926)+1)</f>
        <v/>
      </c>
      <c r="AB926" s="0" t="str">
        <f aca="false">IF($A926="","",IF(AT926="Y",BW926&amp;"",BJ926&amp;""))</f>
        <v/>
      </c>
      <c r="AC926" s="0" t="str">
        <f aca="false">IF($A926="","",IF(AT926="Y",BR926&amp;"",BE926&amp;""))</f>
        <v/>
      </c>
      <c r="AD926" s="0" t="str">
        <f aca="false">IF($A926="","",IF(AT926="Y",BS926&amp;"",BF926&amp;""))</f>
        <v/>
      </c>
      <c r="AE926" s="0" t="str">
        <f aca="false">IF($A926="","",IF(AT926="Y",BT926&amp;"",BG926&amp;""))</f>
        <v/>
      </c>
      <c r="AF926" s="0" t="str">
        <f aca="false">IF($A926="","",IF(AT926="Y",BU926&amp;"",BH926&amp;""))</f>
        <v/>
      </c>
      <c r="AG926" s="0" t="str">
        <f aca="false">IF($A926="","",IF(AT926="Y",BV926&amp;"",BI926&amp;""))</f>
        <v/>
      </c>
      <c r="AO926" s="5"/>
      <c r="AR926" s="0" t="str">
        <f aca="false">IF($A926="","",IF(AND(CK926="pass",AO926&lt;&gt;"Y",C926&lt;&gt;"",OR(AU926&lt;&gt;"Y",AV926="Y")),"Y","N"))</f>
        <v/>
      </c>
      <c r="AS926" s="0" t="str">
        <f aca="false">IF($A926="","",_xlfn.TEXTJOIN("; ",TRUE(),IF(CK926&lt;&gt;"pass","gated out",""),IF(AO926="Y","on hold: "&amp;AP926,""),IF(C926="","no contact named on an opened page",""),IF(AND(AU926="Y",AV926&lt;&gt;"Y"),"founder review pending (Founder review tab)","")))</f>
        <v/>
      </c>
      <c r="BC926" s="0" t="str">
        <f aca="false">IF($A926="","",IFERROR(INDEX(Enrichment!$A$2:$GZ$2000,MATCH($A926,INDEX(Enrichment!$A$2:$GZ$2000,0,MATCH("row_id",Enrichment!$A$1:$GZ$1,0)),0),MATCH("work_email",Enrichment!$A$1:$GZ$1,0))&amp;"",""))</f>
        <v/>
      </c>
      <c r="BD926" s="0" t="str">
        <f aca="false">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P926" s="0" t="str">
        <f aca="false">IF($A926="","",IFERROR(INDEX(Enrichment!$A$2:$GZ$2000,MATCH($A926,INDEX(Enrichment!$A$2:$GZ$2000,0,MATCH("row_id",Enrichment!$A$1:$GZ$1,0)),0),MATCH("backup_work_email",Enrichment!$A$1:$GZ$1,0))&amp;"",""))</f>
        <v/>
      </c>
      <c r="BQ926" s="0" t="str">
        <f aca="false">IF($A926="","",IF(BP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DU926" s="0" t="str">
        <f aca="false">IF($A926="","",IF(R926="Y",10,0))</f>
        <v/>
      </c>
      <c r="EV926" s="0" t="str">
        <f aca="false">IF($A926="","",IF(ISNUMBER(MATCH(U926,{"queued","contacted","replied","call_booked","call_done","yes_in_principle","materials_sent"},0)),"Y","N"))</f>
        <v/>
      </c>
      <c r="EW926" s="0" t="str">
        <f aca="false">IF($A926="","",IF(OR(T926="Y",U926="do_not_contact",AQ926&amp;""&lt;&gt;""),"Y","N"))</f>
        <v/>
      </c>
      <c r="EX926" s="0" t="str">
        <f aca="false">IF($A926="","",IF(AN926&amp;""&lt;&gt;"",AN926&amp;"",$A926))</f>
        <v/>
      </c>
      <c r="EY926" s="0" t="str">
        <f aca="false">IF($A926="","",IF(COUNTIFS($EX$2:$EX$1000,EX926,$EV$2:$EV$1000,"Y")+COUNTIFS($EX$2:$EX$1000,EX926,$EW$2:$EW$1000,"Y")&gt;0,"Y","N"))</f>
        <v/>
      </c>
      <c r="EZ926" s="0" t="str">
        <f aca="false">IF($A926="","",IF(AND(U926="new",T926="N",EW926="N",AR926="Y",EY926="N"),"Y","N"))</f>
        <v/>
      </c>
      <c r="FA926" s="0" t="str">
        <f aca="false">IF($A926="","",IF(EZ926&lt;&gt;"Y","N",IF(COUNTIFS($EX$2:$EX$1000,EX926,$EZ$2:$EZ$1000,"Y",$J$2:$J$1000,"&gt;"&amp;J926)+COUNTIFS($EX$2:$EX$1000,EX926,$EZ$2:$EZ$1000,"Y",$J$2:$J$1000,J926,$FG$2:$FG$1000,"&lt;"&amp;FG926)=0,"Y","N")))</f>
        <v/>
      </c>
      <c r="FB926" s="0" t="str">
        <f aca="false">IF($A926="","",IF(AND(EZ926="Y",FA926="Y",Y926&amp;""&lt;&gt;""),IF(Y926&lt;=10,"Y","N"),"N"))</f>
        <v/>
      </c>
      <c r="FC926" s="0" t="str">
        <f aca="false">IF(FB926="Y",Y926,"")</f>
        <v/>
      </c>
      <c r="FD926" s="0" t="str">
        <f aca="false">IF($A926="","",IF(AND(CK926="pass",AU926="Y",AV926&lt;&gt;"Y",U926="new",EW926="N"),"Y","N"))</f>
        <v/>
      </c>
      <c r="FE926" s="0" t="str">
        <f aca="false">IF(FD926&lt;&gt;"Y","",IF(COUNTIFS($FD$2:$FD$1000,"Y",$J$2:$J$1000,"&gt;"&amp;J926)+COUNTIFS($FD$2:$FD$1000,"Y",$J$2:$J$1000,J926,$FG$2:$FG$1000,"&lt;"&amp;FG926)+1&lt;=30,COUNTIFS($FD$2:$FD$1000,"Y",$J$2:$J$1000,"&gt;"&amp;J926)+COUNTIFS($FD$2:$FD$1000,"Y",$J$2:$J$1000,J926,$FG$2:$FG$1000,"&lt;"&amp;FG926)+1,""))</f>
        <v/>
      </c>
      <c r="FF926" s="0" t="str">
        <f aca="false">IF(AND(_xlfn.ISFORMULA(C926),_xlfn.ISFORMULA(J926)),"Y","N")</f>
        <v>Y</v>
      </c>
      <c r="FG926" s="0" t="n">
        <f aca="false">ROW()-1</f>
        <v>925</v>
      </c>
    </row>
    <row r="927" customFormat="false" ht="15" hidden="false" customHeight="false" outlineLevel="0" collapsed="false">
      <c r="C927" s="0" t="str">
        <f aca="false">IF($A927="","",IF(AT927="Y",BL927&amp;"",AY927&amp;""))</f>
        <v/>
      </c>
      <c r="D927" s="0" t="str">
        <f aca="false">IF($A927="","",IF(AT927="Y",BM927&amp;"",AZ927&amp;""))</f>
        <v/>
      </c>
      <c r="E927" s="0" t="str">
        <f aca="false">IF($A927="","",IF(AT927="Y",BN927&amp;"",BA927&amp;""))</f>
        <v/>
      </c>
      <c r="F927" s="0" t="str">
        <f aca="false">IF($A927="","",IF(AT927="Y",BO927&amp;"",BB927&amp;""))</f>
        <v/>
      </c>
      <c r="G927" s="0" t="str">
        <f aca="false">IF($A927="","",IF(AT927="Y",BP927&amp;"",BC927&amp;""))</f>
        <v/>
      </c>
      <c r="H927" s="0" t="str">
        <f aca="false">IF($A927="","",IF(AT927="Y",BQ927&amp;"",BD927&amp;""))</f>
        <v/>
      </c>
      <c r="I927" s="0" t="str">
        <f aca="false">IF($A927="","",IF(R927="Y","warm-intro",IF(H927="verified","email",IF(C927&lt;&gt;"","linkedin",CA927&amp;""))))</f>
        <v/>
      </c>
      <c r="J927" s="0" t="str">
        <f aca="false">IF($A927="","",IF(CK927="pass",ROUND(N(DO927)+N(DP927)+N(DQ927)+N(DR927)+N(DS927)+N(DT927)+N(DU927)+N(DV927),0),0))</f>
        <v/>
      </c>
      <c r="K927" s="0" t="str">
        <f aca="false">IF($A927="","",IF(CK927&lt;&gt;"pass",BY927&amp;"",BY927&amp;", "&amp;IF(AT927="Y",BX927&amp;"",BK927&amp;"")&amp;BZ927&amp;IF(R927="Y","; known to the founder (+10)","")&amp;"."))</f>
        <v/>
      </c>
      <c r="R927" s="5"/>
      <c r="T927" s="5"/>
      <c r="U927" s="5"/>
      <c r="Y927" s="0" t="str">
        <f aca="false">IF(FA927&lt;&gt;"Y","",COUNTIFS($FA$2:$FA$1000,"Y",$J$2:$J$1000,"&gt;"&amp;J927)+COUNTIFS($FA$2:$FA$1000,"Y",$J$2:$J$1000,J927,$FG$2:$FG$1000,"&lt;"&amp;FG927)+1)</f>
        <v/>
      </c>
      <c r="AB927" s="0" t="str">
        <f aca="false">IF($A927="","",IF(AT927="Y",BW927&amp;"",BJ927&amp;""))</f>
        <v/>
      </c>
      <c r="AC927" s="0" t="str">
        <f aca="false">IF($A927="","",IF(AT927="Y",BR927&amp;"",BE927&amp;""))</f>
        <v/>
      </c>
      <c r="AD927" s="0" t="str">
        <f aca="false">IF($A927="","",IF(AT927="Y",BS927&amp;"",BF927&amp;""))</f>
        <v/>
      </c>
      <c r="AE927" s="0" t="str">
        <f aca="false">IF($A927="","",IF(AT927="Y",BT927&amp;"",BG927&amp;""))</f>
        <v/>
      </c>
      <c r="AF927" s="0" t="str">
        <f aca="false">IF($A927="","",IF(AT927="Y",BU927&amp;"",BH927&amp;""))</f>
        <v/>
      </c>
      <c r="AG927" s="0" t="str">
        <f aca="false">IF($A927="","",IF(AT927="Y",BV927&amp;"",BI927&amp;""))</f>
        <v/>
      </c>
      <c r="AO927" s="5"/>
      <c r="AR927" s="0" t="str">
        <f aca="false">IF($A927="","",IF(AND(CK927="pass",AO927&lt;&gt;"Y",C927&lt;&gt;"",OR(AU927&lt;&gt;"Y",AV927="Y")),"Y","N"))</f>
        <v/>
      </c>
      <c r="AS927" s="0" t="str">
        <f aca="false">IF($A927="","",_xlfn.TEXTJOIN("; ",TRUE(),IF(CK927&lt;&gt;"pass","gated out",""),IF(AO927="Y","on hold: "&amp;AP927,""),IF(C927="","no contact named on an opened page",""),IF(AND(AU927="Y",AV927&lt;&gt;"Y"),"founder review pending (Founder review tab)","")))</f>
        <v/>
      </c>
      <c r="BC927" s="0" t="str">
        <f aca="false">IF($A927="","",IFERROR(INDEX(Enrichment!$A$2:$GZ$2000,MATCH($A927,INDEX(Enrichment!$A$2:$GZ$2000,0,MATCH("row_id",Enrichment!$A$1:$GZ$1,0)),0),MATCH("work_email",Enrichment!$A$1:$GZ$1,0))&amp;"",""))</f>
        <v/>
      </c>
      <c r="BD927" s="0" t="str">
        <f aca="false">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P927" s="0" t="str">
        <f aca="false">IF($A927="","",IFERROR(INDEX(Enrichment!$A$2:$GZ$2000,MATCH($A927,INDEX(Enrichment!$A$2:$GZ$2000,0,MATCH("row_id",Enrichment!$A$1:$GZ$1,0)),0),MATCH("backup_work_email",Enrichment!$A$1:$GZ$1,0))&amp;"",""))</f>
        <v/>
      </c>
      <c r="BQ927" s="0" t="str">
        <f aca="false">IF($A927="","",IF(BP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DU927" s="0" t="str">
        <f aca="false">IF($A927="","",IF(R927="Y",10,0))</f>
        <v/>
      </c>
      <c r="EV927" s="0" t="str">
        <f aca="false">IF($A927="","",IF(ISNUMBER(MATCH(U927,{"queued","contacted","replied","call_booked","call_done","yes_in_principle","materials_sent"},0)),"Y","N"))</f>
        <v/>
      </c>
      <c r="EW927" s="0" t="str">
        <f aca="false">IF($A927="","",IF(OR(T927="Y",U927="do_not_contact",AQ927&amp;""&lt;&gt;""),"Y","N"))</f>
        <v/>
      </c>
      <c r="EX927" s="0" t="str">
        <f aca="false">IF($A927="","",IF(AN927&amp;""&lt;&gt;"",AN927&amp;"",$A927))</f>
        <v/>
      </c>
      <c r="EY927" s="0" t="str">
        <f aca="false">IF($A927="","",IF(COUNTIFS($EX$2:$EX$1000,EX927,$EV$2:$EV$1000,"Y")+COUNTIFS($EX$2:$EX$1000,EX927,$EW$2:$EW$1000,"Y")&gt;0,"Y","N"))</f>
        <v/>
      </c>
      <c r="EZ927" s="0" t="str">
        <f aca="false">IF($A927="","",IF(AND(U927="new",T927="N",EW927="N",AR927="Y",EY927="N"),"Y","N"))</f>
        <v/>
      </c>
      <c r="FA927" s="0" t="str">
        <f aca="false">IF($A927="","",IF(EZ927&lt;&gt;"Y","N",IF(COUNTIFS($EX$2:$EX$1000,EX927,$EZ$2:$EZ$1000,"Y",$J$2:$J$1000,"&gt;"&amp;J927)+COUNTIFS($EX$2:$EX$1000,EX927,$EZ$2:$EZ$1000,"Y",$J$2:$J$1000,J927,$FG$2:$FG$1000,"&lt;"&amp;FG927)=0,"Y","N")))</f>
        <v/>
      </c>
      <c r="FB927" s="0" t="str">
        <f aca="false">IF($A927="","",IF(AND(EZ927="Y",FA927="Y",Y927&amp;""&lt;&gt;""),IF(Y927&lt;=10,"Y","N"),"N"))</f>
        <v/>
      </c>
      <c r="FC927" s="0" t="str">
        <f aca="false">IF(FB927="Y",Y927,"")</f>
        <v/>
      </c>
      <c r="FD927" s="0" t="str">
        <f aca="false">IF($A927="","",IF(AND(CK927="pass",AU927="Y",AV927&lt;&gt;"Y",U927="new",EW927="N"),"Y","N"))</f>
        <v/>
      </c>
      <c r="FE927" s="0" t="str">
        <f aca="false">IF(FD927&lt;&gt;"Y","",IF(COUNTIFS($FD$2:$FD$1000,"Y",$J$2:$J$1000,"&gt;"&amp;J927)+COUNTIFS($FD$2:$FD$1000,"Y",$J$2:$J$1000,J927,$FG$2:$FG$1000,"&lt;"&amp;FG927)+1&lt;=30,COUNTIFS($FD$2:$FD$1000,"Y",$J$2:$J$1000,"&gt;"&amp;J927)+COUNTIFS($FD$2:$FD$1000,"Y",$J$2:$J$1000,J927,$FG$2:$FG$1000,"&lt;"&amp;FG927)+1,""))</f>
        <v/>
      </c>
      <c r="FF927" s="0" t="str">
        <f aca="false">IF(AND(_xlfn.ISFORMULA(C927),_xlfn.ISFORMULA(J927)),"Y","N")</f>
        <v>Y</v>
      </c>
      <c r="FG927" s="0" t="n">
        <f aca="false">ROW()-1</f>
        <v>926</v>
      </c>
    </row>
    <row r="928" customFormat="false" ht="15" hidden="false" customHeight="false" outlineLevel="0" collapsed="false">
      <c r="C928" s="0" t="str">
        <f aca="false">IF($A928="","",IF(AT928="Y",BL928&amp;"",AY928&amp;""))</f>
        <v/>
      </c>
      <c r="D928" s="0" t="str">
        <f aca="false">IF($A928="","",IF(AT928="Y",BM928&amp;"",AZ928&amp;""))</f>
        <v/>
      </c>
      <c r="E928" s="0" t="str">
        <f aca="false">IF($A928="","",IF(AT928="Y",BN928&amp;"",BA928&amp;""))</f>
        <v/>
      </c>
      <c r="F928" s="0" t="str">
        <f aca="false">IF($A928="","",IF(AT928="Y",BO928&amp;"",BB928&amp;""))</f>
        <v/>
      </c>
      <c r="G928" s="0" t="str">
        <f aca="false">IF($A928="","",IF(AT928="Y",BP928&amp;"",BC928&amp;""))</f>
        <v/>
      </c>
      <c r="H928" s="0" t="str">
        <f aca="false">IF($A928="","",IF(AT928="Y",BQ928&amp;"",BD928&amp;""))</f>
        <v/>
      </c>
      <c r="I928" s="0" t="str">
        <f aca="false">IF($A928="","",IF(R928="Y","warm-intro",IF(H928="verified","email",IF(C928&lt;&gt;"","linkedin",CA928&amp;""))))</f>
        <v/>
      </c>
      <c r="J928" s="0" t="str">
        <f aca="false">IF($A928="","",IF(CK928="pass",ROUND(N(DO928)+N(DP928)+N(DQ928)+N(DR928)+N(DS928)+N(DT928)+N(DU928)+N(DV928),0),0))</f>
        <v/>
      </c>
      <c r="K928" s="0" t="str">
        <f aca="false">IF($A928="","",IF(CK928&lt;&gt;"pass",BY928&amp;"",BY928&amp;", "&amp;IF(AT928="Y",BX928&amp;"",BK928&amp;"")&amp;BZ928&amp;IF(R928="Y","; known to the founder (+10)","")&amp;"."))</f>
        <v/>
      </c>
      <c r="R928" s="5"/>
      <c r="T928" s="5"/>
      <c r="U928" s="5"/>
      <c r="Y928" s="0" t="str">
        <f aca="false">IF(FA928&lt;&gt;"Y","",COUNTIFS($FA$2:$FA$1000,"Y",$J$2:$J$1000,"&gt;"&amp;J928)+COUNTIFS($FA$2:$FA$1000,"Y",$J$2:$J$1000,J928,$FG$2:$FG$1000,"&lt;"&amp;FG928)+1)</f>
        <v/>
      </c>
      <c r="AB928" s="0" t="str">
        <f aca="false">IF($A928="","",IF(AT928="Y",BW928&amp;"",BJ928&amp;""))</f>
        <v/>
      </c>
      <c r="AC928" s="0" t="str">
        <f aca="false">IF($A928="","",IF(AT928="Y",BR928&amp;"",BE928&amp;""))</f>
        <v/>
      </c>
      <c r="AD928" s="0" t="str">
        <f aca="false">IF($A928="","",IF(AT928="Y",BS928&amp;"",BF928&amp;""))</f>
        <v/>
      </c>
      <c r="AE928" s="0" t="str">
        <f aca="false">IF($A928="","",IF(AT928="Y",BT928&amp;"",BG928&amp;""))</f>
        <v/>
      </c>
      <c r="AF928" s="0" t="str">
        <f aca="false">IF($A928="","",IF(AT928="Y",BU928&amp;"",BH928&amp;""))</f>
        <v/>
      </c>
      <c r="AG928" s="0" t="str">
        <f aca="false">IF($A928="","",IF(AT928="Y",BV928&amp;"",BI928&amp;""))</f>
        <v/>
      </c>
      <c r="AO928" s="5"/>
      <c r="AR928" s="0" t="str">
        <f aca="false">IF($A928="","",IF(AND(CK928="pass",AO928&lt;&gt;"Y",C928&lt;&gt;"",OR(AU928&lt;&gt;"Y",AV928="Y")),"Y","N"))</f>
        <v/>
      </c>
      <c r="AS928" s="0" t="str">
        <f aca="false">IF($A928="","",_xlfn.TEXTJOIN("; ",TRUE(),IF(CK928&lt;&gt;"pass","gated out",""),IF(AO928="Y","on hold: "&amp;AP928,""),IF(C928="","no contact named on an opened page",""),IF(AND(AU928="Y",AV928&lt;&gt;"Y"),"founder review pending (Founder review tab)","")))</f>
        <v/>
      </c>
      <c r="BC928" s="0" t="str">
        <f aca="false">IF($A928="","",IFERROR(INDEX(Enrichment!$A$2:$GZ$2000,MATCH($A928,INDEX(Enrichment!$A$2:$GZ$2000,0,MATCH("row_id",Enrichment!$A$1:$GZ$1,0)),0),MATCH("work_email",Enrichment!$A$1:$GZ$1,0))&amp;"",""))</f>
        <v/>
      </c>
      <c r="BD928" s="0" t="str">
        <f aca="false">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P928" s="0" t="str">
        <f aca="false">IF($A928="","",IFERROR(INDEX(Enrichment!$A$2:$GZ$2000,MATCH($A928,INDEX(Enrichment!$A$2:$GZ$2000,0,MATCH("row_id",Enrichment!$A$1:$GZ$1,0)),0),MATCH("backup_work_email",Enrichment!$A$1:$GZ$1,0))&amp;"",""))</f>
        <v/>
      </c>
      <c r="BQ928" s="0" t="str">
        <f aca="false">IF($A928="","",IF(BP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DU928" s="0" t="str">
        <f aca="false">IF($A928="","",IF(R928="Y",10,0))</f>
        <v/>
      </c>
      <c r="EV928" s="0" t="str">
        <f aca="false">IF($A928="","",IF(ISNUMBER(MATCH(U928,{"queued","contacted","replied","call_booked","call_done","yes_in_principle","materials_sent"},0)),"Y","N"))</f>
        <v/>
      </c>
      <c r="EW928" s="0" t="str">
        <f aca="false">IF($A928="","",IF(OR(T928="Y",U928="do_not_contact",AQ928&amp;""&lt;&gt;""),"Y","N"))</f>
        <v/>
      </c>
      <c r="EX928" s="0" t="str">
        <f aca="false">IF($A928="","",IF(AN928&amp;""&lt;&gt;"",AN928&amp;"",$A928))</f>
        <v/>
      </c>
      <c r="EY928" s="0" t="str">
        <f aca="false">IF($A928="","",IF(COUNTIFS($EX$2:$EX$1000,EX928,$EV$2:$EV$1000,"Y")+COUNTIFS($EX$2:$EX$1000,EX928,$EW$2:$EW$1000,"Y")&gt;0,"Y","N"))</f>
        <v/>
      </c>
      <c r="EZ928" s="0" t="str">
        <f aca="false">IF($A928="","",IF(AND(U928="new",T928="N",EW928="N",AR928="Y",EY928="N"),"Y","N"))</f>
        <v/>
      </c>
      <c r="FA928" s="0" t="str">
        <f aca="false">IF($A928="","",IF(EZ928&lt;&gt;"Y","N",IF(COUNTIFS($EX$2:$EX$1000,EX928,$EZ$2:$EZ$1000,"Y",$J$2:$J$1000,"&gt;"&amp;J928)+COUNTIFS($EX$2:$EX$1000,EX928,$EZ$2:$EZ$1000,"Y",$J$2:$J$1000,J928,$FG$2:$FG$1000,"&lt;"&amp;FG928)=0,"Y","N")))</f>
        <v/>
      </c>
      <c r="FB928" s="0" t="str">
        <f aca="false">IF($A928="","",IF(AND(EZ928="Y",FA928="Y",Y928&amp;""&lt;&gt;""),IF(Y928&lt;=10,"Y","N"),"N"))</f>
        <v/>
      </c>
      <c r="FC928" s="0" t="str">
        <f aca="false">IF(FB928="Y",Y928,"")</f>
        <v/>
      </c>
      <c r="FD928" s="0" t="str">
        <f aca="false">IF($A928="","",IF(AND(CK928="pass",AU928="Y",AV928&lt;&gt;"Y",U928="new",EW928="N"),"Y","N"))</f>
        <v/>
      </c>
      <c r="FE928" s="0" t="str">
        <f aca="false">IF(FD928&lt;&gt;"Y","",IF(COUNTIFS($FD$2:$FD$1000,"Y",$J$2:$J$1000,"&gt;"&amp;J928)+COUNTIFS($FD$2:$FD$1000,"Y",$J$2:$J$1000,J928,$FG$2:$FG$1000,"&lt;"&amp;FG928)+1&lt;=30,COUNTIFS($FD$2:$FD$1000,"Y",$J$2:$J$1000,"&gt;"&amp;J928)+COUNTIFS($FD$2:$FD$1000,"Y",$J$2:$J$1000,J928,$FG$2:$FG$1000,"&lt;"&amp;FG928)+1,""))</f>
        <v/>
      </c>
      <c r="FF928" s="0" t="str">
        <f aca="false">IF(AND(_xlfn.ISFORMULA(C928),_xlfn.ISFORMULA(J928)),"Y","N")</f>
        <v>Y</v>
      </c>
      <c r="FG928" s="0" t="n">
        <f aca="false">ROW()-1</f>
        <v>927</v>
      </c>
    </row>
    <row r="929" customFormat="false" ht="15" hidden="false" customHeight="false" outlineLevel="0" collapsed="false">
      <c r="C929" s="0" t="str">
        <f aca="false">IF($A929="","",IF(AT929="Y",BL929&amp;"",AY929&amp;""))</f>
        <v/>
      </c>
      <c r="D929" s="0" t="str">
        <f aca="false">IF($A929="","",IF(AT929="Y",BM929&amp;"",AZ929&amp;""))</f>
        <v/>
      </c>
      <c r="E929" s="0" t="str">
        <f aca="false">IF($A929="","",IF(AT929="Y",BN929&amp;"",BA929&amp;""))</f>
        <v/>
      </c>
      <c r="F929" s="0" t="str">
        <f aca="false">IF($A929="","",IF(AT929="Y",BO929&amp;"",BB929&amp;""))</f>
        <v/>
      </c>
      <c r="G929" s="0" t="str">
        <f aca="false">IF($A929="","",IF(AT929="Y",BP929&amp;"",BC929&amp;""))</f>
        <v/>
      </c>
      <c r="H929" s="0" t="str">
        <f aca="false">IF($A929="","",IF(AT929="Y",BQ929&amp;"",BD929&amp;""))</f>
        <v/>
      </c>
      <c r="I929" s="0" t="str">
        <f aca="false">IF($A929="","",IF(R929="Y","warm-intro",IF(H929="verified","email",IF(C929&lt;&gt;"","linkedin",CA929&amp;""))))</f>
        <v/>
      </c>
      <c r="J929" s="0" t="str">
        <f aca="false">IF($A929="","",IF(CK929="pass",ROUND(N(DO929)+N(DP929)+N(DQ929)+N(DR929)+N(DS929)+N(DT929)+N(DU929)+N(DV929),0),0))</f>
        <v/>
      </c>
      <c r="K929" s="0" t="str">
        <f aca="false">IF($A929="","",IF(CK929&lt;&gt;"pass",BY929&amp;"",BY929&amp;", "&amp;IF(AT929="Y",BX929&amp;"",BK929&amp;"")&amp;BZ929&amp;IF(R929="Y","; known to the founder (+10)","")&amp;"."))</f>
        <v/>
      </c>
      <c r="R929" s="5"/>
      <c r="T929" s="5"/>
      <c r="U929" s="5"/>
      <c r="Y929" s="0" t="str">
        <f aca="false">IF(FA929&lt;&gt;"Y","",COUNTIFS($FA$2:$FA$1000,"Y",$J$2:$J$1000,"&gt;"&amp;J929)+COUNTIFS($FA$2:$FA$1000,"Y",$J$2:$J$1000,J929,$FG$2:$FG$1000,"&lt;"&amp;FG929)+1)</f>
        <v/>
      </c>
      <c r="AB929" s="0" t="str">
        <f aca="false">IF($A929="","",IF(AT929="Y",BW929&amp;"",BJ929&amp;""))</f>
        <v/>
      </c>
      <c r="AC929" s="0" t="str">
        <f aca="false">IF($A929="","",IF(AT929="Y",BR929&amp;"",BE929&amp;""))</f>
        <v/>
      </c>
      <c r="AD929" s="0" t="str">
        <f aca="false">IF($A929="","",IF(AT929="Y",BS929&amp;"",BF929&amp;""))</f>
        <v/>
      </c>
      <c r="AE929" s="0" t="str">
        <f aca="false">IF($A929="","",IF(AT929="Y",BT929&amp;"",BG929&amp;""))</f>
        <v/>
      </c>
      <c r="AF929" s="0" t="str">
        <f aca="false">IF($A929="","",IF(AT929="Y",BU929&amp;"",BH929&amp;""))</f>
        <v/>
      </c>
      <c r="AG929" s="0" t="str">
        <f aca="false">IF($A929="","",IF(AT929="Y",BV929&amp;"",BI929&amp;""))</f>
        <v/>
      </c>
      <c r="AO929" s="5"/>
      <c r="AR929" s="0" t="str">
        <f aca="false">IF($A929="","",IF(AND(CK929="pass",AO929&lt;&gt;"Y",C929&lt;&gt;"",OR(AU929&lt;&gt;"Y",AV929="Y")),"Y","N"))</f>
        <v/>
      </c>
      <c r="AS929" s="0" t="str">
        <f aca="false">IF($A929="","",_xlfn.TEXTJOIN("; ",TRUE(),IF(CK929&lt;&gt;"pass","gated out",""),IF(AO929="Y","on hold: "&amp;AP929,""),IF(C929="","no contact named on an opened page",""),IF(AND(AU929="Y",AV929&lt;&gt;"Y"),"founder review pending (Founder review tab)","")))</f>
        <v/>
      </c>
      <c r="BC929" s="0" t="str">
        <f aca="false">IF($A929="","",IFERROR(INDEX(Enrichment!$A$2:$GZ$2000,MATCH($A929,INDEX(Enrichment!$A$2:$GZ$2000,0,MATCH("row_id",Enrichment!$A$1:$GZ$1,0)),0),MATCH("work_email",Enrichment!$A$1:$GZ$1,0))&amp;"",""))</f>
        <v/>
      </c>
      <c r="BD929" s="0" t="str">
        <f aca="false">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P929" s="0" t="str">
        <f aca="false">IF($A929="","",IFERROR(INDEX(Enrichment!$A$2:$GZ$2000,MATCH($A929,INDEX(Enrichment!$A$2:$GZ$2000,0,MATCH("row_id",Enrichment!$A$1:$GZ$1,0)),0),MATCH("backup_work_email",Enrichment!$A$1:$GZ$1,0))&amp;"",""))</f>
        <v/>
      </c>
      <c r="BQ929" s="0" t="str">
        <f aca="false">IF($A929="","",IF(BP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DU929" s="0" t="str">
        <f aca="false">IF($A929="","",IF(R929="Y",10,0))</f>
        <v/>
      </c>
      <c r="EV929" s="0" t="str">
        <f aca="false">IF($A929="","",IF(ISNUMBER(MATCH(U929,{"queued","contacted","replied","call_booked","call_done","yes_in_principle","materials_sent"},0)),"Y","N"))</f>
        <v/>
      </c>
      <c r="EW929" s="0" t="str">
        <f aca="false">IF($A929="","",IF(OR(T929="Y",U929="do_not_contact",AQ929&amp;""&lt;&gt;""),"Y","N"))</f>
        <v/>
      </c>
      <c r="EX929" s="0" t="str">
        <f aca="false">IF($A929="","",IF(AN929&amp;""&lt;&gt;"",AN929&amp;"",$A929))</f>
        <v/>
      </c>
      <c r="EY929" s="0" t="str">
        <f aca="false">IF($A929="","",IF(COUNTIFS($EX$2:$EX$1000,EX929,$EV$2:$EV$1000,"Y")+COUNTIFS($EX$2:$EX$1000,EX929,$EW$2:$EW$1000,"Y")&gt;0,"Y","N"))</f>
        <v/>
      </c>
      <c r="EZ929" s="0" t="str">
        <f aca="false">IF($A929="","",IF(AND(U929="new",T929="N",EW929="N",AR929="Y",EY929="N"),"Y","N"))</f>
        <v/>
      </c>
      <c r="FA929" s="0" t="str">
        <f aca="false">IF($A929="","",IF(EZ929&lt;&gt;"Y","N",IF(COUNTIFS($EX$2:$EX$1000,EX929,$EZ$2:$EZ$1000,"Y",$J$2:$J$1000,"&gt;"&amp;J929)+COUNTIFS($EX$2:$EX$1000,EX929,$EZ$2:$EZ$1000,"Y",$J$2:$J$1000,J929,$FG$2:$FG$1000,"&lt;"&amp;FG929)=0,"Y","N")))</f>
        <v/>
      </c>
      <c r="FB929" s="0" t="str">
        <f aca="false">IF($A929="","",IF(AND(EZ929="Y",FA929="Y",Y929&amp;""&lt;&gt;""),IF(Y929&lt;=10,"Y","N"),"N"))</f>
        <v/>
      </c>
      <c r="FC929" s="0" t="str">
        <f aca="false">IF(FB929="Y",Y929,"")</f>
        <v/>
      </c>
      <c r="FD929" s="0" t="str">
        <f aca="false">IF($A929="","",IF(AND(CK929="pass",AU929="Y",AV929&lt;&gt;"Y",U929="new",EW929="N"),"Y","N"))</f>
        <v/>
      </c>
      <c r="FE929" s="0" t="str">
        <f aca="false">IF(FD929&lt;&gt;"Y","",IF(COUNTIFS($FD$2:$FD$1000,"Y",$J$2:$J$1000,"&gt;"&amp;J929)+COUNTIFS($FD$2:$FD$1000,"Y",$J$2:$J$1000,J929,$FG$2:$FG$1000,"&lt;"&amp;FG929)+1&lt;=30,COUNTIFS($FD$2:$FD$1000,"Y",$J$2:$J$1000,"&gt;"&amp;J929)+COUNTIFS($FD$2:$FD$1000,"Y",$J$2:$J$1000,J929,$FG$2:$FG$1000,"&lt;"&amp;FG929)+1,""))</f>
        <v/>
      </c>
      <c r="FF929" s="0" t="str">
        <f aca="false">IF(AND(_xlfn.ISFORMULA(C929),_xlfn.ISFORMULA(J929)),"Y","N")</f>
        <v>Y</v>
      </c>
      <c r="FG929" s="0" t="n">
        <f aca="false">ROW()-1</f>
        <v>928</v>
      </c>
    </row>
    <row r="930" customFormat="false" ht="15" hidden="false" customHeight="false" outlineLevel="0" collapsed="false">
      <c r="C930" s="0" t="str">
        <f aca="false">IF($A930="","",IF(AT930="Y",BL930&amp;"",AY930&amp;""))</f>
        <v/>
      </c>
      <c r="D930" s="0" t="str">
        <f aca="false">IF($A930="","",IF(AT930="Y",BM930&amp;"",AZ930&amp;""))</f>
        <v/>
      </c>
      <c r="E930" s="0" t="str">
        <f aca="false">IF($A930="","",IF(AT930="Y",BN930&amp;"",BA930&amp;""))</f>
        <v/>
      </c>
      <c r="F930" s="0" t="str">
        <f aca="false">IF($A930="","",IF(AT930="Y",BO930&amp;"",BB930&amp;""))</f>
        <v/>
      </c>
      <c r="G930" s="0" t="str">
        <f aca="false">IF($A930="","",IF(AT930="Y",BP930&amp;"",BC930&amp;""))</f>
        <v/>
      </c>
      <c r="H930" s="0" t="str">
        <f aca="false">IF($A930="","",IF(AT930="Y",BQ930&amp;"",BD930&amp;""))</f>
        <v/>
      </c>
      <c r="I930" s="0" t="str">
        <f aca="false">IF($A930="","",IF(R930="Y","warm-intro",IF(H930="verified","email",IF(C930&lt;&gt;"","linkedin",CA930&amp;""))))</f>
        <v/>
      </c>
      <c r="J930" s="0" t="str">
        <f aca="false">IF($A930="","",IF(CK930="pass",ROUND(N(DO930)+N(DP930)+N(DQ930)+N(DR930)+N(DS930)+N(DT930)+N(DU930)+N(DV930),0),0))</f>
        <v/>
      </c>
      <c r="K930" s="0" t="str">
        <f aca="false">IF($A930="","",IF(CK930&lt;&gt;"pass",BY930&amp;"",BY930&amp;", "&amp;IF(AT930="Y",BX930&amp;"",BK930&amp;"")&amp;BZ930&amp;IF(R930="Y","; known to the founder (+10)","")&amp;"."))</f>
        <v/>
      </c>
      <c r="R930" s="5"/>
      <c r="T930" s="5"/>
      <c r="U930" s="5"/>
      <c r="Y930" s="0" t="str">
        <f aca="false">IF(FA930&lt;&gt;"Y","",COUNTIFS($FA$2:$FA$1000,"Y",$J$2:$J$1000,"&gt;"&amp;J930)+COUNTIFS($FA$2:$FA$1000,"Y",$J$2:$J$1000,J930,$FG$2:$FG$1000,"&lt;"&amp;FG930)+1)</f>
        <v/>
      </c>
      <c r="AB930" s="0" t="str">
        <f aca="false">IF($A930="","",IF(AT930="Y",BW930&amp;"",BJ930&amp;""))</f>
        <v/>
      </c>
      <c r="AC930" s="0" t="str">
        <f aca="false">IF($A930="","",IF(AT930="Y",BR930&amp;"",BE930&amp;""))</f>
        <v/>
      </c>
      <c r="AD930" s="0" t="str">
        <f aca="false">IF($A930="","",IF(AT930="Y",BS930&amp;"",BF930&amp;""))</f>
        <v/>
      </c>
      <c r="AE930" s="0" t="str">
        <f aca="false">IF($A930="","",IF(AT930="Y",BT930&amp;"",BG930&amp;""))</f>
        <v/>
      </c>
      <c r="AF930" s="0" t="str">
        <f aca="false">IF($A930="","",IF(AT930="Y",BU930&amp;"",BH930&amp;""))</f>
        <v/>
      </c>
      <c r="AG930" s="0" t="str">
        <f aca="false">IF($A930="","",IF(AT930="Y",BV930&amp;"",BI930&amp;""))</f>
        <v/>
      </c>
      <c r="AO930" s="5"/>
      <c r="AR930" s="0" t="str">
        <f aca="false">IF($A930="","",IF(AND(CK930="pass",AO930&lt;&gt;"Y",C930&lt;&gt;"",OR(AU930&lt;&gt;"Y",AV930="Y")),"Y","N"))</f>
        <v/>
      </c>
      <c r="AS930" s="0" t="str">
        <f aca="false">IF($A930="","",_xlfn.TEXTJOIN("; ",TRUE(),IF(CK930&lt;&gt;"pass","gated out",""),IF(AO930="Y","on hold: "&amp;AP930,""),IF(C930="","no contact named on an opened page",""),IF(AND(AU930="Y",AV930&lt;&gt;"Y"),"founder review pending (Founder review tab)","")))</f>
        <v/>
      </c>
      <c r="BC930" s="0" t="str">
        <f aca="false">IF($A930="","",IFERROR(INDEX(Enrichment!$A$2:$GZ$2000,MATCH($A930,INDEX(Enrichment!$A$2:$GZ$2000,0,MATCH("row_id",Enrichment!$A$1:$GZ$1,0)),0),MATCH("work_email",Enrichment!$A$1:$GZ$1,0))&amp;"",""))</f>
        <v/>
      </c>
      <c r="BD930" s="0" t="str">
        <f aca="false">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P930" s="0" t="str">
        <f aca="false">IF($A930="","",IFERROR(INDEX(Enrichment!$A$2:$GZ$2000,MATCH($A930,INDEX(Enrichment!$A$2:$GZ$2000,0,MATCH("row_id",Enrichment!$A$1:$GZ$1,0)),0),MATCH("backup_work_email",Enrichment!$A$1:$GZ$1,0))&amp;"",""))</f>
        <v/>
      </c>
      <c r="BQ930" s="0" t="str">
        <f aca="false">IF($A930="","",IF(BP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DU930" s="0" t="str">
        <f aca="false">IF($A930="","",IF(R930="Y",10,0))</f>
        <v/>
      </c>
      <c r="EV930" s="0" t="str">
        <f aca="false">IF($A930="","",IF(ISNUMBER(MATCH(U930,{"queued","contacted","replied","call_booked","call_done","yes_in_principle","materials_sent"},0)),"Y","N"))</f>
        <v/>
      </c>
      <c r="EW930" s="0" t="str">
        <f aca="false">IF($A930="","",IF(OR(T930="Y",U930="do_not_contact",AQ930&amp;""&lt;&gt;""),"Y","N"))</f>
        <v/>
      </c>
      <c r="EX930" s="0" t="str">
        <f aca="false">IF($A930="","",IF(AN930&amp;""&lt;&gt;"",AN930&amp;"",$A930))</f>
        <v/>
      </c>
      <c r="EY930" s="0" t="str">
        <f aca="false">IF($A930="","",IF(COUNTIFS($EX$2:$EX$1000,EX930,$EV$2:$EV$1000,"Y")+COUNTIFS($EX$2:$EX$1000,EX930,$EW$2:$EW$1000,"Y")&gt;0,"Y","N"))</f>
        <v/>
      </c>
      <c r="EZ930" s="0" t="str">
        <f aca="false">IF($A930="","",IF(AND(U930="new",T930="N",EW930="N",AR930="Y",EY930="N"),"Y","N"))</f>
        <v/>
      </c>
      <c r="FA930" s="0" t="str">
        <f aca="false">IF($A930="","",IF(EZ930&lt;&gt;"Y","N",IF(COUNTIFS($EX$2:$EX$1000,EX930,$EZ$2:$EZ$1000,"Y",$J$2:$J$1000,"&gt;"&amp;J930)+COUNTIFS($EX$2:$EX$1000,EX930,$EZ$2:$EZ$1000,"Y",$J$2:$J$1000,J930,$FG$2:$FG$1000,"&lt;"&amp;FG930)=0,"Y","N")))</f>
        <v/>
      </c>
      <c r="FB930" s="0" t="str">
        <f aca="false">IF($A930="","",IF(AND(EZ930="Y",FA930="Y",Y930&amp;""&lt;&gt;""),IF(Y930&lt;=10,"Y","N"),"N"))</f>
        <v/>
      </c>
      <c r="FC930" s="0" t="str">
        <f aca="false">IF(FB930="Y",Y930,"")</f>
        <v/>
      </c>
      <c r="FD930" s="0" t="str">
        <f aca="false">IF($A930="","",IF(AND(CK930="pass",AU930="Y",AV930&lt;&gt;"Y",U930="new",EW930="N"),"Y","N"))</f>
        <v/>
      </c>
      <c r="FE930" s="0" t="str">
        <f aca="false">IF(FD930&lt;&gt;"Y","",IF(COUNTIFS($FD$2:$FD$1000,"Y",$J$2:$J$1000,"&gt;"&amp;J930)+COUNTIFS($FD$2:$FD$1000,"Y",$J$2:$J$1000,J930,$FG$2:$FG$1000,"&lt;"&amp;FG930)+1&lt;=30,COUNTIFS($FD$2:$FD$1000,"Y",$J$2:$J$1000,"&gt;"&amp;J930)+COUNTIFS($FD$2:$FD$1000,"Y",$J$2:$J$1000,J930,$FG$2:$FG$1000,"&lt;"&amp;FG930)+1,""))</f>
        <v/>
      </c>
      <c r="FF930" s="0" t="str">
        <f aca="false">IF(AND(_xlfn.ISFORMULA(C930),_xlfn.ISFORMULA(J930)),"Y","N")</f>
        <v>Y</v>
      </c>
      <c r="FG930" s="0" t="n">
        <f aca="false">ROW()-1</f>
        <v>929</v>
      </c>
    </row>
    <row r="931" customFormat="false" ht="15" hidden="false" customHeight="false" outlineLevel="0" collapsed="false">
      <c r="C931" s="0" t="str">
        <f aca="false">IF($A931="","",IF(AT931="Y",BL931&amp;"",AY931&amp;""))</f>
        <v/>
      </c>
      <c r="D931" s="0" t="str">
        <f aca="false">IF($A931="","",IF(AT931="Y",BM931&amp;"",AZ931&amp;""))</f>
        <v/>
      </c>
      <c r="E931" s="0" t="str">
        <f aca="false">IF($A931="","",IF(AT931="Y",BN931&amp;"",BA931&amp;""))</f>
        <v/>
      </c>
      <c r="F931" s="0" t="str">
        <f aca="false">IF($A931="","",IF(AT931="Y",BO931&amp;"",BB931&amp;""))</f>
        <v/>
      </c>
      <c r="G931" s="0" t="str">
        <f aca="false">IF($A931="","",IF(AT931="Y",BP931&amp;"",BC931&amp;""))</f>
        <v/>
      </c>
      <c r="H931" s="0" t="str">
        <f aca="false">IF($A931="","",IF(AT931="Y",BQ931&amp;"",BD931&amp;""))</f>
        <v/>
      </c>
      <c r="I931" s="0" t="str">
        <f aca="false">IF($A931="","",IF(R931="Y","warm-intro",IF(H931="verified","email",IF(C931&lt;&gt;"","linkedin",CA931&amp;""))))</f>
        <v/>
      </c>
      <c r="J931" s="0" t="str">
        <f aca="false">IF($A931="","",IF(CK931="pass",ROUND(N(DO931)+N(DP931)+N(DQ931)+N(DR931)+N(DS931)+N(DT931)+N(DU931)+N(DV931),0),0))</f>
        <v/>
      </c>
      <c r="K931" s="0" t="str">
        <f aca="false">IF($A931="","",IF(CK931&lt;&gt;"pass",BY931&amp;"",BY931&amp;", "&amp;IF(AT931="Y",BX931&amp;"",BK931&amp;"")&amp;BZ931&amp;IF(R931="Y","; known to the founder (+10)","")&amp;"."))</f>
        <v/>
      </c>
      <c r="R931" s="5"/>
      <c r="T931" s="5"/>
      <c r="U931" s="5"/>
      <c r="Y931" s="0" t="str">
        <f aca="false">IF(FA931&lt;&gt;"Y","",COUNTIFS($FA$2:$FA$1000,"Y",$J$2:$J$1000,"&gt;"&amp;J931)+COUNTIFS($FA$2:$FA$1000,"Y",$J$2:$J$1000,J931,$FG$2:$FG$1000,"&lt;"&amp;FG931)+1)</f>
        <v/>
      </c>
      <c r="AB931" s="0" t="str">
        <f aca="false">IF($A931="","",IF(AT931="Y",BW931&amp;"",BJ931&amp;""))</f>
        <v/>
      </c>
      <c r="AC931" s="0" t="str">
        <f aca="false">IF($A931="","",IF(AT931="Y",BR931&amp;"",BE931&amp;""))</f>
        <v/>
      </c>
      <c r="AD931" s="0" t="str">
        <f aca="false">IF($A931="","",IF(AT931="Y",BS931&amp;"",BF931&amp;""))</f>
        <v/>
      </c>
      <c r="AE931" s="0" t="str">
        <f aca="false">IF($A931="","",IF(AT931="Y",BT931&amp;"",BG931&amp;""))</f>
        <v/>
      </c>
      <c r="AF931" s="0" t="str">
        <f aca="false">IF($A931="","",IF(AT931="Y",BU931&amp;"",BH931&amp;""))</f>
        <v/>
      </c>
      <c r="AG931" s="0" t="str">
        <f aca="false">IF($A931="","",IF(AT931="Y",BV931&amp;"",BI931&amp;""))</f>
        <v/>
      </c>
      <c r="AO931" s="5"/>
      <c r="AR931" s="0" t="str">
        <f aca="false">IF($A931="","",IF(AND(CK931="pass",AO931&lt;&gt;"Y",C931&lt;&gt;"",OR(AU931&lt;&gt;"Y",AV931="Y")),"Y","N"))</f>
        <v/>
      </c>
      <c r="AS931" s="0" t="str">
        <f aca="false">IF($A931="","",_xlfn.TEXTJOIN("; ",TRUE(),IF(CK931&lt;&gt;"pass","gated out",""),IF(AO931="Y","on hold: "&amp;AP931,""),IF(C931="","no contact named on an opened page",""),IF(AND(AU931="Y",AV931&lt;&gt;"Y"),"founder review pending (Founder review tab)","")))</f>
        <v/>
      </c>
      <c r="BC931" s="0" t="str">
        <f aca="false">IF($A931="","",IFERROR(INDEX(Enrichment!$A$2:$GZ$2000,MATCH($A931,INDEX(Enrichment!$A$2:$GZ$2000,0,MATCH("row_id",Enrichment!$A$1:$GZ$1,0)),0),MATCH("work_email",Enrichment!$A$1:$GZ$1,0))&amp;"",""))</f>
        <v/>
      </c>
      <c r="BD931" s="0" t="str">
        <f aca="false">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P931" s="0" t="str">
        <f aca="false">IF($A931="","",IFERROR(INDEX(Enrichment!$A$2:$GZ$2000,MATCH($A931,INDEX(Enrichment!$A$2:$GZ$2000,0,MATCH("row_id",Enrichment!$A$1:$GZ$1,0)),0),MATCH("backup_work_email",Enrichment!$A$1:$GZ$1,0))&amp;"",""))</f>
        <v/>
      </c>
      <c r="BQ931" s="0" t="str">
        <f aca="false">IF($A931="","",IF(BP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DU931" s="0" t="str">
        <f aca="false">IF($A931="","",IF(R931="Y",10,0))</f>
        <v/>
      </c>
      <c r="EV931" s="0" t="str">
        <f aca="false">IF($A931="","",IF(ISNUMBER(MATCH(U931,{"queued","contacted","replied","call_booked","call_done","yes_in_principle","materials_sent"},0)),"Y","N"))</f>
        <v/>
      </c>
      <c r="EW931" s="0" t="str">
        <f aca="false">IF($A931="","",IF(OR(T931="Y",U931="do_not_contact",AQ931&amp;""&lt;&gt;""),"Y","N"))</f>
        <v/>
      </c>
      <c r="EX931" s="0" t="str">
        <f aca="false">IF($A931="","",IF(AN931&amp;""&lt;&gt;"",AN931&amp;"",$A931))</f>
        <v/>
      </c>
      <c r="EY931" s="0" t="str">
        <f aca="false">IF($A931="","",IF(COUNTIFS($EX$2:$EX$1000,EX931,$EV$2:$EV$1000,"Y")+COUNTIFS($EX$2:$EX$1000,EX931,$EW$2:$EW$1000,"Y")&gt;0,"Y","N"))</f>
        <v/>
      </c>
      <c r="EZ931" s="0" t="str">
        <f aca="false">IF($A931="","",IF(AND(U931="new",T931="N",EW931="N",AR931="Y",EY931="N"),"Y","N"))</f>
        <v/>
      </c>
      <c r="FA931" s="0" t="str">
        <f aca="false">IF($A931="","",IF(EZ931&lt;&gt;"Y","N",IF(COUNTIFS($EX$2:$EX$1000,EX931,$EZ$2:$EZ$1000,"Y",$J$2:$J$1000,"&gt;"&amp;J931)+COUNTIFS($EX$2:$EX$1000,EX931,$EZ$2:$EZ$1000,"Y",$J$2:$J$1000,J931,$FG$2:$FG$1000,"&lt;"&amp;FG931)=0,"Y","N")))</f>
        <v/>
      </c>
      <c r="FB931" s="0" t="str">
        <f aca="false">IF($A931="","",IF(AND(EZ931="Y",FA931="Y",Y931&amp;""&lt;&gt;""),IF(Y931&lt;=10,"Y","N"),"N"))</f>
        <v/>
      </c>
      <c r="FC931" s="0" t="str">
        <f aca="false">IF(FB931="Y",Y931,"")</f>
        <v/>
      </c>
      <c r="FD931" s="0" t="str">
        <f aca="false">IF($A931="","",IF(AND(CK931="pass",AU931="Y",AV931&lt;&gt;"Y",U931="new",EW931="N"),"Y","N"))</f>
        <v/>
      </c>
      <c r="FE931" s="0" t="str">
        <f aca="false">IF(FD931&lt;&gt;"Y","",IF(COUNTIFS($FD$2:$FD$1000,"Y",$J$2:$J$1000,"&gt;"&amp;J931)+COUNTIFS($FD$2:$FD$1000,"Y",$J$2:$J$1000,J931,$FG$2:$FG$1000,"&lt;"&amp;FG931)+1&lt;=30,COUNTIFS($FD$2:$FD$1000,"Y",$J$2:$J$1000,"&gt;"&amp;J931)+COUNTIFS($FD$2:$FD$1000,"Y",$J$2:$J$1000,J931,$FG$2:$FG$1000,"&lt;"&amp;FG931)+1,""))</f>
        <v/>
      </c>
      <c r="FF931" s="0" t="str">
        <f aca="false">IF(AND(_xlfn.ISFORMULA(C931),_xlfn.ISFORMULA(J931)),"Y","N")</f>
        <v>Y</v>
      </c>
      <c r="FG931" s="0" t="n">
        <f aca="false">ROW()-1</f>
        <v>930</v>
      </c>
    </row>
    <row r="932" customFormat="false" ht="15" hidden="false" customHeight="false" outlineLevel="0" collapsed="false">
      <c r="C932" s="0" t="str">
        <f aca="false">IF($A932="","",IF(AT932="Y",BL932&amp;"",AY932&amp;""))</f>
        <v/>
      </c>
      <c r="D932" s="0" t="str">
        <f aca="false">IF($A932="","",IF(AT932="Y",BM932&amp;"",AZ932&amp;""))</f>
        <v/>
      </c>
      <c r="E932" s="0" t="str">
        <f aca="false">IF($A932="","",IF(AT932="Y",BN932&amp;"",BA932&amp;""))</f>
        <v/>
      </c>
      <c r="F932" s="0" t="str">
        <f aca="false">IF($A932="","",IF(AT932="Y",BO932&amp;"",BB932&amp;""))</f>
        <v/>
      </c>
      <c r="G932" s="0" t="str">
        <f aca="false">IF($A932="","",IF(AT932="Y",BP932&amp;"",BC932&amp;""))</f>
        <v/>
      </c>
      <c r="H932" s="0" t="str">
        <f aca="false">IF($A932="","",IF(AT932="Y",BQ932&amp;"",BD932&amp;""))</f>
        <v/>
      </c>
      <c r="I932" s="0" t="str">
        <f aca="false">IF($A932="","",IF(R932="Y","warm-intro",IF(H932="verified","email",IF(C932&lt;&gt;"","linkedin",CA932&amp;""))))</f>
        <v/>
      </c>
      <c r="J932" s="0" t="str">
        <f aca="false">IF($A932="","",IF(CK932="pass",ROUND(N(DO932)+N(DP932)+N(DQ932)+N(DR932)+N(DS932)+N(DT932)+N(DU932)+N(DV932),0),0))</f>
        <v/>
      </c>
      <c r="K932" s="0" t="str">
        <f aca="false">IF($A932="","",IF(CK932&lt;&gt;"pass",BY932&amp;"",BY932&amp;", "&amp;IF(AT932="Y",BX932&amp;"",BK932&amp;"")&amp;BZ932&amp;IF(R932="Y","; known to the founder (+10)","")&amp;"."))</f>
        <v/>
      </c>
      <c r="R932" s="5"/>
      <c r="T932" s="5"/>
      <c r="U932" s="5"/>
      <c r="Y932" s="0" t="str">
        <f aca="false">IF(FA932&lt;&gt;"Y","",COUNTIFS($FA$2:$FA$1000,"Y",$J$2:$J$1000,"&gt;"&amp;J932)+COUNTIFS($FA$2:$FA$1000,"Y",$J$2:$J$1000,J932,$FG$2:$FG$1000,"&lt;"&amp;FG932)+1)</f>
        <v/>
      </c>
      <c r="AB932" s="0" t="str">
        <f aca="false">IF($A932="","",IF(AT932="Y",BW932&amp;"",BJ932&amp;""))</f>
        <v/>
      </c>
      <c r="AC932" s="0" t="str">
        <f aca="false">IF($A932="","",IF(AT932="Y",BR932&amp;"",BE932&amp;""))</f>
        <v/>
      </c>
      <c r="AD932" s="0" t="str">
        <f aca="false">IF($A932="","",IF(AT932="Y",BS932&amp;"",BF932&amp;""))</f>
        <v/>
      </c>
      <c r="AE932" s="0" t="str">
        <f aca="false">IF($A932="","",IF(AT932="Y",BT932&amp;"",BG932&amp;""))</f>
        <v/>
      </c>
      <c r="AF932" s="0" t="str">
        <f aca="false">IF($A932="","",IF(AT932="Y",BU932&amp;"",BH932&amp;""))</f>
        <v/>
      </c>
      <c r="AG932" s="0" t="str">
        <f aca="false">IF($A932="","",IF(AT932="Y",BV932&amp;"",BI932&amp;""))</f>
        <v/>
      </c>
      <c r="AO932" s="5"/>
      <c r="AR932" s="0" t="str">
        <f aca="false">IF($A932="","",IF(AND(CK932="pass",AO932&lt;&gt;"Y",C932&lt;&gt;"",OR(AU932&lt;&gt;"Y",AV932="Y")),"Y","N"))</f>
        <v/>
      </c>
      <c r="AS932" s="0" t="str">
        <f aca="false">IF($A932="","",_xlfn.TEXTJOIN("; ",TRUE(),IF(CK932&lt;&gt;"pass","gated out",""),IF(AO932="Y","on hold: "&amp;AP932,""),IF(C932="","no contact named on an opened page",""),IF(AND(AU932="Y",AV932&lt;&gt;"Y"),"founder review pending (Founder review tab)","")))</f>
        <v/>
      </c>
      <c r="BC932" s="0" t="str">
        <f aca="false">IF($A932="","",IFERROR(INDEX(Enrichment!$A$2:$GZ$2000,MATCH($A932,INDEX(Enrichment!$A$2:$GZ$2000,0,MATCH("row_id",Enrichment!$A$1:$GZ$1,0)),0),MATCH("work_email",Enrichment!$A$1:$GZ$1,0))&amp;"",""))</f>
        <v/>
      </c>
      <c r="BD932" s="0" t="str">
        <f aca="false">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P932" s="0" t="str">
        <f aca="false">IF($A932="","",IFERROR(INDEX(Enrichment!$A$2:$GZ$2000,MATCH($A932,INDEX(Enrichment!$A$2:$GZ$2000,0,MATCH("row_id",Enrichment!$A$1:$GZ$1,0)),0),MATCH("backup_work_email",Enrichment!$A$1:$GZ$1,0))&amp;"",""))</f>
        <v/>
      </c>
      <c r="BQ932" s="0" t="str">
        <f aca="false">IF($A932="","",IF(BP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DU932" s="0" t="str">
        <f aca="false">IF($A932="","",IF(R932="Y",10,0))</f>
        <v/>
      </c>
      <c r="EV932" s="0" t="str">
        <f aca="false">IF($A932="","",IF(ISNUMBER(MATCH(U932,{"queued","contacted","replied","call_booked","call_done","yes_in_principle","materials_sent"},0)),"Y","N"))</f>
        <v/>
      </c>
      <c r="EW932" s="0" t="str">
        <f aca="false">IF($A932="","",IF(OR(T932="Y",U932="do_not_contact",AQ932&amp;""&lt;&gt;""),"Y","N"))</f>
        <v/>
      </c>
      <c r="EX932" s="0" t="str">
        <f aca="false">IF($A932="","",IF(AN932&amp;""&lt;&gt;"",AN932&amp;"",$A932))</f>
        <v/>
      </c>
      <c r="EY932" s="0" t="str">
        <f aca="false">IF($A932="","",IF(COUNTIFS($EX$2:$EX$1000,EX932,$EV$2:$EV$1000,"Y")+COUNTIFS($EX$2:$EX$1000,EX932,$EW$2:$EW$1000,"Y")&gt;0,"Y","N"))</f>
        <v/>
      </c>
      <c r="EZ932" s="0" t="str">
        <f aca="false">IF($A932="","",IF(AND(U932="new",T932="N",EW932="N",AR932="Y",EY932="N"),"Y","N"))</f>
        <v/>
      </c>
      <c r="FA932" s="0" t="str">
        <f aca="false">IF($A932="","",IF(EZ932&lt;&gt;"Y","N",IF(COUNTIFS($EX$2:$EX$1000,EX932,$EZ$2:$EZ$1000,"Y",$J$2:$J$1000,"&gt;"&amp;J932)+COUNTIFS($EX$2:$EX$1000,EX932,$EZ$2:$EZ$1000,"Y",$J$2:$J$1000,J932,$FG$2:$FG$1000,"&lt;"&amp;FG932)=0,"Y","N")))</f>
        <v/>
      </c>
      <c r="FB932" s="0" t="str">
        <f aca="false">IF($A932="","",IF(AND(EZ932="Y",FA932="Y",Y932&amp;""&lt;&gt;""),IF(Y932&lt;=10,"Y","N"),"N"))</f>
        <v/>
      </c>
      <c r="FC932" s="0" t="str">
        <f aca="false">IF(FB932="Y",Y932,"")</f>
        <v/>
      </c>
      <c r="FD932" s="0" t="str">
        <f aca="false">IF($A932="","",IF(AND(CK932="pass",AU932="Y",AV932&lt;&gt;"Y",U932="new",EW932="N"),"Y","N"))</f>
        <v/>
      </c>
      <c r="FE932" s="0" t="str">
        <f aca="false">IF(FD932&lt;&gt;"Y","",IF(COUNTIFS($FD$2:$FD$1000,"Y",$J$2:$J$1000,"&gt;"&amp;J932)+COUNTIFS($FD$2:$FD$1000,"Y",$J$2:$J$1000,J932,$FG$2:$FG$1000,"&lt;"&amp;FG932)+1&lt;=30,COUNTIFS($FD$2:$FD$1000,"Y",$J$2:$J$1000,"&gt;"&amp;J932)+COUNTIFS($FD$2:$FD$1000,"Y",$J$2:$J$1000,J932,$FG$2:$FG$1000,"&lt;"&amp;FG932)+1,""))</f>
        <v/>
      </c>
      <c r="FF932" s="0" t="str">
        <f aca="false">IF(AND(_xlfn.ISFORMULA(C932),_xlfn.ISFORMULA(J932)),"Y","N")</f>
        <v>Y</v>
      </c>
      <c r="FG932" s="0" t="n">
        <f aca="false">ROW()-1</f>
        <v>931</v>
      </c>
    </row>
    <row r="933" customFormat="false" ht="15" hidden="false" customHeight="false" outlineLevel="0" collapsed="false">
      <c r="C933" s="0" t="str">
        <f aca="false">IF($A933="","",IF(AT933="Y",BL933&amp;"",AY933&amp;""))</f>
        <v/>
      </c>
      <c r="D933" s="0" t="str">
        <f aca="false">IF($A933="","",IF(AT933="Y",BM933&amp;"",AZ933&amp;""))</f>
        <v/>
      </c>
      <c r="E933" s="0" t="str">
        <f aca="false">IF($A933="","",IF(AT933="Y",BN933&amp;"",BA933&amp;""))</f>
        <v/>
      </c>
      <c r="F933" s="0" t="str">
        <f aca="false">IF($A933="","",IF(AT933="Y",BO933&amp;"",BB933&amp;""))</f>
        <v/>
      </c>
      <c r="G933" s="0" t="str">
        <f aca="false">IF($A933="","",IF(AT933="Y",BP933&amp;"",BC933&amp;""))</f>
        <v/>
      </c>
      <c r="H933" s="0" t="str">
        <f aca="false">IF($A933="","",IF(AT933="Y",BQ933&amp;"",BD933&amp;""))</f>
        <v/>
      </c>
      <c r="I933" s="0" t="str">
        <f aca="false">IF($A933="","",IF(R933="Y","warm-intro",IF(H933="verified","email",IF(C933&lt;&gt;"","linkedin",CA933&amp;""))))</f>
        <v/>
      </c>
      <c r="J933" s="0" t="str">
        <f aca="false">IF($A933="","",IF(CK933="pass",ROUND(N(DO933)+N(DP933)+N(DQ933)+N(DR933)+N(DS933)+N(DT933)+N(DU933)+N(DV933),0),0))</f>
        <v/>
      </c>
      <c r="K933" s="0" t="str">
        <f aca="false">IF($A933="","",IF(CK933&lt;&gt;"pass",BY933&amp;"",BY933&amp;", "&amp;IF(AT933="Y",BX933&amp;"",BK933&amp;"")&amp;BZ933&amp;IF(R933="Y","; known to the founder (+10)","")&amp;"."))</f>
        <v/>
      </c>
      <c r="R933" s="5"/>
      <c r="T933" s="5"/>
      <c r="U933" s="5"/>
      <c r="Y933" s="0" t="str">
        <f aca="false">IF(FA933&lt;&gt;"Y","",COUNTIFS($FA$2:$FA$1000,"Y",$J$2:$J$1000,"&gt;"&amp;J933)+COUNTIFS($FA$2:$FA$1000,"Y",$J$2:$J$1000,J933,$FG$2:$FG$1000,"&lt;"&amp;FG933)+1)</f>
        <v/>
      </c>
      <c r="AB933" s="0" t="str">
        <f aca="false">IF($A933="","",IF(AT933="Y",BW933&amp;"",BJ933&amp;""))</f>
        <v/>
      </c>
      <c r="AC933" s="0" t="str">
        <f aca="false">IF($A933="","",IF(AT933="Y",BR933&amp;"",BE933&amp;""))</f>
        <v/>
      </c>
      <c r="AD933" s="0" t="str">
        <f aca="false">IF($A933="","",IF(AT933="Y",BS933&amp;"",BF933&amp;""))</f>
        <v/>
      </c>
      <c r="AE933" s="0" t="str">
        <f aca="false">IF($A933="","",IF(AT933="Y",BT933&amp;"",BG933&amp;""))</f>
        <v/>
      </c>
      <c r="AF933" s="0" t="str">
        <f aca="false">IF($A933="","",IF(AT933="Y",BU933&amp;"",BH933&amp;""))</f>
        <v/>
      </c>
      <c r="AG933" s="0" t="str">
        <f aca="false">IF($A933="","",IF(AT933="Y",BV933&amp;"",BI933&amp;""))</f>
        <v/>
      </c>
      <c r="AO933" s="5"/>
      <c r="AR933" s="0" t="str">
        <f aca="false">IF($A933="","",IF(AND(CK933="pass",AO933&lt;&gt;"Y",C933&lt;&gt;"",OR(AU933&lt;&gt;"Y",AV933="Y")),"Y","N"))</f>
        <v/>
      </c>
      <c r="AS933" s="0" t="str">
        <f aca="false">IF($A933="","",_xlfn.TEXTJOIN("; ",TRUE(),IF(CK933&lt;&gt;"pass","gated out",""),IF(AO933="Y","on hold: "&amp;AP933,""),IF(C933="","no contact named on an opened page",""),IF(AND(AU933="Y",AV933&lt;&gt;"Y"),"founder review pending (Founder review tab)","")))</f>
        <v/>
      </c>
      <c r="BC933" s="0" t="str">
        <f aca="false">IF($A933="","",IFERROR(INDEX(Enrichment!$A$2:$GZ$2000,MATCH($A933,INDEX(Enrichment!$A$2:$GZ$2000,0,MATCH("row_id",Enrichment!$A$1:$GZ$1,0)),0),MATCH("work_email",Enrichment!$A$1:$GZ$1,0))&amp;"",""))</f>
        <v/>
      </c>
      <c r="BD933" s="0" t="str">
        <f aca="false">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P933" s="0" t="str">
        <f aca="false">IF($A933="","",IFERROR(INDEX(Enrichment!$A$2:$GZ$2000,MATCH($A933,INDEX(Enrichment!$A$2:$GZ$2000,0,MATCH("row_id",Enrichment!$A$1:$GZ$1,0)),0),MATCH("backup_work_email",Enrichment!$A$1:$GZ$1,0))&amp;"",""))</f>
        <v/>
      </c>
      <c r="BQ933" s="0" t="str">
        <f aca="false">IF($A933="","",IF(BP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DU933" s="0" t="str">
        <f aca="false">IF($A933="","",IF(R933="Y",10,0))</f>
        <v/>
      </c>
      <c r="EV933" s="0" t="str">
        <f aca="false">IF($A933="","",IF(ISNUMBER(MATCH(U933,{"queued","contacted","replied","call_booked","call_done","yes_in_principle","materials_sent"},0)),"Y","N"))</f>
        <v/>
      </c>
      <c r="EW933" s="0" t="str">
        <f aca="false">IF($A933="","",IF(OR(T933="Y",U933="do_not_contact",AQ933&amp;""&lt;&gt;""),"Y","N"))</f>
        <v/>
      </c>
      <c r="EX933" s="0" t="str">
        <f aca="false">IF($A933="","",IF(AN933&amp;""&lt;&gt;"",AN933&amp;"",$A933))</f>
        <v/>
      </c>
      <c r="EY933" s="0" t="str">
        <f aca="false">IF($A933="","",IF(COUNTIFS($EX$2:$EX$1000,EX933,$EV$2:$EV$1000,"Y")+COUNTIFS($EX$2:$EX$1000,EX933,$EW$2:$EW$1000,"Y")&gt;0,"Y","N"))</f>
        <v/>
      </c>
      <c r="EZ933" s="0" t="str">
        <f aca="false">IF($A933="","",IF(AND(U933="new",T933="N",EW933="N",AR933="Y",EY933="N"),"Y","N"))</f>
        <v/>
      </c>
      <c r="FA933" s="0" t="str">
        <f aca="false">IF($A933="","",IF(EZ933&lt;&gt;"Y","N",IF(COUNTIFS($EX$2:$EX$1000,EX933,$EZ$2:$EZ$1000,"Y",$J$2:$J$1000,"&gt;"&amp;J933)+COUNTIFS($EX$2:$EX$1000,EX933,$EZ$2:$EZ$1000,"Y",$J$2:$J$1000,J933,$FG$2:$FG$1000,"&lt;"&amp;FG933)=0,"Y","N")))</f>
        <v/>
      </c>
      <c r="FB933" s="0" t="str">
        <f aca="false">IF($A933="","",IF(AND(EZ933="Y",FA933="Y",Y933&amp;""&lt;&gt;""),IF(Y933&lt;=10,"Y","N"),"N"))</f>
        <v/>
      </c>
      <c r="FC933" s="0" t="str">
        <f aca="false">IF(FB933="Y",Y933,"")</f>
        <v/>
      </c>
      <c r="FD933" s="0" t="str">
        <f aca="false">IF($A933="","",IF(AND(CK933="pass",AU933="Y",AV933&lt;&gt;"Y",U933="new",EW933="N"),"Y","N"))</f>
        <v/>
      </c>
      <c r="FE933" s="0" t="str">
        <f aca="false">IF(FD933&lt;&gt;"Y","",IF(COUNTIFS($FD$2:$FD$1000,"Y",$J$2:$J$1000,"&gt;"&amp;J933)+COUNTIFS($FD$2:$FD$1000,"Y",$J$2:$J$1000,J933,$FG$2:$FG$1000,"&lt;"&amp;FG933)+1&lt;=30,COUNTIFS($FD$2:$FD$1000,"Y",$J$2:$J$1000,"&gt;"&amp;J933)+COUNTIFS($FD$2:$FD$1000,"Y",$J$2:$J$1000,J933,$FG$2:$FG$1000,"&lt;"&amp;FG933)+1,""))</f>
        <v/>
      </c>
      <c r="FF933" s="0" t="str">
        <f aca="false">IF(AND(_xlfn.ISFORMULA(C933),_xlfn.ISFORMULA(J933)),"Y","N")</f>
        <v>Y</v>
      </c>
      <c r="FG933" s="0" t="n">
        <f aca="false">ROW()-1</f>
        <v>932</v>
      </c>
    </row>
    <row r="934" customFormat="false" ht="15" hidden="false" customHeight="false" outlineLevel="0" collapsed="false">
      <c r="C934" s="0" t="str">
        <f aca="false">IF($A934="","",IF(AT934="Y",BL934&amp;"",AY934&amp;""))</f>
        <v/>
      </c>
      <c r="D934" s="0" t="str">
        <f aca="false">IF($A934="","",IF(AT934="Y",BM934&amp;"",AZ934&amp;""))</f>
        <v/>
      </c>
      <c r="E934" s="0" t="str">
        <f aca="false">IF($A934="","",IF(AT934="Y",BN934&amp;"",BA934&amp;""))</f>
        <v/>
      </c>
      <c r="F934" s="0" t="str">
        <f aca="false">IF($A934="","",IF(AT934="Y",BO934&amp;"",BB934&amp;""))</f>
        <v/>
      </c>
      <c r="G934" s="0" t="str">
        <f aca="false">IF($A934="","",IF(AT934="Y",BP934&amp;"",BC934&amp;""))</f>
        <v/>
      </c>
      <c r="H934" s="0" t="str">
        <f aca="false">IF($A934="","",IF(AT934="Y",BQ934&amp;"",BD934&amp;""))</f>
        <v/>
      </c>
      <c r="I934" s="0" t="str">
        <f aca="false">IF($A934="","",IF(R934="Y","warm-intro",IF(H934="verified","email",IF(C934&lt;&gt;"","linkedin",CA934&amp;""))))</f>
        <v/>
      </c>
      <c r="J934" s="0" t="str">
        <f aca="false">IF($A934="","",IF(CK934="pass",ROUND(N(DO934)+N(DP934)+N(DQ934)+N(DR934)+N(DS934)+N(DT934)+N(DU934)+N(DV934),0),0))</f>
        <v/>
      </c>
      <c r="K934" s="0" t="str">
        <f aca="false">IF($A934="","",IF(CK934&lt;&gt;"pass",BY934&amp;"",BY934&amp;", "&amp;IF(AT934="Y",BX934&amp;"",BK934&amp;"")&amp;BZ934&amp;IF(R934="Y","; known to the founder (+10)","")&amp;"."))</f>
        <v/>
      </c>
      <c r="R934" s="5"/>
      <c r="T934" s="5"/>
      <c r="U934" s="5"/>
      <c r="Y934" s="0" t="str">
        <f aca="false">IF(FA934&lt;&gt;"Y","",COUNTIFS($FA$2:$FA$1000,"Y",$J$2:$J$1000,"&gt;"&amp;J934)+COUNTIFS($FA$2:$FA$1000,"Y",$J$2:$J$1000,J934,$FG$2:$FG$1000,"&lt;"&amp;FG934)+1)</f>
        <v/>
      </c>
      <c r="AB934" s="0" t="str">
        <f aca="false">IF($A934="","",IF(AT934="Y",BW934&amp;"",BJ934&amp;""))</f>
        <v/>
      </c>
      <c r="AC934" s="0" t="str">
        <f aca="false">IF($A934="","",IF(AT934="Y",BR934&amp;"",BE934&amp;""))</f>
        <v/>
      </c>
      <c r="AD934" s="0" t="str">
        <f aca="false">IF($A934="","",IF(AT934="Y",BS934&amp;"",BF934&amp;""))</f>
        <v/>
      </c>
      <c r="AE934" s="0" t="str">
        <f aca="false">IF($A934="","",IF(AT934="Y",BT934&amp;"",BG934&amp;""))</f>
        <v/>
      </c>
      <c r="AF934" s="0" t="str">
        <f aca="false">IF($A934="","",IF(AT934="Y",BU934&amp;"",BH934&amp;""))</f>
        <v/>
      </c>
      <c r="AG934" s="0" t="str">
        <f aca="false">IF($A934="","",IF(AT934="Y",BV934&amp;"",BI934&amp;""))</f>
        <v/>
      </c>
      <c r="AO934" s="5"/>
      <c r="AR934" s="0" t="str">
        <f aca="false">IF($A934="","",IF(AND(CK934="pass",AO934&lt;&gt;"Y",C934&lt;&gt;"",OR(AU934&lt;&gt;"Y",AV934="Y")),"Y","N"))</f>
        <v/>
      </c>
      <c r="AS934" s="0" t="str">
        <f aca="false">IF($A934="","",_xlfn.TEXTJOIN("; ",TRUE(),IF(CK934&lt;&gt;"pass","gated out",""),IF(AO934="Y","on hold: "&amp;AP934,""),IF(C934="","no contact named on an opened page",""),IF(AND(AU934="Y",AV934&lt;&gt;"Y"),"founder review pending (Founder review tab)","")))</f>
        <v/>
      </c>
      <c r="BC934" s="0" t="str">
        <f aca="false">IF($A934="","",IFERROR(INDEX(Enrichment!$A$2:$GZ$2000,MATCH($A934,INDEX(Enrichment!$A$2:$GZ$2000,0,MATCH("row_id",Enrichment!$A$1:$GZ$1,0)),0),MATCH("work_email",Enrichment!$A$1:$GZ$1,0))&amp;"",""))</f>
        <v/>
      </c>
      <c r="BD934" s="0" t="str">
        <f aca="false">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P934" s="0" t="str">
        <f aca="false">IF($A934="","",IFERROR(INDEX(Enrichment!$A$2:$GZ$2000,MATCH($A934,INDEX(Enrichment!$A$2:$GZ$2000,0,MATCH("row_id",Enrichment!$A$1:$GZ$1,0)),0),MATCH("backup_work_email",Enrichment!$A$1:$GZ$1,0))&amp;"",""))</f>
        <v/>
      </c>
      <c r="BQ934" s="0" t="str">
        <f aca="false">IF($A934="","",IF(BP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DU934" s="0" t="str">
        <f aca="false">IF($A934="","",IF(R934="Y",10,0))</f>
        <v/>
      </c>
      <c r="EV934" s="0" t="str">
        <f aca="false">IF($A934="","",IF(ISNUMBER(MATCH(U934,{"queued","contacted","replied","call_booked","call_done","yes_in_principle","materials_sent"},0)),"Y","N"))</f>
        <v/>
      </c>
      <c r="EW934" s="0" t="str">
        <f aca="false">IF($A934="","",IF(OR(T934="Y",U934="do_not_contact",AQ934&amp;""&lt;&gt;""),"Y","N"))</f>
        <v/>
      </c>
      <c r="EX934" s="0" t="str">
        <f aca="false">IF($A934="","",IF(AN934&amp;""&lt;&gt;"",AN934&amp;"",$A934))</f>
        <v/>
      </c>
      <c r="EY934" s="0" t="str">
        <f aca="false">IF($A934="","",IF(COUNTIFS($EX$2:$EX$1000,EX934,$EV$2:$EV$1000,"Y")+COUNTIFS($EX$2:$EX$1000,EX934,$EW$2:$EW$1000,"Y")&gt;0,"Y","N"))</f>
        <v/>
      </c>
      <c r="EZ934" s="0" t="str">
        <f aca="false">IF($A934="","",IF(AND(U934="new",T934="N",EW934="N",AR934="Y",EY934="N"),"Y","N"))</f>
        <v/>
      </c>
      <c r="FA934" s="0" t="str">
        <f aca="false">IF($A934="","",IF(EZ934&lt;&gt;"Y","N",IF(COUNTIFS($EX$2:$EX$1000,EX934,$EZ$2:$EZ$1000,"Y",$J$2:$J$1000,"&gt;"&amp;J934)+COUNTIFS($EX$2:$EX$1000,EX934,$EZ$2:$EZ$1000,"Y",$J$2:$J$1000,J934,$FG$2:$FG$1000,"&lt;"&amp;FG934)=0,"Y","N")))</f>
        <v/>
      </c>
      <c r="FB934" s="0" t="str">
        <f aca="false">IF($A934="","",IF(AND(EZ934="Y",FA934="Y",Y934&amp;""&lt;&gt;""),IF(Y934&lt;=10,"Y","N"),"N"))</f>
        <v/>
      </c>
      <c r="FC934" s="0" t="str">
        <f aca="false">IF(FB934="Y",Y934,"")</f>
        <v/>
      </c>
      <c r="FD934" s="0" t="str">
        <f aca="false">IF($A934="","",IF(AND(CK934="pass",AU934="Y",AV934&lt;&gt;"Y",U934="new",EW934="N"),"Y","N"))</f>
        <v/>
      </c>
      <c r="FE934" s="0" t="str">
        <f aca="false">IF(FD934&lt;&gt;"Y","",IF(COUNTIFS($FD$2:$FD$1000,"Y",$J$2:$J$1000,"&gt;"&amp;J934)+COUNTIFS($FD$2:$FD$1000,"Y",$J$2:$J$1000,J934,$FG$2:$FG$1000,"&lt;"&amp;FG934)+1&lt;=30,COUNTIFS($FD$2:$FD$1000,"Y",$J$2:$J$1000,"&gt;"&amp;J934)+COUNTIFS($FD$2:$FD$1000,"Y",$J$2:$J$1000,J934,$FG$2:$FG$1000,"&lt;"&amp;FG934)+1,""))</f>
        <v/>
      </c>
      <c r="FF934" s="0" t="str">
        <f aca="false">IF(AND(_xlfn.ISFORMULA(C934),_xlfn.ISFORMULA(J934)),"Y","N")</f>
        <v>Y</v>
      </c>
      <c r="FG934" s="0" t="n">
        <f aca="false">ROW()-1</f>
        <v>933</v>
      </c>
    </row>
    <row r="935" customFormat="false" ht="15" hidden="false" customHeight="false" outlineLevel="0" collapsed="false">
      <c r="C935" s="0" t="str">
        <f aca="false">IF($A935="","",IF(AT935="Y",BL935&amp;"",AY935&amp;""))</f>
        <v/>
      </c>
      <c r="D935" s="0" t="str">
        <f aca="false">IF($A935="","",IF(AT935="Y",BM935&amp;"",AZ935&amp;""))</f>
        <v/>
      </c>
      <c r="E935" s="0" t="str">
        <f aca="false">IF($A935="","",IF(AT935="Y",BN935&amp;"",BA935&amp;""))</f>
        <v/>
      </c>
      <c r="F935" s="0" t="str">
        <f aca="false">IF($A935="","",IF(AT935="Y",BO935&amp;"",BB935&amp;""))</f>
        <v/>
      </c>
      <c r="G935" s="0" t="str">
        <f aca="false">IF($A935="","",IF(AT935="Y",BP935&amp;"",BC935&amp;""))</f>
        <v/>
      </c>
      <c r="H935" s="0" t="str">
        <f aca="false">IF($A935="","",IF(AT935="Y",BQ935&amp;"",BD935&amp;""))</f>
        <v/>
      </c>
      <c r="I935" s="0" t="str">
        <f aca="false">IF($A935="","",IF(R935="Y","warm-intro",IF(H935="verified","email",IF(C935&lt;&gt;"","linkedin",CA935&amp;""))))</f>
        <v/>
      </c>
      <c r="J935" s="0" t="str">
        <f aca="false">IF($A935="","",IF(CK935="pass",ROUND(N(DO935)+N(DP935)+N(DQ935)+N(DR935)+N(DS935)+N(DT935)+N(DU935)+N(DV935),0),0))</f>
        <v/>
      </c>
      <c r="K935" s="0" t="str">
        <f aca="false">IF($A935="","",IF(CK935&lt;&gt;"pass",BY935&amp;"",BY935&amp;", "&amp;IF(AT935="Y",BX935&amp;"",BK935&amp;"")&amp;BZ935&amp;IF(R935="Y","; known to the founder (+10)","")&amp;"."))</f>
        <v/>
      </c>
      <c r="R935" s="5"/>
      <c r="T935" s="5"/>
      <c r="U935" s="5"/>
      <c r="Y935" s="0" t="str">
        <f aca="false">IF(FA935&lt;&gt;"Y","",COUNTIFS($FA$2:$FA$1000,"Y",$J$2:$J$1000,"&gt;"&amp;J935)+COUNTIFS($FA$2:$FA$1000,"Y",$J$2:$J$1000,J935,$FG$2:$FG$1000,"&lt;"&amp;FG935)+1)</f>
        <v/>
      </c>
      <c r="AB935" s="0" t="str">
        <f aca="false">IF($A935="","",IF(AT935="Y",BW935&amp;"",BJ935&amp;""))</f>
        <v/>
      </c>
      <c r="AC935" s="0" t="str">
        <f aca="false">IF($A935="","",IF(AT935="Y",BR935&amp;"",BE935&amp;""))</f>
        <v/>
      </c>
      <c r="AD935" s="0" t="str">
        <f aca="false">IF($A935="","",IF(AT935="Y",BS935&amp;"",BF935&amp;""))</f>
        <v/>
      </c>
      <c r="AE935" s="0" t="str">
        <f aca="false">IF($A935="","",IF(AT935="Y",BT935&amp;"",BG935&amp;""))</f>
        <v/>
      </c>
      <c r="AF935" s="0" t="str">
        <f aca="false">IF($A935="","",IF(AT935="Y",BU935&amp;"",BH935&amp;""))</f>
        <v/>
      </c>
      <c r="AG935" s="0" t="str">
        <f aca="false">IF($A935="","",IF(AT935="Y",BV935&amp;"",BI935&amp;""))</f>
        <v/>
      </c>
      <c r="AO935" s="5"/>
      <c r="AR935" s="0" t="str">
        <f aca="false">IF($A935="","",IF(AND(CK935="pass",AO935&lt;&gt;"Y",C935&lt;&gt;"",OR(AU935&lt;&gt;"Y",AV935="Y")),"Y","N"))</f>
        <v/>
      </c>
      <c r="AS935" s="0" t="str">
        <f aca="false">IF($A935="","",_xlfn.TEXTJOIN("; ",TRUE(),IF(CK935&lt;&gt;"pass","gated out",""),IF(AO935="Y","on hold: "&amp;AP935,""),IF(C935="","no contact named on an opened page",""),IF(AND(AU935="Y",AV935&lt;&gt;"Y"),"founder review pending (Founder review tab)","")))</f>
        <v/>
      </c>
      <c r="BC935" s="0" t="str">
        <f aca="false">IF($A935="","",IFERROR(INDEX(Enrichment!$A$2:$GZ$2000,MATCH($A935,INDEX(Enrichment!$A$2:$GZ$2000,0,MATCH("row_id",Enrichment!$A$1:$GZ$1,0)),0),MATCH("work_email",Enrichment!$A$1:$GZ$1,0))&amp;"",""))</f>
        <v/>
      </c>
      <c r="BD935" s="0" t="str">
        <f aca="false">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P935" s="0" t="str">
        <f aca="false">IF($A935="","",IFERROR(INDEX(Enrichment!$A$2:$GZ$2000,MATCH($A935,INDEX(Enrichment!$A$2:$GZ$2000,0,MATCH("row_id",Enrichment!$A$1:$GZ$1,0)),0),MATCH("backup_work_email",Enrichment!$A$1:$GZ$1,0))&amp;"",""))</f>
        <v/>
      </c>
      <c r="BQ935" s="0" t="str">
        <f aca="false">IF($A935="","",IF(BP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DU935" s="0" t="str">
        <f aca="false">IF($A935="","",IF(R935="Y",10,0))</f>
        <v/>
      </c>
      <c r="EV935" s="0" t="str">
        <f aca="false">IF($A935="","",IF(ISNUMBER(MATCH(U935,{"queued","contacted","replied","call_booked","call_done","yes_in_principle","materials_sent"},0)),"Y","N"))</f>
        <v/>
      </c>
      <c r="EW935" s="0" t="str">
        <f aca="false">IF($A935="","",IF(OR(T935="Y",U935="do_not_contact",AQ935&amp;""&lt;&gt;""),"Y","N"))</f>
        <v/>
      </c>
      <c r="EX935" s="0" t="str">
        <f aca="false">IF($A935="","",IF(AN935&amp;""&lt;&gt;"",AN935&amp;"",$A935))</f>
        <v/>
      </c>
      <c r="EY935" s="0" t="str">
        <f aca="false">IF($A935="","",IF(COUNTIFS($EX$2:$EX$1000,EX935,$EV$2:$EV$1000,"Y")+COUNTIFS($EX$2:$EX$1000,EX935,$EW$2:$EW$1000,"Y")&gt;0,"Y","N"))</f>
        <v/>
      </c>
      <c r="EZ935" s="0" t="str">
        <f aca="false">IF($A935="","",IF(AND(U935="new",T935="N",EW935="N",AR935="Y",EY935="N"),"Y","N"))</f>
        <v/>
      </c>
      <c r="FA935" s="0" t="str">
        <f aca="false">IF($A935="","",IF(EZ935&lt;&gt;"Y","N",IF(COUNTIFS($EX$2:$EX$1000,EX935,$EZ$2:$EZ$1000,"Y",$J$2:$J$1000,"&gt;"&amp;J935)+COUNTIFS($EX$2:$EX$1000,EX935,$EZ$2:$EZ$1000,"Y",$J$2:$J$1000,J935,$FG$2:$FG$1000,"&lt;"&amp;FG935)=0,"Y","N")))</f>
        <v/>
      </c>
      <c r="FB935" s="0" t="str">
        <f aca="false">IF($A935="","",IF(AND(EZ935="Y",FA935="Y",Y935&amp;""&lt;&gt;""),IF(Y935&lt;=10,"Y","N"),"N"))</f>
        <v/>
      </c>
      <c r="FC935" s="0" t="str">
        <f aca="false">IF(FB935="Y",Y935,"")</f>
        <v/>
      </c>
      <c r="FD935" s="0" t="str">
        <f aca="false">IF($A935="","",IF(AND(CK935="pass",AU935="Y",AV935&lt;&gt;"Y",U935="new",EW935="N"),"Y","N"))</f>
        <v/>
      </c>
      <c r="FE935" s="0" t="str">
        <f aca="false">IF(FD935&lt;&gt;"Y","",IF(COUNTIFS($FD$2:$FD$1000,"Y",$J$2:$J$1000,"&gt;"&amp;J935)+COUNTIFS($FD$2:$FD$1000,"Y",$J$2:$J$1000,J935,$FG$2:$FG$1000,"&lt;"&amp;FG935)+1&lt;=30,COUNTIFS($FD$2:$FD$1000,"Y",$J$2:$J$1000,"&gt;"&amp;J935)+COUNTIFS($FD$2:$FD$1000,"Y",$J$2:$J$1000,J935,$FG$2:$FG$1000,"&lt;"&amp;FG935)+1,""))</f>
        <v/>
      </c>
      <c r="FF935" s="0" t="str">
        <f aca="false">IF(AND(_xlfn.ISFORMULA(C935),_xlfn.ISFORMULA(J935)),"Y","N")</f>
        <v>Y</v>
      </c>
      <c r="FG935" s="0" t="n">
        <f aca="false">ROW()-1</f>
        <v>934</v>
      </c>
    </row>
    <row r="936" customFormat="false" ht="15" hidden="false" customHeight="false" outlineLevel="0" collapsed="false">
      <c r="C936" s="0" t="str">
        <f aca="false">IF($A936="","",IF(AT936="Y",BL936&amp;"",AY936&amp;""))</f>
        <v/>
      </c>
      <c r="D936" s="0" t="str">
        <f aca="false">IF($A936="","",IF(AT936="Y",BM936&amp;"",AZ936&amp;""))</f>
        <v/>
      </c>
      <c r="E936" s="0" t="str">
        <f aca="false">IF($A936="","",IF(AT936="Y",BN936&amp;"",BA936&amp;""))</f>
        <v/>
      </c>
      <c r="F936" s="0" t="str">
        <f aca="false">IF($A936="","",IF(AT936="Y",BO936&amp;"",BB936&amp;""))</f>
        <v/>
      </c>
      <c r="G936" s="0" t="str">
        <f aca="false">IF($A936="","",IF(AT936="Y",BP936&amp;"",BC936&amp;""))</f>
        <v/>
      </c>
      <c r="H936" s="0" t="str">
        <f aca="false">IF($A936="","",IF(AT936="Y",BQ936&amp;"",BD936&amp;""))</f>
        <v/>
      </c>
      <c r="I936" s="0" t="str">
        <f aca="false">IF($A936="","",IF(R936="Y","warm-intro",IF(H936="verified","email",IF(C936&lt;&gt;"","linkedin",CA936&amp;""))))</f>
        <v/>
      </c>
      <c r="J936" s="0" t="str">
        <f aca="false">IF($A936="","",IF(CK936="pass",ROUND(N(DO936)+N(DP936)+N(DQ936)+N(DR936)+N(DS936)+N(DT936)+N(DU936)+N(DV936),0),0))</f>
        <v/>
      </c>
      <c r="K936" s="0" t="str">
        <f aca="false">IF($A936="","",IF(CK936&lt;&gt;"pass",BY936&amp;"",BY936&amp;", "&amp;IF(AT936="Y",BX936&amp;"",BK936&amp;"")&amp;BZ936&amp;IF(R936="Y","; known to the founder (+10)","")&amp;"."))</f>
        <v/>
      </c>
      <c r="R936" s="5"/>
      <c r="T936" s="5"/>
      <c r="U936" s="5"/>
      <c r="Y936" s="0" t="str">
        <f aca="false">IF(FA936&lt;&gt;"Y","",COUNTIFS($FA$2:$FA$1000,"Y",$J$2:$J$1000,"&gt;"&amp;J936)+COUNTIFS($FA$2:$FA$1000,"Y",$J$2:$J$1000,J936,$FG$2:$FG$1000,"&lt;"&amp;FG936)+1)</f>
        <v/>
      </c>
      <c r="AB936" s="0" t="str">
        <f aca="false">IF($A936="","",IF(AT936="Y",BW936&amp;"",BJ936&amp;""))</f>
        <v/>
      </c>
      <c r="AC936" s="0" t="str">
        <f aca="false">IF($A936="","",IF(AT936="Y",BR936&amp;"",BE936&amp;""))</f>
        <v/>
      </c>
      <c r="AD936" s="0" t="str">
        <f aca="false">IF($A936="","",IF(AT936="Y",BS936&amp;"",BF936&amp;""))</f>
        <v/>
      </c>
      <c r="AE936" s="0" t="str">
        <f aca="false">IF($A936="","",IF(AT936="Y",BT936&amp;"",BG936&amp;""))</f>
        <v/>
      </c>
      <c r="AF936" s="0" t="str">
        <f aca="false">IF($A936="","",IF(AT936="Y",BU936&amp;"",BH936&amp;""))</f>
        <v/>
      </c>
      <c r="AG936" s="0" t="str">
        <f aca="false">IF($A936="","",IF(AT936="Y",BV936&amp;"",BI936&amp;""))</f>
        <v/>
      </c>
      <c r="AO936" s="5"/>
      <c r="AR936" s="0" t="str">
        <f aca="false">IF($A936="","",IF(AND(CK936="pass",AO936&lt;&gt;"Y",C936&lt;&gt;"",OR(AU936&lt;&gt;"Y",AV936="Y")),"Y","N"))</f>
        <v/>
      </c>
      <c r="AS936" s="0" t="str">
        <f aca="false">IF($A936="","",_xlfn.TEXTJOIN("; ",TRUE(),IF(CK936&lt;&gt;"pass","gated out",""),IF(AO936="Y","on hold: "&amp;AP936,""),IF(C936="","no contact named on an opened page",""),IF(AND(AU936="Y",AV936&lt;&gt;"Y"),"founder review pending (Founder review tab)","")))</f>
        <v/>
      </c>
      <c r="BC936" s="0" t="str">
        <f aca="false">IF($A936="","",IFERROR(INDEX(Enrichment!$A$2:$GZ$2000,MATCH($A936,INDEX(Enrichment!$A$2:$GZ$2000,0,MATCH("row_id",Enrichment!$A$1:$GZ$1,0)),0),MATCH("work_email",Enrichment!$A$1:$GZ$1,0))&amp;"",""))</f>
        <v/>
      </c>
      <c r="BD936" s="0" t="str">
        <f aca="false">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P936" s="0" t="str">
        <f aca="false">IF($A936="","",IFERROR(INDEX(Enrichment!$A$2:$GZ$2000,MATCH($A936,INDEX(Enrichment!$A$2:$GZ$2000,0,MATCH("row_id",Enrichment!$A$1:$GZ$1,0)),0),MATCH("backup_work_email",Enrichment!$A$1:$GZ$1,0))&amp;"",""))</f>
        <v/>
      </c>
      <c r="BQ936" s="0" t="str">
        <f aca="false">IF($A936="","",IF(BP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DU936" s="0" t="str">
        <f aca="false">IF($A936="","",IF(R936="Y",10,0))</f>
        <v/>
      </c>
      <c r="EV936" s="0" t="str">
        <f aca="false">IF($A936="","",IF(ISNUMBER(MATCH(U936,{"queued","contacted","replied","call_booked","call_done","yes_in_principle","materials_sent"},0)),"Y","N"))</f>
        <v/>
      </c>
      <c r="EW936" s="0" t="str">
        <f aca="false">IF($A936="","",IF(OR(T936="Y",U936="do_not_contact",AQ936&amp;""&lt;&gt;""),"Y","N"))</f>
        <v/>
      </c>
      <c r="EX936" s="0" t="str">
        <f aca="false">IF($A936="","",IF(AN936&amp;""&lt;&gt;"",AN936&amp;"",$A936))</f>
        <v/>
      </c>
      <c r="EY936" s="0" t="str">
        <f aca="false">IF($A936="","",IF(COUNTIFS($EX$2:$EX$1000,EX936,$EV$2:$EV$1000,"Y")+COUNTIFS($EX$2:$EX$1000,EX936,$EW$2:$EW$1000,"Y")&gt;0,"Y","N"))</f>
        <v/>
      </c>
      <c r="EZ936" s="0" t="str">
        <f aca="false">IF($A936="","",IF(AND(U936="new",T936="N",EW936="N",AR936="Y",EY936="N"),"Y","N"))</f>
        <v/>
      </c>
      <c r="FA936" s="0" t="str">
        <f aca="false">IF($A936="","",IF(EZ936&lt;&gt;"Y","N",IF(COUNTIFS($EX$2:$EX$1000,EX936,$EZ$2:$EZ$1000,"Y",$J$2:$J$1000,"&gt;"&amp;J936)+COUNTIFS($EX$2:$EX$1000,EX936,$EZ$2:$EZ$1000,"Y",$J$2:$J$1000,J936,$FG$2:$FG$1000,"&lt;"&amp;FG936)=0,"Y","N")))</f>
        <v/>
      </c>
      <c r="FB936" s="0" t="str">
        <f aca="false">IF($A936="","",IF(AND(EZ936="Y",FA936="Y",Y936&amp;""&lt;&gt;""),IF(Y936&lt;=10,"Y","N"),"N"))</f>
        <v/>
      </c>
      <c r="FC936" s="0" t="str">
        <f aca="false">IF(FB936="Y",Y936,"")</f>
        <v/>
      </c>
      <c r="FD936" s="0" t="str">
        <f aca="false">IF($A936="","",IF(AND(CK936="pass",AU936="Y",AV936&lt;&gt;"Y",U936="new",EW936="N"),"Y","N"))</f>
        <v/>
      </c>
      <c r="FE936" s="0" t="str">
        <f aca="false">IF(FD936&lt;&gt;"Y","",IF(COUNTIFS($FD$2:$FD$1000,"Y",$J$2:$J$1000,"&gt;"&amp;J936)+COUNTIFS($FD$2:$FD$1000,"Y",$J$2:$J$1000,J936,$FG$2:$FG$1000,"&lt;"&amp;FG936)+1&lt;=30,COUNTIFS($FD$2:$FD$1000,"Y",$J$2:$J$1000,"&gt;"&amp;J936)+COUNTIFS($FD$2:$FD$1000,"Y",$J$2:$J$1000,J936,$FG$2:$FG$1000,"&lt;"&amp;FG936)+1,""))</f>
        <v/>
      </c>
      <c r="FF936" s="0" t="str">
        <f aca="false">IF(AND(_xlfn.ISFORMULA(C936),_xlfn.ISFORMULA(J936)),"Y","N")</f>
        <v>Y</v>
      </c>
      <c r="FG936" s="0" t="n">
        <f aca="false">ROW()-1</f>
        <v>935</v>
      </c>
    </row>
    <row r="937" customFormat="false" ht="15" hidden="false" customHeight="false" outlineLevel="0" collapsed="false">
      <c r="C937" s="0" t="str">
        <f aca="false">IF($A937="","",IF(AT937="Y",BL937&amp;"",AY937&amp;""))</f>
        <v/>
      </c>
      <c r="D937" s="0" t="str">
        <f aca="false">IF($A937="","",IF(AT937="Y",BM937&amp;"",AZ937&amp;""))</f>
        <v/>
      </c>
      <c r="E937" s="0" t="str">
        <f aca="false">IF($A937="","",IF(AT937="Y",BN937&amp;"",BA937&amp;""))</f>
        <v/>
      </c>
      <c r="F937" s="0" t="str">
        <f aca="false">IF($A937="","",IF(AT937="Y",BO937&amp;"",BB937&amp;""))</f>
        <v/>
      </c>
      <c r="G937" s="0" t="str">
        <f aca="false">IF($A937="","",IF(AT937="Y",BP937&amp;"",BC937&amp;""))</f>
        <v/>
      </c>
      <c r="H937" s="0" t="str">
        <f aca="false">IF($A937="","",IF(AT937="Y",BQ937&amp;"",BD937&amp;""))</f>
        <v/>
      </c>
      <c r="I937" s="0" t="str">
        <f aca="false">IF($A937="","",IF(R937="Y","warm-intro",IF(H937="verified","email",IF(C937&lt;&gt;"","linkedin",CA937&amp;""))))</f>
        <v/>
      </c>
      <c r="J937" s="0" t="str">
        <f aca="false">IF($A937="","",IF(CK937="pass",ROUND(N(DO937)+N(DP937)+N(DQ937)+N(DR937)+N(DS937)+N(DT937)+N(DU937)+N(DV937),0),0))</f>
        <v/>
      </c>
      <c r="K937" s="0" t="str">
        <f aca="false">IF($A937="","",IF(CK937&lt;&gt;"pass",BY937&amp;"",BY937&amp;", "&amp;IF(AT937="Y",BX937&amp;"",BK937&amp;"")&amp;BZ937&amp;IF(R937="Y","; known to the founder (+10)","")&amp;"."))</f>
        <v/>
      </c>
      <c r="R937" s="5"/>
      <c r="T937" s="5"/>
      <c r="U937" s="5"/>
      <c r="Y937" s="0" t="str">
        <f aca="false">IF(FA937&lt;&gt;"Y","",COUNTIFS($FA$2:$FA$1000,"Y",$J$2:$J$1000,"&gt;"&amp;J937)+COUNTIFS($FA$2:$FA$1000,"Y",$J$2:$J$1000,J937,$FG$2:$FG$1000,"&lt;"&amp;FG937)+1)</f>
        <v/>
      </c>
      <c r="AB937" s="0" t="str">
        <f aca="false">IF($A937="","",IF(AT937="Y",BW937&amp;"",BJ937&amp;""))</f>
        <v/>
      </c>
      <c r="AC937" s="0" t="str">
        <f aca="false">IF($A937="","",IF(AT937="Y",BR937&amp;"",BE937&amp;""))</f>
        <v/>
      </c>
      <c r="AD937" s="0" t="str">
        <f aca="false">IF($A937="","",IF(AT937="Y",BS937&amp;"",BF937&amp;""))</f>
        <v/>
      </c>
      <c r="AE937" s="0" t="str">
        <f aca="false">IF($A937="","",IF(AT937="Y",BT937&amp;"",BG937&amp;""))</f>
        <v/>
      </c>
      <c r="AF937" s="0" t="str">
        <f aca="false">IF($A937="","",IF(AT937="Y",BU937&amp;"",BH937&amp;""))</f>
        <v/>
      </c>
      <c r="AG937" s="0" t="str">
        <f aca="false">IF($A937="","",IF(AT937="Y",BV937&amp;"",BI937&amp;""))</f>
        <v/>
      </c>
      <c r="AO937" s="5"/>
      <c r="AR937" s="0" t="str">
        <f aca="false">IF($A937="","",IF(AND(CK937="pass",AO937&lt;&gt;"Y",C937&lt;&gt;"",OR(AU937&lt;&gt;"Y",AV937="Y")),"Y","N"))</f>
        <v/>
      </c>
      <c r="AS937" s="0" t="str">
        <f aca="false">IF($A937="","",_xlfn.TEXTJOIN("; ",TRUE(),IF(CK937&lt;&gt;"pass","gated out",""),IF(AO937="Y","on hold: "&amp;AP937,""),IF(C937="","no contact named on an opened page",""),IF(AND(AU937="Y",AV937&lt;&gt;"Y"),"founder review pending (Founder review tab)","")))</f>
        <v/>
      </c>
      <c r="BC937" s="0" t="str">
        <f aca="false">IF($A937="","",IFERROR(INDEX(Enrichment!$A$2:$GZ$2000,MATCH($A937,INDEX(Enrichment!$A$2:$GZ$2000,0,MATCH("row_id",Enrichment!$A$1:$GZ$1,0)),0),MATCH("work_email",Enrichment!$A$1:$GZ$1,0))&amp;"",""))</f>
        <v/>
      </c>
      <c r="BD937" s="0" t="str">
        <f aca="false">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P937" s="0" t="str">
        <f aca="false">IF($A937="","",IFERROR(INDEX(Enrichment!$A$2:$GZ$2000,MATCH($A937,INDEX(Enrichment!$A$2:$GZ$2000,0,MATCH("row_id",Enrichment!$A$1:$GZ$1,0)),0),MATCH("backup_work_email",Enrichment!$A$1:$GZ$1,0))&amp;"",""))</f>
        <v/>
      </c>
      <c r="BQ937" s="0" t="str">
        <f aca="false">IF($A937="","",IF(BP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DU937" s="0" t="str">
        <f aca="false">IF($A937="","",IF(R937="Y",10,0))</f>
        <v/>
      </c>
      <c r="EV937" s="0" t="str">
        <f aca="false">IF($A937="","",IF(ISNUMBER(MATCH(U937,{"queued","contacted","replied","call_booked","call_done","yes_in_principle","materials_sent"},0)),"Y","N"))</f>
        <v/>
      </c>
      <c r="EW937" s="0" t="str">
        <f aca="false">IF($A937="","",IF(OR(T937="Y",U937="do_not_contact",AQ937&amp;""&lt;&gt;""),"Y","N"))</f>
        <v/>
      </c>
      <c r="EX937" s="0" t="str">
        <f aca="false">IF($A937="","",IF(AN937&amp;""&lt;&gt;"",AN937&amp;"",$A937))</f>
        <v/>
      </c>
      <c r="EY937" s="0" t="str">
        <f aca="false">IF($A937="","",IF(COUNTIFS($EX$2:$EX$1000,EX937,$EV$2:$EV$1000,"Y")+COUNTIFS($EX$2:$EX$1000,EX937,$EW$2:$EW$1000,"Y")&gt;0,"Y","N"))</f>
        <v/>
      </c>
      <c r="EZ937" s="0" t="str">
        <f aca="false">IF($A937="","",IF(AND(U937="new",T937="N",EW937="N",AR937="Y",EY937="N"),"Y","N"))</f>
        <v/>
      </c>
      <c r="FA937" s="0" t="str">
        <f aca="false">IF($A937="","",IF(EZ937&lt;&gt;"Y","N",IF(COUNTIFS($EX$2:$EX$1000,EX937,$EZ$2:$EZ$1000,"Y",$J$2:$J$1000,"&gt;"&amp;J937)+COUNTIFS($EX$2:$EX$1000,EX937,$EZ$2:$EZ$1000,"Y",$J$2:$J$1000,J937,$FG$2:$FG$1000,"&lt;"&amp;FG937)=0,"Y","N")))</f>
        <v/>
      </c>
      <c r="FB937" s="0" t="str">
        <f aca="false">IF($A937="","",IF(AND(EZ937="Y",FA937="Y",Y937&amp;""&lt;&gt;""),IF(Y937&lt;=10,"Y","N"),"N"))</f>
        <v/>
      </c>
      <c r="FC937" s="0" t="str">
        <f aca="false">IF(FB937="Y",Y937,"")</f>
        <v/>
      </c>
      <c r="FD937" s="0" t="str">
        <f aca="false">IF($A937="","",IF(AND(CK937="pass",AU937="Y",AV937&lt;&gt;"Y",U937="new",EW937="N"),"Y","N"))</f>
        <v/>
      </c>
      <c r="FE937" s="0" t="str">
        <f aca="false">IF(FD937&lt;&gt;"Y","",IF(COUNTIFS($FD$2:$FD$1000,"Y",$J$2:$J$1000,"&gt;"&amp;J937)+COUNTIFS($FD$2:$FD$1000,"Y",$J$2:$J$1000,J937,$FG$2:$FG$1000,"&lt;"&amp;FG937)+1&lt;=30,COUNTIFS($FD$2:$FD$1000,"Y",$J$2:$J$1000,"&gt;"&amp;J937)+COUNTIFS($FD$2:$FD$1000,"Y",$J$2:$J$1000,J937,$FG$2:$FG$1000,"&lt;"&amp;FG937)+1,""))</f>
        <v/>
      </c>
      <c r="FF937" s="0" t="str">
        <f aca="false">IF(AND(_xlfn.ISFORMULA(C937),_xlfn.ISFORMULA(J937)),"Y","N")</f>
        <v>Y</v>
      </c>
      <c r="FG937" s="0" t="n">
        <f aca="false">ROW()-1</f>
        <v>936</v>
      </c>
    </row>
    <row r="938" customFormat="false" ht="15" hidden="false" customHeight="false" outlineLevel="0" collapsed="false">
      <c r="C938" s="0" t="str">
        <f aca="false">IF($A938="","",IF(AT938="Y",BL938&amp;"",AY938&amp;""))</f>
        <v/>
      </c>
      <c r="D938" s="0" t="str">
        <f aca="false">IF($A938="","",IF(AT938="Y",BM938&amp;"",AZ938&amp;""))</f>
        <v/>
      </c>
      <c r="E938" s="0" t="str">
        <f aca="false">IF($A938="","",IF(AT938="Y",BN938&amp;"",BA938&amp;""))</f>
        <v/>
      </c>
      <c r="F938" s="0" t="str">
        <f aca="false">IF($A938="","",IF(AT938="Y",BO938&amp;"",BB938&amp;""))</f>
        <v/>
      </c>
      <c r="G938" s="0" t="str">
        <f aca="false">IF($A938="","",IF(AT938="Y",BP938&amp;"",BC938&amp;""))</f>
        <v/>
      </c>
      <c r="H938" s="0" t="str">
        <f aca="false">IF($A938="","",IF(AT938="Y",BQ938&amp;"",BD938&amp;""))</f>
        <v/>
      </c>
      <c r="I938" s="0" t="str">
        <f aca="false">IF($A938="","",IF(R938="Y","warm-intro",IF(H938="verified","email",IF(C938&lt;&gt;"","linkedin",CA938&amp;""))))</f>
        <v/>
      </c>
      <c r="J938" s="0" t="str">
        <f aca="false">IF($A938="","",IF(CK938="pass",ROUND(N(DO938)+N(DP938)+N(DQ938)+N(DR938)+N(DS938)+N(DT938)+N(DU938)+N(DV938),0),0))</f>
        <v/>
      </c>
      <c r="K938" s="0" t="str">
        <f aca="false">IF($A938="","",IF(CK938&lt;&gt;"pass",BY938&amp;"",BY938&amp;", "&amp;IF(AT938="Y",BX938&amp;"",BK938&amp;"")&amp;BZ938&amp;IF(R938="Y","; known to the founder (+10)","")&amp;"."))</f>
        <v/>
      </c>
      <c r="R938" s="5"/>
      <c r="T938" s="5"/>
      <c r="U938" s="5"/>
      <c r="Y938" s="0" t="str">
        <f aca="false">IF(FA938&lt;&gt;"Y","",COUNTIFS($FA$2:$FA$1000,"Y",$J$2:$J$1000,"&gt;"&amp;J938)+COUNTIFS($FA$2:$FA$1000,"Y",$J$2:$J$1000,J938,$FG$2:$FG$1000,"&lt;"&amp;FG938)+1)</f>
        <v/>
      </c>
      <c r="AB938" s="0" t="str">
        <f aca="false">IF($A938="","",IF(AT938="Y",BW938&amp;"",BJ938&amp;""))</f>
        <v/>
      </c>
      <c r="AC938" s="0" t="str">
        <f aca="false">IF($A938="","",IF(AT938="Y",BR938&amp;"",BE938&amp;""))</f>
        <v/>
      </c>
      <c r="AD938" s="0" t="str">
        <f aca="false">IF($A938="","",IF(AT938="Y",BS938&amp;"",BF938&amp;""))</f>
        <v/>
      </c>
      <c r="AE938" s="0" t="str">
        <f aca="false">IF($A938="","",IF(AT938="Y",BT938&amp;"",BG938&amp;""))</f>
        <v/>
      </c>
      <c r="AF938" s="0" t="str">
        <f aca="false">IF($A938="","",IF(AT938="Y",BU938&amp;"",BH938&amp;""))</f>
        <v/>
      </c>
      <c r="AG938" s="0" t="str">
        <f aca="false">IF($A938="","",IF(AT938="Y",BV938&amp;"",BI938&amp;""))</f>
        <v/>
      </c>
      <c r="AO938" s="5"/>
      <c r="AR938" s="0" t="str">
        <f aca="false">IF($A938="","",IF(AND(CK938="pass",AO938&lt;&gt;"Y",C938&lt;&gt;"",OR(AU938&lt;&gt;"Y",AV938="Y")),"Y","N"))</f>
        <v/>
      </c>
      <c r="AS938" s="0" t="str">
        <f aca="false">IF($A938="","",_xlfn.TEXTJOIN("; ",TRUE(),IF(CK938&lt;&gt;"pass","gated out",""),IF(AO938="Y","on hold: "&amp;AP938,""),IF(C938="","no contact named on an opened page",""),IF(AND(AU938="Y",AV938&lt;&gt;"Y"),"founder review pending (Founder review tab)","")))</f>
        <v/>
      </c>
      <c r="BC938" s="0" t="str">
        <f aca="false">IF($A938="","",IFERROR(INDEX(Enrichment!$A$2:$GZ$2000,MATCH($A938,INDEX(Enrichment!$A$2:$GZ$2000,0,MATCH("row_id",Enrichment!$A$1:$GZ$1,0)),0),MATCH("work_email",Enrichment!$A$1:$GZ$1,0))&amp;"",""))</f>
        <v/>
      </c>
      <c r="BD938" s="0" t="str">
        <f aca="false">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P938" s="0" t="str">
        <f aca="false">IF($A938="","",IFERROR(INDEX(Enrichment!$A$2:$GZ$2000,MATCH($A938,INDEX(Enrichment!$A$2:$GZ$2000,0,MATCH("row_id",Enrichment!$A$1:$GZ$1,0)),0),MATCH("backup_work_email",Enrichment!$A$1:$GZ$1,0))&amp;"",""))</f>
        <v/>
      </c>
      <c r="BQ938" s="0" t="str">
        <f aca="false">IF($A938="","",IF(BP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DU938" s="0" t="str">
        <f aca="false">IF($A938="","",IF(R938="Y",10,0))</f>
        <v/>
      </c>
      <c r="EV938" s="0" t="str">
        <f aca="false">IF($A938="","",IF(ISNUMBER(MATCH(U938,{"queued","contacted","replied","call_booked","call_done","yes_in_principle","materials_sent"},0)),"Y","N"))</f>
        <v/>
      </c>
      <c r="EW938" s="0" t="str">
        <f aca="false">IF($A938="","",IF(OR(T938="Y",U938="do_not_contact",AQ938&amp;""&lt;&gt;""),"Y","N"))</f>
        <v/>
      </c>
      <c r="EX938" s="0" t="str">
        <f aca="false">IF($A938="","",IF(AN938&amp;""&lt;&gt;"",AN938&amp;"",$A938))</f>
        <v/>
      </c>
      <c r="EY938" s="0" t="str">
        <f aca="false">IF($A938="","",IF(COUNTIFS($EX$2:$EX$1000,EX938,$EV$2:$EV$1000,"Y")+COUNTIFS($EX$2:$EX$1000,EX938,$EW$2:$EW$1000,"Y")&gt;0,"Y","N"))</f>
        <v/>
      </c>
      <c r="EZ938" s="0" t="str">
        <f aca="false">IF($A938="","",IF(AND(U938="new",T938="N",EW938="N",AR938="Y",EY938="N"),"Y","N"))</f>
        <v/>
      </c>
      <c r="FA938" s="0" t="str">
        <f aca="false">IF($A938="","",IF(EZ938&lt;&gt;"Y","N",IF(COUNTIFS($EX$2:$EX$1000,EX938,$EZ$2:$EZ$1000,"Y",$J$2:$J$1000,"&gt;"&amp;J938)+COUNTIFS($EX$2:$EX$1000,EX938,$EZ$2:$EZ$1000,"Y",$J$2:$J$1000,J938,$FG$2:$FG$1000,"&lt;"&amp;FG938)=0,"Y","N")))</f>
        <v/>
      </c>
      <c r="FB938" s="0" t="str">
        <f aca="false">IF($A938="","",IF(AND(EZ938="Y",FA938="Y",Y938&amp;""&lt;&gt;""),IF(Y938&lt;=10,"Y","N"),"N"))</f>
        <v/>
      </c>
      <c r="FC938" s="0" t="str">
        <f aca="false">IF(FB938="Y",Y938,"")</f>
        <v/>
      </c>
      <c r="FD938" s="0" t="str">
        <f aca="false">IF($A938="","",IF(AND(CK938="pass",AU938="Y",AV938&lt;&gt;"Y",U938="new",EW938="N"),"Y","N"))</f>
        <v/>
      </c>
      <c r="FE938" s="0" t="str">
        <f aca="false">IF(FD938&lt;&gt;"Y","",IF(COUNTIFS($FD$2:$FD$1000,"Y",$J$2:$J$1000,"&gt;"&amp;J938)+COUNTIFS($FD$2:$FD$1000,"Y",$J$2:$J$1000,J938,$FG$2:$FG$1000,"&lt;"&amp;FG938)+1&lt;=30,COUNTIFS($FD$2:$FD$1000,"Y",$J$2:$J$1000,"&gt;"&amp;J938)+COUNTIFS($FD$2:$FD$1000,"Y",$J$2:$J$1000,J938,$FG$2:$FG$1000,"&lt;"&amp;FG938)+1,""))</f>
        <v/>
      </c>
      <c r="FF938" s="0" t="str">
        <f aca="false">IF(AND(_xlfn.ISFORMULA(C938),_xlfn.ISFORMULA(J938)),"Y","N")</f>
        <v>Y</v>
      </c>
      <c r="FG938" s="0" t="n">
        <f aca="false">ROW()-1</f>
        <v>937</v>
      </c>
    </row>
    <row r="939" customFormat="false" ht="15" hidden="false" customHeight="false" outlineLevel="0" collapsed="false">
      <c r="C939" s="0" t="str">
        <f aca="false">IF($A939="","",IF(AT939="Y",BL939&amp;"",AY939&amp;""))</f>
        <v/>
      </c>
      <c r="D939" s="0" t="str">
        <f aca="false">IF($A939="","",IF(AT939="Y",BM939&amp;"",AZ939&amp;""))</f>
        <v/>
      </c>
      <c r="E939" s="0" t="str">
        <f aca="false">IF($A939="","",IF(AT939="Y",BN939&amp;"",BA939&amp;""))</f>
        <v/>
      </c>
      <c r="F939" s="0" t="str">
        <f aca="false">IF($A939="","",IF(AT939="Y",BO939&amp;"",BB939&amp;""))</f>
        <v/>
      </c>
      <c r="G939" s="0" t="str">
        <f aca="false">IF($A939="","",IF(AT939="Y",BP939&amp;"",BC939&amp;""))</f>
        <v/>
      </c>
      <c r="H939" s="0" t="str">
        <f aca="false">IF($A939="","",IF(AT939="Y",BQ939&amp;"",BD939&amp;""))</f>
        <v/>
      </c>
      <c r="I939" s="0" t="str">
        <f aca="false">IF($A939="","",IF(R939="Y","warm-intro",IF(H939="verified","email",IF(C939&lt;&gt;"","linkedin",CA939&amp;""))))</f>
        <v/>
      </c>
      <c r="J939" s="0" t="str">
        <f aca="false">IF($A939="","",IF(CK939="pass",ROUND(N(DO939)+N(DP939)+N(DQ939)+N(DR939)+N(DS939)+N(DT939)+N(DU939)+N(DV939),0),0))</f>
        <v/>
      </c>
      <c r="K939" s="0" t="str">
        <f aca="false">IF($A939="","",IF(CK939&lt;&gt;"pass",BY939&amp;"",BY939&amp;", "&amp;IF(AT939="Y",BX939&amp;"",BK939&amp;"")&amp;BZ939&amp;IF(R939="Y","; known to the founder (+10)","")&amp;"."))</f>
        <v/>
      </c>
      <c r="R939" s="5"/>
      <c r="T939" s="5"/>
      <c r="U939" s="5"/>
      <c r="Y939" s="0" t="str">
        <f aca="false">IF(FA939&lt;&gt;"Y","",COUNTIFS($FA$2:$FA$1000,"Y",$J$2:$J$1000,"&gt;"&amp;J939)+COUNTIFS($FA$2:$FA$1000,"Y",$J$2:$J$1000,J939,$FG$2:$FG$1000,"&lt;"&amp;FG939)+1)</f>
        <v/>
      </c>
      <c r="AB939" s="0" t="str">
        <f aca="false">IF($A939="","",IF(AT939="Y",BW939&amp;"",BJ939&amp;""))</f>
        <v/>
      </c>
      <c r="AC939" s="0" t="str">
        <f aca="false">IF($A939="","",IF(AT939="Y",BR939&amp;"",BE939&amp;""))</f>
        <v/>
      </c>
      <c r="AD939" s="0" t="str">
        <f aca="false">IF($A939="","",IF(AT939="Y",BS939&amp;"",BF939&amp;""))</f>
        <v/>
      </c>
      <c r="AE939" s="0" t="str">
        <f aca="false">IF($A939="","",IF(AT939="Y",BT939&amp;"",BG939&amp;""))</f>
        <v/>
      </c>
      <c r="AF939" s="0" t="str">
        <f aca="false">IF($A939="","",IF(AT939="Y",BU939&amp;"",BH939&amp;""))</f>
        <v/>
      </c>
      <c r="AG939" s="0" t="str">
        <f aca="false">IF($A939="","",IF(AT939="Y",BV939&amp;"",BI939&amp;""))</f>
        <v/>
      </c>
      <c r="AO939" s="5"/>
      <c r="AR939" s="0" t="str">
        <f aca="false">IF($A939="","",IF(AND(CK939="pass",AO939&lt;&gt;"Y",C939&lt;&gt;"",OR(AU939&lt;&gt;"Y",AV939="Y")),"Y","N"))</f>
        <v/>
      </c>
      <c r="AS939" s="0" t="str">
        <f aca="false">IF($A939="","",_xlfn.TEXTJOIN("; ",TRUE(),IF(CK939&lt;&gt;"pass","gated out",""),IF(AO939="Y","on hold: "&amp;AP939,""),IF(C939="","no contact named on an opened page",""),IF(AND(AU939="Y",AV939&lt;&gt;"Y"),"founder review pending (Founder review tab)","")))</f>
        <v/>
      </c>
      <c r="BC939" s="0" t="str">
        <f aca="false">IF($A939="","",IFERROR(INDEX(Enrichment!$A$2:$GZ$2000,MATCH($A939,INDEX(Enrichment!$A$2:$GZ$2000,0,MATCH("row_id",Enrichment!$A$1:$GZ$1,0)),0),MATCH("work_email",Enrichment!$A$1:$GZ$1,0))&amp;"",""))</f>
        <v/>
      </c>
      <c r="BD939" s="0" t="str">
        <f aca="false">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P939" s="0" t="str">
        <f aca="false">IF($A939="","",IFERROR(INDEX(Enrichment!$A$2:$GZ$2000,MATCH($A939,INDEX(Enrichment!$A$2:$GZ$2000,0,MATCH("row_id",Enrichment!$A$1:$GZ$1,0)),0),MATCH("backup_work_email",Enrichment!$A$1:$GZ$1,0))&amp;"",""))</f>
        <v/>
      </c>
      <c r="BQ939" s="0" t="str">
        <f aca="false">IF($A939="","",IF(BP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DU939" s="0" t="str">
        <f aca="false">IF($A939="","",IF(R939="Y",10,0))</f>
        <v/>
      </c>
      <c r="EV939" s="0" t="str">
        <f aca="false">IF($A939="","",IF(ISNUMBER(MATCH(U939,{"queued","contacted","replied","call_booked","call_done","yes_in_principle","materials_sent"},0)),"Y","N"))</f>
        <v/>
      </c>
      <c r="EW939" s="0" t="str">
        <f aca="false">IF($A939="","",IF(OR(T939="Y",U939="do_not_contact",AQ939&amp;""&lt;&gt;""),"Y","N"))</f>
        <v/>
      </c>
      <c r="EX939" s="0" t="str">
        <f aca="false">IF($A939="","",IF(AN939&amp;""&lt;&gt;"",AN939&amp;"",$A939))</f>
        <v/>
      </c>
      <c r="EY939" s="0" t="str">
        <f aca="false">IF($A939="","",IF(COUNTIFS($EX$2:$EX$1000,EX939,$EV$2:$EV$1000,"Y")+COUNTIFS($EX$2:$EX$1000,EX939,$EW$2:$EW$1000,"Y")&gt;0,"Y","N"))</f>
        <v/>
      </c>
      <c r="EZ939" s="0" t="str">
        <f aca="false">IF($A939="","",IF(AND(U939="new",T939="N",EW939="N",AR939="Y",EY939="N"),"Y","N"))</f>
        <v/>
      </c>
      <c r="FA939" s="0" t="str">
        <f aca="false">IF($A939="","",IF(EZ939&lt;&gt;"Y","N",IF(COUNTIFS($EX$2:$EX$1000,EX939,$EZ$2:$EZ$1000,"Y",$J$2:$J$1000,"&gt;"&amp;J939)+COUNTIFS($EX$2:$EX$1000,EX939,$EZ$2:$EZ$1000,"Y",$J$2:$J$1000,J939,$FG$2:$FG$1000,"&lt;"&amp;FG939)=0,"Y","N")))</f>
        <v/>
      </c>
      <c r="FB939" s="0" t="str">
        <f aca="false">IF($A939="","",IF(AND(EZ939="Y",FA939="Y",Y939&amp;""&lt;&gt;""),IF(Y939&lt;=10,"Y","N"),"N"))</f>
        <v/>
      </c>
      <c r="FC939" s="0" t="str">
        <f aca="false">IF(FB939="Y",Y939,"")</f>
        <v/>
      </c>
      <c r="FD939" s="0" t="str">
        <f aca="false">IF($A939="","",IF(AND(CK939="pass",AU939="Y",AV939&lt;&gt;"Y",U939="new",EW939="N"),"Y","N"))</f>
        <v/>
      </c>
      <c r="FE939" s="0" t="str">
        <f aca="false">IF(FD939&lt;&gt;"Y","",IF(COUNTIFS($FD$2:$FD$1000,"Y",$J$2:$J$1000,"&gt;"&amp;J939)+COUNTIFS($FD$2:$FD$1000,"Y",$J$2:$J$1000,J939,$FG$2:$FG$1000,"&lt;"&amp;FG939)+1&lt;=30,COUNTIFS($FD$2:$FD$1000,"Y",$J$2:$J$1000,"&gt;"&amp;J939)+COUNTIFS($FD$2:$FD$1000,"Y",$J$2:$J$1000,J939,$FG$2:$FG$1000,"&lt;"&amp;FG939)+1,""))</f>
        <v/>
      </c>
      <c r="FF939" s="0" t="str">
        <f aca="false">IF(AND(_xlfn.ISFORMULA(C939),_xlfn.ISFORMULA(J939)),"Y","N")</f>
        <v>Y</v>
      </c>
      <c r="FG939" s="0" t="n">
        <f aca="false">ROW()-1</f>
        <v>938</v>
      </c>
    </row>
    <row r="940" customFormat="false" ht="15" hidden="false" customHeight="false" outlineLevel="0" collapsed="false">
      <c r="C940" s="0" t="str">
        <f aca="false">IF($A940="","",IF(AT940="Y",BL940&amp;"",AY940&amp;""))</f>
        <v/>
      </c>
      <c r="D940" s="0" t="str">
        <f aca="false">IF($A940="","",IF(AT940="Y",BM940&amp;"",AZ940&amp;""))</f>
        <v/>
      </c>
      <c r="E940" s="0" t="str">
        <f aca="false">IF($A940="","",IF(AT940="Y",BN940&amp;"",BA940&amp;""))</f>
        <v/>
      </c>
      <c r="F940" s="0" t="str">
        <f aca="false">IF($A940="","",IF(AT940="Y",BO940&amp;"",BB940&amp;""))</f>
        <v/>
      </c>
      <c r="G940" s="0" t="str">
        <f aca="false">IF($A940="","",IF(AT940="Y",BP940&amp;"",BC940&amp;""))</f>
        <v/>
      </c>
      <c r="H940" s="0" t="str">
        <f aca="false">IF($A940="","",IF(AT940="Y",BQ940&amp;"",BD940&amp;""))</f>
        <v/>
      </c>
      <c r="I940" s="0" t="str">
        <f aca="false">IF($A940="","",IF(R940="Y","warm-intro",IF(H940="verified","email",IF(C940&lt;&gt;"","linkedin",CA940&amp;""))))</f>
        <v/>
      </c>
      <c r="J940" s="0" t="str">
        <f aca="false">IF($A940="","",IF(CK940="pass",ROUND(N(DO940)+N(DP940)+N(DQ940)+N(DR940)+N(DS940)+N(DT940)+N(DU940)+N(DV940),0),0))</f>
        <v/>
      </c>
      <c r="K940" s="0" t="str">
        <f aca="false">IF($A940="","",IF(CK940&lt;&gt;"pass",BY940&amp;"",BY940&amp;", "&amp;IF(AT940="Y",BX940&amp;"",BK940&amp;"")&amp;BZ940&amp;IF(R940="Y","; known to the founder (+10)","")&amp;"."))</f>
        <v/>
      </c>
      <c r="R940" s="5"/>
      <c r="T940" s="5"/>
      <c r="U940" s="5"/>
      <c r="Y940" s="0" t="str">
        <f aca="false">IF(FA940&lt;&gt;"Y","",COUNTIFS($FA$2:$FA$1000,"Y",$J$2:$J$1000,"&gt;"&amp;J940)+COUNTIFS($FA$2:$FA$1000,"Y",$J$2:$J$1000,J940,$FG$2:$FG$1000,"&lt;"&amp;FG940)+1)</f>
        <v/>
      </c>
      <c r="AB940" s="0" t="str">
        <f aca="false">IF($A940="","",IF(AT940="Y",BW940&amp;"",BJ940&amp;""))</f>
        <v/>
      </c>
      <c r="AC940" s="0" t="str">
        <f aca="false">IF($A940="","",IF(AT940="Y",BR940&amp;"",BE940&amp;""))</f>
        <v/>
      </c>
      <c r="AD940" s="0" t="str">
        <f aca="false">IF($A940="","",IF(AT940="Y",BS940&amp;"",BF940&amp;""))</f>
        <v/>
      </c>
      <c r="AE940" s="0" t="str">
        <f aca="false">IF($A940="","",IF(AT940="Y",BT940&amp;"",BG940&amp;""))</f>
        <v/>
      </c>
      <c r="AF940" s="0" t="str">
        <f aca="false">IF($A940="","",IF(AT940="Y",BU940&amp;"",BH940&amp;""))</f>
        <v/>
      </c>
      <c r="AG940" s="0" t="str">
        <f aca="false">IF($A940="","",IF(AT940="Y",BV940&amp;"",BI940&amp;""))</f>
        <v/>
      </c>
      <c r="AO940" s="5"/>
      <c r="AR940" s="0" t="str">
        <f aca="false">IF($A940="","",IF(AND(CK940="pass",AO940&lt;&gt;"Y",C940&lt;&gt;"",OR(AU940&lt;&gt;"Y",AV940="Y")),"Y","N"))</f>
        <v/>
      </c>
      <c r="AS940" s="0" t="str">
        <f aca="false">IF($A940="","",_xlfn.TEXTJOIN("; ",TRUE(),IF(CK940&lt;&gt;"pass","gated out",""),IF(AO940="Y","on hold: "&amp;AP940,""),IF(C940="","no contact named on an opened page",""),IF(AND(AU940="Y",AV940&lt;&gt;"Y"),"founder review pending (Founder review tab)","")))</f>
        <v/>
      </c>
      <c r="BC940" s="0" t="str">
        <f aca="false">IF($A940="","",IFERROR(INDEX(Enrichment!$A$2:$GZ$2000,MATCH($A940,INDEX(Enrichment!$A$2:$GZ$2000,0,MATCH("row_id",Enrichment!$A$1:$GZ$1,0)),0),MATCH("work_email",Enrichment!$A$1:$GZ$1,0))&amp;"",""))</f>
        <v/>
      </c>
      <c r="BD940" s="0" t="str">
        <f aca="false">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P940" s="0" t="str">
        <f aca="false">IF($A940="","",IFERROR(INDEX(Enrichment!$A$2:$GZ$2000,MATCH($A940,INDEX(Enrichment!$A$2:$GZ$2000,0,MATCH("row_id",Enrichment!$A$1:$GZ$1,0)),0),MATCH("backup_work_email",Enrichment!$A$1:$GZ$1,0))&amp;"",""))</f>
        <v/>
      </c>
      <c r="BQ940" s="0" t="str">
        <f aca="false">IF($A940="","",IF(BP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DU940" s="0" t="str">
        <f aca="false">IF($A940="","",IF(R940="Y",10,0))</f>
        <v/>
      </c>
      <c r="EV940" s="0" t="str">
        <f aca="false">IF($A940="","",IF(ISNUMBER(MATCH(U940,{"queued","contacted","replied","call_booked","call_done","yes_in_principle","materials_sent"},0)),"Y","N"))</f>
        <v/>
      </c>
      <c r="EW940" s="0" t="str">
        <f aca="false">IF($A940="","",IF(OR(T940="Y",U940="do_not_contact",AQ940&amp;""&lt;&gt;""),"Y","N"))</f>
        <v/>
      </c>
      <c r="EX940" s="0" t="str">
        <f aca="false">IF($A940="","",IF(AN940&amp;""&lt;&gt;"",AN940&amp;"",$A940))</f>
        <v/>
      </c>
      <c r="EY940" s="0" t="str">
        <f aca="false">IF($A940="","",IF(COUNTIFS($EX$2:$EX$1000,EX940,$EV$2:$EV$1000,"Y")+COUNTIFS($EX$2:$EX$1000,EX940,$EW$2:$EW$1000,"Y")&gt;0,"Y","N"))</f>
        <v/>
      </c>
      <c r="EZ940" s="0" t="str">
        <f aca="false">IF($A940="","",IF(AND(U940="new",T940="N",EW940="N",AR940="Y",EY940="N"),"Y","N"))</f>
        <v/>
      </c>
      <c r="FA940" s="0" t="str">
        <f aca="false">IF($A940="","",IF(EZ940&lt;&gt;"Y","N",IF(COUNTIFS($EX$2:$EX$1000,EX940,$EZ$2:$EZ$1000,"Y",$J$2:$J$1000,"&gt;"&amp;J940)+COUNTIFS($EX$2:$EX$1000,EX940,$EZ$2:$EZ$1000,"Y",$J$2:$J$1000,J940,$FG$2:$FG$1000,"&lt;"&amp;FG940)=0,"Y","N")))</f>
        <v/>
      </c>
      <c r="FB940" s="0" t="str">
        <f aca="false">IF($A940="","",IF(AND(EZ940="Y",FA940="Y",Y940&amp;""&lt;&gt;""),IF(Y940&lt;=10,"Y","N"),"N"))</f>
        <v/>
      </c>
      <c r="FC940" s="0" t="str">
        <f aca="false">IF(FB940="Y",Y940,"")</f>
        <v/>
      </c>
      <c r="FD940" s="0" t="str">
        <f aca="false">IF($A940="","",IF(AND(CK940="pass",AU940="Y",AV940&lt;&gt;"Y",U940="new",EW940="N"),"Y","N"))</f>
        <v/>
      </c>
      <c r="FE940" s="0" t="str">
        <f aca="false">IF(FD940&lt;&gt;"Y","",IF(COUNTIFS($FD$2:$FD$1000,"Y",$J$2:$J$1000,"&gt;"&amp;J940)+COUNTIFS($FD$2:$FD$1000,"Y",$J$2:$J$1000,J940,$FG$2:$FG$1000,"&lt;"&amp;FG940)+1&lt;=30,COUNTIFS($FD$2:$FD$1000,"Y",$J$2:$J$1000,"&gt;"&amp;J940)+COUNTIFS($FD$2:$FD$1000,"Y",$J$2:$J$1000,J940,$FG$2:$FG$1000,"&lt;"&amp;FG940)+1,""))</f>
        <v/>
      </c>
      <c r="FF940" s="0" t="str">
        <f aca="false">IF(AND(_xlfn.ISFORMULA(C940),_xlfn.ISFORMULA(J940)),"Y","N")</f>
        <v>Y</v>
      </c>
      <c r="FG940" s="0" t="n">
        <f aca="false">ROW()-1</f>
        <v>939</v>
      </c>
    </row>
    <row r="941" customFormat="false" ht="15" hidden="false" customHeight="false" outlineLevel="0" collapsed="false">
      <c r="C941" s="0" t="str">
        <f aca="false">IF($A941="","",IF(AT941="Y",BL941&amp;"",AY941&amp;""))</f>
        <v/>
      </c>
      <c r="D941" s="0" t="str">
        <f aca="false">IF($A941="","",IF(AT941="Y",BM941&amp;"",AZ941&amp;""))</f>
        <v/>
      </c>
      <c r="E941" s="0" t="str">
        <f aca="false">IF($A941="","",IF(AT941="Y",BN941&amp;"",BA941&amp;""))</f>
        <v/>
      </c>
      <c r="F941" s="0" t="str">
        <f aca="false">IF($A941="","",IF(AT941="Y",BO941&amp;"",BB941&amp;""))</f>
        <v/>
      </c>
      <c r="G941" s="0" t="str">
        <f aca="false">IF($A941="","",IF(AT941="Y",BP941&amp;"",BC941&amp;""))</f>
        <v/>
      </c>
      <c r="H941" s="0" t="str">
        <f aca="false">IF($A941="","",IF(AT941="Y",BQ941&amp;"",BD941&amp;""))</f>
        <v/>
      </c>
      <c r="I941" s="0" t="str">
        <f aca="false">IF($A941="","",IF(R941="Y","warm-intro",IF(H941="verified","email",IF(C941&lt;&gt;"","linkedin",CA941&amp;""))))</f>
        <v/>
      </c>
      <c r="J941" s="0" t="str">
        <f aca="false">IF($A941="","",IF(CK941="pass",ROUND(N(DO941)+N(DP941)+N(DQ941)+N(DR941)+N(DS941)+N(DT941)+N(DU941)+N(DV941),0),0))</f>
        <v/>
      </c>
      <c r="K941" s="0" t="str">
        <f aca="false">IF($A941="","",IF(CK941&lt;&gt;"pass",BY941&amp;"",BY941&amp;", "&amp;IF(AT941="Y",BX941&amp;"",BK941&amp;"")&amp;BZ941&amp;IF(R941="Y","; known to the founder (+10)","")&amp;"."))</f>
        <v/>
      </c>
      <c r="R941" s="5"/>
      <c r="T941" s="5"/>
      <c r="U941" s="5"/>
      <c r="Y941" s="0" t="str">
        <f aca="false">IF(FA941&lt;&gt;"Y","",COUNTIFS($FA$2:$FA$1000,"Y",$J$2:$J$1000,"&gt;"&amp;J941)+COUNTIFS($FA$2:$FA$1000,"Y",$J$2:$J$1000,J941,$FG$2:$FG$1000,"&lt;"&amp;FG941)+1)</f>
        <v/>
      </c>
      <c r="AB941" s="0" t="str">
        <f aca="false">IF($A941="","",IF(AT941="Y",BW941&amp;"",BJ941&amp;""))</f>
        <v/>
      </c>
      <c r="AC941" s="0" t="str">
        <f aca="false">IF($A941="","",IF(AT941="Y",BR941&amp;"",BE941&amp;""))</f>
        <v/>
      </c>
      <c r="AD941" s="0" t="str">
        <f aca="false">IF($A941="","",IF(AT941="Y",BS941&amp;"",BF941&amp;""))</f>
        <v/>
      </c>
      <c r="AE941" s="0" t="str">
        <f aca="false">IF($A941="","",IF(AT941="Y",BT941&amp;"",BG941&amp;""))</f>
        <v/>
      </c>
      <c r="AF941" s="0" t="str">
        <f aca="false">IF($A941="","",IF(AT941="Y",BU941&amp;"",BH941&amp;""))</f>
        <v/>
      </c>
      <c r="AG941" s="0" t="str">
        <f aca="false">IF($A941="","",IF(AT941="Y",BV941&amp;"",BI941&amp;""))</f>
        <v/>
      </c>
      <c r="AO941" s="5"/>
      <c r="AR941" s="0" t="str">
        <f aca="false">IF($A941="","",IF(AND(CK941="pass",AO941&lt;&gt;"Y",C941&lt;&gt;"",OR(AU941&lt;&gt;"Y",AV941="Y")),"Y","N"))</f>
        <v/>
      </c>
      <c r="AS941" s="0" t="str">
        <f aca="false">IF($A941="","",_xlfn.TEXTJOIN("; ",TRUE(),IF(CK941&lt;&gt;"pass","gated out",""),IF(AO941="Y","on hold: "&amp;AP941,""),IF(C941="","no contact named on an opened page",""),IF(AND(AU941="Y",AV941&lt;&gt;"Y"),"founder review pending (Founder review tab)","")))</f>
        <v/>
      </c>
      <c r="BC941" s="0" t="str">
        <f aca="false">IF($A941="","",IFERROR(INDEX(Enrichment!$A$2:$GZ$2000,MATCH($A941,INDEX(Enrichment!$A$2:$GZ$2000,0,MATCH("row_id",Enrichment!$A$1:$GZ$1,0)),0),MATCH("work_email",Enrichment!$A$1:$GZ$1,0))&amp;"",""))</f>
        <v/>
      </c>
      <c r="BD941" s="0" t="str">
        <f aca="false">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P941" s="0" t="str">
        <f aca="false">IF($A941="","",IFERROR(INDEX(Enrichment!$A$2:$GZ$2000,MATCH($A941,INDEX(Enrichment!$A$2:$GZ$2000,0,MATCH("row_id",Enrichment!$A$1:$GZ$1,0)),0),MATCH("backup_work_email",Enrichment!$A$1:$GZ$1,0))&amp;"",""))</f>
        <v/>
      </c>
      <c r="BQ941" s="0" t="str">
        <f aca="false">IF($A941="","",IF(BP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DU941" s="0" t="str">
        <f aca="false">IF($A941="","",IF(R941="Y",10,0))</f>
        <v/>
      </c>
      <c r="EV941" s="0" t="str">
        <f aca="false">IF($A941="","",IF(ISNUMBER(MATCH(U941,{"queued","contacted","replied","call_booked","call_done","yes_in_principle","materials_sent"},0)),"Y","N"))</f>
        <v/>
      </c>
      <c r="EW941" s="0" t="str">
        <f aca="false">IF($A941="","",IF(OR(T941="Y",U941="do_not_contact",AQ941&amp;""&lt;&gt;""),"Y","N"))</f>
        <v/>
      </c>
      <c r="EX941" s="0" t="str">
        <f aca="false">IF($A941="","",IF(AN941&amp;""&lt;&gt;"",AN941&amp;"",$A941))</f>
        <v/>
      </c>
      <c r="EY941" s="0" t="str">
        <f aca="false">IF($A941="","",IF(COUNTIFS($EX$2:$EX$1000,EX941,$EV$2:$EV$1000,"Y")+COUNTIFS($EX$2:$EX$1000,EX941,$EW$2:$EW$1000,"Y")&gt;0,"Y","N"))</f>
        <v/>
      </c>
      <c r="EZ941" s="0" t="str">
        <f aca="false">IF($A941="","",IF(AND(U941="new",T941="N",EW941="N",AR941="Y",EY941="N"),"Y","N"))</f>
        <v/>
      </c>
      <c r="FA941" s="0" t="str">
        <f aca="false">IF($A941="","",IF(EZ941&lt;&gt;"Y","N",IF(COUNTIFS($EX$2:$EX$1000,EX941,$EZ$2:$EZ$1000,"Y",$J$2:$J$1000,"&gt;"&amp;J941)+COUNTIFS($EX$2:$EX$1000,EX941,$EZ$2:$EZ$1000,"Y",$J$2:$J$1000,J941,$FG$2:$FG$1000,"&lt;"&amp;FG941)=0,"Y","N")))</f>
        <v/>
      </c>
      <c r="FB941" s="0" t="str">
        <f aca="false">IF($A941="","",IF(AND(EZ941="Y",FA941="Y",Y941&amp;""&lt;&gt;""),IF(Y941&lt;=10,"Y","N"),"N"))</f>
        <v/>
      </c>
      <c r="FC941" s="0" t="str">
        <f aca="false">IF(FB941="Y",Y941,"")</f>
        <v/>
      </c>
      <c r="FD941" s="0" t="str">
        <f aca="false">IF($A941="","",IF(AND(CK941="pass",AU941="Y",AV941&lt;&gt;"Y",U941="new",EW941="N"),"Y","N"))</f>
        <v/>
      </c>
      <c r="FE941" s="0" t="str">
        <f aca="false">IF(FD941&lt;&gt;"Y","",IF(COUNTIFS($FD$2:$FD$1000,"Y",$J$2:$J$1000,"&gt;"&amp;J941)+COUNTIFS($FD$2:$FD$1000,"Y",$J$2:$J$1000,J941,$FG$2:$FG$1000,"&lt;"&amp;FG941)+1&lt;=30,COUNTIFS($FD$2:$FD$1000,"Y",$J$2:$J$1000,"&gt;"&amp;J941)+COUNTIFS($FD$2:$FD$1000,"Y",$J$2:$J$1000,J941,$FG$2:$FG$1000,"&lt;"&amp;FG941)+1,""))</f>
        <v/>
      </c>
      <c r="FF941" s="0" t="str">
        <f aca="false">IF(AND(_xlfn.ISFORMULA(C941),_xlfn.ISFORMULA(J941)),"Y","N")</f>
        <v>Y</v>
      </c>
      <c r="FG941" s="0" t="n">
        <f aca="false">ROW()-1</f>
        <v>940</v>
      </c>
    </row>
    <row r="942" customFormat="false" ht="15" hidden="false" customHeight="false" outlineLevel="0" collapsed="false">
      <c r="C942" s="0" t="str">
        <f aca="false">IF($A942="","",IF(AT942="Y",BL942&amp;"",AY942&amp;""))</f>
        <v/>
      </c>
      <c r="D942" s="0" t="str">
        <f aca="false">IF($A942="","",IF(AT942="Y",BM942&amp;"",AZ942&amp;""))</f>
        <v/>
      </c>
      <c r="E942" s="0" t="str">
        <f aca="false">IF($A942="","",IF(AT942="Y",BN942&amp;"",BA942&amp;""))</f>
        <v/>
      </c>
      <c r="F942" s="0" t="str">
        <f aca="false">IF($A942="","",IF(AT942="Y",BO942&amp;"",BB942&amp;""))</f>
        <v/>
      </c>
      <c r="G942" s="0" t="str">
        <f aca="false">IF($A942="","",IF(AT942="Y",BP942&amp;"",BC942&amp;""))</f>
        <v/>
      </c>
      <c r="H942" s="0" t="str">
        <f aca="false">IF($A942="","",IF(AT942="Y",BQ942&amp;"",BD942&amp;""))</f>
        <v/>
      </c>
      <c r="I942" s="0" t="str">
        <f aca="false">IF($A942="","",IF(R942="Y","warm-intro",IF(H942="verified","email",IF(C942&lt;&gt;"","linkedin",CA942&amp;""))))</f>
        <v/>
      </c>
      <c r="J942" s="0" t="str">
        <f aca="false">IF($A942="","",IF(CK942="pass",ROUND(N(DO942)+N(DP942)+N(DQ942)+N(DR942)+N(DS942)+N(DT942)+N(DU942)+N(DV942),0),0))</f>
        <v/>
      </c>
      <c r="K942" s="0" t="str">
        <f aca="false">IF($A942="","",IF(CK942&lt;&gt;"pass",BY942&amp;"",BY942&amp;", "&amp;IF(AT942="Y",BX942&amp;"",BK942&amp;"")&amp;BZ942&amp;IF(R942="Y","; known to the founder (+10)","")&amp;"."))</f>
        <v/>
      </c>
      <c r="R942" s="5"/>
      <c r="T942" s="5"/>
      <c r="U942" s="5"/>
      <c r="Y942" s="0" t="str">
        <f aca="false">IF(FA942&lt;&gt;"Y","",COUNTIFS($FA$2:$FA$1000,"Y",$J$2:$J$1000,"&gt;"&amp;J942)+COUNTIFS($FA$2:$FA$1000,"Y",$J$2:$J$1000,J942,$FG$2:$FG$1000,"&lt;"&amp;FG942)+1)</f>
        <v/>
      </c>
      <c r="AB942" s="0" t="str">
        <f aca="false">IF($A942="","",IF(AT942="Y",BW942&amp;"",BJ942&amp;""))</f>
        <v/>
      </c>
      <c r="AC942" s="0" t="str">
        <f aca="false">IF($A942="","",IF(AT942="Y",BR942&amp;"",BE942&amp;""))</f>
        <v/>
      </c>
      <c r="AD942" s="0" t="str">
        <f aca="false">IF($A942="","",IF(AT942="Y",BS942&amp;"",BF942&amp;""))</f>
        <v/>
      </c>
      <c r="AE942" s="0" t="str">
        <f aca="false">IF($A942="","",IF(AT942="Y",BT942&amp;"",BG942&amp;""))</f>
        <v/>
      </c>
      <c r="AF942" s="0" t="str">
        <f aca="false">IF($A942="","",IF(AT942="Y",BU942&amp;"",BH942&amp;""))</f>
        <v/>
      </c>
      <c r="AG942" s="0" t="str">
        <f aca="false">IF($A942="","",IF(AT942="Y",BV942&amp;"",BI942&amp;""))</f>
        <v/>
      </c>
      <c r="AO942" s="5"/>
      <c r="AR942" s="0" t="str">
        <f aca="false">IF($A942="","",IF(AND(CK942="pass",AO942&lt;&gt;"Y",C942&lt;&gt;"",OR(AU942&lt;&gt;"Y",AV942="Y")),"Y","N"))</f>
        <v/>
      </c>
      <c r="AS942" s="0" t="str">
        <f aca="false">IF($A942="","",_xlfn.TEXTJOIN("; ",TRUE(),IF(CK942&lt;&gt;"pass","gated out",""),IF(AO942="Y","on hold: "&amp;AP942,""),IF(C942="","no contact named on an opened page",""),IF(AND(AU942="Y",AV942&lt;&gt;"Y"),"founder review pending (Founder review tab)","")))</f>
        <v/>
      </c>
      <c r="BC942" s="0" t="str">
        <f aca="false">IF($A942="","",IFERROR(INDEX(Enrichment!$A$2:$GZ$2000,MATCH($A942,INDEX(Enrichment!$A$2:$GZ$2000,0,MATCH("row_id",Enrichment!$A$1:$GZ$1,0)),0),MATCH("work_email",Enrichment!$A$1:$GZ$1,0))&amp;"",""))</f>
        <v/>
      </c>
      <c r="BD942" s="0" t="str">
        <f aca="false">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P942" s="0" t="str">
        <f aca="false">IF($A942="","",IFERROR(INDEX(Enrichment!$A$2:$GZ$2000,MATCH($A942,INDEX(Enrichment!$A$2:$GZ$2000,0,MATCH("row_id",Enrichment!$A$1:$GZ$1,0)),0),MATCH("backup_work_email",Enrichment!$A$1:$GZ$1,0))&amp;"",""))</f>
        <v/>
      </c>
      <c r="BQ942" s="0" t="str">
        <f aca="false">IF($A942="","",IF(BP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DU942" s="0" t="str">
        <f aca="false">IF($A942="","",IF(R942="Y",10,0))</f>
        <v/>
      </c>
      <c r="EV942" s="0" t="str">
        <f aca="false">IF($A942="","",IF(ISNUMBER(MATCH(U942,{"queued","contacted","replied","call_booked","call_done","yes_in_principle","materials_sent"},0)),"Y","N"))</f>
        <v/>
      </c>
      <c r="EW942" s="0" t="str">
        <f aca="false">IF($A942="","",IF(OR(T942="Y",U942="do_not_contact",AQ942&amp;""&lt;&gt;""),"Y","N"))</f>
        <v/>
      </c>
      <c r="EX942" s="0" t="str">
        <f aca="false">IF($A942="","",IF(AN942&amp;""&lt;&gt;"",AN942&amp;"",$A942))</f>
        <v/>
      </c>
      <c r="EY942" s="0" t="str">
        <f aca="false">IF($A942="","",IF(COUNTIFS($EX$2:$EX$1000,EX942,$EV$2:$EV$1000,"Y")+COUNTIFS($EX$2:$EX$1000,EX942,$EW$2:$EW$1000,"Y")&gt;0,"Y","N"))</f>
        <v/>
      </c>
      <c r="EZ942" s="0" t="str">
        <f aca="false">IF($A942="","",IF(AND(U942="new",T942="N",EW942="N",AR942="Y",EY942="N"),"Y","N"))</f>
        <v/>
      </c>
      <c r="FA942" s="0" t="str">
        <f aca="false">IF($A942="","",IF(EZ942&lt;&gt;"Y","N",IF(COUNTIFS($EX$2:$EX$1000,EX942,$EZ$2:$EZ$1000,"Y",$J$2:$J$1000,"&gt;"&amp;J942)+COUNTIFS($EX$2:$EX$1000,EX942,$EZ$2:$EZ$1000,"Y",$J$2:$J$1000,J942,$FG$2:$FG$1000,"&lt;"&amp;FG942)=0,"Y","N")))</f>
        <v/>
      </c>
      <c r="FB942" s="0" t="str">
        <f aca="false">IF($A942="","",IF(AND(EZ942="Y",FA942="Y",Y942&amp;""&lt;&gt;""),IF(Y942&lt;=10,"Y","N"),"N"))</f>
        <v/>
      </c>
      <c r="FC942" s="0" t="str">
        <f aca="false">IF(FB942="Y",Y942,"")</f>
        <v/>
      </c>
      <c r="FD942" s="0" t="str">
        <f aca="false">IF($A942="","",IF(AND(CK942="pass",AU942="Y",AV942&lt;&gt;"Y",U942="new",EW942="N"),"Y","N"))</f>
        <v/>
      </c>
      <c r="FE942" s="0" t="str">
        <f aca="false">IF(FD942&lt;&gt;"Y","",IF(COUNTIFS($FD$2:$FD$1000,"Y",$J$2:$J$1000,"&gt;"&amp;J942)+COUNTIFS($FD$2:$FD$1000,"Y",$J$2:$J$1000,J942,$FG$2:$FG$1000,"&lt;"&amp;FG942)+1&lt;=30,COUNTIFS($FD$2:$FD$1000,"Y",$J$2:$J$1000,"&gt;"&amp;J942)+COUNTIFS($FD$2:$FD$1000,"Y",$J$2:$J$1000,J942,$FG$2:$FG$1000,"&lt;"&amp;FG942)+1,""))</f>
        <v/>
      </c>
      <c r="FF942" s="0" t="str">
        <f aca="false">IF(AND(_xlfn.ISFORMULA(C942),_xlfn.ISFORMULA(J942)),"Y","N")</f>
        <v>Y</v>
      </c>
      <c r="FG942" s="0" t="n">
        <f aca="false">ROW()-1</f>
        <v>941</v>
      </c>
    </row>
    <row r="943" customFormat="false" ht="15" hidden="false" customHeight="false" outlineLevel="0" collapsed="false">
      <c r="C943" s="0" t="str">
        <f aca="false">IF($A943="","",IF(AT943="Y",BL943&amp;"",AY943&amp;""))</f>
        <v/>
      </c>
      <c r="D943" s="0" t="str">
        <f aca="false">IF($A943="","",IF(AT943="Y",BM943&amp;"",AZ943&amp;""))</f>
        <v/>
      </c>
      <c r="E943" s="0" t="str">
        <f aca="false">IF($A943="","",IF(AT943="Y",BN943&amp;"",BA943&amp;""))</f>
        <v/>
      </c>
      <c r="F943" s="0" t="str">
        <f aca="false">IF($A943="","",IF(AT943="Y",BO943&amp;"",BB943&amp;""))</f>
        <v/>
      </c>
      <c r="G943" s="0" t="str">
        <f aca="false">IF($A943="","",IF(AT943="Y",BP943&amp;"",BC943&amp;""))</f>
        <v/>
      </c>
      <c r="H943" s="0" t="str">
        <f aca="false">IF($A943="","",IF(AT943="Y",BQ943&amp;"",BD943&amp;""))</f>
        <v/>
      </c>
      <c r="I943" s="0" t="str">
        <f aca="false">IF($A943="","",IF(R943="Y","warm-intro",IF(H943="verified","email",IF(C943&lt;&gt;"","linkedin",CA943&amp;""))))</f>
        <v/>
      </c>
      <c r="J943" s="0" t="str">
        <f aca="false">IF($A943="","",IF(CK943="pass",ROUND(N(DO943)+N(DP943)+N(DQ943)+N(DR943)+N(DS943)+N(DT943)+N(DU943)+N(DV943),0),0))</f>
        <v/>
      </c>
      <c r="K943" s="0" t="str">
        <f aca="false">IF($A943="","",IF(CK943&lt;&gt;"pass",BY943&amp;"",BY943&amp;", "&amp;IF(AT943="Y",BX943&amp;"",BK943&amp;"")&amp;BZ943&amp;IF(R943="Y","; known to the founder (+10)","")&amp;"."))</f>
        <v/>
      </c>
      <c r="R943" s="5"/>
      <c r="T943" s="5"/>
      <c r="U943" s="5"/>
      <c r="Y943" s="0" t="str">
        <f aca="false">IF(FA943&lt;&gt;"Y","",COUNTIFS($FA$2:$FA$1000,"Y",$J$2:$J$1000,"&gt;"&amp;J943)+COUNTIFS($FA$2:$FA$1000,"Y",$J$2:$J$1000,J943,$FG$2:$FG$1000,"&lt;"&amp;FG943)+1)</f>
        <v/>
      </c>
      <c r="AB943" s="0" t="str">
        <f aca="false">IF($A943="","",IF(AT943="Y",BW943&amp;"",BJ943&amp;""))</f>
        <v/>
      </c>
      <c r="AC943" s="0" t="str">
        <f aca="false">IF($A943="","",IF(AT943="Y",BR943&amp;"",BE943&amp;""))</f>
        <v/>
      </c>
      <c r="AD943" s="0" t="str">
        <f aca="false">IF($A943="","",IF(AT943="Y",BS943&amp;"",BF943&amp;""))</f>
        <v/>
      </c>
      <c r="AE943" s="0" t="str">
        <f aca="false">IF($A943="","",IF(AT943="Y",BT943&amp;"",BG943&amp;""))</f>
        <v/>
      </c>
      <c r="AF943" s="0" t="str">
        <f aca="false">IF($A943="","",IF(AT943="Y",BU943&amp;"",BH943&amp;""))</f>
        <v/>
      </c>
      <c r="AG943" s="0" t="str">
        <f aca="false">IF($A943="","",IF(AT943="Y",BV943&amp;"",BI943&amp;""))</f>
        <v/>
      </c>
      <c r="AO943" s="5"/>
      <c r="AR943" s="0" t="str">
        <f aca="false">IF($A943="","",IF(AND(CK943="pass",AO943&lt;&gt;"Y",C943&lt;&gt;"",OR(AU943&lt;&gt;"Y",AV943="Y")),"Y","N"))</f>
        <v/>
      </c>
      <c r="AS943" s="0" t="str">
        <f aca="false">IF($A943="","",_xlfn.TEXTJOIN("; ",TRUE(),IF(CK943&lt;&gt;"pass","gated out",""),IF(AO943="Y","on hold: "&amp;AP943,""),IF(C943="","no contact named on an opened page",""),IF(AND(AU943="Y",AV943&lt;&gt;"Y"),"founder review pending (Founder review tab)","")))</f>
        <v/>
      </c>
      <c r="BC943" s="0" t="str">
        <f aca="false">IF($A943="","",IFERROR(INDEX(Enrichment!$A$2:$GZ$2000,MATCH($A943,INDEX(Enrichment!$A$2:$GZ$2000,0,MATCH("row_id",Enrichment!$A$1:$GZ$1,0)),0),MATCH("work_email",Enrichment!$A$1:$GZ$1,0))&amp;"",""))</f>
        <v/>
      </c>
      <c r="BD943" s="0" t="str">
        <f aca="false">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P943" s="0" t="str">
        <f aca="false">IF($A943="","",IFERROR(INDEX(Enrichment!$A$2:$GZ$2000,MATCH($A943,INDEX(Enrichment!$A$2:$GZ$2000,0,MATCH("row_id",Enrichment!$A$1:$GZ$1,0)),0),MATCH("backup_work_email",Enrichment!$A$1:$GZ$1,0))&amp;"",""))</f>
        <v/>
      </c>
      <c r="BQ943" s="0" t="str">
        <f aca="false">IF($A943="","",IF(BP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DU943" s="0" t="str">
        <f aca="false">IF($A943="","",IF(R943="Y",10,0))</f>
        <v/>
      </c>
      <c r="EV943" s="0" t="str">
        <f aca="false">IF($A943="","",IF(ISNUMBER(MATCH(U943,{"queued","contacted","replied","call_booked","call_done","yes_in_principle","materials_sent"},0)),"Y","N"))</f>
        <v/>
      </c>
      <c r="EW943" s="0" t="str">
        <f aca="false">IF($A943="","",IF(OR(T943="Y",U943="do_not_contact",AQ943&amp;""&lt;&gt;""),"Y","N"))</f>
        <v/>
      </c>
      <c r="EX943" s="0" t="str">
        <f aca="false">IF($A943="","",IF(AN943&amp;""&lt;&gt;"",AN943&amp;"",$A943))</f>
        <v/>
      </c>
      <c r="EY943" s="0" t="str">
        <f aca="false">IF($A943="","",IF(COUNTIFS($EX$2:$EX$1000,EX943,$EV$2:$EV$1000,"Y")+COUNTIFS($EX$2:$EX$1000,EX943,$EW$2:$EW$1000,"Y")&gt;0,"Y","N"))</f>
        <v/>
      </c>
      <c r="EZ943" s="0" t="str">
        <f aca="false">IF($A943="","",IF(AND(U943="new",T943="N",EW943="N",AR943="Y",EY943="N"),"Y","N"))</f>
        <v/>
      </c>
      <c r="FA943" s="0" t="str">
        <f aca="false">IF($A943="","",IF(EZ943&lt;&gt;"Y","N",IF(COUNTIFS($EX$2:$EX$1000,EX943,$EZ$2:$EZ$1000,"Y",$J$2:$J$1000,"&gt;"&amp;J943)+COUNTIFS($EX$2:$EX$1000,EX943,$EZ$2:$EZ$1000,"Y",$J$2:$J$1000,J943,$FG$2:$FG$1000,"&lt;"&amp;FG943)=0,"Y","N")))</f>
        <v/>
      </c>
      <c r="FB943" s="0" t="str">
        <f aca="false">IF($A943="","",IF(AND(EZ943="Y",FA943="Y",Y943&amp;""&lt;&gt;""),IF(Y943&lt;=10,"Y","N"),"N"))</f>
        <v/>
      </c>
      <c r="FC943" s="0" t="str">
        <f aca="false">IF(FB943="Y",Y943,"")</f>
        <v/>
      </c>
      <c r="FD943" s="0" t="str">
        <f aca="false">IF($A943="","",IF(AND(CK943="pass",AU943="Y",AV943&lt;&gt;"Y",U943="new",EW943="N"),"Y","N"))</f>
        <v/>
      </c>
      <c r="FE943" s="0" t="str">
        <f aca="false">IF(FD943&lt;&gt;"Y","",IF(COUNTIFS($FD$2:$FD$1000,"Y",$J$2:$J$1000,"&gt;"&amp;J943)+COUNTIFS($FD$2:$FD$1000,"Y",$J$2:$J$1000,J943,$FG$2:$FG$1000,"&lt;"&amp;FG943)+1&lt;=30,COUNTIFS($FD$2:$FD$1000,"Y",$J$2:$J$1000,"&gt;"&amp;J943)+COUNTIFS($FD$2:$FD$1000,"Y",$J$2:$J$1000,J943,$FG$2:$FG$1000,"&lt;"&amp;FG943)+1,""))</f>
        <v/>
      </c>
      <c r="FF943" s="0" t="str">
        <f aca="false">IF(AND(_xlfn.ISFORMULA(C943),_xlfn.ISFORMULA(J943)),"Y","N")</f>
        <v>Y</v>
      </c>
      <c r="FG943" s="0" t="n">
        <f aca="false">ROW()-1</f>
        <v>942</v>
      </c>
    </row>
    <row r="944" customFormat="false" ht="15" hidden="false" customHeight="false" outlineLevel="0" collapsed="false">
      <c r="C944" s="0" t="str">
        <f aca="false">IF($A944="","",IF(AT944="Y",BL944&amp;"",AY944&amp;""))</f>
        <v/>
      </c>
      <c r="D944" s="0" t="str">
        <f aca="false">IF($A944="","",IF(AT944="Y",BM944&amp;"",AZ944&amp;""))</f>
        <v/>
      </c>
      <c r="E944" s="0" t="str">
        <f aca="false">IF($A944="","",IF(AT944="Y",BN944&amp;"",BA944&amp;""))</f>
        <v/>
      </c>
      <c r="F944" s="0" t="str">
        <f aca="false">IF($A944="","",IF(AT944="Y",BO944&amp;"",BB944&amp;""))</f>
        <v/>
      </c>
      <c r="G944" s="0" t="str">
        <f aca="false">IF($A944="","",IF(AT944="Y",BP944&amp;"",BC944&amp;""))</f>
        <v/>
      </c>
      <c r="H944" s="0" t="str">
        <f aca="false">IF($A944="","",IF(AT944="Y",BQ944&amp;"",BD944&amp;""))</f>
        <v/>
      </c>
      <c r="I944" s="0" t="str">
        <f aca="false">IF($A944="","",IF(R944="Y","warm-intro",IF(H944="verified","email",IF(C944&lt;&gt;"","linkedin",CA944&amp;""))))</f>
        <v/>
      </c>
      <c r="J944" s="0" t="str">
        <f aca="false">IF($A944="","",IF(CK944="pass",ROUND(N(DO944)+N(DP944)+N(DQ944)+N(DR944)+N(DS944)+N(DT944)+N(DU944)+N(DV944),0),0))</f>
        <v/>
      </c>
      <c r="K944" s="0" t="str">
        <f aca="false">IF($A944="","",IF(CK944&lt;&gt;"pass",BY944&amp;"",BY944&amp;", "&amp;IF(AT944="Y",BX944&amp;"",BK944&amp;"")&amp;BZ944&amp;IF(R944="Y","; known to the founder (+10)","")&amp;"."))</f>
        <v/>
      </c>
      <c r="R944" s="5"/>
      <c r="T944" s="5"/>
      <c r="U944" s="5"/>
      <c r="Y944" s="0" t="str">
        <f aca="false">IF(FA944&lt;&gt;"Y","",COUNTIFS($FA$2:$FA$1000,"Y",$J$2:$J$1000,"&gt;"&amp;J944)+COUNTIFS($FA$2:$FA$1000,"Y",$J$2:$J$1000,J944,$FG$2:$FG$1000,"&lt;"&amp;FG944)+1)</f>
        <v/>
      </c>
      <c r="AB944" s="0" t="str">
        <f aca="false">IF($A944="","",IF(AT944="Y",BW944&amp;"",BJ944&amp;""))</f>
        <v/>
      </c>
      <c r="AC944" s="0" t="str">
        <f aca="false">IF($A944="","",IF(AT944="Y",BR944&amp;"",BE944&amp;""))</f>
        <v/>
      </c>
      <c r="AD944" s="0" t="str">
        <f aca="false">IF($A944="","",IF(AT944="Y",BS944&amp;"",BF944&amp;""))</f>
        <v/>
      </c>
      <c r="AE944" s="0" t="str">
        <f aca="false">IF($A944="","",IF(AT944="Y",BT944&amp;"",BG944&amp;""))</f>
        <v/>
      </c>
      <c r="AF944" s="0" t="str">
        <f aca="false">IF($A944="","",IF(AT944="Y",BU944&amp;"",BH944&amp;""))</f>
        <v/>
      </c>
      <c r="AG944" s="0" t="str">
        <f aca="false">IF($A944="","",IF(AT944="Y",BV944&amp;"",BI944&amp;""))</f>
        <v/>
      </c>
      <c r="AO944" s="5"/>
      <c r="AR944" s="0" t="str">
        <f aca="false">IF($A944="","",IF(AND(CK944="pass",AO944&lt;&gt;"Y",C944&lt;&gt;"",OR(AU944&lt;&gt;"Y",AV944="Y")),"Y","N"))</f>
        <v/>
      </c>
      <c r="AS944" s="0" t="str">
        <f aca="false">IF($A944="","",_xlfn.TEXTJOIN("; ",TRUE(),IF(CK944&lt;&gt;"pass","gated out",""),IF(AO944="Y","on hold: "&amp;AP944,""),IF(C944="","no contact named on an opened page",""),IF(AND(AU944="Y",AV944&lt;&gt;"Y"),"founder review pending (Founder review tab)","")))</f>
        <v/>
      </c>
      <c r="BC944" s="0" t="str">
        <f aca="false">IF($A944="","",IFERROR(INDEX(Enrichment!$A$2:$GZ$2000,MATCH($A944,INDEX(Enrichment!$A$2:$GZ$2000,0,MATCH("row_id",Enrichment!$A$1:$GZ$1,0)),0),MATCH("work_email",Enrichment!$A$1:$GZ$1,0))&amp;"",""))</f>
        <v/>
      </c>
      <c r="BD944" s="0" t="str">
        <f aca="false">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P944" s="0" t="str">
        <f aca="false">IF($A944="","",IFERROR(INDEX(Enrichment!$A$2:$GZ$2000,MATCH($A944,INDEX(Enrichment!$A$2:$GZ$2000,0,MATCH("row_id",Enrichment!$A$1:$GZ$1,0)),0),MATCH("backup_work_email",Enrichment!$A$1:$GZ$1,0))&amp;"",""))</f>
        <v/>
      </c>
      <c r="BQ944" s="0" t="str">
        <f aca="false">IF($A944="","",IF(BP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DU944" s="0" t="str">
        <f aca="false">IF($A944="","",IF(R944="Y",10,0))</f>
        <v/>
      </c>
      <c r="EV944" s="0" t="str">
        <f aca="false">IF($A944="","",IF(ISNUMBER(MATCH(U944,{"queued","contacted","replied","call_booked","call_done","yes_in_principle","materials_sent"},0)),"Y","N"))</f>
        <v/>
      </c>
      <c r="EW944" s="0" t="str">
        <f aca="false">IF($A944="","",IF(OR(T944="Y",U944="do_not_contact",AQ944&amp;""&lt;&gt;""),"Y","N"))</f>
        <v/>
      </c>
      <c r="EX944" s="0" t="str">
        <f aca="false">IF($A944="","",IF(AN944&amp;""&lt;&gt;"",AN944&amp;"",$A944))</f>
        <v/>
      </c>
      <c r="EY944" s="0" t="str">
        <f aca="false">IF($A944="","",IF(COUNTIFS($EX$2:$EX$1000,EX944,$EV$2:$EV$1000,"Y")+COUNTIFS($EX$2:$EX$1000,EX944,$EW$2:$EW$1000,"Y")&gt;0,"Y","N"))</f>
        <v/>
      </c>
      <c r="EZ944" s="0" t="str">
        <f aca="false">IF($A944="","",IF(AND(U944="new",T944="N",EW944="N",AR944="Y",EY944="N"),"Y","N"))</f>
        <v/>
      </c>
      <c r="FA944" s="0" t="str">
        <f aca="false">IF($A944="","",IF(EZ944&lt;&gt;"Y","N",IF(COUNTIFS($EX$2:$EX$1000,EX944,$EZ$2:$EZ$1000,"Y",$J$2:$J$1000,"&gt;"&amp;J944)+COUNTIFS($EX$2:$EX$1000,EX944,$EZ$2:$EZ$1000,"Y",$J$2:$J$1000,J944,$FG$2:$FG$1000,"&lt;"&amp;FG944)=0,"Y","N")))</f>
        <v/>
      </c>
      <c r="FB944" s="0" t="str">
        <f aca="false">IF($A944="","",IF(AND(EZ944="Y",FA944="Y",Y944&amp;""&lt;&gt;""),IF(Y944&lt;=10,"Y","N"),"N"))</f>
        <v/>
      </c>
      <c r="FC944" s="0" t="str">
        <f aca="false">IF(FB944="Y",Y944,"")</f>
        <v/>
      </c>
      <c r="FD944" s="0" t="str">
        <f aca="false">IF($A944="","",IF(AND(CK944="pass",AU944="Y",AV944&lt;&gt;"Y",U944="new",EW944="N"),"Y","N"))</f>
        <v/>
      </c>
      <c r="FE944" s="0" t="str">
        <f aca="false">IF(FD944&lt;&gt;"Y","",IF(COUNTIFS($FD$2:$FD$1000,"Y",$J$2:$J$1000,"&gt;"&amp;J944)+COUNTIFS($FD$2:$FD$1000,"Y",$J$2:$J$1000,J944,$FG$2:$FG$1000,"&lt;"&amp;FG944)+1&lt;=30,COUNTIFS($FD$2:$FD$1000,"Y",$J$2:$J$1000,"&gt;"&amp;J944)+COUNTIFS($FD$2:$FD$1000,"Y",$J$2:$J$1000,J944,$FG$2:$FG$1000,"&lt;"&amp;FG944)+1,""))</f>
        <v/>
      </c>
      <c r="FF944" s="0" t="str">
        <f aca="false">IF(AND(_xlfn.ISFORMULA(C944),_xlfn.ISFORMULA(J944)),"Y","N")</f>
        <v>Y</v>
      </c>
      <c r="FG944" s="0" t="n">
        <f aca="false">ROW()-1</f>
        <v>943</v>
      </c>
    </row>
    <row r="945" customFormat="false" ht="15" hidden="false" customHeight="false" outlineLevel="0" collapsed="false">
      <c r="C945" s="0" t="str">
        <f aca="false">IF($A945="","",IF(AT945="Y",BL945&amp;"",AY945&amp;""))</f>
        <v/>
      </c>
      <c r="D945" s="0" t="str">
        <f aca="false">IF($A945="","",IF(AT945="Y",BM945&amp;"",AZ945&amp;""))</f>
        <v/>
      </c>
      <c r="E945" s="0" t="str">
        <f aca="false">IF($A945="","",IF(AT945="Y",BN945&amp;"",BA945&amp;""))</f>
        <v/>
      </c>
      <c r="F945" s="0" t="str">
        <f aca="false">IF($A945="","",IF(AT945="Y",BO945&amp;"",BB945&amp;""))</f>
        <v/>
      </c>
      <c r="G945" s="0" t="str">
        <f aca="false">IF($A945="","",IF(AT945="Y",BP945&amp;"",BC945&amp;""))</f>
        <v/>
      </c>
      <c r="H945" s="0" t="str">
        <f aca="false">IF($A945="","",IF(AT945="Y",BQ945&amp;"",BD945&amp;""))</f>
        <v/>
      </c>
      <c r="I945" s="0" t="str">
        <f aca="false">IF($A945="","",IF(R945="Y","warm-intro",IF(H945="verified","email",IF(C945&lt;&gt;"","linkedin",CA945&amp;""))))</f>
        <v/>
      </c>
      <c r="J945" s="0" t="str">
        <f aca="false">IF($A945="","",IF(CK945="pass",ROUND(N(DO945)+N(DP945)+N(DQ945)+N(DR945)+N(DS945)+N(DT945)+N(DU945)+N(DV945),0),0))</f>
        <v/>
      </c>
      <c r="K945" s="0" t="str">
        <f aca="false">IF($A945="","",IF(CK945&lt;&gt;"pass",BY945&amp;"",BY945&amp;", "&amp;IF(AT945="Y",BX945&amp;"",BK945&amp;"")&amp;BZ945&amp;IF(R945="Y","; known to the founder (+10)","")&amp;"."))</f>
        <v/>
      </c>
      <c r="R945" s="5"/>
      <c r="T945" s="5"/>
      <c r="U945" s="5"/>
      <c r="Y945" s="0" t="str">
        <f aca="false">IF(FA945&lt;&gt;"Y","",COUNTIFS($FA$2:$FA$1000,"Y",$J$2:$J$1000,"&gt;"&amp;J945)+COUNTIFS($FA$2:$FA$1000,"Y",$J$2:$J$1000,J945,$FG$2:$FG$1000,"&lt;"&amp;FG945)+1)</f>
        <v/>
      </c>
      <c r="AB945" s="0" t="str">
        <f aca="false">IF($A945="","",IF(AT945="Y",BW945&amp;"",BJ945&amp;""))</f>
        <v/>
      </c>
      <c r="AC945" s="0" t="str">
        <f aca="false">IF($A945="","",IF(AT945="Y",BR945&amp;"",BE945&amp;""))</f>
        <v/>
      </c>
      <c r="AD945" s="0" t="str">
        <f aca="false">IF($A945="","",IF(AT945="Y",BS945&amp;"",BF945&amp;""))</f>
        <v/>
      </c>
      <c r="AE945" s="0" t="str">
        <f aca="false">IF($A945="","",IF(AT945="Y",BT945&amp;"",BG945&amp;""))</f>
        <v/>
      </c>
      <c r="AF945" s="0" t="str">
        <f aca="false">IF($A945="","",IF(AT945="Y",BU945&amp;"",BH945&amp;""))</f>
        <v/>
      </c>
      <c r="AG945" s="0" t="str">
        <f aca="false">IF($A945="","",IF(AT945="Y",BV945&amp;"",BI945&amp;""))</f>
        <v/>
      </c>
      <c r="AO945" s="5"/>
      <c r="AR945" s="0" t="str">
        <f aca="false">IF($A945="","",IF(AND(CK945="pass",AO945&lt;&gt;"Y",C945&lt;&gt;"",OR(AU945&lt;&gt;"Y",AV945="Y")),"Y","N"))</f>
        <v/>
      </c>
      <c r="AS945" s="0" t="str">
        <f aca="false">IF($A945="","",_xlfn.TEXTJOIN("; ",TRUE(),IF(CK945&lt;&gt;"pass","gated out",""),IF(AO945="Y","on hold: "&amp;AP945,""),IF(C945="","no contact named on an opened page",""),IF(AND(AU945="Y",AV945&lt;&gt;"Y"),"founder review pending (Founder review tab)","")))</f>
        <v/>
      </c>
      <c r="BC945" s="0" t="str">
        <f aca="false">IF($A945="","",IFERROR(INDEX(Enrichment!$A$2:$GZ$2000,MATCH($A945,INDEX(Enrichment!$A$2:$GZ$2000,0,MATCH("row_id",Enrichment!$A$1:$GZ$1,0)),0),MATCH("work_email",Enrichment!$A$1:$GZ$1,0))&amp;"",""))</f>
        <v/>
      </c>
      <c r="BD945" s="0" t="str">
        <f aca="false">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P945" s="0" t="str">
        <f aca="false">IF($A945="","",IFERROR(INDEX(Enrichment!$A$2:$GZ$2000,MATCH($A945,INDEX(Enrichment!$A$2:$GZ$2000,0,MATCH("row_id",Enrichment!$A$1:$GZ$1,0)),0),MATCH("backup_work_email",Enrichment!$A$1:$GZ$1,0))&amp;"",""))</f>
        <v/>
      </c>
      <c r="BQ945" s="0" t="str">
        <f aca="false">IF($A945="","",IF(BP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DU945" s="0" t="str">
        <f aca="false">IF($A945="","",IF(R945="Y",10,0))</f>
        <v/>
      </c>
      <c r="EV945" s="0" t="str">
        <f aca="false">IF($A945="","",IF(ISNUMBER(MATCH(U945,{"queued","contacted","replied","call_booked","call_done","yes_in_principle","materials_sent"},0)),"Y","N"))</f>
        <v/>
      </c>
      <c r="EW945" s="0" t="str">
        <f aca="false">IF($A945="","",IF(OR(T945="Y",U945="do_not_contact",AQ945&amp;""&lt;&gt;""),"Y","N"))</f>
        <v/>
      </c>
      <c r="EX945" s="0" t="str">
        <f aca="false">IF($A945="","",IF(AN945&amp;""&lt;&gt;"",AN945&amp;"",$A945))</f>
        <v/>
      </c>
      <c r="EY945" s="0" t="str">
        <f aca="false">IF($A945="","",IF(COUNTIFS($EX$2:$EX$1000,EX945,$EV$2:$EV$1000,"Y")+COUNTIFS($EX$2:$EX$1000,EX945,$EW$2:$EW$1000,"Y")&gt;0,"Y","N"))</f>
        <v/>
      </c>
      <c r="EZ945" s="0" t="str">
        <f aca="false">IF($A945="","",IF(AND(U945="new",T945="N",EW945="N",AR945="Y",EY945="N"),"Y","N"))</f>
        <v/>
      </c>
      <c r="FA945" s="0" t="str">
        <f aca="false">IF($A945="","",IF(EZ945&lt;&gt;"Y","N",IF(COUNTIFS($EX$2:$EX$1000,EX945,$EZ$2:$EZ$1000,"Y",$J$2:$J$1000,"&gt;"&amp;J945)+COUNTIFS($EX$2:$EX$1000,EX945,$EZ$2:$EZ$1000,"Y",$J$2:$J$1000,J945,$FG$2:$FG$1000,"&lt;"&amp;FG945)=0,"Y","N")))</f>
        <v/>
      </c>
      <c r="FB945" s="0" t="str">
        <f aca="false">IF($A945="","",IF(AND(EZ945="Y",FA945="Y",Y945&amp;""&lt;&gt;""),IF(Y945&lt;=10,"Y","N"),"N"))</f>
        <v/>
      </c>
      <c r="FC945" s="0" t="str">
        <f aca="false">IF(FB945="Y",Y945,"")</f>
        <v/>
      </c>
      <c r="FD945" s="0" t="str">
        <f aca="false">IF($A945="","",IF(AND(CK945="pass",AU945="Y",AV945&lt;&gt;"Y",U945="new",EW945="N"),"Y","N"))</f>
        <v/>
      </c>
      <c r="FE945" s="0" t="str">
        <f aca="false">IF(FD945&lt;&gt;"Y","",IF(COUNTIFS($FD$2:$FD$1000,"Y",$J$2:$J$1000,"&gt;"&amp;J945)+COUNTIFS($FD$2:$FD$1000,"Y",$J$2:$J$1000,J945,$FG$2:$FG$1000,"&lt;"&amp;FG945)+1&lt;=30,COUNTIFS($FD$2:$FD$1000,"Y",$J$2:$J$1000,"&gt;"&amp;J945)+COUNTIFS($FD$2:$FD$1000,"Y",$J$2:$J$1000,J945,$FG$2:$FG$1000,"&lt;"&amp;FG945)+1,""))</f>
        <v/>
      </c>
      <c r="FF945" s="0" t="str">
        <f aca="false">IF(AND(_xlfn.ISFORMULA(C945),_xlfn.ISFORMULA(J945)),"Y","N")</f>
        <v>Y</v>
      </c>
      <c r="FG945" s="0" t="n">
        <f aca="false">ROW()-1</f>
        <v>944</v>
      </c>
    </row>
    <row r="946" customFormat="false" ht="15" hidden="false" customHeight="false" outlineLevel="0" collapsed="false">
      <c r="C946" s="0" t="str">
        <f aca="false">IF($A946="","",IF(AT946="Y",BL946&amp;"",AY946&amp;""))</f>
        <v/>
      </c>
      <c r="D946" s="0" t="str">
        <f aca="false">IF($A946="","",IF(AT946="Y",BM946&amp;"",AZ946&amp;""))</f>
        <v/>
      </c>
      <c r="E946" s="0" t="str">
        <f aca="false">IF($A946="","",IF(AT946="Y",BN946&amp;"",BA946&amp;""))</f>
        <v/>
      </c>
      <c r="F946" s="0" t="str">
        <f aca="false">IF($A946="","",IF(AT946="Y",BO946&amp;"",BB946&amp;""))</f>
        <v/>
      </c>
      <c r="G946" s="0" t="str">
        <f aca="false">IF($A946="","",IF(AT946="Y",BP946&amp;"",BC946&amp;""))</f>
        <v/>
      </c>
      <c r="H946" s="0" t="str">
        <f aca="false">IF($A946="","",IF(AT946="Y",BQ946&amp;"",BD946&amp;""))</f>
        <v/>
      </c>
      <c r="I946" s="0" t="str">
        <f aca="false">IF($A946="","",IF(R946="Y","warm-intro",IF(H946="verified","email",IF(C946&lt;&gt;"","linkedin",CA946&amp;""))))</f>
        <v/>
      </c>
      <c r="J946" s="0" t="str">
        <f aca="false">IF($A946="","",IF(CK946="pass",ROUND(N(DO946)+N(DP946)+N(DQ946)+N(DR946)+N(DS946)+N(DT946)+N(DU946)+N(DV946),0),0))</f>
        <v/>
      </c>
      <c r="K946" s="0" t="str">
        <f aca="false">IF($A946="","",IF(CK946&lt;&gt;"pass",BY946&amp;"",BY946&amp;", "&amp;IF(AT946="Y",BX946&amp;"",BK946&amp;"")&amp;BZ946&amp;IF(R946="Y","; known to the founder (+10)","")&amp;"."))</f>
        <v/>
      </c>
      <c r="R946" s="5"/>
      <c r="T946" s="5"/>
      <c r="U946" s="5"/>
      <c r="Y946" s="0" t="str">
        <f aca="false">IF(FA946&lt;&gt;"Y","",COUNTIFS($FA$2:$FA$1000,"Y",$J$2:$J$1000,"&gt;"&amp;J946)+COUNTIFS($FA$2:$FA$1000,"Y",$J$2:$J$1000,J946,$FG$2:$FG$1000,"&lt;"&amp;FG946)+1)</f>
        <v/>
      </c>
      <c r="AB946" s="0" t="str">
        <f aca="false">IF($A946="","",IF(AT946="Y",BW946&amp;"",BJ946&amp;""))</f>
        <v/>
      </c>
      <c r="AC946" s="0" t="str">
        <f aca="false">IF($A946="","",IF(AT946="Y",BR946&amp;"",BE946&amp;""))</f>
        <v/>
      </c>
      <c r="AD946" s="0" t="str">
        <f aca="false">IF($A946="","",IF(AT946="Y",BS946&amp;"",BF946&amp;""))</f>
        <v/>
      </c>
      <c r="AE946" s="0" t="str">
        <f aca="false">IF($A946="","",IF(AT946="Y",BT946&amp;"",BG946&amp;""))</f>
        <v/>
      </c>
      <c r="AF946" s="0" t="str">
        <f aca="false">IF($A946="","",IF(AT946="Y",BU946&amp;"",BH946&amp;""))</f>
        <v/>
      </c>
      <c r="AG946" s="0" t="str">
        <f aca="false">IF($A946="","",IF(AT946="Y",BV946&amp;"",BI946&amp;""))</f>
        <v/>
      </c>
      <c r="AO946" s="5"/>
      <c r="AR946" s="0" t="str">
        <f aca="false">IF($A946="","",IF(AND(CK946="pass",AO946&lt;&gt;"Y",C946&lt;&gt;"",OR(AU946&lt;&gt;"Y",AV946="Y")),"Y","N"))</f>
        <v/>
      </c>
      <c r="AS946" s="0" t="str">
        <f aca="false">IF($A946="","",_xlfn.TEXTJOIN("; ",TRUE(),IF(CK946&lt;&gt;"pass","gated out",""),IF(AO946="Y","on hold: "&amp;AP946,""),IF(C946="","no contact named on an opened page",""),IF(AND(AU946="Y",AV946&lt;&gt;"Y"),"founder review pending (Founder review tab)","")))</f>
        <v/>
      </c>
      <c r="BC946" s="0" t="str">
        <f aca="false">IF($A946="","",IFERROR(INDEX(Enrichment!$A$2:$GZ$2000,MATCH($A946,INDEX(Enrichment!$A$2:$GZ$2000,0,MATCH("row_id",Enrichment!$A$1:$GZ$1,0)),0),MATCH("work_email",Enrichment!$A$1:$GZ$1,0))&amp;"",""))</f>
        <v/>
      </c>
      <c r="BD946" s="0" t="str">
        <f aca="false">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P946" s="0" t="str">
        <f aca="false">IF($A946="","",IFERROR(INDEX(Enrichment!$A$2:$GZ$2000,MATCH($A946,INDEX(Enrichment!$A$2:$GZ$2000,0,MATCH("row_id",Enrichment!$A$1:$GZ$1,0)),0),MATCH("backup_work_email",Enrichment!$A$1:$GZ$1,0))&amp;"",""))</f>
        <v/>
      </c>
      <c r="BQ946" s="0" t="str">
        <f aca="false">IF($A946="","",IF(BP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DU946" s="0" t="str">
        <f aca="false">IF($A946="","",IF(R946="Y",10,0))</f>
        <v/>
      </c>
      <c r="EV946" s="0" t="str">
        <f aca="false">IF($A946="","",IF(ISNUMBER(MATCH(U946,{"queued","contacted","replied","call_booked","call_done","yes_in_principle","materials_sent"},0)),"Y","N"))</f>
        <v/>
      </c>
      <c r="EW946" s="0" t="str">
        <f aca="false">IF($A946="","",IF(OR(T946="Y",U946="do_not_contact",AQ946&amp;""&lt;&gt;""),"Y","N"))</f>
        <v/>
      </c>
      <c r="EX946" s="0" t="str">
        <f aca="false">IF($A946="","",IF(AN946&amp;""&lt;&gt;"",AN946&amp;"",$A946))</f>
        <v/>
      </c>
      <c r="EY946" s="0" t="str">
        <f aca="false">IF($A946="","",IF(COUNTIFS($EX$2:$EX$1000,EX946,$EV$2:$EV$1000,"Y")+COUNTIFS($EX$2:$EX$1000,EX946,$EW$2:$EW$1000,"Y")&gt;0,"Y","N"))</f>
        <v/>
      </c>
      <c r="EZ946" s="0" t="str">
        <f aca="false">IF($A946="","",IF(AND(U946="new",T946="N",EW946="N",AR946="Y",EY946="N"),"Y","N"))</f>
        <v/>
      </c>
      <c r="FA946" s="0" t="str">
        <f aca="false">IF($A946="","",IF(EZ946&lt;&gt;"Y","N",IF(COUNTIFS($EX$2:$EX$1000,EX946,$EZ$2:$EZ$1000,"Y",$J$2:$J$1000,"&gt;"&amp;J946)+COUNTIFS($EX$2:$EX$1000,EX946,$EZ$2:$EZ$1000,"Y",$J$2:$J$1000,J946,$FG$2:$FG$1000,"&lt;"&amp;FG946)=0,"Y","N")))</f>
        <v/>
      </c>
      <c r="FB946" s="0" t="str">
        <f aca="false">IF($A946="","",IF(AND(EZ946="Y",FA946="Y",Y946&amp;""&lt;&gt;""),IF(Y946&lt;=10,"Y","N"),"N"))</f>
        <v/>
      </c>
      <c r="FC946" s="0" t="str">
        <f aca="false">IF(FB946="Y",Y946,"")</f>
        <v/>
      </c>
      <c r="FD946" s="0" t="str">
        <f aca="false">IF($A946="","",IF(AND(CK946="pass",AU946="Y",AV946&lt;&gt;"Y",U946="new",EW946="N"),"Y","N"))</f>
        <v/>
      </c>
      <c r="FE946" s="0" t="str">
        <f aca="false">IF(FD946&lt;&gt;"Y","",IF(COUNTIFS($FD$2:$FD$1000,"Y",$J$2:$J$1000,"&gt;"&amp;J946)+COUNTIFS($FD$2:$FD$1000,"Y",$J$2:$J$1000,J946,$FG$2:$FG$1000,"&lt;"&amp;FG946)+1&lt;=30,COUNTIFS($FD$2:$FD$1000,"Y",$J$2:$J$1000,"&gt;"&amp;J946)+COUNTIFS($FD$2:$FD$1000,"Y",$J$2:$J$1000,J946,$FG$2:$FG$1000,"&lt;"&amp;FG946)+1,""))</f>
        <v/>
      </c>
      <c r="FF946" s="0" t="str">
        <f aca="false">IF(AND(_xlfn.ISFORMULA(C946),_xlfn.ISFORMULA(J946)),"Y","N")</f>
        <v>Y</v>
      </c>
      <c r="FG946" s="0" t="n">
        <f aca="false">ROW()-1</f>
        <v>945</v>
      </c>
    </row>
    <row r="947" customFormat="false" ht="15" hidden="false" customHeight="false" outlineLevel="0" collapsed="false">
      <c r="C947" s="0" t="str">
        <f aca="false">IF($A947="","",IF(AT947="Y",BL947&amp;"",AY947&amp;""))</f>
        <v/>
      </c>
      <c r="D947" s="0" t="str">
        <f aca="false">IF($A947="","",IF(AT947="Y",BM947&amp;"",AZ947&amp;""))</f>
        <v/>
      </c>
      <c r="E947" s="0" t="str">
        <f aca="false">IF($A947="","",IF(AT947="Y",BN947&amp;"",BA947&amp;""))</f>
        <v/>
      </c>
      <c r="F947" s="0" t="str">
        <f aca="false">IF($A947="","",IF(AT947="Y",BO947&amp;"",BB947&amp;""))</f>
        <v/>
      </c>
      <c r="G947" s="0" t="str">
        <f aca="false">IF($A947="","",IF(AT947="Y",BP947&amp;"",BC947&amp;""))</f>
        <v/>
      </c>
      <c r="H947" s="0" t="str">
        <f aca="false">IF($A947="","",IF(AT947="Y",BQ947&amp;"",BD947&amp;""))</f>
        <v/>
      </c>
      <c r="I947" s="0" t="str">
        <f aca="false">IF($A947="","",IF(R947="Y","warm-intro",IF(H947="verified","email",IF(C947&lt;&gt;"","linkedin",CA947&amp;""))))</f>
        <v/>
      </c>
      <c r="J947" s="0" t="str">
        <f aca="false">IF($A947="","",IF(CK947="pass",ROUND(N(DO947)+N(DP947)+N(DQ947)+N(DR947)+N(DS947)+N(DT947)+N(DU947)+N(DV947),0),0))</f>
        <v/>
      </c>
      <c r="K947" s="0" t="str">
        <f aca="false">IF($A947="","",IF(CK947&lt;&gt;"pass",BY947&amp;"",BY947&amp;", "&amp;IF(AT947="Y",BX947&amp;"",BK947&amp;"")&amp;BZ947&amp;IF(R947="Y","; known to the founder (+10)","")&amp;"."))</f>
        <v/>
      </c>
      <c r="R947" s="5"/>
      <c r="T947" s="5"/>
      <c r="U947" s="5"/>
      <c r="Y947" s="0" t="str">
        <f aca="false">IF(FA947&lt;&gt;"Y","",COUNTIFS($FA$2:$FA$1000,"Y",$J$2:$J$1000,"&gt;"&amp;J947)+COUNTIFS($FA$2:$FA$1000,"Y",$J$2:$J$1000,J947,$FG$2:$FG$1000,"&lt;"&amp;FG947)+1)</f>
        <v/>
      </c>
      <c r="AB947" s="0" t="str">
        <f aca="false">IF($A947="","",IF(AT947="Y",BW947&amp;"",BJ947&amp;""))</f>
        <v/>
      </c>
      <c r="AC947" s="0" t="str">
        <f aca="false">IF($A947="","",IF(AT947="Y",BR947&amp;"",BE947&amp;""))</f>
        <v/>
      </c>
      <c r="AD947" s="0" t="str">
        <f aca="false">IF($A947="","",IF(AT947="Y",BS947&amp;"",BF947&amp;""))</f>
        <v/>
      </c>
      <c r="AE947" s="0" t="str">
        <f aca="false">IF($A947="","",IF(AT947="Y",BT947&amp;"",BG947&amp;""))</f>
        <v/>
      </c>
      <c r="AF947" s="0" t="str">
        <f aca="false">IF($A947="","",IF(AT947="Y",BU947&amp;"",BH947&amp;""))</f>
        <v/>
      </c>
      <c r="AG947" s="0" t="str">
        <f aca="false">IF($A947="","",IF(AT947="Y",BV947&amp;"",BI947&amp;""))</f>
        <v/>
      </c>
      <c r="AO947" s="5"/>
      <c r="AR947" s="0" t="str">
        <f aca="false">IF($A947="","",IF(AND(CK947="pass",AO947&lt;&gt;"Y",C947&lt;&gt;"",OR(AU947&lt;&gt;"Y",AV947="Y")),"Y","N"))</f>
        <v/>
      </c>
      <c r="AS947" s="0" t="str">
        <f aca="false">IF($A947="","",_xlfn.TEXTJOIN("; ",TRUE(),IF(CK947&lt;&gt;"pass","gated out",""),IF(AO947="Y","on hold: "&amp;AP947,""),IF(C947="","no contact named on an opened page",""),IF(AND(AU947="Y",AV947&lt;&gt;"Y"),"founder review pending (Founder review tab)","")))</f>
        <v/>
      </c>
      <c r="BC947" s="0" t="str">
        <f aca="false">IF($A947="","",IFERROR(INDEX(Enrichment!$A$2:$GZ$2000,MATCH($A947,INDEX(Enrichment!$A$2:$GZ$2000,0,MATCH("row_id",Enrichment!$A$1:$GZ$1,0)),0),MATCH("work_email",Enrichment!$A$1:$GZ$1,0))&amp;"",""))</f>
        <v/>
      </c>
      <c r="BD947" s="0" t="str">
        <f aca="false">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P947" s="0" t="str">
        <f aca="false">IF($A947="","",IFERROR(INDEX(Enrichment!$A$2:$GZ$2000,MATCH($A947,INDEX(Enrichment!$A$2:$GZ$2000,0,MATCH("row_id",Enrichment!$A$1:$GZ$1,0)),0),MATCH("backup_work_email",Enrichment!$A$1:$GZ$1,0))&amp;"",""))</f>
        <v/>
      </c>
      <c r="BQ947" s="0" t="str">
        <f aca="false">IF($A947="","",IF(BP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DU947" s="0" t="str">
        <f aca="false">IF($A947="","",IF(R947="Y",10,0))</f>
        <v/>
      </c>
      <c r="EV947" s="0" t="str">
        <f aca="false">IF($A947="","",IF(ISNUMBER(MATCH(U947,{"queued","contacted","replied","call_booked","call_done","yes_in_principle","materials_sent"},0)),"Y","N"))</f>
        <v/>
      </c>
      <c r="EW947" s="0" t="str">
        <f aca="false">IF($A947="","",IF(OR(T947="Y",U947="do_not_contact",AQ947&amp;""&lt;&gt;""),"Y","N"))</f>
        <v/>
      </c>
      <c r="EX947" s="0" t="str">
        <f aca="false">IF($A947="","",IF(AN947&amp;""&lt;&gt;"",AN947&amp;"",$A947))</f>
        <v/>
      </c>
      <c r="EY947" s="0" t="str">
        <f aca="false">IF($A947="","",IF(COUNTIFS($EX$2:$EX$1000,EX947,$EV$2:$EV$1000,"Y")+COUNTIFS($EX$2:$EX$1000,EX947,$EW$2:$EW$1000,"Y")&gt;0,"Y","N"))</f>
        <v/>
      </c>
      <c r="EZ947" s="0" t="str">
        <f aca="false">IF($A947="","",IF(AND(U947="new",T947="N",EW947="N",AR947="Y",EY947="N"),"Y","N"))</f>
        <v/>
      </c>
      <c r="FA947" s="0" t="str">
        <f aca="false">IF($A947="","",IF(EZ947&lt;&gt;"Y","N",IF(COUNTIFS($EX$2:$EX$1000,EX947,$EZ$2:$EZ$1000,"Y",$J$2:$J$1000,"&gt;"&amp;J947)+COUNTIFS($EX$2:$EX$1000,EX947,$EZ$2:$EZ$1000,"Y",$J$2:$J$1000,J947,$FG$2:$FG$1000,"&lt;"&amp;FG947)=0,"Y","N")))</f>
        <v/>
      </c>
      <c r="FB947" s="0" t="str">
        <f aca="false">IF($A947="","",IF(AND(EZ947="Y",FA947="Y",Y947&amp;""&lt;&gt;""),IF(Y947&lt;=10,"Y","N"),"N"))</f>
        <v/>
      </c>
      <c r="FC947" s="0" t="str">
        <f aca="false">IF(FB947="Y",Y947,"")</f>
        <v/>
      </c>
      <c r="FD947" s="0" t="str">
        <f aca="false">IF($A947="","",IF(AND(CK947="pass",AU947="Y",AV947&lt;&gt;"Y",U947="new",EW947="N"),"Y","N"))</f>
        <v/>
      </c>
      <c r="FE947" s="0" t="str">
        <f aca="false">IF(FD947&lt;&gt;"Y","",IF(COUNTIFS($FD$2:$FD$1000,"Y",$J$2:$J$1000,"&gt;"&amp;J947)+COUNTIFS($FD$2:$FD$1000,"Y",$J$2:$J$1000,J947,$FG$2:$FG$1000,"&lt;"&amp;FG947)+1&lt;=30,COUNTIFS($FD$2:$FD$1000,"Y",$J$2:$J$1000,"&gt;"&amp;J947)+COUNTIFS($FD$2:$FD$1000,"Y",$J$2:$J$1000,J947,$FG$2:$FG$1000,"&lt;"&amp;FG947)+1,""))</f>
        <v/>
      </c>
      <c r="FF947" s="0" t="str">
        <f aca="false">IF(AND(_xlfn.ISFORMULA(C947),_xlfn.ISFORMULA(J947)),"Y","N")</f>
        <v>Y</v>
      </c>
      <c r="FG947" s="0" t="n">
        <f aca="false">ROW()-1</f>
        <v>946</v>
      </c>
    </row>
    <row r="948" customFormat="false" ht="15" hidden="false" customHeight="false" outlineLevel="0" collapsed="false">
      <c r="C948" s="0" t="str">
        <f aca="false">IF($A948="","",IF(AT948="Y",BL948&amp;"",AY948&amp;""))</f>
        <v/>
      </c>
      <c r="D948" s="0" t="str">
        <f aca="false">IF($A948="","",IF(AT948="Y",BM948&amp;"",AZ948&amp;""))</f>
        <v/>
      </c>
      <c r="E948" s="0" t="str">
        <f aca="false">IF($A948="","",IF(AT948="Y",BN948&amp;"",BA948&amp;""))</f>
        <v/>
      </c>
      <c r="F948" s="0" t="str">
        <f aca="false">IF($A948="","",IF(AT948="Y",BO948&amp;"",BB948&amp;""))</f>
        <v/>
      </c>
      <c r="G948" s="0" t="str">
        <f aca="false">IF($A948="","",IF(AT948="Y",BP948&amp;"",BC948&amp;""))</f>
        <v/>
      </c>
      <c r="H948" s="0" t="str">
        <f aca="false">IF($A948="","",IF(AT948="Y",BQ948&amp;"",BD948&amp;""))</f>
        <v/>
      </c>
      <c r="I948" s="0" t="str">
        <f aca="false">IF($A948="","",IF(R948="Y","warm-intro",IF(H948="verified","email",IF(C948&lt;&gt;"","linkedin",CA948&amp;""))))</f>
        <v/>
      </c>
      <c r="J948" s="0" t="str">
        <f aca="false">IF($A948="","",IF(CK948="pass",ROUND(N(DO948)+N(DP948)+N(DQ948)+N(DR948)+N(DS948)+N(DT948)+N(DU948)+N(DV948),0),0))</f>
        <v/>
      </c>
      <c r="K948" s="0" t="str">
        <f aca="false">IF($A948="","",IF(CK948&lt;&gt;"pass",BY948&amp;"",BY948&amp;", "&amp;IF(AT948="Y",BX948&amp;"",BK948&amp;"")&amp;BZ948&amp;IF(R948="Y","; known to the founder (+10)","")&amp;"."))</f>
        <v/>
      </c>
      <c r="R948" s="5"/>
      <c r="T948" s="5"/>
      <c r="U948" s="5"/>
      <c r="Y948" s="0" t="str">
        <f aca="false">IF(FA948&lt;&gt;"Y","",COUNTIFS($FA$2:$FA$1000,"Y",$J$2:$J$1000,"&gt;"&amp;J948)+COUNTIFS($FA$2:$FA$1000,"Y",$J$2:$J$1000,J948,$FG$2:$FG$1000,"&lt;"&amp;FG948)+1)</f>
        <v/>
      </c>
      <c r="AB948" s="0" t="str">
        <f aca="false">IF($A948="","",IF(AT948="Y",BW948&amp;"",BJ948&amp;""))</f>
        <v/>
      </c>
      <c r="AC948" s="0" t="str">
        <f aca="false">IF($A948="","",IF(AT948="Y",BR948&amp;"",BE948&amp;""))</f>
        <v/>
      </c>
      <c r="AD948" s="0" t="str">
        <f aca="false">IF($A948="","",IF(AT948="Y",BS948&amp;"",BF948&amp;""))</f>
        <v/>
      </c>
      <c r="AE948" s="0" t="str">
        <f aca="false">IF($A948="","",IF(AT948="Y",BT948&amp;"",BG948&amp;""))</f>
        <v/>
      </c>
      <c r="AF948" s="0" t="str">
        <f aca="false">IF($A948="","",IF(AT948="Y",BU948&amp;"",BH948&amp;""))</f>
        <v/>
      </c>
      <c r="AG948" s="0" t="str">
        <f aca="false">IF($A948="","",IF(AT948="Y",BV948&amp;"",BI948&amp;""))</f>
        <v/>
      </c>
      <c r="AO948" s="5"/>
      <c r="AR948" s="0" t="str">
        <f aca="false">IF($A948="","",IF(AND(CK948="pass",AO948&lt;&gt;"Y",C948&lt;&gt;"",OR(AU948&lt;&gt;"Y",AV948="Y")),"Y","N"))</f>
        <v/>
      </c>
      <c r="AS948" s="0" t="str">
        <f aca="false">IF($A948="","",_xlfn.TEXTJOIN("; ",TRUE(),IF(CK948&lt;&gt;"pass","gated out",""),IF(AO948="Y","on hold: "&amp;AP948,""),IF(C948="","no contact named on an opened page",""),IF(AND(AU948="Y",AV948&lt;&gt;"Y"),"founder review pending (Founder review tab)","")))</f>
        <v/>
      </c>
      <c r="BC948" s="0" t="str">
        <f aca="false">IF($A948="","",IFERROR(INDEX(Enrichment!$A$2:$GZ$2000,MATCH($A948,INDEX(Enrichment!$A$2:$GZ$2000,0,MATCH("row_id",Enrichment!$A$1:$GZ$1,0)),0),MATCH("work_email",Enrichment!$A$1:$GZ$1,0))&amp;"",""))</f>
        <v/>
      </c>
      <c r="BD948" s="0" t="str">
        <f aca="false">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P948" s="0" t="str">
        <f aca="false">IF($A948="","",IFERROR(INDEX(Enrichment!$A$2:$GZ$2000,MATCH($A948,INDEX(Enrichment!$A$2:$GZ$2000,0,MATCH("row_id",Enrichment!$A$1:$GZ$1,0)),0),MATCH("backup_work_email",Enrichment!$A$1:$GZ$1,0))&amp;"",""))</f>
        <v/>
      </c>
      <c r="BQ948" s="0" t="str">
        <f aca="false">IF($A948="","",IF(BP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DU948" s="0" t="str">
        <f aca="false">IF($A948="","",IF(R948="Y",10,0))</f>
        <v/>
      </c>
      <c r="EV948" s="0" t="str">
        <f aca="false">IF($A948="","",IF(ISNUMBER(MATCH(U948,{"queued","contacted","replied","call_booked","call_done","yes_in_principle","materials_sent"},0)),"Y","N"))</f>
        <v/>
      </c>
      <c r="EW948" s="0" t="str">
        <f aca="false">IF($A948="","",IF(OR(T948="Y",U948="do_not_contact",AQ948&amp;""&lt;&gt;""),"Y","N"))</f>
        <v/>
      </c>
      <c r="EX948" s="0" t="str">
        <f aca="false">IF($A948="","",IF(AN948&amp;""&lt;&gt;"",AN948&amp;"",$A948))</f>
        <v/>
      </c>
      <c r="EY948" s="0" t="str">
        <f aca="false">IF($A948="","",IF(COUNTIFS($EX$2:$EX$1000,EX948,$EV$2:$EV$1000,"Y")+COUNTIFS($EX$2:$EX$1000,EX948,$EW$2:$EW$1000,"Y")&gt;0,"Y","N"))</f>
        <v/>
      </c>
      <c r="EZ948" s="0" t="str">
        <f aca="false">IF($A948="","",IF(AND(U948="new",T948="N",EW948="N",AR948="Y",EY948="N"),"Y","N"))</f>
        <v/>
      </c>
      <c r="FA948" s="0" t="str">
        <f aca="false">IF($A948="","",IF(EZ948&lt;&gt;"Y","N",IF(COUNTIFS($EX$2:$EX$1000,EX948,$EZ$2:$EZ$1000,"Y",$J$2:$J$1000,"&gt;"&amp;J948)+COUNTIFS($EX$2:$EX$1000,EX948,$EZ$2:$EZ$1000,"Y",$J$2:$J$1000,J948,$FG$2:$FG$1000,"&lt;"&amp;FG948)=0,"Y","N")))</f>
        <v/>
      </c>
      <c r="FB948" s="0" t="str">
        <f aca="false">IF($A948="","",IF(AND(EZ948="Y",FA948="Y",Y948&amp;""&lt;&gt;""),IF(Y948&lt;=10,"Y","N"),"N"))</f>
        <v/>
      </c>
      <c r="FC948" s="0" t="str">
        <f aca="false">IF(FB948="Y",Y948,"")</f>
        <v/>
      </c>
      <c r="FD948" s="0" t="str">
        <f aca="false">IF($A948="","",IF(AND(CK948="pass",AU948="Y",AV948&lt;&gt;"Y",U948="new",EW948="N"),"Y","N"))</f>
        <v/>
      </c>
      <c r="FE948" s="0" t="str">
        <f aca="false">IF(FD948&lt;&gt;"Y","",IF(COUNTIFS($FD$2:$FD$1000,"Y",$J$2:$J$1000,"&gt;"&amp;J948)+COUNTIFS($FD$2:$FD$1000,"Y",$J$2:$J$1000,J948,$FG$2:$FG$1000,"&lt;"&amp;FG948)+1&lt;=30,COUNTIFS($FD$2:$FD$1000,"Y",$J$2:$J$1000,"&gt;"&amp;J948)+COUNTIFS($FD$2:$FD$1000,"Y",$J$2:$J$1000,J948,$FG$2:$FG$1000,"&lt;"&amp;FG948)+1,""))</f>
        <v/>
      </c>
      <c r="FF948" s="0" t="str">
        <f aca="false">IF(AND(_xlfn.ISFORMULA(C948),_xlfn.ISFORMULA(J948)),"Y","N")</f>
        <v>Y</v>
      </c>
      <c r="FG948" s="0" t="n">
        <f aca="false">ROW()-1</f>
        <v>947</v>
      </c>
    </row>
    <row r="949" customFormat="false" ht="15" hidden="false" customHeight="false" outlineLevel="0" collapsed="false">
      <c r="C949" s="0" t="str">
        <f aca="false">IF($A949="","",IF(AT949="Y",BL949&amp;"",AY949&amp;""))</f>
        <v/>
      </c>
      <c r="D949" s="0" t="str">
        <f aca="false">IF($A949="","",IF(AT949="Y",BM949&amp;"",AZ949&amp;""))</f>
        <v/>
      </c>
      <c r="E949" s="0" t="str">
        <f aca="false">IF($A949="","",IF(AT949="Y",BN949&amp;"",BA949&amp;""))</f>
        <v/>
      </c>
      <c r="F949" s="0" t="str">
        <f aca="false">IF($A949="","",IF(AT949="Y",BO949&amp;"",BB949&amp;""))</f>
        <v/>
      </c>
      <c r="G949" s="0" t="str">
        <f aca="false">IF($A949="","",IF(AT949="Y",BP949&amp;"",BC949&amp;""))</f>
        <v/>
      </c>
      <c r="H949" s="0" t="str">
        <f aca="false">IF($A949="","",IF(AT949="Y",BQ949&amp;"",BD949&amp;""))</f>
        <v/>
      </c>
      <c r="I949" s="0" t="str">
        <f aca="false">IF($A949="","",IF(R949="Y","warm-intro",IF(H949="verified","email",IF(C949&lt;&gt;"","linkedin",CA949&amp;""))))</f>
        <v/>
      </c>
      <c r="J949" s="0" t="str">
        <f aca="false">IF($A949="","",IF(CK949="pass",ROUND(N(DO949)+N(DP949)+N(DQ949)+N(DR949)+N(DS949)+N(DT949)+N(DU949)+N(DV949),0),0))</f>
        <v/>
      </c>
      <c r="K949" s="0" t="str">
        <f aca="false">IF($A949="","",IF(CK949&lt;&gt;"pass",BY949&amp;"",BY949&amp;", "&amp;IF(AT949="Y",BX949&amp;"",BK949&amp;"")&amp;BZ949&amp;IF(R949="Y","; known to the founder (+10)","")&amp;"."))</f>
        <v/>
      </c>
      <c r="R949" s="5"/>
      <c r="T949" s="5"/>
      <c r="U949" s="5"/>
      <c r="Y949" s="0" t="str">
        <f aca="false">IF(FA949&lt;&gt;"Y","",COUNTIFS($FA$2:$FA$1000,"Y",$J$2:$J$1000,"&gt;"&amp;J949)+COUNTIFS($FA$2:$FA$1000,"Y",$J$2:$J$1000,J949,$FG$2:$FG$1000,"&lt;"&amp;FG949)+1)</f>
        <v/>
      </c>
      <c r="AB949" s="0" t="str">
        <f aca="false">IF($A949="","",IF(AT949="Y",BW949&amp;"",BJ949&amp;""))</f>
        <v/>
      </c>
      <c r="AC949" s="0" t="str">
        <f aca="false">IF($A949="","",IF(AT949="Y",BR949&amp;"",BE949&amp;""))</f>
        <v/>
      </c>
      <c r="AD949" s="0" t="str">
        <f aca="false">IF($A949="","",IF(AT949="Y",BS949&amp;"",BF949&amp;""))</f>
        <v/>
      </c>
      <c r="AE949" s="0" t="str">
        <f aca="false">IF($A949="","",IF(AT949="Y",BT949&amp;"",BG949&amp;""))</f>
        <v/>
      </c>
      <c r="AF949" s="0" t="str">
        <f aca="false">IF($A949="","",IF(AT949="Y",BU949&amp;"",BH949&amp;""))</f>
        <v/>
      </c>
      <c r="AG949" s="0" t="str">
        <f aca="false">IF($A949="","",IF(AT949="Y",BV949&amp;"",BI949&amp;""))</f>
        <v/>
      </c>
      <c r="AO949" s="5"/>
      <c r="AR949" s="0" t="str">
        <f aca="false">IF($A949="","",IF(AND(CK949="pass",AO949&lt;&gt;"Y",C949&lt;&gt;"",OR(AU949&lt;&gt;"Y",AV949="Y")),"Y","N"))</f>
        <v/>
      </c>
      <c r="AS949" s="0" t="str">
        <f aca="false">IF($A949="","",_xlfn.TEXTJOIN("; ",TRUE(),IF(CK949&lt;&gt;"pass","gated out",""),IF(AO949="Y","on hold: "&amp;AP949,""),IF(C949="","no contact named on an opened page",""),IF(AND(AU949="Y",AV949&lt;&gt;"Y"),"founder review pending (Founder review tab)","")))</f>
        <v/>
      </c>
      <c r="BC949" s="0" t="str">
        <f aca="false">IF($A949="","",IFERROR(INDEX(Enrichment!$A$2:$GZ$2000,MATCH($A949,INDEX(Enrichment!$A$2:$GZ$2000,0,MATCH("row_id",Enrichment!$A$1:$GZ$1,0)),0),MATCH("work_email",Enrichment!$A$1:$GZ$1,0))&amp;"",""))</f>
        <v/>
      </c>
      <c r="BD949" s="0" t="str">
        <f aca="false">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P949" s="0" t="str">
        <f aca="false">IF($A949="","",IFERROR(INDEX(Enrichment!$A$2:$GZ$2000,MATCH($A949,INDEX(Enrichment!$A$2:$GZ$2000,0,MATCH("row_id",Enrichment!$A$1:$GZ$1,0)),0),MATCH("backup_work_email",Enrichment!$A$1:$GZ$1,0))&amp;"",""))</f>
        <v/>
      </c>
      <c r="BQ949" s="0" t="str">
        <f aca="false">IF($A949="","",IF(BP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DU949" s="0" t="str">
        <f aca="false">IF($A949="","",IF(R949="Y",10,0))</f>
        <v/>
      </c>
      <c r="EV949" s="0" t="str">
        <f aca="false">IF($A949="","",IF(ISNUMBER(MATCH(U949,{"queued","contacted","replied","call_booked","call_done","yes_in_principle","materials_sent"},0)),"Y","N"))</f>
        <v/>
      </c>
      <c r="EW949" s="0" t="str">
        <f aca="false">IF($A949="","",IF(OR(T949="Y",U949="do_not_contact",AQ949&amp;""&lt;&gt;""),"Y","N"))</f>
        <v/>
      </c>
      <c r="EX949" s="0" t="str">
        <f aca="false">IF($A949="","",IF(AN949&amp;""&lt;&gt;"",AN949&amp;"",$A949))</f>
        <v/>
      </c>
      <c r="EY949" s="0" t="str">
        <f aca="false">IF($A949="","",IF(COUNTIFS($EX$2:$EX$1000,EX949,$EV$2:$EV$1000,"Y")+COUNTIFS($EX$2:$EX$1000,EX949,$EW$2:$EW$1000,"Y")&gt;0,"Y","N"))</f>
        <v/>
      </c>
      <c r="EZ949" s="0" t="str">
        <f aca="false">IF($A949="","",IF(AND(U949="new",T949="N",EW949="N",AR949="Y",EY949="N"),"Y","N"))</f>
        <v/>
      </c>
      <c r="FA949" s="0" t="str">
        <f aca="false">IF($A949="","",IF(EZ949&lt;&gt;"Y","N",IF(COUNTIFS($EX$2:$EX$1000,EX949,$EZ$2:$EZ$1000,"Y",$J$2:$J$1000,"&gt;"&amp;J949)+COUNTIFS($EX$2:$EX$1000,EX949,$EZ$2:$EZ$1000,"Y",$J$2:$J$1000,J949,$FG$2:$FG$1000,"&lt;"&amp;FG949)=0,"Y","N")))</f>
        <v/>
      </c>
      <c r="FB949" s="0" t="str">
        <f aca="false">IF($A949="","",IF(AND(EZ949="Y",FA949="Y",Y949&amp;""&lt;&gt;""),IF(Y949&lt;=10,"Y","N"),"N"))</f>
        <v/>
      </c>
      <c r="FC949" s="0" t="str">
        <f aca="false">IF(FB949="Y",Y949,"")</f>
        <v/>
      </c>
      <c r="FD949" s="0" t="str">
        <f aca="false">IF($A949="","",IF(AND(CK949="pass",AU949="Y",AV949&lt;&gt;"Y",U949="new",EW949="N"),"Y","N"))</f>
        <v/>
      </c>
      <c r="FE949" s="0" t="str">
        <f aca="false">IF(FD949&lt;&gt;"Y","",IF(COUNTIFS($FD$2:$FD$1000,"Y",$J$2:$J$1000,"&gt;"&amp;J949)+COUNTIFS($FD$2:$FD$1000,"Y",$J$2:$J$1000,J949,$FG$2:$FG$1000,"&lt;"&amp;FG949)+1&lt;=30,COUNTIFS($FD$2:$FD$1000,"Y",$J$2:$J$1000,"&gt;"&amp;J949)+COUNTIFS($FD$2:$FD$1000,"Y",$J$2:$J$1000,J949,$FG$2:$FG$1000,"&lt;"&amp;FG949)+1,""))</f>
        <v/>
      </c>
      <c r="FF949" s="0" t="str">
        <f aca="false">IF(AND(_xlfn.ISFORMULA(C949),_xlfn.ISFORMULA(J949)),"Y","N")</f>
        <v>Y</v>
      </c>
      <c r="FG949" s="0" t="n">
        <f aca="false">ROW()-1</f>
        <v>948</v>
      </c>
    </row>
    <row r="950" customFormat="false" ht="15" hidden="false" customHeight="false" outlineLevel="0" collapsed="false">
      <c r="C950" s="0" t="str">
        <f aca="false">IF($A950="","",IF(AT950="Y",BL950&amp;"",AY950&amp;""))</f>
        <v/>
      </c>
      <c r="D950" s="0" t="str">
        <f aca="false">IF($A950="","",IF(AT950="Y",BM950&amp;"",AZ950&amp;""))</f>
        <v/>
      </c>
      <c r="E950" s="0" t="str">
        <f aca="false">IF($A950="","",IF(AT950="Y",BN950&amp;"",BA950&amp;""))</f>
        <v/>
      </c>
      <c r="F950" s="0" t="str">
        <f aca="false">IF($A950="","",IF(AT950="Y",BO950&amp;"",BB950&amp;""))</f>
        <v/>
      </c>
      <c r="G950" s="0" t="str">
        <f aca="false">IF($A950="","",IF(AT950="Y",BP950&amp;"",BC950&amp;""))</f>
        <v/>
      </c>
      <c r="H950" s="0" t="str">
        <f aca="false">IF($A950="","",IF(AT950="Y",BQ950&amp;"",BD950&amp;""))</f>
        <v/>
      </c>
      <c r="I950" s="0" t="str">
        <f aca="false">IF($A950="","",IF(R950="Y","warm-intro",IF(H950="verified","email",IF(C950&lt;&gt;"","linkedin",CA950&amp;""))))</f>
        <v/>
      </c>
      <c r="J950" s="0" t="str">
        <f aca="false">IF($A950="","",IF(CK950="pass",ROUND(N(DO950)+N(DP950)+N(DQ950)+N(DR950)+N(DS950)+N(DT950)+N(DU950)+N(DV950),0),0))</f>
        <v/>
      </c>
      <c r="K950" s="0" t="str">
        <f aca="false">IF($A950="","",IF(CK950&lt;&gt;"pass",BY950&amp;"",BY950&amp;", "&amp;IF(AT950="Y",BX950&amp;"",BK950&amp;"")&amp;BZ950&amp;IF(R950="Y","; known to the founder (+10)","")&amp;"."))</f>
        <v/>
      </c>
      <c r="R950" s="5"/>
      <c r="T950" s="5"/>
      <c r="U950" s="5"/>
      <c r="Y950" s="0" t="str">
        <f aca="false">IF(FA950&lt;&gt;"Y","",COUNTIFS($FA$2:$FA$1000,"Y",$J$2:$J$1000,"&gt;"&amp;J950)+COUNTIFS($FA$2:$FA$1000,"Y",$J$2:$J$1000,J950,$FG$2:$FG$1000,"&lt;"&amp;FG950)+1)</f>
        <v/>
      </c>
      <c r="AB950" s="0" t="str">
        <f aca="false">IF($A950="","",IF(AT950="Y",BW950&amp;"",BJ950&amp;""))</f>
        <v/>
      </c>
      <c r="AC950" s="0" t="str">
        <f aca="false">IF($A950="","",IF(AT950="Y",BR950&amp;"",BE950&amp;""))</f>
        <v/>
      </c>
      <c r="AD950" s="0" t="str">
        <f aca="false">IF($A950="","",IF(AT950="Y",BS950&amp;"",BF950&amp;""))</f>
        <v/>
      </c>
      <c r="AE950" s="0" t="str">
        <f aca="false">IF($A950="","",IF(AT950="Y",BT950&amp;"",BG950&amp;""))</f>
        <v/>
      </c>
      <c r="AF950" s="0" t="str">
        <f aca="false">IF($A950="","",IF(AT950="Y",BU950&amp;"",BH950&amp;""))</f>
        <v/>
      </c>
      <c r="AG950" s="0" t="str">
        <f aca="false">IF($A950="","",IF(AT950="Y",BV950&amp;"",BI950&amp;""))</f>
        <v/>
      </c>
      <c r="AO950" s="5"/>
      <c r="AR950" s="0" t="str">
        <f aca="false">IF($A950="","",IF(AND(CK950="pass",AO950&lt;&gt;"Y",C950&lt;&gt;"",OR(AU950&lt;&gt;"Y",AV950="Y")),"Y","N"))</f>
        <v/>
      </c>
      <c r="AS950" s="0" t="str">
        <f aca="false">IF($A950="","",_xlfn.TEXTJOIN("; ",TRUE(),IF(CK950&lt;&gt;"pass","gated out",""),IF(AO950="Y","on hold: "&amp;AP950,""),IF(C950="","no contact named on an opened page",""),IF(AND(AU950="Y",AV950&lt;&gt;"Y"),"founder review pending (Founder review tab)","")))</f>
        <v/>
      </c>
      <c r="BC950" s="0" t="str">
        <f aca="false">IF($A950="","",IFERROR(INDEX(Enrichment!$A$2:$GZ$2000,MATCH($A950,INDEX(Enrichment!$A$2:$GZ$2000,0,MATCH("row_id",Enrichment!$A$1:$GZ$1,0)),0),MATCH("work_email",Enrichment!$A$1:$GZ$1,0))&amp;"",""))</f>
        <v/>
      </c>
      <c r="BD950" s="0" t="str">
        <f aca="false">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P950" s="0" t="str">
        <f aca="false">IF($A950="","",IFERROR(INDEX(Enrichment!$A$2:$GZ$2000,MATCH($A950,INDEX(Enrichment!$A$2:$GZ$2000,0,MATCH("row_id",Enrichment!$A$1:$GZ$1,0)),0),MATCH("backup_work_email",Enrichment!$A$1:$GZ$1,0))&amp;"",""))</f>
        <v/>
      </c>
      <c r="BQ950" s="0" t="str">
        <f aca="false">IF($A950="","",IF(BP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DU950" s="0" t="str">
        <f aca="false">IF($A950="","",IF(R950="Y",10,0))</f>
        <v/>
      </c>
      <c r="EV950" s="0" t="str">
        <f aca="false">IF($A950="","",IF(ISNUMBER(MATCH(U950,{"queued","contacted","replied","call_booked","call_done","yes_in_principle","materials_sent"},0)),"Y","N"))</f>
        <v/>
      </c>
      <c r="EW950" s="0" t="str">
        <f aca="false">IF($A950="","",IF(OR(T950="Y",U950="do_not_contact",AQ950&amp;""&lt;&gt;""),"Y","N"))</f>
        <v/>
      </c>
      <c r="EX950" s="0" t="str">
        <f aca="false">IF($A950="","",IF(AN950&amp;""&lt;&gt;"",AN950&amp;"",$A950))</f>
        <v/>
      </c>
      <c r="EY950" s="0" t="str">
        <f aca="false">IF($A950="","",IF(COUNTIFS($EX$2:$EX$1000,EX950,$EV$2:$EV$1000,"Y")+COUNTIFS($EX$2:$EX$1000,EX950,$EW$2:$EW$1000,"Y")&gt;0,"Y","N"))</f>
        <v/>
      </c>
      <c r="EZ950" s="0" t="str">
        <f aca="false">IF($A950="","",IF(AND(U950="new",T950="N",EW950="N",AR950="Y",EY950="N"),"Y","N"))</f>
        <v/>
      </c>
      <c r="FA950" s="0" t="str">
        <f aca="false">IF($A950="","",IF(EZ950&lt;&gt;"Y","N",IF(COUNTIFS($EX$2:$EX$1000,EX950,$EZ$2:$EZ$1000,"Y",$J$2:$J$1000,"&gt;"&amp;J950)+COUNTIFS($EX$2:$EX$1000,EX950,$EZ$2:$EZ$1000,"Y",$J$2:$J$1000,J950,$FG$2:$FG$1000,"&lt;"&amp;FG950)=0,"Y","N")))</f>
        <v/>
      </c>
      <c r="FB950" s="0" t="str">
        <f aca="false">IF($A950="","",IF(AND(EZ950="Y",FA950="Y",Y950&amp;""&lt;&gt;""),IF(Y950&lt;=10,"Y","N"),"N"))</f>
        <v/>
      </c>
      <c r="FC950" s="0" t="str">
        <f aca="false">IF(FB950="Y",Y950,"")</f>
        <v/>
      </c>
      <c r="FD950" s="0" t="str">
        <f aca="false">IF($A950="","",IF(AND(CK950="pass",AU950="Y",AV950&lt;&gt;"Y",U950="new",EW950="N"),"Y","N"))</f>
        <v/>
      </c>
      <c r="FE950" s="0" t="str">
        <f aca="false">IF(FD950&lt;&gt;"Y","",IF(COUNTIFS($FD$2:$FD$1000,"Y",$J$2:$J$1000,"&gt;"&amp;J950)+COUNTIFS($FD$2:$FD$1000,"Y",$J$2:$J$1000,J950,$FG$2:$FG$1000,"&lt;"&amp;FG950)+1&lt;=30,COUNTIFS($FD$2:$FD$1000,"Y",$J$2:$J$1000,"&gt;"&amp;J950)+COUNTIFS($FD$2:$FD$1000,"Y",$J$2:$J$1000,J950,$FG$2:$FG$1000,"&lt;"&amp;FG950)+1,""))</f>
        <v/>
      </c>
      <c r="FF950" s="0" t="str">
        <f aca="false">IF(AND(_xlfn.ISFORMULA(C950),_xlfn.ISFORMULA(J950)),"Y","N")</f>
        <v>Y</v>
      </c>
      <c r="FG950" s="0" t="n">
        <f aca="false">ROW()-1</f>
        <v>949</v>
      </c>
    </row>
    <row r="951" customFormat="false" ht="15" hidden="false" customHeight="false" outlineLevel="0" collapsed="false">
      <c r="C951" s="0" t="str">
        <f aca="false">IF($A951="","",IF(AT951="Y",BL951&amp;"",AY951&amp;""))</f>
        <v/>
      </c>
      <c r="D951" s="0" t="str">
        <f aca="false">IF($A951="","",IF(AT951="Y",BM951&amp;"",AZ951&amp;""))</f>
        <v/>
      </c>
      <c r="E951" s="0" t="str">
        <f aca="false">IF($A951="","",IF(AT951="Y",BN951&amp;"",BA951&amp;""))</f>
        <v/>
      </c>
      <c r="F951" s="0" t="str">
        <f aca="false">IF($A951="","",IF(AT951="Y",BO951&amp;"",BB951&amp;""))</f>
        <v/>
      </c>
      <c r="G951" s="0" t="str">
        <f aca="false">IF($A951="","",IF(AT951="Y",BP951&amp;"",BC951&amp;""))</f>
        <v/>
      </c>
      <c r="H951" s="0" t="str">
        <f aca="false">IF($A951="","",IF(AT951="Y",BQ951&amp;"",BD951&amp;""))</f>
        <v/>
      </c>
      <c r="I951" s="0" t="str">
        <f aca="false">IF($A951="","",IF(R951="Y","warm-intro",IF(H951="verified","email",IF(C951&lt;&gt;"","linkedin",CA951&amp;""))))</f>
        <v/>
      </c>
      <c r="J951" s="0" t="str">
        <f aca="false">IF($A951="","",IF(CK951="pass",ROUND(N(DO951)+N(DP951)+N(DQ951)+N(DR951)+N(DS951)+N(DT951)+N(DU951)+N(DV951),0),0))</f>
        <v/>
      </c>
      <c r="K951" s="0" t="str">
        <f aca="false">IF($A951="","",IF(CK951&lt;&gt;"pass",BY951&amp;"",BY951&amp;", "&amp;IF(AT951="Y",BX951&amp;"",BK951&amp;"")&amp;BZ951&amp;IF(R951="Y","; known to the founder (+10)","")&amp;"."))</f>
        <v/>
      </c>
      <c r="R951" s="5"/>
      <c r="T951" s="5"/>
      <c r="U951" s="5"/>
      <c r="Y951" s="0" t="str">
        <f aca="false">IF(FA951&lt;&gt;"Y","",COUNTIFS($FA$2:$FA$1000,"Y",$J$2:$J$1000,"&gt;"&amp;J951)+COUNTIFS($FA$2:$FA$1000,"Y",$J$2:$J$1000,J951,$FG$2:$FG$1000,"&lt;"&amp;FG951)+1)</f>
        <v/>
      </c>
      <c r="AB951" s="0" t="str">
        <f aca="false">IF($A951="","",IF(AT951="Y",BW951&amp;"",BJ951&amp;""))</f>
        <v/>
      </c>
      <c r="AC951" s="0" t="str">
        <f aca="false">IF($A951="","",IF(AT951="Y",BR951&amp;"",BE951&amp;""))</f>
        <v/>
      </c>
      <c r="AD951" s="0" t="str">
        <f aca="false">IF($A951="","",IF(AT951="Y",BS951&amp;"",BF951&amp;""))</f>
        <v/>
      </c>
      <c r="AE951" s="0" t="str">
        <f aca="false">IF($A951="","",IF(AT951="Y",BT951&amp;"",BG951&amp;""))</f>
        <v/>
      </c>
      <c r="AF951" s="0" t="str">
        <f aca="false">IF($A951="","",IF(AT951="Y",BU951&amp;"",BH951&amp;""))</f>
        <v/>
      </c>
      <c r="AG951" s="0" t="str">
        <f aca="false">IF($A951="","",IF(AT951="Y",BV951&amp;"",BI951&amp;""))</f>
        <v/>
      </c>
      <c r="AO951" s="5"/>
      <c r="AR951" s="0" t="str">
        <f aca="false">IF($A951="","",IF(AND(CK951="pass",AO951&lt;&gt;"Y",C951&lt;&gt;"",OR(AU951&lt;&gt;"Y",AV951="Y")),"Y","N"))</f>
        <v/>
      </c>
      <c r="AS951" s="0" t="str">
        <f aca="false">IF($A951="","",_xlfn.TEXTJOIN("; ",TRUE(),IF(CK951&lt;&gt;"pass","gated out",""),IF(AO951="Y","on hold: "&amp;AP951,""),IF(C951="","no contact named on an opened page",""),IF(AND(AU951="Y",AV951&lt;&gt;"Y"),"founder review pending (Founder review tab)","")))</f>
        <v/>
      </c>
      <c r="BC951" s="0" t="str">
        <f aca="false">IF($A951="","",IFERROR(INDEX(Enrichment!$A$2:$GZ$2000,MATCH($A951,INDEX(Enrichment!$A$2:$GZ$2000,0,MATCH("row_id",Enrichment!$A$1:$GZ$1,0)),0),MATCH("work_email",Enrichment!$A$1:$GZ$1,0))&amp;"",""))</f>
        <v/>
      </c>
      <c r="BD951" s="0" t="str">
        <f aca="false">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P951" s="0" t="str">
        <f aca="false">IF($A951="","",IFERROR(INDEX(Enrichment!$A$2:$GZ$2000,MATCH($A951,INDEX(Enrichment!$A$2:$GZ$2000,0,MATCH("row_id",Enrichment!$A$1:$GZ$1,0)),0),MATCH("backup_work_email",Enrichment!$A$1:$GZ$1,0))&amp;"",""))</f>
        <v/>
      </c>
      <c r="BQ951" s="0" t="str">
        <f aca="false">IF($A951="","",IF(BP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DU951" s="0" t="str">
        <f aca="false">IF($A951="","",IF(R951="Y",10,0))</f>
        <v/>
      </c>
      <c r="EV951" s="0" t="str">
        <f aca="false">IF($A951="","",IF(ISNUMBER(MATCH(U951,{"queued","contacted","replied","call_booked","call_done","yes_in_principle","materials_sent"},0)),"Y","N"))</f>
        <v/>
      </c>
      <c r="EW951" s="0" t="str">
        <f aca="false">IF($A951="","",IF(OR(T951="Y",U951="do_not_contact",AQ951&amp;""&lt;&gt;""),"Y","N"))</f>
        <v/>
      </c>
      <c r="EX951" s="0" t="str">
        <f aca="false">IF($A951="","",IF(AN951&amp;""&lt;&gt;"",AN951&amp;"",$A951))</f>
        <v/>
      </c>
      <c r="EY951" s="0" t="str">
        <f aca="false">IF($A951="","",IF(COUNTIFS($EX$2:$EX$1000,EX951,$EV$2:$EV$1000,"Y")+COUNTIFS($EX$2:$EX$1000,EX951,$EW$2:$EW$1000,"Y")&gt;0,"Y","N"))</f>
        <v/>
      </c>
      <c r="EZ951" s="0" t="str">
        <f aca="false">IF($A951="","",IF(AND(U951="new",T951="N",EW951="N",AR951="Y",EY951="N"),"Y","N"))</f>
        <v/>
      </c>
      <c r="FA951" s="0" t="str">
        <f aca="false">IF($A951="","",IF(EZ951&lt;&gt;"Y","N",IF(COUNTIFS($EX$2:$EX$1000,EX951,$EZ$2:$EZ$1000,"Y",$J$2:$J$1000,"&gt;"&amp;J951)+COUNTIFS($EX$2:$EX$1000,EX951,$EZ$2:$EZ$1000,"Y",$J$2:$J$1000,J951,$FG$2:$FG$1000,"&lt;"&amp;FG951)=0,"Y","N")))</f>
        <v/>
      </c>
      <c r="FB951" s="0" t="str">
        <f aca="false">IF($A951="","",IF(AND(EZ951="Y",FA951="Y",Y951&amp;""&lt;&gt;""),IF(Y951&lt;=10,"Y","N"),"N"))</f>
        <v/>
      </c>
      <c r="FC951" s="0" t="str">
        <f aca="false">IF(FB951="Y",Y951,"")</f>
        <v/>
      </c>
      <c r="FD951" s="0" t="str">
        <f aca="false">IF($A951="","",IF(AND(CK951="pass",AU951="Y",AV951&lt;&gt;"Y",U951="new",EW951="N"),"Y","N"))</f>
        <v/>
      </c>
      <c r="FE951" s="0" t="str">
        <f aca="false">IF(FD951&lt;&gt;"Y","",IF(COUNTIFS($FD$2:$FD$1000,"Y",$J$2:$J$1000,"&gt;"&amp;J951)+COUNTIFS($FD$2:$FD$1000,"Y",$J$2:$J$1000,J951,$FG$2:$FG$1000,"&lt;"&amp;FG951)+1&lt;=30,COUNTIFS($FD$2:$FD$1000,"Y",$J$2:$J$1000,"&gt;"&amp;J951)+COUNTIFS($FD$2:$FD$1000,"Y",$J$2:$J$1000,J951,$FG$2:$FG$1000,"&lt;"&amp;FG951)+1,""))</f>
        <v/>
      </c>
      <c r="FF951" s="0" t="str">
        <f aca="false">IF(AND(_xlfn.ISFORMULA(C951),_xlfn.ISFORMULA(J951)),"Y","N")</f>
        <v>Y</v>
      </c>
      <c r="FG951" s="0" t="n">
        <f aca="false">ROW()-1</f>
        <v>950</v>
      </c>
    </row>
    <row r="952" customFormat="false" ht="15" hidden="false" customHeight="false" outlineLevel="0" collapsed="false">
      <c r="C952" s="0" t="str">
        <f aca="false">IF($A952="","",IF(AT952="Y",BL952&amp;"",AY952&amp;""))</f>
        <v/>
      </c>
      <c r="D952" s="0" t="str">
        <f aca="false">IF($A952="","",IF(AT952="Y",BM952&amp;"",AZ952&amp;""))</f>
        <v/>
      </c>
      <c r="E952" s="0" t="str">
        <f aca="false">IF($A952="","",IF(AT952="Y",BN952&amp;"",BA952&amp;""))</f>
        <v/>
      </c>
      <c r="F952" s="0" t="str">
        <f aca="false">IF($A952="","",IF(AT952="Y",BO952&amp;"",BB952&amp;""))</f>
        <v/>
      </c>
      <c r="G952" s="0" t="str">
        <f aca="false">IF($A952="","",IF(AT952="Y",BP952&amp;"",BC952&amp;""))</f>
        <v/>
      </c>
      <c r="H952" s="0" t="str">
        <f aca="false">IF($A952="","",IF(AT952="Y",BQ952&amp;"",BD952&amp;""))</f>
        <v/>
      </c>
      <c r="I952" s="0" t="str">
        <f aca="false">IF($A952="","",IF(R952="Y","warm-intro",IF(H952="verified","email",IF(C952&lt;&gt;"","linkedin",CA952&amp;""))))</f>
        <v/>
      </c>
      <c r="J952" s="0" t="str">
        <f aca="false">IF($A952="","",IF(CK952="pass",ROUND(N(DO952)+N(DP952)+N(DQ952)+N(DR952)+N(DS952)+N(DT952)+N(DU952)+N(DV952),0),0))</f>
        <v/>
      </c>
      <c r="K952" s="0" t="str">
        <f aca="false">IF($A952="","",IF(CK952&lt;&gt;"pass",BY952&amp;"",BY952&amp;", "&amp;IF(AT952="Y",BX952&amp;"",BK952&amp;"")&amp;BZ952&amp;IF(R952="Y","; known to the founder (+10)","")&amp;"."))</f>
        <v/>
      </c>
      <c r="R952" s="5"/>
      <c r="T952" s="5"/>
      <c r="U952" s="5"/>
      <c r="Y952" s="0" t="str">
        <f aca="false">IF(FA952&lt;&gt;"Y","",COUNTIFS($FA$2:$FA$1000,"Y",$J$2:$J$1000,"&gt;"&amp;J952)+COUNTIFS($FA$2:$FA$1000,"Y",$J$2:$J$1000,J952,$FG$2:$FG$1000,"&lt;"&amp;FG952)+1)</f>
        <v/>
      </c>
      <c r="AB952" s="0" t="str">
        <f aca="false">IF($A952="","",IF(AT952="Y",BW952&amp;"",BJ952&amp;""))</f>
        <v/>
      </c>
      <c r="AC952" s="0" t="str">
        <f aca="false">IF($A952="","",IF(AT952="Y",BR952&amp;"",BE952&amp;""))</f>
        <v/>
      </c>
      <c r="AD952" s="0" t="str">
        <f aca="false">IF($A952="","",IF(AT952="Y",BS952&amp;"",BF952&amp;""))</f>
        <v/>
      </c>
      <c r="AE952" s="0" t="str">
        <f aca="false">IF($A952="","",IF(AT952="Y",BT952&amp;"",BG952&amp;""))</f>
        <v/>
      </c>
      <c r="AF952" s="0" t="str">
        <f aca="false">IF($A952="","",IF(AT952="Y",BU952&amp;"",BH952&amp;""))</f>
        <v/>
      </c>
      <c r="AG952" s="0" t="str">
        <f aca="false">IF($A952="","",IF(AT952="Y",BV952&amp;"",BI952&amp;""))</f>
        <v/>
      </c>
      <c r="AO952" s="5"/>
      <c r="AR952" s="0" t="str">
        <f aca="false">IF($A952="","",IF(AND(CK952="pass",AO952&lt;&gt;"Y",C952&lt;&gt;"",OR(AU952&lt;&gt;"Y",AV952="Y")),"Y","N"))</f>
        <v/>
      </c>
      <c r="AS952" s="0" t="str">
        <f aca="false">IF($A952="","",_xlfn.TEXTJOIN("; ",TRUE(),IF(CK952&lt;&gt;"pass","gated out",""),IF(AO952="Y","on hold: "&amp;AP952,""),IF(C952="","no contact named on an opened page",""),IF(AND(AU952="Y",AV952&lt;&gt;"Y"),"founder review pending (Founder review tab)","")))</f>
        <v/>
      </c>
      <c r="BC952" s="0" t="str">
        <f aca="false">IF($A952="","",IFERROR(INDEX(Enrichment!$A$2:$GZ$2000,MATCH($A952,INDEX(Enrichment!$A$2:$GZ$2000,0,MATCH("row_id",Enrichment!$A$1:$GZ$1,0)),0),MATCH("work_email",Enrichment!$A$1:$GZ$1,0))&amp;"",""))</f>
        <v/>
      </c>
      <c r="BD952" s="0" t="str">
        <f aca="false">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P952" s="0" t="str">
        <f aca="false">IF($A952="","",IFERROR(INDEX(Enrichment!$A$2:$GZ$2000,MATCH($A952,INDEX(Enrichment!$A$2:$GZ$2000,0,MATCH("row_id",Enrichment!$A$1:$GZ$1,0)),0),MATCH("backup_work_email",Enrichment!$A$1:$GZ$1,0))&amp;"",""))</f>
        <v/>
      </c>
      <c r="BQ952" s="0" t="str">
        <f aca="false">IF($A952="","",IF(BP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DU952" s="0" t="str">
        <f aca="false">IF($A952="","",IF(R952="Y",10,0))</f>
        <v/>
      </c>
      <c r="EV952" s="0" t="str">
        <f aca="false">IF($A952="","",IF(ISNUMBER(MATCH(U952,{"queued","contacted","replied","call_booked","call_done","yes_in_principle","materials_sent"},0)),"Y","N"))</f>
        <v/>
      </c>
      <c r="EW952" s="0" t="str">
        <f aca="false">IF($A952="","",IF(OR(T952="Y",U952="do_not_contact",AQ952&amp;""&lt;&gt;""),"Y","N"))</f>
        <v/>
      </c>
      <c r="EX952" s="0" t="str">
        <f aca="false">IF($A952="","",IF(AN952&amp;""&lt;&gt;"",AN952&amp;"",$A952))</f>
        <v/>
      </c>
      <c r="EY952" s="0" t="str">
        <f aca="false">IF($A952="","",IF(COUNTIFS($EX$2:$EX$1000,EX952,$EV$2:$EV$1000,"Y")+COUNTIFS($EX$2:$EX$1000,EX952,$EW$2:$EW$1000,"Y")&gt;0,"Y","N"))</f>
        <v/>
      </c>
      <c r="EZ952" s="0" t="str">
        <f aca="false">IF($A952="","",IF(AND(U952="new",T952="N",EW952="N",AR952="Y",EY952="N"),"Y","N"))</f>
        <v/>
      </c>
      <c r="FA952" s="0" t="str">
        <f aca="false">IF($A952="","",IF(EZ952&lt;&gt;"Y","N",IF(COUNTIFS($EX$2:$EX$1000,EX952,$EZ$2:$EZ$1000,"Y",$J$2:$J$1000,"&gt;"&amp;J952)+COUNTIFS($EX$2:$EX$1000,EX952,$EZ$2:$EZ$1000,"Y",$J$2:$J$1000,J952,$FG$2:$FG$1000,"&lt;"&amp;FG952)=0,"Y","N")))</f>
        <v/>
      </c>
      <c r="FB952" s="0" t="str">
        <f aca="false">IF($A952="","",IF(AND(EZ952="Y",FA952="Y",Y952&amp;""&lt;&gt;""),IF(Y952&lt;=10,"Y","N"),"N"))</f>
        <v/>
      </c>
      <c r="FC952" s="0" t="str">
        <f aca="false">IF(FB952="Y",Y952,"")</f>
        <v/>
      </c>
      <c r="FD952" s="0" t="str">
        <f aca="false">IF($A952="","",IF(AND(CK952="pass",AU952="Y",AV952&lt;&gt;"Y",U952="new",EW952="N"),"Y","N"))</f>
        <v/>
      </c>
      <c r="FE952" s="0" t="str">
        <f aca="false">IF(FD952&lt;&gt;"Y","",IF(COUNTIFS($FD$2:$FD$1000,"Y",$J$2:$J$1000,"&gt;"&amp;J952)+COUNTIFS($FD$2:$FD$1000,"Y",$J$2:$J$1000,J952,$FG$2:$FG$1000,"&lt;"&amp;FG952)+1&lt;=30,COUNTIFS($FD$2:$FD$1000,"Y",$J$2:$J$1000,"&gt;"&amp;J952)+COUNTIFS($FD$2:$FD$1000,"Y",$J$2:$J$1000,J952,$FG$2:$FG$1000,"&lt;"&amp;FG952)+1,""))</f>
        <v/>
      </c>
      <c r="FF952" s="0" t="str">
        <f aca="false">IF(AND(_xlfn.ISFORMULA(C952),_xlfn.ISFORMULA(J952)),"Y","N")</f>
        <v>Y</v>
      </c>
      <c r="FG952" s="0" t="n">
        <f aca="false">ROW()-1</f>
        <v>951</v>
      </c>
    </row>
    <row r="953" customFormat="false" ht="15" hidden="false" customHeight="false" outlineLevel="0" collapsed="false">
      <c r="C953" s="0" t="str">
        <f aca="false">IF($A953="","",IF(AT953="Y",BL953&amp;"",AY953&amp;""))</f>
        <v/>
      </c>
      <c r="D953" s="0" t="str">
        <f aca="false">IF($A953="","",IF(AT953="Y",BM953&amp;"",AZ953&amp;""))</f>
        <v/>
      </c>
      <c r="E953" s="0" t="str">
        <f aca="false">IF($A953="","",IF(AT953="Y",BN953&amp;"",BA953&amp;""))</f>
        <v/>
      </c>
      <c r="F953" s="0" t="str">
        <f aca="false">IF($A953="","",IF(AT953="Y",BO953&amp;"",BB953&amp;""))</f>
        <v/>
      </c>
      <c r="G953" s="0" t="str">
        <f aca="false">IF($A953="","",IF(AT953="Y",BP953&amp;"",BC953&amp;""))</f>
        <v/>
      </c>
      <c r="H953" s="0" t="str">
        <f aca="false">IF($A953="","",IF(AT953="Y",BQ953&amp;"",BD953&amp;""))</f>
        <v/>
      </c>
      <c r="I953" s="0" t="str">
        <f aca="false">IF($A953="","",IF(R953="Y","warm-intro",IF(H953="verified","email",IF(C953&lt;&gt;"","linkedin",CA953&amp;""))))</f>
        <v/>
      </c>
      <c r="J953" s="0" t="str">
        <f aca="false">IF($A953="","",IF(CK953="pass",ROUND(N(DO953)+N(DP953)+N(DQ953)+N(DR953)+N(DS953)+N(DT953)+N(DU953)+N(DV953),0),0))</f>
        <v/>
      </c>
      <c r="K953" s="0" t="str">
        <f aca="false">IF($A953="","",IF(CK953&lt;&gt;"pass",BY953&amp;"",BY953&amp;", "&amp;IF(AT953="Y",BX953&amp;"",BK953&amp;"")&amp;BZ953&amp;IF(R953="Y","; known to the founder (+10)","")&amp;"."))</f>
        <v/>
      </c>
      <c r="R953" s="5"/>
      <c r="T953" s="5"/>
      <c r="U953" s="5"/>
      <c r="Y953" s="0" t="str">
        <f aca="false">IF(FA953&lt;&gt;"Y","",COUNTIFS($FA$2:$FA$1000,"Y",$J$2:$J$1000,"&gt;"&amp;J953)+COUNTIFS($FA$2:$FA$1000,"Y",$J$2:$J$1000,J953,$FG$2:$FG$1000,"&lt;"&amp;FG953)+1)</f>
        <v/>
      </c>
      <c r="AB953" s="0" t="str">
        <f aca="false">IF($A953="","",IF(AT953="Y",BW953&amp;"",BJ953&amp;""))</f>
        <v/>
      </c>
      <c r="AC953" s="0" t="str">
        <f aca="false">IF($A953="","",IF(AT953="Y",BR953&amp;"",BE953&amp;""))</f>
        <v/>
      </c>
      <c r="AD953" s="0" t="str">
        <f aca="false">IF($A953="","",IF(AT953="Y",BS953&amp;"",BF953&amp;""))</f>
        <v/>
      </c>
      <c r="AE953" s="0" t="str">
        <f aca="false">IF($A953="","",IF(AT953="Y",BT953&amp;"",BG953&amp;""))</f>
        <v/>
      </c>
      <c r="AF953" s="0" t="str">
        <f aca="false">IF($A953="","",IF(AT953="Y",BU953&amp;"",BH953&amp;""))</f>
        <v/>
      </c>
      <c r="AG953" s="0" t="str">
        <f aca="false">IF($A953="","",IF(AT953="Y",BV953&amp;"",BI953&amp;""))</f>
        <v/>
      </c>
      <c r="AO953" s="5"/>
      <c r="AR953" s="0" t="str">
        <f aca="false">IF($A953="","",IF(AND(CK953="pass",AO953&lt;&gt;"Y",C953&lt;&gt;"",OR(AU953&lt;&gt;"Y",AV953="Y")),"Y","N"))</f>
        <v/>
      </c>
      <c r="AS953" s="0" t="str">
        <f aca="false">IF($A953="","",_xlfn.TEXTJOIN("; ",TRUE(),IF(CK953&lt;&gt;"pass","gated out",""),IF(AO953="Y","on hold: "&amp;AP953,""),IF(C953="","no contact named on an opened page",""),IF(AND(AU953="Y",AV953&lt;&gt;"Y"),"founder review pending (Founder review tab)","")))</f>
        <v/>
      </c>
      <c r="BC953" s="0" t="str">
        <f aca="false">IF($A953="","",IFERROR(INDEX(Enrichment!$A$2:$GZ$2000,MATCH($A953,INDEX(Enrichment!$A$2:$GZ$2000,0,MATCH("row_id",Enrichment!$A$1:$GZ$1,0)),0),MATCH("work_email",Enrichment!$A$1:$GZ$1,0))&amp;"",""))</f>
        <v/>
      </c>
      <c r="BD953" s="0" t="str">
        <f aca="false">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P953" s="0" t="str">
        <f aca="false">IF($A953="","",IFERROR(INDEX(Enrichment!$A$2:$GZ$2000,MATCH($A953,INDEX(Enrichment!$A$2:$GZ$2000,0,MATCH("row_id",Enrichment!$A$1:$GZ$1,0)),0),MATCH("backup_work_email",Enrichment!$A$1:$GZ$1,0))&amp;"",""))</f>
        <v/>
      </c>
      <c r="BQ953" s="0" t="str">
        <f aca="false">IF($A953="","",IF(BP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DU953" s="0" t="str">
        <f aca="false">IF($A953="","",IF(R953="Y",10,0))</f>
        <v/>
      </c>
      <c r="EV953" s="0" t="str">
        <f aca="false">IF($A953="","",IF(ISNUMBER(MATCH(U953,{"queued","contacted","replied","call_booked","call_done","yes_in_principle","materials_sent"},0)),"Y","N"))</f>
        <v/>
      </c>
      <c r="EW953" s="0" t="str">
        <f aca="false">IF($A953="","",IF(OR(T953="Y",U953="do_not_contact",AQ953&amp;""&lt;&gt;""),"Y","N"))</f>
        <v/>
      </c>
      <c r="EX953" s="0" t="str">
        <f aca="false">IF($A953="","",IF(AN953&amp;""&lt;&gt;"",AN953&amp;"",$A953))</f>
        <v/>
      </c>
      <c r="EY953" s="0" t="str">
        <f aca="false">IF($A953="","",IF(COUNTIFS($EX$2:$EX$1000,EX953,$EV$2:$EV$1000,"Y")+COUNTIFS($EX$2:$EX$1000,EX953,$EW$2:$EW$1000,"Y")&gt;0,"Y","N"))</f>
        <v/>
      </c>
      <c r="EZ953" s="0" t="str">
        <f aca="false">IF($A953="","",IF(AND(U953="new",T953="N",EW953="N",AR953="Y",EY953="N"),"Y","N"))</f>
        <v/>
      </c>
      <c r="FA953" s="0" t="str">
        <f aca="false">IF($A953="","",IF(EZ953&lt;&gt;"Y","N",IF(COUNTIFS($EX$2:$EX$1000,EX953,$EZ$2:$EZ$1000,"Y",$J$2:$J$1000,"&gt;"&amp;J953)+COUNTIFS($EX$2:$EX$1000,EX953,$EZ$2:$EZ$1000,"Y",$J$2:$J$1000,J953,$FG$2:$FG$1000,"&lt;"&amp;FG953)=0,"Y","N")))</f>
        <v/>
      </c>
      <c r="FB953" s="0" t="str">
        <f aca="false">IF($A953="","",IF(AND(EZ953="Y",FA953="Y",Y953&amp;""&lt;&gt;""),IF(Y953&lt;=10,"Y","N"),"N"))</f>
        <v/>
      </c>
      <c r="FC953" s="0" t="str">
        <f aca="false">IF(FB953="Y",Y953,"")</f>
        <v/>
      </c>
      <c r="FD953" s="0" t="str">
        <f aca="false">IF($A953="","",IF(AND(CK953="pass",AU953="Y",AV953&lt;&gt;"Y",U953="new",EW953="N"),"Y","N"))</f>
        <v/>
      </c>
      <c r="FE953" s="0" t="str">
        <f aca="false">IF(FD953&lt;&gt;"Y","",IF(COUNTIFS($FD$2:$FD$1000,"Y",$J$2:$J$1000,"&gt;"&amp;J953)+COUNTIFS($FD$2:$FD$1000,"Y",$J$2:$J$1000,J953,$FG$2:$FG$1000,"&lt;"&amp;FG953)+1&lt;=30,COUNTIFS($FD$2:$FD$1000,"Y",$J$2:$J$1000,"&gt;"&amp;J953)+COUNTIFS($FD$2:$FD$1000,"Y",$J$2:$J$1000,J953,$FG$2:$FG$1000,"&lt;"&amp;FG953)+1,""))</f>
        <v/>
      </c>
      <c r="FF953" s="0" t="str">
        <f aca="false">IF(AND(_xlfn.ISFORMULA(C953),_xlfn.ISFORMULA(J953)),"Y","N")</f>
        <v>Y</v>
      </c>
      <c r="FG953" s="0" t="n">
        <f aca="false">ROW()-1</f>
        <v>952</v>
      </c>
    </row>
    <row r="954" customFormat="false" ht="15" hidden="false" customHeight="false" outlineLevel="0" collapsed="false">
      <c r="C954" s="0" t="str">
        <f aca="false">IF($A954="","",IF(AT954="Y",BL954&amp;"",AY954&amp;""))</f>
        <v/>
      </c>
      <c r="D954" s="0" t="str">
        <f aca="false">IF($A954="","",IF(AT954="Y",BM954&amp;"",AZ954&amp;""))</f>
        <v/>
      </c>
      <c r="E954" s="0" t="str">
        <f aca="false">IF($A954="","",IF(AT954="Y",BN954&amp;"",BA954&amp;""))</f>
        <v/>
      </c>
      <c r="F954" s="0" t="str">
        <f aca="false">IF($A954="","",IF(AT954="Y",BO954&amp;"",BB954&amp;""))</f>
        <v/>
      </c>
      <c r="G954" s="0" t="str">
        <f aca="false">IF($A954="","",IF(AT954="Y",BP954&amp;"",BC954&amp;""))</f>
        <v/>
      </c>
      <c r="H954" s="0" t="str">
        <f aca="false">IF($A954="","",IF(AT954="Y",BQ954&amp;"",BD954&amp;""))</f>
        <v/>
      </c>
      <c r="I954" s="0" t="str">
        <f aca="false">IF($A954="","",IF(R954="Y","warm-intro",IF(H954="verified","email",IF(C954&lt;&gt;"","linkedin",CA954&amp;""))))</f>
        <v/>
      </c>
      <c r="J954" s="0" t="str">
        <f aca="false">IF($A954="","",IF(CK954="pass",ROUND(N(DO954)+N(DP954)+N(DQ954)+N(DR954)+N(DS954)+N(DT954)+N(DU954)+N(DV954),0),0))</f>
        <v/>
      </c>
      <c r="K954" s="0" t="str">
        <f aca="false">IF($A954="","",IF(CK954&lt;&gt;"pass",BY954&amp;"",BY954&amp;", "&amp;IF(AT954="Y",BX954&amp;"",BK954&amp;"")&amp;BZ954&amp;IF(R954="Y","; known to the founder (+10)","")&amp;"."))</f>
        <v/>
      </c>
      <c r="R954" s="5"/>
      <c r="T954" s="5"/>
      <c r="U954" s="5"/>
      <c r="Y954" s="0" t="str">
        <f aca="false">IF(FA954&lt;&gt;"Y","",COUNTIFS($FA$2:$FA$1000,"Y",$J$2:$J$1000,"&gt;"&amp;J954)+COUNTIFS($FA$2:$FA$1000,"Y",$J$2:$J$1000,J954,$FG$2:$FG$1000,"&lt;"&amp;FG954)+1)</f>
        <v/>
      </c>
      <c r="AB954" s="0" t="str">
        <f aca="false">IF($A954="","",IF(AT954="Y",BW954&amp;"",BJ954&amp;""))</f>
        <v/>
      </c>
      <c r="AC954" s="0" t="str">
        <f aca="false">IF($A954="","",IF(AT954="Y",BR954&amp;"",BE954&amp;""))</f>
        <v/>
      </c>
      <c r="AD954" s="0" t="str">
        <f aca="false">IF($A954="","",IF(AT954="Y",BS954&amp;"",BF954&amp;""))</f>
        <v/>
      </c>
      <c r="AE954" s="0" t="str">
        <f aca="false">IF($A954="","",IF(AT954="Y",BT954&amp;"",BG954&amp;""))</f>
        <v/>
      </c>
      <c r="AF954" s="0" t="str">
        <f aca="false">IF($A954="","",IF(AT954="Y",BU954&amp;"",BH954&amp;""))</f>
        <v/>
      </c>
      <c r="AG954" s="0" t="str">
        <f aca="false">IF($A954="","",IF(AT954="Y",BV954&amp;"",BI954&amp;""))</f>
        <v/>
      </c>
      <c r="AO954" s="5"/>
      <c r="AR954" s="0" t="str">
        <f aca="false">IF($A954="","",IF(AND(CK954="pass",AO954&lt;&gt;"Y",C954&lt;&gt;"",OR(AU954&lt;&gt;"Y",AV954="Y")),"Y","N"))</f>
        <v/>
      </c>
      <c r="AS954" s="0" t="str">
        <f aca="false">IF($A954="","",_xlfn.TEXTJOIN("; ",TRUE(),IF(CK954&lt;&gt;"pass","gated out",""),IF(AO954="Y","on hold: "&amp;AP954,""),IF(C954="","no contact named on an opened page",""),IF(AND(AU954="Y",AV954&lt;&gt;"Y"),"founder review pending (Founder review tab)","")))</f>
        <v/>
      </c>
      <c r="BC954" s="0" t="str">
        <f aca="false">IF($A954="","",IFERROR(INDEX(Enrichment!$A$2:$GZ$2000,MATCH($A954,INDEX(Enrichment!$A$2:$GZ$2000,0,MATCH("row_id",Enrichment!$A$1:$GZ$1,0)),0),MATCH("work_email",Enrichment!$A$1:$GZ$1,0))&amp;"",""))</f>
        <v/>
      </c>
      <c r="BD954" s="0" t="str">
        <f aca="false">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P954" s="0" t="str">
        <f aca="false">IF($A954="","",IFERROR(INDEX(Enrichment!$A$2:$GZ$2000,MATCH($A954,INDEX(Enrichment!$A$2:$GZ$2000,0,MATCH("row_id",Enrichment!$A$1:$GZ$1,0)),0),MATCH("backup_work_email",Enrichment!$A$1:$GZ$1,0))&amp;"",""))</f>
        <v/>
      </c>
      <c r="BQ954" s="0" t="str">
        <f aca="false">IF($A954="","",IF(BP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DU954" s="0" t="str">
        <f aca="false">IF($A954="","",IF(R954="Y",10,0))</f>
        <v/>
      </c>
      <c r="EV954" s="0" t="str">
        <f aca="false">IF($A954="","",IF(ISNUMBER(MATCH(U954,{"queued","contacted","replied","call_booked","call_done","yes_in_principle","materials_sent"},0)),"Y","N"))</f>
        <v/>
      </c>
      <c r="EW954" s="0" t="str">
        <f aca="false">IF($A954="","",IF(OR(T954="Y",U954="do_not_contact",AQ954&amp;""&lt;&gt;""),"Y","N"))</f>
        <v/>
      </c>
      <c r="EX954" s="0" t="str">
        <f aca="false">IF($A954="","",IF(AN954&amp;""&lt;&gt;"",AN954&amp;"",$A954))</f>
        <v/>
      </c>
      <c r="EY954" s="0" t="str">
        <f aca="false">IF($A954="","",IF(COUNTIFS($EX$2:$EX$1000,EX954,$EV$2:$EV$1000,"Y")+COUNTIFS($EX$2:$EX$1000,EX954,$EW$2:$EW$1000,"Y")&gt;0,"Y","N"))</f>
        <v/>
      </c>
      <c r="EZ954" s="0" t="str">
        <f aca="false">IF($A954="","",IF(AND(U954="new",T954="N",EW954="N",AR954="Y",EY954="N"),"Y","N"))</f>
        <v/>
      </c>
      <c r="FA954" s="0" t="str">
        <f aca="false">IF($A954="","",IF(EZ954&lt;&gt;"Y","N",IF(COUNTIFS($EX$2:$EX$1000,EX954,$EZ$2:$EZ$1000,"Y",$J$2:$J$1000,"&gt;"&amp;J954)+COUNTIFS($EX$2:$EX$1000,EX954,$EZ$2:$EZ$1000,"Y",$J$2:$J$1000,J954,$FG$2:$FG$1000,"&lt;"&amp;FG954)=0,"Y","N")))</f>
        <v/>
      </c>
      <c r="FB954" s="0" t="str">
        <f aca="false">IF($A954="","",IF(AND(EZ954="Y",FA954="Y",Y954&amp;""&lt;&gt;""),IF(Y954&lt;=10,"Y","N"),"N"))</f>
        <v/>
      </c>
      <c r="FC954" s="0" t="str">
        <f aca="false">IF(FB954="Y",Y954,"")</f>
        <v/>
      </c>
      <c r="FD954" s="0" t="str">
        <f aca="false">IF($A954="","",IF(AND(CK954="pass",AU954="Y",AV954&lt;&gt;"Y",U954="new",EW954="N"),"Y","N"))</f>
        <v/>
      </c>
      <c r="FE954" s="0" t="str">
        <f aca="false">IF(FD954&lt;&gt;"Y","",IF(COUNTIFS($FD$2:$FD$1000,"Y",$J$2:$J$1000,"&gt;"&amp;J954)+COUNTIFS($FD$2:$FD$1000,"Y",$J$2:$J$1000,J954,$FG$2:$FG$1000,"&lt;"&amp;FG954)+1&lt;=30,COUNTIFS($FD$2:$FD$1000,"Y",$J$2:$J$1000,"&gt;"&amp;J954)+COUNTIFS($FD$2:$FD$1000,"Y",$J$2:$J$1000,J954,$FG$2:$FG$1000,"&lt;"&amp;FG954)+1,""))</f>
        <v/>
      </c>
      <c r="FF954" s="0" t="str">
        <f aca="false">IF(AND(_xlfn.ISFORMULA(C954),_xlfn.ISFORMULA(J954)),"Y","N")</f>
        <v>Y</v>
      </c>
      <c r="FG954" s="0" t="n">
        <f aca="false">ROW()-1</f>
        <v>953</v>
      </c>
    </row>
    <row r="955" customFormat="false" ht="15" hidden="false" customHeight="false" outlineLevel="0" collapsed="false">
      <c r="C955" s="0" t="str">
        <f aca="false">IF($A955="","",IF(AT955="Y",BL955&amp;"",AY955&amp;""))</f>
        <v/>
      </c>
      <c r="D955" s="0" t="str">
        <f aca="false">IF($A955="","",IF(AT955="Y",BM955&amp;"",AZ955&amp;""))</f>
        <v/>
      </c>
      <c r="E955" s="0" t="str">
        <f aca="false">IF($A955="","",IF(AT955="Y",BN955&amp;"",BA955&amp;""))</f>
        <v/>
      </c>
      <c r="F955" s="0" t="str">
        <f aca="false">IF($A955="","",IF(AT955="Y",BO955&amp;"",BB955&amp;""))</f>
        <v/>
      </c>
      <c r="G955" s="0" t="str">
        <f aca="false">IF($A955="","",IF(AT955="Y",BP955&amp;"",BC955&amp;""))</f>
        <v/>
      </c>
      <c r="H955" s="0" t="str">
        <f aca="false">IF($A955="","",IF(AT955="Y",BQ955&amp;"",BD955&amp;""))</f>
        <v/>
      </c>
      <c r="I955" s="0" t="str">
        <f aca="false">IF($A955="","",IF(R955="Y","warm-intro",IF(H955="verified","email",IF(C955&lt;&gt;"","linkedin",CA955&amp;""))))</f>
        <v/>
      </c>
      <c r="J955" s="0" t="str">
        <f aca="false">IF($A955="","",IF(CK955="pass",ROUND(N(DO955)+N(DP955)+N(DQ955)+N(DR955)+N(DS955)+N(DT955)+N(DU955)+N(DV955),0),0))</f>
        <v/>
      </c>
      <c r="K955" s="0" t="str">
        <f aca="false">IF($A955="","",IF(CK955&lt;&gt;"pass",BY955&amp;"",BY955&amp;", "&amp;IF(AT955="Y",BX955&amp;"",BK955&amp;"")&amp;BZ955&amp;IF(R955="Y","; known to the founder (+10)","")&amp;"."))</f>
        <v/>
      </c>
      <c r="R955" s="5"/>
      <c r="T955" s="5"/>
      <c r="U955" s="5"/>
      <c r="Y955" s="0" t="str">
        <f aca="false">IF(FA955&lt;&gt;"Y","",COUNTIFS($FA$2:$FA$1000,"Y",$J$2:$J$1000,"&gt;"&amp;J955)+COUNTIFS($FA$2:$FA$1000,"Y",$J$2:$J$1000,J955,$FG$2:$FG$1000,"&lt;"&amp;FG955)+1)</f>
        <v/>
      </c>
      <c r="AB955" s="0" t="str">
        <f aca="false">IF($A955="","",IF(AT955="Y",BW955&amp;"",BJ955&amp;""))</f>
        <v/>
      </c>
      <c r="AC955" s="0" t="str">
        <f aca="false">IF($A955="","",IF(AT955="Y",BR955&amp;"",BE955&amp;""))</f>
        <v/>
      </c>
      <c r="AD955" s="0" t="str">
        <f aca="false">IF($A955="","",IF(AT955="Y",BS955&amp;"",BF955&amp;""))</f>
        <v/>
      </c>
      <c r="AE955" s="0" t="str">
        <f aca="false">IF($A955="","",IF(AT955="Y",BT955&amp;"",BG955&amp;""))</f>
        <v/>
      </c>
      <c r="AF955" s="0" t="str">
        <f aca="false">IF($A955="","",IF(AT955="Y",BU955&amp;"",BH955&amp;""))</f>
        <v/>
      </c>
      <c r="AG955" s="0" t="str">
        <f aca="false">IF($A955="","",IF(AT955="Y",BV955&amp;"",BI955&amp;""))</f>
        <v/>
      </c>
      <c r="AO955" s="5"/>
      <c r="AR955" s="0" t="str">
        <f aca="false">IF($A955="","",IF(AND(CK955="pass",AO955&lt;&gt;"Y",C955&lt;&gt;"",OR(AU955&lt;&gt;"Y",AV955="Y")),"Y","N"))</f>
        <v/>
      </c>
      <c r="AS955" s="0" t="str">
        <f aca="false">IF($A955="","",_xlfn.TEXTJOIN("; ",TRUE(),IF(CK955&lt;&gt;"pass","gated out",""),IF(AO955="Y","on hold: "&amp;AP955,""),IF(C955="","no contact named on an opened page",""),IF(AND(AU955="Y",AV955&lt;&gt;"Y"),"founder review pending (Founder review tab)","")))</f>
        <v/>
      </c>
      <c r="BC955" s="0" t="str">
        <f aca="false">IF($A955="","",IFERROR(INDEX(Enrichment!$A$2:$GZ$2000,MATCH($A955,INDEX(Enrichment!$A$2:$GZ$2000,0,MATCH("row_id",Enrichment!$A$1:$GZ$1,0)),0),MATCH("work_email",Enrichment!$A$1:$GZ$1,0))&amp;"",""))</f>
        <v/>
      </c>
      <c r="BD955" s="0" t="str">
        <f aca="false">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P955" s="0" t="str">
        <f aca="false">IF($A955="","",IFERROR(INDEX(Enrichment!$A$2:$GZ$2000,MATCH($A955,INDEX(Enrichment!$A$2:$GZ$2000,0,MATCH("row_id",Enrichment!$A$1:$GZ$1,0)),0),MATCH("backup_work_email",Enrichment!$A$1:$GZ$1,0))&amp;"",""))</f>
        <v/>
      </c>
      <c r="BQ955" s="0" t="str">
        <f aca="false">IF($A955="","",IF(BP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DU955" s="0" t="str">
        <f aca="false">IF($A955="","",IF(R955="Y",10,0))</f>
        <v/>
      </c>
      <c r="EV955" s="0" t="str">
        <f aca="false">IF($A955="","",IF(ISNUMBER(MATCH(U955,{"queued","contacted","replied","call_booked","call_done","yes_in_principle","materials_sent"},0)),"Y","N"))</f>
        <v/>
      </c>
      <c r="EW955" s="0" t="str">
        <f aca="false">IF($A955="","",IF(OR(T955="Y",U955="do_not_contact",AQ955&amp;""&lt;&gt;""),"Y","N"))</f>
        <v/>
      </c>
      <c r="EX955" s="0" t="str">
        <f aca="false">IF($A955="","",IF(AN955&amp;""&lt;&gt;"",AN955&amp;"",$A955))</f>
        <v/>
      </c>
      <c r="EY955" s="0" t="str">
        <f aca="false">IF($A955="","",IF(COUNTIFS($EX$2:$EX$1000,EX955,$EV$2:$EV$1000,"Y")+COUNTIFS($EX$2:$EX$1000,EX955,$EW$2:$EW$1000,"Y")&gt;0,"Y","N"))</f>
        <v/>
      </c>
      <c r="EZ955" s="0" t="str">
        <f aca="false">IF($A955="","",IF(AND(U955="new",T955="N",EW955="N",AR955="Y",EY955="N"),"Y","N"))</f>
        <v/>
      </c>
      <c r="FA955" s="0" t="str">
        <f aca="false">IF($A955="","",IF(EZ955&lt;&gt;"Y","N",IF(COUNTIFS($EX$2:$EX$1000,EX955,$EZ$2:$EZ$1000,"Y",$J$2:$J$1000,"&gt;"&amp;J955)+COUNTIFS($EX$2:$EX$1000,EX955,$EZ$2:$EZ$1000,"Y",$J$2:$J$1000,J955,$FG$2:$FG$1000,"&lt;"&amp;FG955)=0,"Y","N")))</f>
        <v/>
      </c>
      <c r="FB955" s="0" t="str">
        <f aca="false">IF($A955="","",IF(AND(EZ955="Y",FA955="Y",Y955&amp;""&lt;&gt;""),IF(Y955&lt;=10,"Y","N"),"N"))</f>
        <v/>
      </c>
      <c r="FC955" s="0" t="str">
        <f aca="false">IF(FB955="Y",Y955,"")</f>
        <v/>
      </c>
      <c r="FD955" s="0" t="str">
        <f aca="false">IF($A955="","",IF(AND(CK955="pass",AU955="Y",AV955&lt;&gt;"Y",U955="new",EW955="N"),"Y","N"))</f>
        <v/>
      </c>
      <c r="FE955" s="0" t="str">
        <f aca="false">IF(FD955&lt;&gt;"Y","",IF(COUNTIFS($FD$2:$FD$1000,"Y",$J$2:$J$1000,"&gt;"&amp;J955)+COUNTIFS($FD$2:$FD$1000,"Y",$J$2:$J$1000,J955,$FG$2:$FG$1000,"&lt;"&amp;FG955)+1&lt;=30,COUNTIFS($FD$2:$FD$1000,"Y",$J$2:$J$1000,"&gt;"&amp;J955)+COUNTIFS($FD$2:$FD$1000,"Y",$J$2:$J$1000,J955,$FG$2:$FG$1000,"&lt;"&amp;FG955)+1,""))</f>
        <v/>
      </c>
      <c r="FF955" s="0" t="str">
        <f aca="false">IF(AND(_xlfn.ISFORMULA(C955),_xlfn.ISFORMULA(J955)),"Y","N")</f>
        <v>Y</v>
      </c>
      <c r="FG955" s="0" t="n">
        <f aca="false">ROW()-1</f>
        <v>954</v>
      </c>
    </row>
    <row r="956" customFormat="false" ht="15" hidden="false" customHeight="false" outlineLevel="0" collapsed="false">
      <c r="C956" s="0" t="str">
        <f aca="false">IF($A956="","",IF(AT956="Y",BL956&amp;"",AY956&amp;""))</f>
        <v/>
      </c>
      <c r="D956" s="0" t="str">
        <f aca="false">IF($A956="","",IF(AT956="Y",BM956&amp;"",AZ956&amp;""))</f>
        <v/>
      </c>
      <c r="E956" s="0" t="str">
        <f aca="false">IF($A956="","",IF(AT956="Y",BN956&amp;"",BA956&amp;""))</f>
        <v/>
      </c>
      <c r="F956" s="0" t="str">
        <f aca="false">IF($A956="","",IF(AT956="Y",BO956&amp;"",BB956&amp;""))</f>
        <v/>
      </c>
      <c r="G956" s="0" t="str">
        <f aca="false">IF($A956="","",IF(AT956="Y",BP956&amp;"",BC956&amp;""))</f>
        <v/>
      </c>
      <c r="H956" s="0" t="str">
        <f aca="false">IF($A956="","",IF(AT956="Y",BQ956&amp;"",BD956&amp;""))</f>
        <v/>
      </c>
      <c r="I956" s="0" t="str">
        <f aca="false">IF($A956="","",IF(R956="Y","warm-intro",IF(H956="verified","email",IF(C956&lt;&gt;"","linkedin",CA956&amp;""))))</f>
        <v/>
      </c>
      <c r="J956" s="0" t="str">
        <f aca="false">IF($A956="","",IF(CK956="pass",ROUND(N(DO956)+N(DP956)+N(DQ956)+N(DR956)+N(DS956)+N(DT956)+N(DU956)+N(DV956),0),0))</f>
        <v/>
      </c>
      <c r="K956" s="0" t="str">
        <f aca="false">IF($A956="","",IF(CK956&lt;&gt;"pass",BY956&amp;"",BY956&amp;", "&amp;IF(AT956="Y",BX956&amp;"",BK956&amp;"")&amp;BZ956&amp;IF(R956="Y","; known to the founder (+10)","")&amp;"."))</f>
        <v/>
      </c>
      <c r="R956" s="5"/>
      <c r="T956" s="5"/>
      <c r="U956" s="5"/>
      <c r="Y956" s="0" t="str">
        <f aca="false">IF(FA956&lt;&gt;"Y","",COUNTIFS($FA$2:$FA$1000,"Y",$J$2:$J$1000,"&gt;"&amp;J956)+COUNTIFS($FA$2:$FA$1000,"Y",$J$2:$J$1000,J956,$FG$2:$FG$1000,"&lt;"&amp;FG956)+1)</f>
        <v/>
      </c>
      <c r="AB956" s="0" t="str">
        <f aca="false">IF($A956="","",IF(AT956="Y",BW956&amp;"",BJ956&amp;""))</f>
        <v/>
      </c>
      <c r="AC956" s="0" t="str">
        <f aca="false">IF($A956="","",IF(AT956="Y",BR956&amp;"",BE956&amp;""))</f>
        <v/>
      </c>
      <c r="AD956" s="0" t="str">
        <f aca="false">IF($A956="","",IF(AT956="Y",BS956&amp;"",BF956&amp;""))</f>
        <v/>
      </c>
      <c r="AE956" s="0" t="str">
        <f aca="false">IF($A956="","",IF(AT956="Y",BT956&amp;"",BG956&amp;""))</f>
        <v/>
      </c>
      <c r="AF956" s="0" t="str">
        <f aca="false">IF($A956="","",IF(AT956="Y",BU956&amp;"",BH956&amp;""))</f>
        <v/>
      </c>
      <c r="AG956" s="0" t="str">
        <f aca="false">IF($A956="","",IF(AT956="Y",BV956&amp;"",BI956&amp;""))</f>
        <v/>
      </c>
      <c r="AO956" s="5"/>
      <c r="AR956" s="0" t="str">
        <f aca="false">IF($A956="","",IF(AND(CK956="pass",AO956&lt;&gt;"Y",C956&lt;&gt;"",OR(AU956&lt;&gt;"Y",AV956="Y")),"Y","N"))</f>
        <v/>
      </c>
      <c r="AS956" s="0" t="str">
        <f aca="false">IF($A956="","",_xlfn.TEXTJOIN("; ",TRUE(),IF(CK956&lt;&gt;"pass","gated out",""),IF(AO956="Y","on hold: "&amp;AP956,""),IF(C956="","no contact named on an opened page",""),IF(AND(AU956="Y",AV956&lt;&gt;"Y"),"founder review pending (Founder review tab)","")))</f>
        <v/>
      </c>
      <c r="BC956" s="0" t="str">
        <f aca="false">IF($A956="","",IFERROR(INDEX(Enrichment!$A$2:$GZ$2000,MATCH($A956,INDEX(Enrichment!$A$2:$GZ$2000,0,MATCH("row_id",Enrichment!$A$1:$GZ$1,0)),0),MATCH("work_email",Enrichment!$A$1:$GZ$1,0))&amp;"",""))</f>
        <v/>
      </c>
      <c r="BD956" s="0" t="str">
        <f aca="false">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P956" s="0" t="str">
        <f aca="false">IF($A956="","",IFERROR(INDEX(Enrichment!$A$2:$GZ$2000,MATCH($A956,INDEX(Enrichment!$A$2:$GZ$2000,0,MATCH("row_id",Enrichment!$A$1:$GZ$1,0)),0),MATCH("backup_work_email",Enrichment!$A$1:$GZ$1,0))&amp;"",""))</f>
        <v/>
      </c>
      <c r="BQ956" s="0" t="str">
        <f aca="false">IF($A956="","",IF(BP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DU956" s="0" t="str">
        <f aca="false">IF($A956="","",IF(R956="Y",10,0))</f>
        <v/>
      </c>
      <c r="EV956" s="0" t="str">
        <f aca="false">IF($A956="","",IF(ISNUMBER(MATCH(U956,{"queued","contacted","replied","call_booked","call_done","yes_in_principle","materials_sent"},0)),"Y","N"))</f>
        <v/>
      </c>
      <c r="EW956" s="0" t="str">
        <f aca="false">IF($A956="","",IF(OR(T956="Y",U956="do_not_contact",AQ956&amp;""&lt;&gt;""),"Y","N"))</f>
        <v/>
      </c>
      <c r="EX956" s="0" t="str">
        <f aca="false">IF($A956="","",IF(AN956&amp;""&lt;&gt;"",AN956&amp;"",$A956))</f>
        <v/>
      </c>
      <c r="EY956" s="0" t="str">
        <f aca="false">IF($A956="","",IF(COUNTIFS($EX$2:$EX$1000,EX956,$EV$2:$EV$1000,"Y")+COUNTIFS($EX$2:$EX$1000,EX956,$EW$2:$EW$1000,"Y")&gt;0,"Y","N"))</f>
        <v/>
      </c>
      <c r="EZ956" s="0" t="str">
        <f aca="false">IF($A956="","",IF(AND(U956="new",T956="N",EW956="N",AR956="Y",EY956="N"),"Y","N"))</f>
        <v/>
      </c>
      <c r="FA956" s="0" t="str">
        <f aca="false">IF($A956="","",IF(EZ956&lt;&gt;"Y","N",IF(COUNTIFS($EX$2:$EX$1000,EX956,$EZ$2:$EZ$1000,"Y",$J$2:$J$1000,"&gt;"&amp;J956)+COUNTIFS($EX$2:$EX$1000,EX956,$EZ$2:$EZ$1000,"Y",$J$2:$J$1000,J956,$FG$2:$FG$1000,"&lt;"&amp;FG956)=0,"Y","N")))</f>
        <v/>
      </c>
      <c r="FB956" s="0" t="str">
        <f aca="false">IF($A956="","",IF(AND(EZ956="Y",FA956="Y",Y956&amp;""&lt;&gt;""),IF(Y956&lt;=10,"Y","N"),"N"))</f>
        <v/>
      </c>
      <c r="FC956" s="0" t="str">
        <f aca="false">IF(FB956="Y",Y956,"")</f>
        <v/>
      </c>
      <c r="FD956" s="0" t="str">
        <f aca="false">IF($A956="","",IF(AND(CK956="pass",AU956="Y",AV956&lt;&gt;"Y",U956="new",EW956="N"),"Y","N"))</f>
        <v/>
      </c>
      <c r="FE956" s="0" t="str">
        <f aca="false">IF(FD956&lt;&gt;"Y","",IF(COUNTIFS($FD$2:$FD$1000,"Y",$J$2:$J$1000,"&gt;"&amp;J956)+COUNTIFS($FD$2:$FD$1000,"Y",$J$2:$J$1000,J956,$FG$2:$FG$1000,"&lt;"&amp;FG956)+1&lt;=30,COUNTIFS($FD$2:$FD$1000,"Y",$J$2:$J$1000,"&gt;"&amp;J956)+COUNTIFS($FD$2:$FD$1000,"Y",$J$2:$J$1000,J956,$FG$2:$FG$1000,"&lt;"&amp;FG956)+1,""))</f>
        <v/>
      </c>
      <c r="FF956" s="0" t="str">
        <f aca="false">IF(AND(_xlfn.ISFORMULA(C956),_xlfn.ISFORMULA(J956)),"Y","N")</f>
        <v>Y</v>
      </c>
      <c r="FG956" s="0" t="n">
        <f aca="false">ROW()-1</f>
        <v>955</v>
      </c>
    </row>
    <row r="957" customFormat="false" ht="15" hidden="false" customHeight="false" outlineLevel="0" collapsed="false">
      <c r="C957" s="0" t="str">
        <f aca="false">IF($A957="","",IF(AT957="Y",BL957&amp;"",AY957&amp;""))</f>
        <v/>
      </c>
      <c r="D957" s="0" t="str">
        <f aca="false">IF($A957="","",IF(AT957="Y",BM957&amp;"",AZ957&amp;""))</f>
        <v/>
      </c>
      <c r="E957" s="0" t="str">
        <f aca="false">IF($A957="","",IF(AT957="Y",BN957&amp;"",BA957&amp;""))</f>
        <v/>
      </c>
      <c r="F957" s="0" t="str">
        <f aca="false">IF($A957="","",IF(AT957="Y",BO957&amp;"",BB957&amp;""))</f>
        <v/>
      </c>
      <c r="G957" s="0" t="str">
        <f aca="false">IF($A957="","",IF(AT957="Y",BP957&amp;"",BC957&amp;""))</f>
        <v/>
      </c>
      <c r="H957" s="0" t="str">
        <f aca="false">IF($A957="","",IF(AT957="Y",BQ957&amp;"",BD957&amp;""))</f>
        <v/>
      </c>
      <c r="I957" s="0" t="str">
        <f aca="false">IF($A957="","",IF(R957="Y","warm-intro",IF(H957="verified","email",IF(C957&lt;&gt;"","linkedin",CA957&amp;""))))</f>
        <v/>
      </c>
      <c r="J957" s="0" t="str">
        <f aca="false">IF($A957="","",IF(CK957="pass",ROUND(N(DO957)+N(DP957)+N(DQ957)+N(DR957)+N(DS957)+N(DT957)+N(DU957)+N(DV957),0),0))</f>
        <v/>
      </c>
      <c r="K957" s="0" t="str">
        <f aca="false">IF($A957="","",IF(CK957&lt;&gt;"pass",BY957&amp;"",BY957&amp;", "&amp;IF(AT957="Y",BX957&amp;"",BK957&amp;"")&amp;BZ957&amp;IF(R957="Y","; known to the founder (+10)","")&amp;"."))</f>
        <v/>
      </c>
      <c r="R957" s="5"/>
      <c r="T957" s="5"/>
      <c r="U957" s="5"/>
      <c r="Y957" s="0" t="str">
        <f aca="false">IF(FA957&lt;&gt;"Y","",COUNTIFS($FA$2:$FA$1000,"Y",$J$2:$J$1000,"&gt;"&amp;J957)+COUNTIFS($FA$2:$FA$1000,"Y",$J$2:$J$1000,J957,$FG$2:$FG$1000,"&lt;"&amp;FG957)+1)</f>
        <v/>
      </c>
      <c r="AB957" s="0" t="str">
        <f aca="false">IF($A957="","",IF(AT957="Y",BW957&amp;"",BJ957&amp;""))</f>
        <v/>
      </c>
      <c r="AC957" s="0" t="str">
        <f aca="false">IF($A957="","",IF(AT957="Y",BR957&amp;"",BE957&amp;""))</f>
        <v/>
      </c>
      <c r="AD957" s="0" t="str">
        <f aca="false">IF($A957="","",IF(AT957="Y",BS957&amp;"",BF957&amp;""))</f>
        <v/>
      </c>
      <c r="AE957" s="0" t="str">
        <f aca="false">IF($A957="","",IF(AT957="Y",BT957&amp;"",BG957&amp;""))</f>
        <v/>
      </c>
      <c r="AF957" s="0" t="str">
        <f aca="false">IF($A957="","",IF(AT957="Y",BU957&amp;"",BH957&amp;""))</f>
        <v/>
      </c>
      <c r="AG957" s="0" t="str">
        <f aca="false">IF($A957="","",IF(AT957="Y",BV957&amp;"",BI957&amp;""))</f>
        <v/>
      </c>
      <c r="AO957" s="5"/>
      <c r="AR957" s="0" t="str">
        <f aca="false">IF($A957="","",IF(AND(CK957="pass",AO957&lt;&gt;"Y",C957&lt;&gt;"",OR(AU957&lt;&gt;"Y",AV957="Y")),"Y","N"))</f>
        <v/>
      </c>
      <c r="AS957" s="0" t="str">
        <f aca="false">IF($A957="","",_xlfn.TEXTJOIN("; ",TRUE(),IF(CK957&lt;&gt;"pass","gated out",""),IF(AO957="Y","on hold: "&amp;AP957,""),IF(C957="","no contact named on an opened page",""),IF(AND(AU957="Y",AV957&lt;&gt;"Y"),"founder review pending (Founder review tab)","")))</f>
        <v/>
      </c>
      <c r="BC957" s="0" t="str">
        <f aca="false">IF($A957="","",IFERROR(INDEX(Enrichment!$A$2:$GZ$2000,MATCH($A957,INDEX(Enrichment!$A$2:$GZ$2000,0,MATCH("row_id",Enrichment!$A$1:$GZ$1,0)),0),MATCH("work_email",Enrichment!$A$1:$GZ$1,0))&amp;"",""))</f>
        <v/>
      </c>
      <c r="BD957" s="0" t="str">
        <f aca="false">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P957" s="0" t="str">
        <f aca="false">IF($A957="","",IFERROR(INDEX(Enrichment!$A$2:$GZ$2000,MATCH($A957,INDEX(Enrichment!$A$2:$GZ$2000,0,MATCH("row_id",Enrichment!$A$1:$GZ$1,0)),0),MATCH("backup_work_email",Enrichment!$A$1:$GZ$1,0))&amp;"",""))</f>
        <v/>
      </c>
      <c r="BQ957" s="0" t="str">
        <f aca="false">IF($A957="","",IF(BP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DU957" s="0" t="str">
        <f aca="false">IF($A957="","",IF(R957="Y",10,0))</f>
        <v/>
      </c>
      <c r="EV957" s="0" t="str">
        <f aca="false">IF($A957="","",IF(ISNUMBER(MATCH(U957,{"queued","contacted","replied","call_booked","call_done","yes_in_principle","materials_sent"},0)),"Y","N"))</f>
        <v/>
      </c>
      <c r="EW957" s="0" t="str">
        <f aca="false">IF($A957="","",IF(OR(T957="Y",U957="do_not_contact",AQ957&amp;""&lt;&gt;""),"Y","N"))</f>
        <v/>
      </c>
      <c r="EX957" s="0" t="str">
        <f aca="false">IF($A957="","",IF(AN957&amp;""&lt;&gt;"",AN957&amp;"",$A957))</f>
        <v/>
      </c>
      <c r="EY957" s="0" t="str">
        <f aca="false">IF($A957="","",IF(COUNTIFS($EX$2:$EX$1000,EX957,$EV$2:$EV$1000,"Y")+COUNTIFS($EX$2:$EX$1000,EX957,$EW$2:$EW$1000,"Y")&gt;0,"Y","N"))</f>
        <v/>
      </c>
      <c r="EZ957" s="0" t="str">
        <f aca="false">IF($A957="","",IF(AND(U957="new",T957="N",EW957="N",AR957="Y",EY957="N"),"Y","N"))</f>
        <v/>
      </c>
      <c r="FA957" s="0" t="str">
        <f aca="false">IF($A957="","",IF(EZ957&lt;&gt;"Y","N",IF(COUNTIFS($EX$2:$EX$1000,EX957,$EZ$2:$EZ$1000,"Y",$J$2:$J$1000,"&gt;"&amp;J957)+COUNTIFS($EX$2:$EX$1000,EX957,$EZ$2:$EZ$1000,"Y",$J$2:$J$1000,J957,$FG$2:$FG$1000,"&lt;"&amp;FG957)=0,"Y","N")))</f>
        <v/>
      </c>
      <c r="FB957" s="0" t="str">
        <f aca="false">IF($A957="","",IF(AND(EZ957="Y",FA957="Y",Y957&amp;""&lt;&gt;""),IF(Y957&lt;=10,"Y","N"),"N"))</f>
        <v/>
      </c>
      <c r="FC957" s="0" t="str">
        <f aca="false">IF(FB957="Y",Y957,"")</f>
        <v/>
      </c>
      <c r="FD957" s="0" t="str">
        <f aca="false">IF($A957="","",IF(AND(CK957="pass",AU957="Y",AV957&lt;&gt;"Y",U957="new",EW957="N"),"Y","N"))</f>
        <v/>
      </c>
      <c r="FE957" s="0" t="str">
        <f aca="false">IF(FD957&lt;&gt;"Y","",IF(COUNTIFS($FD$2:$FD$1000,"Y",$J$2:$J$1000,"&gt;"&amp;J957)+COUNTIFS($FD$2:$FD$1000,"Y",$J$2:$J$1000,J957,$FG$2:$FG$1000,"&lt;"&amp;FG957)+1&lt;=30,COUNTIFS($FD$2:$FD$1000,"Y",$J$2:$J$1000,"&gt;"&amp;J957)+COUNTIFS($FD$2:$FD$1000,"Y",$J$2:$J$1000,J957,$FG$2:$FG$1000,"&lt;"&amp;FG957)+1,""))</f>
        <v/>
      </c>
      <c r="FF957" s="0" t="str">
        <f aca="false">IF(AND(_xlfn.ISFORMULA(C957),_xlfn.ISFORMULA(J957)),"Y","N")</f>
        <v>Y</v>
      </c>
      <c r="FG957" s="0" t="n">
        <f aca="false">ROW()-1</f>
        <v>956</v>
      </c>
    </row>
    <row r="958" customFormat="false" ht="15" hidden="false" customHeight="false" outlineLevel="0" collapsed="false">
      <c r="C958" s="0" t="str">
        <f aca="false">IF($A958="","",IF(AT958="Y",BL958&amp;"",AY958&amp;""))</f>
        <v/>
      </c>
      <c r="D958" s="0" t="str">
        <f aca="false">IF($A958="","",IF(AT958="Y",BM958&amp;"",AZ958&amp;""))</f>
        <v/>
      </c>
      <c r="E958" s="0" t="str">
        <f aca="false">IF($A958="","",IF(AT958="Y",BN958&amp;"",BA958&amp;""))</f>
        <v/>
      </c>
      <c r="F958" s="0" t="str">
        <f aca="false">IF($A958="","",IF(AT958="Y",BO958&amp;"",BB958&amp;""))</f>
        <v/>
      </c>
      <c r="G958" s="0" t="str">
        <f aca="false">IF($A958="","",IF(AT958="Y",BP958&amp;"",BC958&amp;""))</f>
        <v/>
      </c>
      <c r="H958" s="0" t="str">
        <f aca="false">IF($A958="","",IF(AT958="Y",BQ958&amp;"",BD958&amp;""))</f>
        <v/>
      </c>
      <c r="I958" s="0" t="str">
        <f aca="false">IF($A958="","",IF(R958="Y","warm-intro",IF(H958="verified","email",IF(C958&lt;&gt;"","linkedin",CA958&amp;""))))</f>
        <v/>
      </c>
      <c r="J958" s="0" t="str">
        <f aca="false">IF($A958="","",IF(CK958="pass",ROUND(N(DO958)+N(DP958)+N(DQ958)+N(DR958)+N(DS958)+N(DT958)+N(DU958)+N(DV958),0),0))</f>
        <v/>
      </c>
      <c r="K958" s="0" t="str">
        <f aca="false">IF($A958="","",IF(CK958&lt;&gt;"pass",BY958&amp;"",BY958&amp;", "&amp;IF(AT958="Y",BX958&amp;"",BK958&amp;"")&amp;BZ958&amp;IF(R958="Y","; known to the founder (+10)","")&amp;"."))</f>
        <v/>
      </c>
      <c r="R958" s="5"/>
      <c r="T958" s="5"/>
      <c r="U958" s="5"/>
      <c r="Y958" s="0" t="str">
        <f aca="false">IF(FA958&lt;&gt;"Y","",COUNTIFS($FA$2:$FA$1000,"Y",$J$2:$J$1000,"&gt;"&amp;J958)+COUNTIFS($FA$2:$FA$1000,"Y",$J$2:$J$1000,J958,$FG$2:$FG$1000,"&lt;"&amp;FG958)+1)</f>
        <v/>
      </c>
      <c r="AB958" s="0" t="str">
        <f aca="false">IF($A958="","",IF(AT958="Y",BW958&amp;"",BJ958&amp;""))</f>
        <v/>
      </c>
      <c r="AC958" s="0" t="str">
        <f aca="false">IF($A958="","",IF(AT958="Y",BR958&amp;"",BE958&amp;""))</f>
        <v/>
      </c>
      <c r="AD958" s="0" t="str">
        <f aca="false">IF($A958="","",IF(AT958="Y",BS958&amp;"",BF958&amp;""))</f>
        <v/>
      </c>
      <c r="AE958" s="0" t="str">
        <f aca="false">IF($A958="","",IF(AT958="Y",BT958&amp;"",BG958&amp;""))</f>
        <v/>
      </c>
      <c r="AF958" s="0" t="str">
        <f aca="false">IF($A958="","",IF(AT958="Y",BU958&amp;"",BH958&amp;""))</f>
        <v/>
      </c>
      <c r="AG958" s="0" t="str">
        <f aca="false">IF($A958="","",IF(AT958="Y",BV958&amp;"",BI958&amp;""))</f>
        <v/>
      </c>
      <c r="AO958" s="5"/>
      <c r="AR958" s="0" t="str">
        <f aca="false">IF($A958="","",IF(AND(CK958="pass",AO958&lt;&gt;"Y",C958&lt;&gt;"",OR(AU958&lt;&gt;"Y",AV958="Y")),"Y","N"))</f>
        <v/>
      </c>
      <c r="AS958" s="0" t="str">
        <f aca="false">IF($A958="","",_xlfn.TEXTJOIN("; ",TRUE(),IF(CK958&lt;&gt;"pass","gated out",""),IF(AO958="Y","on hold: "&amp;AP958,""),IF(C958="","no contact named on an opened page",""),IF(AND(AU958="Y",AV958&lt;&gt;"Y"),"founder review pending (Founder review tab)","")))</f>
        <v/>
      </c>
      <c r="BC958" s="0" t="str">
        <f aca="false">IF($A958="","",IFERROR(INDEX(Enrichment!$A$2:$GZ$2000,MATCH($A958,INDEX(Enrichment!$A$2:$GZ$2000,0,MATCH("row_id",Enrichment!$A$1:$GZ$1,0)),0),MATCH("work_email",Enrichment!$A$1:$GZ$1,0))&amp;"",""))</f>
        <v/>
      </c>
      <c r="BD958" s="0" t="str">
        <f aca="false">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P958" s="0" t="str">
        <f aca="false">IF($A958="","",IFERROR(INDEX(Enrichment!$A$2:$GZ$2000,MATCH($A958,INDEX(Enrichment!$A$2:$GZ$2000,0,MATCH("row_id",Enrichment!$A$1:$GZ$1,0)),0),MATCH("backup_work_email",Enrichment!$A$1:$GZ$1,0))&amp;"",""))</f>
        <v/>
      </c>
      <c r="BQ958" s="0" t="str">
        <f aca="false">IF($A958="","",IF(BP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DU958" s="0" t="str">
        <f aca="false">IF($A958="","",IF(R958="Y",10,0))</f>
        <v/>
      </c>
      <c r="EV958" s="0" t="str">
        <f aca="false">IF($A958="","",IF(ISNUMBER(MATCH(U958,{"queued","contacted","replied","call_booked","call_done","yes_in_principle","materials_sent"},0)),"Y","N"))</f>
        <v/>
      </c>
      <c r="EW958" s="0" t="str">
        <f aca="false">IF($A958="","",IF(OR(T958="Y",U958="do_not_contact",AQ958&amp;""&lt;&gt;""),"Y","N"))</f>
        <v/>
      </c>
      <c r="EX958" s="0" t="str">
        <f aca="false">IF($A958="","",IF(AN958&amp;""&lt;&gt;"",AN958&amp;"",$A958))</f>
        <v/>
      </c>
      <c r="EY958" s="0" t="str">
        <f aca="false">IF($A958="","",IF(COUNTIFS($EX$2:$EX$1000,EX958,$EV$2:$EV$1000,"Y")+COUNTIFS($EX$2:$EX$1000,EX958,$EW$2:$EW$1000,"Y")&gt;0,"Y","N"))</f>
        <v/>
      </c>
      <c r="EZ958" s="0" t="str">
        <f aca="false">IF($A958="","",IF(AND(U958="new",T958="N",EW958="N",AR958="Y",EY958="N"),"Y","N"))</f>
        <v/>
      </c>
      <c r="FA958" s="0" t="str">
        <f aca="false">IF($A958="","",IF(EZ958&lt;&gt;"Y","N",IF(COUNTIFS($EX$2:$EX$1000,EX958,$EZ$2:$EZ$1000,"Y",$J$2:$J$1000,"&gt;"&amp;J958)+COUNTIFS($EX$2:$EX$1000,EX958,$EZ$2:$EZ$1000,"Y",$J$2:$J$1000,J958,$FG$2:$FG$1000,"&lt;"&amp;FG958)=0,"Y","N")))</f>
        <v/>
      </c>
      <c r="FB958" s="0" t="str">
        <f aca="false">IF($A958="","",IF(AND(EZ958="Y",FA958="Y",Y958&amp;""&lt;&gt;""),IF(Y958&lt;=10,"Y","N"),"N"))</f>
        <v/>
      </c>
      <c r="FC958" s="0" t="str">
        <f aca="false">IF(FB958="Y",Y958,"")</f>
        <v/>
      </c>
      <c r="FD958" s="0" t="str">
        <f aca="false">IF($A958="","",IF(AND(CK958="pass",AU958="Y",AV958&lt;&gt;"Y",U958="new",EW958="N"),"Y","N"))</f>
        <v/>
      </c>
      <c r="FE958" s="0" t="str">
        <f aca="false">IF(FD958&lt;&gt;"Y","",IF(COUNTIFS($FD$2:$FD$1000,"Y",$J$2:$J$1000,"&gt;"&amp;J958)+COUNTIFS($FD$2:$FD$1000,"Y",$J$2:$J$1000,J958,$FG$2:$FG$1000,"&lt;"&amp;FG958)+1&lt;=30,COUNTIFS($FD$2:$FD$1000,"Y",$J$2:$J$1000,"&gt;"&amp;J958)+COUNTIFS($FD$2:$FD$1000,"Y",$J$2:$J$1000,J958,$FG$2:$FG$1000,"&lt;"&amp;FG958)+1,""))</f>
        <v/>
      </c>
      <c r="FF958" s="0" t="str">
        <f aca="false">IF(AND(_xlfn.ISFORMULA(C958),_xlfn.ISFORMULA(J958)),"Y","N")</f>
        <v>Y</v>
      </c>
      <c r="FG958" s="0" t="n">
        <f aca="false">ROW()-1</f>
        <v>957</v>
      </c>
    </row>
    <row r="959" customFormat="false" ht="15" hidden="false" customHeight="false" outlineLevel="0" collapsed="false">
      <c r="C959" s="0" t="str">
        <f aca="false">IF($A959="","",IF(AT959="Y",BL959&amp;"",AY959&amp;""))</f>
        <v/>
      </c>
      <c r="D959" s="0" t="str">
        <f aca="false">IF($A959="","",IF(AT959="Y",BM959&amp;"",AZ959&amp;""))</f>
        <v/>
      </c>
      <c r="E959" s="0" t="str">
        <f aca="false">IF($A959="","",IF(AT959="Y",BN959&amp;"",BA959&amp;""))</f>
        <v/>
      </c>
      <c r="F959" s="0" t="str">
        <f aca="false">IF($A959="","",IF(AT959="Y",BO959&amp;"",BB959&amp;""))</f>
        <v/>
      </c>
      <c r="G959" s="0" t="str">
        <f aca="false">IF($A959="","",IF(AT959="Y",BP959&amp;"",BC959&amp;""))</f>
        <v/>
      </c>
      <c r="H959" s="0" t="str">
        <f aca="false">IF($A959="","",IF(AT959="Y",BQ959&amp;"",BD959&amp;""))</f>
        <v/>
      </c>
      <c r="I959" s="0" t="str">
        <f aca="false">IF($A959="","",IF(R959="Y","warm-intro",IF(H959="verified","email",IF(C959&lt;&gt;"","linkedin",CA959&amp;""))))</f>
        <v/>
      </c>
      <c r="J959" s="0" t="str">
        <f aca="false">IF($A959="","",IF(CK959="pass",ROUND(N(DO959)+N(DP959)+N(DQ959)+N(DR959)+N(DS959)+N(DT959)+N(DU959)+N(DV959),0),0))</f>
        <v/>
      </c>
      <c r="K959" s="0" t="str">
        <f aca="false">IF($A959="","",IF(CK959&lt;&gt;"pass",BY959&amp;"",BY959&amp;", "&amp;IF(AT959="Y",BX959&amp;"",BK959&amp;"")&amp;BZ959&amp;IF(R959="Y","; known to the founder (+10)","")&amp;"."))</f>
        <v/>
      </c>
      <c r="R959" s="5"/>
      <c r="T959" s="5"/>
      <c r="U959" s="5"/>
      <c r="Y959" s="0" t="str">
        <f aca="false">IF(FA959&lt;&gt;"Y","",COUNTIFS($FA$2:$FA$1000,"Y",$J$2:$J$1000,"&gt;"&amp;J959)+COUNTIFS($FA$2:$FA$1000,"Y",$J$2:$J$1000,J959,$FG$2:$FG$1000,"&lt;"&amp;FG959)+1)</f>
        <v/>
      </c>
      <c r="AB959" s="0" t="str">
        <f aca="false">IF($A959="","",IF(AT959="Y",BW959&amp;"",BJ959&amp;""))</f>
        <v/>
      </c>
      <c r="AC959" s="0" t="str">
        <f aca="false">IF($A959="","",IF(AT959="Y",BR959&amp;"",BE959&amp;""))</f>
        <v/>
      </c>
      <c r="AD959" s="0" t="str">
        <f aca="false">IF($A959="","",IF(AT959="Y",BS959&amp;"",BF959&amp;""))</f>
        <v/>
      </c>
      <c r="AE959" s="0" t="str">
        <f aca="false">IF($A959="","",IF(AT959="Y",BT959&amp;"",BG959&amp;""))</f>
        <v/>
      </c>
      <c r="AF959" s="0" t="str">
        <f aca="false">IF($A959="","",IF(AT959="Y",BU959&amp;"",BH959&amp;""))</f>
        <v/>
      </c>
      <c r="AG959" s="0" t="str">
        <f aca="false">IF($A959="","",IF(AT959="Y",BV959&amp;"",BI959&amp;""))</f>
        <v/>
      </c>
      <c r="AO959" s="5"/>
      <c r="AR959" s="0" t="str">
        <f aca="false">IF($A959="","",IF(AND(CK959="pass",AO959&lt;&gt;"Y",C959&lt;&gt;"",OR(AU959&lt;&gt;"Y",AV959="Y")),"Y","N"))</f>
        <v/>
      </c>
      <c r="AS959" s="0" t="str">
        <f aca="false">IF($A959="","",_xlfn.TEXTJOIN("; ",TRUE(),IF(CK959&lt;&gt;"pass","gated out",""),IF(AO959="Y","on hold: "&amp;AP959,""),IF(C959="","no contact named on an opened page",""),IF(AND(AU959="Y",AV959&lt;&gt;"Y"),"founder review pending (Founder review tab)","")))</f>
        <v/>
      </c>
      <c r="BC959" s="0" t="str">
        <f aca="false">IF($A959="","",IFERROR(INDEX(Enrichment!$A$2:$GZ$2000,MATCH($A959,INDEX(Enrichment!$A$2:$GZ$2000,0,MATCH("row_id",Enrichment!$A$1:$GZ$1,0)),0),MATCH("work_email",Enrichment!$A$1:$GZ$1,0))&amp;"",""))</f>
        <v/>
      </c>
      <c r="BD959" s="0" t="str">
        <f aca="false">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P959" s="0" t="str">
        <f aca="false">IF($A959="","",IFERROR(INDEX(Enrichment!$A$2:$GZ$2000,MATCH($A959,INDEX(Enrichment!$A$2:$GZ$2000,0,MATCH("row_id",Enrichment!$A$1:$GZ$1,0)),0),MATCH("backup_work_email",Enrichment!$A$1:$GZ$1,0))&amp;"",""))</f>
        <v/>
      </c>
      <c r="BQ959" s="0" t="str">
        <f aca="false">IF($A959="","",IF(BP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DU959" s="0" t="str">
        <f aca="false">IF($A959="","",IF(R959="Y",10,0))</f>
        <v/>
      </c>
      <c r="EV959" s="0" t="str">
        <f aca="false">IF($A959="","",IF(ISNUMBER(MATCH(U959,{"queued","contacted","replied","call_booked","call_done","yes_in_principle","materials_sent"},0)),"Y","N"))</f>
        <v/>
      </c>
      <c r="EW959" s="0" t="str">
        <f aca="false">IF($A959="","",IF(OR(T959="Y",U959="do_not_contact",AQ959&amp;""&lt;&gt;""),"Y","N"))</f>
        <v/>
      </c>
      <c r="EX959" s="0" t="str">
        <f aca="false">IF($A959="","",IF(AN959&amp;""&lt;&gt;"",AN959&amp;"",$A959))</f>
        <v/>
      </c>
      <c r="EY959" s="0" t="str">
        <f aca="false">IF($A959="","",IF(COUNTIFS($EX$2:$EX$1000,EX959,$EV$2:$EV$1000,"Y")+COUNTIFS($EX$2:$EX$1000,EX959,$EW$2:$EW$1000,"Y")&gt;0,"Y","N"))</f>
        <v/>
      </c>
      <c r="EZ959" s="0" t="str">
        <f aca="false">IF($A959="","",IF(AND(U959="new",T959="N",EW959="N",AR959="Y",EY959="N"),"Y","N"))</f>
        <v/>
      </c>
      <c r="FA959" s="0" t="str">
        <f aca="false">IF($A959="","",IF(EZ959&lt;&gt;"Y","N",IF(COUNTIFS($EX$2:$EX$1000,EX959,$EZ$2:$EZ$1000,"Y",$J$2:$J$1000,"&gt;"&amp;J959)+COUNTIFS($EX$2:$EX$1000,EX959,$EZ$2:$EZ$1000,"Y",$J$2:$J$1000,J959,$FG$2:$FG$1000,"&lt;"&amp;FG959)=0,"Y","N")))</f>
        <v/>
      </c>
      <c r="FB959" s="0" t="str">
        <f aca="false">IF($A959="","",IF(AND(EZ959="Y",FA959="Y",Y959&amp;""&lt;&gt;""),IF(Y959&lt;=10,"Y","N"),"N"))</f>
        <v/>
      </c>
      <c r="FC959" s="0" t="str">
        <f aca="false">IF(FB959="Y",Y959,"")</f>
        <v/>
      </c>
      <c r="FD959" s="0" t="str">
        <f aca="false">IF($A959="","",IF(AND(CK959="pass",AU959="Y",AV959&lt;&gt;"Y",U959="new",EW959="N"),"Y","N"))</f>
        <v/>
      </c>
      <c r="FE959" s="0" t="str">
        <f aca="false">IF(FD959&lt;&gt;"Y","",IF(COUNTIFS($FD$2:$FD$1000,"Y",$J$2:$J$1000,"&gt;"&amp;J959)+COUNTIFS($FD$2:$FD$1000,"Y",$J$2:$J$1000,J959,$FG$2:$FG$1000,"&lt;"&amp;FG959)+1&lt;=30,COUNTIFS($FD$2:$FD$1000,"Y",$J$2:$J$1000,"&gt;"&amp;J959)+COUNTIFS($FD$2:$FD$1000,"Y",$J$2:$J$1000,J959,$FG$2:$FG$1000,"&lt;"&amp;FG959)+1,""))</f>
        <v/>
      </c>
      <c r="FF959" s="0" t="str">
        <f aca="false">IF(AND(_xlfn.ISFORMULA(C959),_xlfn.ISFORMULA(J959)),"Y","N")</f>
        <v>Y</v>
      </c>
      <c r="FG959" s="0" t="n">
        <f aca="false">ROW()-1</f>
        <v>958</v>
      </c>
    </row>
    <row r="960" customFormat="false" ht="15" hidden="false" customHeight="false" outlineLevel="0" collapsed="false">
      <c r="C960" s="0" t="str">
        <f aca="false">IF($A960="","",IF(AT960="Y",BL960&amp;"",AY960&amp;""))</f>
        <v/>
      </c>
      <c r="D960" s="0" t="str">
        <f aca="false">IF($A960="","",IF(AT960="Y",BM960&amp;"",AZ960&amp;""))</f>
        <v/>
      </c>
      <c r="E960" s="0" t="str">
        <f aca="false">IF($A960="","",IF(AT960="Y",BN960&amp;"",BA960&amp;""))</f>
        <v/>
      </c>
      <c r="F960" s="0" t="str">
        <f aca="false">IF($A960="","",IF(AT960="Y",BO960&amp;"",BB960&amp;""))</f>
        <v/>
      </c>
      <c r="G960" s="0" t="str">
        <f aca="false">IF($A960="","",IF(AT960="Y",BP960&amp;"",BC960&amp;""))</f>
        <v/>
      </c>
      <c r="H960" s="0" t="str">
        <f aca="false">IF($A960="","",IF(AT960="Y",BQ960&amp;"",BD960&amp;""))</f>
        <v/>
      </c>
      <c r="I960" s="0" t="str">
        <f aca="false">IF($A960="","",IF(R960="Y","warm-intro",IF(H960="verified","email",IF(C960&lt;&gt;"","linkedin",CA960&amp;""))))</f>
        <v/>
      </c>
      <c r="J960" s="0" t="str">
        <f aca="false">IF($A960="","",IF(CK960="pass",ROUND(N(DO960)+N(DP960)+N(DQ960)+N(DR960)+N(DS960)+N(DT960)+N(DU960)+N(DV960),0),0))</f>
        <v/>
      </c>
      <c r="K960" s="0" t="str">
        <f aca="false">IF($A960="","",IF(CK960&lt;&gt;"pass",BY960&amp;"",BY960&amp;", "&amp;IF(AT960="Y",BX960&amp;"",BK960&amp;"")&amp;BZ960&amp;IF(R960="Y","; known to the founder (+10)","")&amp;"."))</f>
        <v/>
      </c>
      <c r="R960" s="5"/>
      <c r="T960" s="5"/>
      <c r="U960" s="5"/>
      <c r="Y960" s="0" t="str">
        <f aca="false">IF(FA960&lt;&gt;"Y","",COUNTIFS($FA$2:$FA$1000,"Y",$J$2:$J$1000,"&gt;"&amp;J960)+COUNTIFS($FA$2:$FA$1000,"Y",$J$2:$J$1000,J960,$FG$2:$FG$1000,"&lt;"&amp;FG960)+1)</f>
        <v/>
      </c>
      <c r="AB960" s="0" t="str">
        <f aca="false">IF($A960="","",IF(AT960="Y",BW960&amp;"",BJ960&amp;""))</f>
        <v/>
      </c>
      <c r="AC960" s="0" t="str">
        <f aca="false">IF($A960="","",IF(AT960="Y",BR960&amp;"",BE960&amp;""))</f>
        <v/>
      </c>
      <c r="AD960" s="0" t="str">
        <f aca="false">IF($A960="","",IF(AT960="Y",BS960&amp;"",BF960&amp;""))</f>
        <v/>
      </c>
      <c r="AE960" s="0" t="str">
        <f aca="false">IF($A960="","",IF(AT960="Y",BT960&amp;"",BG960&amp;""))</f>
        <v/>
      </c>
      <c r="AF960" s="0" t="str">
        <f aca="false">IF($A960="","",IF(AT960="Y",BU960&amp;"",BH960&amp;""))</f>
        <v/>
      </c>
      <c r="AG960" s="0" t="str">
        <f aca="false">IF($A960="","",IF(AT960="Y",BV960&amp;"",BI960&amp;""))</f>
        <v/>
      </c>
      <c r="AO960" s="5"/>
      <c r="AR960" s="0" t="str">
        <f aca="false">IF($A960="","",IF(AND(CK960="pass",AO960&lt;&gt;"Y",C960&lt;&gt;"",OR(AU960&lt;&gt;"Y",AV960="Y")),"Y","N"))</f>
        <v/>
      </c>
      <c r="AS960" s="0" t="str">
        <f aca="false">IF($A960="","",_xlfn.TEXTJOIN("; ",TRUE(),IF(CK960&lt;&gt;"pass","gated out",""),IF(AO960="Y","on hold: "&amp;AP960,""),IF(C960="","no contact named on an opened page",""),IF(AND(AU960="Y",AV960&lt;&gt;"Y"),"founder review pending (Founder review tab)","")))</f>
        <v/>
      </c>
      <c r="BC960" s="0" t="str">
        <f aca="false">IF($A960="","",IFERROR(INDEX(Enrichment!$A$2:$GZ$2000,MATCH($A960,INDEX(Enrichment!$A$2:$GZ$2000,0,MATCH("row_id",Enrichment!$A$1:$GZ$1,0)),0),MATCH("work_email",Enrichment!$A$1:$GZ$1,0))&amp;"",""))</f>
        <v/>
      </c>
      <c r="BD960" s="0" t="str">
        <f aca="false">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P960" s="0" t="str">
        <f aca="false">IF($A960="","",IFERROR(INDEX(Enrichment!$A$2:$GZ$2000,MATCH($A960,INDEX(Enrichment!$A$2:$GZ$2000,0,MATCH("row_id",Enrichment!$A$1:$GZ$1,0)),0),MATCH("backup_work_email",Enrichment!$A$1:$GZ$1,0))&amp;"",""))</f>
        <v/>
      </c>
      <c r="BQ960" s="0" t="str">
        <f aca="false">IF($A960="","",IF(BP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DU960" s="0" t="str">
        <f aca="false">IF($A960="","",IF(R960="Y",10,0))</f>
        <v/>
      </c>
      <c r="EV960" s="0" t="str">
        <f aca="false">IF($A960="","",IF(ISNUMBER(MATCH(U960,{"queued","contacted","replied","call_booked","call_done","yes_in_principle","materials_sent"},0)),"Y","N"))</f>
        <v/>
      </c>
      <c r="EW960" s="0" t="str">
        <f aca="false">IF($A960="","",IF(OR(T960="Y",U960="do_not_contact",AQ960&amp;""&lt;&gt;""),"Y","N"))</f>
        <v/>
      </c>
      <c r="EX960" s="0" t="str">
        <f aca="false">IF($A960="","",IF(AN960&amp;""&lt;&gt;"",AN960&amp;"",$A960))</f>
        <v/>
      </c>
      <c r="EY960" s="0" t="str">
        <f aca="false">IF($A960="","",IF(COUNTIFS($EX$2:$EX$1000,EX960,$EV$2:$EV$1000,"Y")+COUNTIFS($EX$2:$EX$1000,EX960,$EW$2:$EW$1000,"Y")&gt;0,"Y","N"))</f>
        <v/>
      </c>
      <c r="EZ960" s="0" t="str">
        <f aca="false">IF($A960="","",IF(AND(U960="new",T960="N",EW960="N",AR960="Y",EY960="N"),"Y","N"))</f>
        <v/>
      </c>
      <c r="FA960" s="0" t="str">
        <f aca="false">IF($A960="","",IF(EZ960&lt;&gt;"Y","N",IF(COUNTIFS($EX$2:$EX$1000,EX960,$EZ$2:$EZ$1000,"Y",$J$2:$J$1000,"&gt;"&amp;J960)+COUNTIFS($EX$2:$EX$1000,EX960,$EZ$2:$EZ$1000,"Y",$J$2:$J$1000,J960,$FG$2:$FG$1000,"&lt;"&amp;FG960)=0,"Y","N")))</f>
        <v/>
      </c>
      <c r="FB960" s="0" t="str">
        <f aca="false">IF($A960="","",IF(AND(EZ960="Y",FA960="Y",Y960&amp;""&lt;&gt;""),IF(Y960&lt;=10,"Y","N"),"N"))</f>
        <v/>
      </c>
      <c r="FC960" s="0" t="str">
        <f aca="false">IF(FB960="Y",Y960,"")</f>
        <v/>
      </c>
      <c r="FD960" s="0" t="str">
        <f aca="false">IF($A960="","",IF(AND(CK960="pass",AU960="Y",AV960&lt;&gt;"Y",U960="new",EW960="N"),"Y","N"))</f>
        <v/>
      </c>
      <c r="FE960" s="0" t="str">
        <f aca="false">IF(FD960&lt;&gt;"Y","",IF(COUNTIFS($FD$2:$FD$1000,"Y",$J$2:$J$1000,"&gt;"&amp;J960)+COUNTIFS($FD$2:$FD$1000,"Y",$J$2:$J$1000,J960,$FG$2:$FG$1000,"&lt;"&amp;FG960)+1&lt;=30,COUNTIFS($FD$2:$FD$1000,"Y",$J$2:$J$1000,"&gt;"&amp;J960)+COUNTIFS($FD$2:$FD$1000,"Y",$J$2:$J$1000,J960,$FG$2:$FG$1000,"&lt;"&amp;FG960)+1,""))</f>
        <v/>
      </c>
      <c r="FF960" s="0" t="str">
        <f aca="false">IF(AND(_xlfn.ISFORMULA(C960),_xlfn.ISFORMULA(J960)),"Y","N")</f>
        <v>Y</v>
      </c>
      <c r="FG960" s="0" t="n">
        <f aca="false">ROW()-1</f>
        <v>959</v>
      </c>
    </row>
    <row r="961" customFormat="false" ht="15" hidden="false" customHeight="false" outlineLevel="0" collapsed="false">
      <c r="C961" s="0" t="str">
        <f aca="false">IF($A961="","",IF(AT961="Y",BL961&amp;"",AY961&amp;""))</f>
        <v/>
      </c>
      <c r="D961" s="0" t="str">
        <f aca="false">IF($A961="","",IF(AT961="Y",BM961&amp;"",AZ961&amp;""))</f>
        <v/>
      </c>
      <c r="E961" s="0" t="str">
        <f aca="false">IF($A961="","",IF(AT961="Y",BN961&amp;"",BA961&amp;""))</f>
        <v/>
      </c>
      <c r="F961" s="0" t="str">
        <f aca="false">IF($A961="","",IF(AT961="Y",BO961&amp;"",BB961&amp;""))</f>
        <v/>
      </c>
      <c r="G961" s="0" t="str">
        <f aca="false">IF($A961="","",IF(AT961="Y",BP961&amp;"",BC961&amp;""))</f>
        <v/>
      </c>
      <c r="H961" s="0" t="str">
        <f aca="false">IF($A961="","",IF(AT961="Y",BQ961&amp;"",BD961&amp;""))</f>
        <v/>
      </c>
      <c r="I961" s="0" t="str">
        <f aca="false">IF($A961="","",IF(R961="Y","warm-intro",IF(H961="verified","email",IF(C961&lt;&gt;"","linkedin",CA961&amp;""))))</f>
        <v/>
      </c>
      <c r="J961" s="0" t="str">
        <f aca="false">IF($A961="","",IF(CK961="pass",ROUND(N(DO961)+N(DP961)+N(DQ961)+N(DR961)+N(DS961)+N(DT961)+N(DU961)+N(DV961),0),0))</f>
        <v/>
      </c>
      <c r="K961" s="0" t="str">
        <f aca="false">IF($A961="","",IF(CK961&lt;&gt;"pass",BY961&amp;"",BY961&amp;", "&amp;IF(AT961="Y",BX961&amp;"",BK961&amp;"")&amp;BZ961&amp;IF(R961="Y","; known to the founder (+10)","")&amp;"."))</f>
        <v/>
      </c>
      <c r="R961" s="5"/>
      <c r="T961" s="5"/>
      <c r="U961" s="5"/>
      <c r="Y961" s="0" t="str">
        <f aca="false">IF(FA961&lt;&gt;"Y","",COUNTIFS($FA$2:$FA$1000,"Y",$J$2:$J$1000,"&gt;"&amp;J961)+COUNTIFS($FA$2:$FA$1000,"Y",$J$2:$J$1000,J961,$FG$2:$FG$1000,"&lt;"&amp;FG961)+1)</f>
        <v/>
      </c>
      <c r="AB961" s="0" t="str">
        <f aca="false">IF($A961="","",IF(AT961="Y",BW961&amp;"",BJ961&amp;""))</f>
        <v/>
      </c>
      <c r="AC961" s="0" t="str">
        <f aca="false">IF($A961="","",IF(AT961="Y",BR961&amp;"",BE961&amp;""))</f>
        <v/>
      </c>
      <c r="AD961" s="0" t="str">
        <f aca="false">IF($A961="","",IF(AT961="Y",BS961&amp;"",BF961&amp;""))</f>
        <v/>
      </c>
      <c r="AE961" s="0" t="str">
        <f aca="false">IF($A961="","",IF(AT961="Y",BT961&amp;"",BG961&amp;""))</f>
        <v/>
      </c>
      <c r="AF961" s="0" t="str">
        <f aca="false">IF($A961="","",IF(AT961="Y",BU961&amp;"",BH961&amp;""))</f>
        <v/>
      </c>
      <c r="AG961" s="0" t="str">
        <f aca="false">IF($A961="","",IF(AT961="Y",BV961&amp;"",BI961&amp;""))</f>
        <v/>
      </c>
      <c r="AO961" s="5"/>
      <c r="AR961" s="0" t="str">
        <f aca="false">IF($A961="","",IF(AND(CK961="pass",AO961&lt;&gt;"Y",C961&lt;&gt;"",OR(AU961&lt;&gt;"Y",AV961="Y")),"Y","N"))</f>
        <v/>
      </c>
      <c r="AS961" s="0" t="str">
        <f aca="false">IF($A961="","",_xlfn.TEXTJOIN("; ",TRUE(),IF(CK961&lt;&gt;"pass","gated out",""),IF(AO961="Y","on hold: "&amp;AP961,""),IF(C961="","no contact named on an opened page",""),IF(AND(AU961="Y",AV961&lt;&gt;"Y"),"founder review pending (Founder review tab)","")))</f>
        <v/>
      </c>
      <c r="BC961" s="0" t="str">
        <f aca="false">IF($A961="","",IFERROR(INDEX(Enrichment!$A$2:$GZ$2000,MATCH($A961,INDEX(Enrichment!$A$2:$GZ$2000,0,MATCH("row_id",Enrichment!$A$1:$GZ$1,0)),0),MATCH("work_email",Enrichment!$A$1:$GZ$1,0))&amp;"",""))</f>
        <v/>
      </c>
      <c r="BD961" s="0" t="str">
        <f aca="false">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P961" s="0" t="str">
        <f aca="false">IF($A961="","",IFERROR(INDEX(Enrichment!$A$2:$GZ$2000,MATCH($A961,INDEX(Enrichment!$A$2:$GZ$2000,0,MATCH("row_id",Enrichment!$A$1:$GZ$1,0)),0),MATCH("backup_work_email",Enrichment!$A$1:$GZ$1,0))&amp;"",""))</f>
        <v/>
      </c>
      <c r="BQ961" s="0" t="str">
        <f aca="false">IF($A961="","",IF(BP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DU961" s="0" t="str">
        <f aca="false">IF($A961="","",IF(R961="Y",10,0))</f>
        <v/>
      </c>
      <c r="EV961" s="0" t="str">
        <f aca="false">IF($A961="","",IF(ISNUMBER(MATCH(U961,{"queued","contacted","replied","call_booked","call_done","yes_in_principle","materials_sent"},0)),"Y","N"))</f>
        <v/>
      </c>
      <c r="EW961" s="0" t="str">
        <f aca="false">IF($A961="","",IF(OR(T961="Y",U961="do_not_contact",AQ961&amp;""&lt;&gt;""),"Y","N"))</f>
        <v/>
      </c>
      <c r="EX961" s="0" t="str">
        <f aca="false">IF($A961="","",IF(AN961&amp;""&lt;&gt;"",AN961&amp;"",$A961))</f>
        <v/>
      </c>
      <c r="EY961" s="0" t="str">
        <f aca="false">IF($A961="","",IF(COUNTIFS($EX$2:$EX$1000,EX961,$EV$2:$EV$1000,"Y")+COUNTIFS($EX$2:$EX$1000,EX961,$EW$2:$EW$1000,"Y")&gt;0,"Y","N"))</f>
        <v/>
      </c>
      <c r="EZ961" s="0" t="str">
        <f aca="false">IF($A961="","",IF(AND(U961="new",T961="N",EW961="N",AR961="Y",EY961="N"),"Y","N"))</f>
        <v/>
      </c>
      <c r="FA961" s="0" t="str">
        <f aca="false">IF($A961="","",IF(EZ961&lt;&gt;"Y","N",IF(COUNTIFS($EX$2:$EX$1000,EX961,$EZ$2:$EZ$1000,"Y",$J$2:$J$1000,"&gt;"&amp;J961)+COUNTIFS($EX$2:$EX$1000,EX961,$EZ$2:$EZ$1000,"Y",$J$2:$J$1000,J961,$FG$2:$FG$1000,"&lt;"&amp;FG961)=0,"Y","N")))</f>
        <v/>
      </c>
      <c r="FB961" s="0" t="str">
        <f aca="false">IF($A961="","",IF(AND(EZ961="Y",FA961="Y",Y961&amp;""&lt;&gt;""),IF(Y961&lt;=10,"Y","N"),"N"))</f>
        <v/>
      </c>
      <c r="FC961" s="0" t="str">
        <f aca="false">IF(FB961="Y",Y961,"")</f>
        <v/>
      </c>
      <c r="FD961" s="0" t="str">
        <f aca="false">IF($A961="","",IF(AND(CK961="pass",AU961="Y",AV961&lt;&gt;"Y",U961="new",EW961="N"),"Y","N"))</f>
        <v/>
      </c>
      <c r="FE961" s="0" t="str">
        <f aca="false">IF(FD961&lt;&gt;"Y","",IF(COUNTIFS($FD$2:$FD$1000,"Y",$J$2:$J$1000,"&gt;"&amp;J961)+COUNTIFS($FD$2:$FD$1000,"Y",$J$2:$J$1000,J961,$FG$2:$FG$1000,"&lt;"&amp;FG961)+1&lt;=30,COUNTIFS($FD$2:$FD$1000,"Y",$J$2:$J$1000,"&gt;"&amp;J961)+COUNTIFS($FD$2:$FD$1000,"Y",$J$2:$J$1000,J961,$FG$2:$FG$1000,"&lt;"&amp;FG961)+1,""))</f>
        <v/>
      </c>
      <c r="FF961" s="0" t="str">
        <f aca="false">IF(AND(_xlfn.ISFORMULA(C961),_xlfn.ISFORMULA(J961)),"Y","N")</f>
        <v>Y</v>
      </c>
      <c r="FG961" s="0" t="n">
        <f aca="false">ROW()-1</f>
        <v>960</v>
      </c>
    </row>
    <row r="962" customFormat="false" ht="15" hidden="false" customHeight="false" outlineLevel="0" collapsed="false">
      <c r="C962" s="0" t="str">
        <f aca="false">IF($A962="","",IF(AT962="Y",BL962&amp;"",AY962&amp;""))</f>
        <v/>
      </c>
      <c r="D962" s="0" t="str">
        <f aca="false">IF($A962="","",IF(AT962="Y",BM962&amp;"",AZ962&amp;""))</f>
        <v/>
      </c>
      <c r="E962" s="0" t="str">
        <f aca="false">IF($A962="","",IF(AT962="Y",BN962&amp;"",BA962&amp;""))</f>
        <v/>
      </c>
      <c r="F962" s="0" t="str">
        <f aca="false">IF($A962="","",IF(AT962="Y",BO962&amp;"",BB962&amp;""))</f>
        <v/>
      </c>
      <c r="G962" s="0" t="str">
        <f aca="false">IF($A962="","",IF(AT962="Y",BP962&amp;"",BC962&amp;""))</f>
        <v/>
      </c>
      <c r="H962" s="0" t="str">
        <f aca="false">IF($A962="","",IF(AT962="Y",BQ962&amp;"",BD962&amp;""))</f>
        <v/>
      </c>
      <c r="I962" s="0" t="str">
        <f aca="false">IF($A962="","",IF(R962="Y","warm-intro",IF(H962="verified","email",IF(C962&lt;&gt;"","linkedin",CA962&amp;""))))</f>
        <v/>
      </c>
      <c r="J962" s="0" t="str">
        <f aca="false">IF($A962="","",IF(CK962="pass",ROUND(N(DO962)+N(DP962)+N(DQ962)+N(DR962)+N(DS962)+N(DT962)+N(DU962)+N(DV962),0),0))</f>
        <v/>
      </c>
      <c r="K962" s="0" t="str">
        <f aca="false">IF($A962="","",IF(CK962&lt;&gt;"pass",BY962&amp;"",BY962&amp;", "&amp;IF(AT962="Y",BX962&amp;"",BK962&amp;"")&amp;BZ962&amp;IF(R962="Y","; known to the founder (+10)","")&amp;"."))</f>
        <v/>
      </c>
      <c r="R962" s="5"/>
      <c r="T962" s="5"/>
      <c r="U962" s="5"/>
      <c r="Y962" s="0" t="str">
        <f aca="false">IF(FA962&lt;&gt;"Y","",COUNTIFS($FA$2:$FA$1000,"Y",$J$2:$J$1000,"&gt;"&amp;J962)+COUNTIFS($FA$2:$FA$1000,"Y",$J$2:$J$1000,J962,$FG$2:$FG$1000,"&lt;"&amp;FG962)+1)</f>
        <v/>
      </c>
      <c r="AB962" s="0" t="str">
        <f aca="false">IF($A962="","",IF(AT962="Y",BW962&amp;"",BJ962&amp;""))</f>
        <v/>
      </c>
      <c r="AC962" s="0" t="str">
        <f aca="false">IF($A962="","",IF(AT962="Y",BR962&amp;"",BE962&amp;""))</f>
        <v/>
      </c>
      <c r="AD962" s="0" t="str">
        <f aca="false">IF($A962="","",IF(AT962="Y",BS962&amp;"",BF962&amp;""))</f>
        <v/>
      </c>
      <c r="AE962" s="0" t="str">
        <f aca="false">IF($A962="","",IF(AT962="Y",BT962&amp;"",BG962&amp;""))</f>
        <v/>
      </c>
      <c r="AF962" s="0" t="str">
        <f aca="false">IF($A962="","",IF(AT962="Y",BU962&amp;"",BH962&amp;""))</f>
        <v/>
      </c>
      <c r="AG962" s="0" t="str">
        <f aca="false">IF($A962="","",IF(AT962="Y",BV962&amp;"",BI962&amp;""))</f>
        <v/>
      </c>
      <c r="AO962" s="5"/>
      <c r="AR962" s="0" t="str">
        <f aca="false">IF($A962="","",IF(AND(CK962="pass",AO962&lt;&gt;"Y",C962&lt;&gt;"",OR(AU962&lt;&gt;"Y",AV962="Y")),"Y","N"))</f>
        <v/>
      </c>
      <c r="AS962" s="0" t="str">
        <f aca="false">IF($A962="","",_xlfn.TEXTJOIN("; ",TRUE(),IF(CK962&lt;&gt;"pass","gated out",""),IF(AO962="Y","on hold: "&amp;AP962,""),IF(C962="","no contact named on an opened page",""),IF(AND(AU962="Y",AV962&lt;&gt;"Y"),"founder review pending (Founder review tab)","")))</f>
        <v/>
      </c>
      <c r="BC962" s="0" t="str">
        <f aca="false">IF($A962="","",IFERROR(INDEX(Enrichment!$A$2:$GZ$2000,MATCH($A962,INDEX(Enrichment!$A$2:$GZ$2000,0,MATCH("row_id",Enrichment!$A$1:$GZ$1,0)),0),MATCH("work_email",Enrichment!$A$1:$GZ$1,0))&amp;"",""))</f>
        <v/>
      </c>
      <c r="BD962" s="0" t="str">
        <f aca="false">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P962" s="0" t="str">
        <f aca="false">IF($A962="","",IFERROR(INDEX(Enrichment!$A$2:$GZ$2000,MATCH($A962,INDEX(Enrichment!$A$2:$GZ$2000,0,MATCH("row_id",Enrichment!$A$1:$GZ$1,0)),0),MATCH("backup_work_email",Enrichment!$A$1:$GZ$1,0))&amp;"",""))</f>
        <v/>
      </c>
      <c r="BQ962" s="0" t="str">
        <f aca="false">IF($A962="","",IF(BP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DU962" s="0" t="str">
        <f aca="false">IF($A962="","",IF(R962="Y",10,0))</f>
        <v/>
      </c>
      <c r="EV962" s="0" t="str">
        <f aca="false">IF($A962="","",IF(ISNUMBER(MATCH(U962,{"queued","contacted","replied","call_booked","call_done","yes_in_principle","materials_sent"},0)),"Y","N"))</f>
        <v/>
      </c>
      <c r="EW962" s="0" t="str">
        <f aca="false">IF($A962="","",IF(OR(T962="Y",U962="do_not_contact",AQ962&amp;""&lt;&gt;""),"Y","N"))</f>
        <v/>
      </c>
      <c r="EX962" s="0" t="str">
        <f aca="false">IF($A962="","",IF(AN962&amp;""&lt;&gt;"",AN962&amp;"",$A962))</f>
        <v/>
      </c>
      <c r="EY962" s="0" t="str">
        <f aca="false">IF($A962="","",IF(COUNTIFS($EX$2:$EX$1000,EX962,$EV$2:$EV$1000,"Y")+COUNTIFS($EX$2:$EX$1000,EX962,$EW$2:$EW$1000,"Y")&gt;0,"Y","N"))</f>
        <v/>
      </c>
      <c r="EZ962" s="0" t="str">
        <f aca="false">IF($A962="","",IF(AND(U962="new",T962="N",EW962="N",AR962="Y",EY962="N"),"Y","N"))</f>
        <v/>
      </c>
      <c r="FA962" s="0" t="str">
        <f aca="false">IF($A962="","",IF(EZ962&lt;&gt;"Y","N",IF(COUNTIFS($EX$2:$EX$1000,EX962,$EZ$2:$EZ$1000,"Y",$J$2:$J$1000,"&gt;"&amp;J962)+COUNTIFS($EX$2:$EX$1000,EX962,$EZ$2:$EZ$1000,"Y",$J$2:$J$1000,J962,$FG$2:$FG$1000,"&lt;"&amp;FG962)=0,"Y","N")))</f>
        <v/>
      </c>
      <c r="FB962" s="0" t="str">
        <f aca="false">IF($A962="","",IF(AND(EZ962="Y",FA962="Y",Y962&amp;""&lt;&gt;""),IF(Y962&lt;=10,"Y","N"),"N"))</f>
        <v/>
      </c>
      <c r="FC962" s="0" t="str">
        <f aca="false">IF(FB962="Y",Y962,"")</f>
        <v/>
      </c>
      <c r="FD962" s="0" t="str">
        <f aca="false">IF($A962="","",IF(AND(CK962="pass",AU962="Y",AV962&lt;&gt;"Y",U962="new",EW962="N"),"Y","N"))</f>
        <v/>
      </c>
      <c r="FE962" s="0" t="str">
        <f aca="false">IF(FD962&lt;&gt;"Y","",IF(COUNTIFS($FD$2:$FD$1000,"Y",$J$2:$J$1000,"&gt;"&amp;J962)+COUNTIFS($FD$2:$FD$1000,"Y",$J$2:$J$1000,J962,$FG$2:$FG$1000,"&lt;"&amp;FG962)+1&lt;=30,COUNTIFS($FD$2:$FD$1000,"Y",$J$2:$J$1000,"&gt;"&amp;J962)+COUNTIFS($FD$2:$FD$1000,"Y",$J$2:$J$1000,J962,$FG$2:$FG$1000,"&lt;"&amp;FG962)+1,""))</f>
        <v/>
      </c>
      <c r="FF962" s="0" t="str">
        <f aca="false">IF(AND(_xlfn.ISFORMULA(C962),_xlfn.ISFORMULA(J962)),"Y","N")</f>
        <v>Y</v>
      </c>
      <c r="FG962" s="0" t="n">
        <f aca="false">ROW()-1</f>
        <v>961</v>
      </c>
    </row>
    <row r="963" customFormat="false" ht="15" hidden="false" customHeight="false" outlineLevel="0" collapsed="false">
      <c r="C963" s="0" t="str">
        <f aca="false">IF($A963="","",IF(AT963="Y",BL963&amp;"",AY963&amp;""))</f>
        <v/>
      </c>
      <c r="D963" s="0" t="str">
        <f aca="false">IF($A963="","",IF(AT963="Y",BM963&amp;"",AZ963&amp;""))</f>
        <v/>
      </c>
      <c r="E963" s="0" t="str">
        <f aca="false">IF($A963="","",IF(AT963="Y",BN963&amp;"",BA963&amp;""))</f>
        <v/>
      </c>
      <c r="F963" s="0" t="str">
        <f aca="false">IF($A963="","",IF(AT963="Y",BO963&amp;"",BB963&amp;""))</f>
        <v/>
      </c>
      <c r="G963" s="0" t="str">
        <f aca="false">IF($A963="","",IF(AT963="Y",BP963&amp;"",BC963&amp;""))</f>
        <v/>
      </c>
      <c r="H963" s="0" t="str">
        <f aca="false">IF($A963="","",IF(AT963="Y",BQ963&amp;"",BD963&amp;""))</f>
        <v/>
      </c>
      <c r="I963" s="0" t="str">
        <f aca="false">IF($A963="","",IF(R963="Y","warm-intro",IF(H963="verified","email",IF(C963&lt;&gt;"","linkedin",CA963&amp;""))))</f>
        <v/>
      </c>
      <c r="J963" s="0" t="str">
        <f aca="false">IF($A963="","",IF(CK963="pass",ROUND(N(DO963)+N(DP963)+N(DQ963)+N(DR963)+N(DS963)+N(DT963)+N(DU963)+N(DV963),0),0))</f>
        <v/>
      </c>
      <c r="K963" s="0" t="str">
        <f aca="false">IF($A963="","",IF(CK963&lt;&gt;"pass",BY963&amp;"",BY963&amp;", "&amp;IF(AT963="Y",BX963&amp;"",BK963&amp;"")&amp;BZ963&amp;IF(R963="Y","; known to the founder (+10)","")&amp;"."))</f>
        <v/>
      </c>
      <c r="R963" s="5"/>
      <c r="T963" s="5"/>
      <c r="U963" s="5"/>
      <c r="Y963" s="0" t="str">
        <f aca="false">IF(FA963&lt;&gt;"Y","",COUNTIFS($FA$2:$FA$1000,"Y",$J$2:$J$1000,"&gt;"&amp;J963)+COUNTIFS($FA$2:$FA$1000,"Y",$J$2:$J$1000,J963,$FG$2:$FG$1000,"&lt;"&amp;FG963)+1)</f>
        <v/>
      </c>
      <c r="AB963" s="0" t="str">
        <f aca="false">IF($A963="","",IF(AT963="Y",BW963&amp;"",BJ963&amp;""))</f>
        <v/>
      </c>
      <c r="AC963" s="0" t="str">
        <f aca="false">IF($A963="","",IF(AT963="Y",BR963&amp;"",BE963&amp;""))</f>
        <v/>
      </c>
      <c r="AD963" s="0" t="str">
        <f aca="false">IF($A963="","",IF(AT963="Y",BS963&amp;"",BF963&amp;""))</f>
        <v/>
      </c>
      <c r="AE963" s="0" t="str">
        <f aca="false">IF($A963="","",IF(AT963="Y",BT963&amp;"",BG963&amp;""))</f>
        <v/>
      </c>
      <c r="AF963" s="0" t="str">
        <f aca="false">IF($A963="","",IF(AT963="Y",BU963&amp;"",BH963&amp;""))</f>
        <v/>
      </c>
      <c r="AG963" s="0" t="str">
        <f aca="false">IF($A963="","",IF(AT963="Y",BV963&amp;"",BI963&amp;""))</f>
        <v/>
      </c>
      <c r="AO963" s="5"/>
      <c r="AR963" s="0" t="str">
        <f aca="false">IF($A963="","",IF(AND(CK963="pass",AO963&lt;&gt;"Y",C963&lt;&gt;"",OR(AU963&lt;&gt;"Y",AV963="Y")),"Y","N"))</f>
        <v/>
      </c>
      <c r="AS963" s="0" t="str">
        <f aca="false">IF($A963="","",_xlfn.TEXTJOIN("; ",TRUE(),IF(CK963&lt;&gt;"pass","gated out",""),IF(AO963="Y","on hold: "&amp;AP963,""),IF(C963="","no contact named on an opened page",""),IF(AND(AU963="Y",AV963&lt;&gt;"Y"),"founder review pending (Founder review tab)","")))</f>
        <v/>
      </c>
      <c r="BC963" s="0" t="str">
        <f aca="false">IF($A963="","",IFERROR(INDEX(Enrichment!$A$2:$GZ$2000,MATCH($A963,INDEX(Enrichment!$A$2:$GZ$2000,0,MATCH("row_id",Enrichment!$A$1:$GZ$1,0)),0),MATCH("work_email",Enrichment!$A$1:$GZ$1,0))&amp;"",""))</f>
        <v/>
      </c>
      <c r="BD963" s="0" t="str">
        <f aca="false">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P963" s="0" t="str">
        <f aca="false">IF($A963="","",IFERROR(INDEX(Enrichment!$A$2:$GZ$2000,MATCH($A963,INDEX(Enrichment!$A$2:$GZ$2000,0,MATCH("row_id",Enrichment!$A$1:$GZ$1,0)),0),MATCH("backup_work_email",Enrichment!$A$1:$GZ$1,0))&amp;"",""))</f>
        <v/>
      </c>
      <c r="BQ963" s="0" t="str">
        <f aca="false">IF($A963="","",IF(BP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DU963" s="0" t="str">
        <f aca="false">IF($A963="","",IF(R963="Y",10,0))</f>
        <v/>
      </c>
      <c r="EV963" s="0" t="str">
        <f aca="false">IF($A963="","",IF(ISNUMBER(MATCH(U963,{"queued","contacted","replied","call_booked","call_done","yes_in_principle","materials_sent"},0)),"Y","N"))</f>
        <v/>
      </c>
      <c r="EW963" s="0" t="str">
        <f aca="false">IF($A963="","",IF(OR(T963="Y",U963="do_not_contact",AQ963&amp;""&lt;&gt;""),"Y","N"))</f>
        <v/>
      </c>
      <c r="EX963" s="0" t="str">
        <f aca="false">IF($A963="","",IF(AN963&amp;""&lt;&gt;"",AN963&amp;"",$A963))</f>
        <v/>
      </c>
      <c r="EY963" s="0" t="str">
        <f aca="false">IF($A963="","",IF(COUNTIFS($EX$2:$EX$1000,EX963,$EV$2:$EV$1000,"Y")+COUNTIFS($EX$2:$EX$1000,EX963,$EW$2:$EW$1000,"Y")&gt;0,"Y","N"))</f>
        <v/>
      </c>
      <c r="EZ963" s="0" t="str">
        <f aca="false">IF($A963="","",IF(AND(U963="new",T963="N",EW963="N",AR963="Y",EY963="N"),"Y","N"))</f>
        <v/>
      </c>
      <c r="FA963" s="0" t="str">
        <f aca="false">IF($A963="","",IF(EZ963&lt;&gt;"Y","N",IF(COUNTIFS($EX$2:$EX$1000,EX963,$EZ$2:$EZ$1000,"Y",$J$2:$J$1000,"&gt;"&amp;J963)+COUNTIFS($EX$2:$EX$1000,EX963,$EZ$2:$EZ$1000,"Y",$J$2:$J$1000,J963,$FG$2:$FG$1000,"&lt;"&amp;FG963)=0,"Y","N")))</f>
        <v/>
      </c>
      <c r="FB963" s="0" t="str">
        <f aca="false">IF($A963="","",IF(AND(EZ963="Y",FA963="Y",Y963&amp;""&lt;&gt;""),IF(Y963&lt;=10,"Y","N"),"N"))</f>
        <v/>
      </c>
      <c r="FC963" s="0" t="str">
        <f aca="false">IF(FB963="Y",Y963,"")</f>
        <v/>
      </c>
      <c r="FD963" s="0" t="str">
        <f aca="false">IF($A963="","",IF(AND(CK963="pass",AU963="Y",AV963&lt;&gt;"Y",U963="new",EW963="N"),"Y","N"))</f>
        <v/>
      </c>
      <c r="FE963" s="0" t="str">
        <f aca="false">IF(FD963&lt;&gt;"Y","",IF(COUNTIFS($FD$2:$FD$1000,"Y",$J$2:$J$1000,"&gt;"&amp;J963)+COUNTIFS($FD$2:$FD$1000,"Y",$J$2:$J$1000,J963,$FG$2:$FG$1000,"&lt;"&amp;FG963)+1&lt;=30,COUNTIFS($FD$2:$FD$1000,"Y",$J$2:$J$1000,"&gt;"&amp;J963)+COUNTIFS($FD$2:$FD$1000,"Y",$J$2:$J$1000,J963,$FG$2:$FG$1000,"&lt;"&amp;FG963)+1,""))</f>
        <v/>
      </c>
      <c r="FF963" s="0" t="str">
        <f aca="false">IF(AND(_xlfn.ISFORMULA(C963),_xlfn.ISFORMULA(J963)),"Y","N")</f>
        <v>Y</v>
      </c>
      <c r="FG963" s="0" t="n">
        <f aca="false">ROW()-1</f>
        <v>962</v>
      </c>
    </row>
    <row r="964" customFormat="false" ht="15" hidden="false" customHeight="false" outlineLevel="0" collapsed="false">
      <c r="C964" s="0" t="str">
        <f aca="false">IF($A964="","",IF(AT964="Y",BL964&amp;"",AY964&amp;""))</f>
        <v/>
      </c>
      <c r="D964" s="0" t="str">
        <f aca="false">IF($A964="","",IF(AT964="Y",BM964&amp;"",AZ964&amp;""))</f>
        <v/>
      </c>
      <c r="E964" s="0" t="str">
        <f aca="false">IF($A964="","",IF(AT964="Y",BN964&amp;"",BA964&amp;""))</f>
        <v/>
      </c>
      <c r="F964" s="0" t="str">
        <f aca="false">IF($A964="","",IF(AT964="Y",BO964&amp;"",BB964&amp;""))</f>
        <v/>
      </c>
      <c r="G964" s="0" t="str">
        <f aca="false">IF($A964="","",IF(AT964="Y",BP964&amp;"",BC964&amp;""))</f>
        <v/>
      </c>
      <c r="H964" s="0" t="str">
        <f aca="false">IF($A964="","",IF(AT964="Y",BQ964&amp;"",BD964&amp;""))</f>
        <v/>
      </c>
      <c r="I964" s="0" t="str">
        <f aca="false">IF($A964="","",IF(R964="Y","warm-intro",IF(H964="verified","email",IF(C964&lt;&gt;"","linkedin",CA964&amp;""))))</f>
        <v/>
      </c>
      <c r="J964" s="0" t="str">
        <f aca="false">IF($A964="","",IF(CK964="pass",ROUND(N(DO964)+N(DP964)+N(DQ964)+N(DR964)+N(DS964)+N(DT964)+N(DU964)+N(DV964),0),0))</f>
        <v/>
      </c>
      <c r="K964" s="0" t="str">
        <f aca="false">IF($A964="","",IF(CK964&lt;&gt;"pass",BY964&amp;"",BY964&amp;", "&amp;IF(AT964="Y",BX964&amp;"",BK964&amp;"")&amp;BZ964&amp;IF(R964="Y","; known to the founder (+10)","")&amp;"."))</f>
        <v/>
      </c>
      <c r="R964" s="5"/>
      <c r="T964" s="5"/>
      <c r="U964" s="5"/>
      <c r="Y964" s="0" t="str">
        <f aca="false">IF(FA964&lt;&gt;"Y","",COUNTIFS($FA$2:$FA$1000,"Y",$J$2:$J$1000,"&gt;"&amp;J964)+COUNTIFS($FA$2:$FA$1000,"Y",$J$2:$J$1000,J964,$FG$2:$FG$1000,"&lt;"&amp;FG964)+1)</f>
        <v/>
      </c>
      <c r="AB964" s="0" t="str">
        <f aca="false">IF($A964="","",IF(AT964="Y",BW964&amp;"",BJ964&amp;""))</f>
        <v/>
      </c>
      <c r="AC964" s="0" t="str">
        <f aca="false">IF($A964="","",IF(AT964="Y",BR964&amp;"",BE964&amp;""))</f>
        <v/>
      </c>
      <c r="AD964" s="0" t="str">
        <f aca="false">IF($A964="","",IF(AT964="Y",BS964&amp;"",BF964&amp;""))</f>
        <v/>
      </c>
      <c r="AE964" s="0" t="str">
        <f aca="false">IF($A964="","",IF(AT964="Y",BT964&amp;"",BG964&amp;""))</f>
        <v/>
      </c>
      <c r="AF964" s="0" t="str">
        <f aca="false">IF($A964="","",IF(AT964="Y",BU964&amp;"",BH964&amp;""))</f>
        <v/>
      </c>
      <c r="AG964" s="0" t="str">
        <f aca="false">IF($A964="","",IF(AT964="Y",BV964&amp;"",BI964&amp;""))</f>
        <v/>
      </c>
      <c r="AO964" s="5"/>
      <c r="AR964" s="0" t="str">
        <f aca="false">IF($A964="","",IF(AND(CK964="pass",AO964&lt;&gt;"Y",C964&lt;&gt;"",OR(AU964&lt;&gt;"Y",AV964="Y")),"Y","N"))</f>
        <v/>
      </c>
      <c r="AS964" s="0" t="str">
        <f aca="false">IF($A964="","",_xlfn.TEXTJOIN("; ",TRUE(),IF(CK964&lt;&gt;"pass","gated out",""),IF(AO964="Y","on hold: "&amp;AP964,""),IF(C964="","no contact named on an opened page",""),IF(AND(AU964="Y",AV964&lt;&gt;"Y"),"founder review pending (Founder review tab)","")))</f>
        <v/>
      </c>
      <c r="BC964" s="0" t="str">
        <f aca="false">IF($A964="","",IFERROR(INDEX(Enrichment!$A$2:$GZ$2000,MATCH($A964,INDEX(Enrichment!$A$2:$GZ$2000,0,MATCH("row_id",Enrichment!$A$1:$GZ$1,0)),0),MATCH("work_email",Enrichment!$A$1:$GZ$1,0))&amp;"",""))</f>
        <v/>
      </c>
      <c r="BD964" s="0" t="str">
        <f aca="false">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P964" s="0" t="str">
        <f aca="false">IF($A964="","",IFERROR(INDEX(Enrichment!$A$2:$GZ$2000,MATCH($A964,INDEX(Enrichment!$A$2:$GZ$2000,0,MATCH("row_id",Enrichment!$A$1:$GZ$1,0)),0),MATCH("backup_work_email",Enrichment!$A$1:$GZ$1,0))&amp;"",""))</f>
        <v/>
      </c>
      <c r="BQ964" s="0" t="str">
        <f aca="false">IF($A964="","",IF(BP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DU964" s="0" t="str">
        <f aca="false">IF($A964="","",IF(R964="Y",10,0))</f>
        <v/>
      </c>
      <c r="EV964" s="0" t="str">
        <f aca="false">IF($A964="","",IF(ISNUMBER(MATCH(U964,{"queued","contacted","replied","call_booked","call_done","yes_in_principle","materials_sent"},0)),"Y","N"))</f>
        <v/>
      </c>
      <c r="EW964" s="0" t="str">
        <f aca="false">IF($A964="","",IF(OR(T964="Y",U964="do_not_contact",AQ964&amp;""&lt;&gt;""),"Y","N"))</f>
        <v/>
      </c>
      <c r="EX964" s="0" t="str">
        <f aca="false">IF($A964="","",IF(AN964&amp;""&lt;&gt;"",AN964&amp;"",$A964))</f>
        <v/>
      </c>
      <c r="EY964" s="0" t="str">
        <f aca="false">IF($A964="","",IF(COUNTIFS($EX$2:$EX$1000,EX964,$EV$2:$EV$1000,"Y")+COUNTIFS($EX$2:$EX$1000,EX964,$EW$2:$EW$1000,"Y")&gt;0,"Y","N"))</f>
        <v/>
      </c>
      <c r="EZ964" s="0" t="str">
        <f aca="false">IF($A964="","",IF(AND(U964="new",T964="N",EW964="N",AR964="Y",EY964="N"),"Y","N"))</f>
        <v/>
      </c>
      <c r="FA964" s="0" t="str">
        <f aca="false">IF($A964="","",IF(EZ964&lt;&gt;"Y","N",IF(COUNTIFS($EX$2:$EX$1000,EX964,$EZ$2:$EZ$1000,"Y",$J$2:$J$1000,"&gt;"&amp;J964)+COUNTIFS($EX$2:$EX$1000,EX964,$EZ$2:$EZ$1000,"Y",$J$2:$J$1000,J964,$FG$2:$FG$1000,"&lt;"&amp;FG964)=0,"Y","N")))</f>
        <v/>
      </c>
      <c r="FB964" s="0" t="str">
        <f aca="false">IF($A964="","",IF(AND(EZ964="Y",FA964="Y",Y964&amp;""&lt;&gt;""),IF(Y964&lt;=10,"Y","N"),"N"))</f>
        <v/>
      </c>
      <c r="FC964" s="0" t="str">
        <f aca="false">IF(FB964="Y",Y964,"")</f>
        <v/>
      </c>
      <c r="FD964" s="0" t="str">
        <f aca="false">IF($A964="","",IF(AND(CK964="pass",AU964="Y",AV964&lt;&gt;"Y",U964="new",EW964="N"),"Y","N"))</f>
        <v/>
      </c>
      <c r="FE964" s="0" t="str">
        <f aca="false">IF(FD964&lt;&gt;"Y","",IF(COUNTIFS($FD$2:$FD$1000,"Y",$J$2:$J$1000,"&gt;"&amp;J964)+COUNTIFS($FD$2:$FD$1000,"Y",$J$2:$J$1000,J964,$FG$2:$FG$1000,"&lt;"&amp;FG964)+1&lt;=30,COUNTIFS($FD$2:$FD$1000,"Y",$J$2:$J$1000,"&gt;"&amp;J964)+COUNTIFS($FD$2:$FD$1000,"Y",$J$2:$J$1000,J964,$FG$2:$FG$1000,"&lt;"&amp;FG964)+1,""))</f>
        <v/>
      </c>
      <c r="FF964" s="0" t="str">
        <f aca="false">IF(AND(_xlfn.ISFORMULA(C964),_xlfn.ISFORMULA(J964)),"Y","N")</f>
        <v>Y</v>
      </c>
      <c r="FG964" s="0" t="n">
        <f aca="false">ROW()-1</f>
        <v>963</v>
      </c>
    </row>
    <row r="965" customFormat="false" ht="15" hidden="false" customHeight="false" outlineLevel="0" collapsed="false">
      <c r="C965" s="0" t="str">
        <f aca="false">IF($A965="","",IF(AT965="Y",BL965&amp;"",AY965&amp;""))</f>
        <v/>
      </c>
      <c r="D965" s="0" t="str">
        <f aca="false">IF($A965="","",IF(AT965="Y",BM965&amp;"",AZ965&amp;""))</f>
        <v/>
      </c>
      <c r="E965" s="0" t="str">
        <f aca="false">IF($A965="","",IF(AT965="Y",BN965&amp;"",BA965&amp;""))</f>
        <v/>
      </c>
      <c r="F965" s="0" t="str">
        <f aca="false">IF($A965="","",IF(AT965="Y",BO965&amp;"",BB965&amp;""))</f>
        <v/>
      </c>
      <c r="G965" s="0" t="str">
        <f aca="false">IF($A965="","",IF(AT965="Y",BP965&amp;"",BC965&amp;""))</f>
        <v/>
      </c>
      <c r="H965" s="0" t="str">
        <f aca="false">IF($A965="","",IF(AT965="Y",BQ965&amp;"",BD965&amp;""))</f>
        <v/>
      </c>
      <c r="I965" s="0" t="str">
        <f aca="false">IF($A965="","",IF(R965="Y","warm-intro",IF(H965="verified","email",IF(C965&lt;&gt;"","linkedin",CA965&amp;""))))</f>
        <v/>
      </c>
      <c r="J965" s="0" t="str">
        <f aca="false">IF($A965="","",IF(CK965="pass",ROUND(N(DO965)+N(DP965)+N(DQ965)+N(DR965)+N(DS965)+N(DT965)+N(DU965)+N(DV965),0),0))</f>
        <v/>
      </c>
      <c r="K965" s="0" t="str">
        <f aca="false">IF($A965="","",IF(CK965&lt;&gt;"pass",BY965&amp;"",BY965&amp;", "&amp;IF(AT965="Y",BX965&amp;"",BK965&amp;"")&amp;BZ965&amp;IF(R965="Y","; known to the founder (+10)","")&amp;"."))</f>
        <v/>
      </c>
      <c r="R965" s="5"/>
      <c r="T965" s="5"/>
      <c r="U965" s="5"/>
      <c r="Y965" s="0" t="str">
        <f aca="false">IF(FA965&lt;&gt;"Y","",COUNTIFS($FA$2:$FA$1000,"Y",$J$2:$J$1000,"&gt;"&amp;J965)+COUNTIFS($FA$2:$FA$1000,"Y",$J$2:$J$1000,J965,$FG$2:$FG$1000,"&lt;"&amp;FG965)+1)</f>
        <v/>
      </c>
      <c r="AB965" s="0" t="str">
        <f aca="false">IF($A965="","",IF(AT965="Y",BW965&amp;"",BJ965&amp;""))</f>
        <v/>
      </c>
      <c r="AC965" s="0" t="str">
        <f aca="false">IF($A965="","",IF(AT965="Y",BR965&amp;"",BE965&amp;""))</f>
        <v/>
      </c>
      <c r="AD965" s="0" t="str">
        <f aca="false">IF($A965="","",IF(AT965="Y",BS965&amp;"",BF965&amp;""))</f>
        <v/>
      </c>
      <c r="AE965" s="0" t="str">
        <f aca="false">IF($A965="","",IF(AT965="Y",BT965&amp;"",BG965&amp;""))</f>
        <v/>
      </c>
      <c r="AF965" s="0" t="str">
        <f aca="false">IF($A965="","",IF(AT965="Y",BU965&amp;"",BH965&amp;""))</f>
        <v/>
      </c>
      <c r="AG965" s="0" t="str">
        <f aca="false">IF($A965="","",IF(AT965="Y",BV965&amp;"",BI965&amp;""))</f>
        <v/>
      </c>
      <c r="AO965" s="5"/>
      <c r="AR965" s="0" t="str">
        <f aca="false">IF($A965="","",IF(AND(CK965="pass",AO965&lt;&gt;"Y",C965&lt;&gt;"",OR(AU965&lt;&gt;"Y",AV965="Y")),"Y","N"))</f>
        <v/>
      </c>
      <c r="AS965" s="0" t="str">
        <f aca="false">IF($A965="","",_xlfn.TEXTJOIN("; ",TRUE(),IF(CK965&lt;&gt;"pass","gated out",""),IF(AO965="Y","on hold: "&amp;AP965,""),IF(C965="","no contact named on an opened page",""),IF(AND(AU965="Y",AV965&lt;&gt;"Y"),"founder review pending (Founder review tab)","")))</f>
        <v/>
      </c>
      <c r="BC965" s="0" t="str">
        <f aca="false">IF($A965="","",IFERROR(INDEX(Enrichment!$A$2:$GZ$2000,MATCH($A965,INDEX(Enrichment!$A$2:$GZ$2000,0,MATCH("row_id",Enrichment!$A$1:$GZ$1,0)),0),MATCH("work_email",Enrichment!$A$1:$GZ$1,0))&amp;"",""))</f>
        <v/>
      </c>
      <c r="BD965" s="0" t="str">
        <f aca="false">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P965" s="0" t="str">
        <f aca="false">IF($A965="","",IFERROR(INDEX(Enrichment!$A$2:$GZ$2000,MATCH($A965,INDEX(Enrichment!$A$2:$GZ$2000,0,MATCH("row_id",Enrichment!$A$1:$GZ$1,0)),0),MATCH("backup_work_email",Enrichment!$A$1:$GZ$1,0))&amp;"",""))</f>
        <v/>
      </c>
      <c r="BQ965" s="0" t="str">
        <f aca="false">IF($A965="","",IF(BP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DU965" s="0" t="str">
        <f aca="false">IF($A965="","",IF(R965="Y",10,0))</f>
        <v/>
      </c>
      <c r="EV965" s="0" t="str">
        <f aca="false">IF($A965="","",IF(ISNUMBER(MATCH(U965,{"queued","contacted","replied","call_booked","call_done","yes_in_principle","materials_sent"},0)),"Y","N"))</f>
        <v/>
      </c>
      <c r="EW965" s="0" t="str">
        <f aca="false">IF($A965="","",IF(OR(T965="Y",U965="do_not_contact",AQ965&amp;""&lt;&gt;""),"Y","N"))</f>
        <v/>
      </c>
      <c r="EX965" s="0" t="str">
        <f aca="false">IF($A965="","",IF(AN965&amp;""&lt;&gt;"",AN965&amp;"",$A965))</f>
        <v/>
      </c>
      <c r="EY965" s="0" t="str">
        <f aca="false">IF($A965="","",IF(COUNTIFS($EX$2:$EX$1000,EX965,$EV$2:$EV$1000,"Y")+COUNTIFS($EX$2:$EX$1000,EX965,$EW$2:$EW$1000,"Y")&gt;0,"Y","N"))</f>
        <v/>
      </c>
      <c r="EZ965" s="0" t="str">
        <f aca="false">IF($A965="","",IF(AND(U965="new",T965="N",EW965="N",AR965="Y",EY965="N"),"Y","N"))</f>
        <v/>
      </c>
      <c r="FA965" s="0" t="str">
        <f aca="false">IF($A965="","",IF(EZ965&lt;&gt;"Y","N",IF(COUNTIFS($EX$2:$EX$1000,EX965,$EZ$2:$EZ$1000,"Y",$J$2:$J$1000,"&gt;"&amp;J965)+COUNTIFS($EX$2:$EX$1000,EX965,$EZ$2:$EZ$1000,"Y",$J$2:$J$1000,J965,$FG$2:$FG$1000,"&lt;"&amp;FG965)=0,"Y","N")))</f>
        <v/>
      </c>
      <c r="FB965" s="0" t="str">
        <f aca="false">IF($A965="","",IF(AND(EZ965="Y",FA965="Y",Y965&amp;""&lt;&gt;""),IF(Y965&lt;=10,"Y","N"),"N"))</f>
        <v/>
      </c>
      <c r="FC965" s="0" t="str">
        <f aca="false">IF(FB965="Y",Y965,"")</f>
        <v/>
      </c>
      <c r="FD965" s="0" t="str">
        <f aca="false">IF($A965="","",IF(AND(CK965="pass",AU965="Y",AV965&lt;&gt;"Y",U965="new",EW965="N"),"Y","N"))</f>
        <v/>
      </c>
      <c r="FE965" s="0" t="str">
        <f aca="false">IF(FD965&lt;&gt;"Y","",IF(COUNTIFS($FD$2:$FD$1000,"Y",$J$2:$J$1000,"&gt;"&amp;J965)+COUNTIFS($FD$2:$FD$1000,"Y",$J$2:$J$1000,J965,$FG$2:$FG$1000,"&lt;"&amp;FG965)+1&lt;=30,COUNTIFS($FD$2:$FD$1000,"Y",$J$2:$J$1000,"&gt;"&amp;J965)+COUNTIFS($FD$2:$FD$1000,"Y",$J$2:$J$1000,J965,$FG$2:$FG$1000,"&lt;"&amp;FG965)+1,""))</f>
        <v/>
      </c>
      <c r="FF965" s="0" t="str">
        <f aca="false">IF(AND(_xlfn.ISFORMULA(C965),_xlfn.ISFORMULA(J965)),"Y","N")</f>
        <v>Y</v>
      </c>
      <c r="FG965" s="0" t="n">
        <f aca="false">ROW()-1</f>
        <v>964</v>
      </c>
    </row>
    <row r="966" customFormat="false" ht="15" hidden="false" customHeight="false" outlineLevel="0" collapsed="false">
      <c r="C966" s="0" t="str">
        <f aca="false">IF($A966="","",IF(AT966="Y",BL966&amp;"",AY966&amp;""))</f>
        <v/>
      </c>
      <c r="D966" s="0" t="str">
        <f aca="false">IF($A966="","",IF(AT966="Y",BM966&amp;"",AZ966&amp;""))</f>
        <v/>
      </c>
      <c r="E966" s="0" t="str">
        <f aca="false">IF($A966="","",IF(AT966="Y",BN966&amp;"",BA966&amp;""))</f>
        <v/>
      </c>
      <c r="F966" s="0" t="str">
        <f aca="false">IF($A966="","",IF(AT966="Y",BO966&amp;"",BB966&amp;""))</f>
        <v/>
      </c>
      <c r="G966" s="0" t="str">
        <f aca="false">IF($A966="","",IF(AT966="Y",BP966&amp;"",BC966&amp;""))</f>
        <v/>
      </c>
      <c r="H966" s="0" t="str">
        <f aca="false">IF($A966="","",IF(AT966="Y",BQ966&amp;"",BD966&amp;""))</f>
        <v/>
      </c>
      <c r="I966" s="0" t="str">
        <f aca="false">IF($A966="","",IF(R966="Y","warm-intro",IF(H966="verified","email",IF(C966&lt;&gt;"","linkedin",CA966&amp;""))))</f>
        <v/>
      </c>
      <c r="J966" s="0" t="str">
        <f aca="false">IF($A966="","",IF(CK966="pass",ROUND(N(DO966)+N(DP966)+N(DQ966)+N(DR966)+N(DS966)+N(DT966)+N(DU966)+N(DV966),0),0))</f>
        <v/>
      </c>
      <c r="K966" s="0" t="str">
        <f aca="false">IF($A966="","",IF(CK966&lt;&gt;"pass",BY966&amp;"",BY966&amp;", "&amp;IF(AT966="Y",BX966&amp;"",BK966&amp;"")&amp;BZ966&amp;IF(R966="Y","; known to the founder (+10)","")&amp;"."))</f>
        <v/>
      </c>
      <c r="R966" s="5"/>
      <c r="T966" s="5"/>
      <c r="U966" s="5"/>
      <c r="Y966" s="0" t="str">
        <f aca="false">IF(FA966&lt;&gt;"Y","",COUNTIFS($FA$2:$FA$1000,"Y",$J$2:$J$1000,"&gt;"&amp;J966)+COUNTIFS($FA$2:$FA$1000,"Y",$J$2:$J$1000,J966,$FG$2:$FG$1000,"&lt;"&amp;FG966)+1)</f>
        <v/>
      </c>
      <c r="AB966" s="0" t="str">
        <f aca="false">IF($A966="","",IF(AT966="Y",BW966&amp;"",BJ966&amp;""))</f>
        <v/>
      </c>
      <c r="AC966" s="0" t="str">
        <f aca="false">IF($A966="","",IF(AT966="Y",BR966&amp;"",BE966&amp;""))</f>
        <v/>
      </c>
      <c r="AD966" s="0" t="str">
        <f aca="false">IF($A966="","",IF(AT966="Y",BS966&amp;"",BF966&amp;""))</f>
        <v/>
      </c>
      <c r="AE966" s="0" t="str">
        <f aca="false">IF($A966="","",IF(AT966="Y",BT966&amp;"",BG966&amp;""))</f>
        <v/>
      </c>
      <c r="AF966" s="0" t="str">
        <f aca="false">IF($A966="","",IF(AT966="Y",BU966&amp;"",BH966&amp;""))</f>
        <v/>
      </c>
      <c r="AG966" s="0" t="str">
        <f aca="false">IF($A966="","",IF(AT966="Y",BV966&amp;"",BI966&amp;""))</f>
        <v/>
      </c>
      <c r="AO966" s="5"/>
      <c r="AR966" s="0" t="str">
        <f aca="false">IF($A966="","",IF(AND(CK966="pass",AO966&lt;&gt;"Y",C966&lt;&gt;"",OR(AU966&lt;&gt;"Y",AV966="Y")),"Y","N"))</f>
        <v/>
      </c>
      <c r="AS966" s="0" t="str">
        <f aca="false">IF($A966="","",_xlfn.TEXTJOIN("; ",TRUE(),IF(CK966&lt;&gt;"pass","gated out",""),IF(AO966="Y","on hold: "&amp;AP966,""),IF(C966="","no contact named on an opened page",""),IF(AND(AU966="Y",AV966&lt;&gt;"Y"),"founder review pending (Founder review tab)","")))</f>
        <v/>
      </c>
      <c r="BC966" s="0" t="str">
        <f aca="false">IF($A966="","",IFERROR(INDEX(Enrichment!$A$2:$GZ$2000,MATCH($A966,INDEX(Enrichment!$A$2:$GZ$2000,0,MATCH("row_id",Enrichment!$A$1:$GZ$1,0)),0),MATCH("work_email",Enrichment!$A$1:$GZ$1,0))&amp;"",""))</f>
        <v/>
      </c>
      <c r="BD966" s="0" t="str">
        <f aca="false">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P966" s="0" t="str">
        <f aca="false">IF($A966="","",IFERROR(INDEX(Enrichment!$A$2:$GZ$2000,MATCH($A966,INDEX(Enrichment!$A$2:$GZ$2000,0,MATCH("row_id",Enrichment!$A$1:$GZ$1,0)),0),MATCH("backup_work_email",Enrichment!$A$1:$GZ$1,0))&amp;"",""))</f>
        <v/>
      </c>
      <c r="BQ966" s="0" t="str">
        <f aca="false">IF($A966="","",IF(BP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DU966" s="0" t="str">
        <f aca="false">IF($A966="","",IF(R966="Y",10,0))</f>
        <v/>
      </c>
      <c r="EV966" s="0" t="str">
        <f aca="false">IF($A966="","",IF(ISNUMBER(MATCH(U966,{"queued","contacted","replied","call_booked","call_done","yes_in_principle","materials_sent"},0)),"Y","N"))</f>
        <v/>
      </c>
      <c r="EW966" s="0" t="str">
        <f aca="false">IF($A966="","",IF(OR(T966="Y",U966="do_not_contact",AQ966&amp;""&lt;&gt;""),"Y","N"))</f>
        <v/>
      </c>
      <c r="EX966" s="0" t="str">
        <f aca="false">IF($A966="","",IF(AN966&amp;""&lt;&gt;"",AN966&amp;"",$A966))</f>
        <v/>
      </c>
      <c r="EY966" s="0" t="str">
        <f aca="false">IF($A966="","",IF(COUNTIFS($EX$2:$EX$1000,EX966,$EV$2:$EV$1000,"Y")+COUNTIFS($EX$2:$EX$1000,EX966,$EW$2:$EW$1000,"Y")&gt;0,"Y","N"))</f>
        <v/>
      </c>
      <c r="EZ966" s="0" t="str">
        <f aca="false">IF($A966="","",IF(AND(U966="new",T966="N",EW966="N",AR966="Y",EY966="N"),"Y","N"))</f>
        <v/>
      </c>
      <c r="FA966" s="0" t="str">
        <f aca="false">IF($A966="","",IF(EZ966&lt;&gt;"Y","N",IF(COUNTIFS($EX$2:$EX$1000,EX966,$EZ$2:$EZ$1000,"Y",$J$2:$J$1000,"&gt;"&amp;J966)+COUNTIFS($EX$2:$EX$1000,EX966,$EZ$2:$EZ$1000,"Y",$J$2:$J$1000,J966,$FG$2:$FG$1000,"&lt;"&amp;FG966)=0,"Y","N")))</f>
        <v/>
      </c>
      <c r="FB966" s="0" t="str">
        <f aca="false">IF($A966="","",IF(AND(EZ966="Y",FA966="Y",Y966&amp;""&lt;&gt;""),IF(Y966&lt;=10,"Y","N"),"N"))</f>
        <v/>
      </c>
      <c r="FC966" s="0" t="str">
        <f aca="false">IF(FB966="Y",Y966,"")</f>
        <v/>
      </c>
      <c r="FD966" s="0" t="str">
        <f aca="false">IF($A966="","",IF(AND(CK966="pass",AU966="Y",AV966&lt;&gt;"Y",U966="new",EW966="N"),"Y","N"))</f>
        <v/>
      </c>
      <c r="FE966" s="0" t="str">
        <f aca="false">IF(FD966&lt;&gt;"Y","",IF(COUNTIFS($FD$2:$FD$1000,"Y",$J$2:$J$1000,"&gt;"&amp;J966)+COUNTIFS($FD$2:$FD$1000,"Y",$J$2:$J$1000,J966,$FG$2:$FG$1000,"&lt;"&amp;FG966)+1&lt;=30,COUNTIFS($FD$2:$FD$1000,"Y",$J$2:$J$1000,"&gt;"&amp;J966)+COUNTIFS($FD$2:$FD$1000,"Y",$J$2:$J$1000,J966,$FG$2:$FG$1000,"&lt;"&amp;FG966)+1,""))</f>
        <v/>
      </c>
      <c r="FF966" s="0" t="str">
        <f aca="false">IF(AND(_xlfn.ISFORMULA(C966),_xlfn.ISFORMULA(J966)),"Y","N")</f>
        <v>Y</v>
      </c>
      <c r="FG966" s="0" t="n">
        <f aca="false">ROW()-1</f>
        <v>965</v>
      </c>
    </row>
    <row r="967" customFormat="false" ht="15" hidden="false" customHeight="false" outlineLevel="0" collapsed="false">
      <c r="C967" s="0" t="str">
        <f aca="false">IF($A967="","",IF(AT967="Y",BL967&amp;"",AY967&amp;""))</f>
        <v/>
      </c>
      <c r="D967" s="0" t="str">
        <f aca="false">IF($A967="","",IF(AT967="Y",BM967&amp;"",AZ967&amp;""))</f>
        <v/>
      </c>
      <c r="E967" s="0" t="str">
        <f aca="false">IF($A967="","",IF(AT967="Y",BN967&amp;"",BA967&amp;""))</f>
        <v/>
      </c>
      <c r="F967" s="0" t="str">
        <f aca="false">IF($A967="","",IF(AT967="Y",BO967&amp;"",BB967&amp;""))</f>
        <v/>
      </c>
      <c r="G967" s="0" t="str">
        <f aca="false">IF($A967="","",IF(AT967="Y",BP967&amp;"",BC967&amp;""))</f>
        <v/>
      </c>
      <c r="H967" s="0" t="str">
        <f aca="false">IF($A967="","",IF(AT967="Y",BQ967&amp;"",BD967&amp;""))</f>
        <v/>
      </c>
      <c r="I967" s="0" t="str">
        <f aca="false">IF($A967="","",IF(R967="Y","warm-intro",IF(H967="verified","email",IF(C967&lt;&gt;"","linkedin",CA967&amp;""))))</f>
        <v/>
      </c>
      <c r="J967" s="0" t="str">
        <f aca="false">IF($A967="","",IF(CK967="pass",ROUND(N(DO967)+N(DP967)+N(DQ967)+N(DR967)+N(DS967)+N(DT967)+N(DU967)+N(DV967),0),0))</f>
        <v/>
      </c>
      <c r="K967" s="0" t="str">
        <f aca="false">IF($A967="","",IF(CK967&lt;&gt;"pass",BY967&amp;"",BY967&amp;", "&amp;IF(AT967="Y",BX967&amp;"",BK967&amp;"")&amp;BZ967&amp;IF(R967="Y","; known to the founder (+10)","")&amp;"."))</f>
        <v/>
      </c>
      <c r="R967" s="5"/>
      <c r="T967" s="5"/>
      <c r="U967" s="5"/>
      <c r="Y967" s="0" t="str">
        <f aca="false">IF(FA967&lt;&gt;"Y","",COUNTIFS($FA$2:$FA$1000,"Y",$J$2:$J$1000,"&gt;"&amp;J967)+COUNTIFS($FA$2:$FA$1000,"Y",$J$2:$J$1000,J967,$FG$2:$FG$1000,"&lt;"&amp;FG967)+1)</f>
        <v/>
      </c>
      <c r="AB967" s="0" t="str">
        <f aca="false">IF($A967="","",IF(AT967="Y",BW967&amp;"",BJ967&amp;""))</f>
        <v/>
      </c>
      <c r="AC967" s="0" t="str">
        <f aca="false">IF($A967="","",IF(AT967="Y",BR967&amp;"",BE967&amp;""))</f>
        <v/>
      </c>
      <c r="AD967" s="0" t="str">
        <f aca="false">IF($A967="","",IF(AT967="Y",BS967&amp;"",BF967&amp;""))</f>
        <v/>
      </c>
      <c r="AE967" s="0" t="str">
        <f aca="false">IF($A967="","",IF(AT967="Y",BT967&amp;"",BG967&amp;""))</f>
        <v/>
      </c>
      <c r="AF967" s="0" t="str">
        <f aca="false">IF($A967="","",IF(AT967="Y",BU967&amp;"",BH967&amp;""))</f>
        <v/>
      </c>
      <c r="AG967" s="0" t="str">
        <f aca="false">IF($A967="","",IF(AT967="Y",BV967&amp;"",BI967&amp;""))</f>
        <v/>
      </c>
      <c r="AO967" s="5"/>
      <c r="AR967" s="0" t="str">
        <f aca="false">IF($A967="","",IF(AND(CK967="pass",AO967&lt;&gt;"Y",C967&lt;&gt;"",OR(AU967&lt;&gt;"Y",AV967="Y")),"Y","N"))</f>
        <v/>
      </c>
      <c r="AS967" s="0" t="str">
        <f aca="false">IF($A967="","",_xlfn.TEXTJOIN("; ",TRUE(),IF(CK967&lt;&gt;"pass","gated out",""),IF(AO967="Y","on hold: "&amp;AP967,""),IF(C967="","no contact named on an opened page",""),IF(AND(AU967="Y",AV967&lt;&gt;"Y"),"founder review pending (Founder review tab)","")))</f>
        <v/>
      </c>
      <c r="BC967" s="0" t="str">
        <f aca="false">IF($A967="","",IFERROR(INDEX(Enrichment!$A$2:$GZ$2000,MATCH($A967,INDEX(Enrichment!$A$2:$GZ$2000,0,MATCH("row_id",Enrichment!$A$1:$GZ$1,0)),0),MATCH("work_email",Enrichment!$A$1:$GZ$1,0))&amp;"",""))</f>
        <v/>
      </c>
      <c r="BD967" s="0" t="str">
        <f aca="false">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P967" s="0" t="str">
        <f aca="false">IF($A967="","",IFERROR(INDEX(Enrichment!$A$2:$GZ$2000,MATCH($A967,INDEX(Enrichment!$A$2:$GZ$2000,0,MATCH("row_id",Enrichment!$A$1:$GZ$1,0)),0),MATCH("backup_work_email",Enrichment!$A$1:$GZ$1,0))&amp;"",""))</f>
        <v/>
      </c>
      <c r="BQ967" s="0" t="str">
        <f aca="false">IF($A967="","",IF(BP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DU967" s="0" t="str">
        <f aca="false">IF($A967="","",IF(R967="Y",10,0))</f>
        <v/>
      </c>
      <c r="EV967" s="0" t="str">
        <f aca="false">IF($A967="","",IF(ISNUMBER(MATCH(U967,{"queued","contacted","replied","call_booked","call_done","yes_in_principle","materials_sent"},0)),"Y","N"))</f>
        <v/>
      </c>
      <c r="EW967" s="0" t="str">
        <f aca="false">IF($A967="","",IF(OR(T967="Y",U967="do_not_contact",AQ967&amp;""&lt;&gt;""),"Y","N"))</f>
        <v/>
      </c>
      <c r="EX967" s="0" t="str">
        <f aca="false">IF($A967="","",IF(AN967&amp;""&lt;&gt;"",AN967&amp;"",$A967))</f>
        <v/>
      </c>
      <c r="EY967" s="0" t="str">
        <f aca="false">IF($A967="","",IF(COUNTIFS($EX$2:$EX$1000,EX967,$EV$2:$EV$1000,"Y")+COUNTIFS($EX$2:$EX$1000,EX967,$EW$2:$EW$1000,"Y")&gt;0,"Y","N"))</f>
        <v/>
      </c>
      <c r="EZ967" s="0" t="str">
        <f aca="false">IF($A967="","",IF(AND(U967="new",T967="N",EW967="N",AR967="Y",EY967="N"),"Y","N"))</f>
        <v/>
      </c>
      <c r="FA967" s="0" t="str">
        <f aca="false">IF($A967="","",IF(EZ967&lt;&gt;"Y","N",IF(COUNTIFS($EX$2:$EX$1000,EX967,$EZ$2:$EZ$1000,"Y",$J$2:$J$1000,"&gt;"&amp;J967)+COUNTIFS($EX$2:$EX$1000,EX967,$EZ$2:$EZ$1000,"Y",$J$2:$J$1000,J967,$FG$2:$FG$1000,"&lt;"&amp;FG967)=0,"Y","N")))</f>
        <v/>
      </c>
      <c r="FB967" s="0" t="str">
        <f aca="false">IF($A967="","",IF(AND(EZ967="Y",FA967="Y",Y967&amp;""&lt;&gt;""),IF(Y967&lt;=10,"Y","N"),"N"))</f>
        <v/>
      </c>
      <c r="FC967" s="0" t="str">
        <f aca="false">IF(FB967="Y",Y967,"")</f>
        <v/>
      </c>
      <c r="FD967" s="0" t="str">
        <f aca="false">IF($A967="","",IF(AND(CK967="pass",AU967="Y",AV967&lt;&gt;"Y",U967="new",EW967="N"),"Y","N"))</f>
        <v/>
      </c>
      <c r="FE967" s="0" t="str">
        <f aca="false">IF(FD967&lt;&gt;"Y","",IF(COUNTIFS($FD$2:$FD$1000,"Y",$J$2:$J$1000,"&gt;"&amp;J967)+COUNTIFS($FD$2:$FD$1000,"Y",$J$2:$J$1000,J967,$FG$2:$FG$1000,"&lt;"&amp;FG967)+1&lt;=30,COUNTIFS($FD$2:$FD$1000,"Y",$J$2:$J$1000,"&gt;"&amp;J967)+COUNTIFS($FD$2:$FD$1000,"Y",$J$2:$J$1000,J967,$FG$2:$FG$1000,"&lt;"&amp;FG967)+1,""))</f>
        <v/>
      </c>
      <c r="FF967" s="0" t="str">
        <f aca="false">IF(AND(_xlfn.ISFORMULA(C967),_xlfn.ISFORMULA(J967)),"Y","N")</f>
        <v>Y</v>
      </c>
      <c r="FG967" s="0" t="n">
        <f aca="false">ROW()-1</f>
        <v>966</v>
      </c>
    </row>
    <row r="968" customFormat="false" ht="15" hidden="false" customHeight="false" outlineLevel="0" collapsed="false">
      <c r="C968" s="0" t="str">
        <f aca="false">IF($A968="","",IF(AT968="Y",BL968&amp;"",AY968&amp;""))</f>
        <v/>
      </c>
      <c r="D968" s="0" t="str">
        <f aca="false">IF($A968="","",IF(AT968="Y",BM968&amp;"",AZ968&amp;""))</f>
        <v/>
      </c>
      <c r="E968" s="0" t="str">
        <f aca="false">IF($A968="","",IF(AT968="Y",BN968&amp;"",BA968&amp;""))</f>
        <v/>
      </c>
      <c r="F968" s="0" t="str">
        <f aca="false">IF($A968="","",IF(AT968="Y",BO968&amp;"",BB968&amp;""))</f>
        <v/>
      </c>
      <c r="G968" s="0" t="str">
        <f aca="false">IF($A968="","",IF(AT968="Y",BP968&amp;"",BC968&amp;""))</f>
        <v/>
      </c>
      <c r="H968" s="0" t="str">
        <f aca="false">IF($A968="","",IF(AT968="Y",BQ968&amp;"",BD968&amp;""))</f>
        <v/>
      </c>
      <c r="I968" s="0" t="str">
        <f aca="false">IF($A968="","",IF(R968="Y","warm-intro",IF(H968="verified","email",IF(C968&lt;&gt;"","linkedin",CA968&amp;""))))</f>
        <v/>
      </c>
      <c r="J968" s="0" t="str">
        <f aca="false">IF($A968="","",IF(CK968="pass",ROUND(N(DO968)+N(DP968)+N(DQ968)+N(DR968)+N(DS968)+N(DT968)+N(DU968)+N(DV968),0),0))</f>
        <v/>
      </c>
      <c r="K968" s="0" t="str">
        <f aca="false">IF($A968="","",IF(CK968&lt;&gt;"pass",BY968&amp;"",BY968&amp;", "&amp;IF(AT968="Y",BX968&amp;"",BK968&amp;"")&amp;BZ968&amp;IF(R968="Y","; known to the founder (+10)","")&amp;"."))</f>
        <v/>
      </c>
      <c r="R968" s="5"/>
      <c r="T968" s="5"/>
      <c r="U968" s="5"/>
      <c r="Y968" s="0" t="str">
        <f aca="false">IF(FA968&lt;&gt;"Y","",COUNTIFS($FA$2:$FA$1000,"Y",$J$2:$J$1000,"&gt;"&amp;J968)+COUNTIFS($FA$2:$FA$1000,"Y",$J$2:$J$1000,J968,$FG$2:$FG$1000,"&lt;"&amp;FG968)+1)</f>
        <v/>
      </c>
      <c r="AB968" s="0" t="str">
        <f aca="false">IF($A968="","",IF(AT968="Y",BW968&amp;"",BJ968&amp;""))</f>
        <v/>
      </c>
      <c r="AC968" s="0" t="str">
        <f aca="false">IF($A968="","",IF(AT968="Y",BR968&amp;"",BE968&amp;""))</f>
        <v/>
      </c>
      <c r="AD968" s="0" t="str">
        <f aca="false">IF($A968="","",IF(AT968="Y",BS968&amp;"",BF968&amp;""))</f>
        <v/>
      </c>
      <c r="AE968" s="0" t="str">
        <f aca="false">IF($A968="","",IF(AT968="Y",BT968&amp;"",BG968&amp;""))</f>
        <v/>
      </c>
      <c r="AF968" s="0" t="str">
        <f aca="false">IF($A968="","",IF(AT968="Y",BU968&amp;"",BH968&amp;""))</f>
        <v/>
      </c>
      <c r="AG968" s="0" t="str">
        <f aca="false">IF($A968="","",IF(AT968="Y",BV968&amp;"",BI968&amp;""))</f>
        <v/>
      </c>
      <c r="AO968" s="5"/>
      <c r="AR968" s="0" t="str">
        <f aca="false">IF($A968="","",IF(AND(CK968="pass",AO968&lt;&gt;"Y",C968&lt;&gt;"",OR(AU968&lt;&gt;"Y",AV968="Y")),"Y","N"))</f>
        <v/>
      </c>
      <c r="AS968" s="0" t="str">
        <f aca="false">IF($A968="","",_xlfn.TEXTJOIN("; ",TRUE(),IF(CK968&lt;&gt;"pass","gated out",""),IF(AO968="Y","on hold: "&amp;AP968,""),IF(C968="","no contact named on an opened page",""),IF(AND(AU968="Y",AV968&lt;&gt;"Y"),"founder review pending (Founder review tab)","")))</f>
        <v/>
      </c>
      <c r="BC968" s="0" t="str">
        <f aca="false">IF($A968="","",IFERROR(INDEX(Enrichment!$A$2:$GZ$2000,MATCH($A968,INDEX(Enrichment!$A$2:$GZ$2000,0,MATCH("row_id",Enrichment!$A$1:$GZ$1,0)),0),MATCH("work_email",Enrichment!$A$1:$GZ$1,0))&amp;"",""))</f>
        <v/>
      </c>
      <c r="BD968" s="0" t="str">
        <f aca="false">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P968" s="0" t="str">
        <f aca="false">IF($A968="","",IFERROR(INDEX(Enrichment!$A$2:$GZ$2000,MATCH($A968,INDEX(Enrichment!$A$2:$GZ$2000,0,MATCH("row_id",Enrichment!$A$1:$GZ$1,0)),0),MATCH("backup_work_email",Enrichment!$A$1:$GZ$1,0))&amp;"",""))</f>
        <v/>
      </c>
      <c r="BQ968" s="0" t="str">
        <f aca="false">IF($A968="","",IF(BP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DU968" s="0" t="str">
        <f aca="false">IF($A968="","",IF(R968="Y",10,0))</f>
        <v/>
      </c>
      <c r="EV968" s="0" t="str">
        <f aca="false">IF($A968="","",IF(ISNUMBER(MATCH(U968,{"queued","contacted","replied","call_booked","call_done","yes_in_principle","materials_sent"},0)),"Y","N"))</f>
        <v/>
      </c>
      <c r="EW968" s="0" t="str">
        <f aca="false">IF($A968="","",IF(OR(T968="Y",U968="do_not_contact",AQ968&amp;""&lt;&gt;""),"Y","N"))</f>
        <v/>
      </c>
      <c r="EX968" s="0" t="str">
        <f aca="false">IF($A968="","",IF(AN968&amp;""&lt;&gt;"",AN968&amp;"",$A968))</f>
        <v/>
      </c>
      <c r="EY968" s="0" t="str">
        <f aca="false">IF($A968="","",IF(COUNTIFS($EX$2:$EX$1000,EX968,$EV$2:$EV$1000,"Y")+COUNTIFS($EX$2:$EX$1000,EX968,$EW$2:$EW$1000,"Y")&gt;0,"Y","N"))</f>
        <v/>
      </c>
      <c r="EZ968" s="0" t="str">
        <f aca="false">IF($A968="","",IF(AND(U968="new",T968="N",EW968="N",AR968="Y",EY968="N"),"Y","N"))</f>
        <v/>
      </c>
      <c r="FA968" s="0" t="str">
        <f aca="false">IF($A968="","",IF(EZ968&lt;&gt;"Y","N",IF(COUNTIFS($EX$2:$EX$1000,EX968,$EZ$2:$EZ$1000,"Y",$J$2:$J$1000,"&gt;"&amp;J968)+COUNTIFS($EX$2:$EX$1000,EX968,$EZ$2:$EZ$1000,"Y",$J$2:$J$1000,J968,$FG$2:$FG$1000,"&lt;"&amp;FG968)=0,"Y","N")))</f>
        <v/>
      </c>
      <c r="FB968" s="0" t="str">
        <f aca="false">IF($A968="","",IF(AND(EZ968="Y",FA968="Y",Y968&amp;""&lt;&gt;""),IF(Y968&lt;=10,"Y","N"),"N"))</f>
        <v/>
      </c>
      <c r="FC968" s="0" t="str">
        <f aca="false">IF(FB968="Y",Y968,"")</f>
        <v/>
      </c>
      <c r="FD968" s="0" t="str">
        <f aca="false">IF($A968="","",IF(AND(CK968="pass",AU968="Y",AV968&lt;&gt;"Y",U968="new",EW968="N"),"Y","N"))</f>
        <v/>
      </c>
      <c r="FE968" s="0" t="str">
        <f aca="false">IF(FD968&lt;&gt;"Y","",IF(COUNTIFS($FD$2:$FD$1000,"Y",$J$2:$J$1000,"&gt;"&amp;J968)+COUNTIFS($FD$2:$FD$1000,"Y",$J$2:$J$1000,J968,$FG$2:$FG$1000,"&lt;"&amp;FG968)+1&lt;=30,COUNTIFS($FD$2:$FD$1000,"Y",$J$2:$J$1000,"&gt;"&amp;J968)+COUNTIFS($FD$2:$FD$1000,"Y",$J$2:$J$1000,J968,$FG$2:$FG$1000,"&lt;"&amp;FG968)+1,""))</f>
        <v/>
      </c>
      <c r="FF968" s="0" t="str">
        <f aca="false">IF(AND(_xlfn.ISFORMULA(C968),_xlfn.ISFORMULA(J968)),"Y","N")</f>
        <v>Y</v>
      </c>
      <c r="FG968" s="0" t="n">
        <f aca="false">ROW()-1</f>
        <v>967</v>
      </c>
    </row>
    <row r="969" customFormat="false" ht="15" hidden="false" customHeight="false" outlineLevel="0" collapsed="false">
      <c r="C969" s="0" t="str">
        <f aca="false">IF($A969="","",IF(AT969="Y",BL969&amp;"",AY969&amp;""))</f>
        <v/>
      </c>
      <c r="D969" s="0" t="str">
        <f aca="false">IF($A969="","",IF(AT969="Y",BM969&amp;"",AZ969&amp;""))</f>
        <v/>
      </c>
      <c r="E969" s="0" t="str">
        <f aca="false">IF($A969="","",IF(AT969="Y",BN969&amp;"",BA969&amp;""))</f>
        <v/>
      </c>
      <c r="F969" s="0" t="str">
        <f aca="false">IF($A969="","",IF(AT969="Y",BO969&amp;"",BB969&amp;""))</f>
        <v/>
      </c>
      <c r="G969" s="0" t="str">
        <f aca="false">IF($A969="","",IF(AT969="Y",BP969&amp;"",BC969&amp;""))</f>
        <v/>
      </c>
      <c r="H969" s="0" t="str">
        <f aca="false">IF($A969="","",IF(AT969="Y",BQ969&amp;"",BD969&amp;""))</f>
        <v/>
      </c>
      <c r="I969" s="0" t="str">
        <f aca="false">IF($A969="","",IF(R969="Y","warm-intro",IF(H969="verified","email",IF(C969&lt;&gt;"","linkedin",CA969&amp;""))))</f>
        <v/>
      </c>
      <c r="J969" s="0" t="str">
        <f aca="false">IF($A969="","",IF(CK969="pass",ROUND(N(DO969)+N(DP969)+N(DQ969)+N(DR969)+N(DS969)+N(DT969)+N(DU969)+N(DV969),0),0))</f>
        <v/>
      </c>
      <c r="K969" s="0" t="str">
        <f aca="false">IF($A969="","",IF(CK969&lt;&gt;"pass",BY969&amp;"",BY969&amp;", "&amp;IF(AT969="Y",BX969&amp;"",BK969&amp;"")&amp;BZ969&amp;IF(R969="Y","; known to the founder (+10)","")&amp;"."))</f>
        <v/>
      </c>
      <c r="R969" s="5"/>
      <c r="T969" s="5"/>
      <c r="U969" s="5"/>
      <c r="Y969" s="0" t="str">
        <f aca="false">IF(FA969&lt;&gt;"Y","",COUNTIFS($FA$2:$FA$1000,"Y",$J$2:$J$1000,"&gt;"&amp;J969)+COUNTIFS($FA$2:$FA$1000,"Y",$J$2:$J$1000,J969,$FG$2:$FG$1000,"&lt;"&amp;FG969)+1)</f>
        <v/>
      </c>
      <c r="AB969" s="0" t="str">
        <f aca="false">IF($A969="","",IF(AT969="Y",BW969&amp;"",BJ969&amp;""))</f>
        <v/>
      </c>
      <c r="AC969" s="0" t="str">
        <f aca="false">IF($A969="","",IF(AT969="Y",BR969&amp;"",BE969&amp;""))</f>
        <v/>
      </c>
      <c r="AD969" s="0" t="str">
        <f aca="false">IF($A969="","",IF(AT969="Y",BS969&amp;"",BF969&amp;""))</f>
        <v/>
      </c>
      <c r="AE969" s="0" t="str">
        <f aca="false">IF($A969="","",IF(AT969="Y",BT969&amp;"",BG969&amp;""))</f>
        <v/>
      </c>
      <c r="AF969" s="0" t="str">
        <f aca="false">IF($A969="","",IF(AT969="Y",BU969&amp;"",BH969&amp;""))</f>
        <v/>
      </c>
      <c r="AG969" s="0" t="str">
        <f aca="false">IF($A969="","",IF(AT969="Y",BV969&amp;"",BI969&amp;""))</f>
        <v/>
      </c>
      <c r="AO969" s="5"/>
      <c r="AR969" s="0" t="str">
        <f aca="false">IF($A969="","",IF(AND(CK969="pass",AO969&lt;&gt;"Y",C969&lt;&gt;"",OR(AU969&lt;&gt;"Y",AV969="Y")),"Y","N"))</f>
        <v/>
      </c>
      <c r="AS969" s="0" t="str">
        <f aca="false">IF($A969="","",_xlfn.TEXTJOIN("; ",TRUE(),IF(CK969&lt;&gt;"pass","gated out",""),IF(AO969="Y","on hold: "&amp;AP969,""),IF(C969="","no contact named on an opened page",""),IF(AND(AU969="Y",AV969&lt;&gt;"Y"),"founder review pending (Founder review tab)","")))</f>
        <v/>
      </c>
      <c r="BC969" s="0" t="str">
        <f aca="false">IF($A969="","",IFERROR(INDEX(Enrichment!$A$2:$GZ$2000,MATCH($A969,INDEX(Enrichment!$A$2:$GZ$2000,0,MATCH("row_id",Enrichment!$A$1:$GZ$1,0)),0),MATCH("work_email",Enrichment!$A$1:$GZ$1,0))&amp;"",""))</f>
        <v/>
      </c>
      <c r="BD969" s="0" t="str">
        <f aca="false">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P969" s="0" t="str">
        <f aca="false">IF($A969="","",IFERROR(INDEX(Enrichment!$A$2:$GZ$2000,MATCH($A969,INDEX(Enrichment!$A$2:$GZ$2000,0,MATCH("row_id",Enrichment!$A$1:$GZ$1,0)),0),MATCH("backup_work_email",Enrichment!$A$1:$GZ$1,0))&amp;"",""))</f>
        <v/>
      </c>
      <c r="BQ969" s="0" t="str">
        <f aca="false">IF($A969="","",IF(BP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DU969" s="0" t="str">
        <f aca="false">IF($A969="","",IF(R969="Y",10,0))</f>
        <v/>
      </c>
      <c r="EV969" s="0" t="str">
        <f aca="false">IF($A969="","",IF(ISNUMBER(MATCH(U969,{"queued","contacted","replied","call_booked","call_done","yes_in_principle","materials_sent"},0)),"Y","N"))</f>
        <v/>
      </c>
      <c r="EW969" s="0" t="str">
        <f aca="false">IF($A969="","",IF(OR(T969="Y",U969="do_not_contact",AQ969&amp;""&lt;&gt;""),"Y","N"))</f>
        <v/>
      </c>
      <c r="EX969" s="0" t="str">
        <f aca="false">IF($A969="","",IF(AN969&amp;""&lt;&gt;"",AN969&amp;"",$A969))</f>
        <v/>
      </c>
      <c r="EY969" s="0" t="str">
        <f aca="false">IF($A969="","",IF(COUNTIFS($EX$2:$EX$1000,EX969,$EV$2:$EV$1000,"Y")+COUNTIFS($EX$2:$EX$1000,EX969,$EW$2:$EW$1000,"Y")&gt;0,"Y","N"))</f>
        <v/>
      </c>
      <c r="EZ969" s="0" t="str">
        <f aca="false">IF($A969="","",IF(AND(U969="new",T969="N",EW969="N",AR969="Y",EY969="N"),"Y","N"))</f>
        <v/>
      </c>
      <c r="FA969" s="0" t="str">
        <f aca="false">IF($A969="","",IF(EZ969&lt;&gt;"Y","N",IF(COUNTIFS($EX$2:$EX$1000,EX969,$EZ$2:$EZ$1000,"Y",$J$2:$J$1000,"&gt;"&amp;J969)+COUNTIFS($EX$2:$EX$1000,EX969,$EZ$2:$EZ$1000,"Y",$J$2:$J$1000,J969,$FG$2:$FG$1000,"&lt;"&amp;FG969)=0,"Y","N")))</f>
        <v/>
      </c>
      <c r="FB969" s="0" t="str">
        <f aca="false">IF($A969="","",IF(AND(EZ969="Y",FA969="Y",Y969&amp;""&lt;&gt;""),IF(Y969&lt;=10,"Y","N"),"N"))</f>
        <v/>
      </c>
      <c r="FC969" s="0" t="str">
        <f aca="false">IF(FB969="Y",Y969,"")</f>
        <v/>
      </c>
      <c r="FD969" s="0" t="str">
        <f aca="false">IF($A969="","",IF(AND(CK969="pass",AU969="Y",AV969&lt;&gt;"Y",U969="new",EW969="N"),"Y","N"))</f>
        <v/>
      </c>
      <c r="FE969" s="0" t="str">
        <f aca="false">IF(FD969&lt;&gt;"Y","",IF(COUNTIFS($FD$2:$FD$1000,"Y",$J$2:$J$1000,"&gt;"&amp;J969)+COUNTIFS($FD$2:$FD$1000,"Y",$J$2:$J$1000,J969,$FG$2:$FG$1000,"&lt;"&amp;FG969)+1&lt;=30,COUNTIFS($FD$2:$FD$1000,"Y",$J$2:$J$1000,"&gt;"&amp;J969)+COUNTIFS($FD$2:$FD$1000,"Y",$J$2:$J$1000,J969,$FG$2:$FG$1000,"&lt;"&amp;FG969)+1,""))</f>
        <v/>
      </c>
      <c r="FF969" s="0" t="str">
        <f aca="false">IF(AND(_xlfn.ISFORMULA(C969),_xlfn.ISFORMULA(J969)),"Y","N")</f>
        <v>Y</v>
      </c>
      <c r="FG969" s="0" t="n">
        <f aca="false">ROW()-1</f>
        <v>968</v>
      </c>
    </row>
    <row r="970" customFormat="false" ht="15" hidden="false" customHeight="false" outlineLevel="0" collapsed="false">
      <c r="C970" s="0" t="str">
        <f aca="false">IF($A970="","",IF(AT970="Y",BL970&amp;"",AY970&amp;""))</f>
        <v/>
      </c>
      <c r="D970" s="0" t="str">
        <f aca="false">IF($A970="","",IF(AT970="Y",BM970&amp;"",AZ970&amp;""))</f>
        <v/>
      </c>
      <c r="E970" s="0" t="str">
        <f aca="false">IF($A970="","",IF(AT970="Y",BN970&amp;"",BA970&amp;""))</f>
        <v/>
      </c>
      <c r="F970" s="0" t="str">
        <f aca="false">IF($A970="","",IF(AT970="Y",BO970&amp;"",BB970&amp;""))</f>
        <v/>
      </c>
      <c r="G970" s="0" t="str">
        <f aca="false">IF($A970="","",IF(AT970="Y",BP970&amp;"",BC970&amp;""))</f>
        <v/>
      </c>
      <c r="H970" s="0" t="str">
        <f aca="false">IF($A970="","",IF(AT970="Y",BQ970&amp;"",BD970&amp;""))</f>
        <v/>
      </c>
      <c r="I970" s="0" t="str">
        <f aca="false">IF($A970="","",IF(R970="Y","warm-intro",IF(H970="verified","email",IF(C970&lt;&gt;"","linkedin",CA970&amp;""))))</f>
        <v/>
      </c>
      <c r="J970" s="0" t="str">
        <f aca="false">IF($A970="","",IF(CK970="pass",ROUND(N(DO970)+N(DP970)+N(DQ970)+N(DR970)+N(DS970)+N(DT970)+N(DU970)+N(DV970),0),0))</f>
        <v/>
      </c>
      <c r="K970" s="0" t="str">
        <f aca="false">IF($A970="","",IF(CK970&lt;&gt;"pass",BY970&amp;"",BY970&amp;", "&amp;IF(AT970="Y",BX970&amp;"",BK970&amp;"")&amp;BZ970&amp;IF(R970="Y","; known to the founder (+10)","")&amp;"."))</f>
        <v/>
      </c>
      <c r="R970" s="5"/>
      <c r="T970" s="5"/>
      <c r="U970" s="5"/>
      <c r="Y970" s="0" t="str">
        <f aca="false">IF(FA970&lt;&gt;"Y","",COUNTIFS($FA$2:$FA$1000,"Y",$J$2:$J$1000,"&gt;"&amp;J970)+COUNTIFS($FA$2:$FA$1000,"Y",$J$2:$J$1000,J970,$FG$2:$FG$1000,"&lt;"&amp;FG970)+1)</f>
        <v/>
      </c>
      <c r="AB970" s="0" t="str">
        <f aca="false">IF($A970="","",IF(AT970="Y",BW970&amp;"",BJ970&amp;""))</f>
        <v/>
      </c>
      <c r="AC970" s="0" t="str">
        <f aca="false">IF($A970="","",IF(AT970="Y",BR970&amp;"",BE970&amp;""))</f>
        <v/>
      </c>
      <c r="AD970" s="0" t="str">
        <f aca="false">IF($A970="","",IF(AT970="Y",BS970&amp;"",BF970&amp;""))</f>
        <v/>
      </c>
      <c r="AE970" s="0" t="str">
        <f aca="false">IF($A970="","",IF(AT970="Y",BT970&amp;"",BG970&amp;""))</f>
        <v/>
      </c>
      <c r="AF970" s="0" t="str">
        <f aca="false">IF($A970="","",IF(AT970="Y",BU970&amp;"",BH970&amp;""))</f>
        <v/>
      </c>
      <c r="AG970" s="0" t="str">
        <f aca="false">IF($A970="","",IF(AT970="Y",BV970&amp;"",BI970&amp;""))</f>
        <v/>
      </c>
      <c r="AO970" s="5"/>
      <c r="AR970" s="0" t="str">
        <f aca="false">IF($A970="","",IF(AND(CK970="pass",AO970&lt;&gt;"Y",C970&lt;&gt;"",OR(AU970&lt;&gt;"Y",AV970="Y")),"Y","N"))</f>
        <v/>
      </c>
      <c r="AS970" s="0" t="str">
        <f aca="false">IF($A970="","",_xlfn.TEXTJOIN("; ",TRUE(),IF(CK970&lt;&gt;"pass","gated out",""),IF(AO970="Y","on hold: "&amp;AP970,""),IF(C970="","no contact named on an opened page",""),IF(AND(AU970="Y",AV970&lt;&gt;"Y"),"founder review pending (Founder review tab)","")))</f>
        <v/>
      </c>
      <c r="BC970" s="0" t="str">
        <f aca="false">IF($A970="","",IFERROR(INDEX(Enrichment!$A$2:$GZ$2000,MATCH($A970,INDEX(Enrichment!$A$2:$GZ$2000,0,MATCH("row_id",Enrichment!$A$1:$GZ$1,0)),0),MATCH("work_email",Enrichment!$A$1:$GZ$1,0))&amp;"",""))</f>
        <v/>
      </c>
      <c r="BD970" s="0" t="str">
        <f aca="false">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P970" s="0" t="str">
        <f aca="false">IF($A970="","",IFERROR(INDEX(Enrichment!$A$2:$GZ$2000,MATCH($A970,INDEX(Enrichment!$A$2:$GZ$2000,0,MATCH("row_id",Enrichment!$A$1:$GZ$1,0)),0),MATCH("backup_work_email",Enrichment!$A$1:$GZ$1,0))&amp;"",""))</f>
        <v/>
      </c>
      <c r="BQ970" s="0" t="str">
        <f aca="false">IF($A970="","",IF(BP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DU970" s="0" t="str">
        <f aca="false">IF($A970="","",IF(R970="Y",10,0))</f>
        <v/>
      </c>
      <c r="EV970" s="0" t="str">
        <f aca="false">IF($A970="","",IF(ISNUMBER(MATCH(U970,{"queued","contacted","replied","call_booked","call_done","yes_in_principle","materials_sent"},0)),"Y","N"))</f>
        <v/>
      </c>
      <c r="EW970" s="0" t="str">
        <f aca="false">IF($A970="","",IF(OR(T970="Y",U970="do_not_contact",AQ970&amp;""&lt;&gt;""),"Y","N"))</f>
        <v/>
      </c>
      <c r="EX970" s="0" t="str">
        <f aca="false">IF($A970="","",IF(AN970&amp;""&lt;&gt;"",AN970&amp;"",$A970))</f>
        <v/>
      </c>
      <c r="EY970" s="0" t="str">
        <f aca="false">IF($A970="","",IF(COUNTIFS($EX$2:$EX$1000,EX970,$EV$2:$EV$1000,"Y")+COUNTIFS($EX$2:$EX$1000,EX970,$EW$2:$EW$1000,"Y")&gt;0,"Y","N"))</f>
        <v/>
      </c>
      <c r="EZ970" s="0" t="str">
        <f aca="false">IF($A970="","",IF(AND(U970="new",T970="N",EW970="N",AR970="Y",EY970="N"),"Y","N"))</f>
        <v/>
      </c>
      <c r="FA970" s="0" t="str">
        <f aca="false">IF($A970="","",IF(EZ970&lt;&gt;"Y","N",IF(COUNTIFS($EX$2:$EX$1000,EX970,$EZ$2:$EZ$1000,"Y",$J$2:$J$1000,"&gt;"&amp;J970)+COUNTIFS($EX$2:$EX$1000,EX970,$EZ$2:$EZ$1000,"Y",$J$2:$J$1000,J970,$FG$2:$FG$1000,"&lt;"&amp;FG970)=0,"Y","N")))</f>
        <v/>
      </c>
      <c r="FB970" s="0" t="str">
        <f aca="false">IF($A970="","",IF(AND(EZ970="Y",FA970="Y",Y970&amp;""&lt;&gt;""),IF(Y970&lt;=10,"Y","N"),"N"))</f>
        <v/>
      </c>
      <c r="FC970" s="0" t="str">
        <f aca="false">IF(FB970="Y",Y970,"")</f>
        <v/>
      </c>
      <c r="FD970" s="0" t="str">
        <f aca="false">IF($A970="","",IF(AND(CK970="pass",AU970="Y",AV970&lt;&gt;"Y",U970="new",EW970="N"),"Y","N"))</f>
        <v/>
      </c>
      <c r="FE970" s="0" t="str">
        <f aca="false">IF(FD970&lt;&gt;"Y","",IF(COUNTIFS($FD$2:$FD$1000,"Y",$J$2:$J$1000,"&gt;"&amp;J970)+COUNTIFS($FD$2:$FD$1000,"Y",$J$2:$J$1000,J970,$FG$2:$FG$1000,"&lt;"&amp;FG970)+1&lt;=30,COUNTIFS($FD$2:$FD$1000,"Y",$J$2:$J$1000,"&gt;"&amp;J970)+COUNTIFS($FD$2:$FD$1000,"Y",$J$2:$J$1000,J970,$FG$2:$FG$1000,"&lt;"&amp;FG970)+1,""))</f>
        <v/>
      </c>
      <c r="FF970" s="0" t="str">
        <f aca="false">IF(AND(_xlfn.ISFORMULA(C970),_xlfn.ISFORMULA(J970)),"Y","N")</f>
        <v>Y</v>
      </c>
      <c r="FG970" s="0" t="n">
        <f aca="false">ROW()-1</f>
        <v>969</v>
      </c>
    </row>
    <row r="971" customFormat="false" ht="15" hidden="false" customHeight="false" outlineLevel="0" collapsed="false">
      <c r="C971" s="0" t="str">
        <f aca="false">IF($A971="","",IF(AT971="Y",BL971&amp;"",AY971&amp;""))</f>
        <v/>
      </c>
      <c r="D971" s="0" t="str">
        <f aca="false">IF($A971="","",IF(AT971="Y",BM971&amp;"",AZ971&amp;""))</f>
        <v/>
      </c>
      <c r="E971" s="0" t="str">
        <f aca="false">IF($A971="","",IF(AT971="Y",BN971&amp;"",BA971&amp;""))</f>
        <v/>
      </c>
      <c r="F971" s="0" t="str">
        <f aca="false">IF($A971="","",IF(AT971="Y",BO971&amp;"",BB971&amp;""))</f>
        <v/>
      </c>
      <c r="G971" s="0" t="str">
        <f aca="false">IF($A971="","",IF(AT971="Y",BP971&amp;"",BC971&amp;""))</f>
        <v/>
      </c>
      <c r="H971" s="0" t="str">
        <f aca="false">IF($A971="","",IF(AT971="Y",BQ971&amp;"",BD971&amp;""))</f>
        <v/>
      </c>
      <c r="I971" s="0" t="str">
        <f aca="false">IF($A971="","",IF(R971="Y","warm-intro",IF(H971="verified","email",IF(C971&lt;&gt;"","linkedin",CA971&amp;""))))</f>
        <v/>
      </c>
      <c r="J971" s="0" t="str">
        <f aca="false">IF($A971="","",IF(CK971="pass",ROUND(N(DO971)+N(DP971)+N(DQ971)+N(DR971)+N(DS971)+N(DT971)+N(DU971)+N(DV971),0),0))</f>
        <v/>
      </c>
      <c r="K971" s="0" t="str">
        <f aca="false">IF($A971="","",IF(CK971&lt;&gt;"pass",BY971&amp;"",BY971&amp;", "&amp;IF(AT971="Y",BX971&amp;"",BK971&amp;"")&amp;BZ971&amp;IF(R971="Y","; known to the founder (+10)","")&amp;"."))</f>
        <v/>
      </c>
      <c r="R971" s="5"/>
      <c r="T971" s="5"/>
      <c r="U971" s="5"/>
      <c r="Y971" s="0" t="str">
        <f aca="false">IF(FA971&lt;&gt;"Y","",COUNTIFS($FA$2:$FA$1000,"Y",$J$2:$J$1000,"&gt;"&amp;J971)+COUNTIFS($FA$2:$FA$1000,"Y",$J$2:$J$1000,J971,$FG$2:$FG$1000,"&lt;"&amp;FG971)+1)</f>
        <v/>
      </c>
      <c r="AB971" s="0" t="str">
        <f aca="false">IF($A971="","",IF(AT971="Y",BW971&amp;"",BJ971&amp;""))</f>
        <v/>
      </c>
      <c r="AC971" s="0" t="str">
        <f aca="false">IF($A971="","",IF(AT971="Y",BR971&amp;"",BE971&amp;""))</f>
        <v/>
      </c>
      <c r="AD971" s="0" t="str">
        <f aca="false">IF($A971="","",IF(AT971="Y",BS971&amp;"",BF971&amp;""))</f>
        <v/>
      </c>
      <c r="AE971" s="0" t="str">
        <f aca="false">IF($A971="","",IF(AT971="Y",BT971&amp;"",BG971&amp;""))</f>
        <v/>
      </c>
      <c r="AF971" s="0" t="str">
        <f aca="false">IF($A971="","",IF(AT971="Y",BU971&amp;"",BH971&amp;""))</f>
        <v/>
      </c>
      <c r="AG971" s="0" t="str">
        <f aca="false">IF($A971="","",IF(AT971="Y",BV971&amp;"",BI971&amp;""))</f>
        <v/>
      </c>
      <c r="AO971" s="5"/>
      <c r="AR971" s="0" t="str">
        <f aca="false">IF($A971="","",IF(AND(CK971="pass",AO971&lt;&gt;"Y",C971&lt;&gt;"",OR(AU971&lt;&gt;"Y",AV971="Y")),"Y","N"))</f>
        <v/>
      </c>
      <c r="AS971" s="0" t="str">
        <f aca="false">IF($A971="","",_xlfn.TEXTJOIN("; ",TRUE(),IF(CK971&lt;&gt;"pass","gated out",""),IF(AO971="Y","on hold: "&amp;AP971,""),IF(C971="","no contact named on an opened page",""),IF(AND(AU971="Y",AV971&lt;&gt;"Y"),"founder review pending (Founder review tab)","")))</f>
        <v/>
      </c>
      <c r="BC971" s="0" t="str">
        <f aca="false">IF($A971="","",IFERROR(INDEX(Enrichment!$A$2:$GZ$2000,MATCH($A971,INDEX(Enrichment!$A$2:$GZ$2000,0,MATCH("row_id",Enrichment!$A$1:$GZ$1,0)),0),MATCH("work_email",Enrichment!$A$1:$GZ$1,0))&amp;"",""))</f>
        <v/>
      </c>
      <c r="BD971" s="0" t="str">
        <f aca="false">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P971" s="0" t="str">
        <f aca="false">IF($A971="","",IFERROR(INDEX(Enrichment!$A$2:$GZ$2000,MATCH($A971,INDEX(Enrichment!$A$2:$GZ$2000,0,MATCH("row_id",Enrichment!$A$1:$GZ$1,0)),0),MATCH("backup_work_email",Enrichment!$A$1:$GZ$1,0))&amp;"",""))</f>
        <v/>
      </c>
      <c r="BQ971" s="0" t="str">
        <f aca="false">IF($A971="","",IF(BP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DU971" s="0" t="str">
        <f aca="false">IF($A971="","",IF(R971="Y",10,0))</f>
        <v/>
      </c>
      <c r="EV971" s="0" t="str">
        <f aca="false">IF($A971="","",IF(ISNUMBER(MATCH(U971,{"queued","contacted","replied","call_booked","call_done","yes_in_principle","materials_sent"},0)),"Y","N"))</f>
        <v/>
      </c>
      <c r="EW971" s="0" t="str">
        <f aca="false">IF($A971="","",IF(OR(T971="Y",U971="do_not_contact",AQ971&amp;""&lt;&gt;""),"Y","N"))</f>
        <v/>
      </c>
      <c r="EX971" s="0" t="str">
        <f aca="false">IF($A971="","",IF(AN971&amp;""&lt;&gt;"",AN971&amp;"",$A971))</f>
        <v/>
      </c>
      <c r="EY971" s="0" t="str">
        <f aca="false">IF($A971="","",IF(COUNTIFS($EX$2:$EX$1000,EX971,$EV$2:$EV$1000,"Y")+COUNTIFS($EX$2:$EX$1000,EX971,$EW$2:$EW$1000,"Y")&gt;0,"Y","N"))</f>
        <v/>
      </c>
      <c r="EZ971" s="0" t="str">
        <f aca="false">IF($A971="","",IF(AND(U971="new",T971="N",EW971="N",AR971="Y",EY971="N"),"Y","N"))</f>
        <v/>
      </c>
      <c r="FA971" s="0" t="str">
        <f aca="false">IF($A971="","",IF(EZ971&lt;&gt;"Y","N",IF(COUNTIFS($EX$2:$EX$1000,EX971,$EZ$2:$EZ$1000,"Y",$J$2:$J$1000,"&gt;"&amp;J971)+COUNTIFS($EX$2:$EX$1000,EX971,$EZ$2:$EZ$1000,"Y",$J$2:$J$1000,J971,$FG$2:$FG$1000,"&lt;"&amp;FG971)=0,"Y","N")))</f>
        <v/>
      </c>
      <c r="FB971" s="0" t="str">
        <f aca="false">IF($A971="","",IF(AND(EZ971="Y",FA971="Y",Y971&amp;""&lt;&gt;""),IF(Y971&lt;=10,"Y","N"),"N"))</f>
        <v/>
      </c>
      <c r="FC971" s="0" t="str">
        <f aca="false">IF(FB971="Y",Y971,"")</f>
        <v/>
      </c>
      <c r="FD971" s="0" t="str">
        <f aca="false">IF($A971="","",IF(AND(CK971="pass",AU971="Y",AV971&lt;&gt;"Y",U971="new",EW971="N"),"Y","N"))</f>
        <v/>
      </c>
      <c r="FE971" s="0" t="str">
        <f aca="false">IF(FD971&lt;&gt;"Y","",IF(COUNTIFS($FD$2:$FD$1000,"Y",$J$2:$J$1000,"&gt;"&amp;J971)+COUNTIFS($FD$2:$FD$1000,"Y",$J$2:$J$1000,J971,$FG$2:$FG$1000,"&lt;"&amp;FG971)+1&lt;=30,COUNTIFS($FD$2:$FD$1000,"Y",$J$2:$J$1000,"&gt;"&amp;J971)+COUNTIFS($FD$2:$FD$1000,"Y",$J$2:$J$1000,J971,$FG$2:$FG$1000,"&lt;"&amp;FG971)+1,""))</f>
        <v/>
      </c>
      <c r="FF971" s="0" t="str">
        <f aca="false">IF(AND(_xlfn.ISFORMULA(C971),_xlfn.ISFORMULA(J971)),"Y","N")</f>
        <v>Y</v>
      </c>
      <c r="FG971" s="0" t="n">
        <f aca="false">ROW()-1</f>
        <v>970</v>
      </c>
    </row>
    <row r="972" customFormat="false" ht="15" hidden="false" customHeight="false" outlineLevel="0" collapsed="false">
      <c r="C972" s="0" t="str">
        <f aca="false">IF($A972="","",IF(AT972="Y",BL972&amp;"",AY972&amp;""))</f>
        <v/>
      </c>
      <c r="D972" s="0" t="str">
        <f aca="false">IF($A972="","",IF(AT972="Y",BM972&amp;"",AZ972&amp;""))</f>
        <v/>
      </c>
      <c r="E972" s="0" t="str">
        <f aca="false">IF($A972="","",IF(AT972="Y",BN972&amp;"",BA972&amp;""))</f>
        <v/>
      </c>
      <c r="F972" s="0" t="str">
        <f aca="false">IF($A972="","",IF(AT972="Y",BO972&amp;"",BB972&amp;""))</f>
        <v/>
      </c>
      <c r="G972" s="0" t="str">
        <f aca="false">IF($A972="","",IF(AT972="Y",BP972&amp;"",BC972&amp;""))</f>
        <v/>
      </c>
      <c r="H972" s="0" t="str">
        <f aca="false">IF($A972="","",IF(AT972="Y",BQ972&amp;"",BD972&amp;""))</f>
        <v/>
      </c>
      <c r="I972" s="0" t="str">
        <f aca="false">IF($A972="","",IF(R972="Y","warm-intro",IF(H972="verified","email",IF(C972&lt;&gt;"","linkedin",CA972&amp;""))))</f>
        <v/>
      </c>
      <c r="J972" s="0" t="str">
        <f aca="false">IF($A972="","",IF(CK972="pass",ROUND(N(DO972)+N(DP972)+N(DQ972)+N(DR972)+N(DS972)+N(DT972)+N(DU972)+N(DV972),0),0))</f>
        <v/>
      </c>
      <c r="K972" s="0" t="str">
        <f aca="false">IF($A972="","",IF(CK972&lt;&gt;"pass",BY972&amp;"",BY972&amp;", "&amp;IF(AT972="Y",BX972&amp;"",BK972&amp;"")&amp;BZ972&amp;IF(R972="Y","; known to the founder (+10)","")&amp;"."))</f>
        <v/>
      </c>
      <c r="R972" s="5"/>
      <c r="T972" s="5"/>
      <c r="U972" s="5"/>
      <c r="Y972" s="0" t="str">
        <f aca="false">IF(FA972&lt;&gt;"Y","",COUNTIFS($FA$2:$FA$1000,"Y",$J$2:$J$1000,"&gt;"&amp;J972)+COUNTIFS($FA$2:$FA$1000,"Y",$J$2:$J$1000,J972,$FG$2:$FG$1000,"&lt;"&amp;FG972)+1)</f>
        <v/>
      </c>
      <c r="AB972" s="0" t="str">
        <f aca="false">IF($A972="","",IF(AT972="Y",BW972&amp;"",BJ972&amp;""))</f>
        <v/>
      </c>
      <c r="AC972" s="0" t="str">
        <f aca="false">IF($A972="","",IF(AT972="Y",BR972&amp;"",BE972&amp;""))</f>
        <v/>
      </c>
      <c r="AD972" s="0" t="str">
        <f aca="false">IF($A972="","",IF(AT972="Y",BS972&amp;"",BF972&amp;""))</f>
        <v/>
      </c>
      <c r="AE972" s="0" t="str">
        <f aca="false">IF($A972="","",IF(AT972="Y",BT972&amp;"",BG972&amp;""))</f>
        <v/>
      </c>
      <c r="AF972" s="0" t="str">
        <f aca="false">IF($A972="","",IF(AT972="Y",BU972&amp;"",BH972&amp;""))</f>
        <v/>
      </c>
      <c r="AG972" s="0" t="str">
        <f aca="false">IF($A972="","",IF(AT972="Y",BV972&amp;"",BI972&amp;""))</f>
        <v/>
      </c>
      <c r="AO972" s="5"/>
      <c r="AR972" s="0" t="str">
        <f aca="false">IF($A972="","",IF(AND(CK972="pass",AO972&lt;&gt;"Y",C972&lt;&gt;"",OR(AU972&lt;&gt;"Y",AV972="Y")),"Y","N"))</f>
        <v/>
      </c>
      <c r="AS972" s="0" t="str">
        <f aca="false">IF($A972="","",_xlfn.TEXTJOIN("; ",TRUE(),IF(CK972&lt;&gt;"pass","gated out",""),IF(AO972="Y","on hold: "&amp;AP972,""),IF(C972="","no contact named on an opened page",""),IF(AND(AU972="Y",AV972&lt;&gt;"Y"),"founder review pending (Founder review tab)","")))</f>
        <v/>
      </c>
      <c r="BC972" s="0" t="str">
        <f aca="false">IF($A972="","",IFERROR(INDEX(Enrichment!$A$2:$GZ$2000,MATCH($A972,INDEX(Enrichment!$A$2:$GZ$2000,0,MATCH("row_id",Enrichment!$A$1:$GZ$1,0)),0),MATCH("work_email",Enrichment!$A$1:$GZ$1,0))&amp;"",""))</f>
        <v/>
      </c>
      <c r="BD972" s="0" t="str">
        <f aca="false">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P972" s="0" t="str">
        <f aca="false">IF($A972="","",IFERROR(INDEX(Enrichment!$A$2:$GZ$2000,MATCH($A972,INDEX(Enrichment!$A$2:$GZ$2000,0,MATCH("row_id",Enrichment!$A$1:$GZ$1,0)),0),MATCH("backup_work_email",Enrichment!$A$1:$GZ$1,0))&amp;"",""))</f>
        <v/>
      </c>
      <c r="BQ972" s="0" t="str">
        <f aca="false">IF($A972="","",IF(BP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DU972" s="0" t="str">
        <f aca="false">IF($A972="","",IF(R972="Y",10,0))</f>
        <v/>
      </c>
      <c r="EV972" s="0" t="str">
        <f aca="false">IF($A972="","",IF(ISNUMBER(MATCH(U972,{"queued","contacted","replied","call_booked","call_done","yes_in_principle","materials_sent"},0)),"Y","N"))</f>
        <v/>
      </c>
      <c r="EW972" s="0" t="str">
        <f aca="false">IF($A972="","",IF(OR(T972="Y",U972="do_not_contact",AQ972&amp;""&lt;&gt;""),"Y","N"))</f>
        <v/>
      </c>
      <c r="EX972" s="0" t="str">
        <f aca="false">IF($A972="","",IF(AN972&amp;""&lt;&gt;"",AN972&amp;"",$A972))</f>
        <v/>
      </c>
      <c r="EY972" s="0" t="str">
        <f aca="false">IF($A972="","",IF(COUNTIFS($EX$2:$EX$1000,EX972,$EV$2:$EV$1000,"Y")+COUNTIFS($EX$2:$EX$1000,EX972,$EW$2:$EW$1000,"Y")&gt;0,"Y","N"))</f>
        <v/>
      </c>
      <c r="EZ972" s="0" t="str">
        <f aca="false">IF($A972="","",IF(AND(U972="new",T972="N",EW972="N",AR972="Y",EY972="N"),"Y","N"))</f>
        <v/>
      </c>
      <c r="FA972" s="0" t="str">
        <f aca="false">IF($A972="","",IF(EZ972&lt;&gt;"Y","N",IF(COUNTIFS($EX$2:$EX$1000,EX972,$EZ$2:$EZ$1000,"Y",$J$2:$J$1000,"&gt;"&amp;J972)+COUNTIFS($EX$2:$EX$1000,EX972,$EZ$2:$EZ$1000,"Y",$J$2:$J$1000,J972,$FG$2:$FG$1000,"&lt;"&amp;FG972)=0,"Y","N")))</f>
        <v/>
      </c>
      <c r="FB972" s="0" t="str">
        <f aca="false">IF($A972="","",IF(AND(EZ972="Y",FA972="Y",Y972&amp;""&lt;&gt;""),IF(Y972&lt;=10,"Y","N"),"N"))</f>
        <v/>
      </c>
      <c r="FC972" s="0" t="str">
        <f aca="false">IF(FB972="Y",Y972,"")</f>
        <v/>
      </c>
      <c r="FD972" s="0" t="str">
        <f aca="false">IF($A972="","",IF(AND(CK972="pass",AU972="Y",AV972&lt;&gt;"Y",U972="new",EW972="N"),"Y","N"))</f>
        <v/>
      </c>
      <c r="FE972" s="0" t="str">
        <f aca="false">IF(FD972&lt;&gt;"Y","",IF(COUNTIFS($FD$2:$FD$1000,"Y",$J$2:$J$1000,"&gt;"&amp;J972)+COUNTIFS($FD$2:$FD$1000,"Y",$J$2:$J$1000,J972,$FG$2:$FG$1000,"&lt;"&amp;FG972)+1&lt;=30,COUNTIFS($FD$2:$FD$1000,"Y",$J$2:$J$1000,"&gt;"&amp;J972)+COUNTIFS($FD$2:$FD$1000,"Y",$J$2:$J$1000,J972,$FG$2:$FG$1000,"&lt;"&amp;FG972)+1,""))</f>
        <v/>
      </c>
      <c r="FF972" s="0" t="str">
        <f aca="false">IF(AND(_xlfn.ISFORMULA(C972),_xlfn.ISFORMULA(J972)),"Y","N")</f>
        <v>Y</v>
      </c>
      <c r="FG972" s="0" t="n">
        <f aca="false">ROW()-1</f>
        <v>971</v>
      </c>
    </row>
    <row r="973" customFormat="false" ht="15" hidden="false" customHeight="false" outlineLevel="0" collapsed="false">
      <c r="C973" s="0" t="str">
        <f aca="false">IF($A973="","",IF(AT973="Y",BL973&amp;"",AY973&amp;""))</f>
        <v/>
      </c>
      <c r="D973" s="0" t="str">
        <f aca="false">IF($A973="","",IF(AT973="Y",BM973&amp;"",AZ973&amp;""))</f>
        <v/>
      </c>
      <c r="E973" s="0" t="str">
        <f aca="false">IF($A973="","",IF(AT973="Y",BN973&amp;"",BA973&amp;""))</f>
        <v/>
      </c>
      <c r="F973" s="0" t="str">
        <f aca="false">IF($A973="","",IF(AT973="Y",BO973&amp;"",BB973&amp;""))</f>
        <v/>
      </c>
      <c r="G973" s="0" t="str">
        <f aca="false">IF($A973="","",IF(AT973="Y",BP973&amp;"",BC973&amp;""))</f>
        <v/>
      </c>
      <c r="H973" s="0" t="str">
        <f aca="false">IF($A973="","",IF(AT973="Y",BQ973&amp;"",BD973&amp;""))</f>
        <v/>
      </c>
      <c r="I973" s="0" t="str">
        <f aca="false">IF($A973="","",IF(R973="Y","warm-intro",IF(H973="verified","email",IF(C973&lt;&gt;"","linkedin",CA973&amp;""))))</f>
        <v/>
      </c>
      <c r="J973" s="0" t="str">
        <f aca="false">IF($A973="","",IF(CK973="pass",ROUND(N(DO973)+N(DP973)+N(DQ973)+N(DR973)+N(DS973)+N(DT973)+N(DU973)+N(DV973),0),0))</f>
        <v/>
      </c>
      <c r="K973" s="0" t="str">
        <f aca="false">IF($A973="","",IF(CK973&lt;&gt;"pass",BY973&amp;"",BY973&amp;", "&amp;IF(AT973="Y",BX973&amp;"",BK973&amp;"")&amp;BZ973&amp;IF(R973="Y","; known to the founder (+10)","")&amp;"."))</f>
        <v/>
      </c>
      <c r="R973" s="5"/>
      <c r="T973" s="5"/>
      <c r="U973" s="5"/>
      <c r="Y973" s="0" t="str">
        <f aca="false">IF(FA973&lt;&gt;"Y","",COUNTIFS($FA$2:$FA$1000,"Y",$J$2:$J$1000,"&gt;"&amp;J973)+COUNTIFS($FA$2:$FA$1000,"Y",$J$2:$J$1000,J973,$FG$2:$FG$1000,"&lt;"&amp;FG973)+1)</f>
        <v/>
      </c>
      <c r="AB973" s="0" t="str">
        <f aca="false">IF($A973="","",IF(AT973="Y",BW973&amp;"",BJ973&amp;""))</f>
        <v/>
      </c>
      <c r="AC973" s="0" t="str">
        <f aca="false">IF($A973="","",IF(AT973="Y",BR973&amp;"",BE973&amp;""))</f>
        <v/>
      </c>
      <c r="AD973" s="0" t="str">
        <f aca="false">IF($A973="","",IF(AT973="Y",BS973&amp;"",BF973&amp;""))</f>
        <v/>
      </c>
      <c r="AE973" s="0" t="str">
        <f aca="false">IF($A973="","",IF(AT973="Y",BT973&amp;"",BG973&amp;""))</f>
        <v/>
      </c>
      <c r="AF973" s="0" t="str">
        <f aca="false">IF($A973="","",IF(AT973="Y",BU973&amp;"",BH973&amp;""))</f>
        <v/>
      </c>
      <c r="AG973" s="0" t="str">
        <f aca="false">IF($A973="","",IF(AT973="Y",BV973&amp;"",BI973&amp;""))</f>
        <v/>
      </c>
      <c r="AO973" s="5"/>
      <c r="AR973" s="0" t="str">
        <f aca="false">IF($A973="","",IF(AND(CK973="pass",AO973&lt;&gt;"Y",C973&lt;&gt;"",OR(AU973&lt;&gt;"Y",AV973="Y")),"Y","N"))</f>
        <v/>
      </c>
      <c r="AS973" s="0" t="str">
        <f aca="false">IF($A973="","",_xlfn.TEXTJOIN("; ",TRUE(),IF(CK973&lt;&gt;"pass","gated out",""),IF(AO973="Y","on hold: "&amp;AP973,""),IF(C973="","no contact named on an opened page",""),IF(AND(AU973="Y",AV973&lt;&gt;"Y"),"founder review pending (Founder review tab)","")))</f>
        <v/>
      </c>
      <c r="BC973" s="0" t="str">
        <f aca="false">IF($A973="","",IFERROR(INDEX(Enrichment!$A$2:$GZ$2000,MATCH($A973,INDEX(Enrichment!$A$2:$GZ$2000,0,MATCH("row_id",Enrichment!$A$1:$GZ$1,0)),0),MATCH("work_email",Enrichment!$A$1:$GZ$1,0))&amp;"",""))</f>
        <v/>
      </c>
      <c r="BD973" s="0" t="str">
        <f aca="false">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P973" s="0" t="str">
        <f aca="false">IF($A973="","",IFERROR(INDEX(Enrichment!$A$2:$GZ$2000,MATCH($A973,INDEX(Enrichment!$A$2:$GZ$2000,0,MATCH("row_id",Enrichment!$A$1:$GZ$1,0)),0),MATCH("backup_work_email",Enrichment!$A$1:$GZ$1,0))&amp;"",""))</f>
        <v/>
      </c>
      <c r="BQ973" s="0" t="str">
        <f aca="false">IF($A973="","",IF(BP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DU973" s="0" t="str">
        <f aca="false">IF($A973="","",IF(R973="Y",10,0))</f>
        <v/>
      </c>
      <c r="EV973" s="0" t="str">
        <f aca="false">IF($A973="","",IF(ISNUMBER(MATCH(U973,{"queued","contacted","replied","call_booked","call_done","yes_in_principle","materials_sent"},0)),"Y","N"))</f>
        <v/>
      </c>
      <c r="EW973" s="0" t="str">
        <f aca="false">IF($A973="","",IF(OR(T973="Y",U973="do_not_contact",AQ973&amp;""&lt;&gt;""),"Y","N"))</f>
        <v/>
      </c>
      <c r="EX973" s="0" t="str">
        <f aca="false">IF($A973="","",IF(AN973&amp;""&lt;&gt;"",AN973&amp;"",$A973))</f>
        <v/>
      </c>
      <c r="EY973" s="0" t="str">
        <f aca="false">IF($A973="","",IF(COUNTIFS($EX$2:$EX$1000,EX973,$EV$2:$EV$1000,"Y")+COUNTIFS($EX$2:$EX$1000,EX973,$EW$2:$EW$1000,"Y")&gt;0,"Y","N"))</f>
        <v/>
      </c>
      <c r="EZ973" s="0" t="str">
        <f aca="false">IF($A973="","",IF(AND(U973="new",T973="N",EW973="N",AR973="Y",EY973="N"),"Y","N"))</f>
        <v/>
      </c>
      <c r="FA973" s="0" t="str">
        <f aca="false">IF($A973="","",IF(EZ973&lt;&gt;"Y","N",IF(COUNTIFS($EX$2:$EX$1000,EX973,$EZ$2:$EZ$1000,"Y",$J$2:$J$1000,"&gt;"&amp;J973)+COUNTIFS($EX$2:$EX$1000,EX973,$EZ$2:$EZ$1000,"Y",$J$2:$J$1000,J973,$FG$2:$FG$1000,"&lt;"&amp;FG973)=0,"Y","N")))</f>
        <v/>
      </c>
      <c r="FB973" s="0" t="str">
        <f aca="false">IF($A973="","",IF(AND(EZ973="Y",FA973="Y",Y973&amp;""&lt;&gt;""),IF(Y973&lt;=10,"Y","N"),"N"))</f>
        <v/>
      </c>
      <c r="FC973" s="0" t="str">
        <f aca="false">IF(FB973="Y",Y973,"")</f>
        <v/>
      </c>
      <c r="FD973" s="0" t="str">
        <f aca="false">IF($A973="","",IF(AND(CK973="pass",AU973="Y",AV973&lt;&gt;"Y",U973="new",EW973="N"),"Y","N"))</f>
        <v/>
      </c>
      <c r="FE973" s="0" t="str">
        <f aca="false">IF(FD973&lt;&gt;"Y","",IF(COUNTIFS($FD$2:$FD$1000,"Y",$J$2:$J$1000,"&gt;"&amp;J973)+COUNTIFS($FD$2:$FD$1000,"Y",$J$2:$J$1000,J973,$FG$2:$FG$1000,"&lt;"&amp;FG973)+1&lt;=30,COUNTIFS($FD$2:$FD$1000,"Y",$J$2:$J$1000,"&gt;"&amp;J973)+COUNTIFS($FD$2:$FD$1000,"Y",$J$2:$J$1000,J973,$FG$2:$FG$1000,"&lt;"&amp;FG973)+1,""))</f>
        <v/>
      </c>
      <c r="FF973" s="0" t="str">
        <f aca="false">IF(AND(_xlfn.ISFORMULA(C973),_xlfn.ISFORMULA(J973)),"Y","N")</f>
        <v>Y</v>
      </c>
      <c r="FG973" s="0" t="n">
        <f aca="false">ROW()-1</f>
        <v>972</v>
      </c>
    </row>
    <row r="974" customFormat="false" ht="15" hidden="false" customHeight="false" outlineLevel="0" collapsed="false">
      <c r="C974" s="0" t="str">
        <f aca="false">IF($A974="","",IF(AT974="Y",BL974&amp;"",AY974&amp;""))</f>
        <v/>
      </c>
      <c r="D974" s="0" t="str">
        <f aca="false">IF($A974="","",IF(AT974="Y",BM974&amp;"",AZ974&amp;""))</f>
        <v/>
      </c>
      <c r="E974" s="0" t="str">
        <f aca="false">IF($A974="","",IF(AT974="Y",BN974&amp;"",BA974&amp;""))</f>
        <v/>
      </c>
      <c r="F974" s="0" t="str">
        <f aca="false">IF($A974="","",IF(AT974="Y",BO974&amp;"",BB974&amp;""))</f>
        <v/>
      </c>
      <c r="G974" s="0" t="str">
        <f aca="false">IF($A974="","",IF(AT974="Y",BP974&amp;"",BC974&amp;""))</f>
        <v/>
      </c>
      <c r="H974" s="0" t="str">
        <f aca="false">IF($A974="","",IF(AT974="Y",BQ974&amp;"",BD974&amp;""))</f>
        <v/>
      </c>
      <c r="I974" s="0" t="str">
        <f aca="false">IF($A974="","",IF(R974="Y","warm-intro",IF(H974="verified","email",IF(C974&lt;&gt;"","linkedin",CA974&amp;""))))</f>
        <v/>
      </c>
      <c r="J974" s="0" t="str">
        <f aca="false">IF($A974="","",IF(CK974="pass",ROUND(N(DO974)+N(DP974)+N(DQ974)+N(DR974)+N(DS974)+N(DT974)+N(DU974)+N(DV974),0),0))</f>
        <v/>
      </c>
      <c r="K974" s="0" t="str">
        <f aca="false">IF($A974="","",IF(CK974&lt;&gt;"pass",BY974&amp;"",BY974&amp;", "&amp;IF(AT974="Y",BX974&amp;"",BK974&amp;"")&amp;BZ974&amp;IF(R974="Y","; known to the founder (+10)","")&amp;"."))</f>
        <v/>
      </c>
      <c r="R974" s="5"/>
      <c r="T974" s="5"/>
      <c r="U974" s="5"/>
      <c r="Y974" s="0" t="str">
        <f aca="false">IF(FA974&lt;&gt;"Y","",COUNTIFS($FA$2:$FA$1000,"Y",$J$2:$J$1000,"&gt;"&amp;J974)+COUNTIFS($FA$2:$FA$1000,"Y",$J$2:$J$1000,J974,$FG$2:$FG$1000,"&lt;"&amp;FG974)+1)</f>
        <v/>
      </c>
      <c r="AB974" s="0" t="str">
        <f aca="false">IF($A974="","",IF(AT974="Y",BW974&amp;"",BJ974&amp;""))</f>
        <v/>
      </c>
      <c r="AC974" s="0" t="str">
        <f aca="false">IF($A974="","",IF(AT974="Y",BR974&amp;"",BE974&amp;""))</f>
        <v/>
      </c>
      <c r="AD974" s="0" t="str">
        <f aca="false">IF($A974="","",IF(AT974="Y",BS974&amp;"",BF974&amp;""))</f>
        <v/>
      </c>
      <c r="AE974" s="0" t="str">
        <f aca="false">IF($A974="","",IF(AT974="Y",BT974&amp;"",BG974&amp;""))</f>
        <v/>
      </c>
      <c r="AF974" s="0" t="str">
        <f aca="false">IF($A974="","",IF(AT974="Y",BU974&amp;"",BH974&amp;""))</f>
        <v/>
      </c>
      <c r="AG974" s="0" t="str">
        <f aca="false">IF($A974="","",IF(AT974="Y",BV974&amp;"",BI974&amp;""))</f>
        <v/>
      </c>
      <c r="AO974" s="5"/>
      <c r="AR974" s="0" t="str">
        <f aca="false">IF($A974="","",IF(AND(CK974="pass",AO974&lt;&gt;"Y",C974&lt;&gt;"",OR(AU974&lt;&gt;"Y",AV974="Y")),"Y","N"))</f>
        <v/>
      </c>
      <c r="AS974" s="0" t="str">
        <f aca="false">IF($A974="","",_xlfn.TEXTJOIN("; ",TRUE(),IF(CK974&lt;&gt;"pass","gated out",""),IF(AO974="Y","on hold: "&amp;AP974,""),IF(C974="","no contact named on an opened page",""),IF(AND(AU974="Y",AV974&lt;&gt;"Y"),"founder review pending (Founder review tab)","")))</f>
        <v/>
      </c>
      <c r="BC974" s="0" t="str">
        <f aca="false">IF($A974="","",IFERROR(INDEX(Enrichment!$A$2:$GZ$2000,MATCH($A974,INDEX(Enrichment!$A$2:$GZ$2000,0,MATCH("row_id",Enrichment!$A$1:$GZ$1,0)),0),MATCH("work_email",Enrichment!$A$1:$GZ$1,0))&amp;"",""))</f>
        <v/>
      </c>
      <c r="BD974" s="0" t="str">
        <f aca="false">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P974" s="0" t="str">
        <f aca="false">IF($A974="","",IFERROR(INDEX(Enrichment!$A$2:$GZ$2000,MATCH($A974,INDEX(Enrichment!$A$2:$GZ$2000,0,MATCH("row_id",Enrichment!$A$1:$GZ$1,0)),0),MATCH("backup_work_email",Enrichment!$A$1:$GZ$1,0))&amp;"",""))</f>
        <v/>
      </c>
      <c r="BQ974" s="0" t="str">
        <f aca="false">IF($A974="","",IF(BP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DU974" s="0" t="str">
        <f aca="false">IF($A974="","",IF(R974="Y",10,0))</f>
        <v/>
      </c>
      <c r="EV974" s="0" t="str">
        <f aca="false">IF($A974="","",IF(ISNUMBER(MATCH(U974,{"queued","contacted","replied","call_booked","call_done","yes_in_principle","materials_sent"},0)),"Y","N"))</f>
        <v/>
      </c>
      <c r="EW974" s="0" t="str">
        <f aca="false">IF($A974="","",IF(OR(T974="Y",U974="do_not_contact",AQ974&amp;""&lt;&gt;""),"Y","N"))</f>
        <v/>
      </c>
      <c r="EX974" s="0" t="str">
        <f aca="false">IF($A974="","",IF(AN974&amp;""&lt;&gt;"",AN974&amp;"",$A974))</f>
        <v/>
      </c>
      <c r="EY974" s="0" t="str">
        <f aca="false">IF($A974="","",IF(COUNTIFS($EX$2:$EX$1000,EX974,$EV$2:$EV$1000,"Y")+COUNTIFS($EX$2:$EX$1000,EX974,$EW$2:$EW$1000,"Y")&gt;0,"Y","N"))</f>
        <v/>
      </c>
      <c r="EZ974" s="0" t="str">
        <f aca="false">IF($A974="","",IF(AND(U974="new",T974="N",EW974="N",AR974="Y",EY974="N"),"Y","N"))</f>
        <v/>
      </c>
      <c r="FA974" s="0" t="str">
        <f aca="false">IF($A974="","",IF(EZ974&lt;&gt;"Y","N",IF(COUNTIFS($EX$2:$EX$1000,EX974,$EZ$2:$EZ$1000,"Y",$J$2:$J$1000,"&gt;"&amp;J974)+COUNTIFS($EX$2:$EX$1000,EX974,$EZ$2:$EZ$1000,"Y",$J$2:$J$1000,J974,$FG$2:$FG$1000,"&lt;"&amp;FG974)=0,"Y","N")))</f>
        <v/>
      </c>
      <c r="FB974" s="0" t="str">
        <f aca="false">IF($A974="","",IF(AND(EZ974="Y",FA974="Y",Y974&amp;""&lt;&gt;""),IF(Y974&lt;=10,"Y","N"),"N"))</f>
        <v/>
      </c>
      <c r="FC974" s="0" t="str">
        <f aca="false">IF(FB974="Y",Y974,"")</f>
        <v/>
      </c>
      <c r="FD974" s="0" t="str">
        <f aca="false">IF($A974="","",IF(AND(CK974="pass",AU974="Y",AV974&lt;&gt;"Y",U974="new",EW974="N"),"Y","N"))</f>
        <v/>
      </c>
      <c r="FE974" s="0" t="str">
        <f aca="false">IF(FD974&lt;&gt;"Y","",IF(COUNTIFS($FD$2:$FD$1000,"Y",$J$2:$J$1000,"&gt;"&amp;J974)+COUNTIFS($FD$2:$FD$1000,"Y",$J$2:$J$1000,J974,$FG$2:$FG$1000,"&lt;"&amp;FG974)+1&lt;=30,COUNTIFS($FD$2:$FD$1000,"Y",$J$2:$J$1000,"&gt;"&amp;J974)+COUNTIFS($FD$2:$FD$1000,"Y",$J$2:$J$1000,J974,$FG$2:$FG$1000,"&lt;"&amp;FG974)+1,""))</f>
        <v/>
      </c>
      <c r="FF974" s="0" t="str">
        <f aca="false">IF(AND(_xlfn.ISFORMULA(C974),_xlfn.ISFORMULA(J974)),"Y","N")</f>
        <v>Y</v>
      </c>
      <c r="FG974" s="0" t="n">
        <f aca="false">ROW()-1</f>
        <v>973</v>
      </c>
    </row>
    <row r="975" customFormat="false" ht="15" hidden="false" customHeight="false" outlineLevel="0" collapsed="false">
      <c r="C975" s="0" t="str">
        <f aca="false">IF($A975="","",IF(AT975="Y",BL975&amp;"",AY975&amp;""))</f>
        <v/>
      </c>
      <c r="D975" s="0" t="str">
        <f aca="false">IF($A975="","",IF(AT975="Y",BM975&amp;"",AZ975&amp;""))</f>
        <v/>
      </c>
      <c r="E975" s="0" t="str">
        <f aca="false">IF($A975="","",IF(AT975="Y",BN975&amp;"",BA975&amp;""))</f>
        <v/>
      </c>
      <c r="F975" s="0" t="str">
        <f aca="false">IF($A975="","",IF(AT975="Y",BO975&amp;"",BB975&amp;""))</f>
        <v/>
      </c>
      <c r="G975" s="0" t="str">
        <f aca="false">IF($A975="","",IF(AT975="Y",BP975&amp;"",BC975&amp;""))</f>
        <v/>
      </c>
      <c r="H975" s="0" t="str">
        <f aca="false">IF($A975="","",IF(AT975="Y",BQ975&amp;"",BD975&amp;""))</f>
        <v/>
      </c>
      <c r="I975" s="0" t="str">
        <f aca="false">IF($A975="","",IF(R975="Y","warm-intro",IF(H975="verified","email",IF(C975&lt;&gt;"","linkedin",CA975&amp;""))))</f>
        <v/>
      </c>
      <c r="J975" s="0" t="str">
        <f aca="false">IF($A975="","",IF(CK975="pass",ROUND(N(DO975)+N(DP975)+N(DQ975)+N(DR975)+N(DS975)+N(DT975)+N(DU975)+N(DV975),0),0))</f>
        <v/>
      </c>
      <c r="K975" s="0" t="str">
        <f aca="false">IF($A975="","",IF(CK975&lt;&gt;"pass",BY975&amp;"",BY975&amp;", "&amp;IF(AT975="Y",BX975&amp;"",BK975&amp;"")&amp;BZ975&amp;IF(R975="Y","; known to the founder (+10)","")&amp;"."))</f>
        <v/>
      </c>
      <c r="R975" s="5"/>
      <c r="T975" s="5"/>
      <c r="U975" s="5"/>
      <c r="Y975" s="0" t="str">
        <f aca="false">IF(FA975&lt;&gt;"Y","",COUNTIFS($FA$2:$FA$1000,"Y",$J$2:$J$1000,"&gt;"&amp;J975)+COUNTIFS($FA$2:$FA$1000,"Y",$J$2:$J$1000,J975,$FG$2:$FG$1000,"&lt;"&amp;FG975)+1)</f>
        <v/>
      </c>
      <c r="AB975" s="0" t="str">
        <f aca="false">IF($A975="","",IF(AT975="Y",BW975&amp;"",BJ975&amp;""))</f>
        <v/>
      </c>
      <c r="AC975" s="0" t="str">
        <f aca="false">IF($A975="","",IF(AT975="Y",BR975&amp;"",BE975&amp;""))</f>
        <v/>
      </c>
      <c r="AD975" s="0" t="str">
        <f aca="false">IF($A975="","",IF(AT975="Y",BS975&amp;"",BF975&amp;""))</f>
        <v/>
      </c>
      <c r="AE975" s="0" t="str">
        <f aca="false">IF($A975="","",IF(AT975="Y",BT975&amp;"",BG975&amp;""))</f>
        <v/>
      </c>
      <c r="AF975" s="0" t="str">
        <f aca="false">IF($A975="","",IF(AT975="Y",BU975&amp;"",BH975&amp;""))</f>
        <v/>
      </c>
      <c r="AG975" s="0" t="str">
        <f aca="false">IF($A975="","",IF(AT975="Y",BV975&amp;"",BI975&amp;""))</f>
        <v/>
      </c>
      <c r="AO975" s="5"/>
      <c r="AR975" s="0" t="str">
        <f aca="false">IF($A975="","",IF(AND(CK975="pass",AO975&lt;&gt;"Y",C975&lt;&gt;"",OR(AU975&lt;&gt;"Y",AV975="Y")),"Y","N"))</f>
        <v/>
      </c>
      <c r="AS975" s="0" t="str">
        <f aca="false">IF($A975="","",_xlfn.TEXTJOIN("; ",TRUE(),IF(CK975&lt;&gt;"pass","gated out",""),IF(AO975="Y","on hold: "&amp;AP975,""),IF(C975="","no contact named on an opened page",""),IF(AND(AU975="Y",AV975&lt;&gt;"Y"),"founder review pending (Founder review tab)","")))</f>
        <v/>
      </c>
      <c r="BC975" s="0" t="str">
        <f aca="false">IF($A975="","",IFERROR(INDEX(Enrichment!$A$2:$GZ$2000,MATCH($A975,INDEX(Enrichment!$A$2:$GZ$2000,0,MATCH("row_id",Enrichment!$A$1:$GZ$1,0)),0),MATCH("work_email",Enrichment!$A$1:$GZ$1,0))&amp;"",""))</f>
        <v/>
      </c>
      <c r="BD975" s="0" t="str">
        <f aca="false">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P975" s="0" t="str">
        <f aca="false">IF($A975="","",IFERROR(INDEX(Enrichment!$A$2:$GZ$2000,MATCH($A975,INDEX(Enrichment!$A$2:$GZ$2000,0,MATCH("row_id",Enrichment!$A$1:$GZ$1,0)),0),MATCH("backup_work_email",Enrichment!$A$1:$GZ$1,0))&amp;"",""))</f>
        <v/>
      </c>
      <c r="BQ975" s="0" t="str">
        <f aca="false">IF($A975="","",IF(BP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DU975" s="0" t="str">
        <f aca="false">IF($A975="","",IF(R975="Y",10,0))</f>
        <v/>
      </c>
      <c r="EV975" s="0" t="str">
        <f aca="false">IF($A975="","",IF(ISNUMBER(MATCH(U975,{"queued","contacted","replied","call_booked","call_done","yes_in_principle","materials_sent"},0)),"Y","N"))</f>
        <v/>
      </c>
      <c r="EW975" s="0" t="str">
        <f aca="false">IF($A975="","",IF(OR(T975="Y",U975="do_not_contact",AQ975&amp;""&lt;&gt;""),"Y","N"))</f>
        <v/>
      </c>
      <c r="EX975" s="0" t="str">
        <f aca="false">IF($A975="","",IF(AN975&amp;""&lt;&gt;"",AN975&amp;"",$A975))</f>
        <v/>
      </c>
      <c r="EY975" s="0" t="str">
        <f aca="false">IF($A975="","",IF(COUNTIFS($EX$2:$EX$1000,EX975,$EV$2:$EV$1000,"Y")+COUNTIFS($EX$2:$EX$1000,EX975,$EW$2:$EW$1000,"Y")&gt;0,"Y","N"))</f>
        <v/>
      </c>
      <c r="EZ975" s="0" t="str">
        <f aca="false">IF($A975="","",IF(AND(U975="new",T975="N",EW975="N",AR975="Y",EY975="N"),"Y","N"))</f>
        <v/>
      </c>
      <c r="FA975" s="0" t="str">
        <f aca="false">IF($A975="","",IF(EZ975&lt;&gt;"Y","N",IF(COUNTIFS($EX$2:$EX$1000,EX975,$EZ$2:$EZ$1000,"Y",$J$2:$J$1000,"&gt;"&amp;J975)+COUNTIFS($EX$2:$EX$1000,EX975,$EZ$2:$EZ$1000,"Y",$J$2:$J$1000,J975,$FG$2:$FG$1000,"&lt;"&amp;FG975)=0,"Y","N")))</f>
        <v/>
      </c>
      <c r="FB975" s="0" t="str">
        <f aca="false">IF($A975="","",IF(AND(EZ975="Y",FA975="Y",Y975&amp;""&lt;&gt;""),IF(Y975&lt;=10,"Y","N"),"N"))</f>
        <v/>
      </c>
      <c r="FC975" s="0" t="str">
        <f aca="false">IF(FB975="Y",Y975,"")</f>
        <v/>
      </c>
      <c r="FD975" s="0" t="str">
        <f aca="false">IF($A975="","",IF(AND(CK975="pass",AU975="Y",AV975&lt;&gt;"Y",U975="new",EW975="N"),"Y","N"))</f>
        <v/>
      </c>
      <c r="FE975" s="0" t="str">
        <f aca="false">IF(FD975&lt;&gt;"Y","",IF(COUNTIFS($FD$2:$FD$1000,"Y",$J$2:$J$1000,"&gt;"&amp;J975)+COUNTIFS($FD$2:$FD$1000,"Y",$J$2:$J$1000,J975,$FG$2:$FG$1000,"&lt;"&amp;FG975)+1&lt;=30,COUNTIFS($FD$2:$FD$1000,"Y",$J$2:$J$1000,"&gt;"&amp;J975)+COUNTIFS($FD$2:$FD$1000,"Y",$J$2:$J$1000,J975,$FG$2:$FG$1000,"&lt;"&amp;FG975)+1,""))</f>
        <v/>
      </c>
      <c r="FF975" s="0" t="str">
        <f aca="false">IF(AND(_xlfn.ISFORMULA(C975),_xlfn.ISFORMULA(J975)),"Y","N")</f>
        <v>Y</v>
      </c>
      <c r="FG975" s="0" t="n">
        <f aca="false">ROW()-1</f>
        <v>974</v>
      </c>
    </row>
    <row r="976" customFormat="false" ht="15" hidden="false" customHeight="false" outlineLevel="0" collapsed="false">
      <c r="C976" s="0" t="str">
        <f aca="false">IF($A976="","",IF(AT976="Y",BL976&amp;"",AY976&amp;""))</f>
        <v/>
      </c>
      <c r="D976" s="0" t="str">
        <f aca="false">IF($A976="","",IF(AT976="Y",BM976&amp;"",AZ976&amp;""))</f>
        <v/>
      </c>
      <c r="E976" s="0" t="str">
        <f aca="false">IF($A976="","",IF(AT976="Y",BN976&amp;"",BA976&amp;""))</f>
        <v/>
      </c>
      <c r="F976" s="0" t="str">
        <f aca="false">IF($A976="","",IF(AT976="Y",BO976&amp;"",BB976&amp;""))</f>
        <v/>
      </c>
      <c r="G976" s="0" t="str">
        <f aca="false">IF($A976="","",IF(AT976="Y",BP976&amp;"",BC976&amp;""))</f>
        <v/>
      </c>
      <c r="H976" s="0" t="str">
        <f aca="false">IF($A976="","",IF(AT976="Y",BQ976&amp;"",BD976&amp;""))</f>
        <v/>
      </c>
      <c r="I976" s="0" t="str">
        <f aca="false">IF($A976="","",IF(R976="Y","warm-intro",IF(H976="verified","email",IF(C976&lt;&gt;"","linkedin",CA976&amp;""))))</f>
        <v/>
      </c>
      <c r="J976" s="0" t="str">
        <f aca="false">IF($A976="","",IF(CK976="pass",ROUND(N(DO976)+N(DP976)+N(DQ976)+N(DR976)+N(DS976)+N(DT976)+N(DU976)+N(DV976),0),0))</f>
        <v/>
      </c>
      <c r="K976" s="0" t="str">
        <f aca="false">IF($A976="","",IF(CK976&lt;&gt;"pass",BY976&amp;"",BY976&amp;", "&amp;IF(AT976="Y",BX976&amp;"",BK976&amp;"")&amp;BZ976&amp;IF(R976="Y","; known to the founder (+10)","")&amp;"."))</f>
        <v/>
      </c>
      <c r="R976" s="5"/>
      <c r="T976" s="5"/>
      <c r="U976" s="5"/>
      <c r="Y976" s="0" t="str">
        <f aca="false">IF(FA976&lt;&gt;"Y","",COUNTIFS($FA$2:$FA$1000,"Y",$J$2:$J$1000,"&gt;"&amp;J976)+COUNTIFS($FA$2:$FA$1000,"Y",$J$2:$J$1000,J976,$FG$2:$FG$1000,"&lt;"&amp;FG976)+1)</f>
        <v/>
      </c>
      <c r="AB976" s="0" t="str">
        <f aca="false">IF($A976="","",IF(AT976="Y",BW976&amp;"",BJ976&amp;""))</f>
        <v/>
      </c>
      <c r="AC976" s="0" t="str">
        <f aca="false">IF($A976="","",IF(AT976="Y",BR976&amp;"",BE976&amp;""))</f>
        <v/>
      </c>
      <c r="AD976" s="0" t="str">
        <f aca="false">IF($A976="","",IF(AT976="Y",BS976&amp;"",BF976&amp;""))</f>
        <v/>
      </c>
      <c r="AE976" s="0" t="str">
        <f aca="false">IF($A976="","",IF(AT976="Y",BT976&amp;"",BG976&amp;""))</f>
        <v/>
      </c>
      <c r="AF976" s="0" t="str">
        <f aca="false">IF($A976="","",IF(AT976="Y",BU976&amp;"",BH976&amp;""))</f>
        <v/>
      </c>
      <c r="AG976" s="0" t="str">
        <f aca="false">IF($A976="","",IF(AT976="Y",BV976&amp;"",BI976&amp;""))</f>
        <v/>
      </c>
      <c r="AO976" s="5"/>
      <c r="AR976" s="0" t="str">
        <f aca="false">IF($A976="","",IF(AND(CK976="pass",AO976&lt;&gt;"Y",C976&lt;&gt;"",OR(AU976&lt;&gt;"Y",AV976="Y")),"Y","N"))</f>
        <v/>
      </c>
      <c r="AS976" s="0" t="str">
        <f aca="false">IF($A976="","",_xlfn.TEXTJOIN("; ",TRUE(),IF(CK976&lt;&gt;"pass","gated out",""),IF(AO976="Y","on hold: "&amp;AP976,""),IF(C976="","no contact named on an opened page",""),IF(AND(AU976="Y",AV976&lt;&gt;"Y"),"founder review pending (Founder review tab)","")))</f>
        <v/>
      </c>
      <c r="BC976" s="0" t="str">
        <f aca="false">IF($A976="","",IFERROR(INDEX(Enrichment!$A$2:$GZ$2000,MATCH($A976,INDEX(Enrichment!$A$2:$GZ$2000,0,MATCH("row_id",Enrichment!$A$1:$GZ$1,0)),0),MATCH("work_email",Enrichment!$A$1:$GZ$1,0))&amp;"",""))</f>
        <v/>
      </c>
      <c r="BD976" s="0" t="str">
        <f aca="false">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P976" s="0" t="str">
        <f aca="false">IF($A976="","",IFERROR(INDEX(Enrichment!$A$2:$GZ$2000,MATCH($A976,INDEX(Enrichment!$A$2:$GZ$2000,0,MATCH("row_id",Enrichment!$A$1:$GZ$1,0)),0),MATCH("backup_work_email",Enrichment!$A$1:$GZ$1,0))&amp;"",""))</f>
        <v/>
      </c>
      <c r="BQ976" s="0" t="str">
        <f aca="false">IF($A976="","",IF(BP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DU976" s="0" t="str">
        <f aca="false">IF($A976="","",IF(R976="Y",10,0))</f>
        <v/>
      </c>
      <c r="EV976" s="0" t="str">
        <f aca="false">IF($A976="","",IF(ISNUMBER(MATCH(U976,{"queued","contacted","replied","call_booked","call_done","yes_in_principle","materials_sent"},0)),"Y","N"))</f>
        <v/>
      </c>
      <c r="EW976" s="0" t="str">
        <f aca="false">IF($A976="","",IF(OR(T976="Y",U976="do_not_contact",AQ976&amp;""&lt;&gt;""),"Y","N"))</f>
        <v/>
      </c>
      <c r="EX976" s="0" t="str">
        <f aca="false">IF($A976="","",IF(AN976&amp;""&lt;&gt;"",AN976&amp;"",$A976))</f>
        <v/>
      </c>
      <c r="EY976" s="0" t="str">
        <f aca="false">IF($A976="","",IF(COUNTIFS($EX$2:$EX$1000,EX976,$EV$2:$EV$1000,"Y")+COUNTIFS($EX$2:$EX$1000,EX976,$EW$2:$EW$1000,"Y")&gt;0,"Y","N"))</f>
        <v/>
      </c>
      <c r="EZ976" s="0" t="str">
        <f aca="false">IF($A976="","",IF(AND(U976="new",T976="N",EW976="N",AR976="Y",EY976="N"),"Y","N"))</f>
        <v/>
      </c>
      <c r="FA976" s="0" t="str">
        <f aca="false">IF($A976="","",IF(EZ976&lt;&gt;"Y","N",IF(COUNTIFS($EX$2:$EX$1000,EX976,$EZ$2:$EZ$1000,"Y",$J$2:$J$1000,"&gt;"&amp;J976)+COUNTIFS($EX$2:$EX$1000,EX976,$EZ$2:$EZ$1000,"Y",$J$2:$J$1000,J976,$FG$2:$FG$1000,"&lt;"&amp;FG976)=0,"Y","N")))</f>
        <v/>
      </c>
      <c r="FB976" s="0" t="str">
        <f aca="false">IF($A976="","",IF(AND(EZ976="Y",FA976="Y",Y976&amp;""&lt;&gt;""),IF(Y976&lt;=10,"Y","N"),"N"))</f>
        <v/>
      </c>
      <c r="FC976" s="0" t="str">
        <f aca="false">IF(FB976="Y",Y976,"")</f>
        <v/>
      </c>
      <c r="FD976" s="0" t="str">
        <f aca="false">IF($A976="","",IF(AND(CK976="pass",AU976="Y",AV976&lt;&gt;"Y",U976="new",EW976="N"),"Y","N"))</f>
        <v/>
      </c>
      <c r="FE976" s="0" t="str">
        <f aca="false">IF(FD976&lt;&gt;"Y","",IF(COUNTIFS($FD$2:$FD$1000,"Y",$J$2:$J$1000,"&gt;"&amp;J976)+COUNTIFS($FD$2:$FD$1000,"Y",$J$2:$J$1000,J976,$FG$2:$FG$1000,"&lt;"&amp;FG976)+1&lt;=30,COUNTIFS($FD$2:$FD$1000,"Y",$J$2:$J$1000,"&gt;"&amp;J976)+COUNTIFS($FD$2:$FD$1000,"Y",$J$2:$J$1000,J976,$FG$2:$FG$1000,"&lt;"&amp;FG976)+1,""))</f>
        <v/>
      </c>
      <c r="FF976" s="0" t="str">
        <f aca="false">IF(AND(_xlfn.ISFORMULA(C976),_xlfn.ISFORMULA(J976)),"Y","N")</f>
        <v>Y</v>
      </c>
      <c r="FG976" s="0" t="n">
        <f aca="false">ROW()-1</f>
        <v>975</v>
      </c>
    </row>
    <row r="977" customFormat="false" ht="15" hidden="false" customHeight="false" outlineLevel="0" collapsed="false">
      <c r="C977" s="0" t="str">
        <f aca="false">IF($A977="","",IF(AT977="Y",BL977&amp;"",AY977&amp;""))</f>
        <v/>
      </c>
      <c r="D977" s="0" t="str">
        <f aca="false">IF($A977="","",IF(AT977="Y",BM977&amp;"",AZ977&amp;""))</f>
        <v/>
      </c>
      <c r="E977" s="0" t="str">
        <f aca="false">IF($A977="","",IF(AT977="Y",BN977&amp;"",BA977&amp;""))</f>
        <v/>
      </c>
      <c r="F977" s="0" t="str">
        <f aca="false">IF($A977="","",IF(AT977="Y",BO977&amp;"",BB977&amp;""))</f>
        <v/>
      </c>
      <c r="G977" s="0" t="str">
        <f aca="false">IF($A977="","",IF(AT977="Y",BP977&amp;"",BC977&amp;""))</f>
        <v/>
      </c>
      <c r="H977" s="0" t="str">
        <f aca="false">IF($A977="","",IF(AT977="Y",BQ977&amp;"",BD977&amp;""))</f>
        <v/>
      </c>
      <c r="I977" s="0" t="str">
        <f aca="false">IF($A977="","",IF(R977="Y","warm-intro",IF(H977="verified","email",IF(C977&lt;&gt;"","linkedin",CA977&amp;""))))</f>
        <v/>
      </c>
      <c r="J977" s="0" t="str">
        <f aca="false">IF($A977="","",IF(CK977="pass",ROUND(N(DO977)+N(DP977)+N(DQ977)+N(DR977)+N(DS977)+N(DT977)+N(DU977)+N(DV977),0),0))</f>
        <v/>
      </c>
      <c r="K977" s="0" t="str">
        <f aca="false">IF($A977="","",IF(CK977&lt;&gt;"pass",BY977&amp;"",BY977&amp;", "&amp;IF(AT977="Y",BX977&amp;"",BK977&amp;"")&amp;BZ977&amp;IF(R977="Y","; known to the founder (+10)","")&amp;"."))</f>
        <v/>
      </c>
      <c r="R977" s="5"/>
      <c r="T977" s="5"/>
      <c r="U977" s="5"/>
      <c r="Y977" s="0" t="str">
        <f aca="false">IF(FA977&lt;&gt;"Y","",COUNTIFS($FA$2:$FA$1000,"Y",$J$2:$J$1000,"&gt;"&amp;J977)+COUNTIFS($FA$2:$FA$1000,"Y",$J$2:$J$1000,J977,$FG$2:$FG$1000,"&lt;"&amp;FG977)+1)</f>
        <v/>
      </c>
      <c r="AB977" s="0" t="str">
        <f aca="false">IF($A977="","",IF(AT977="Y",BW977&amp;"",BJ977&amp;""))</f>
        <v/>
      </c>
      <c r="AC977" s="0" t="str">
        <f aca="false">IF($A977="","",IF(AT977="Y",BR977&amp;"",BE977&amp;""))</f>
        <v/>
      </c>
      <c r="AD977" s="0" t="str">
        <f aca="false">IF($A977="","",IF(AT977="Y",BS977&amp;"",BF977&amp;""))</f>
        <v/>
      </c>
      <c r="AE977" s="0" t="str">
        <f aca="false">IF($A977="","",IF(AT977="Y",BT977&amp;"",BG977&amp;""))</f>
        <v/>
      </c>
      <c r="AF977" s="0" t="str">
        <f aca="false">IF($A977="","",IF(AT977="Y",BU977&amp;"",BH977&amp;""))</f>
        <v/>
      </c>
      <c r="AG977" s="0" t="str">
        <f aca="false">IF($A977="","",IF(AT977="Y",BV977&amp;"",BI977&amp;""))</f>
        <v/>
      </c>
      <c r="AO977" s="5"/>
      <c r="AR977" s="0" t="str">
        <f aca="false">IF($A977="","",IF(AND(CK977="pass",AO977&lt;&gt;"Y",C977&lt;&gt;"",OR(AU977&lt;&gt;"Y",AV977="Y")),"Y","N"))</f>
        <v/>
      </c>
      <c r="AS977" s="0" t="str">
        <f aca="false">IF($A977="","",_xlfn.TEXTJOIN("; ",TRUE(),IF(CK977&lt;&gt;"pass","gated out",""),IF(AO977="Y","on hold: "&amp;AP977,""),IF(C977="","no contact named on an opened page",""),IF(AND(AU977="Y",AV977&lt;&gt;"Y"),"founder review pending (Founder review tab)","")))</f>
        <v/>
      </c>
      <c r="BC977" s="0" t="str">
        <f aca="false">IF($A977="","",IFERROR(INDEX(Enrichment!$A$2:$GZ$2000,MATCH($A977,INDEX(Enrichment!$A$2:$GZ$2000,0,MATCH("row_id",Enrichment!$A$1:$GZ$1,0)),0),MATCH("work_email",Enrichment!$A$1:$GZ$1,0))&amp;"",""))</f>
        <v/>
      </c>
      <c r="BD977" s="0" t="str">
        <f aca="false">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P977" s="0" t="str">
        <f aca="false">IF($A977="","",IFERROR(INDEX(Enrichment!$A$2:$GZ$2000,MATCH($A977,INDEX(Enrichment!$A$2:$GZ$2000,0,MATCH("row_id",Enrichment!$A$1:$GZ$1,0)),0),MATCH("backup_work_email",Enrichment!$A$1:$GZ$1,0))&amp;"",""))</f>
        <v/>
      </c>
      <c r="BQ977" s="0" t="str">
        <f aca="false">IF($A977="","",IF(BP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DU977" s="0" t="str">
        <f aca="false">IF($A977="","",IF(R977="Y",10,0))</f>
        <v/>
      </c>
      <c r="EV977" s="0" t="str">
        <f aca="false">IF($A977="","",IF(ISNUMBER(MATCH(U977,{"queued","contacted","replied","call_booked","call_done","yes_in_principle","materials_sent"},0)),"Y","N"))</f>
        <v/>
      </c>
      <c r="EW977" s="0" t="str">
        <f aca="false">IF($A977="","",IF(OR(T977="Y",U977="do_not_contact",AQ977&amp;""&lt;&gt;""),"Y","N"))</f>
        <v/>
      </c>
      <c r="EX977" s="0" t="str">
        <f aca="false">IF($A977="","",IF(AN977&amp;""&lt;&gt;"",AN977&amp;"",$A977))</f>
        <v/>
      </c>
      <c r="EY977" s="0" t="str">
        <f aca="false">IF($A977="","",IF(COUNTIFS($EX$2:$EX$1000,EX977,$EV$2:$EV$1000,"Y")+COUNTIFS($EX$2:$EX$1000,EX977,$EW$2:$EW$1000,"Y")&gt;0,"Y","N"))</f>
        <v/>
      </c>
      <c r="EZ977" s="0" t="str">
        <f aca="false">IF($A977="","",IF(AND(U977="new",T977="N",EW977="N",AR977="Y",EY977="N"),"Y","N"))</f>
        <v/>
      </c>
      <c r="FA977" s="0" t="str">
        <f aca="false">IF($A977="","",IF(EZ977&lt;&gt;"Y","N",IF(COUNTIFS($EX$2:$EX$1000,EX977,$EZ$2:$EZ$1000,"Y",$J$2:$J$1000,"&gt;"&amp;J977)+COUNTIFS($EX$2:$EX$1000,EX977,$EZ$2:$EZ$1000,"Y",$J$2:$J$1000,J977,$FG$2:$FG$1000,"&lt;"&amp;FG977)=0,"Y","N")))</f>
        <v/>
      </c>
      <c r="FB977" s="0" t="str">
        <f aca="false">IF($A977="","",IF(AND(EZ977="Y",FA977="Y",Y977&amp;""&lt;&gt;""),IF(Y977&lt;=10,"Y","N"),"N"))</f>
        <v/>
      </c>
      <c r="FC977" s="0" t="str">
        <f aca="false">IF(FB977="Y",Y977,"")</f>
        <v/>
      </c>
      <c r="FD977" s="0" t="str">
        <f aca="false">IF($A977="","",IF(AND(CK977="pass",AU977="Y",AV977&lt;&gt;"Y",U977="new",EW977="N"),"Y","N"))</f>
        <v/>
      </c>
      <c r="FE977" s="0" t="str">
        <f aca="false">IF(FD977&lt;&gt;"Y","",IF(COUNTIFS($FD$2:$FD$1000,"Y",$J$2:$J$1000,"&gt;"&amp;J977)+COUNTIFS($FD$2:$FD$1000,"Y",$J$2:$J$1000,J977,$FG$2:$FG$1000,"&lt;"&amp;FG977)+1&lt;=30,COUNTIFS($FD$2:$FD$1000,"Y",$J$2:$J$1000,"&gt;"&amp;J977)+COUNTIFS($FD$2:$FD$1000,"Y",$J$2:$J$1000,J977,$FG$2:$FG$1000,"&lt;"&amp;FG977)+1,""))</f>
        <v/>
      </c>
      <c r="FF977" s="0" t="str">
        <f aca="false">IF(AND(_xlfn.ISFORMULA(C977),_xlfn.ISFORMULA(J977)),"Y","N")</f>
        <v>Y</v>
      </c>
      <c r="FG977" s="0" t="n">
        <f aca="false">ROW()-1</f>
        <v>976</v>
      </c>
    </row>
    <row r="978" customFormat="false" ht="15" hidden="false" customHeight="false" outlineLevel="0" collapsed="false">
      <c r="C978" s="0" t="str">
        <f aca="false">IF($A978="","",IF(AT978="Y",BL978&amp;"",AY978&amp;""))</f>
        <v/>
      </c>
      <c r="D978" s="0" t="str">
        <f aca="false">IF($A978="","",IF(AT978="Y",BM978&amp;"",AZ978&amp;""))</f>
        <v/>
      </c>
      <c r="E978" s="0" t="str">
        <f aca="false">IF($A978="","",IF(AT978="Y",BN978&amp;"",BA978&amp;""))</f>
        <v/>
      </c>
      <c r="F978" s="0" t="str">
        <f aca="false">IF($A978="","",IF(AT978="Y",BO978&amp;"",BB978&amp;""))</f>
        <v/>
      </c>
      <c r="G978" s="0" t="str">
        <f aca="false">IF($A978="","",IF(AT978="Y",BP978&amp;"",BC978&amp;""))</f>
        <v/>
      </c>
      <c r="H978" s="0" t="str">
        <f aca="false">IF($A978="","",IF(AT978="Y",BQ978&amp;"",BD978&amp;""))</f>
        <v/>
      </c>
      <c r="I978" s="0" t="str">
        <f aca="false">IF($A978="","",IF(R978="Y","warm-intro",IF(H978="verified","email",IF(C978&lt;&gt;"","linkedin",CA978&amp;""))))</f>
        <v/>
      </c>
      <c r="J978" s="0" t="str">
        <f aca="false">IF($A978="","",IF(CK978="pass",ROUND(N(DO978)+N(DP978)+N(DQ978)+N(DR978)+N(DS978)+N(DT978)+N(DU978)+N(DV978),0),0))</f>
        <v/>
      </c>
      <c r="K978" s="0" t="str">
        <f aca="false">IF($A978="","",IF(CK978&lt;&gt;"pass",BY978&amp;"",BY978&amp;", "&amp;IF(AT978="Y",BX978&amp;"",BK978&amp;"")&amp;BZ978&amp;IF(R978="Y","; known to the founder (+10)","")&amp;"."))</f>
        <v/>
      </c>
      <c r="R978" s="5"/>
      <c r="T978" s="5"/>
      <c r="U978" s="5"/>
      <c r="Y978" s="0" t="str">
        <f aca="false">IF(FA978&lt;&gt;"Y","",COUNTIFS($FA$2:$FA$1000,"Y",$J$2:$J$1000,"&gt;"&amp;J978)+COUNTIFS($FA$2:$FA$1000,"Y",$J$2:$J$1000,J978,$FG$2:$FG$1000,"&lt;"&amp;FG978)+1)</f>
        <v/>
      </c>
      <c r="AB978" s="0" t="str">
        <f aca="false">IF($A978="","",IF(AT978="Y",BW978&amp;"",BJ978&amp;""))</f>
        <v/>
      </c>
      <c r="AC978" s="0" t="str">
        <f aca="false">IF($A978="","",IF(AT978="Y",BR978&amp;"",BE978&amp;""))</f>
        <v/>
      </c>
      <c r="AD978" s="0" t="str">
        <f aca="false">IF($A978="","",IF(AT978="Y",BS978&amp;"",BF978&amp;""))</f>
        <v/>
      </c>
      <c r="AE978" s="0" t="str">
        <f aca="false">IF($A978="","",IF(AT978="Y",BT978&amp;"",BG978&amp;""))</f>
        <v/>
      </c>
      <c r="AF978" s="0" t="str">
        <f aca="false">IF($A978="","",IF(AT978="Y",BU978&amp;"",BH978&amp;""))</f>
        <v/>
      </c>
      <c r="AG978" s="0" t="str">
        <f aca="false">IF($A978="","",IF(AT978="Y",BV978&amp;"",BI978&amp;""))</f>
        <v/>
      </c>
      <c r="AO978" s="5"/>
      <c r="AR978" s="0" t="str">
        <f aca="false">IF($A978="","",IF(AND(CK978="pass",AO978&lt;&gt;"Y",C978&lt;&gt;"",OR(AU978&lt;&gt;"Y",AV978="Y")),"Y","N"))</f>
        <v/>
      </c>
      <c r="AS978" s="0" t="str">
        <f aca="false">IF($A978="","",_xlfn.TEXTJOIN("; ",TRUE(),IF(CK978&lt;&gt;"pass","gated out",""),IF(AO978="Y","on hold: "&amp;AP978,""),IF(C978="","no contact named on an opened page",""),IF(AND(AU978="Y",AV978&lt;&gt;"Y"),"founder review pending (Founder review tab)","")))</f>
        <v/>
      </c>
      <c r="BC978" s="0" t="str">
        <f aca="false">IF($A978="","",IFERROR(INDEX(Enrichment!$A$2:$GZ$2000,MATCH($A978,INDEX(Enrichment!$A$2:$GZ$2000,0,MATCH("row_id",Enrichment!$A$1:$GZ$1,0)),0),MATCH("work_email",Enrichment!$A$1:$GZ$1,0))&amp;"",""))</f>
        <v/>
      </c>
      <c r="BD978" s="0" t="str">
        <f aca="false">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P978" s="0" t="str">
        <f aca="false">IF($A978="","",IFERROR(INDEX(Enrichment!$A$2:$GZ$2000,MATCH($A978,INDEX(Enrichment!$A$2:$GZ$2000,0,MATCH("row_id",Enrichment!$A$1:$GZ$1,0)),0),MATCH("backup_work_email",Enrichment!$A$1:$GZ$1,0))&amp;"",""))</f>
        <v/>
      </c>
      <c r="BQ978" s="0" t="str">
        <f aca="false">IF($A978="","",IF(BP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DU978" s="0" t="str">
        <f aca="false">IF($A978="","",IF(R978="Y",10,0))</f>
        <v/>
      </c>
      <c r="EV978" s="0" t="str">
        <f aca="false">IF($A978="","",IF(ISNUMBER(MATCH(U978,{"queued","contacted","replied","call_booked","call_done","yes_in_principle","materials_sent"},0)),"Y","N"))</f>
        <v/>
      </c>
      <c r="EW978" s="0" t="str">
        <f aca="false">IF($A978="","",IF(OR(T978="Y",U978="do_not_contact",AQ978&amp;""&lt;&gt;""),"Y","N"))</f>
        <v/>
      </c>
      <c r="EX978" s="0" t="str">
        <f aca="false">IF($A978="","",IF(AN978&amp;""&lt;&gt;"",AN978&amp;"",$A978))</f>
        <v/>
      </c>
      <c r="EY978" s="0" t="str">
        <f aca="false">IF($A978="","",IF(COUNTIFS($EX$2:$EX$1000,EX978,$EV$2:$EV$1000,"Y")+COUNTIFS($EX$2:$EX$1000,EX978,$EW$2:$EW$1000,"Y")&gt;0,"Y","N"))</f>
        <v/>
      </c>
      <c r="EZ978" s="0" t="str">
        <f aca="false">IF($A978="","",IF(AND(U978="new",T978="N",EW978="N",AR978="Y",EY978="N"),"Y","N"))</f>
        <v/>
      </c>
      <c r="FA978" s="0" t="str">
        <f aca="false">IF($A978="","",IF(EZ978&lt;&gt;"Y","N",IF(COUNTIFS($EX$2:$EX$1000,EX978,$EZ$2:$EZ$1000,"Y",$J$2:$J$1000,"&gt;"&amp;J978)+COUNTIFS($EX$2:$EX$1000,EX978,$EZ$2:$EZ$1000,"Y",$J$2:$J$1000,J978,$FG$2:$FG$1000,"&lt;"&amp;FG978)=0,"Y","N")))</f>
        <v/>
      </c>
      <c r="FB978" s="0" t="str">
        <f aca="false">IF($A978="","",IF(AND(EZ978="Y",FA978="Y",Y978&amp;""&lt;&gt;""),IF(Y978&lt;=10,"Y","N"),"N"))</f>
        <v/>
      </c>
      <c r="FC978" s="0" t="str">
        <f aca="false">IF(FB978="Y",Y978,"")</f>
        <v/>
      </c>
      <c r="FD978" s="0" t="str">
        <f aca="false">IF($A978="","",IF(AND(CK978="pass",AU978="Y",AV978&lt;&gt;"Y",U978="new",EW978="N"),"Y","N"))</f>
        <v/>
      </c>
      <c r="FE978" s="0" t="str">
        <f aca="false">IF(FD978&lt;&gt;"Y","",IF(COUNTIFS($FD$2:$FD$1000,"Y",$J$2:$J$1000,"&gt;"&amp;J978)+COUNTIFS($FD$2:$FD$1000,"Y",$J$2:$J$1000,J978,$FG$2:$FG$1000,"&lt;"&amp;FG978)+1&lt;=30,COUNTIFS($FD$2:$FD$1000,"Y",$J$2:$J$1000,"&gt;"&amp;J978)+COUNTIFS($FD$2:$FD$1000,"Y",$J$2:$J$1000,J978,$FG$2:$FG$1000,"&lt;"&amp;FG978)+1,""))</f>
        <v/>
      </c>
      <c r="FF978" s="0" t="str">
        <f aca="false">IF(AND(_xlfn.ISFORMULA(C978),_xlfn.ISFORMULA(J978)),"Y","N")</f>
        <v>Y</v>
      </c>
      <c r="FG978" s="0" t="n">
        <f aca="false">ROW()-1</f>
        <v>977</v>
      </c>
    </row>
    <row r="979" customFormat="false" ht="15" hidden="false" customHeight="false" outlineLevel="0" collapsed="false">
      <c r="C979" s="0" t="str">
        <f aca="false">IF($A979="","",IF(AT979="Y",BL979&amp;"",AY979&amp;""))</f>
        <v/>
      </c>
      <c r="D979" s="0" t="str">
        <f aca="false">IF($A979="","",IF(AT979="Y",BM979&amp;"",AZ979&amp;""))</f>
        <v/>
      </c>
      <c r="E979" s="0" t="str">
        <f aca="false">IF($A979="","",IF(AT979="Y",BN979&amp;"",BA979&amp;""))</f>
        <v/>
      </c>
      <c r="F979" s="0" t="str">
        <f aca="false">IF($A979="","",IF(AT979="Y",BO979&amp;"",BB979&amp;""))</f>
        <v/>
      </c>
      <c r="G979" s="0" t="str">
        <f aca="false">IF($A979="","",IF(AT979="Y",BP979&amp;"",BC979&amp;""))</f>
        <v/>
      </c>
      <c r="H979" s="0" t="str">
        <f aca="false">IF($A979="","",IF(AT979="Y",BQ979&amp;"",BD979&amp;""))</f>
        <v/>
      </c>
      <c r="I979" s="0" t="str">
        <f aca="false">IF($A979="","",IF(R979="Y","warm-intro",IF(H979="verified","email",IF(C979&lt;&gt;"","linkedin",CA979&amp;""))))</f>
        <v/>
      </c>
      <c r="J979" s="0" t="str">
        <f aca="false">IF($A979="","",IF(CK979="pass",ROUND(N(DO979)+N(DP979)+N(DQ979)+N(DR979)+N(DS979)+N(DT979)+N(DU979)+N(DV979),0),0))</f>
        <v/>
      </c>
      <c r="K979" s="0" t="str">
        <f aca="false">IF($A979="","",IF(CK979&lt;&gt;"pass",BY979&amp;"",BY979&amp;", "&amp;IF(AT979="Y",BX979&amp;"",BK979&amp;"")&amp;BZ979&amp;IF(R979="Y","; known to the founder (+10)","")&amp;"."))</f>
        <v/>
      </c>
      <c r="R979" s="5"/>
      <c r="T979" s="5"/>
      <c r="U979" s="5"/>
      <c r="Y979" s="0" t="str">
        <f aca="false">IF(FA979&lt;&gt;"Y","",COUNTIFS($FA$2:$FA$1000,"Y",$J$2:$J$1000,"&gt;"&amp;J979)+COUNTIFS($FA$2:$FA$1000,"Y",$J$2:$J$1000,J979,$FG$2:$FG$1000,"&lt;"&amp;FG979)+1)</f>
        <v/>
      </c>
      <c r="AB979" s="0" t="str">
        <f aca="false">IF($A979="","",IF(AT979="Y",BW979&amp;"",BJ979&amp;""))</f>
        <v/>
      </c>
      <c r="AC979" s="0" t="str">
        <f aca="false">IF($A979="","",IF(AT979="Y",BR979&amp;"",BE979&amp;""))</f>
        <v/>
      </c>
      <c r="AD979" s="0" t="str">
        <f aca="false">IF($A979="","",IF(AT979="Y",BS979&amp;"",BF979&amp;""))</f>
        <v/>
      </c>
      <c r="AE979" s="0" t="str">
        <f aca="false">IF($A979="","",IF(AT979="Y",BT979&amp;"",BG979&amp;""))</f>
        <v/>
      </c>
      <c r="AF979" s="0" t="str">
        <f aca="false">IF($A979="","",IF(AT979="Y",BU979&amp;"",BH979&amp;""))</f>
        <v/>
      </c>
      <c r="AG979" s="0" t="str">
        <f aca="false">IF($A979="","",IF(AT979="Y",BV979&amp;"",BI979&amp;""))</f>
        <v/>
      </c>
      <c r="AO979" s="5"/>
      <c r="AR979" s="0" t="str">
        <f aca="false">IF($A979="","",IF(AND(CK979="pass",AO979&lt;&gt;"Y",C979&lt;&gt;"",OR(AU979&lt;&gt;"Y",AV979="Y")),"Y","N"))</f>
        <v/>
      </c>
      <c r="AS979" s="0" t="str">
        <f aca="false">IF($A979="","",_xlfn.TEXTJOIN("; ",TRUE(),IF(CK979&lt;&gt;"pass","gated out",""),IF(AO979="Y","on hold: "&amp;AP979,""),IF(C979="","no contact named on an opened page",""),IF(AND(AU979="Y",AV979&lt;&gt;"Y"),"founder review pending (Founder review tab)","")))</f>
        <v/>
      </c>
      <c r="BC979" s="0" t="str">
        <f aca="false">IF($A979="","",IFERROR(INDEX(Enrichment!$A$2:$GZ$2000,MATCH($A979,INDEX(Enrichment!$A$2:$GZ$2000,0,MATCH("row_id",Enrichment!$A$1:$GZ$1,0)),0),MATCH("work_email",Enrichment!$A$1:$GZ$1,0))&amp;"",""))</f>
        <v/>
      </c>
      <c r="BD979" s="0" t="str">
        <f aca="false">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P979" s="0" t="str">
        <f aca="false">IF($A979="","",IFERROR(INDEX(Enrichment!$A$2:$GZ$2000,MATCH($A979,INDEX(Enrichment!$A$2:$GZ$2000,0,MATCH("row_id",Enrichment!$A$1:$GZ$1,0)),0),MATCH("backup_work_email",Enrichment!$A$1:$GZ$1,0))&amp;"",""))</f>
        <v/>
      </c>
      <c r="BQ979" s="0" t="str">
        <f aca="false">IF($A979="","",IF(BP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DU979" s="0" t="str">
        <f aca="false">IF($A979="","",IF(R979="Y",10,0))</f>
        <v/>
      </c>
      <c r="EV979" s="0" t="str">
        <f aca="false">IF($A979="","",IF(ISNUMBER(MATCH(U979,{"queued","contacted","replied","call_booked","call_done","yes_in_principle","materials_sent"},0)),"Y","N"))</f>
        <v/>
      </c>
      <c r="EW979" s="0" t="str">
        <f aca="false">IF($A979="","",IF(OR(T979="Y",U979="do_not_contact",AQ979&amp;""&lt;&gt;""),"Y","N"))</f>
        <v/>
      </c>
      <c r="EX979" s="0" t="str">
        <f aca="false">IF($A979="","",IF(AN979&amp;""&lt;&gt;"",AN979&amp;"",$A979))</f>
        <v/>
      </c>
      <c r="EY979" s="0" t="str">
        <f aca="false">IF($A979="","",IF(COUNTIFS($EX$2:$EX$1000,EX979,$EV$2:$EV$1000,"Y")+COUNTIFS($EX$2:$EX$1000,EX979,$EW$2:$EW$1000,"Y")&gt;0,"Y","N"))</f>
        <v/>
      </c>
      <c r="EZ979" s="0" t="str">
        <f aca="false">IF($A979="","",IF(AND(U979="new",T979="N",EW979="N",AR979="Y",EY979="N"),"Y","N"))</f>
        <v/>
      </c>
      <c r="FA979" s="0" t="str">
        <f aca="false">IF($A979="","",IF(EZ979&lt;&gt;"Y","N",IF(COUNTIFS($EX$2:$EX$1000,EX979,$EZ$2:$EZ$1000,"Y",$J$2:$J$1000,"&gt;"&amp;J979)+COUNTIFS($EX$2:$EX$1000,EX979,$EZ$2:$EZ$1000,"Y",$J$2:$J$1000,J979,$FG$2:$FG$1000,"&lt;"&amp;FG979)=0,"Y","N")))</f>
        <v/>
      </c>
      <c r="FB979" s="0" t="str">
        <f aca="false">IF($A979="","",IF(AND(EZ979="Y",FA979="Y",Y979&amp;""&lt;&gt;""),IF(Y979&lt;=10,"Y","N"),"N"))</f>
        <v/>
      </c>
      <c r="FC979" s="0" t="str">
        <f aca="false">IF(FB979="Y",Y979,"")</f>
        <v/>
      </c>
      <c r="FD979" s="0" t="str">
        <f aca="false">IF($A979="","",IF(AND(CK979="pass",AU979="Y",AV979&lt;&gt;"Y",U979="new",EW979="N"),"Y","N"))</f>
        <v/>
      </c>
      <c r="FE979" s="0" t="str">
        <f aca="false">IF(FD979&lt;&gt;"Y","",IF(COUNTIFS($FD$2:$FD$1000,"Y",$J$2:$J$1000,"&gt;"&amp;J979)+COUNTIFS($FD$2:$FD$1000,"Y",$J$2:$J$1000,J979,$FG$2:$FG$1000,"&lt;"&amp;FG979)+1&lt;=30,COUNTIFS($FD$2:$FD$1000,"Y",$J$2:$J$1000,"&gt;"&amp;J979)+COUNTIFS($FD$2:$FD$1000,"Y",$J$2:$J$1000,J979,$FG$2:$FG$1000,"&lt;"&amp;FG979)+1,""))</f>
        <v/>
      </c>
      <c r="FF979" s="0" t="str">
        <f aca="false">IF(AND(_xlfn.ISFORMULA(C979),_xlfn.ISFORMULA(J979)),"Y","N")</f>
        <v>Y</v>
      </c>
      <c r="FG979" s="0" t="n">
        <f aca="false">ROW()-1</f>
        <v>978</v>
      </c>
    </row>
    <row r="980" customFormat="false" ht="15" hidden="false" customHeight="false" outlineLevel="0" collapsed="false">
      <c r="C980" s="0" t="str">
        <f aca="false">IF($A980="","",IF(AT980="Y",BL980&amp;"",AY980&amp;""))</f>
        <v/>
      </c>
      <c r="D980" s="0" t="str">
        <f aca="false">IF($A980="","",IF(AT980="Y",BM980&amp;"",AZ980&amp;""))</f>
        <v/>
      </c>
      <c r="E980" s="0" t="str">
        <f aca="false">IF($A980="","",IF(AT980="Y",BN980&amp;"",BA980&amp;""))</f>
        <v/>
      </c>
      <c r="F980" s="0" t="str">
        <f aca="false">IF($A980="","",IF(AT980="Y",BO980&amp;"",BB980&amp;""))</f>
        <v/>
      </c>
      <c r="G980" s="0" t="str">
        <f aca="false">IF($A980="","",IF(AT980="Y",BP980&amp;"",BC980&amp;""))</f>
        <v/>
      </c>
      <c r="H980" s="0" t="str">
        <f aca="false">IF($A980="","",IF(AT980="Y",BQ980&amp;"",BD980&amp;""))</f>
        <v/>
      </c>
      <c r="I980" s="0" t="str">
        <f aca="false">IF($A980="","",IF(R980="Y","warm-intro",IF(H980="verified","email",IF(C980&lt;&gt;"","linkedin",CA980&amp;""))))</f>
        <v/>
      </c>
      <c r="J980" s="0" t="str">
        <f aca="false">IF($A980="","",IF(CK980="pass",ROUND(N(DO980)+N(DP980)+N(DQ980)+N(DR980)+N(DS980)+N(DT980)+N(DU980)+N(DV980),0),0))</f>
        <v/>
      </c>
      <c r="K980" s="0" t="str">
        <f aca="false">IF($A980="","",IF(CK980&lt;&gt;"pass",BY980&amp;"",BY980&amp;", "&amp;IF(AT980="Y",BX980&amp;"",BK980&amp;"")&amp;BZ980&amp;IF(R980="Y","; known to the founder (+10)","")&amp;"."))</f>
        <v/>
      </c>
      <c r="R980" s="5"/>
      <c r="T980" s="5"/>
      <c r="U980" s="5"/>
      <c r="Y980" s="0" t="str">
        <f aca="false">IF(FA980&lt;&gt;"Y","",COUNTIFS($FA$2:$FA$1000,"Y",$J$2:$J$1000,"&gt;"&amp;J980)+COUNTIFS($FA$2:$FA$1000,"Y",$J$2:$J$1000,J980,$FG$2:$FG$1000,"&lt;"&amp;FG980)+1)</f>
        <v/>
      </c>
      <c r="AB980" s="0" t="str">
        <f aca="false">IF($A980="","",IF(AT980="Y",BW980&amp;"",BJ980&amp;""))</f>
        <v/>
      </c>
      <c r="AC980" s="0" t="str">
        <f aca="false">IF($A980="","",IF(AT980="Y",BR980&amp;"",BE980&amp;""))</f>
        <v/>
      </c>
      <c r="AD980" s="0" t="str">
        <f aca="false">IF($A980="","",IF(AT980="Y",BS980&amp;"",BF980&amp;""))</f>
        <v/>
      </c>
      <c r="AE980" s="0" t="str">
        <f aca="false">IF($A980="","",IF(AT980="Y",BT980&amp;"",BG980&amp;""))</f>
        <v/>
      </c>
      <c r="AF980" s="0" t="str">
        <f aca="false">IF($A980="","",IF(AT980="Y",BU980&amp;"",BH980&amp;""))</f>
        <v/>
      </c>
      <c r="AG980" s="0" t="str">
        <f aca="false">IF($A980="","",IF(AT980="Y",BV980&amp;"",BI980&amp;""))</f>
        <v/>
      </c>
      <c r="AO980" s="5"/>
      <c r="AR980" s="0" t="str">
        <f aca="false">IF($A980="","",IF(AND(CK980="pass",AO980&lt;&gt;"Y",C980&lt;&gt;"",OR(AU980&lt;&gt;"Y",AV980="Y")),"Y","N"))</f>
        <v/>
      </c>
      <c r="AS980" s="0" t="str">
        <f aca="false">IF($A980="","",_xlfn.TEXTJOIN("; ",TRUE(),IF(CK980&lt;&gt;"pass","gated out",""),IF(AO980="Y","on hold: "&amp;AP980,""),IF(C980="","no contact named on an opened page",""),IF(AND(AU980="Y",AV980&lt;&gt;"Y"),"founder review pending (Founder review tab)","")))</f>
        <v/>
      </c>
      <c r="BC980" s="0" t="str">
        <f aca="false">IF($A980="","",IFERROR(INDEX(Enrichment!$A$2:$GZ$2000,MATCH($A980,INDEX(Enrichment!$A$2:$GZ$2000,0,MATCH("row_id",Enrichment!$A$1:$GZ$1,0)),0),MATCH("work_email",Enrichment!$A$1:$GZ$1,0))&amp;"",""))</f>
        <v/>
      </c>
      <c r="BD980" s="0" t="str">
        <f aca="false">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P980" s="0" t="str">
        <f aca="false">IF($A980="","",IFERROR(INDEX(Enrichment!$A$2:$GZ$2000,MATCH($A980,INDEX(Enrichment!$A$2:$GZ$2000,0,MATCH("row_id",Enrichment!$A$1:$GZ$1,0)),0),MATCH("backup_work_email",Enrichment!$A$1:$GZ$1,0))&amp;"",""))</f>
        <v/>
      </c>
      <c r="BQ980" s="0" t="str">
        <f aca="false">IF($A980="","",IF(BP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DU980" s="0" t="str">
        <f aca="false">IF($A980="","",IF(R980="Y",10,0))</f>
        <v/>
      </c>
      <c r="EV980" s="0" t="str">
        <f aca="false">IF($A980="","",IF(ISNUMBER(MATCH(U980,{"queued","contacted","replied","call_booked","call_done","yes_in_principle","materials_sent"},0)),"Y","N"))</f>
        <v/>
      </c>
      <c r="EW980" s="0" t="str">
        <f aca="false">IF($A980="","",IF(OR(T980="Y",U980="do_not_contact",AQ980&amp;""&lt;&gt;""),"Y","N"))</f>
        <v/>
      </c>
      <c r="EX980" s="0" t="str">
        <f aca="false">IF($A980="","",IF(AN980&amp;""&lt;&gt;"",AN980&amp;"",$A980))</f>
        <v/>
      </c>
      <c r="EY980" s="0" t="str">
        <f aca="false">IF($A980="","",IF(COUNTIFS($EX$2:$EX$1000,EX980,$EV$2:$EV$1000,"Y")+COUNTIFS($EX$2:$EX$1000,EX980,$EW$2:$EW$1000,"Y")&gt;0,"Y","N"))</f>
        <v/>
      </c>
      <c r="EZ980" s="0" t="str">
        <f aca="false">IF($A980="","",IF(AND(U980="new",T980="N",EW980="N",AR980="Y",EY980="N"),"Y","N"))</f>
        <v/>
      </c>
      <c r="FA980" s="0" t="str">
        <f aca="false">IF($A980="","",IF(EZ980&lt;&gt;"Y","N",IF(COUNTIFS($EX$2:$EX$1000,EX980,$EZ$2:$EZ$1000,"Y",$J$2:$J$1000,"&gt;"&amp;J980)+COUNTIFS($EX$2:$EX$1000,EX980,$EZ$2:$EZ$1000,"Y",$J$2:$J$1000,J980,$FG$2:$FG$1000,"&lt;"&amp;FG980)=0,"Y","N")))</f>
        <v/>
      </c>
      <c r="FB980" s="0" t="str">
        <f aca="false">IF($A980="","",IF(AND(EZ980="Y",FA980="Y",Y980&amp;""&lt;&gt;""),IF(Y980&lt;=10,"Y","N"),"N"))</f>
        <v/>
      </c>
      <c r="FC980" s="0" t="str">
        <f aca="false">IF(FB980="Y",Y980,"")</f>
        <v/>
      </c>
      <c r="FD980" s="0" t="str">
        <f aca="false">IF($A980="","",IF(AND(CK980="pass",AU980="Y",AV980&lt;&gt;"Y",U980="new",EW980="N"),"Y","N"))</f>
        <v/>
      </c>
      <c r="FE980" s="0" t="str">
        <f aca="false">IF(FD980&lt;&gt;"Y","",IF(COUNTIFS($FD$2:$FD$1000,"Y",$J$2:$J$1000,"&gt;"&amp;J980)+COUNTIFS($FD$2:$FD$1000,"Y",$J$2:$J$1000,J980,$FG$2:$FG$1000,"&lt;"&amp;FG980)+1&lt;=30,COUNTIFS($FD$2:$FD$1000,"Y",$J$2:$J$1000,"&gt;"&amp;J980)+COUNTIFS($FD$2:$FD$1000,"Y",$J$2:$J$1000,J980,$FG$2:$FG$1000,"&lt;"&amp;FG980)+1,""))</f>
        <v/>
      </c>
      <c r="FF980" s="0" t="str">
        <f aca="false">IF(AND(_xlfn.ISFORMULA(C980),_xlfn.ISFORMULA(J980)),"Y","N")</f>
        <v>Y</v>
      </c>
      <c r="FG980" s="0" t="n">
        <f aca="false">ROW()-1</f>
        <v>979</v>
      </c>
    </row>
    <row r="981" customFormat="false" ht="15" hidden="false" customHeight="false" outlineLevel="0" collapsed="false">
      <c r="C981" s="0" t="str">
        <f aca="false">IF($A981="","",IF(AT981="Y",BL981&amp;"",AY981&amp;""))</f>
        <v/>
      </c>
      <c r="D981" s="0" t="str">
        <f aca="false">IF($A981="","",IF(AT981="Y",BM981&amp;"",AZ981&amp;""))</f>
        <v/>
      </c>
      <c r="E981" s="0" t="str">
        <f aca="false">IF($A981="","",IF(AT981="Y",BN981&amp;"",BA981&amp;""))</f>
        <v/>
      </c>
      <c r="F981" s="0" t="str">
        <f aca="false">IF($A981="","",IF(AT981="Y",BO981&amp;"",BB981&amp;""))</f>
        <v/>
      </c>
      <c r="G981" s="0" t="str">
        <f aca="false">IF($A981="","",IF(AT981="Y",BP981&amp;"",BC981&amp;""))</f>
        <v/>
      </c>
      <c r="H981" s="0" t="str">
        <f aca="false">IF($A981="","",IF(AT981="Y",BQ981&amp;"",BD981&amp;""))</f>
        <v/>
      </c>
      <c r="I981" s="0" t="str">
        <f aca="false">IF($A981="","",IF(R981="Y","warm-intro",IF(H981="verified","email",IF(C981&lt;&gt;"","linkedin",CA981&amp;""))))</f>
        <v/>
      </c>
      <c r="J981" s="0" t="str">
        <f aca="false">IF($A981="","",IF(CK981="pass",ROUND(N(DO981)+N(DP981)+N(DQ981)+N(DR981)+N(DS981)+N(DT981)+N(DU981)+N(DV981),0),0))</f>
        <v/>
      </c>
      <c r="K981" s="0" t="str">
        <f aca="false">IF($A981="","",IF(CK981&lt;&gt;"pass",BY981&amp;"",BY981&amp;", "&amp;IF(AT981="Y",BX981&amp;"",BK981&amp;"")&amp;BZ981&amp;IF(R981="Y","; known to the founder (+10)","")&amp;"."))</f>
        <v/>
      </c>
      <c r="R981" s="5"/>
      <c r="T981" s="5"/>
      <c r="U981" s="5"/>
      <c r="Y981" s="0" t="str">
        <f aca="false">IF(FA981&lt;&gt;"Y","",COUNTIFS($FA$2:$FA$1000,"Y",$J$2:$J$1000,"&gt;"&amp;J981)+COUNTIFS($FA$2:$FA$1000,"Y",$J$2:$J$1000,J981,$FG$2:$FG$1000,"&lt;"&amp;FG981)+1)</f>
        <v/>
      </c>
      <c r="AB981" s="0" t="str">
        <f aca="false">IF($A981="","",IF(AT981="Y",BW981&amp;"",BJ981&amp;""))</f>
        <v/>
      </c>
      <c r="AC981" s="0" t="str">
        <f aca="false">IF($A981="","",IF(AT981="Y",BR981&amp;"",BE981&amp;""))</f>
        <v/>
      </c>
      <c r="AD981" s="0" t="str">
        <f aca="false">IF($A981="","",IF(AT981="Y",BS981&amp;"",BF981&amp;""))</f>
        <v/>
      </c>
      <c r="AE981" s="0" t="str">
        <f aca="false">IF($A981="","",IF(AT981="Y",BT981&amp;"",BG981&amp;""))</f>
        <v/>
      </c>
      <c r="AF981" s="0" t="str">
        <f aca="false">IF($A981="","",IF(AT981="Y",BU981&amp;"",BH981&amp;""))</f>
        <v/>
      </c>
      <c r="AG981" s="0" t="str">
        <f aca="false">IF($A981="","",IF(AT981="Y",BV981&amp;"",BI981&amp;""))</f>
        <v/>
      </c>
      <c r="AO981" s="5"/>
      <c r="AR981" s="0" t="str">
        <f aca="false">IF($A981="","",IF(AND(CK981="pass",AO981&lt;&gt;"Y",C981&lt;&gt;"",OR(AU981&lt;&gt;"Y",AV981="Y")),"Y","N"))</f>
        <v/>
      </c>
      <c r="AS981" s="0" t="str">
        <f aca="false">IF($A981="","",_xlfn.TEXTJOIN("; ",TRUE(),IF(CK981&lt;&gt;"pass","gated out",""),IF(AO981="Y","on hold: "&amp;AP981,""),IF(C981="","no contact named on an opened page",""),IF(AND(AU981="Y",AV981&lt;&gt;"Y"),"founder review pending (Founder review tab)","")))</f>
        <v/>
      </c>
      <c r="BC981" s="0" t="str">
        <f aca="false">IF($A981="","",IFERROR(INDEX(Enrichment!$A$2:$GZ$2000,MATCH($A981,INDEX(Enrichment!$A$2:$GZ$2000,0,MATCH("row_id",Enrichment!$A$1:$GZ$1,0)),0),MATCH("work_email",Enrichment!$A$1:$GZ$1,0))&amp;"",""))</f>
        <v/>
      </c>
      <c r="BD981" s="0" t="str">
        <f aca="false">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P981" s="0" t="str">
        <f aca="false">IF($A981="","",IFERROR(INDEX(Enrichment!$A$2:$GZ$2000,MATCH($A981,INDEX(Enrichment!$A$2:$GZ$2000,0,MATCH("row_id",Enrichment!$A$1:$GZ$1,0)),0),MATCH("backup_work_email",Enrichment!$A$1:$GZ$1,0))&amp;"",""))</f>
        <v/>
      </c>
      <c r="BQ981" s="0" t="str">
        <f aca="false">IF($A981="","",IF(BP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DU981" s="0" t="str">
        <f aca="false">IF($A981="","",IF(R981="Y",10,0))</f>
        <v/>
      </c>
      <c r="EV981" s="0" t="str">
        <f aca="false">IF($A981="","",IF(ISNUMBER(MATCH(U981,{"queued","contacted","replied","call_booked","call_done","yes_in_principle","materials_sent"},0)),"Y","N"))</f>
        <v/>
      </c>
      <c r="EW981" s="0" t="str">
        <f aca="false">IF($A981="","",IF(OR(T981="Y",U981="do_not_contact",AQ981&amp;""&lt;&gt;""),"Y","N"))</f>
        <v/>
      </c>
      <c r="EX981" s="0" t="str">
        <f aca="false">IF($A981="","",IF(AN981&amp;""&lt;&gt;"",AN981&amp;"",$A981))</f>
        <v/>
      </c>
      <c r="EY981" s="0" t="str">
        <f aca="false">IF($A981="","",IF(COUNTIFS($EX$2:$EX$1000,EX981,$EV$2:$EV$1000,"Y")+COUNTIFS($EX$2:$EX$1000,EX981,$EW$2:$EW$1000,"Y")&gt;0,"Y","N"))</f>
        <v/>
      </c>
      <c r="EZ981" s="0" t="str">
        <f aca="false">IF($A981="","",IF(AND(U981="new",T981="N",EW981="N",AR981="Y",EY981="N"),"Y","N"))</f>
        <v/>
      </c>
      <c r="FA981" s="0" t="str">
        <f aca="false">IF($A981="","",IF(EZ981&lt;&gt;"Y","N",IF(COUNTIFS($EX$2:$EX$1000,EX981,$EZ$2:$EZ$1000,"Y",$J$2:$J$1000,"&gt;"&amp;J981)+COUNTIFS($EX$2:$EX$1000,EX981,$EZ$2:$EZ$1000,"Y",$J$2:$J$1000,J981,$FG$2:$FG$1000,"&lt;"&amp;FG981)=0,"Y","N")))</f>
        <v/>
      </c>
      <c r="FB981" s="0" t="str">
        <f aca="false">IF($A981="","",IF(AND(EZ981="Y",FA981="Y",Y981&amp;""&lt;&gt;""),IF(Y981&lt;=10,"Y","N"),"N"))</f>
        <v/>
      </c>
      <c r="FC981" s="0" t="str">
        <f aca="false">IF(FB981="Y",Y981,"")</f>
        <v/>
      </c>
      <c r="FD981" s="0" t="str">
        <f aca="false">IF($A981="","",IF(AND(CK981="pass",AU981="Y",AV981&lt;&gt;"Y",U981="new",EW981="N"),"Y","N"))</f>
        <v/>
      </c>
      <c r="FE981" s="0" t="str">
        <f aca="false">IF(FD981&lt;&gt;"Y","",IF(COUNTIFS($FD$2:$FD$1000,"Y",$J$2:$J$1000,"&gt;"&amp;J981)+COUNTIFS($FD$2:$FD$1000,"Y",$J$2:$J$1000,J981,$FG$2:$FG$1000,"&lt;"&amp;FG981)+1&lt;=30,COUNTIFS($FD$2:$FD$1000,"Y",$J$2:$J$1000,"&gt;"&amp;J981)+COUNTIFS($FD$2:$FD$1000,"Y",$J$2:$J$1000,J981,$FG$2:$FG$1000,"&lt;"&amp;FG981)+1,""))</f>
        <v/>
      </c>
      <c r="FF981" s="0" t="str">
        <f aca="false">IF(AND(_xlfn.ISFORMULA(C981),_xlfn.ISFORMULA(J981)),"Y","N")</f>
        <v>Y</v>
      </c>
      <c r="FG981" s="0" t="n">
        <f aca="false">ROW()-1</f>
        <v>980</v>
      </c>
    </row>
    <row r="982" customFormat="false" ht="15" hidden="false" customHeight="false" outlineLevel="0" collapsed="false">
      <c r="C982" s="0" t="str">
        <f aca="false">IF($A982="","",IF(AT982="Y",BL982&amp;"",AY982&amp;""))</f>
        <v/>
      </c>
      <c r="D982" s="0" t="str">
        <f aca="false">IF($A982="","",IF(AT982="Y",BM982&amp;"",AZ982&amp;""))</f>
        <v/>
      </c>
      <c r="E982" s="0" t="str">
        <f aca="false">IF($A982="","",IF(AT982="Y",BN982&amp;"",BA982&amp;""))</f>
        <v/>
      </c>
      <c r="F982" s="0" t="str">
        <f aca="false">IF($A982="","",IF(AT982="Y",BO982&amp;"",BB982&amp;""))</f>
        <v/>
      </c>
      <c r="G982" s="0" t="str">
        <f aca="false">IF($A982="","",IF(AT982="Y",BP982&amp;"",BC982&amp;""))</f>
        <v/>
      </c>
      <c r="H982" s="0" t="str">
        <f aca="false">IF($A982="","",IF(AT982="Y",BQ982&amp;"",BD982&amp;""))</f>
        <v/>
      </c>
      <c r="I982" s="0" t="str">
        <f aca="false">IF($A982="","",IF(R982="Y","warm-intro",IF(H982="verified","email",IF(C982&lt;&gt;"","linkedin",CA982&amp;""))))</f>
        <v/>
      </c>
      <c r="J982" s="0" t="str">
        <f aca="false">IF($A982="","",IF(CK982="pass",ROUND(N(DO982)+N(DP982)+N(DQ982)+N(DR982)+N(DS982)+N(DT982)+N(DU982)+N(DV982),0),0))</f>
        <v/>
      </c>
      <c r="K982" s="0" t="str">
        <f aca="false">IF($A982="","",IF(CK982&lt;&gt;"pass",BY982&amp;"",BY982&amp;", "&amp;IF(AT982="Y",BX982&amp;"",BK982&amp;"")&amp;BZ982&amp;IF(R982="Y","; known to the founder (+10)","")&amp;"."))</f>
        <v/>
      </c>
      <c r="R982" s="5"/>
      <c r="T982" s="5"/>
      <c r="U982" s="5"/>
      <c r="Y982" s="0" t="str">
        <f aca="false">IF(FA982&lt;&gt;"Y","",COUNTIFS($FA$2:$FA$1000,"Y",$J$2:$J$1000,"&gt;"&amp;J982)+COUNTIFS($FA$2:$FA$1000,"Y",$J$2:$J$1000,J982,$FG$2:$FG$1000,"&lt;"&amp;FG982)+1)</f>
        <v/>
      </c>
      <c r="AB982" s="0" t="str">
        <f aca="false">IF($A982="","",IF(AT982="Y",BW982&amp;"",BJ982&amp;""))</f>
        <v/>
      </c>
      <c r="AC982" s="0" t="str">
        <f aca="false">IF($A982="","",IF(AT982="Y",BR982&amp;"",BE982&amp;""))</f>
        <v/>
      </c>
      <c r="AD982" s="0" t="str">
        <f aca="false">IF($A982="","",IF(AT982="Y",BS982&amp;"",BF982&amp;""))</f>
        <v/>
      </c>
      <c r="AE982" s="0" t="str">
        <f aca="false">IF($A982="","",IF(AT982="Y",BT982&amp;"",BG982&amp;""))</f>
        <v/>
      </c>
      <c r="AF982" s="0" t="str">
        <f aca="false">IF($A982="","",IF(AT982="Y",BU982&amp;"",BH982&amp;""))</f>
        <v/>
      </c>
      <c r="AG982" s="0" t="str">
        <f aca="false">IF($A982="","",IF(AT982="Y",BV982&amp;"",BI982&amp;""))</f>
        <v/>
      </c>
      <c r="AO982" s="5"/>
      <c r="AR982" s="0" t="str">
        <f aca="false">IF($A982="","",IF(AND(CK982="pass",AO982&lt;&gt;"Y",C982&lt;&gt;"",OR(AU982&lt;&gt;"Y",AV982="Y")),"Y","N"))</f>
        <v/>
      </c>
      <c r="AS982" s="0" t="str">
        <f aca="false">IF($A982="","",_xlfn.TEXTJOIN("; ",TRUE(),IF(CK982&lt;&gt;"pass","gated out",""),IF(AO982="Y","on hold: "&amp;AP982,""),IF(C982="","no contact named on an opened page",""),IF(AND(AU982="Y",AV982&lt;&gt;"Y"),"founder review pending (Founder review tab)","")))</f>
        <v/>
      </c>
      <c r="BC982" s="0" t="str">
        <f aca="false">IF($A982="","",IFERROR(INDEX(Enrichment!$A$2:$GZ$2000,MATCH($A982,INDEX(Enrichment!$A$2:$GZ$2000,0,MATCH("row_id",Enrichment!$A$1:$GZ$1,0)),0),MATCH("work_email",Enrichment!$A$1:$GZ$1,0))&amp;"",""))</f>
        <v/>
      </c>
      <c r="BD982" s="0" t="str">
        <f aca="false">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P982" s="0" t="str">
        <f aca="false">IF($A982="","",IFERROR(INDEX(Enrichment!$A$2:$GZ$2000,MATCH($A982,INDEX(Enrichment!$A$2:$GZ$2000,0,MATCH("row_id",Enrichment!$A$1:$GZ$1,0)),0),MATCH("backup_work_email",Enrichment!$A$1:$GZ$1,0))&amp;"",""))</f>
        <v/>
      </c>
      <c r="BQ982" s="0" t="str">
        <f aca="false">IF($A982="","",IF(BP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DU982" s="0" t="str">
        <f aca="false">IF($A982="","",IF(R982="Y",10,0))</f>
        <v/>
      </c>
      <c r="EV982" s="0" t="str">
        <f aca="false">IF($A982="","",IF(ISNUMBER(MATCH(U982,{"queued","contacted","replied","call_booked","call_done","yes_in_principle","materials_sent"},0)),"Y","N"))</f>
        <v/>
      </c>
      <c r="EW982" s="0" t="str">
        <f aca="false">IF($A982="","",IF(OR(T982="Y",U982="do_not_contact",AQ982&amp;""&lt;&gt;""),"Y","N"))</f>
        <v/>
      </c>
      <c r="EX982" s="0" t="str">
        <f aca="false">IF($A982="","",IF(AN982&amp;""&lt;&gt;"",AN982&amp;"",$A982))</f>
        <v/>
      </c>
      <c r="EY982" s="0" t="str">
        <f aca="false">IF($A982="","",IF(COUNTIFS($EX$2:$EX$1000,EX982,$EV$2:$EV$1000,"Y")+COUNTIFS($EX$2:$EX$1000,EX982,$EW$2:$EW$1000,"Y")&gt;0,"Y","N"))</f>
        <v/>
      </c>
      <c r="EZ982" s="0" t="str">
        <f aca="false">IF($A982="","",IF(AND(U982="new",T982="N",EW982="N",AR982="Y",EY982="N"),"Y","N"))</f>
        <v/>
      </c>
      <c r="FA982" s="0" t="str">
        <f aca="false">IF($A982="","",IF(EZ982&lt;&gt;"Y","N",IF(COUNTIFS($EX$2:$EX$1000,EX982,$EZ$2:$EZ$1000,"Y",$J$2:$J$1000,"&gt;"&amp;J982)+COUNTIFS($EX$2:$EX$1000,EX982,$EZ$2:$EZ$1000,"Y",$J$2:$J$1000,J982,$FG$2:$FG$1000,"&lt;"&amp;FG982)=0,"Y","N")))</f>
        <v/>
      </c>
      <c r="FB982" s="0" t="str">
        <f aca="false">IF($A982="","",IF(AND(EZ982="Y",FA982="Y",Y982&amp;""&lt;&gt;""),IF(Y982&lt;=10,"Y","N"),"N"))</f>
        <v/>
      </c>
      <c r="FC982" s="0" t="str">
        <f aca="false">IF(FB982="Y",Y982,"")</f>
        <v/>
      </c>
      <c r="FD982" s="0" t="str">
        <f aca="false">IF($A982="","",IF(AND(CK982="pass",AU982="Y",AV982&lt;&gt;"Y",U982="new",EW982="N"),"Y","N"))</f>
        <v/>
      </c>
      <c r="FE982" s="0" t="str">
        <f aca="false">IF(FD982&lt;&gt;"Y","",IF(COUNTIFS($FD$2:$FD$1000,"Y",$J$2:$J$1000,"&gt;"&amp;J982)+COUNTIFS($FD$2:$FD$1000,"Y",$J$2:$J$1000,J982,$FG$2:$FG$1000,"&lt;"&amp;FG982)+1&lt;=30,COUNTIFS($FD$2:$FD$1000,"Y",$J$2:$J$1000,"&gt;"&amp;J982)+COUNTIFS($FD$2:$FD$1000,"Y",$J$2:$J$1000,J982,$FG$2:$FG$1000,"&lt;"&amp;FG982)+1,""))</f>
        <v/>
      </c>
      <c r="FF982" s="0" t="str">
        <f aca="false">IF(AND(_xlfn.ISFORMULA(C982),_xlfn.ISFORMULA(J982)),"Y","N")</f>
        <v>Y</v>
      </c>
      <c r="FG982" s="0" t="n">
        <f aca="false">ROW()-1</f>
        <v>981</v>
      </c>
    </row>
    <row r="983" customFormat="false" ht="15" hidden="false" customHeight="false" outlineLevel="0" collapsed="false">
      <c r="C983" s="0" t="str">
        <f aca="false">IF($A983="","",IF(AT983="Y",BL983&amp;"",AY983&amp;""))</f>
        <v/>
      </c>
      <c r="D983" s="0" t="str">
        <f aca="false">IF($A983="","",IF(AT983="Y",BM983&amp;"",AZ983&amp;""))</f>
        <v/>
      </c>
      <c r="E983" s="0" t="str">
        <f aca="false">IF($A983="","",IF(AT983="Y",BN983&amp;"",BA983&amp;""))</f>
        <v/>
      </c>
      <c r="F983" s="0" t="str">
        <f aca="false">IF($A983="","",IF(AT983="Y",BO983&amp;"",BB983&amp;""))</f>
        <v/>
      </c>
      <c r="G983" s="0" t="str">
        <f aca="false">IF($A983="","",IF(AT983="Y",BP983&amp;"",BC983&amp;""))</f>
        <v/>
      </c>
      <c r="H983" s="0" t="str">
        <f aca="false">IF($A983="","",IF(AT983="Y",BQ983&amp;"",BD983&amp;""))</f>
        <v/>
      </c>
      <c r="I983" s="0" t="str">
        <f aca="false">IF($A983="","",IF(R983="Y","warm-intro",IF(H983="verified","email",IF(C983&lt;&gt;"","linkedin",CA983&amp;""))))</f>
        <v/>
      </c>
      <c r="J983" s="0" t="str">
        <f aca="false">IF($A983="","",IF(CK983="pass",ROUND(N(DO983)+N(DP983)+N(DQ983)+N(DR983)+N(DS983)+N(DT983)+N(DU983)+N(DV983),0),0))</f>
        <v/>
      </c>
      <c r="K983" s="0" t="str">
        <f aca="false">IF($A983="","",IF(CK983&lt;&gt;"pass",BY983&amp;"",BY983&amp;", "&amp;IF(AT983="Y",BX983&amp;"",BK983&amp;"")&amp;BZ983&amp;IF(R983="Y","; known to the founder (+10)","")&amp;"."))</f>
        <v/>
      </c>
      <c r="R983" s="5"/>
      <c r="T983" s="5"/>
      <c r="U983" s="5"/>
      <c r="Y983" s="0" t="str">
        <f aca="false">IF(FA983&lt;&gt;"Y","",COUNTIFS($FA$2:$FA$1000,"Y",$J$2:$J$1000,"&gt;"&amp;J983)+COUNTIFS($FA$2:$FA$1000,"Y",$J$2:$J$1000,J983,$FG$2:$FG$1000,"&lt;"&amp;FG983)+1)</f>
        <v/>
      </c>
      <c r="AB983" s="0" t="str">
        <f aca="false">IF($A983="","",IF(AT983="Y",BW983&amp;"",BJ983&amp;""))</f>
        <v/>
      </c>
      <c r="AC983" s="0" t="str">
        <f aca="false">IF($A983="","",IF(AT983="Y",BR983&amp;"",BE983&amp;""))</f>
        <v/>
      </c>
      <c r="AD983" s="0" t="str">
        <f aca="false">IF($A983="","",IF(AT983="Y",BS983&amp;"",BF983&amp;""))</f>
        <v/>
      </c>
      <c r="AE983" s="0" t="str">
        <f aca="false">IF($A983="","",IF(AT983="Y",BT983&amp;"",BG983&amp;""))</f>
        <v/>
      </c>
      <c r="AF983" s="0" t="str">
        <f aca="false">IF($A983="","",IF(AT983="Y",BU983&amp;"",BH983&amp;""))</f>
        <v/>
      </c>
      <c r="AG983" s="0" t="str">
        <f aca="false">IF($A983="","",IF(AT983="Y",BV983&amp;"",BI983&amp;""))</f>
        <v/>
      </c>
      <c r="AO983" s="5"/>
      <c r="AR983" s="0" t="str">
        <f aca="false">IF($A983="","",IF(AND(CK983="pass",AO983&lt;&gt;"Y",C983&lt;&gt;"",OR(AU983&lt;&gt;"Y",AV983="Y")),"Y","N"))</f>
        <v/>
      </c>
      <c r="AS983" s="0" t="str">
        <f aca="false">IF($A983="","",_xlfn.TEXTJOIN("; ",TRUE(),IF(CK983&lt;&gt;"pass","gated out",""),IF(AO983="Y","on hold: "&amp;AP983,""),IF(C983="","no contact named on an opened page",""),IF(AND(AU983="Y",AV983&lt;&gt;"Y"),"founder review pending (Founder review tab)","")))</f>
        <v/>
      </c>
      <c r="BC983" s="0" t="str">
        <f aca="false">IF($A983="","",IFERROR(INDEX(Enrichment!$A$2:$GZ$2000,MATCH($A983,INDEX(Enrichment!$A$2:$GZ$2000,0,MATCH("row_id",Enrichment!$A$1:$GZ$1,0)),0),MATCH("work_email",Enrichment!$A$1:$GZ$1,0))&amp;"",""))</f>
        <v/>
      </c>
      <c r="BD983" s="0" t="str">
        <f aca="false">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P983" s="0" t="str">
        <f aca="false">IF($A983="","",IFERROR(INDEX(Enrichment!$A$2:$GZ$2000,MATCH($A983,INDEX(Enrichment!$A$2:$GZ$2000,0,MATCH("row_id",Enrichment!$A$1:$GZ$1,0)),0),MATCH("backup_work_email",Enrichment!$A$1:$GZ$1,0))&amp;"",""))</f>
        <v/>
      </c>
      <c r="BQ983" s="0" t="str">
        <f aca="false">IF($A983="","",IF(BP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DU983" s="0" t="str">
        <f aca="false">IF($A983="","",IF(R983="Y",10,0))</f>
        <v/>
      </c>
      <c r="EV983" s="0" t="str">
        <f aca="false">IF($A983="","",IF(ISNUMBER(MATCH(U983,{"queued","contacted","replied","call_booked","call_done","yes_in_principle","materials_sent"},0)),"Y","N"))</f>
        <v/>
      </c>
      <c r="EW983" s="0" t="str">
        <f aca="false">IF($A983="","",IF(OR(T983="Y",U983="do_not_contact",AQ983&amp;""&lt;&gt;""),"Y","N"))</f>
        <v/>
      </c>
      <c r="EX983" s="0" t="str">
        <f aca="false">IF($A983="","",IF(AN983&amp;""&lt;&gt;"",AN983&amp;"",$A983))</f>
        <v/>
      </c>
      <c r="EY983" s="0" t="str">
        <f aca="false">IF($A983="","",IF(COUNTIFS($EX$2:$EX$1000,EX983,$EV$2:$EV$1000,"Y")+COUNTIFS($EX$2:$EX$1000,EX983,$EW$2:$EW$1000,"Y")&gt;0,"Y","N"))</f>
        <v/>
      </c>
      <c r="EZ983" s="0" t="str">
        <f aca="false">IF($A983="","",IF(AND(U983="new",T983="N",EW983="N",AR983="Y",EY983="N"),"Y","N"))</f>
        <v/>
      </c>
      <c r="FA983" s="0" t="str">
        <f aca="false">IF($A983="","",IF(EZ983&lt;&gt;"Y","N",IF(COUNTIFS($EX$2:$EX$1000,EX983,$EZ$2:$EZ$1000,"Y",$J$2:$J$1000,"&gt;"&amp;J983)+COUNTIFS($EX$2:$EX$1000,EX983,$EZ$2:$EZ$1000,"Y",$J$2:$J$1000,J983,$FG$2:$FG$1000,"&lt;"&amp;FG983)=0,"Y","N")))</f>
        <v/>
      </c>
      <c r="FB983" s="0" t="str">
        <f aca="false">IF($A983="","",IF(AND(EZ983="Y",FA983="Y",Y983&amp;""&lt;&gt;""),IF(Y983&lt;=10,"Y","N"),"N"))</f>
        <v/>
      </c>
      <c r="FC983" s="0" t="str">
        <f aca="false">IF(FB983="Y",Y983,"")</f>
        <v/>
      </c>
      <c r="FD983" s="0" t="str">
        <f aca="false">IF($A983="","",IF(AND(CK983="pass",AU983="Y",AV983&lt;&gt;"Y",U983="new",EW983="N"),"Y","N"))</f>
        <v/>
      </c>
      <c r="FE983" s="0" t="str">
        <f aca="false">IF(FD983&lt;&gt;"Y","",IF(COUNTIFS($FD$2:$FD$1000,"Y",$J$2:$J$1000,"&gt;"&amp;J983)+COUNTIFS($FD$2:$FD$1000,"Y",$J$2:$J$1000,J983,$FG$2:$FG$1000,"&lt;"&amp;FG983)+1&lt;=30,COUNTIFS($FD$2:$FD$1000,"Y",$J$2:$J$1000,"&gt;"&amp;J983)+COUNTIFS($FD$2:$FD$1000,"Y",$J$2:$J$1000,J983,$FG$2:$FG$1000,"&lt;"&amp;FG983)+1,""))</f>
        <v/>
      </c>
      <c r="FF983" s="0" t="str">
        <f aca="false">IF(AND(_xlfn.ISFORMULA(C983),_xlfn.ISFORMULA(J983)),"Y","N")</f>
        <v>Y</v>
      </c>
      <c r="FG983" s="0" t="n">
        <f aca="false">ROW()-1</f>
        <v>982</v>
      </c>
    </row>
    <row r="984" customFormat="false" ht="15" hidden="false" customHeight="false" outlineLevel="0" collapsed="false">
      <c r="C984" s="0" t="str">
        <f aca="false">IF($A984="","",IF(AT984="Y",BL984&amp;"",AY984&amp;""))</f>
        <v/>
      </c>
      <c r="D984" s="0" t="str">
        <f aca="false">IF($A984="","",IF(AT984="Y",BM984&amp;"",AZ984&amp;""))</f>
        <v/>
      </c>
      <c r="E984" s="0" t="str">
        <f aca="false">IF($A984="","",IF(AT984="Y",BN984&amp;"",BA984&amp;""))</f>
        <v/>
      </c>
      <c r="F984" s="0" t="str">
        <f aca="false">IF($A984="","",IF(AT984="Y",BO984&amp;"",BB984&amp;""))</f>
        <v/>
      </c>
      <c r="G984" s="0" t="str">
        <f aca="false">IF($A984="","",IF(AT984="Y",BP984&amp;"",BC984&amp;""))</f>
        <v/>
      </c>
      <c r="H984" s="0" t="str">
        <f aca="false">IF($A984="","",IF(AT984="Y",BQ984&amp;"",BD984&amp;""))</f>
        <v/>
      </c>
      <c r="I984" s="0" t="str">
        <f aca="false">IF($A984="","",IF(R984="Y","warm-intro",IF(H984="verified","email",IF(C984&lt;&gt;"","linkedin",CA984&amp;""))))</f>
        <v/>
      </c>
      <c r="J984" s="0" t="str">
        <f aca="false">IF($A984="","",IF(CK984="pass",ROUND(N(DO984)+N(DP984)+N(DQ984)+N(DR984)+N(DS984)+N(DT984)+N(DU984)+N(DV984),0),0))</f>
        <v/>
      </c>
      <c r="K984" s="0" t="str">
        <f aca="false">IF($A984="","",IF(CK984&lt;&gt;"pass",BY984&amp;"",BY984&amp;", "&amp;IF(AT984="Y",BX984&amp;"",BK984&amp;"")&amp;BZ984&amp;IF(R984="Y","; known to the founder (+10)","")&amp;"."))</f>
        <v/>
      </c>
      <c r="R984" s="5"/>
      <c r="T984" s="5"/>
      <c r="U984" s="5"/>
      <c r="Y984" s="0" t="str">
        <f aca="false">IF(FA984&lt;&gt;"Y","",COUNTIFS($FA$2:$FA$1000,"Y",$J$2:$J$1000,"&gt;"&amp;J984)+COUNTIFS($FA$2:$FA$1000,"Y",$J$2:$J$1000,J984,$FG$2:$FG$1000,"&lt;"&amp;FG984)+1)</f>
        <v/>
      </c>
      <c r="AB984" s="0" t="str">
        <f aca="false">IF($A984="","",IF(AT984="Y",BW984&amp;"",BJ984&amp;""))</f>
        <v/>
      </c>
      <c r="AC984" s="0" t="str">
        <f aca="false">IF($A984="","",IF(AT984="Y",BR984&amp;"",BE984&amp;""))</f>
        <v/>
      </c>
      <c r="AD984" s="0" t="str">
        <f aca="false">IF($A984="","",IF(AT984="Y",BS984&amp;"",BF984&amp;""))</f>
        <v/>
      </c>
      <c r="AE984" s="0" t="str">
        <f aca="false">IF($A984="","",IF(AT984="Y",BT984&amp;"",BG984&amp;""))</f>
        <v/>
      </c>
      <c r="AF984" s="0" t="str">
        <f aca="false">IF($A984="","",IF(AT984="Y",BU984&amp;"",BH984&amp;""))</f>
        <v/>
      </c>
      <c r="AG984" s="0" t="str">
        <f aca="false">IF($A984="","",IF(AT984="Y",BV984&amp;"",BI984&amp;""))</f>
        <v/>
      </c>
      <c r="AO984" s="5"/>
      <c r="AR984" s="0" t="str">
        <f aca="false">IF($A984="","",IF(AND(CK984="pass",AO984&lt;&gt;"Y",C984&lt;&gt;"",OR(AU984&lt;&gt;"Y",AV984="Y")),"Y","N"))</f>
        <v/>
      </c>
      <c r="AS984" s="0" t="str">
        <f aca="false">IF($A984="","",_xlfn.TEXTJOIN("; ",TRUE(),IF(CK984&lt;&gt;"pass","gated out",""),IF(AO984="Y","on hold: "&amp;AP984,""),IF(C984="","no contact named on an opened page",""),IF(AND(AU984="Y",AV984&lt;&gt;"Y"),"founder review pending (Founder review tab)","")))</f>
        <v/>
      </c>
      <c r="BC984" s="0" t="str">
        <f aca="false">IF($A984="","",IFERROR(INDEX(Enrichment!$A$2:$GZ$2000,MATCH($A984,INDEX(Enrichment!$A$2:$GZ$2000,0,MATCH("row_id",Enrichment!$A$1:$GZ$1,0)),0),MATCH("work_email",Enrichment!$A$1:$GZ$1,0))&amp;"",""))</f>
        <v/>
      </c>
      <c r="BD984" s="0" t="str">
        <f aca="false">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P984" s="0" t="str">
        <f aca="false">IF($A984="","",IFERROR(INDEX(Enrichment!$A$2:$GZ$2000,MATCH($A984,INDEX(Enrichment!$A$2:$GZ$2000,0,MATCH("row_id",Enrichment!$A$1:$GZ$1,0)),0),MATCH("backup_work_email",Enrichment!$A$1:$GZ$1,0))&amp;"",""))</f>
        <v/>
      </c>
      <c r="BQ984" s="0" t="str">
        <f aca="false">IF($A984="","",IF(BP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DU984" s="0" t="str">
        <f aca="false">IF($A984="","",IF(R984="Y",10,0))</f>
        <v/>
      </c>
      <c r="EV984" s="0" t="str">
        <f aca="false">IF($A984="","",IF(ISNUMBER(MATCH(U984,{"queued","contacted","replied","call_booked","call_done","yes_in_principle","materials_sent"},0)),"Y","N"))</f>
        <v/>
      </c>
      <c r="EW984" s="0" t="str">
        <f aca="false">IF($A984="","",IF(OR(T984="Y",U984="do_not_contact",AQ984&amp;""&lt;&gt;""),"Y","N"))</f>
        <v/>
      </c>
      <c r="EX984" s="0" t="str">
        <f aca="false">IF($A984="","",IF(AN984&amp;""&lt;&gt;"",AN984&amp;"",$A984))</f>
        <v/>
      </c>
      <c r="EY984" s="0" t="str">
        <f aca="false">IF($A984="","",IF(COUNTIFS($EX$2:$EX$1000,EX984,$EV$2:$EV$1000,"Y")+COUNTIFS($EX$2:$EX$1000,EX984,$EW$2:$EW$1000,"Y")&gt;0,"Y","N"))</f>
        <v/>
      </c>
      <c r="EZ984" s="0" t="str">
        <f aca="false">IF($A984="","",IF(AND(U984="new",T984="N",EW984="N",AR984="Y",EY984="N"),"Y","N"))</f>
        <v/>
      </c>
      <c r="FA984" s="0" t="str">
        <f aca="false">IF($A984="","",IF(EZ984&lt;&gt;"Y","N",IF(COUNTIFS($EX$2:$EX$1000,EX984,$EZ$2:$EZ$1000,"Y",$J$2:$J$1000,"&gt;"&amp;J984)+COUNTIFS($EX$2:$EX$1000,EX984,$EZ$2:$EZ$1000,"Y",$J$2:$J$1000,J984,$FG$2:$FG$1000,"&lt;"&amp;FG984)=0,"Y","N")))</f>
        <v/>
      </c>
      <c r="FB984" s="0" t="str">
        <f aca="false">IF($A984="","",IF(AND(EZ984="Y",FA984="Y",Y984&amp;""&lt;&gt;""),IF(Y984&lt;=10,"Y","N"),"N"))</f>
        <v/>
      </c>
      <c r="FC984" s="0" t="str">
        <f aca="false">IF(FB984="Y",Y984,"")</f>
        <v/>
      </c>
      <c r="FD984" s="0" t="str">
        <f aca="false">IF($A984="","",IF(AND(CK984="pass",AU984="Y",AV984&lt;&gt;"Y",U984="new",EW984="N"),"Y","N"))</f>
        <v/>
      </c>
      <c r="FE984" s="0" t="str">
        <f aca="false">IF(FD984&lt;&gt;"Y","",IF(COUNTIFS($FD$2:$FD$1000,"Y",$J$2:$J$1000,"&gt;"&amp;J984)+COUNTIFS($FD$2:$FD$1000,"Y",$J$2:$J$1000,J984,$FG$2:$FG$1000,"&lt;"&amp;FG984)+1&lt;=30,COUNTIFS($FD$2:$FD$1000,"Y",$J$2:$J$1000,"&gt;"&amp;J984)+COUNTIFS($FD$2:$FD$1000,"Y",$J$2:$J$1000,J984,$FG$2:$FG$1000,"&lt;"&amp;FG984)+1,""))</f>
        <v/>
      </c>
      <c r="FF984" s="0" t="str">
        <f aca="false">IF(AND(_xlfn.ISFORMULA(C984),_xlfn.ISFORMULA(J984)),"Y","N")</f>
        <v>Y</v>
      </c>
      <c r="FG984" s="0" t="n">
        <f aca="false">ROW()-1</f>
        <v>983</v>
      </c>
    </row>
    <row r="985" customFormat="false" ht="15" hidden="false" customHeight="false" outlineLevel="0" collapsed="false">
      <c r="C985" s="0" t="str">
        <f aca="false">IF($A985="","",IF(AT985="Y",BL985&amp;"",AY985&amp;""))</f>
        <v/>
      </c>
      <c r="D985" s="0" t="str">
        <f aca="false">IF($A985="","",IF(AT985="Y",BM985&amp;"",AZ985&amp;""))</f>
        <v/>
      </c>
      <c r="E985" s="0" t="str">
        <f aca="false">IF($A985="","",IF(AT985="Y",BN985&amp;"",BA985&amp;""))</f>
        <v/>
      </c>
      <c r="F985" s="0" t="str">
        <f aca="false">IF($A985="","",IF(AT985="Y",BO985&amp;"",BB985&amp;""))</f>
        <v/>
      </c>
      <c r="G985" s="0" t="str">
        <f aca="false">IF($A985="","",IF(AT985="Y",BP985&amp;"",BC985&amp;""))</f>
        <v/>
      </c>
      <c r="H985" s="0" t="str">
        <f aca="false">IF($A985="","",IF(AT985="Y",BQ985&amp;"",BD985&amp;""))</f>
        <v/>
      </c>
      <c r="I985" s="0" t="str">
        <f aca="false">IF($A985="","",IF(R985="Y","warm-intro",IF(H985="verified","email",IF(C985&lt;&gt;"","linkedin",CA985&amp;""))))</f>
        <v/>
      </c>
      <c r="J985" s="0" t="str">
        <f aca="false">IF($A985="","",IF(CK985="pass",ROUND(N(DO985)+N(DP985)+N(DQ985)+N(DR985)+N(DS985)+N(DT985)+N(DU985)+N(DV985),0),0))</f>
        <v/>
      </c>
      <c r="K985" s="0" t="str">
        <f aca="false">IF($A985="","",IF(CK985&lt;&gt;"pass",BY985&amp;"",BY985&amp;", "&amp;IF(AT985="Y",BX985&amp;"",BK985&amp;"")&amp;BZ985&amp;IF(R985="Y","; known to the founder (+10)","")&amp;"."))</f>
        <v/>
      </c>
      <c r="R985" s="5"/>
      <c r="T985" s="5"/>
      <c r="U985" s="5"/>
      <c r="Y985" s="0" t="str">
        <f aca="false">IF(FA985&lt;&gt;"Y","",COUNTIFS($FA$2:$FA$1000,"Y",$J$2:$J$1000,"&gt;"&amp;J985)+COUNTIFS($FA$2:$FA$1000,"Y",$J$2:$J$1000,J985,$FG$2:$FG$1000,"&lt;"&amp;FG985)+1)</f>
        <v/>
      </c>
      <c r="AB985" s="0" t="str">
        <f aca="false">IF($A985="","",IF(AT985="Y",BW985&amp;"",BJ985&amp;""))</f>
        <v/>
      </c>
      <c r="AC985" s="0" t="str">
        <f aca="false">IF($A985="","",IF(AT985="Y",BR985&amp;"",BE985&amp;""))</f>
        <v/>
      </c>
      <c r="AD985" s="0" t="str">
        <f aca="false">IF($A985="","",IF(AT985="Y",BS985&amp;"",BF985&amp;""))</f>
        <v/>
      </c>
      <c r="AE985" s="0" t="str">
        <f aca="false">IF($A985="","",IF(AT985="Y",BT985&amp;"",BG985&amp;""))</f>
        <v/>
      </c>
      <c r="AF985" s="0" t="str">
        <f aca="false">IF($A985="","",IF(AT985="Y",BU985&amp;"",BH985&amp;""))</f>
        <v/>
      </c>
      <c r="AG985" s="0" t="str">
        <f aca="false">IF($A985="","",IF(AT985="Y",BV985&amp;"",BI985&amp;""))</f>
        <v/>
      </c>
      <c r="AO985" s="5"/>
      <c r="AR985" s="0" t="str">
        <f aca="false">IF($A985="","",IF(AND(CK985="pass",AO985&lt;&gt;"Y",C985&lt;&gt;"",OR(AU985&lt;&gt;"Y",AV985="Y")),"Y","N"))</f>
        <v/>
      </c>
      <c r="AS985" s="0" t="str">
        <f aca="false">IF($A985="","",_xlfn.TEXTJOIN("; ",TRUE(),IF(CK985&lt;&gt;"pass","gated out",""),IF(AO985="Y","on hold: "&amp;AP985,""),IF(C985="","no contact named on an opened page",""),IF(AND(AU985="Y",AV985&lt;&gt;"Y"),"founder review pending (Founder review tab)","")))</f>
        <v/>
      </c>
      <c r="BC985" s="0" t="str">
        <f aca="false">IF($A985="","",IFERROR(INDEX(Enrichment!$A$2:$GZ$2000,MATCH($A985,INDEX(Enrichment!$A$2:$GZ$2000,0,MATCH("row_id",Enrichment!$A$1:$GZ$1,0)),0),MATCH("work_email",Enrichment!$A$1:$GZ$1,0))&amp;"",""))</f>
        <v/>
      </c>
      <c r="BD985" s="0" t="str">
        <f aca="false">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P985" s="0" t="str">
        <f aca="false">IF($A985="","",IFERROR(INDEX(Enrichment!$A$2:$GZ$2000,MATCH($A985,INDEX(Enrichment!$A$2:$GZ$2000,0,MATCH("row_id",Enrichment!$A$1:$GZ$1,0)),0),MATCH("backup_work_email",Enrichment!$A$1:$GZ$1,0))&amp;"",""))</f>
        <v/>
      </c>
      <c r="BQ985" s="0" t="str">
        <f aca="false">IF($A985="","",IF(BP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DU985" s="0" t="str">
        <f aca="false">IF($A985="","",IF(R985="Y",10,0))</f>
        <v/>
      </c>
      <c r="EV985" s="0" t="str">
        <f aca="false">IF($A985="","",IF(ISNUMBER(MATCH(U985,{"queued","contacted","replied","call_booked","call_done","yes_in_principle","materials_sent"},0)),"Y","N"))</f>
        <v/>
      </c>
      <c r="EW985" s="0" t="str">
        <f aca="false">IF($A985="","",IF(OR(T985="Y",U985="do_not_contact",AQ985&amp;""&lt;&gt;""),"Y","N"))</f>
        <v/>
      </c>
      <c r="EX985" s="0" t="str">
        <f aca="false">IF($A985="","",IF(AN985&amp;""&lt;&gt;"",AN985&amp;"",$A985))</f>
        <v/>
      </c>
      <c r="EY985" s="0" t="str">
        <f aca="false">IF($A985="","",IF(COUNTIFS($EX$2:$EX$1000,EX985,$EV$2:$EV$1000,"Y")+COUNTIFS($EX$2:$EX$1000,EX985,$EW$2:$EW$1000,"Y")&gt;0,"Y","N"))</f>
        <v/>
      </c>
      <c r="EZ985" s="0" t="str">
        <f aca="false">IF($A985="","",IF(AND(U985="new",T985="N",EW985="N",AR985="Y",EY985="N"),"Y","N"))</f>
        <v/>
      </c>
      <c r="FA985" s="0" t="str">
        <f aca="false">IF($A985="","",IF(EZ985&lt;&gt;"Y","N",IF(COUNTIFS($EX$2:$EX$1000,EX985,$EZ$2:$EZ$1000,"Y",$J$2:$J$1000,"&gt;"&amp;J985)+COUNTIFS($EX$2:$EX$1000,EX985,$EZ$2:$EZ$1000,"Y",$J$2:$J$1000,J985,$FG$2:$FG$1000,"&lt;"&amp;FG985)=0,"Y","N")))</f>
        <v/>
      </c>
      <c r="FB985" s="0" t="str">
        <f aca="false">IF($A985="","",IF(AND(EZ985="Y",FA985="Y",Y985&amp;""&lt;&gt;""),IF(Y985&lt;=10,"Y","N"),"N"))</f>
        <v/>
      </c>
      <c r="FC985" s="0" t="str">
        <f aca="false">IF(FB985="Y",Y985,"")</f>
        <v/>
      </c>
      <c r="FD985" s="0" t="str">
        <f aca="false">IF($A985="","",IF(AND(CK985="pass",AU985="Y",AV985&lt;&gt;"Y",U985="new",EW985="N"),"Y","N"))</f>
        <v/>
      </c>
      <c r="FE985" s="0" t="str">
        <f aca="false">IF(FD985&lt;&gt;"Y","",IF(COUNTIFS($FD$2:$FD$1000,"Y",$J$2:$J$1000,"&gt;"&amp;J985)+COUNTIFS($FD$2:$FD$1000,"Y",$J$2:$J$1000,J985,$FG$2:$FG$1000,"&lt;"&amp;FG985)+1&lt;=30,COUNTIFS($FD$2:$FD$1000,"Y",$J$2:$J$1000,"&gt;"&amp;J985)+COUNTIFS($FD$2:$FD$1000,"Y",$J$2:$J$1000,J985,$FG$2:$FG$1000,"&lt;"&amp;FG985)+1,""))</f>
        <v/>
      </c>
      <c r="FF985" s="0" t="str">
        <f aca="false">IF(AND(_xlfn.ISFORMULA(C985),_xlfn.ISFORMULA(J985)),"Y","N")</f>
        <v>Y</v>
      </c>
      <c r="FG985" s="0" t="n">
        <f aca="false">ROW()-1</f>
        <v>984</v>
      </c>
    </row>
    <row r="986" customFormat="false" ht="15" hidden="false" customHeight="false" outlineLevel="0" collapsed="false">
      <c r="C986" s="0" t="str">
        <f aca="false">IF($A986="","",IF(AT986="Y",BL986&amp;"",AY986&amp;""))</f>
        <v/>
      </c>
      <c r="D986" s="0" t="str">
        <f aca="false">IF($A986="","",IF(AT986="Y",BM986&amp;"",AZ986&amp;""))</f>
        <v/>
      </c>
      <c r="E986" s="0" t="str">
        <f aca="false">IF($A986="","",IF(AT986="Y",BN986&amp;"",BA986&amp;""))</f>
        <v/>
      </c>
      <c r="F986" s="0" t="str">
        <f aca="false">IF($A986="","",IF(AT986="Y",BO986&amp;"",BB986&amp;""))</f>
        <v/>
      </c>
      <c r="G986" s="0" t="str">
        <f aca="false">IF($A986="","",IF(AT986="Y",BP986&amp;"",BC986&amp;""))</f>
        <v/>
      </c>
      <c r="H986" s="0" t="str">
        <f aca="false">IF($A986="","",IF(AT986="Y",BQ986&amp;"",BD986&amp;""))</f>
        <v/>
      </c>
      <c r="I986" s="0" t="str">
        <f aca="false">IF($A986="","",IF(R986="Y","warm-intro",IF(H986="verified","email",IF(C986&lt;&gt;"","linkedin",CA986&amp;""))))</f>
        <v/>
      </c>
      <c r="J986" s="0" t="str">
        <f aca="false">IF($A986="","",IF(CK986="pass",ROUND(N(DO986)+N(DP986)+N(DQ986)+N(DR986)+N(DS986)+N(DT986)+N(DU986)+N(DV986),0),0))</f>
        <v/>
      </c>
      <c r="K986" s="0" t="str">
        <f aca="false">IF($A986="","",IF(CK986&lt;&gt;"pass",BY986&amp;"",BY986&amp;", "&amp;IF(AT986="Y",BX986&amp;"",BK986&amp;"")&amp;BZ986&amp;IF(R986="Y","; known to the founder (+10)","")&amp;"."))</f>
        <v/>
      </c>
      <c r="R986" s="5"/>
      <c r="T986" s="5"/>
      <c r="U986" s="5"/>
      <c r="Y986" s="0" t="str">
        <f aca="false">IF(FA986&lt;&gt;"Y","",COUNTIFS($FA$2:$FA$1000,"Y",$J$2:$J$1000,"&gt;"&amp;J986)+COUNTIFS($FA$2:$FA$1000,"Y",$J$2:$J$1000,J986,$FG$2:$FG$1000,"&lt;"&amp;FG986)+1)</f>
        <v/>
      </c>
      <c r="AB986" s="0" t="str">
        <f aca="false">IF($A986="","",IF(AT986="Y",BW986&amp;"",BJ986&amp;""))</f>
        <v/>
      </c>
      <c r="AC986" s="0" t="str">
        <f aca="false">IF($A986="","",IF(AT986="Y",BR986&amp;"",BE986&amp;""))</f>
        <v/>
      </c>
      <c r="AD986" s="0" t="str">
        <f aca="false">IF($A986="","",IF(AT986="Y",BS986&amp;"",BF986&amp;""))</f>
        <v/>
      </c>
      <c r="AE986" s="0" t="str">
        <f aca="false">IF($A986="","",IF(AT986="Y",BT986&amp;"",BG986&amp;""))</f>
        <v/>
      </c>
      <c r="AF986" s="0" t="str">
        <f aca="false">IF($A986="","",IF(AT986="Y",BU986&amp;"",BH986&amp;""))</f>
        <v/>
      </c>
      <c r="AG986" s="0" t="str">
        <f aca="false">IF($A986="","",IF(AT986="Y",BV986&amp;"",BI986&amp;""))</f>
        <v/>
      </c>
      <c r="AO986" s="5"/>
      <c r="AR986" s="0" t="str">
        <f aca="false">IF($A986="","",IF(AND(CK986="pass",AO986&lt;&gt;"Y",C986&lt;&gt;"",OR(AU986&lt;&gt;"Y",AV986="Y")),"Y","N"))</f>
        <v/>
      </c>
      <c r="AS986" s="0" t="str">
        <f aca="false">IF($A986="","",_xlfn.TEXTJOIN("; ",TRUE(),IF(CK986&lt;&gt;"pass","gated out",""),IF(AO986="Y","on hold: "&amp;AP986,""),IF(C986="","no contact named on an opened page",""),IF(AND(AU986="Y",AV986&lt;&gt;"Y"),"founder review pending (Founder review tab)","")))</f>
        <v/>
      </c>
      <c r="BC986" s="0" t="str">
        <f aca="false">IF($A986="","",IFERROR(INDEX(Enrichment!$A$2:$GZ$2000,MATCH($A986,INDEX(Enrichment!$A$2:$GZ$2000,0,MATCH("row_id",Enrichment!$A$1:$GZ$1,0)),0),MATCH("work_email",Enrichment!$A$1:$GZ$1,0))&amp;"",""))</f>
        <v/>
      </c>
      <c r="BD986" s="0" t="str">
        <f aca="false">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P986" s="0" t="str">
        <f aca="false">IF($A986="","",IFERROR(INDEX(Enrichment!$A$2:$GZ$2000,MATCH($A986,INDEX(Enrichment!$A$2:$GZ$2000,0,MATCH("row_id",Enrichment!$A$1:$GZ$1,0)),0),MATCH("backup_work_email",Enrichment!$A$1:$GZ$1,0))&amp;"",""))</f>
        <v/>
      </c>
      <c r="BQ986" s="0" t="str">
        <f aca="false">IF($A986="","",IF(BP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DU986" s="0" t="str">
        <f aca="false">IF($A986="","",IF(R986="Y",10,0))</f>
        <v/>
      </c>
      <c r="EV986" s="0" t="str">
        <f aca="false">IF($A986="","",IF(ISNUMBER(MATCH(U986,{"queued","contacted","replied","call_booked","call_done","yes_in_principle","materials_sent"},0)),"Y","N"))</f>
        <v/>
      </c>
      <c r="EW986" s="0" t="str">
        <f aca="false">IF($A986="","",IF(OR(T986="Y",U986="do_not_contact",AQ986&amp;""&lt;&gt;""),"Y","N"))</f>
        <v/>
      </c>
      <c r="EX986" s="0" t="str">
        <f aca="false">IF($A986="","",IF(AN986&amp;""&lt;&gt;"",AN986&amp;"",$A986))</f>
        <v/>
      </c>
      <c r="EY986" s="0" t="str">
        <f aca="false">IF($A986="","",IF(COUNTIFS($EX$2:$EX$1000,EX986,$EV$2:$EV$1000,"Y")+COUNTIFS($EX$2:$EX$1000,EX986,$EW$2:$EW$1000,"Y")&gt;0,"Y","N"))</f>
        <v/>
      </c>
      <c r="EZ986" s="0" t="str">
        <f aca="false">IF($A986="","",IF(AND(U986="new",T986="N",EW986="N",AR986="Y",EY986="N"),"Y","N"))</f>
        <v/>
      </c>
      <c r="FA986" s="0" t="str">
        <f aca="false">IF($A986="","",IF(EZ986&lt;&gt;"Y","N",IF(COUNTIFS($EX$2:$EX$1000,EX986,$EZ$2:$EZ$1000,"Y",$J$2:$J$1000,"&gt;"&amp;J986)+COUNTIFS($EX$2:$EX$1000,EX986,$EZ$2:$EZ$1000,"Y",$J$2:$J$1000,J986,$FG$2:$FG$1000,"&lt;"&amp;FG986)=0,"Y","N")))</f>
        <v/>
      </c>
      <c r="FB986" s="0" t="str">
        <f aca="false">IF($A986="","",IF(AND(EZ986="Y",FA986="Y",Y986&amp;""&lt;&gt;""),IF(Y986&lt;=10,"Y","N"),"N"))</f>
        <v/>
      </c>
      <c r="FC986" s="0" t="str">
        <f aca="false">IF(FB986="Y",Y986,"")</f>
        <v/>
      </c>
      <c r="FD986" s="0" t="str">
        <f aca="false">IF($A986="","",IF(AND(CK986="pass",AU986="Y",AV986&lt;&gt;"Y",U986="new",EW986="N"),"Y","N"))</f>
        <v/>
      </c>
      <c r="FE986" s="0" t="str">
        <f aca="false">IF(FD986&lt;&gt;"Y","",IF(COUNTIFS($FD$2:$FD$1000,"Y",$J$2:$J$1000,"&gt;"&amp;J986)+COUNTIFS($FD$2:$FD$1000,"Y",$J$2:$J$1000,J986,$FG$2:$FG$1000,"&lt;"&amp;FG986)+1&lt;=30,COUNTIFS($FD$2:$FD$1000,"Y",$J$2:$J$1000,"&gt;"&amp;J986)+COUNTIFS($FD$2:$FD$1000,"Y",$J$2:$J$1000,J986,$FG$2:$FG$1000,"&lt;"&amp;FG986)+1,""))</f>
        <v/>
      </c>
      <c r="FF986" s="0" t="str">
        <f aca="false">IF(AND(_xlfn.ISFORMULA(C986),_xlfn.ISFORMULA(J986)),"Y","N")</f>
        <v>Y</v>
      </c>
      <c r="FG986" s="0" t="n">
        <f aca="false">ROW()-1</f>
        <v>985</v>
      </c>
    </row>
    <row r="987" customFormat="false" ht="15" hidden="false" customHeight="false" outlineLevel="0" collapsed="false">
      <c r="C987" s="0" t="str">
        <f aca="false">IF($A987="","",IF(AT987="Y",BL987&amp;"",AY987&amp;""))</f>
        <v/>
      </c>
      <c r="D987" s="0" t="str">
        <f aca="false">IF($A987="","",IF(AT987="Y",BM987&amp;"",AZ987&amp;""))</f>
        <v/>
      </c>
      <c r="E987" s="0" t="str">
        <f aca="false">IF($A987="","",IF(AT987="Y",BN987&amp;"",BA987&amp;""))</f>
        <v/>
      </c>
      <c r="F987" s="0" t="str">
        <f aca="false">IF($A987="","",IF(AT987="Y",BO987&amp;"",BB987&amp;""))</f>
        <v/>
      </c>
      <c r="G987" s="0" t="str">
        <f aca="false">IF($A987="","",IF(AT987="Y",BP987&amp;"",BC987&amp;""))</f>
        <v/>
      </c>
      <c r="H987" s="0" t="str">
        <f aca="false">IF($A987="","",IF(AT987="Y",BQ987&amp;"",BD987&amp;""))</f>
        <v/>
      </c>
      <c r="I987" s="0" t="str">
        <f aca="false">IF($A987="","",IF(R987="Y","warm-intro",IF(H987="verified","email",IF(C987&lt;&gt;"","linkedin",CA987&amp;""))))</f>
        <v/>
      </c>
      <c r="J987" s="0" t="str">
        <f aca="false">IF($A987="","",IF(CK987="pass",ROUND(N(DO987)+N(DP987)+N(DQ987)+N(DR987)+N(DS987)+N(DT987)+N(DU987)+N(DV987),0),0))</f>
        <v/>
      </c>
      <c r="K987" s="0" t="str">
        <f aca="false">IF($A987="","",IF(CK987&lt;&gt;"pass",BY987&amp;"",BY987&amp;", "&amp;IF(AT987="Y",BX987&amp;"",BK987&amp;"")&amp;BZ987&amp;IF(R987="Y","; known to the founder (+10)","")&amp;"."))</f>
        <v/>
      </c>
      <c r="R987" s="5"/>
      <c r="T987" s="5"/>
      <c r="U987" s="5"/>
      <c r="Y987" s="0" t="str">
        <f aca="false">IF(FA987&lt;&gt;"Y","",COUNTIFS($FA$2:$FA$1000,"Y",$J$2:$J$1000,"&gt;"&amp;J987)+COUNTIFS($FA$2:$FA$1000,"Y",$J$2:$J$1000,J987,$FG$2:$FG$1000,"&lt;"&amp;FG987)+1)</f>
        <v/>
      </c>
      <c r="AB987" s="0" t="str">
        <f aca="false">IF($A987="","",IF(AT987="Y",BW987&amp;"",BJ987&amp;""))</f>
        <v/>
      </c>
      <c r="AC987" s="0" t="str">
        <f aca="false">IF($A987="","",IF(AT987="Y",BR987&amp;"",BE987&amp;""))</f>
        <v/>
      </c>
      <c r="AD987" s="0" t="str">
        <f aca="false">IF($A987="","",IF(AT987="Y",BS987&amp;"",BF987&amp;""))</f>
        <v/>
      </c>
      <c r="AE987" s="0" t="str">
        <f aca="false">IF($A987="","",IF(AT987="Y",BT987&amp;"",BG987&amp;""))</f>
        <v/>
      </c>
      <c r="AF987" s="0" t="str">
        <f aca="false">IF($A987="","",IF(AT987="Y",BU987&amp;"",BH987&amp;""))</f>
        <v/>
      </c>
      <c r="AG987" s="0" t="str">
        <f aca="false">IF($A987="","",IF(AT987="Y",BV987&amp;"",BI987&amp;""))</f>
        <v/>
      </c>
      <c r="AO987" s="5"/>
      <c r="AR987" s="0" t="str">
        <f aca="false">IF($A987="","",IF(AND(CK987="pass",AO987&lt;&gt;"Y",C987&lt;&gt;"",OR(AU987&lt;&gt;"Y",AV987="Y")),"Y","N"))</f>
        <v/>
      </c>
      <c r="AS987" s="0" t="str">
        <f aca="false">IF($A987="","",_xlfn.TEXTJOIN("; ",TRUE(),IF(CK987&lt;&gt;"pass","gated out",""),IF(AO987="Y","on hold: "&amp;AP987,""),IF(C987="","no contact named on an opened page",""),IF(AND(AU987="Y",AV987&lt;&gt;"Y"),"founder review pending (Founder review tab)","")))</f>
        <v/>
      </c>
      <c r="BC987" s="0" t="str">
        <f aca="false">IF($A987="","",IFERROR(INDEX(Enrichment!$A$2:$GZ$2000,MATCH($A987,INDEX(Enrichment!$A$2:$GZ$2000,0,MATCH("row_id",Enrichment!$A$1:$GZ$1,0)),0),MATCH("work_email",Enrichment!$A$1:$GZ$1,0))&amp;"",""))</f>
        <v/>
      </c>
      <c r="BD987" s="0" t="str">
        <f aca="false">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P987" s="0" t="str">
        <f aca="false">IF($A987="","",IFERROR(INDEX(Enrichment!$A$2:$GZ$2000,MATCH($A987,INDEX(Enrichment!$A$2:$GZ$2000,0,MATCH("row_id",Enrichment!$A$1:$GZ$1,0)),0),MATCH("backup_work_email",Enrichment!$A$1:$GZ$1,0))&amp;"",""))</f>
        <v/>
      </c>
      <c r="BQ987" s="0" t="str">
        <f aca="false">IF($A987="","",IF(BP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DU987" s="0" t="str">
        <f aca="false">IF($A987="","",IF(R987="Y",10,0))</f>
        <v/>
      </c>
      <c r="EV987" s="0" t="str">
        <f aca="false">IF($A987="","",IF(ISNUMBER(MATCH(U987,{"queued","contacted","replied","call_booked","call_done","yes_in_principle","materials_sent"},0)),"Y","N"))</f>
        <v/>
      </c>
      <c r="EW987" s="0" t="str">
        <f aca="false">IF($A987="","",IF(OR(T987="Y",U987="do_not_contact",AQ987&amp;""&lt;&gt;""),"Y","N"))</f>
        <v/>
      </c>
      <c r="EX987" s="0" t="str">
        <f aca="false">IF($A987="","",IF(AN987&amp;""&lt;&gt;"",AN987&amp;"",$A987))</f>
        <v/>
      </c>
      <c r="EY987" s="0" t="str">
        <f aca="false">IF($A987="","",IF(COUNTIFS($EX$2:$EX$1000,EX987,$EV$2:$EV$1000,"Y")+COUNTIFS($EX$2:$EX$1000,EX987,$EW$2:$EW$1000,"Y")&gt;0,"Y","N"))</f>
        <v/>
      </c>
      <c r="EZ987" s="0" t="str">
        <f aca="false">IF($A987="","",IF(AND(U987="new",T987="N",EW987="N",AR987="Y",EY987="N"),"Y","N"))</f>
        <v/>
      </c>
      <c r="FA987" s="0" t="str">
        <f aca="false">IF($A987="","",IF(EZ987&lt;&gt;"Y","N",IF(COUNTIFS($EX$2:$EX$1000,EX987,$EZ$2:$EZ$1000,"Y",$J$2:$J$1000,"&gt;"&amp;J987)+COUNTIFS($EX$2:$EX$1000,EX987,$EZ$2:$EZ$1000,"Y",$J$2:$J$1000,J987,$FG$2:$FG$1000,"&lt;"&amp;FG987)=0,"Y","N")))</f>
        <v/>
      </c>
      <c r="FB987" s="0" t="str">
        <f aca="false">IF($A987="","",IF(AND(EZ987="Y",FA987="Y",Y987&amp;""&lt;&gt;""),IF(Y987&lt;=10,"Y","N"),"N"))</f>
        <v/>
      </c>
      <c r="FC987" s="0" t="str">
        <f aca="false">IF(FB987="Y",Y987,"")</f>
        <v/>
      </c>
      <c r="FD987" s="0" t="str">
        <f aca="false">IF($A987="","",IF(AND(CK987="pass",AU987="Y",AV987&lt;&gt;"Y",U987="new",EW987="N"),"Y","N"))</f>
        <v/>
      </c>
      <c r="FE987" s="0" t="str">
        <f aca="false">IF(FD987&lt;&gt;"Y","",IF(COUNTIFS($FD$2:$FD$1000,"Y",$J$2:$J$1000,"&gt;"&amp;J987)+COUNTIFS($FD$2:$FD$1000,"Y",$J$2:$J$1000,J987,$FG$2:$FG$1000,"&lt;"&amp;FG987)+1&lt;=30,COUNTIFS($FD$2:$FD$1000,"Y",$J$2:$J$1000,"&gt;"&amp;J987)+COUNTIFS($FD$2:$FD$1000,"Y",$J$2:$J$1000,J987,$FG$2:$FG$1000,"&lt;"&amp;FG987)+1,""))</f>
        <v/>
      </c>
      <c r="FF987" s="0" t="str">
        <f aca="false">IF(AND(_xlfn.ISFORMULA(C987),_xlfn.ISFORMULA(J987)),"Y","N")</f>
        <v>Y</v>
      </c>
      <c r="FG987" s="0" t="n">
        <f aca="false">ROW()-1</f>
        <v>986</v>
      </c>
    </row>
    <row r="988" customFormat="false" ht="15" hidden="false" customHeight="false" outlineLevel="0" collapsed="false">
      <c r="C988" s="0" t="str">
        <f aca="false">IF($A988="","",IF(AT988="Y",BL988&amp;"",AY988&amp;""))</f>
        <v/>
      </c>
      <c r="D988" s="0" t="str">
        <f aca="false">IF($A988="","",IF(AT988="Y",BM988&amp;"",AZ988&amp;""))</f>
        <v/>
      </c>
      <c r="E988" s="0" t="str">
        <f aca="false">IF($A988="","",IF(AT988="Y",BN988&amp;"",BA988&amp;""))</f>
        <v/>
      </c>
      <c r="F988" s="0" t="str">
        <f aca="false">IF($A988="","",IF(AT988="Y",BO988&amp;"",BB988&amp;""))</f>
        <v/>
      </c>
      <c r="G988" s="0" t="str">
        <f aca="false">IF($A988="","",IF(AT988="Y",BP988&amp;"",BC988&amp;""))</f>
        <v/>
      </c>
      <c r="H988" s="0" t="str">
        <f aca="false">IF($A988="","",IF(AT988="Y",BQ988&amp;"",BD988&amp;""))</f>
        <v/>
      </c>
      <c r="I988" s="0" t="str">
        <f aca="false">IF($A988="","",IF(R988="Y","warm-intro",IF(H988="verified","email",IF(C988&lt;&gt;"","linkedin",CA988&amp;""))))</f>
        <v/>
      </c>
      <c r="J988" s="0" t="str">
        <f aca="false">IF($A988="","",IF(CK988="pass",ROUND(N(DO988)+N(DP988)+N(DQ988)+N(DR988)+N(DS988)+N(DT988)+N(DU988)+N(DV988),0),0))</f>
        <v/>
      </c>
      <c r="K988" s="0" t="str">
        <f aca="false">IF($A988="","",IF(CK988&lt;&gt;"pass",BY988&amp;"",BY988&amp;", "&amp;IF(AT988="Y",BX988&amp;"",BK988&amp;"")&amp;BZ988&amp;IF(R988="Y","; known to the founder (+10)","")&amp;"."))</f>
        <v/>
      </c>
      <c r="R988" s="5"/>
      <c r="T988" s="5"/>
      <c r="U988" s="5"/>
      <c r="Y988" s="0" t="str">
        <f aca="false">IF(FA988&lt;&gt;"Y","",COUNTIFS($FA$2:$FA$1000,"Y",$J$2:$J$1000,"&gt;"&amp;J988)+COUNTIFS($FA$2:$FA$1000,"Y",$J$2:$J$1000,J988,$FG$2:$FG$1000,"&lt;"&amp;FG988)+1)</f>
        <v/>
      </c>
      <c r="AB988" s="0" t="str">
        <f aca="false">IF($A988="","",IF(AT988="Y",BW988&amp;"",BJ988&amp;""))</f>
        <v/>
      </c>
      <c r="AC988" s="0" t="str">
        <f aca="false">IF($A988="","",IF(AT988="Y",BR988&amp;"",BE988&amp;""))</f>
        <v/>
      </c>
      <c r="AD988" s="0" t="str">
        <f aca="false">IF($A988="","",IF(AT988="Y",BS988&amp;"",BF988&amp;""))</f>
        <v/>
      </c>
      <c r="AE988" s="0" t="str">
        <f aca="false">IF($A988="","",IF(AT988="Y",BT988&amp;"",BG988&amp;""))</f>
        <v/>
      </c>
      <c r="AF988" s="0" t="str">
        <f aca="false">IF($A988="","",IF(AT988="Y",BU988&amp;"",BH988&amp;""))</f>
        <v/>
      </c>
      <c r="AG988" s="0" t="str">
        <f aca="false">IF($A988="","",IF(AT988="Y",BV988&amp;"",BI988&amp;""))</f>
        <v/>
      </c>
      <c r="AO988" s="5"/>
      <c r="AR988" s="0" t="str">
        <f aca="false">IF($A988="","",IF(AND(CK988="pass",AO988&lt;&gt;"Y",C988&lt;&gt;"",OR(AU988&lt;&gt;"Y",AV988="Y")),"Y","N"))</f>
        <v/>
      </c>
      <c r="AS988" s="0" t="str">
        <f aca="false">IF($A988="","",_xlfn.TEXTJOIN("; ",TRUE(),IF(CK988&lt;&gt;"pass","gated out",""),IF(AO988="Y","on hold: "&amp;AP988,""),IF(C988="","no contact named on an opened page",""),IF(AND(AU988="Y",AV988&lt;&gt;"Y"),"founder review pending (Founder review tab)","")))</f>
        <v/>
      </c>
      <c r="BC988" s="0" t="str">
        <f aca="false">IF($A988="","",IFERROR(INDEX(Enrichment!$A$2:$GZ$2000,MATCH($A988,INDEX(Enrichment!$A$2:$GZ$2000,0,MATCH("row_id",Enrichment!$A$1:$GZ$1,0)),0),MATCH("work_email",Enrichment!$A$1:$GZ$1,0))&amp;"",""))</f>
        <v/>
      </c>
      <c r="BD988" s="0" t="str">
        <f aca="false">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P988" s="0" t="str">
        <f aca="false">IF($A988="","",IFERROR(INDEX(Enrichment!$A$2:$GZ$2000,MATCH($A988,INDEX(Enrichment!$A$2:$GZ$2000,0,MATCH("row_id",Enrichment!$A$1:$GZ$1,0)),0),MATCH("backup_work_email",Enrichment!$A$1:$GZ$1,0))&amp;"",""))</f>
        <v/>
      </c>
      <c r="BQ988" s="0" t="str">
        <f aca="false">IF($A988="","",IF(BP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DU988" s="0" t="str">
        <f aca="false">IF($A988="","",IF(R988="Y",10,0))</f>
        <v/>
      </c>
      <c r="EV988" s="0" t="str">
        <f aca="false">IF($A988="","",IF(ISNUMBER(MATCH(U988,{"queued","contacted","replied","call_booked","call_done","yes_in_principle","materials_sent"},0)),"Y","N"))</f>
        <v/>
      </c>
      <c r="EW988" s="0" t="str">
        <f aca="false">IF($A988="","",IF(OR(T988="Y",U988="do_not_contact",AQ988&amp;""&lt;&gt;""),"Y","N"))</f>
        <v/>
      </c>
      <c r="EX988" s="0" t="str">
        <f aca="false">IF($A988="","",IF(AN988&amp;""&lt;&gt;"",AN988&amp;"",$A988))</f>
        <v/>
      </c>
      <c r="EY988" s="0" t="str">
        <f aca="false">IF($A988="","",IF(COUNTIFS($EX$2:$EX$1000,EX988,$EV$2:$EV$1000,"Y")+COUNTIFS($EX$2:$EX$1000,EX988,$EW$2:$EW$1000,"Y")&gt;0,"Y","N"))</f>
        <v/>
      </c>
      <c r="EZ988" s="0" t="str">
        <f aca="false">IF($A988="","",IF(AND(U988="new",T988="N",EW988="N",AR988="Y",EY988="N"),"Y","N"))</f>
        <v/>
      </c>
      <c r="FA988" s="0" t="str">
        <f aca="false">IF($A988="","",IF(EZ988&lt;&gt;"Y","N",IF(COUNTIFS($EX$2:$EX$1000,EX988,$EZ$2:$EZ$1000,"Y",$J$2:$J$1000,"&gt;"&amp;J988)+COUNTIFS($EX$2:$EX$1000,EX988,$EZ$2:$EZ$1000,"Y",$J$2:$J$1000,J988,$FG$2:$FG$1000,"&lt;"&amp;FG988)=0,"Y","N")))</f>
        <v/>
      </c>
      <c r="FB988" s="0" t="str">
        <f aca="false">IF($A988="","",IF(AND(EZ988="Y",FA988="Y",Y988&amp;""&lt;&gt;""),IF(Y988&lt;=10,"Y","N"),"N"))</f>
        <v/>
      </c>
      <c r="FC988" s="0" t="str">
        <f aca="false">IF(FB988="Y",Y988,"")</f>
        <v/>
      </c>
      <c r="FD988" s="0" t="str">
        <f aca="false">IF($A988="","",IF(AND(CK988="pass",AU988="Y",AV988&lt;&gt;"Y",U988="new",EW988="N"),"Y","N"))</f>
        <v/>
      </c>
      <c r="FE988" s="0" t="str">
        <f aca="false">IF(FD988&lt;&gt;"Y","",IF(COUNTIFS($FD$2:$FD$1000,"Y",$J$2:$J$1000,"&gt;"&amp;J988)+COUNTIFS($FD$2:$FD$1000,"Y",$J$2:$J$1000,J988,$FG$2:$FG$1000,"&lt;"&amp;FG988)+1&lt;=30,COUNTIFS($FD$2:$FD$1000,"Y",$J$2:$J$1000,"&gt;"&amp;J988)+COUNTIFS($FD$2:$FD$1000,"Y",$J$2:$J$1000,J988,$FG$2:$FG$1000,"&lt;"&amp;FG988)+1,""))</f>
        <v/>
      </c>
      <c r="FF988" s="0" t="str">
        <f aca="false">IF(AND(_xlfn.ISFORMULA(C988),_xlfn.ISFORMULA(J988)),"Y","N")</f>
        <v>Y</v>
      </c>
      <c r="FG988" s="0" t="n">
        <f aca="false">ROW()-1</f>
        <v>987</v>
      </c>
    </row>
    <row r="989" customFormat="false" ht="15" hidden="false" customHeight="false" outlineLevel="0" collapsed="false">
      <c r="C989" s="0" t="str">
        <f aca="false">IF($A989="","",IF(AT989="Y",BL989&amp;"",AY989&amp;""))</f>
        <v/>
      </c>
      <c r="D989" s="0" t="str">
        <f aca="false">IF($A989="","",IF(AT989="Y",BM989&amp;"",AZ989&amp;""))</f>
        <v/>
      </c>
      <c r="E989" s="0" t="str">
        <f aca="false">IF($A989="","",IF(AT989="Y",BN989&amp;"",BA989&amp;""))</f>
        <v/>
      </c>
      <c r="F989" s="0" t="str">
        <f aca="false">IF($A989="","",IF(AT989="Y",BO989&amp;"",BB989&amp;""))</f>
        <v/>
      </c>
      <c r="G989" s="0" t="str">
        <f aca="false">IF($A989="","",IF(AT989="Y",BP989&amp;"",BC989&amp;""))</f>
        <v/>
      </c>
      <c r="H989" s="0" t="str">
        <f aca="false">IF($A989="","",IF(AT989="Y",BQ989&amp;"",BD989&amp;""))</f>
        <v/>
      </c>
      <c r="I989" s="0" t="str">
        <f aca="false">IF($A989="","",IF(R989="Y","warm-intro",IF(H989="verified","email",IF(C989&lt;&gt;"","linkedin",CA989&amp;""))))</f>
        <v/>
      </c>
      <c r="J989" s="0" t="str">
        <f aca="false">IF($A989="","",IF(CK989="pass",ROUND(N(DO989)+N(DP989)+N(DQ989)+N(DR989)+N(DS989)+N(DT989)+N(DU989)+N(DV989),0),0))</f>
        <v/>
      </c>
      <c r="K989" s="0" t="str">
        <f aca="false">IF($A989="","",IF(CK989&lt;&gt;"pass",BY989&amp;"",BY989&amp;", "&amp;IF(AT989="Y",BX989&amp;"",BK989&amp;"")&amp;BZ989&amp;IF(R989="Y","; known to the founder (+10)","")&amp;"."))</f>
        <v/>
      </c>
      <c r="R989" s="5"/>
      <c r="T989" s="5"/>
      <c r="U989" s="5"/>
      <c r="Y989" s="0" t="str">
        <f aca="false">IF(FA989&lt;&gt;"Y","",COUNTIFS($FA$2:$FA$1000,"Y",$J$2:$J$1000,"&gt;"&amp;J989)+COUNTIFS($FA$2:$FA$1000,"Y",$J$2:$J$1000,J989,$FG$2:$FG$1000,"&lt;"&amp;FG989)+1)</f>
        <v/>
      </c>
      <c r="AB989" s="0" t="str">
        <f aca="false">IF($A989="","",IF(AT989="Y",BW989&amp;"",BJ989&amp;""))</f>
        <v/>
      </c>
      <c r="AC989" s="0" t="str">
        <f aca="false">IF($A989="","",IF(AT989="Y",BR989&amp;"",BE989&amp;""))</f>
        <v/>
      </c>
      <c r="AD989" s="0" t="str">
        <f aca="false">IF($A989="","",IF(AT989="Y",BS989&amp;"",BF989&amp;""))</f>
        <v/>
      </c>
      <c r="AE989" s="0" t="str">
        <f aca="false">IF($A989="","",IF(AT989="Y",BT989&amp;"",BG989&amp;""))</f>
        <v/>
      </c>
      <c r="AF989" s="0" t="str">
        <f aca="false">IF($A989="","",IF(AT989="Y",BU989&amp;"",BH989&amp;""))</f>
        <v/>
      </c>
      <c r="AG989" s="0" t="str">
        <f aca="false">IF($A989="","",IF(AT989="Y",BV989&amp;"",BI989&amp;""))</f>
        <v/>
      </c>
      <c r="AO989" s="5"/>
      <c r="AR989" s="0" t="str">
        <f aca="false">IF($A989="","",IF(AND(CK989="pass",AO989&lt;&gt;"Y",C989&lt;&gt;"",OR(AU989&lt;&gt;"Y",AV989="Y")),"Y","N"))</f>
        <v/>
      </c>
      <c r="AS989" s="0" t="str">
        <f aca="false">IF($A989="","",_xlfn.TEXTJOIN("; ",TRUE(),IF(CK989&lt;&gt;"pass","gated out",""),IF(AO989="Y","on hold: "&amp;AP989,""),IF(C989="","no contact named on an opened page",""),IF(AND(AU989="Y",AV989&lt;&gt;"Y"),"founder review pending (Founder review tab)","")))</f>
        <v/>
      </c>
      <c r="BC989" s="0" t="str">
        <f aca="false">IF($A989="","",IFERROR(INDEX(Enrichment!$A$2:$GZ$2000,MATCH($A989,INDEX(Enrichment!$A$2:$GZ$2000,0,MATCH("row_id",Enrichment!$A$1:$GZ$1,0)),0),MATCH("work_email",Enrichment!$A$1:$GZ$1,0))&amp;"",""))</f>
        <v/>
      </c>
      <c r="BD989" s="0" t="str">
        <f aca="false">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P989" s="0" t="str">
        <f aca="false">IF($A989="","",IFERROR(INDEX(Enrichment!$A$2:$GZ$2000,MATCH($A989,INDEX(Enrichment!$A$2:$GZ$2000,0,MATCH("row_id",Enrichment!$A$1:$GZ$1,0)),0),MATCH("backup_work_email",Enrichment!$A$1:$GZ$1,0))&amp;"",""))</f>
        <v/>
      </c>
      <c r="BQ989" s="0" t="str">
        <f aca="false">IF($A989="","",IF(BP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DU989" s="0" t="str">
        <f aca="false">IF($A989="","",IF(R989="Y",10,0))</f>
        <v/>
      </c>
      <c r="EV989" s="0" t="str">
        <f aca="false">IF($A989="","",IF(ISNUMBER(MATCH(U989,{"queued","contacted","replied","call_booked","call_done","yes_in_principle","materials_sent"},0)),"Y","N"))</f>
        <v/>
      </c>
      <c r="EW989" s="0" t="str">
        <f aca="false">IF($A989="","",IF(OR(T989="Y",U989="do_not_contact",AQ989&amp;""&lt;&gt;""),"Y","N"))</f>
        <v/>
      </c>
      <c r="EX989" s="0" t="str">
        <f aca="false">IF($A989="","",IF(AN989&amp;""&lt;&gt;"",AN989&amp;"",$A989))</f>
        <v/>
      </c>
      <c r="EY989" s="0" t="str">
        <f aca="false">IF($A989="","",IF(COUNTIFS($EX$2:$EX$1000,EX989,$EV$2:$EV$1000,"Y")+COUNTIFS($EX$2:$EX$1000,EX989,$EW$2:$EW$1000,"Y")&gt;0,"Y","N"))</f>
        <v/>
      </c>
      <c r="EZ989" s="0" t="str">
        <f aca="false">IF($A989="","",IF(AND(U989="new",T989="N",EW989="N",AR989="Y",EY989="N"),"Y","N"))</f>
        <v/>
      </c>
      <c r="FA989" s="0" t="str">
        <f aca="false">IF($A989="","",IF(EZ989&lt;&gt;"Y","N",IF(COUNTIFS($EX$2:$EX$1000,EX989,$EZ$2:$EZ$1000,"Y",$J$2:$J$1000,"&gt;"&amp;J989)+COUNTIFS($EX$2:$EX$1000,EX989,$EZ$2:$EZ$1000,"Y",$J$2:$J$1000,J989,$FG$2:$FG$1000,"&lt;"&amp;FG989)=0,"Y","N")))</f>
        <v/>
      </c>
      <c r="FB989" s="0" t="str">
        <f aca="false">IF($A989="","",IF(AND(EZ989="Y",FA989="Y",Y989&amp;""&lt;&gt;""),IF(Y989&lt;=10,"Y","N"),"N"))</f>
        <v/>
      </c>
      <c r="FC989" s="0" t="str">
        <f aca="false">IF(FB989="Y",Y989,"")</f>
        <v/>
      </c>
      <c r="FD989" s="0" t="str">
        <f aca="false">IF($A989="","",IF(AND(CK989="pass",AU989="Y",AV989&lt;&gt;"Y",U989="new",EW989="N"),"Y","N"))</f>
        <v/>
      </c>
      <c r="FE989" s="0" t="str">
        <f aca="false">IF(FD989&lt;&gt;"Y","",IF(COUNTIFS($FD$2:$FD$1000,"Y",$J$2:$J$1000,"&gt;"&amp;J989)+COUNTIFS($FD$2:$FD$1000,"Y",$J$2:$J$1000,J989,$FG$2:$FG$1000,"&lt;"&amp;FG989)+1&lt;=30,COUNTIFS($FD$2:$FD$1000,"Y",$J$2:$J$1000,"&gt;"&amp;J989)+COUNTIFS($FD$2:$FD$1000,"Y",$J$2:$J$1000,J989,$FG$2:$FG$1000,"&lt;"&amp;FG989)+1,""))</f>
        <v/>
      </c>
      <c r="FF989" s="0" t="str">
        <f aca="false">IF(AND(_xlfn.ISFORMULA(C989),_xlfn.ISFORMULA(J989)),"Y","N")</f>
        <v>Y</v>
      </c>
      <c r="FG989" s="0" t="n">
        <f aca="false">ROW()-1</f>
        <v>988</v>
      </c>
    </row>
    <row r="990" customFormat="false" ht="15" hidden="false" customHeight="false" outlineLevel="0" collapsed="false">
      <c r="C990" s="0" t="str">
        <f aca="false">IF($A990="","",IF(AT990="Y",BL990&amp;"",AY990&amp;""))</f>
        <v/>
      </c>
      <c r="D990" s="0" t="str">
        <f aca="false">IF($A990="","",IF(AT990="Y",BM990&amp;"",AZ990&amp;""))</f>
        <v/>
      </c>
      <c r="E990" s="0" t="str">
        <f aca="false">IF($A990="","",IF(AT990="Y",BN990&amp;"",BA990&amp;""))</f>
        <v/>
      </c>
      <c r="F990" s="0" t="str">
        <f aca="false">IF($A990="","",IF(AT990="Y",BO990&amp;"",BB990&amp;""))</f>
        <v/>
      </c>
      <c r="G990" s="0" t="str">
        <f aca="false">IF($A990="","",IF(AT990="Y",BP990&amp;"",BC990&amp;""))</f>
        <v/>
      </c>
      <c r="H990" s="0" t="str">
        <f aca="false">IF($A990="","",IF(AT990="Y",BQ990&amp;"",BD990&amp;""))</f>
        <v/>
      </c>
      <c r="I990" s="0" t="str">
        <f aca="false">IF($A990="","",IF(R990="Y","warm-intro",IF(H990="verified","email",IF(C990&lt;&gt;"","linkedin",CA990&amp;""))))</f>
        <v/>
      </c>
      <c r="J990" s="0" t="str">
        <f aca="false">IF($A990="","",IF(CK990="pass",ROUND(N(DO990)+N(DP990)+N(DQ990)+N(DR990)+N(DS990)+N(DT990)+N(DU990)+N(DV990),0),0))</f>
        <v/>
      </c>
      <c r="K990" s="0" t="str">
        <f aca="false">IF($A990="","",IF(CK990&lt;&gt;"pass",BY990&amp;"",BY990&amp;", "&amp;IF(AT990="Y",BX990&amp;"",BK990&amp;"")&amp;BZ990&amp;IF(R990="Y","; known to the founder (+10)","")&amp;"."))</f>
        <v/>
      </c>
      <c r="R990" s="5"/>
      <c r="T990" s="5"/>
      <c r="U990" s="5"/>
      <c r="Y990" s="0" t="str">
        <f aca="false">IF(FA990&lt;&gt;"Y","",COUNTIFS($FA$2:$FA$1000,"Y",$J$2:$J$1000,"&gt;"&amp;J990)+COUNTIFS($FA$2:$FA$1000,"Y",$J$2:$J$1000,J990,$FG$2:$FG$1000,"&lt;"&amp;FG990)+1)</f>
        <v/>
      </c>
      <c r="AB990" s="0" t="str">
        <f aca="false">IF($A990="","",IF(AT990="Y",BW990&amp;"",BJ990&amp;""))</f>
        <v/>
      </c>
      <c r="AC990" s="0" t="str">
        <f aca="false">IF($A990="","",IF(AT990="Y",BR990&amp;"",BE990&amp;""))</f>
        <v/>
      </c>
      <c r="AD990" s="0" t="str">
        <f aca="false">IF($A990="","",IF(AT990="Y",BS990&amp;"",BF990&amp;""))</f>
        <v/>
      </c>
      <c r="AE990" s="0" t="str">
        <f aca="false">IF($A990="","",IF(AT990="Y",BT990&amp;"",BG990&amp;""))</f>
        <v/>
      </c>
      <c r="AF990" s="0" t="str">
        <f aca="false">IF($A990="","",IF(AT990="Y",BU990&amp;"",BH990&amp;""))</f>
        <v/>
      </c>
      <c r="AG990" s="0" t="str">
        <f aca="false">IF($A990="","",IF(AT990="Y",BV990&amp;"",BI990&amp;""))</f>
        <v/>
      </c>
      <c r="AO990" s="5"/>
      <c r="AR990" s="0" t="str">
        <f aca="false">IF($A990="","",IF(AND(CK990="pass",AO990&lt;&gt;"Y",C990&lt;&gt;"",OR(AU990&lt;&gt;"Y",AV990="Y")),"Y","N"))</f>
        <v/>
      </c>
      <c r="AS990" s="0" t="str">
        <f aca="false">IF($A990="","",_xlfn.TEXTJOIN("; ",TRUE(),IF(CK990&lt;&gt;"pass","gated out",""),IF(AO990="Y","on hold: "&amp;AP990,""),IF(C990="","no contact named on an opened page",""),IF(AND(AU990="Y",AV990&lt;&gt;"Y"),"founder review pending (Founder review tab)","")))</f>
        <v/>
      </c>
      <c r="BC990" s="0" t="str">
        <f aca="false">IF($A990="","",IFERROR(INDEX(Enrichment!$A$2:$GZ$2000,MATCH($A990,INDEX(Enrichment!$A$2:$GZ$2000,0,MATCH("row_id",Enrichment!$A$1:$GZ$1,0)),0),MATCH("work_email",Enrichment!$A$1:$GZ$1,0))&amp;"",""))</f>
        <v/>
      </c>
      <c r="BD990" s="0" t="str">
        <f aca="false">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P990" s="0" t="str">
        <f aca="false">IF($A990="","",IFERROR(INDEX(Enrichment!$A$2:$GZ$2000,MATCH($A990,INDEX(Enrichment!$A$2:$GZ$2000,0,MATCH("row_id",Enrichment!$A$1:$GZ$1,0)),0),MATCH("backup_work_email",Enrichment!$A$1:$GZ$1,0))&amp;"",""))</f>
        <v/>
      </c>
      <c r="BQ990" s="0" t="str">
        <f aca="false">IF($A990="","",IF(BP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DU990" s="0" t="str">
        <f aca="false">IF($A990="","",IF(R990="Y",10,0))</f>
        <v/>
      </c>
      <c r="EV990" s="0" t="str">
        <f aca="false">IF($A990="","",IF(ISNUMBER(MATCH(U990,{"queued","contacted","replied","call_booked","call_done","yes_in_principle","materials_sent"},0)),"Y","N"))</f>
        <v/>
      </c>
      <c r="EW990" s="0" t="str">
        <f aca="false">IF($A990="","",IF(OR(T990="Y",U990="do_not_contact",AQ990&amp;""&lt;&gt;""),"Y","N"))</f>
        <v/>
      </c>
      <c r="EX990" s="0" t="str">
        <f aca="false">IF($A990="","",IF(AN990&amp;""&lt;&gt;"",AN990&amp;"",$A990))</f>
        <v/>
      </c>
      <c r="EY990" s="0" t="str">
        <f aca="false">IF($A990="","",IF(COUNTIFS($EX$2:$EX$1000,EX990,$EV$2:$EV$1000,"Y")+COUNTIFS($EX$2:$EX$1000,EX990,$EW$2:$EW$1000,"Y")&gt;0,"Y","N"))</f>
        <v/>
      </c>
      <c r="EZ990" s="0" t="str">
        <f aca="false">IF($A990="","",IF(AND(U990="new",T990="N",EW990="N",AR990="Y",EY990="N"),"Y","N"))</f>
        <v/>
      </c>
      <c r="FA990" s="0" t="str">
        <f aca="false">IF($A990="","",IF(EZ990&lt;&gt;"Y","N",IF(COUNTIFS($EX$2:$EX$1000,EX990,$EZ$2:$EZ$1000,"Y",$J$2:$J$1000,"&gt;"&amp;J990)+COUNTIFS($EX$2:$EX$1000,EX990,$EZ$2:$EZ$1000,"Y",$J$2:$J$1000,J990,$FG$2:$FG$1000,"&lt;"&amp;FG990)=0,"Y","N")))</f>
        <v/>
      </c>
      <c r="FB990" s="0" t="str">
        <f aca="false">IF($A990="","",IF(AND(EZ990="Y",FA990="Y",Y990&amp;""&lt;&gt;""),IF(Y990&lt;=10,"Y","N"),"N"))</f>
        <v/>
      </c>
      <c r="FC990" s="0" t="str">
        <f aca="false">IF(FB990="Y",Y990,"")</f>
        <v/>
      </c>
      <c r="FD990" s="0" t="str">
        <f aca="false">IF($A990="","",IF(AND(CK990="pass",AU990="Y",AV990&lt;&gt;"Y",U990="new",EW990="N"),"Y","N"))</f>
        <v/>
      </c>
      <c r="FE990" s="0" t="str">
        <f aca="false">IF(FD990&lt;&gt;"Y","",IF(COUNTIFS($FD$2:$FD$1000,"Y",$J$2:$J$1000,"&gt;"&amp;J990)+COUNTIFS($FD$2:$FD$1000,"Y",$J$2:$J$1000,J990,$FG$2:$FG$1000,"&lt;"&amp;FG990)+1&lt;=30,COUNTIFS($FD$2:$FD$1000,"Y",$J$2:$J$1000,"&gt;"&amp;J990)+COUNTIFS($FD$2:$FD$1000,"Y",$J$2:$J$1000,J990,$FG$2:$FG$1000,"&lt;"&amp;FG990)+1,""))</f>
        <v/>
      </c>
      <c r="FF990" s="0" t="str">
        <f aca="false">IF(AND(_xlfn.ISFORMULA(C990),_xlfn.ISFORMULA(J990)),"Y","N")</f>
        <v>Y</v>
      </c>
      <c r="FG990" s="0" t="n">
        <f aca="false">ROW()-1</f>
        <v>989</v>
      </c>
    </row>
    <row r="991" customFormat="false" ht="15" hidden="false" customHeight="false" outlineLevel="0" collapsed="false">
      <c r="C991" s="0" t="str">
        <f aca="false">IF($A991="","",IF(AT991="Y",BL991&amp;"",AY991&amp;""))</f>
        <v/>
      </c>
      <c r="D991" s="0" t="str">
        <f aca="false">IF($A991="","",IF(AT991="Y",BM991&amp;"",AZ991&amp;""))</f>
        <v/>
      </c>
      <c r="E991" s="0" t="str">
        <f aca="false">IF($A991="","",IF(AT991="Y",BN991&amp;"",BA991&amp;""))</f>
        <v/>
      </c>
      <c r="F991" s="0" t="str">
        <f aca="false">IF($A991="","",IF(AT991="Y",BO991&amp;"",BB991&amp;""))</f>
        <v/>
      </c>
      <c r="G991" s="0" t="str">
        <f aca="false">IF($A991="","",IF(AT991="Y",BP991&amp;"",BC991&amp;""))</f>
        <v/>
      </c>
      <c r="H991" s="0" t="str">
        <f aca="false">IF($A991="","",IF(AT991="Y",BQ991&amp;"",BD991&amp;""))</f>
        <v/>
      </c>
      <c r="I991" s="0" t="str">
        <f aca="false">IF($A991="","",IF(R991="Y","warm-intro",IF(H991="verified","email",IF(C991&lt;&gt;"","linkedin",CA991&amp;""))))</f>
        <v/>
      </c>
      <c r="J991" s="0" t="str">
        <f aca="false">IF($A991="","",IF(CK991="pass",ROUND(N(DO991)+N(DP991)+N(DQ991)+N(DR991)+N(DS991)+N(DT991)+N(DU991)+N(DV991),0),0))</f>
        <v/>
      </c>
      <c r="K991" s="0" t="str">
        <f aca="false">IF($A991="","",IF(CK991&lt;&gt;"pass",BY991&amp;"",BY991&amp;", "&amp;IF(AT991="Y",BX991&amp;"",BK991&amp;"")&amp;BZ991&amp;IF(R991="Y","; known to the founder (+10)","")&amp;"."))</f>
        <v/>
      </c>
      <c r="R991" s="5"/>
      <c r="T991" s="5"/>
      <c r="U991" s="5"/>
      <c r="Y991" s="0" t="str">
        <f aca="false">IF(FA991&lt;&gt;"Y","",COUNTIFS($FA$2:$FA$1000,"Y",$J$2:$J$1000,"&gt;"&amp;J991)+COUNTIFS($FA$2:$FA$1000,"Y",$J$2:$J$1000,J991,$FG$2:$FG$1000,"&lt;"&amp;FG991)+1)</f>
        <v/>
      </c>
      <c r="AB991" s="0" t="str">
        <f aca="false">IF($A991="","",IF(AT991="Y",BW991&amp;"",BJ991&amp;""))</f>
        <v/>
      </c>
      <c r="AC991" s="0" t="str">
        <f aca="false">IF($A991="","",IF(AT991="Y",BR991&amp;"",BE991&amp;""))</f>
        <v/>
      </c>
      <c r="AD991" s="0" t="str">
        <f aca="false">IF($A991="","",IF(AT991="Y",BS991&amp;"",BF991&amp;""))</f>
        <v/>
      </c>
      <c r="AE991" s="0" t="str">
        <f aca="false">IF($A991="","",IF(AT991="Y",BT991&amp;"",BG991&amp;""))</f>
        <v/>
      </c>
      <c r="AF991" s="0" t="str">
        <f aca="false">IF($A991="","",IF(AT991="Y",BU991&amp;"",BH991&amp;""))</f>
        <v/>
      </c>
      <c r="AG991" s="0" t="str">
        <f aca="false">IF($A991="","",IF(AT991="Y",BV991&amp;"",BI991&amp;""))</f>
        <v/>
      </c>
      <c r="AO991" s="5"/>
      <c r="AR991" s="0" t="str">
        <f aca="false">IF($A991="","",IF(AND(CK991="pass",AO991&lt;&gt;"Y",C991&lt;&gt;"",OR(AU991&lt;&gt;"Y",AV991="Y")),"Y","N"))</f>
        <v/>
      </c>
      <c r="AS991" s="0" t="str">
        <f aca="false">IF($A991="","",_xlfn.TEXTJOIN("; ",TRUE(),IF(CK991&lt;&gt;"pass","gated out",""),IF(AO991="Y","on hold: "&amp;AP991,""),IF(C991="","no contact named on an opened page",""),IF(AND(AU991="Y",AV991&lt;&gt;"Y"),"founder review pending (Founder review tab)","")))</f>
        <v/>
      </c>
      <c r="BC991" s="0" t="str">
        <f aca="false">IF($A991="","",IFERROR(INDEX(Enrichment!$A$2:$GZ$2000,MATCH($A991,INDEX(Enrichment!$A$2:$GZ$2000,0,MATCH("row_id",Enrichment!$A$1:$GZ$1,0)),0),MATCH("work_email",Enrichment!$A$1:$GZ$1,0))&amp;"",""))</f>
        <v/>
      </c>
      <c r="BD991" s="0" t="str">
        <f aca="false">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P991" s="0" t="str">
        <f aca="false">IF($A991="","",IFERROR(INDEX(Enrichment!$A$2:$GZ$2000,MATCH($A991,INDEX(Enrichment!$A$2:$GZ$2000,0,MATCH("row_id",Enrichment!$A$1:$GZ$1,0)),0),MATCH("backup_work_email",Enrichment!$A$1:$GZ$1,0))&amp;"",""))</f>
        <v/>
      </c>
      <c r="BQ991" s="0" t="str">
        <f aca="false">IF($A991="","",IF(BP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DU991" s="0" t="str">
        <f aca="false">IF($A991="","",IF(R991="Y",10,0))</f>
        <v/>
      </c>
      <c r="EV991" s="0" t="str">
        <f aca="false">IF($A991="","",IF(ISNUMBER(MATCH(U991,{"queued","contacted","replied","call_booked","call_done","yes_in_principle","materials_sent"},0)),"Y","N"))</f>
        <v/>
      </c>
      <c r="EW991" s="0" t="str">
        <f aca="false">IF($A991="","",IF(OR(T991="Y",U991="do_not_contact",AQ991&amp;""&lt;&gt;""),"Y","N"))</f>
        <v/>
      </c>
      <c r="EX991" s="0" t="str">
        <f aca="false">IF($A991="","",IF(AN991&amp;""&lt;&gt;"",AN991&amp;"",$A991))</f>
        <v/>
      </c>
      <c r="EY991" s="0" t="str">
        <f aca="false">IF($A991="","",IF(COUNTIFS($EX$2:$EX$1000,EX991,$EV$2:$EV$1000,"Y")+COUNTIFS($EX$2:$EX$1000,EX991,$EW$2:$EW$1000,"Y")&gt;0,"Y","N"))</f>
        <v/>
      </c>
      <c r="EZ991" s="0" t="str">
        <f aca="false">IF($A991="","",IF(AND(U991="new",T991="N",EW991="N",AR991="Y",EY991="N"),"Y","N"))</f>
        <v/>
      </c>
      <c r="FA991" s="0" t="str">
        <f aca="false">IF($A991="","",IF(EZ991&lt;&gt;"Y","N",IF(COUNTIFS($EX$2:$EX$1000,EX991,$EZ$2:$EZ$1000,"Y",$J$2:$J$1000,"&gt;"&amp;J991)+COUNTIFS($EX$2:$EX$1000,EX991,$EZ$2:$EZ$1000,"Y",$J$2:$J$1000,J991,$FG$2:$FG$1000,"&lt;"&amp;FG991)=0,"Y","N")))</f>
        <v/>
      </c>
      <c r="FB991" s="0" t="str">
        <f aca="false">IF($A991="","",IF(AND(EZ991="Y",FA991="Y",Y991&amp;""&lt;&gt;""),IF(Y991&lt;=10,"Y","N"),"N"))</f>
        <v/>
      </c>
      <c r="FC991" s="0" t="str">
        <f aca="false">IF(FB991="Y",Y991,"")</f>
        <v/>
      </c>
      <c r="FD991" s="0" t="str">
        <f aca="false">IF($A991="","",IF(AND(CK991="pass",AU991="Y",AV991&lt;&gt;"Y",U991="new",EW991="N"),"Y","N"))</f>
        <v/>
      </c>
      <c r="FE991" s="0" t="str">
        <f aca="false">IF(FD991&lt;&gt;"Y","",IF(COUNTIFS($FD$2:$FD$1000,"Y",$J$2:$J$1000,"&gt;"&amp;J991)+COUNTIFS($FD$2:$FD$1000,"Y",$J$2:$J$1000,J991,$FG$2:$FG$1000,"&lt;"&amp;FG991)+1&lt;=30,COUNTIFS($FD$2:$FD$1000,"Y",$J$2:$J$1000,"&gt;"&amp;J991)+COUNTIFS($FD$2:$FD$1000,"Y",$J$2:$J$1000,J991,$FG$2:$FG$1000,"&lt;"&amp;FG991)+1,""))</f>
        <v/>
      </c>
      <c r="FF991" s="0" t="str">
        <f aca="false">IF(AND(_xlfn.ISFORMULA(C991),_xlfn.ISFORMULA(J991)),"Y","N")</f>
        <v>Y</v>
      </c>
      <c r="FG991" s="0" t="n">
        <f aca="false">ROW()-1</f>
        <v>990</v>
      </c>
    </row>
    <row r="992" customFormat="false" ht="15" hidden="false" customHeight="false" outlineLevel="0" collapsed="false">
      <c r="C992" s="0" t="str">
        <f aca="false">IF($A992="","",IF(AT992="Y",BL992&amp;"",AY992&amp;""))</f>
        <v/>
      </c>
      <c r="D992" s="0" t="str">
        <f aca="false">IF($A992="","",IF(AT992="Y",BM992&amp;"",AZ992&amp;""))</f>
        <v/>
      </c>
      <c r="E992" s="0" t="str">
        <f aca="false">IF($A992="","",IF(AT992="Y",BN992&amp;"",BA992&amp;""))</f>
        <v/>
      </c>
      <c r="F992" s="0" t="str">
        <f aca="false">IF($A992="","",IF(AT992="Y",BO992&amp;"",BB992&amp;""))</f>
        <v/>
      </c>
      <c r="G992" s="0" t="str">
        <f aca="false">IF($A992="","",IF(AT992="Y",BP992&amp;"",BC992&amp;""))</f>
        <v/>
      </c>
      <c r="H992" s="0" t="str">
        <f aca="false">IF($A992="","",IF(AT992="Y",BQ992&amp;"",BD992&amp;""))</f>
        <v/>
      </c>
      <c r="I992" s="0" t="str">
        <f aca="false">IF($A992="","",IF(R992="Y","warm-intro",IF(H992="verified","email",IF(C992&lt;&gt;"","linkedin",CA992&amp;""))))</f>
        <v/>
      </c>
      <c r="J992" s="0" t="str">
        <f aca="false">IF($A992="","",IF(CK992="pass",ROUND(N(DO992)+N(DP992)+N(DQ992)+N(DR992)+N(DS992)+N(DT992)+N(DU992)+N(DV992),0),0))</f>
        <v/>
      </c>
      <c r="K992" s="0" t="str">
        <f aca="false">IF($A992="","",IF(CK992&lt;&gt;"pass",BY992&amp;"",BY992&amp;", "&amp;IF(AT992="Y",BX992&amp;"",BK992&amp;"")&amp;BZ992&amp;IF(R992="Y","; known to the founder (+10)","")&amp;"."))</f>
        <v/>
      </c>
      <c r="R992" s="5"/>
      <c r="T992" s="5"/>
      <c r="U992" s="5"/>
      <c r="Y992" s="0" t="str">
        <f aca="false">IF(FA992&lt;&gt;"Y","",COUNTIFS($FA$2:$FA$1000,"Y",$J$2:$J$1000,"&gt;"&amp;J992)+COUNTIFS($FA$2:$FA$1000,"Y",$J$2:$J$1000,J992,$FG$2:$FG$1000,"&lt;"&amp;FG992)+1)</f>
        <v/>
      </c>
      <c r="AB992" s="0" t="str">
        <f aca="false">IF($A992="","",IF(AT992="Y",BW992&amp;"",BJ992&amp;""))</f>
        <v/>
      </c>
      <c r="AC992" s="0" t="str">
        <f aca="false">IF($A992="","",IF(AT992="Y",BR992&amp;"",BE992&amp;""))</f>
        <v/>
      </c>
      <c r="AD992" s="0" t="str">
        <f aca="false">IF($A992="","",IF(AT992="Y",BS992&amp;"",BF992&amp;""))</f>
        <v/>
      </c>
      <c r="AE992" s="0" t="str">
        <f aca="false">IF($A992="","",IF(AT992="Y",BT992&amp;"",BG992&amp;""))</f>
        <v/>
      </c>
      <c r="AF992" s="0" t="str">
        <f aca="false">IF($A992="","",IF(AT992="Y",BU992&amp;"",BH992&amp;""))</f>
        <v/>
      </c>
      <c r="AG992" s="0" t="str">
        <f aca="false">IF($A992="","",IF(AT992="Y",BV992&amp;"",BI992&amp;""))</f>
        <v/>
      </c>
      <c r="AO992" s="5"/>
      <c r="AR992" s="0" t="str">
        <f aca="false">IF($A992="","",IF(AND(CK992="pass",AO992&lt;&gt;"Y",C992&lt;&gt;"",OR(AU992&lt;&gt;"Y",AV992="Y")),"Y","N"))</f>
        <v/>
      </c>
      <c r="AS992" s="0" t="str">
        <f aca="false">IF($A992="","",_xlfn.TEXTJOIN("; ",TRUE(),IF(CK992&lt;&gt;"pass","gated out",""),IF(AO992="Y","on hold: "&amp;AP992,""),IF(C992="","no contact named on an opened page",""),IF(AND(AU992="Y",AV992&lt;&gt;"Y"),"founder review pending (Founder review tab)","")))</f>
        <v/>
      </c>
      <c r="BC992" s="0" t="str">
        <f aca="false">IF($A992="","",IFERROR(INDEX(Enrichment!$A$2:$GZ$2000,MATCH($A992,INDEX(Enrichment!$A$2:$GZ$2000,0,MATCH("row_id",Enrichment!$A$1:$GZ$1,0)),0),MATCH("work_email",Enrichment!$A$1:$GZ$1,0))&amp;"",""))</f>
        <v/>
      </c>
      <c r="BD992" s="0" t="str">
        <f aca="false">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P992" s="0" t="str">
        <f aca="false">IF($A992="","",IFERROR(INDEX(Enrichment!$A$2:$GZ$2000,MATCH($A992,INDEX(Enrichment!$A$2:$GZ$2000,0,MATCH("row_id",Enrichment!$A$1:$GZ$1,0)),0),MATCH("backup_work_email",Enrichment!$A$1:$GZ$1,0))&amp;"",""))</f>
        <v/>
      </c>
      <c r="BQ992" s="0" t="str">
        <f aca="false">IF($A992="","",IF(BP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DU992" s="0" t="str">
        <f aca="false">IF($A992="","",IF(R992="Y",10,0))</f>
        <v/>
      </c>
      <c r="EV992" s="0" t="str">
        <f aca="false">IF($A992="","",IF(ISNUMBER(MATCH(U992,{"queued","contacted","replied","call_booked","call_done","yes_in_principle","materials_sent"},0)),"Y","N"))</f>
        <v/>
      </c>
      <c r="EW992" s="0" t="str">
        <f aca="false">IF($A992="","",IF(OR(T992="Y",U992="do_not_contact",AQ992&amp;""&lt;&gt;""),"Y","N"))</f>
        <v/>
      </c>
      <c r="EX992" s="0" t="str">
        <f aca="false">IF($A992="","",IF(AN992&amp;""&lt;&gt;"",AN992&amp;"",$A992))</f>
        <v/>
      </c>
      <c r="EY992" s="0" t="str">
        <f aca="false">IF($A992="","",IF(COUNTIFS($EX$2:$EX$1000,EX992,$EV$2:$EV$1000,"Y")+COUNTIFS($EX$2:$EX$1000,EX992,$EW$2:$EW$1000,"Y")&gt;0,"Y","N"))</f>
        <v/>
      </c>
      <c r="EZ992" s="0" t="str">
        <f aca="false">IF($A992="","",IF(AND(U992="new",T992="N",EW992="N",AR992="Y",EY992="N"),"Y","N"))</f>
        <v/>
      </c>
      <c r="FA992" s="0" t="str">
        <f aca="false">IF($A992="","",IF(EZ992&lt;&gt;"Y","N",IF(COUNTIFS($EX$2:$EX$1000,EX992,$EZ$2:$EZ$1000,"Y",$J$2:$J$1000,"&gt;"&amp;J992)+COUNTIFS($EX$2:$EX$1000,EX992,$EZ$2:$EZ$1000,"Y",$J$2:$J$1000,J992,$FG$2:$FG$1000,"&lt;"&amp;FG992)=0,"Y","N")))</f>
        <v/>
      </c>
      <c r="FB992" s="0" t="str">
        <f aca="false">IF($A992="","",IF(AND(EZ992="Y",FA992="Y",Y992&amp;""&lt;&gt;""),IF(Y992&lt;=10,"Y","N"),"N"))</f>
        <v/>
      </c>
      <c r="FC992" s="0" t="str">
        <f aca="false">IF(FB992="Y",Y992,"")</f>
        <v/>
      </c>
      <c r="FD992" s="0" t="str">
        <f aca="false">IF($A992="","",IF(AND(CK992="pass",AU992="Y",AV992&lt;&gt;"Y",U992="new",EW992="N"),"Y","N"))</f>
        <v/>
      </c>
      <c r="FE992" s="0" t="str">
        <f aca="false">IF(FD992&lt;&gt;"Y","",IF(COUNTIFS($FD$2:$FD$1000,"Y",$J$2:$J$1000,"&gt;"&amp;J992)+COUNTIFS($FD$2:$FD$1000,"Y",$J$2:$J$1000,J992,$FG$2:$FG$1000,"&lt;"&amp;FG992)+1&lt;=30,COUNTIFS($FD$2:$FD$1000,"Y",$J$2:$J$1000,"&gt;"&amp;J992)+COUNTIFS($FD$2:$FD$1000,"Y",$J$2:$J$1000,J992,$FG$2:$FG$1000,"&lt;"&amp;FG992)+1,""))</f>
        <v/>
      </c>
      <c r="FF992" s="0" t="str">
        <f aca="false">IF(AND(_xlfn.ISFORMULA(C992),_xlfn.ISFORMULA(J992)),"Y","N")</f>
        <v>Y</v>
      </c>
      <c r="FG992" s="0" t="n">
        <f aca="false">ROW()-1</f>
        <v>991</v>
      </c>
    </row>
    <row r="993" customFormat="false" ht="15" hidden="false" customHeight="false" outlineLevel="0" collapsed="false">
      <c r="C993" s="0" t="str">
        <f aca="false">IF($A993="","",IF(AT993="Y",BL993&amp;"",AY993&amp;""))</f>
        <v/>
      </c>
      <c r="D993" s="0" t="str">
        <f aca="false">IF($A993="","",IF(AT993="Y",BM993&amp;"",AZ993&amp;""))</f>
        <v/>
      </c>
      <c r="E993" s="0" t="str">
        <f aca="false">IF($A993="","",IF(AT993="Y",BN993&amp;"",BA993&amp;""))</f>
        <v/>
      </c>
      <c r="F993" s="0" t="str">
        <f aca="false">IF($A993="","",IF(AT993="Y",BO993&amp;"",BB993&amp;""))</f>
        <v/>
      </c>
      <c r="G993" s="0" t="str">
        <f aca="false">IF($A993="","",IF(AT993="Y",BP993&amp;"",BC993&amp;""))</f>
        <v/>
      </c>
      <c r="H993" s="0" t="str">
        <f aca="false">IF($A993="","",IF(AT993="Y",BQ993&amp;"",BD993&amp;""))</f>
        <v/>
      </c>
      <c r="I993" s="0" t="str">
        <f aca="false">IF($A993="","",IF(R993="Y","warm-intro",IF(H993="verified","email",IF(C993&lt;&gt;"","linkedin",CA993&amp;""))))</f>
        <v/>
      </c>
      <c r="J993" s="0" t="str">
        <f aca="false">IF($A993="","",IF(CK993="pass",ROUND(N(DO993)+N(DP993)+N(DQ993)+N(DR993)+N(DS993)+N(DT993)+N(DU993)+N(DV993),0),0))</f>
        <v/>
      </c>
      <c r="K993" s="0" t="str">
        <f aca="false">IF($A993="","",IF(CK993&lt;&gt;"pass",BY993&amp;"",BY993&amp;", "&amp;IF(AT993="Y",BX993&amp;"",BK993&amp;"")&amp;BZ993&amp;IF(R993="Y","; known to the founder (+10)","")&amp;"."))</f>
        <v/>
      </c>
      <c r="R993" s="5"/>
      <c r="T993" s="5"/>
      <c r="U993" s="5"/>
      <c r="Y993" s="0" t="str">
        <f aca="false">IF(FA993&lt;&gt;"Y","",COUNTIFS($FA$2:$FA$1000,"Y",$J$2:$J$1000,"&gt;"&amp;J993)+COUNTIFS($FA$2:$FA$1000,"Y",$J$2:$J$1000,J993,$FG$2:$FG$1000,"&lt;"&amp;FG993)+1)</f>
        <v/>
      </c>
      <c r="AB993" s="0" t="str">
        <f aca="false">IF($A993="","",IF(AT993="Y",BW993&amp;"",BJ993&amp;""))</f>
        <v/>
      </c>
      <c r="AC993" s="0" t="str">
        <f aca="false">IF($A993="","",IF(AT993="Y",BR993&amp;"",BE993&amp;""))</f>
        <v/>
      </c>
      <c r="AD993" s="0" t="str">
        <f aca="false">IF($A993="","",IF(AT993="Y",BS993&amp;"",BF993&amp;""))</f>
        <v/>
      </c>
      <c r="AE993" s="0" t="str">
        <f aca="false">IF($A993="","",IF(AT993="Y",BT993&amp;"",BG993&amp;""))</f>
        <v/>
      </c>
      <c r="AF993" s="0" t="str">
        <f aca="false">IF($A993="","",IF(AT993="Y",BU993&amp;"",BH993&amp;""))</f>
        <v/>
      </c>
      <c r="AG993" s="0" t="str">
        <f aca="false">IF($A993="","",IF(AT993="Y",BV993&amp;"",BI993&amp;""))</f>
        <v/>
      </c>
      <c r="AO993" s="5"/>
      <c r="AR993" s="0" t="str">
        <f aca="false">IF($A993="","",IF(AND(CK993="pass",AO993&lt;&gt;"Y",C993&lt;&gt;"",OR(AU993&lt;&gt;"Y",AV993="Y")),"Y","N"))</f>
        <v/>
      </c>
      <c r="AS993" s="0" t="str">
        <f aca="false">IF($A993="","",_xlfn.TEXTJOIN("; ",TRUE(),IF(CK993&lt;&gt;"pass","gated out",""),IF(AO993="Y","on hold: "&amp;AP993,""),IF(C993="","no contact named on an opened page",""),IF(AND(AU993="Y",AV993&lt;&gt;"Y"),"founder review pending (Founder review tab)","")))</f>
        <v/>
      </c>
      <c r="BC993" s="0" t="str">
        <f aca="false">IF($A993="","",IFERROR(INDEX(Enrichment!$A$2:$GZ$2000,MATCH($A993,INDEX(Enrichment!$A$2:$GZ$2000,0,MATCH("row_id",Enrichment!$A$1:$GZ$1,0)),0),MATCH("work_email",Enrichment!$A$1:$GZ$1,0))&amp;"",""))</f>
        <v/>
      </c>
      <c r="BD993" s="0" t="str">
        <f aca="false">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P993" s="0" t="str">
        <f aca="false">IF($A993="","",IFERROR(INDEX(Enrichment!$A$2:$GZ$2000,MATCH($A993,INDEX(Enrichment!$A$2:$GZ$2000,0,MATCH("row_id",Enrichment!$A$1:$GZ$1,0)),0),MATCH("backup_work_email",Enrichment!$A$1:$GZ$1,0))&amp;"",""))</f>
        <v/>
      </c>
      <c r="BQ993" s="0" t="str">
        <f aca="false">IF($A993="","",IF(BP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DU993" s="0" t="str">
        <f aca="false">IF($A993="","",IF(R993="Y",10,0))</f>
        <v/>
      </c>
      <c r="EV993" s="0" t="str">
        <f aca="false">IF($A993="","",IF(ISNUMBER(MATCH(U993,{"queued","contacted","replied","call_booked","call_done","yes_in_principle","materials_sent"},0)),"Y","N"))</f>
        <v/>
      </c>
      <c r="EW993" s="0" t="str">
        <f aca="false">IF($A993="","",IF(OR(T993="Y",U993="do_not_contact",AQ993&amp;""&lt;&gt;""),"Y","N"))</f>
        <v/>
      </c>
      <c r="EX993" s="0" t="str">
        <f aca="false">IF($A993="","",IF(AN993&amp;""&lt;&gt;"",AN993&amp;"",$A993))</f>
        <v/>
      </c>
      <c r="EY993" s="0" t="str">
        <f aca="false">IF($A993="","",IF(COUNTIFS($EX$2:$EX$1000,EX993,$EV$2:$EV$1000,"Y")+COUNTIFS($EX$2:$EX$1000,EX993,$EW$2:$EW$1000,"Y")&gt;0,"Y","N"))</f>
        <v/>
      </c>
      <c r="EZ993" s="0" t="str">
        <f aca="false">IF($A993="","",IF(AND(U993="new",T993="N",EW993="N",AR993="Y",EY993="N"),"Y","N"))</f>
        <v/>
      </c>
      <c r="FA993" s="0" t="str">
        <f aca="false">IF($A993="","",IF(EZ993&lt;&gt;"Y","N",IF(COUNTIFS($EX$2:$EX$1000,EX993,$EZ$2:$EZ$1000,"Y",$J$2:$J$1000,"&gt;"&amp;J993)+COUNTIFS($EX$2:$EX$1000,EX993,$EZ$2:$EZ$1000,"Y",$J$2:$J$1000,J993,$FG$2:$FG$1000,"&lt;"&amp;FG993)=0,"Y","N")))</f>
        <v/>
      </c>
      <c r="FB993" s="0" t="str">
        <f aca="false">IF($A993="","",IF(AND(EZ993="Y",FA993="Y",Y993&amp;""&lt;&gt;""),IF(Y993&lt;=10,"Y","N"),"N"))</f>
        <v/>
      </c>
      <c r="FC993" s="0" t="str">
        <f aca="false">IF(FB993="Y",Y993,"")</f>
        <v/>
      </c>
      <c r="FD993" s="0" t="str">
        <f aca="false">IF($A993="","",IF(AND(CK993="pass",AU993="Y",AV993&lt;&gt;"Y",U993="new",EW993="N"),"Y","N"))</f>
        <v/>
      </c>
      <c r="FE993" s="0" t="str">
        <f aca="false">IF(FD993&lt;&gt;"Y","",IF(COUNTIFS($FD$2:$FD$1000,"Y",$J$2:$J$1000,"&gt;"&amp;J993)+COUNTIFS($FD$2:$FD$1000,"Y",$J$2:$J$1000,J993,$FG$2:$FG$1000,"&lt;"&amp;FG993)+1&lt;=30,COUNTIFS($FD$2:$FD$1000,"Y",$J$2:$J$1000,"&gt;"&amp;J993)+COUNTIFS($FD$2:$FD$1000,"Y",$J$2:$J$1000,J993,$FG$2:$FG$1000,"&lt;"&amp;FG993)+1,""))</f>
        <v/>
      </c>
      <c r="FF993" s="0" t="str">
        <f aca="false">IF(AND(_xlfn.ISFORMULA(C993),_xlfn.ISFORMULA(J993)),"Y","N")</f>
        <v>Y</v>
      </c>
      <c r="FG993" s="0" t="n">
        <f aca="false">ROW()-1</f>
        <v>992</v>
      </c>
    </row>
    <row r="994" customFormat="false" ht="15" hidden="false" customHeight="false" outlineLevel="0" collapsed="false">
      <c r="C994" s="0" t="str">
        <f aca="false">IF($A994="","",IF(AT994="Y",BL994&amp;"",AY994&amp;""))</f>
        <v/>
      </c>
      <c r="D994" s="0" t="str">
        <f aca="false">IF($A994="","",IF(AT994="Y",BM994&amp;"",AZ994&amp;""))</f>
        <v/>
      </c>
      <c r="E994" s="0" t="str">
        <f aca="false">IF($A994="","",IF(AT994="Y",BN994&amp;"",BA994&amp;""))</f>
        <v/>
      </c>
      <c r="F994" s="0" t="str">
        <f aca="false">IF($A994="","",IF(AT994="Y",BO994&amp;"",BB994&amp;""))</f>
        <v/>
      </c>
      <c r="G994" s="0" t="str">
        <f aca="false">IF($A994="","",IF(AT994="Y",BP994&amp;"",BC994&amp;""))</f>
        <v/>
      </c>
      <c r="H994" s="0" t="str">
        <f aca="false">IF($A994="","",IF(AT994="Y",BQ994&amp;"",BD994&amp;""))</f>
        <v/>
      </c>
      <c r="I994" s="0" t="str">
        <f aca="false">IF($A994="","",IF(R994="Y","warm-intro",IF(H994="verified","email",IF(C994&lt;&gt;"","linkedin",CA994&amp;""))))</f>
        <v/>
      </c>
      <c r="J994" s="0" t="str">
        <f aca="false">IF($A994="","",IF(CK994="pass",ROUND(N(DO994)+N(DP994)+N(DQ994)+N(DR994)+N(DS994)+N(DT994)+N(DU994)+N(DV994),0),0))</f>
        <v/>
      </c>
      <c r="K994" s="0" t="str">
        <f aca="false">IF($A994="","",IF(CK994&lt;&gt;"pass",BY994&amp;"",BY994&amp;", "&amp;IF(AT994="Y",BX994&amp;"",BK994&amp;"")&amp;BZ994&amp;IF(R994="Y","; known to the founder (+10)","")&amp;"."))</f>
        <v/>
      </c>
      <c r="R994" s="5"/>
      <c r="T994" s="5"/>
      <c r="U994" s="5"/>
      <c r="Y994" s="0" t="str">
        <f aca="false">IF(FA994&lt;&gt;"Y","",COUNTIFS($FA$2:$FA$1000,"Y",$J$2:$J$1000,"&gt;"&amp;J994)+COUNTIFS($FA$2:$FA$1000,"Y",$J$2:$J$1000,J994,$FG$2:$FG$1000,"&lt;"&amp;FG994)+1)</f>
        <v/>
      </c>
      <c r="AB994" s="0" t="str">
        <f aca="false">IF($A994="","",IF(AT994="Y",BW994&amp;"",BJ994&amp;""))</f>
        <v/>
      </c>
      <c r="AC994" s="0" t="str">
        <f aca="false">IF($A994="","",IF(AT994="Y",BR994&amp;"",BE994&amp;""))</f>
        <v/>
      </c>
      <c r="AD994" s="0" t="str">
        <f aca="false">IF($A994="","",IF(AT994="Y",BS994&amp;"",BF994&amp;""))</f>
        <v/>
      </c>
      <c r="AE994" s="0" t="str">
        <f aca="false">IF($A994="","",IF(AT994="Y",BT994&amp;"",BG994&amp;""))</f>
        <v/>
      </c>
      <c r="AF994" s="0" t="str">
        <f aca="false">IF($A994="","",IF(AT994="Y",BU994&amp;"",BH994&amp;""))</f>
        <v/>
      </c>
      <c r="AG994" s="0" t="str">
        <f aca="false">IF($A994="","",IF(AT994="Y",BV994&amp;"",BI994&amp;""))</f>
        <v/>
      </c>
      <c r="AO994" s="5"/>
      <c r="AR994" s="0" t="str">
        <f aca="false">IF($A994="","",IF(AND(CK994="pass",AO994&lt;&gt;"Y",C994&lt;&gt;"",OR(AU994&lt;&gt;"Y",AV994="Y")),"Y","N"))</f>
        <v/>
      </c>
      <c r="AS994" s="0" t="str">
        <f aca="false">IF($A994="","",_xlfn.TEXTJOIN("; ",TRUE(),IF(CK994&lt;&gt;"pass","gated out",""),IF(AO994="Y","on hold: "&amp;AP994,""),IF(C994="","no contact named on an opened page",""),IF(AND(AU994="Y",AV994&lt;&gt;"Y"),"founder review pending (Founder review tab)","")))</f>
        <v/>
      </c>
      <c r="BC994" s="0" t="str">
        <f aca="false">IF($A994="","",IFERROR(INDEX(Enrichment!$A$2:$GZ$2000,MATCH($A994,INDEX(Enrichment!$A$2:$GZ$2000,0,MATCH("row_id",Enrichment!$A$1:$GZ$1,0)),0),MATCH("work_email",Enrichment!$A$1:$GZ$1,0))&amp;"",""))</f>
        <v/>
      </c>
      <c r="BD994" s="0" t="str">
        <f aca="false">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P994" s="0" t="str">
        <f aca="false">IF($A994="","",IFERROR(INDEX(Enrichment!$A$2:$GZ$2000,MATCH($A994,INDEX(Enrichment!$A$2:$GZ$2000,0,MATCH("row_id",Enrichment!$A$1:$GZ$1,0)),0),MATCH("backup_work_email",Enrichment!$A$1:$GZ$1,0))&amp;"",""))</f>
        <v/>
      </c>
      <c r="BQ994" s="0" t="str">
        <f aca="false">IF($A994="","",IF(BP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DU994" s="0" t="str">
        <f aca="false">IF($A994="","",IF(R994="Y",10,0))</f>
        <v/>
      </c>
      <c r="EV994" s="0" t="str">
        <f aca="false">IF($A994="","",IF(ISNUMBER(MATCH(U994,{"queued","contacted","replied","call_booked","call_done","yes_in_principle","materials_sent"},0)),"Y","N"))</f>
        <v/>
      </c>
      <c r="EW994" s="0" t="str">
        <f aca="false">IF($A994="","",IF(OR(T994="Y",U994="do_not_contact",AQ994&amp;""&lt;&gt;""),"Y","N"))</f>
        <v/>
      </c>
      <c r="EX994" s="0" t="str">
        <f aca="false">IF($A994="","",IF(AN994&amp;""&lt;&gt;"",AN994&amp;"",$A994))</f>
        <v/>
      </c>
      <c r="EY994" s="0" t="str">
        <f aca="false">IF($A994="","",IF(COUNTIFS($EX$2:$EX$1000,EX994,$EV$2:$EV$1000,"Y")+COUNTIFS($EX$2:$EX$1000,EX994,$EW$2:$EW$1000,"Y")&gt;0,"Y","N"))</f>
        <v/>
      </c>
      <c r="EZ994" s="0" t="str">
        <f aca="false">IF($A994="","",IF(AND(U994="new",T994="N",EW994="N",AR994="Y",EY994="N"),"Y","N"))</f>
        <v/>
      </c>
      <c r="FA994" s="0" t="str">
        <f aca="false">IF($A994="","",IF(EZ994&lt;&gt;"Y","N",IF(COUNTIFS($EX$2:$EX$1000,EX994,$EZ$2:$EZ$1000,"Y",$J$2:$J$1000,"&gt;"&amp;J994)+COUNTIFS($EX$2:$EX$1000,EX994,$EZ$2:$EZ$1000,"Y",$J$2:$J$1000,J994,$FG$2:$FG$1000,"&lt;"&amp;FG994)=0,"Y","N")))</f>
        <v/>
      </c>
      <c r="FB994" s="0" t="str">
        <f aca="false">IF($A994="","",IF(AND(EZ994="Y",FA994="Y",Y994&amp;""&lt;&gt;""),IF(Y994&lt;=10,"Y","N"),"N"))</f>
        <v/>
      </c>
      <c r="FC994" s="0" t="str">
        <f aca="false">IF(FB994="Y",Y994,"")</f>
        <v/>
      </c>
      <c r="FD994" s="0" t="str">
        <f aca="false">IF($A994="","",IF(AND(CK994="pass",AU994="Y",AV994&lt;&gt;"Y",U994="new",EW994="N"),"Y","N"))</f>
        <v/>
      </c>
      <c r="FE994" s="0" t="str">
        <f aca="false">IF(FD994&lt;&gt;"Y","",IF(COUNTIFS($FD$2:$FD$1000,"Y",$J$2:$J$1000,"&gt;"&amp;J994)+COUNTIFS($FD$2:$FD$1000,"Y",$J$2:$J$1000,J994,$FG$2:$FG$1000,"&lt;"&amp;FG994)+1&lt;=30,COUNTIFS($FD$2:$FD$1000,"Y",$J$2:$J$1000,"&gt;"&amp;J994)+COUNTIFS($FD$2:$FD$1000,"Y",$J$2:$J$1000,J994,$FG$2:$FG$1000,"&lt;"&amp;FG994)+1,""))</f>
        <v/>
      </c>
      <c r="FF994" s="0" t="str">
        <f aca="false">IF(AND(_xlfn.ISFORMULA(C994),_xlfn.ISFORMULA(J994)),"Y","N")</f>
        <v>Y</v>
      </c>
      <c r="FG994" s="0" t="n">
        <f aca="false">ROW()-1</f>
        <v>993</v>
      </c>
    </row>
    <row r="995" customFormat="false" ht="15" hidden="false" customHeight="false" outlineLevel="0" collapsed="false">
      <c r="C995" s="0" t="str">
        <f aca="false">IF($A995="","",IF(AT995="Y",BL995&amp;"",AY995&amp;""))</f>
        <v/>
      </c>
      <c r="D995" s="0" t="str">
        <f aca="false">IF($A995="","",IF(AT995="Y",BM995&amp;"",AZ995&amp;""))</f>
        <v/>
      </c>
      <c r="E995" s="0" t="str">
        <f aca="false">IF($A995="","",IF(AT995="Y",BN995&amp;"",BA995&amp;""))</f>
        <v/>
      </c>
      <c r="F995" s="0" t="str">
        <f aca="false">IF($A995="","",IF(AT995="Y",BO995&amp;"",BB995&amp;""))</f>
        <v/>
      </c>
      <c r="G995" s="0" t="str">
        <f aca="false">IF($A995="","",IF(AT995="Y",BP995&amp;"",BC995&amp;""))</f>
        <v/>
      </c>
      <c r="H995" s="0" t="str">
        <f aca="false">IF($A995="","",IF(AT995="Y",BQ995&amp;"",BD995&amp;""))</f>
        <v/>
      </c>
      <c r="I995" s="0" t="str">
        <f aca="false">IF($A995="","",IF(R995="Y","warm-intro",IF(H995="verified","email",IF(C995&lt;&gt;"","linkedin",CA995&amp;""))))</f>
        <v/>
      </c>
      <c r="J995" s="0" t="str">
        <f aca="false">IF($A995="","",IF(CK995="pass",ROUND(N(DO995)+N(DP995)+N(DQ995)+N(DR995)+N(DS995)+N(DT995)+N(DU995)+N(DV995),0),0))</f>
        <v/>
      </c>
      <c r="K995" s="0" t="str">
        <f aca="false">IF($A995="","",IF(CK995&lt;&gt;"pass",BY995&amp;"",BY995&amp;", "&amp;IF(AT995="Y",BX995&amp;"",BK995&amp;"")&amp;BZ995&amp;IF(R995="Y","; known to the founder (+10)","")&amp;"."))</f>
        <v/>
      </c>
      <c r="R995" s="5"/>
      <c r="T995" s="5"/>
      <c r="U995" s="5"/>
      <c r="Y995" s="0" t="str">
        <f aca="false">IF(FA995&lt;&gt;"Y","",COUNTIFS($FA$2:$FA$1000,"Y",$J$2:$J$1000,"&gt;"&amp;J995)+COUNTIFS($FA$2:$FA$1000,"Y",$J$2:$J$1000,J995,$FG$2:$FG$1000,"&lt;"&amp;FG995)+1)</f>
        <v/>
      </c>
      <c r="AB995" s="0" t="str">
        <f aca="false">IF($A995="","",IF(AT995="Y",BW995&amp;"",BJ995&amp;""))</f>
        <v/>
      </c>
      <c r="AC995" s="0" t="str">
        <f aca="false">IF($A995="","",IF(AT995="Y",BR995&amp;"",BE995&amp;""))</f>
        <v/>
      </c>
      <c r="AD995" s="0" t="str">
        <f aca="false">IF($A995="","",IF(AT995="Y",BS995&amp;"",BF995&amp;""))</f>
        <v/>
      </c>
      <c r="AE995" s="0" t="str">
        <f aca="false">IF($A995="","",IF(AT995="Y",BT995&amp;"",BG995&amp;""))</f>
        <v/>
      </c>
      <c r="AF995" s="0" t="str">
        <f aca="false">IF($A995="","",IF(AT995="Y",BU995&amp;"",BH995&amp;""))</f>
        <v/>
      </c>
      <c r="AG995" s="0" t="str">
        <f aca="false">IF($A995="","",IF(AT995="Y",BV995&amp;"",BI995&amp;""))</f>
        <v/>
      </c>
      <c r="AO995" s="5"/>
      <c r="AR995" s="0" t="str">
        <f aca="false">IF($A995="","",IF(AND(CK995="pass",AO995&lt;&gt;"Y",C995&lt;&gt;"",OR(AU995&lt;&gt;"Y",AV995="Y")),"Y","N"))</f>
        <v/>
      </c>
      <c r="AS995" s="0" t="str">
        <f aca="false">IF($A995="","",_xlfn.TEXTJOIN("; ",TRUE(),IF(CK995&lt;&gt;"pass","gated out",""),IF(AO995="Y","on hold: "&amp;AP995,""),IF(C995="","no contact named on an opened page",""),IF(AND(AU995="Y",AV995&lt;&gt;"Y"),"founder review pending (Founder review tab)","")))</f>
        <v/>
      </c>
      <c r="BC995" s="0" t="str">
        <f aca="false">IF($A995="","",IFERROR(INDEX(Enrichment!$A$2:$GZ$2000,MATCH($A995,INDEX(Enrichment!$A$2:$GZ$2000,0,MATCH("row_id",Enrichment!$A$1:$GZ$1,0)),0),MATCH("work_email",Enrichment!$A$1:$GZ$1,0))&amp;"",""))</f>
        <v/>
      </c>
      <c r="BD995" s="0" t="str">
        <f aca="false">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P995" s="0" t="str">
        <f aca="false">IF($A995="","",IFERROR(INDEX(Enrichment!$A$2:$GZ$2000,MATCH($A995,INDEX(Enrichment!$A$2:$GZ$2000,0,MATCH("row_id",Enrichment!$A$1:$GZ$1,0)),0),MATCH("backup_work_email",Enrichment!$A$1:$GZ$1,0))&amp;"",""))</f>
        <v/>
      </c>
      <c r="BQ995" s="0" t="str">
        <f aca="false">IF($A995="","",IF(BP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DU995" s="0" t="str">
        <f aca="false">IF($A995="","",IF(R995="Y",10,0))</f>
        <v/>
      </c>
      <c r="EV995" s="0" t="str">
        <f aca="false">IF($A995="","",IF(ISNUMBER(MATCH(U995,{"queued","contacted","replied","call_booked","call_done","yes_in_principle","materials_sent"},0)),"Y","N"))</f>
        <v/>
      </c>
      <c r="EW995" s="0" t="str">
        <f aca="false">IF($A995="","",IF(OR(T995="Y",U995="do_not_contact",AQ995&amp;""&lt;&gt;""),"Y","N"))</f>
        <v/>
      </c>
      <c r="EX995" s="0" t="str">
        <f aca="false">IF($A995="","",IF(AN995&amp;""&lt;&gt;"",AN995&amp;"",$A995))</f>
        <v/>
      </c>
      <c r="EY995" s="0" t="str">
        <f aca="false">IF($A995="","",IF(COUNTIFS($EX$2:$EX$1000,EX995,$EV$2:$EV$1000,"Y")+COUNTIFS($EX$2:$EX$1000,EX995,$EW$2:$EW$1000,"Y")&gt;0,"Y","N"))</f>
        <v/>
      </c>
      <c r="EZ995" s="0" t="str">
        <f aca="false">IF($A995="","",IF(AND(U995="new",T995="N",EW995="N",AR995="Y",EY995="N"),"Y","N"))</f>
        <v/>
      </c>
      <c r="FA995" s="0" t="str">
        <f aca="false">IF($A995="","",IF(EZ995&lt;&gt;"Y","N",IF(COUNTIFS($EX$2:$EX$1000,EX995,$EZ$2:$EZ$1000,"Y",$J$2:$J$1000,"&gt;"&amp;J995)+COUNTIFS($EX$2:$EX$1000,EX995,$EZ$2:$EZ$1000,"Y",$J$2:$J$1000,J995,$FG$2:$FG$1000,"&lt;"&amp;FG995)=0,"Y","N")))</f>
        <v/>
      </c>
      <c r="FB995" s="0" t="str">
        <f aca="false">IF($A995="","",IF(AND(EZ995="Y",FA995="Y",Y995&amp;""&lt;&gt;""),IF(Y995&lt;=10,"Y","N"),"N"))</f>
        <v/>
      </c>
      <c r="FC995" s="0" t="str">
        <f aca="false">IF(FB995="Y",Y995,"")</f>
        <v/>
      </c>
      <c r="FD995" s="0" t="str">
        <f aca="false">IF($A995="","",IF(AND(CK995="pass",AU995="Y",AV995&lt;&gt;"Y",U995="new",EW995="N"),"Y","N"))</f>
        <v/>
      </c>
      <c r="FE995" s="0" t="str">
        <f aca="false">IF(FD995&lt;&gt;"Y","",IF(COUNTIFS($FD$2:$FD$1000,"Y",$J$2:$J$1000,"&gt;"&amp;J995)+COUNTIFS($FD$2:$FD$1000,"Y",$J$2:$J$1000,J995,$FG$2:$FG$1000,"&lt;"&amp;FG995)+1&lt;=30,COUNTIFS($FD$2:$FD$1000,"Y",$J$2:$J$1000,"&gt;"&amp;J995)+COUNTIFS($FD$2:$FD$1000,"Y",$J$2:$J$1000,J995,$FG$2:$FG$1000,"&lt;"&amp;FG995)+1,""))</f>
        <v/>
      </c>
      <c r="FF995" s="0" t="str">
        <f aca="false">IF(AND(_xlfn.ISFORMULA(C995),_xlfn.ISFORMULA(J995)),"Y","N")</f>
        <v>Y</v>
      </c>
      <c r="FG995" s="0" t="n">
        <f aca="false">ROW()-1</f>
        <v>994</v>
      </c>
    </row>
    <row r="996" customFormat="false" ht="15" hidden="false" customHeight="false" outlineLevel="0" collapsed="false">
      <c r="C996" s="0" t="str">
        <f aca="false">IF($A996="","",IF(AT996="Y",BL996&amp;"",AY996&amp;""))</f>
        <v/>
      </c>
      <c r="D996" s="0" t="str">
        <f aca="false">IF($A996="","",IF(AT996="Y",BM996&amp;"",AZ996&amp;""))</f>
        <v/>
      </c>
      <c r="E996" s="0" t="str">
        <f aca="false">IF($A996="","",IF(AT996="Y",BN996&amp;"",BA996&amp;""))</f>
        <v/>
      </c>
      <c r="F996" s="0" t="str">
        <f aca="false">IF($A996="","",IF(AT996="Y",BO996&amp;"",BB996&amp;""))</f>
        <v/>
      </c>
      <c r="G996" s="0" t="str">
        <f aca="false">IF($A996="","",IF(AT996="Y",BP996&amp;"",BC996&amp;""))</f>
        <v/>
      </c>
      <c r="H996" s="0" t="str">
        <f aca="false">IF($A996="","",IF(AT996="Y",BQ996&amp;"",BD996&amp;""))</f>
        <v/>
      </c>
      <c r="I996" s="0" t="str">
        <f aca="false">IF($A996="","",IF(R996="Y","warm-intro",IF(H996="verified","email",IF(C996&lt;&gt;"","linkedin",CA996&amp;""))))</f>
        <v/>
      </c>
      <c r="J996" s="0" t="str">
        <f aca="false">IF($A996="","",IF(CK996="pass",ROUND(N(DO996)+N(DP996)+N(DQ996)+N(DR996)+N(DS996)+N(DT996)+N(DU996)+N(DV996),0),0))</f>
        <v/>
      </c>
      <c r="K996" s="0" t="str">
        <f aca="false">IF($A996="","",IF(CK996&lt;&gt;"pass",BY996&amp;"",BY996&amp;", "&amp;IF(AT996="Y",BX996&amp;"",BK996&amp;"")&amp;BZ996&amp;IF(R996="Y","; known to the founder (+10)","")&amp;"."))</f>
        <v/>
      </c>
      <c r="R996" s="5"/>
      <c r="T996" s="5"/>
      <c r="U996" s="5"/>
      <c r="Y996" s="0" t="str">
        <f aca="false">IF(FA996&lt;&gt;"Y","",COUNTIFS($FA$2:$FA$1000,"Y",$J$2:$J$1000,"&gt;"&amp;J996)+COUNTIFS($FA$2:$FA$1000,"Y",$J$2:$J$1000,J996,$FG$2:$FG$1000,"&lt;"&amp;FG996)+1)</f>
        <v/>
      </c>
      <c r="AB996" s="0" t="str">
        <f aca="false">IF($A996="","",IF(AT996="Y",BW996&amp;"",BJ996&amp;""))</f>
        <v/>
      </c>
      <c r="AC996" s="0" t="str">
        <f aca="false">IF($A996="","",IF(AT996="Y",BR996&amp;"",BE996&amp;""))</f>
        <v/>
      </c>
      <c r="AD996" s="0" t="str">
        <f aca="false">IF($A996="","",IF(AT996="Y",BS996&amp;"",BF996&amp;""))</f>
        <v/>
      </c>
      <c r="AE996" s="0" t="str">
        <f aca="false">IF($A996="","",IF(AT996="Y",BT996&amp;"",BG996&amp;""))</f>
        <v/>
      </c>
      <c r="AF996" s="0" t="str">
        <f aca="false">IF($A996="","",IF(AT996="Y",BU996&amp;"",BH996&amp;""))</f>
        <v/>
      </c>
      <c r="AG996" s="0" t="str">
        <f aca="false">IF($A996="","",IF(AT996="Y",BV996&amp;"",BI996&amp;""))</f>
        <v/>
      </c>
      <c r="AO996" s="5"/>
      <c r="AR996" s="0" t="str">
        <f aca="false">IF($A996="","",IF(AND(CK996="pass",AO996&lt;&gt;"Y",C996&lt;&gt;"",OR(AU996&lt;&gt;"Y",AV996="Y")),"Y","N"))</f>
        <v/>
      </c>
      <c r="AS996" s="0" t="str">
        <f aca="false">IF($A996="","",_xlfn.TEXTJOIN("; ",TRUE(),IF(CK996&lt;&gt;"pass","gated out",""),IF(AO996="Y","on hold: "&amp;AP996,""),IF(C996="","no contact named on an opened page",""),IF(AND(AU996="Y",AV996&lt;&gt;"Y"),"founder review pending (Founder review tab)","")))</f>
        <v/>
      </c>
      <c r="BC996" s="0" t="str">
        <f aca="false">IF($A996="","",IFERROR(INDEX(Enrichment!$A$2:$GZ$2000,MATCH($A996,INDEX(Enrichment!$A$2:$GZ$2000,0,MATCH("row_id",Enrichment!$A$1:$GZ$1,0)),0),MATCH("work_email",Enrichment!$A$1:$GZ$1,0))&amp;"",""))</f>
        <v/>
      </c>
      <c r="BD996" s="0" t="str">
        <f aca="false">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P996" s="0" t="str">
        <f aca="false">IF($A996="","",IFERROR(INDEX(Enrichment!$A$2:$GZ$2000,MATCH($A996,INDEX(Enrichment!$A$2:$GZ$2000,0,MATCH("row_id",Enrichment!$A$1:$GZ$1,0)),0),MATCH("backup_work_email",Enrichment!$A$1:$GZ$1,0))&amp;"",""))</f>
        <v/>
      </c>
      <c r="BQ996" s="0" t="str">
        <f aca="false">IF($A996="","",IF(BP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DU996" s="0" t="str">
        <f aca="false">IF($A996="","",IF(R996="Y",10,0))</f>
        <v/>
      </c>
      <c r="EV996" s="0" t="str">
        <f aca="false">IF($A996="","",IF(ISNUMBER(MATCH(U996,{"queued","contacted","replied","call_booked","call_done","yes_in_principle","materials_sent"},0)),"Y","N"))</f>
        <v/>
      </c>
      <c r="EW996" s="0" t="str">
        <f aca="false">IF($A996="","",IF(OR(T996="Y",U996="do_not_contact",AQ996&amp;""&lt;&gt;""),"Y","N"))</f>
        <v/>
      </c>
      <c r="EX996" s="0" t="str">
        <f aca="false">IF($A996="","",IF(AN996&amp;""&lt;&gt;"",AN996&amp;"",$A996))</f>
        <v/>
      </c>
      <c r="EY996" s="0" t="str">
        <f aca="false">IF($A996="","",IF(COUNTIFS($EX$2:$EX$1000,EX996,$EV$2:$EV$1000,"Y")+COUNTIFS($EX$2:$EX$1000,EX996,$EW$2:$EW$1000,"Y")&gt;0,"Y","N"))</f>
        <v/>
      </c>
      <c r="EZ996" s="0" t="str">
        <f aca="false">IF($A996="","",IF(AND(U996="new",T996="N",EW996="N",AR996="Y",EY996="N"),"Y","N"))</f>
        <v/>
      </c>
      <c r="FA996" s="0" t="str">
        <f aca="false">IF($A996="","",IF(EZ996&lt;&gt;"Y","N",IF(COUNTIFS($EX$2:$EX$1000,EX996,$EZ$2:$EZ$1000,"Y",$J$2:$J$1000,"&gt;"&amp;J996)+COUNTIFS($EX$2:$EX$1000,EX996,$EZ$2:$EZ$1000,"Y",$J$2:$J$1000,J996,$FG$2:$FG$1000,"&lt;"&amp;FG996)=0,"Y","N")))</f>
        <v/>
      </c>
      <c r="FB996" s="0" t="str">
        <f aca="false">IF($A996="","",IF(AND(EZ996="Y",FA996="Y",Y996&amp;""&lt;&gt;""),IF(Y996&lt;=10,"Y","N"),"N"))</f>
        <v/>
      </c>
      <c r="FC996" s="0" t="str">
        <f aca="false">IF(FB996="Y",Y996,"")</f>
        <v/>
      </c>
      <c r="FD996" s="0" t="str">
        <f aca="false">IF($A996="","",IF(AND(CK996="pass",AU996="Y",AV996&lt;&gt;"Y",U996="new",EW996="N"),"Y","N"))</f>
        <v/>
      </c>
      <c r="FE996" s="0" t="str">
        <f aca="false">IF(FD996&lt;&gt;"Y","",IF(COUNTIFS($FD$2:$FD$1000,"Y",$J$2:$J$1000,"&gt;"&amp;J996)+COUNTIFS($FD$2:$FD$1000,"Y",$J$2:$J$1000,J996,$FG$2:$FG$1000,"&lt;"&amp;FG996)+1&lt;=30,COUNTIFS($FD$2:$FD$1000,"Y",$J$2:$J$1000,"&gt;"&amp;J996)+COUNTIFS($FD$2:$FD$1000,"Y",$J$2:$J$1000,J996,$FG$2:$FG$1000,"&lt;"&amp;FG996)+1,""))</f>
        <v/>
      </c>
      <c r="FF996" s="0" t="str">
        <f aca="false">IF(AND(_xlfn.ISFORMULA(C996),_xlfn.ISFORMULA(J996)),"Y","N")</f>
        <v>Y</v>
      </c>
      <c r="FG996" s="0" t="n">
        <f aca="false">ROW()-1</f>
        <v>995</v>
      </c>
    </row>
    <row r="997" customFormat="false" ht="15" hidden="false" customHeight="false" outlineLevel="0" collapsed="false">
      <c r="C997" s="0" t="str">
        <f aca="false">IF($A997="","",IF(AT997="Y",BL997&amp;"",AY997&amp;""))</f>
        <v/>
      </c>
      <c r="D997" s="0" t="str">
        <f aca="false">IF($A997="","",IF(AT997="Y",BM997&amp;"",AZ997&amp;""))</f>
        <v/>
      </c>
      <c r="E997" s="0" t="str">
        <f aca="false">IF($A997="","",IF(AT997="Y",BN997&amp;"",BA997&amp;""))</f>
        <v/>
      </c>
      <c r="F997" s="0" t="str">
        <f aca="false">IF($A997="","",IF(AT997="Y",BO997&amp;"",BB997&amp;""))</f>
        <v/>
      </c>
      <c r="G997" s="0" t="str">
        <f aca="false">IF($A997="","",IF(AT997="Y",BP997&amp;"",BC997&amp;""))</f>
        <v/>
      </c>
      <c r="H997" s="0" t="str">
        <f aca="false">IF($A997="","",IF(AT997="Y",BQ997&amp;"",BD997&amp;""))</f>
        <v/>
      </c>
      <c r="I997" s="0" t="str">
        <f aca="false">IF($A997="","",IF(R997="Y","warm-intro",IF(H997="verified","email",IF(C997&lt;&gt;"","linkedin",CA997&amp;""))))</f>
        <v/>
      </c>
      <c r="J997" s="0" t="str">
        <f aca="false">IF($A997="","",IF(CK997="pass",ROUND(N(DO997)+N(DP997)+N(DQ997)+N(DR997)+N(DS997)+N(DT997)+N(DU997)+N(DV997),0),0))</f>
        <v/>
      </c>
      <c r="K997" s="0" t="str">
        <f aca="false">IF($A997="","",IF(CK997&lt;&gt;"pass",BY997&amp;"",BY997&amp;", "&amp;IF(AT997="Y",BX997&amp;"",BK997&amp;"")&amp;BZ997&amp;IF(R997="Y","; known to the founder (+10)","")&amp;"."))</f>
        <v/>
      </c>
      <c r="R997" s="5"/>
      <c r="T997" s="5"/>
      <c r="U997" s="5"/>
      <c r="Y997" s="0" t="str">
        <f aca="false">IF(FA997&lt;&gt;"Y","",COUNTIFS($FA$2:$FA$1000,"Y",$J$2:$J$1000,"&gt;"&amp;J997)+COUNTIFS($FA$2:$FA$1000,"Y",$J$2:$J$1000,J997,$FG$2:$FG$1000,"&lt;"&amp;FG997)+1)</f>
        <v/>
      </c>
      <c r="AB997" s="0" t="str">
        <f aca="false">IF($A997="","",IF(AT997="Y",BW997&amp;"",BJ997&amp;""))</f>
        <v/>
      </c>
      <c r="AC997" s="0" t="str">
        <f aca="false">IF($A997="","",IF(AT997="Y",BR997&amp;"",BE997&amp;""))</f>
        <v/>
      </c>
      <c r="AD997" s="0" t="str">
        <f aca="false">IF($A997="","",IF(AT997="Y",BS997&amp;"",BF997&amp;""))</f>
        <v/>
      </c>
      <c r="AE997" s="0" t="str">
        <f aca="false">IF($A997="","",IF(AT997="Y",BT997&amp;"",BG997&amp;""))</f>
        <v/>
      </c>
      <c r="AF997" s="0" t="str">
        <f aca="false">IF($A997="","",IF(AT997="Y",BU997&amp;"",BH997&amp;""))</f>
        <v/>
      </c>
      <c r="AG997" s="0" t="str">
        <f aca="false">IF($A997="","",IF(AT997="Y",BV997&amp;"",BI997&amp;""))</f>
        <v/>
      </c>
      <c r="AO997" s="5"/>
      <c r="AR997" s="0" t="str">
        <f aca="false">IF($A997="","",IF(AND(CK997="pass",AO997&lt;&gt;"Y",C997&lt;&gt;"",OR(AU997&lt;&gt;"Y",AV997="Y")),"Y","N"))</f>
        <v/>
      </c>
      <c r="AS997" s="0" t="str">
        <f aca="false">IF($A997="","",_xlfn.TEXTJOIN("; ",TRUE(),IF(CK997&lt;&gt;"pass","gated out",""),IF(AO997="Y","on hold: "&amp;AP997,""),IF(C997="","no contact named on an opened page",""),IF(AND(AU997="Y",AV997&lt;&gt;"Y"),"founder review pending (Founder review tab)","")))</f>
        <v/>
      </c>
      <c r="BC997" s="0" t="str">
        <f aca="false">IF($A997="","",IFERROR(INDEX(Enrichment!$A$2:$GZ$2000,MATCH($A997,INDEX(Enrichment!$A$2:$GZ$2000,0,MATCH("row_id",Enrichment!$A$1:$GZ$1,0)),0),MATCH("work_email",Enrichment!$A$1:$GZ$1,0))&amp;"",""))</f>
        <v/>
      </c>
      <c r="BD997" s="0" t="str">
        <f aca="false">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P997" s="0" t="str">
        <f aca="false">IF($A997="","",IFERROR(INDEX(Enrichment!$A$2:$GZ$2000,MATCH($A997,INDEX(Enrichment!$A$2:$GZ$2000,0,MATCH("row_id",Enrichment!$A$1:$GZ$1,0)),0),MATCH("backup_work_email",Enrichment!$A$1:$GZ$1,0))&amp;"",""))</f>
        <v/>
      </c>
      <c r="BQ997" s="0" t="str">
        <f aca="false">IF($A997="","",IF(BP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DU997" s="0" t="str">
        <f aca="false">IF($A997="","",IF(R997="Y",10,0))</f>
        <v/>
      </c>
      <c r="EV997" s="0" t="str">
        <f aca="false">IF($A997="","",IF(ISNUMBER(MATCH(U997,{"queued","contacted","replied","call_booked","call_done","yes_in_principle","materials_sent"},0)),"Y","N"))</f>
        <v/>
      </c>
      <c r="EW997" s="0" t="str">
        <f aca="false">IF($A997="","",IF(OR(T997="Y",U997="do_not_contact",AQ997&amp;""&lt;&gt;""),"Y","N"))</f>
        <v/>
      </c>
      <c r="EX997" s="0" t="str">
        <f aca="false">IF($A997="","",IF(AN997&amp;""&lt;&gt;"",AN997&amp;"",$A997))</f>
        <v/>
      </c>
      <c r="EY997" s="0" t="str">
        <f aca="false">IF($A997="","",IF(COUNTIFS($EX$2:$EX$1000,EX997,$EV$2:$EV$1000,"Y")+COUNTIFS($EX$2:$EX$1000,EX997,$EW$2:$EW$1000,"Y")&gt;0,"Y","N"))</f>
        <v/>
      </c>
      <c r="EZ997" s="0" t="str">
        <f aca="false">IF($A997="","",IF(AND(U997="new",T997="N",EW997="N",AR997="Y",EY997="N"),"Y","N"))</f>
        <v/>
      </c>
      <c r="FA997" s="0" t="str">
        <f aca="false">IF($A997="","",IF(EZ997&lt;&gt;"Y","N",IF(COUNTIFS($EX$2:$EX$1000,EX997,$EZ$2:$EZ$1000,"Y",$J$2:$J$1000,"&gt;"&amp;J997)+COUNTIFS($EX$2:$EX$1000,EX997,$EZ$2:$EZ$1000,"Y",$J$2:$J$1000,J997,$FG$2:$FG$1000,"&lt;"&amp;FG997)=0,"Y","N")))</f>
        <v/>
      </c>
      <c r="FB997" s="0" t="str">
        <f aca="false">IF($A997="","",IF(AND(EZ997="Y",FA997="Y",Y997&amp;""&lt;&gt;""),IF(Y997&lt;=10,"Y","N"),"N"))</f>
        <v/>
      </c>
      <c r="FC997" s="0" t="str">
        <f aca="false">IF(FB997="Y",Y997,"")</f>
        <v/>
      </c>
      <c r="FD997" s="0" t="str">
        <f aca="false">IF($A997="","",IF(AND(CK997="pass",AU997="Y",AV997&lt;&gt;"Y",U997="new",EW997="N"),"Y","N"))</f>
        <v/>
      </c>
      <c r="FE997" s="0" t="str">
        <f aca="false">IF(FD997&lt;&gt;"Y","",IF(COUNTIFS($FD$2:$FD$1000,"Y",$J$2:$J$1000,"&gt;"&amp;J997)+COUNTIFS($FD$2:$FD$1000,"Y",$J$2:$J$1000,J997,$FG$2:$FG$1000,"&lt;"&amp;FG997)+1&lt;=30,COUNTIFS($FD$2:$FD$1000,"Y",$J$2:$J$1000,"&gt;"&amp;J997)+COUNTIFS($FD$2:$FD$1000,"Y",$J$2:$J$1000,J997,$FG$2:$FG$1000,"&lt;"&amp;FG997)+1,""))</f>
        <v/>
      </c>
      <c r="FF997" s="0" t="str">
        <f aca="false">IF(AND(_xlfn.ISFORMULA(C997),_xlfn.ISFORMULA(J997)),"Y","N")</f>
        <v>Y</v>
      </c>
      <c r="FG997" s="0" t="n">
        <f aca="false">ROW()-1</f>
        <v>996</v>
      </c>
    </row>
    <row r="998" customFormat="false" ht="15" hidden="false" customHeight="false" outlineLevel="0" collapsed="false">
      <c r="C998" s="0" t="str">
        <f aca="false">IF($A998="","",IF(AT998="Y",BL998&amp;"",AY998&amp;""))</f>
        <v/>
      </c>
      <c r="D998" s="0" t="str">
        <f aca="false">IF($A998="","",IF(AT998="Y",BM998&amp;"",AZ998&amp;""))</f>
        <v/>
      </c>
      <c r="E998" s="0" t="str">
        <f aca="false">IF($A998="","",IF(AT998="Y",BN998&amp;"",BA998&amp;""))</f>
        <v/>
      </c>
      <c r="F998" s="0" t="str">
        <f aca="false">IF($A998="","",IF(AT998="Y",BO998&amp;"",BB998&amp;""))</f>
        <v/>
      </c>
      <c r="G998" s="0" t="str">
        <f aca="false">IF($A998="","",IF(AT998="Y",BP998&amp;"",BC998&amp;""))</f>
        <v/>
      </c>
      <c r="H998" s="0" t="str">
        <f aca="false">IF($A998="","",IF(AT998="Y",BQ998&amp;"",BD998&amp;""))</f>
        <v/>
      </c>
      <c r="I998" s="0" t="str">
        <f aca="false">IF($A998="","",IF(R998="Y","warm-intro",IF(H998="verified","email",IF(C998&lt;&gt;"","linkedin",CA998&amp;""))))</f>
        <v/>
      </c>
      <c r="J998" s="0" t="str">
        <f aca="false">IF($A998="","",IF(CK998="pass",ROUND(N(DO998)+N(DP998)+N(DQ998)+N(DR998)+N(DS998)+N(DT998)+N(DU998)+N(DV998),0),0))</f>
        <v/>
      </c>
      <c r="K998" s="0" t="str">
        <f aca="false">IF($A998="","",IF(CK998&lt;&gt;"pass",BY998&amp;"",BY998&amp;", "&amp;IF(AT998="Y",BX998&amp;"",BK998&amp;"")&amp;BZ998&amp;IF(R998="Y","; known to the founder (+10)","")&amp;"."))</f>
        <v/>
      </c>
      <c r="R998" s="5"/>
      <c r="T998" s="5"/>
      <c r="U998" s="5"/>
      <c r="Y998" s="0" t="str">
        <f aca="false">IF(FA998&lt;&gt;"Y","",COUNTIFS($FA$2:$FA$1000,"Y",$J$2:$J$1000,"&gt;"&amp;J998)+COUNTIFS($FA$2:$FA$1000,"Y",$J$2:$J$1000,J998,$FG$2:$FG$1000,"&lt;"&amp;FG998)+1)</f>
        <v/>
      </c>
      <c r="AB998" s="0" t="str">
        <f aca="false">IF($A998="","",IF(AT998="Y",BW998&amp;"",BJ998&amp;""))</f>
        <v/>
      </c>
      <c r="AC998" s="0" t="str">
        <f aca="false">IF($A998="","",IF(AT998="Y",BR998&amp;"",BE998&amp;""))</f>
        <v/>
      </c>
      <c r="AD998" s="0" t="str">
        <f aca="false">IF($A998="","",IF(AT998="Y",BS998&amp;"",BF998&amp;""))</f>
        <v/>
      </c>
      <c r="AE998" s="0" t="str">
        <f aca="false">IF($A998="","",IF(AT998="Y",BT998&amp;"",BG998&amp;""))</f>
        <v/>
      </c>
      <c r="AF998" s="0" t="str">
        <f aca="false">IF($A998="","",IF(AT998="Y",BU998&amp;"",BH998&amp;""))</f>
        <v/>
      </c>
      <c r="AG998" s="0" t="str">
        <f aca="false">IF($A998="","",IF(AT998="Y",BV998&amp;"",BI998&amp;""))</f>
        <v/>
      </c>
      <c r="AO998" s="5"/>
      <c r="AR998" s="0" t="str">
        <f aca="false">IF($A998="","",IF(AND(CK998="pass",AO998&lt;&gt;"Y",C998&lt;&gt;"",OR(AU998&lt;&gt;"Y",AV998="Y")),"Y","N"))</f>
        <v/>
      </c>
      <c r="AS998" s="0" t="str">
        <f aca="false">IF($A998="","",_xlfn.TEXTJOIN("; ",TRUE(),IF(CK998&lt;&gt;"pass","gated out",""),IF(AO998="Y","on hold: "&amp;AP998,""),IF(C998="","no contact named on an opened page",""),IF(AND(AU998="Y",AV998&lt;&gt;"Y"),"founder review pending (Founder review tab)","")))</f>
        <v/>
      </c>
      <c r="BC998" s="0" t="str">
        <f aca="false">IF($A998="","",IFERROR(INDEX(Enrichment!$A$2:$GZ$2000,MATCH($A998,INDEX(Enrichment!$A$2:$GZ$2000,0,MATCH("row_id",Enrichment!$A$1:$GZ$1,0)),0),MATCH("work_email",Enrichment!$A$1:$GZ$1,0))&amp;"",""))</f>
        <v/>
      </c>
      <c r="BD998" s="0" t="str">
        <f aca="false">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P998" s="0" t="str">
        <f aca="false">IF($A998="","",IFERROR(INDEX(Enrichment!$A$2:$GZ$2000,MATCH($A998,INDEX(Enrichment!$A$2:$GZ$2000,0,MATCH("row_id",Enrichment!$A$1:$GZ$1,0)),0),MATCH("backup_work_email",Enrichment!$A$1:$GZ$1,0))&amp;"",""))</f>
        <v/>
      </c>
      <c r="BQ998" s="0" t="str">
        <f aca="false">IF($A998="","",IF(BP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DU998" s="0" t="str">
        <f aca="false">IF($A998="","",IF(R998="Y",10,0))</f>
        <v/>
      </c>
      <c r="EV998" s="0" t="str">
        <f aca="false">IF($A998="","",IF(ISNUMBER(MATCH(U998,{"queued","contacted","replied","call_booked","call_done","yes_in_principle","materials_sent"},0)),"Y","N"))</f>
        <v/>
      </c>
      <c r="EW998" s="0" t="str">
        <f aca="false">IF($A998="","",IF(OR(T998="Y",U998="do_not_contact",AQ998&amp;""&lt;&gt;""),"Y","N"))</f>
        <v/>
      </c>
      <c r="EX998" s="0" t="str">
        <f aca="false">IF($A998="","",IF(AN998&amp;""&lt;&gt;"",AN998&amp;"",$A998))</f>
        <v/>
      </c>
      <c r="EY998" s="0" t="str">
        <f aca="false">IF($A998="","",IF(COUNTIFS($EX$2:$EX$1000,EX998,$EV$2:$EV$1000,"Y")+COUNTIFS($EX$2:$EX$1000,EX998,$EW$2:$EW$1000,"Y")&gt;0,"Y","N"))</f>
        <v/>
      </c>
      <c r="EZ998" s="0" t="str">
        <f aca="false">IF($A998="","",IF(AND(U998="new",T998="N",EW998="N",AR998="Y",EY998="N"),"Y","N"))</f>
        <v/>
      </c>
      <c r="FA998" s="0" t="str">
        <f aca="false">IF($A998="","",IF(EZ998&lt;&gt;"Y","N",IF(COUNTIFS($EX$2:$EX$1000,EX998,$EZ$2:$EZ$1000,"Y",$J$2:$J$1000,"&gt;"&amp;J998)+COUNTIFS($EX$2:$EX$1000,EX998,$EZ$2:$EZ$1000,"Y",$J$2:$J$1000,J998,$FG$2:$FG$1000,"&lt;"&amp;FG998)=0,"Y","N")))</f>
        <v/>
      </c>
      <c r="FB998" s="0" t="str">
        <f aca="false">IF($A998="","",IF(AND(EZ998="Y",FA998="Y",Y998&amp;""&lt;&gt;""),IF(Y998&lt;=10,"Y","N"),"N"))</f>
        <v/>
      </c>
      <c r="FC998" s="0" t="str">
        <f aca="false">IF(FB998="Y",Y998,"")</f>
        <v/>
      </c>
      <c r="FD998" s="0" t="str">
        <f aca="false">IF($A998="","",IF(AND(CK998="pass",AU998="Y",AV998&lt;&gt;"Y",U998="new",EW998="N"),"Y","N"))</f>
        <v/>
      </c>
      <c r="FE998" s="0" t="str">
        <f aca="false">IF(FD998&lt;&gt;"Y","",IF(COUNTIFS($FD$2:$FD$1000,"Y",$J$2:$J$1000,"&gt;"&amp;J998)+COUNTIFS($FD$2:$FD$1000,"Y",$J$2:$J$1000,J998,$FG$2:$FG$1000,"&lt;"&amp;FG998)+1&lt;=30,COUNTIFS($FD$2:$FD$1000,"Y",$J$2:$J$1000,"&gt;"&amp;J998)+COUNTIFS($FD$2:$FD$1000,"Y",$J$2:$J$1000,J998,$FG$2:$FG$1000,"&lt;"&amp;FG998)+1,""))</f>
        <v/>
      </c>
      <c r="FF998" s="0" t="str">
        <f aca="false">IF(AND(_xlfn.ISFORMULA(C998),_xlfn.ISFORMULA(J998)),"Y","N")</f>
        <v>Y</v>
      </c>
      <c r="FG998" s="0" t="n">
        <f aca="false">ROW()-1</f>
        <v>997</v>
      </c>
    </row>
    <row r="999" customFormat="false" ht="15" hidden="false" customHeight="false" outlineLevel="0" collapsed="false">
      <c r="C999" s="0" t="str">
        <f aca="false">IF($A999="","",IF(AT999="Y",BL999&amp;"",AY999&amp;""))</f>
        <v/>
      </c>
      <c r="D999" s="0" t="str">
        <f aca="false">IF($A999="","",IF(AT999="Y",BM999&amp;"",AZ999&amp;""))</f>
        <v/>
      </c>
      <c r="E999" s="0" t="str">
        <f aca="false">IF($A999="","",IF(AT999="Y",BN999&amp;"",BA999&amp;""))</f>
        <v/>
      </c>
      <c r="F999" s="0" t="str">
        <f aca="false">IF($A999="","",IF(AT999="Y",BO999&amp;"",BB999&amp;""))</f>
        <v/>
      </c>
      <c r="G999" s="0" t="str">
        <f aca="false">IF($A999="","",IF(AT999="Y",BP999&amp;"",BC999&amp;""))</f>
        <v/>
      </c>
      <c r="H999" s="0" t="str">
        <f aca="false">IF($A999="","",IF(AT999="Y",BQ999&amp;"",BD999&amp;""))</f>
        <v/>
      </c>
      <c r="I999" s="0" t="str">
        <f aca="false">IF($A999="","",IF(R999="Y","warm-intro",IF(H999="verified","email",IF(C999&lt;&gt;"","linkedin",CA999&amp;""))))</f>
        <v/>
      </c>
      <c r="J999" s="0" t="str">
        <f aca="false">IF($A999="","",IF(CK999="pass",ROUND(N(DO999)+N(DP999)+N(DQ999)+N(DR999)+N(DS999)+N(DT999)+N(DU999)+N(DV999),0),0))</f>
        <v/>
      </c>
      <c r="K999" s="0" t="str">
        <f aca="false">IF($A999="","",IF(CK999&lt;&gt;"pass",BY999&amp;"",BY999&amp;", "&amp;IF(AT999="Y",BX999&amp;"",BK999&amp;"")&amp;BZ999&amp;IF(R999="Y","; known to the founder (+10)","")&amp;"."))</f>
        <v/>
      </c>
      <c r="R999" s="5"/>
      <c r="T999" s="5"/>
      <c r="U999" s="5"/>
      <c r="Y999" s="0" t="str">
        <f aca="false">IF(FA999&lt;&gt;"Y","",COUNTIFS($FA$2:$FA$1000,"Y",$J$2:$J$1000,"&gt;"&amp;J999)+COUNTIFS($FA$2:$FA$1000,"Y",$J$2:$J$1000,J999,$FG$2:$FG$1000,"&lt;"&amp;FG999)+1)</f>
        <v/>
      </c>
      <c r="AB999" s="0" t="str">
        <f aca="false">IF($A999="","",IF(AT999="Y",BW999&amp;"",BJ999&amp;""))</f>
        <v/>
      </c>
      <c r="AC999" s="0" t="str">
        <f aca="false">IF($A999="","",IF(AT999="Y",BR999&amp;"",BE999&amp;""))</f>
        <v/>
      </c>
      <c r="AD999" s="0" t="str">
        <f aca="false">IF($A999="","",IF(AT999="Y",BS999&amp;"",BF999&amp;""))</f>
        <v/>
      </c>
      <c r="AE999" s="0" t="str">
        <f aca="false">IF($A999="","",IF(AT999="Y",BT999&amp;"",BG999&amp;""))</f>
        <v/>
      </c>
      <c r="AF999" s="0" t="str">
        <f aca="false">IF($A999="","",IF(AT999="Y",BU999&amp;"",BH999&amp;""))</f>
        <v/>
      </c>
      <c r="AG999" s="0" t="str">
        <f aca="false">IF($A999="","",IF(AT999="Y",BV999&amp;"",BI999&amp;""))</f>
        <v/>
      </c>
      <c r="AO999" s="5"/>
      <c r="AR999" s="0" t="str">
        <f aca="false">IF($A999="","",IF(AND(CK999="pass",AO999&lt;&gt;"Y",C999&lt;&gt;"",OR(AU999&lt;&gt;"Y",AV999="Y")),"Y","N"))</f>
        <v/>
      </c>
      <c r="AS999" s="0" t="str">
        <f aca="false">IF($A999="","",_xlfn.TEXTJOIN("; ",TRUE(),IF(CK999&lt;&gt;"pass","gated out",""),IF(AO999="Y","on hold: "&amp;AP999,""),IF(C999="","no contact named on an opened page",""),IF(AND(AU999="Y",AV999&lt;&gt;"Y"),"founder review pending (Founder review tab)","")))</f>
        <v/>
      </c>
      <c r="BC999" s="0" t="str">
        <f aca="false">IF($A999="","",IFERROR(INDEX(Enrichment!$A$2:$GZ$2000,MATCH($A999,INDEX(Enrichment!$A$2:$GZ$2000,0,MATCH("row_id",Enrichment!$A$1:$GZ$1,0)),0),MATCH("work_email",Enrichment!$A$1:$GZ$1,0))&amp;"",""))</f>
        <v/>
      </c>
      <c r="BD999" s="0" t="str">
        <f aca="false">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P999" s="0" t="str">
        <f aca="false">IF($A999="","",IFERROR(INDEX(Enrichment!$A$2:$GZ$2000,MATCH($A999,INDEX(Enrichment!$A$2:$GZ$2000,0,MATCH("row_id",Enrichment!$A$1:$GZ$1,0)),0),MATCH("backup_work_email",Enrichment!$A$1:$GZ$1,0))&amp;"",""))</f>
        <v/>
      </c>
      <c r="BQ999" s="0" t="str">
        <f aca="false">IF($A999="","",IF(BP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DU999" s="0" t="str">
        <f aca="false">IF($A999="","",IF(R999="Y",10,0))</f>
        <v/>
      </c>
      <c r="EV999" s="0" t="str">
        <f aca="false">IF($A999="","",IF(ISNUMBER(MATCH(U999,{"queued","contacted","replied","call_booked","call_done","yes_in_principle","materials_sent"},0)),"Y","N"))</f>
        <v/>
      </c>
      <c r="EW999" s="0" t="str">
        <f aca="false">IF($A999="","",IF(OR(T999="Y",U999="do_not_contact",AQ999&amp;""&lt;&gt;""),"Y","N"))</f>
        <v/>
      </c>
      <c r="EX999" s="0" t="str">
        <f aca="false">IF($A999="","",IF(AN999&amp;""&lt;&gt;"",AN999&amp;"",$A999))</f>
        <v/>
      </c>
      <c r="EY999" s="0" t="str">
        <f aca="false">IF($A999="","",IF(COUNTIFS($EX$2:$EX$1000,EX999,$EV$2:$EV$1000,"Y")+COUNTIFS($EX$2:$EX$1000,EX999,$EW$2:$EW$1000,"Y")&gt;0,"Y","N"))</f>
        <v/>
      </c>
      <c r="EZ999" s="0" t="str">
        <f aca="false">IF($A999="","",IF(AND(U999="new",T999="N",EW999="N",AR999="Y",EY999="N"),"Y","N"))</f>
        <v/>
      </c>
      <c r="FA999" s="0" t="str">
        <f aca="false">IF($A999="","",IF(EZ999&lt;&gt;"Y","N",IF(COUNTIFS($EX$2:$EX$1000,EX999,$EZ$2:$EZ$1000,"Y",$J$2:$J$1000,"&gt;"&amp;J999)+COUNTIFS($EX$2:$EX$1000,EX999,$EZ$2:$EZ$1000,"Y",$J$2:$J$1000,J999,$FG$2:$FG$1000,"&lt;"&amp;FG999)=0,"Y","N")))</f>
        <v/>
      </c>
      <c r="FB999" s="0" t="str">
        <f aca="false">IF($A999="","",IF(AND(EZ999="Y",FA999="Y",Y999&amp;""&lt;&gt;""),IF(Y999&lt;=10,"Y","N"),"N"))</f>
        <v/>
      </c>
      <c r="FC999" s="0" t="str">
        <f aca="false">IF(FB999="Y",Y999,"")</f>
        <v/>
      </c>
      <c r="FD999" s="0" t="str">
        <f aca="false">IF($A999="","",IF(AND(CK999="pass",AU999="Y",AV999&lt;&gt;"Y",U999="new",EW999="N"),"Y","N"))</f>
        <v/>
      </c>
      <c r="FE999" s="0" t="str">
        <f aca="false">IF(FD999&lt;&gt;"Y","",IF(COUNTIFS($FD$2:$FD$1000,"Y",$J$2:$J$1000,"&gt;"&amp;J999)+COUNTIFS($FD$2:$FD$1000,"Y",$J$2:$J$1000,J999,$FG$2:$FG$1000,"&lt;"&amp;FG999)+1&lt;=30,COUNTIFS($FD$2:$FD$1000,"Y",$J$2:$J$1000,"&gt;"&amp;J999)+COUNTIFS($FD$2:$FD$1000,"Y",$J$2:$J$1000,J999,$FG$2:$FG$1000,"&lt;"&amp;FG999)+1,""))</f>
        <v/>
      </c>
      <c r="FF999" s="0" t="str">
        <f aca="false">IF(AND(_xlfn.ISFORMULA(C999),_xlfn.ISFORMULA(J999)),"Y","N")</f>
        <v>Y</v>
      </c>
      <c r="FG999" s="0" t="n">
        <f aca="false">ROW()-1</f>
        <v>998</v>
      </c>
    </row>
    <row r="1000" customFormat="false" ht="15" hidden="false" customHeight="false" outlineLevel="0" collapsed="false">
      <c r="C1000" s="0" t="str">
        <f aca="false">IF($A1000="","",IF(AT1000="Y",BL1000&amp;"",AY1000&amp;""))</f>
        <v/>
      </c>
      <c r="D1000" s="0" t="str">
        <f aca="false">IF($A1000="","",IF(AT1000="Y",BM1000&amp;"",AZ1000&amp;""))</f>
        <v/>
      </c>
      <c r="E1000" s="0" t="str">
        <f aca="false">IF($A1000="","",IF(AT1000="Y",BN1000&amp;"",BA1000&amp;""))</f>
        <v/>
      </c>
      <c r="F1000" s="0" t="str">
        <f aca="false">IF($A1000="","",IF(AT1000="Y",BO1000&amp;"",BB1000&amp;""))</f>
        <v/>
      </c>
      <c r="G1000" s="0" t="str">
        <f aca="false">IF($A1000="","",IF(AT1000="Y",BP1000&amp;"",BC1000&amp;""))</f>
        <v/>
      </c>
      <c r="H1000" s="0" t="str">
        <f aca="false">IF($A1000="","",IF(AT1000="Y",BQ1000&amp;"",BD1000&amp;""))</f>
        <v/>
      </c>
      <c r="I1000" s="0" t="str">
        <f aca="false">IF($A1000="","",IF(R1000="Y","warm-intro",IF(H1000="verified","email",IF(C1000&lt;&gt;"","linkedin",CA1000&amp;""))))</f>
        <v/>
      </c>
      <c r="J1000" s="0" t="str">
        <f aca="false">IF($A1000="","",IF(CK1000="pass",ROUND(N(DO1000)+N(DP1000)+N(DQ1000)+N(DR1000)+N(DS1000)+N(DT1000)+N(DU1000)+N(DV1000),0),0))</f>
        <v/>
      </c>
      <c r="K1000" s="0" t="str">
        <f aca="false">IF($A1000="","",IF(CK1000&lt;&gt;"pass",BY1000&amp;"",BY1000&amp;", "&amp;IF(AT1000="Y",BX1000&amp;"",BK1000&amp;"")&amp;BZ1000&amp;IF(R1000="Y","; known to the founder (+10)","")&amp;"."))</f>
        <v/>
      </c>
      <c r="R1000" s="5"/>
      <c r="T1000" s="5"/>
      <c r="U1000" s="5"/>
      <c r="Y1000" s="0" t="str">
        <f aca="false">IF(FA1000&lt;&gt;"Y","",COUNTIFS($FA$2:$FA$1000,"Y",$J$2:$J$1000,"&gt;"&amp;J1000)+COUNTIFS($FA$2:$FA$1000,"Y",$J$2:$J$1000,J1000,$FG$2:$FG$1000,"&lt;"&amp;FG1000)+1)</f>
        <v/>
      </c>
      <c r="AB1000" s="0" t="str">
        <f aca="false">IF($A1000="","",IF(AT1000="Y",BW1000&amp;"",BJ1000&amp;""))</f>
        <v/>
      </c>
      <c r="AC1000" s="0" t="str">
        <f aca="false">IF($A1000="","",IF(AT1000="Y",BR1000&amp;"",BE1000&amp;""))</f>
        <v/>
      </c>
      <c r="AD1000" s="0" t="str">
        <f aca="false">IF($A1000="","",IF(AT1000="Y",BS1000&amp;"",BF1000&amp;""))</f>
        <v/>
      </c>
      <c r="AE1000" s="0" t="str">
        <f aca="false">IF($A1000="","",IF(AT1000="Y",BT1000&amp;"",BG1000&amp;""))</f>
        <v/>
      </c>
      <c r="AF1000" s="0" t="str">
        <f aca="false">IF($A1000="","",IF(AT1000="Y",BU1000&amp;"",BH1000&amp;""))</f>
        <v/>
      </c>
      <c r="AG1000" s="0" t="str">
        <f aca="false">IF($A1000="","",IF(AT1000="Y",BV1000&amp;"",BI1000&amp;""))</f>
        <v/>
      </c>
      <c r="AO1000" s="5"/>
      <c r="AR1000" s="0" t="str">
        <f aca="false">IF($A1000="","",IF(AND(CK1000="pass",AO1000&lt;&gt;"Y",C1000&lt;&gt;"",OR(AU1000&lt;&gt;"Y",AV1000="Y")),"Y","N"))</f>
        <v/>
      </c>
      <c r="AS1000" s="0" t="str">
        <f aca="false">IF($A1000="","",_xlfn.TEXTJOIN("; ",TRUE(),IF(CK1000&lt;&gt;"pass","gated out",""),IF(AO1000="Y","on hold: "&amp;AP1000,""),IF(C1000="","no contact named on an opened page",""),IF(AND(AU1000="Y",AV1000&lt;&gt;"Y"),"founder review pending (Founder review tab)","")))</f>
        <v/>
      </c>
      <c r="BC1000" s="0" t="str">
        <f aca="false">IF($A1000="","",IFERROR(INDEX(Enrichment!$A$2:$GZ$2000,MATCH($A1000,INDEX(Enrichment!$A$2:$GZ$2000,0,MATCH("row_id",Enrichment!$A$1:$GZ$1,0)),0),MATCH("work_email",Enrichment!$A$1:$GZ$1,0))&amp;"",""))</f>
        <v/>
      </c>
      <c r="BD1000" s="0" t="str">
        <f aca="false">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P1000" s="0" t="str">
        <f aca="false">IF($A1000="","",IFERROR(INDEX(Enrichment!$A$2:$GZ$2000,MATCH($A1000,INDEX(Enrichment!$A$2:$GZ$2000,0,MATCH("row_id",Enrichment!$A$1:$GZ$1,0)),0),MATCH("backup_work_email",Enrichment!$A$1:$GZ$1,0))&amp;"",""))</f>
        <v/>
      </c>
      <c r="BQ1000" s="0" t="str">
        <f aca="false">IF($A1000="","",IF(BP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DU1000" s="0" t="str">
        <f aca="false">IF($A1000="","",IF(R1000="Y",10,0))</f>
        <v/>
      </c>
      <c r="EV1000" s="0" t="str">
        <f aca="false">IF($A1000="","",IF(ISNUMBER(MATCH(U1000,{"queued","contacted","replied","call_booked","call_done","yes_in_principle","materials_sent"},0)),"Y","N"))</f>
        <v/>
      </c>
      <c r="EW1000" s="0" t="str">
        <f aca="false">IF($A1000="","",IF(OR(T1000="Y",U1000="do_not_contact",AQ1000&amp;""&lt;&gt;""),"Y","N"))</f>
        <v/>
      </c>
      <c r="EX1000" s="0" t="str">
        <f aca="false">IF($A1000="","",IF(AN1000&amp;""&lt;&gt;"",AN1000&amp;"",$A1000))</f>
        <v/>
      </c>
      <c r="EY1000" s="0" t="str">
        <f aca="false">IF($A1000="","",IF(COUNTIFS($EX$2:$EX$1000,EX1000,$EV$2:$EV$1000,"Y")+COUNTIFS($EX$2:$EX$1000,EX1000,$EW$2:$EW$1000,"Y")&gt;0,"Y","N"))</f>
        <v/>
      </c>
      <c r="EZ1000" s="0" t="str">
        <f aca="false">IF($A1000="","",IF(AND(U1000="new",T1000="N",EW1000="N",AR1000="Y",EY1000="N"),"Y","N"))</f>
        <v/>
      </c>
      <c r="FA1000" s="0" t="str">
        <f aca="false">IF($A1000="","",IF(EZ1000&lt;&gt;"Y","N",IF(COUNTIFS($EX$2:$EX$1000,EX1000,$EZ$2:$EZ$1000,"Y",$J$2:$J$1000,"&gt;"&amp;J1000)+COUNTIFS($EX$2:$EX$1000,EX1000,$EZ$2:$EZ$1000,"Y",$J$2:$J$1000,J1000,$FG$2:$FG$1000,"&lt;"&amp;FG1000)=0,"Y","N")))</f>
        <v/>
      </c>
      <c r="FB1000" s="0" t="str">
        <f aca="false">IF($A1000="","",IF(AND(EZ1000="Y",FA1000="Y",Y1000&amp;""&lt;&gt;""),IF(Y1000&lt;=10,"Y","N"),"N"))</f>
        <v/>
      </c>
      <c r="FC1000" s="0" t="str">
        <f aca="false">IF(FB1000="Y",Y1000,"")</f>
        <v/>
      </c>
      <c r="FD1000" s="0" t="str">
        <f aca="false">IF($A1000="","",IF(AND(CK1000="pass",AU1000="Y",AV1000&lt;&gt;"Y",U1000="new",EW1000="N"),"Y","N"))</f>
        <v/>
      </c>
      <c r="FE1000" s="0" t="str">
        <f aca="false">IF(FD1000&lt;&gt;"Y","",IF(COUNTIFS($FD$2:$FD$1000,"Y",$J$2:$J$1000,"&gt;"&amp;J1000)+COUNTIFS($FD$2:$FD$1000,"Y",$J$2:$J$1000,J1000,$FG$2:$FG$1000,"&lt;"&amp;FG1000)+1&lt;=30,COUNTIFS($FD$2:$FD$1000,"Y",$J$2:$J$1000,"&gt;"&amp;J1000)+COUNTIFS($FD$2:$FD$1000,"Y",$J$2:$J$1000,J1000,$FG$2:$FG$1000,"&lt;"&amp;FG1000)+1,""))</f>
        <v/>
      </c>
      <c r="FF1000" s="0" t="str">
        <f aca="false">IF(AND(_xlfn.ISFORMULA(C1000),_xlfn.ISFORMULA(J1000)),"Y","N")</f>
        <v>Y</v>
      </c>
      <c r="FG1000" s="0" t="n">
        <f aca="false">ROW()-1</f>
        <v>999</v>
      </c>
    </row>
  </sheetData>
  <autoFilter ref="A1:FG312"/>
  <conditionalFormatting sqref="U2:U1000 T2:T1000 AQ2:AQ1000">
    <cfRule type="expression" priority="2" aboveAverage="0" equalAverage="0" bottom="0" percent="0" rank="0" text="" dxfId="7">
      <formula>AND($A2&lt;&gt;"",OR(AND($U2="do_not_contact",$T2&lt;&gt;"Y"),AND($T2="Y",$U2&lt;&gt;"do_not_contact"),AND($AQ2&amp;""&lt;&gt;"",$T2&lt;&gt;"Y")))</formula>
    </cfRule>
  </conditionalFormatting>
  <dataValidations count="6">
    <dataValidation allowBlank="true" error="status takes only: new, queued, contacted, replied, call_booked, call_done, yes_in_principle, materials_sent, paid, not_now, no, wrong_person, do_not_contact" errorStyle="stop" errorTitle="Not an allowed value" operator="between" showDropDown="false" showErrorMessage="true" showInputMessage="false" sqref="U2:U1000" type="list">
      <formula1>"new,queued,contacted,replied,call_booked,call_done,yes_in_principle,materials_sent,paid,not_now,no,wrong_person,do_not_contact"</formula1>
      <formula2>0</formula2>
    </dataValidation>
    <dataValidation allowBlank="true" error="do_not_contact takes only: Y, N" errorStyle="stop" errorTitle="Not an allowed value" operator="between" showDropDown="false" showErrorMessage="true" showInputMessage="false" sqref="T2:T1000" type="list">
      <formula1>"Y,N"</formula1>
      <formula2>0</formula2>
    </dataValidation>
    <dataValidation allowBlank="true" error="known_to_founder takes only: Y, N" errorStyle="stop" errorTitle="Not an allowed value" operator="between" showDropDown="false" showErrorMessage="true" showInputMessage="false" sqref="R2:R1000" type="list">
      <formula1>"Y,N"</formula1>
      <formula2>0</formula2>
    </dataValidation>
    <dataValidation allowBlank="true" error="hold_before_outreach takes only: Y, N" errorStyle="stop" errorTitle="Not an allowed value" operator="between" showDropDown="false" showErrorMessage="true" showInputMessage="false" sqref="AO2:AO1000" type="list">
      <formula1>"Y,N"</formula1>
      <formula2>0</formula2>
    </dataValidation>
    <dataValidation allowBlank="true" error="promote_backup takes only: Y" errorStyle="stop" errorTitle="Not an allowed value" operator="between" showDropDown="false" showErrorMessage="true" showInputMessage="false" sqref="AT2:AT1000" type="list">
      <formula1>"Y"</formula1>
      <formula2>0</formula2>
    </dataValidation>
    <dataValidation allowBlank="true" error="founder_review_cleared takes only: Y" errorStyle="stop" errorTitle="Not an allowed value" operator="between" showDropDown="false" showErrorMessage="true" showInputMessage="false" sqref="AV2:AV1000" type="list">
      <formula1>"Y"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5" min="29" style="0" width="16"/>
    <col collapsed="false" customWidth="true" hidden="true" outlineLevel="0" max="47" min="47" style="0" width="13"/>
  </cols>
  <sheetData>
    <row r="1" customFormat="false" ht="15" hidden="false" customHeight="false" outlineLevel="0" collapsed="false">
      <c r="A1" s="6" t="s">
        <v>0</v>
      </c>
      <c r="B1" s="6" t="s">
        <v>1</v>
      </c>
      <c r="C1" s="6" t="s">
        <v>5488</v>
      </c>
      <c r="D1" s="6" t="s">
        <v>5489</v>
      </c>
      <c r="E1" s="6" t="s">
        <v>5490</v>
      </c>
      <c r="F1" s="6" t="s">
        <v>5491</v>
      </c>
      <c r="G1" s="6" t="s">
        <v>5492</v>
      </c>
      <c r="H1" s="6" t="s">
        <v>5493</v>
      </c>
      <c r="I1" s="6" t="s">
        <v>5494</v>
      </c>
      <c r="J1" s="6" t="s">
        <v>5495</v>
      </c>
      <c r="K1" s="6" t="s">
        <v>5496</v>
      </c>
      <c r="L1" s="6" t="s">
        <v>36</v>
      </c>
      <c r="M1" s="6" t="s">
        <v>5497</v>
      </c>
      <c r="N1" s="6" t="s">
        <v>5498</v>
      </c>
      <c r="O1" s="6" t="s">
        <v>5499</v>
      </c>
      <c r="P1" s="6" t="s">
        <v>5500</v>
      </c>
      <c r="Q1" s="6" t="s">
        <v>5501</v>
      </c>
      <c r="R1" s="6" t="s">
        <v>5502</v>
      </c>
      <c r="S1" s="6" t="s">
        <v>5503</v>
      </c>
      <c r="T1" s="6" t="s">
        <v>5504</v>
      </c>
      <c r="U1" s="6" t="s">
        <v>5505</v>
      </c>
      <c r="V1" s="6" t="s">
        <v>5506</v>
      </c>
      <c r="W1" s="6" t="s">
        <v>5507</v>
      </c>
      <c r="X1" s="6" t="s">
        <v>5508</v>
      </c>
      <c r="Y1" s="6" t="s">
        <v>5509</v>
      </c>
      <c r="Z1" s="6" t="s">
        <v>4</v>
      </c>
      <c r="AA1" s="6" t="s">
        <v>35</v>
      </c>
      <c r="AB1" s="6" t="s">
        <v>5511</v>
      </c>
      <c r="AC1" s="6" t="s">
        <v>5512</v>
      </c>
      <c r="AD1" s="6" t="s">
        <v>5513</v>
      </c>
      <c r="AE1" s="6" t="s">
        <v>5514</v>
      </c>
      <c r="AF1" s="6" t="s">
        <v>5515</v>
      </c>
      <c r="AG1" s="6" t="s">
        <v>5516</v>
      </c>
      <c r="AH1" s="6" t="s">
        <v>12140</v>
      </c>
      <c r="AI1" s="6" t="s">
        <v>30</v>
      </c>
      <c r="AJ1" s="6" t="s">
        <v>31</v>
      </c>
      <c r="AK1" s="6" t="s">
        <v>12141</v>
      </c>
      <c r="AL1" s="6" t="s">
        <v>12142</v>
      </c>
      <c r="AM1" s="6" t="s">
        <v>38</v>
      </c>
      <c r="AN1" s="6" t="s">
        <v>39</v>
      </c>
      <c r="AO1" s="6" t="s">
        <v>40</v>
      </c>
      <c r="AP1" s="6" t="s">
        <v>41</v>
      </c>
      <c r="AQ1" s="6" t="s">
        <v>42</v>
      </c>
      <c r="AR1" s="6" t="s">
        <v>43</v>
      </c>
      <c r="AS1" s="6" t="s">
        <v>44</v>
      </c>
      <c r="AU1" s="0" t="s">
        <v>12143</v>
      </c>
    </row>
    <row r="2" customFormat="false" ht="15" hidden="false" customHeight="false" outlineLevel="0" collapsed="false">
      <c r="A2" s="0" t="str">
        <f aca="false">IF($AU$2&gt;0,"The table tab was pasted over and its formulas are gone: undo the paste or restore it (File &gt; Version history). Paste Clay exports on the Enrichment tab only.",IFERROR(INDEX(Offices!$A$2:$A$1000,MATCH(1,Offices!$FZ$2:$FZ$1000,0))&amp;"","No row is ready today: see the Routine tab"))</f>
        <v>The table tab was pasted over and its formulas are gone: undo the paste or restore it (File &gt; Version history). Paste Clay exports on the Enrichment tab only.</v>
      </c>
      <c r="B2" s="0" t="str">
        <f aca="false">IF($AU$2&gt;0,"",IFERROR(INDEX(Offices!$B$2:$B$1000,MATCH(1,Offices!$FZ$2:$FZ$1000,0))&amp;"",""))</f>
        <v/>
      </c>
      <c r="C2" s="0" t="str">
        <f aca="false">IF($AU$2&gt;0,"",IFERROR(INDEX(Offices!$C$2:$C$1000,MATCH(1,Offices!$FZ$2:$FZ$1000,0))&amp;"",""))</f>
        <v/>
      </c>
      <c r="D2" s="0" t="str">
        <f aca="false">IF($AU$2&gt;0,"",IFERROR(INDEX(Offices!$D$2:$D$1000,MATCH(1,Offices!$FZ$2:$FZ$1000,0))&amp;"",""))</f>
        <v/>
      </c>
      <c r="E2" s="0" t="str">
        <f aca="false">IF($AU$2&gt;0,"",IFERROR(INDEX(Offices!$E$2:$E$1000,MATCH(1,Offices!$FZ$2:$FZ$1000,0))&amp;"",""))</f>
        <v/>
      </c>
      <c r="F2" s="0" t="str">
        <f aca="false">IF($AU$2&gt;0,"",IFERROR(INDEX(Offices!$F$2:$F$1000,MATCH(1,Offices!$FZ$2:$FZ$1000,0))&amp;"",""))</f>
        <v/>
      </c>
      <c r="G2" s="0" t="str">
        <f aca="false">IF($AU$2&gt;0,"",IFERROR(INDEX(Offices!$G$2:$G$1000,MATCH(1,Offices!$FZ$2:$FZ$1000,0))&amp;"",""))</f>
        <v/>
      </c>
      <c r="H2" s="0" t="str">
        <f aca="false">IF($AU$2&gt;0,"",IFERROR(INDEX(Offices!$H$2:$H$1000,MATCH(1,Offices!$FZ$2:$FZ$1000,0))&amp;"",""))</f>
        <v/>
      </c>
      <c r="I2" s="0" t="str">
        <f aca="false">IF($AU$2&gt;0,"",IFERROR(INDEX(Offices!$I$2:$I$1000,MATCH(1,Offices!$FZ$2:$FZ$1000,0))&amp;"",""))</f>
        <v/>
      </c>
      <c r="J2" s="0" t="str">
        <f aca="false">IF($AU$2&gt;0,"",IFERROR(INDEX(Offices!$J$2:$J$1000,MATCH(1,Offices!$FZ$2:$FZ$1000,0)),""))</f>
        <v/>
      </c>
      <c r="K2" s="0" t="str">
        <f aca="false">IF($AU$2&gt;0,"",IFERROR(INDEX(Offices!$K$2:$K$1000,MATCH(1,Offices!$FZ$2:$FZ$1000,0))&amp;"",""))</f>
        <v/>
      </c>
      <c r="L2" s="0" t="str">
        <f aca="false">IF($AU$2&gt;0,"",IFERROR(INDEX(Offices!$L$2:$L$1000,MATCH(1,Offices!$FZ$2:$FZ$1000,0))&amp;"",""))</f>
        <v/>
      </c>
      <c r="M2" s="0" t="str">
        <f aca="false">IF($AU$2&gt;0,"",IFERROR(INDEX(Offices!$M$2:$M$1000,MATCH(1,Offices!$FZ$2:$FZ$1000,0))&amp;"",""))</f>
        <v/>
      </c>
      <c r="N2" s="0" t="str">
        <f aca="false">IF($AU$2&gt;0,"",IFERROR(INDEX(Offices!$N$2:$N$1000,MATCH(1,Offices!$FZ$2:$FZ$1000,0))&amp;"",""))</f>
        <v/>
      </c>
      <c r="O2" s="0" t="str">
        <f aca="false">IF($AU$2&gt;0,"",IFERROR(INDEX(Offices!$O$2:$O$1000,MATCH(1,Offices!$FZ$2:$FZ$1000,0))&amp;"",""))</f>
        <v/>
      </c>
      <c r="P2" s="0" t="str">
        <f aca="false">IF($AU$2&gt;0,"",IFERROR(INDEX(Offices!$P$2:$P$1000,MATCH(1,Offices!$FZ$2:$FZ$1000,0))&amp;"",""))</f>
        <v/>
      </c>
      <c r="Q2" s="0" t="str">
        <f aca="false">IF($AU$2&gt;0,"",IFERROR(INDEX(Offices!$Q$2:$Q$1000,MATCH(1,Offices!$FZ$2:$FZ$1000,0))&amp;"",""))</f>
        <v/>
      </c>
      <c r="R2" s="0" t="str">
        <f aca="false">IF($AU$2&gt;0,"",IFERROR(INDEX(Offices!$R$2:$R$1000,MATCH(1,Offices!$FZ$2:$FZ$1000,0))&amp;"",""))</f>
        <v/>
      </c>
      <c r="S2" s="0" t="str">
        <f aca="false">IF($AU$2&gt;0,"",IFERROR(INDEX(Offices!$S$2:$S$1000,MATCH(1,Offices!$FZ$2:$FZ$1000,0))&amp;"",""))</f>
        <v/>
      </c>
      <c r="T2" s="0" t="str">
        <f aca="false">IF($AU$2&gt;0,"",IFERROR(INDEX(Offices!$T$2:$T$1000,MATCH(1,Offices!$FZ$2:$FZ$1000,0))&amp;"",""))</f>
        <v/>
      </c>
      <c r="U2" s="0" t="str">
        <f aca="false">IF($AU$2&gt;0,"",IFERROR(INDEX(Offices!$U$2:$U$1000,MATCH(1,Offices!$FZ$2:$FZ$1000,0))&amp;"",""))</f>
        <v/>
      </c>
      <c r="V2" s="0" t="str">
        <f aca="false">IF($AU$2&gt;0,"",IFERROR(INDEX(Offices!$V$2:$V$1000,MATCH(1,Offices!$FZ$2:$FZ$1000,0))&amp;"",""))</f>
        <v/>
      </c>
      <c r="W2" s="0" t="str">
        <f aca="false">IF($AU$2&gt;0,"",IFERROR(INDEX(Offices!$W$2:$W$1000,MATCH(1,Offices!$FZ$2:$FZ$1000,0))&amp;"",""))</f>
        <v/>
      </c>
      <c r="X2" s="0" t="str">
        <f aca="false">IF($AU$2&gt;0,"",IFERROR(INDEX(Offices!$X$2:$X$1000,MATCH(1,Offices!$FZ$2:$FZ$1000,0))&amp;"",""))</f>
        <v/>
      </c>
      <c r="Y2" s="0" t="str">
        <f aca="false">IF($AU$2&gt;0,"",IFERROR(INDEX(Offices!$Y$2:$Y$1000,MATCH(1,Offices!$FZ$2:$FZ$1000,0)),""))</f>
        <v/>
      </c>
      <c r="Z2" s="0" t="str">
        <f aca="false">IF($AU$2&gt;0,"",IFERROR(INDEX(Offices!$Z$2:$Z$1000,MATCH(1,Offices!$FZ$2:$FZ$1000,0)),""))</f>
        <v/>
      </c>
      <c r="AA2" s="0" t="str">
        <f aca="false">IF($AU$2&gt;0,"",IFERROR(INDEX(Offices!$AA$2:$AA$1000,MATCH(1,Offices!$FZ$2:$FZ$1000,0))&amp;"",""))</f>
        <v/>
      </c>
      <c r="AB2" s="0" t="str">
        <f aca="false">IF($AU$2&gt;0,"",IFERROR(INDEX(Offices!$AB$2:$AB$1000,MATCH(1,Offices!$FZ$2:$FZ$1000,0))&amp;"",""))</f>
        <v/>
      </c>
      <c r="AC2" s="0" t="str">
        <f aca="false">IF($AU$2&gt;0,"",IFERROR(INDEX(Offices!$AC$2:$AC$1000,MATCH(1,Offices!$FZ$2:$FZ$1000,0))&amp;"",""))</f>
        <v/>
      </c>
      <c r="AD2" s="0" t="str">
        <f aca="false">IF($AU$2&gt;0,"",IFERROR(INDEX(Offices!$AD$2:$AD$1000,MATCH(1,Offices!$FZ$2:$FZ$1000,0))&amp;"",""))</f>
        <v/>
      </c>
      <c r="AE2" s="0" t="str">
        <f aca="false">IF($AU$2&gt;0,"",IFERROR(INDEX(Offices!$AE$2:$AE$1000,MATCH(1,Offices!$FZ$2:$FZ$1000,0))&amp;"",""))</f>
        <v/>
      </c>
      <c r="AF2" s="0" t="str">
        <f aca="false">IF($AU$2&gt;0,"",IFERROR(INDEX(Offices!$AF$2:$AF$1000,MATCH(1,Offices!$FZ$2:$FZ$1000,0))&amp;"",""))</f>
        <v/>
      </c>
      <c r="AG2" s="0" t="str">
        <f aca="false">IF($AU$2&gt;0,"",IFERROR(INDEX(Offices!$AG$2:$AG$1000,MATCH(1,Offices!$FZ$2:$FZ$1000,0))&amp;"",""))</f>
        <v/>
      </c>
      <c r="AH2" s="0" t="str">
        <f aca="false">IF($AU$2&gt;0,"",IFERROR(INDEX(Offices!$AH$2:$AH$1000,MATCH(1,Offices!$FZ$2:$FZ$1000,0))&amp;"",""))</f>
        <v/>
      </c>
      <c r="AI2" s="0" t="str">
        <f aca="false">IF($AU$2&gt;0,"",IFERROR(INDEX(Offices!$AI$2:$AI$1000,MATCH(1,Offices!$FZ$2:$FZ$1000,0))&amp;"",""))</f>
        <v/>
      </c>
      <c r="AJ2" s="0" t="str">
        <f aca="false">IF($AU$2&gt;0,"",IFERROR(INDEX(Offices!$AJ$2:$AJ$1000,MATCH(1,Offices!$FZ$2:$FZ$1000,0))&amp;"",""))</f>
        <v/>
      </c>
      <c r="AK2" s="0" t="str">
        <f aca="false">IF($AU$2&gt;0,"",IFERROR(INDEX(Offices!$AK$2:$AK$1000,MATCH(1,Offices!$FZ$2:$FZ$1000,0))&amp;"",""))</f>
        <v/>
      </c>
      <c r="AL2" s="0" t="str">
        <f aca="false">IF($AU$2&gt;0,"",IFERROR(INDEX(Offices!$AL$2:$AL$1000,MATCH(1,Offices!$FZ$2:$FZ$1000,0))&amp;"",""))</f>
        <v/>
      </c>
      <c r="AM2" s="0" t="str">
        <f aca="false">IF($AU$2&gt;0,"",IFERROR(INDEX(Offices!$AM$2:$AM$1000,MATCH(1,Offices!$FZ$2:$FZ$1000,0))&amp;"",""))</f>
        <v/>
      </c>
      <c r="AN2" s="0" t="str">
        <f aca="false">IF($AU$2&gt;0,"",IFERROR(INDEX(Offices!$AN$2:$AN$1000,MATCH(1,Offices!$FZ$2:$FZ$1000,0))&amp;"",""))</f>
        <v/>
      </c>
      <c r="AO2" s="0" t="str">
        <f aca="false">IF($AU$2&gt;0,"",IFERROR(INDEX(Offices!$AO$2:$AO$1000,MATCH(1,Offices!$FZ$2:$FZ$1000,0))&amp;"",""))</f>
        <v/>
      </c>
      <c r="AP2" s="0" t="str">
        <f aca="false">IF($AU$2&gt;0,"",IFERROR(INDEX(Offices!$AP$2:$AP$1000,MATCH(1,Offices!$FZ$2:$FZ$1000,0))&amp;"",""))</f>
        <v/>
      </c>
      <c r="AQ2" s="0" t="str">
        <f aca="false">IF($AU$2&gt;0,"",IFERROR(INDEX(Offices!$AQ$2:$AQ$1000,MATCH(1,Offices!$FZ$2:$FZ$1000,0))&amp;"",""))</f>
        <v/>
      </c>
      <c r="AR2" s="0" t="str">
        <f aca="false">IF($AU$2&gt;0,"",IFERROR(INDEX(Offices!$AR$2:$AR$1000,MATCH(1,Offices!$FZ$2:$FZ$1000,0))&amp;"",""))</f>
        <v/>
      </c>
      <c r="AS2" s="0" t="str">
        <f aca="false">IF($AU$2&gt;0,"",IFERROR(INDEX(Offices!$AS$2:$AS$1000,MATCH(1,Offices!$FZ$2:$FZ$1000,0))&amp;"",""))</f>
        <v/>
      </c>
      <c r="AU2" s="0" t="n">
        <f aca="false">COUNTIF(Offices!$GC$2:$GC$1000,"N")</f>
        <v>175</v>
      </c>
    </row>
    <row r="3" customFormat="false" ht="15" hidden="false" customHeight="false" outlineLevel="0" collapsed="false">
      <c r="A3" s="0" t="str">
        <f aca="false">IF($AU$2&gt;0,"",IFERROR(INDEX(Offices!$A$2:$A$1000,MATCH(2,Offices!$FZ$2:$FZ$1000,0))&amp;"",""))</f>
        <v/>
      </c>
      <c r="B3" s="0" t="str">
        <f aca="false">IF($AU$2&gt;0,"",IFERROR(INDEX(Offices!$B$2:$B$1000,MATCH(2,Offices!$FZ$2:$FZ$1000,0))&amp;"",""))</f>
        <v/>
      </c>
      <c r="C3" s="0" t="str">
        <f aca="false">IF($AU$2&gt;0,"",IFERROR(INDEX(Offices!$C$2:$C$1000,MATCH(2,Offices!$FZ$2:$FZ$1000,0))&amp;"",""))</f>
        <v/>
      </c>
      <c r="D3" s="0" t="str">
        <f aca="false">IF($AU$2&gt;0,"",IFERROR(INDEX(Offices!$D$2:$D$1000,MATCH(2,Offices!$FZ$2:$FZ$1000,0))&amp;"",""))</f>
        <v/>
      </c>
      <c r="E3" s="0" t="str">
        <f aca="false">IF($AU$2&gt;0,"",IFERROR(INDEX(Offices!$E$2:$E$1000,MATCH(2,Offices!$FZ$2:$FZ$1000,0))&amp;"",""))</f>
        <v/>
      </c>
      <c r="F3" s="0" t="str">
        <f aca="false">IF($AU$2&gt;0,"",IFERROR(INDEX(Offices!$F$2:$F$1000,MATCH(2,Offices!$FZ$2:$FZ$1000,0))&amp;"",""))</f>
        <v/>
      </c>
      <c r="G3" s="0" t="str">
        <f aca="false">IF($AU$2&gt;0,"",IFERROR(INDEX(Offices!$G$2:$G$1000,MATCH(2,Offices!$FZ$2:$FZ$1000,0))&amp;"",""))</f>
        <v/>
      </c>
      <c r="H3" s="0" t="str">
        <f aca="false">IF($AU$2&gt;0,"",IFERROR(INDEX(Offices!$H$2:$H$1000,MATCH(2,Offices!$FZ$2:$FZ$1000,0))&amp;"",""))</f>
        <v/>
      </c>
      <c r="I3" s="0" t="str">
        <f aca="false">IF($AU$2&gt;0,"",IFERROR(INDEX(Offices!$I$2:$I$1000,MATCH(2,Offices!$FZ$2:$FZ$1000,0))&amp;"",""))</f>
        <v/>
      </c>
      <c r="J3" s="0" t="str">
        <f aca="false">IF($AU$2&gt;0,"",IFERROR(INDEX(Offices!$J$2:$J$1000,MATCH(2,Offices!$FZ$2:$FZ$1000,0)),""))</f>
        <v/>
      </c>
      <c r="K3" s="0" t="str">
        <f aca="false">IF($AU$2&gt;0,"",IFERROR(INDEX(Offices!$K$2:$K$1000,MATCH(2,Offices!$FZ$2:$FZ$1000,0))&amp;"",""))</f>
        <v/>
      </c>
      <c r="L3" s="0" t="str">
        <f aca="false">IF($AU$2&gt;0,"",IFERROR(INDEX(Offices!$L$2:$L$1000,MATCH(2,Offices!$FZ$2:$FZ$1000,0))&amp;"",""))</f>
        <v/>
      </c>
      <c r="M3" s="0" t="str">
        <f aca="false">IF($AU$2&gt;0,"",IFERROR(INDEX(Offices!$M$2:$M$1000,MATCH(2,Offices!$FZ$2:$FZ$1000,0))&amp;"",""))</f>
        <v/>
      </c>
      <c r="N3" s="0" t="str">
        <f aca="false">IF($AU$2&gt;0,"",IFERROR(INDEX(Offices!$N$2:$N$1000,MATCH(2,Offices!$FZ$2:$FZ$1000,0))&amp;"",""))</f>
        <v/>
      </c>
      <c r="O3" s="0" t="str">
        <f aca="false">IF($AU$2&gt;0,"",IFERROR(INDEX(Offices!$O$2:$O$1000,MATCH(2,Offices!$FZ$2:$FZ$1000,0))&amp;"",""))</f>
        <v/>
      </c>
      <c r="P3" s="0" t="str">
        <f aca="false">IF($AU$2&gt;0,"",IFERROR(INDEX(Offices!$P$2:$P$1000,MATCH(2,Offices!$FZ$2:$FZ$1000,0))&amp;"",""))</f>
        <v/>
      </c>
      <c r="Q3" s="0" t="str">
        <f aca="false">IF($AU$2&gt;0,"",IFERROR(INDEX(Offices!$Q$2:$Q$1000,MATCH(2,Offices!$FZ$2:$FZ$1000,0))&amp;"",""))</f>
        <v/>
      </c>
      <c r="R3" s="0" t="str">
        <f aca="false">IF($AU$2&gt;0,"",IFERROR(INDEX(Offices!$R$2:$R$1000,MATCH(2,Offices!$FZ$2:$FZ$1000,0))&amp;"",""))</f>
        <v/>
      </c>
      <c r="S3" s="0" t="str">
        <f aca="false">IF($AU$2&gt;0,"",IFERROR(INDEX(Offices!$S$2:$S$1000,MATCH(2,Offices!$FZ$2:$FZ$1000,0))&amp;"",""))</f>
        <v/>
      </c>
      <c r="T3" s="0" t="str">
        <f aca="false">IF($AU$2&gt;0,"",IFERROR(INDEX(Offices!$T$2:$T$1000,MATCH(2,Offices!$FZ$2:$FZ$1000,0))&amp;"",""))</f>
        <v/>
      </c>
      <c r="U3" s="0" t="str">
        <f aca="false">IF($AU$2&gt;0,"",IFERROR(INDEX(Offices!$U$2:$U$1000,MATCH(2,Offices!$FZ$2:$FZ$1000,0))&amp;"",""))</f>
        <v/>
      </c>
      <c r="V3" s="0" t="str">
        <f aca="false">IF($AU$2&gt;0,"",IFERROR(INDEX(Offices!$V$2:$V$1000,MATCH(2,Offices!$FZ$2:$FZ$1000,0))&amp;"",""))</f>
        <v/>
      </c>
      <c r="W3" s="0" t="str">
        <f aca="false">IF($AU$2&gt;0,"",IFERROR(INDEX(Offices!$W$2:$W$1000,MATCH(2,Offices!$FZ$2:$FZ$1000,0))&amp;"",""))</f>
        <v/>
      </c>
      <c r="X3" s="0" t="str">
        <f aca="false">IF($AU$2&gt;0,"",IFERROR(INDEX(Offices!$X$2:$X$1000,MATCH(2,Offices!$FZ$2:$FZ$1000,0))&amp;"",""))</f>
        <v/>
      </c>
      <c r="Y3" s="0" t="str">
        <f aca="false">IF($AU$2&gt;0,"",IFERROR(INDEX(Offices!$Y$2:$Y$1000,MATCH(2,Offices!$FZ$2:$FZ$1000,0)),""))</f>
        <v/>
      </c>
      <c r="Z3" s="0" t="str">
        <f aca="false">IF($AU$2&gt;0,"",IFERROR(INDEX(Offices!$Z$2:$Z$1000,MATCH(2,Offices!$FZ$2:$FZ$1000,0)),""))</f>
        <v/>
      </c>
      <c r="AA3" s="0" t="str">
        <f aca="false">IF($AU$2&gt;0,"",IFERROR(INDEX(Offices!$AA$2:$AA$1000,MATCH(2,Offices!$FZ$2:$FZ$1000,0))&amp;"",""))</f>
        <v/>
      </c>
      <c r="AB3" s="0" t="str">
        <f aca="false">IF($AU$2&gt;0,"",IFERROR(INDEX(Offices!$AB$2:$AB$1000,MATCH(2,Offices!$FZ$2:$FZ$1000,0))&amp;"",""))</f>
        <v/>
      </c>
      <c r="AC3" s="0" t="str">
        <f aca="false">IF($AU$2&gt;0,"",IFERROR(INDEX(Offices!$AC$2:$AC$1000,MATCH(2,Offices!$FZ$2:$FZ$1000,0))&amp;"",""))</f>
        <v/>
      </c>
      <c r="AD3" s="0" t="str">
        <f aca="false">IF($AU$2&gt;0,"",IFERROR(INDEX(Offices!$AD$2:$AD$1000,MATCH(2,Offices!$FZ$2:$FZ$1000,0))&amp;"",""))</f>
        <v/>
      </c>
      <c r="AE3" s="0" t="str">
        <f aca="false">IF($AU$2&gt;0,"",IFERROR(INDEX(Offices!$AE$2:$AE$1000,MATCH(2,Offices!$FZ$2:$FZ$1000,0))&amp;"",""))</f>
        <v/>
      </c>
      <c r="AF3" s="0" t="str">
        <f aca="false">IF($AU$2&gt;0,"",IFERROR(INDEX(Offices!$AF$2:$AF$1000,MATCH(2,Offices!$FZ$2:$FZ$1000,0))&amp;"",""))</f>
        <v/>
      </c>
      <c r="AG3" s="0" t="str">
        <f aca="false">IF($AU$2&gt;0,"",IFERROR(INDEX(Offices!$AG$2:$AG$1000,MATCH(2,Offices!$FZ$2:$FZ$1000,0))&amp;"",""))</f>
        <v/>
      </c>
      <c r="AH3" s="0" t="str">
        <f aca="false">IF($AU$2&gt;0,"",IFERROR(INDEX(Offices!$AH$2:$AH$1000,MATCH(2,Offices!$FZ$2:$FZ$1000,0))&amp;"",""))</f>
        <v/>
      </c>
      <c r="AI3" s="0" t="str">
        <f aca="false">IF($AU$2&gt;0,"",IFERROR(INDEX(Offices!$AI$2:$AI$1000,MATCH(2,Offices!$FZ$2:$FZ$1000,0))&amp;"",""))</f>
        <v/>
      </c>
      <c r="AJ3" s="0" t="str">
        <f aca="false">IF($AU$2&gt;0,"",IFERROR(INDEX(Offices!$AJ$2:$AJ$1000,MATCH(2,Offices!$FZ$2:$FZ$1000,0))&amp;"",""))</f>
        <v/>
      </c>
      <c r="AK3" s="0" t="str">
        <f aca="false">IF($AU$2&gt;0,"",IFERROR(INDEX(Offices!$AK$2:$AK$1000,MATCH(2,Offices!$FZ$2:$FZ$1000,0))&amp;"",""))</f>
        <v/>
      </c>
      <c r="AL3" s="0" t="str">
        <f aca="false">IF($AU$2&gt;0,"",IFERROR(INDEX(Offices!$AL$2:$AL$1000,MATCH(2,Offices!$FZ$2:$FZ$1000,0))&amp;"",""))</f>
        <v/>
      </c>
      <c r="AM3" s="0" t="str">
        <f aca="false">IF($AU$2&gt;0,"",IFERROR(INDEX(Offices!$AM$2:$AM$1000,MATCH(2,Offices!$FZ$2:$FZ$1000,0))&amp;"",""))</f>
        <v/>
      </c>
      <c r="AN3" s="0" t="str">
        <f aca="false">IF($AU$2&gt;0,"",IFERROR(INDEX(Offices!$AN$2:$AN$1000,MATCH(2,Offices!$FZ$2:$FZ$1000,0))&amp;"",""))</f>
        <v/>
      </c>
      <c r="AO3" s="0" t="str">
        <f aca="false">IF($AU$2&gt;0,"",IFERROR(INDEX(Offices!$AO$2:$AO$1000,MATCH(2,Offices!$FZ$2:$FZ$1000,0))&amp;"",""))</f>
        <v/>
      </c>
      <c r="AP3" s="0" t="str">
        <f aca="false">IF($AU$2&gt;0,"",IFERROR(INDEX(Offices!$AP$2:$AP$1000,MATCH(2,Offices!$FZ$2:$FZ$1000,0))&amp;"",""))</f>
        <v/>
      </c>
      <c r="AQ3" s="0" t="str">
        <f aca="false">IF($AU$2&gt;0,"",IFERROR(INDEX(Offices!$AQ$2:$AQ$1000,MATCH(2,Offices!$FZ$2:$FZ$1000,0))&amp;"",""))</f>
        <v/>
      </c>
      <c r="AR3" s="0" t="str">
        <f aca="false">IF($AU$2&gt;0,"",IFERROR(INDEX(Offices!$AR$2:$AR$1000,MATCH(2,Offices!$FZ$2:$FZ$1000,0))&amp;"",""))</f>
        <v/>
      </c>
      <c r="AS3" s="0" t="str">
        <f aca="false">IF($AU$2&gt;0,"",IFERROR(INDEX(Offices!$AS$2:$AS$1000,MATCH(2,Offices!$FZ$2:$FZ$1000,0))&amp;"",""))</f>
        <v/>
      </c>
    </row>
    <row r="4" customFormat="false" ht="15" hidden="false" customHeight="false" outlineLevel="0" collapsed="false">
      <c r="A4" s="0" t="str">
        <f aca="false">IF($AU$2&gt;0,"",IFERROR(INDEX(Offices!$A$2:$A$1000,MATCH(3,Offices!$FZ$2:$FZ$1000,0))&amp;"",""))</f>
        <v/>
      </c>
      <c r="B4" s="0" t="str">
        <f aca="false">IF($AU$2&gt;0,"",IFERROR(INDEX(Offices!$B$2:$B$1000,MATCH(3,Offices!$FZ$2:$FZ$1000,0))&amp;"",""))</f>
        <v/>
      </c>
      <c r="C4" s="0" t="str">
        <f aca="false">IF($AU$2&gt;0,"",IFERROR(INDEX(Offices!$C$2:$C$1000,MATCH(3,Offices!$FZ$2:$FZ$1000,0))&amp;"",""))</f>
        <v/>
      </c>
      <c r="D4" s="0" t="str">
        <f aca="false">IF($AU$2&gt;0,"",IFERROR(INDEX(Offices!$D$2:$D$1000,MATCH(3,Offices!$FZ$2:$FZ$1000,0))&amp;"",""))</f>
        <v/>
      </c>
      <c r="E4" s="0" t="str">
        <f aca="false">IF($AU$2&gt;0,"",IFERROR(INDEX(Offices!$E$2:$E$1000,MATCH(3,Offices!$FZ$2:$FZ$1000,0))&amp;"",""))</f>
        <v/>
      </c>
      <c r="F4" s="0" t="str">
        <f aca="false">IF($AU$2&gt;0,"",IFERROR(INDEX(Offices!$F$2:$F$1000,MATCH(3,Offices!$FZ$2:$FZ$1000,0))&amp;"",""))</f>
        <v/>
      </c>
      <c r="G4" s="0" t="str">
        <f aca="false">IF($AU$2&gt;0,"",IFERROR(INDEX(Offices!$G$2:$G$1000,MATCH(3,Offices!$FZ$2:$FZ$1000,0))&amp;"",""))</f>
        <v/>
      </c>
      <c r="H4" s="0" t="str">
        <f aca="false">IF($AU$2&gt;0,"",IFERROR(INDEX(Offices!$H$2:$H$1000,MATCH(3,Offices!$FZ$2:$FZ$1000,0))&amp;"",""))</f>
        <v/>
      </c>
      <c r="I4" s="0" t="str">
        <f aca="false">IF($AU$2&gt;0,"",IFERROR(INDEX(Offices!$I$2:$I$1000,MATCH(3,Offices!$FZ$2:$FZ$1000,0))&amp;"",""))</f>
        <v/>
      </c>
      <c r="J4" s="0" t="str">
        <f aca="false">IF($AU$2&gt;0,"",IFERROR(INDEX(Offices!$J$2:$J$1000,MATCH(3,Offices!$FZ$2:$FZ$1000,0)),""))</f>
        <v/>
      </c>
      <c r="K4" s="0" t="str">
        <f aca="false">IF($AU$2&gt;0,"",IFERROR(INDEX(Offices!$K$2:$K$1000,MATCH(3,Offices!$FZ$2:$FZ$1000,0))&amp;"",""))</f>
        <v/>
      </c>
      <c r="L4" s="0" t="str">
        <f aca="false">IF($AU$2&gt;0,"",IFERROR(INDEX(Offices!$L$2:$L$1000,MATCH(3,Offices!$FZ$2:$FZ$1000,0))&amp;"",""))</f>
        <v/>
      </c>
      <c r="M4" s="0" t="str">
        <f aca="false">IF($AU$2&gt;0,"",IFERROR(INDEX(Offices!$M$2:$M$1000,MATCH(3,Offices!$FZ$2:$FZ$1000,0))&amp;"",""))</f>
        <v/>
      </c>
      <c r="N4" s="0" t="str">
        <f aca="false">IF($AU$2&gt;0,"",IFERROR(INDEX(Offices!$N$2:$N$1000,MATCH(3,Offices!$FZ$2:$FZ$1000,0))&amp;"",""))</f>
        <v/>
      </c>
      <c r="O4" s="0" t="str">
        <f aca="false">IF($AU$2&gt;0,"",IFERROR(INDEX(Offices!$O$2:$O$1000,MATCH(3,Offices!$FZ$2:$FZ$1000,0))&amp;"",""))</f>
        <v/>
      </c>
      <c r="P4" s="0" t="str">
        <f aca="false">IF($AU$2&gt;0,"",IFERROR(INDEX(Offices!$P$2:$P$1000,MATCH(3,Offices!$FZ$2:$FZ$1000,0))&amp;"",""))</f>
        <v/>
      </c>
      <c r="Q4" s="0" t="str">
        <f aca="false">IF($AU$2&gt;0,"",IFERROR(INDEX(Offices!$Q$2:$Q$1000,MATCH(3,Offices!$FZ$2:$FZ$1000,0))&amp;"",""))</f>
        <v/>
      </c>
      <c r="R4" s="0" t="str">
        <f aca="false">IF($AU$2&gt;0,"",IFERROR(INDEX(Offices!$R$2:$R$1000,MATCH(3,Offices!$FZ$2:$FZ$1000,0))&amp;"",""))</f>
        <v/>
      </c>
      <c r="S4" s="0" t="str">
        <f aca="false">IF($AU$2&gt;0,"",IFERROR(INDEX(Offices!$S$2:$S$1000,MATCH(3,Offices!$FZ$2:$FZ$1000,0))&amp;"",""))</f>
        <v/>
      </c>
      <c r="T4" s="0" t="str">
        <f aca="false">IF($AU$2&gt;0,"",IFERROR(INDEX(Offices!$T$2:$T$1000,MATCH(3,Offices!$FZ$2:$FZ$1000,0))&amp;"",""))</f>
        <v/>
      </c>
      <c r="U4" s="0" t="str">
        <f aca="false">IF($AU$2&gt;0,"",IFERROR(INDEX(Offices!$U$2:$U$1000,MATCH(3,Offices!$FZ$2:$FZ$1000,0))&amp;"",""))</f>
        <v/>
      </c>
      <c r="V4" s="0" t="str">
        <f aca="false">IF($AU$2&gt;0,"",IFERROR(INDEX(Offices!$V$2:$V$1000,MATCH(3,Offices!$FZ$2:$FZ$1000,0))&amp;"",""))</f>
        <v/>
      </c>
      <c r="W4" s="0" t="str">
        <f aca="false">IF($AU$2&gt;0,"",IFERROR(INDEX(Offices!$W$2:$W$1000,MATCH(3,Offices!$FZ$2:$FZ$1000,0))&amp;"",""))</f>
        <v/>
      </c>
      <c r="X4" s="0" t="str">
        <f aca="false">IF($AU$2&gt;0,"",IFERROR(INDEX(Offices!$X$2:$X$1000,MATCH(3,Offices!$FZ$2:$FZ$1000,0))&amp;"",""))</f>
        <v/>
      </c>
      <c r="Y4" s="0" t="str">
        <f aca="false">IF($AU$2&gt;0,"",IFERROR(INDEX(Offices!$Y$2:$Y$1000,MATCH(3,Offices!$FZ$2:$FZ$1000,0)),""))</f>
        <v/>
      </c>
      <c r="Z4" s="0" t="str">
        <f aca="false">IF($AU$2&gt;0,"",IFERROR(INDEX(Offices!$Z$2:$Z$1000,MATCH(3,Offices!$FZ$2:$FZ$1000,0)),""))</f>
        <v/>
      </c>
      <c r="AA4" s="0" t="str">
        <f aca="false">IF($AU$2&gt;0,"",IFERROR(INDEX(Offices!$AA$2:$AA$1000,MATCH(3,Offices!$FZ$2:$FZ$1000,0))&amp;"",""))</f>
        <v/>
      </c>
      <c r="AB4" s="0" t="str">
        <f aca="false">IF($AU$2&gt;0,"",IFERROR(INDEX(Offices!$AB$2:$AB$1000,MATCH(3,Offices!$FZ$2:$FZ$1000,0))&amp;"",""))</f>
        <v/>
      </c>
      <c r="AC4" s="0" t="str">
        <f aca="false">IF($AU$2&gt;0,"",IFERROR(INDEX(Offices!$AC$2:$AC$1000,MATCH(3,Offices!$FZ$2:$FZ$1000,0))&amp;"",""))</f>
        <v/>
      </c>
      <c r="AD4" s="0" t="str">
        <f aca="false">IF($AU$2&gt;0,"",IFERROR(INDEX(Offices!$AD$2:$AD$1000,MATCH(3,Offices!$FZ$2:$FZ$1000,0))&amp;"",""))</f>
        <v/>
      </c>
      <c r="AE4" s="0" t="str">
        <f aca="false">IF($AU$2&gt;0,"",IFERROR(INDEX(Offices!$AE$2:$AE$1000,MATCH(3,Offices!$FZ$2:$FZ$1000,0))&amp;"",""))</f>
        <v/>
      </c>
      <c r="AF4" s="0" t="str">
        <f aca="false">IF($AU$2&gt;0,"",IFERROR(INDEX(Offices!$AF$2:$AF$1000,MATCH(3,Offices!$FZ$2:$FZ$1000,0))&amp;"",""))</f>
        <v/>
      </c>
      <c r="AG4" s="0" t="str">
        <f aca="false">IF($AU$2&gt;0,"",IFERROR(INDEX(Offices!$AG$2:$AG$1000,MATCH(3,Offices!$FZ$2:$FZ$1000,0))&amp;"",""))</f>
        <v/>
      </c>
      <c r="AH4" s="0" t="str">
        <f aca="false">IF($AU$2&gt;0,"",IFERROR(INDEX(Offices!$AH$2:$AH$1000,MATCH(3,Offices!$FZ$2:$FZ$1000,0))&amp;"",""))</f>
        <v/>
      </c>
      <c r="AI4" s="0" t="str">
        <f aca="false">IF($AU$2&gt;0,"",IFERROR(INDEX(Offices!$AI$2:$AI$1000,MATCH(3,Offices!$FZ$2:$FZ$1000,0))&amp;"",""))</f>
        <v/>
      </c>
      <c r="AJ4" s="0" t="str">
        <f aca="false">IF($AU$2&gt;0,"",IFERROR(INDEX(Offices!$AJ$2:$AJ$1000,MATCH(3,Offices!$FZ$2:$FZ$1000,0))&amp;"",""))</f>
        <v/>
      </c>
      <c r="AK4" s="0" t="str">
        <f aca="false">IF($AU$2&gt;0,"",IFERROR(INDEX(Offices!$AK$2:$AK$1000,MATCH(3,Offices!$FZ$2:$FZ$1000,0))&amp;"",""))</f>
        <v/>
      </c>
      <c r="AL4" s="0" t="str">
        <f aca="false">IF($AU$2&gt;0,"",IFERROR(INDEX(Offices!$AL$2:$AL$1000,MATCH(3,Offices!$FZ$2:$FZ$1000,0))&amp;"",""))</f>
        <v/>
      </c>
      <c r="AM4" s="0" t="str">
        <f aca="false">IF($AU$2&gt;0,"",IFERROR(INDEX(Offices!$AM$2:$AM$1000,MATCH(3,Offices!$FZ$2:$FZ$1000,0))&amp;"",""))</f>
        <v/>
      </c>
      <c r="AN4" s="0" t="str">
        <f aca="false">IF($AU$2&gt;0,"",IFERROR(INDEX(Offices!$AN$2:$AN$1000,MATCH(3,Offices!$FZ$2:$FZ$1000,0))&amp;"",""))</f>
        <v/>
      </c>
      <c r="AO4" s="0" t="str">
        <f aca="false">IF($AU$2&gt;0,"",IFERROR(INDEX(Offices!$AO$2:$AO$1000,MATCH(3,Offices!$FZ$2:$FZ$1000,0))&amp;"",""))</f>
        <v/>
      </c>
      <c r="AP4" s="0" t="str">
        <f aca="false">IF($AU$2&gt;0,"",IFERROR(INDEX(Offices!$AP$2:$AP$1000,MATCH(3,Offices!$FZ$2:$FZ$1000,0))&amp;"",""))</f>
        <v/>
      </c>
      <c r="AQ4" s="0" t="str">
        <f aca="false">IF($AU$2&gt;0,"",IFERROR(INDEX(Offices!$AQ$2:$AQ$1000,MATCH(3,Offices!$FZ$2:$FZ$1000,0))&amp;"",""))</f>
        <v/>
      </c>
      <c r="AR4" s="0" t="str">
        <f aca="false">IF($AU$2&gt;0,"",IFERROR(INDEX(Offices!$AR$2:$AR$1000,MATCH(3,Offices!$FZ$2:$FZ$1000,0))&amp;"",""))</f>
        <v/>
      </c>
      <c r="AS4" s="0" t="str">
        <f aca="false">IF($AU$2&gt;0,"",IFERROR(INDEX(Offices!$AS$2:$AS$1000,MATCH(3,Offices!$FZ$2:$FZ$1000,0))&amp;"",""))</f>
        <v/>
      </c>
    </row>
    <row r="5" customFormat="false" ht="15" hidden="false" customHeight="false" outlineLevel="0" collapsed="false">
      <c r="A5" s="0" t="str">
        <f aca="false">IF($AU$2&gt;0,"",IFERROR(INDEX(Offices!$A$2:$A$1000,MATCH(4,Offices!$FZ$2:$FZ$1000,0))&amp;"",""))</f>
        <v/>
      </c>
      <c r="B5" s="0" t="str">
        <f aca="false">IF($AU$2&gt;0,"",IFERROR(INDEX(Offices!$B$2:$B$1000,MATCH(4,Offices!$FZ$2:$FZ$1000,0))&amp;"",""))</f>
        <v/>
      </c>
      <c r="C5" s="0" t="str">
        <f aca="false">IF($AU$2&gt;0,"",IFERROR(INDEX(Offices!$C$2:$C$1000,MATCH(4,Offices!$FZ$2:$FZ$1000,0))&amp;"",""))</f>
        <v/>
      </c>
      <c r="D5" s="0" t="str">
        <f aca="false">IF($AU$2&gt;0,"",IFERROR(INDEX(Offices!$D$2:$D$1000,MATCH(4,Offices!$FZ$2:$FZ$1000,0))&amp;"",""))</f>
        <v/>
      </c>
      <c r="E5" s="0" t="str">
        <f aca="false">IF($AU$2&gt;0,"",IFERROR(INDEX(Offices!$E$2:$E$1000,MATCH(4,Offices!$FZ$2:$FZ$1000,0))&amp;"",""))</f>
        <v/>
      </c>
      <c r="F5" s="0" t="str">
        <f aca="false">IF($AU$2&gt;0,"",IFERROR(INDEX(Offices!$F$2:$F$1000,MATCH(4,Offices!$FZ$2:$FZ$1000,0))&amp;"",""))</f>
        <v/>
      </c>
      <c r="G5" s="0" t="str">
        <f aca="false">IF($AU$2&gt;0,"",IFERROR(INDEX(Offices!$G$2:$G$1000,MATCH(4,Offices!$FZ$2:$FZ$1000,0))&amp;"",""))</f>
        <v/>
      </c>
      <c r="H5" s="0" t="str">
        <f aca="false">IF($AU$2&gt;0,"",IFERROR(INDEX(Offices!$H$2:$H$1000,MATCH(4,Offices!$FZ$2:$FZ$1000,0))&amp;"",""))</f>
        <v/>
      </c>
      <c r="I5" s="0" t="str">
        <f aca="false">IF($AU$2&gt;0,"",IFERROR(INDEX(Offices!$I$2:$I$1000,MATCH(4,Offices!$FZ$2:$FZ$1000,0))&amp;"",""))</f>
        <v/>
      </c>
      <c r="J5" s="0" t="str">
        <f aca="false">IF($AU$2&gt;0,"",IFERROR(INDEX(Offices!$J$2:$J$1000,MATCH(4,Offices!$FZ$2:$FZ$1000,0)),""))</f>
        <v/>
      </c>
      <c r="K5" s="0" t="str">
        <f aca="false">IF($AU$2&gt;0,"",IFERROR(INDEX(Offices!$K$2:$K$1000,MATCH(4,Offices!$FZ$2:$FZ$1000,0))&amp;"",""))</f>
        <v/>
      </c>
      <c r="L5" s="0" t="str">
        <f aca="false">IF($AU$2&gt;0,"",IFERROR(INDEX(Offices!$L$2:$L$1000,MATCH(4,Offices!$FZ$2:$FZ$1000,0))&amp;"",""))</f>
        <v/>
      </c>
      <c r="M5" s="0" t="str">
        <f aca="false">IF($AU$2&gt;0,"",IFERROR(INDEX(Offices!$M$2:$M$1000,MATCH(4,Offices!$FZ$2:$FZ$1000,0))&amp;"",""))</f>
        <v/>
      </c>
      <c r="N5" s="0" t="str">
        <f aca="false">IF($AU$2&gt;0,"",IFERROR(INDEX(Offices!$N$2:$N$1000,MATCH(4,Offices!$FZ$2:$FZ$1000,0))&amp;"",""))</f>
        <v/>
      </c>
      <c r="O5" s="0" t="str">
        <f aca="false">IF($AU$2&gt;0,"",IFERROR(INDEX(Offices!$O$2:$O$1000,MATCH(4,Offices!$FZ$2:$FZ$1000,0))&amp;"",""))</f>
        <v/>
      </c>
      <c r="P5" s="0" t="str">
        <f aca="false">IF($AU$2&gt;0,"",IFERROR(INDEX(Offices!$P$2:$P$1000,MATCH(4,Offices!$FZ$2:$FZ$1000,0))&amp;"",""))</f>
        <v/>
      </c>
      <c r="Q5" s="0" t="str">
        <f aca="false">IF($AU$2&gt;0,"",IFERROR(INDEX(Offices!$Q$2:$Q$1000,MATCH(4,Offices!$FZ$2:$FZ$1000,0))&amp;"",""))</f>
        <v/>
      </c>
      <c r="R5" s="0" t="str">
        <f aca="false">IF($AU$2&gt;0,"",IFERROR(INDEX(Offices!$R$2:$R$1000,MATCH(4,Offices!$FZ$2:$FZ$1000,0))&amp;"",""))</f>
        <v/>
      </c>
      <c r="S5" s="0" t="str">
        <f aca="false">IF($AU$2&gt;0,"",IFERROR(INDEX(Offices!$S$2:$S$1000,MATCH(4,Offices!$FZ$2:$FZ$1000,0))&amp;"",""))</f>
        <v/>
      </c>
      <c r="T5" s="0" t="str">
        <f aca="false">IF($AU$2&gt;0,"",IFERROR(INDEX(Offices!$T$2:$T$1000,MATCH(4,Offices!$FZ$2:$FZ$1000,0))&amp;"",""))</f>
        <v/>
      </c>
      <c r="U5" s="0" t="str">
        <f aca="false">IF($AU$2&gt;0,"",IFERROR(INDEX(Offices!$U$2:$U$1000,MATCH(4,Offices!$FZ$2:$FZ$1000,0))&amp;"",""))</f>
        <v/>
      </c>
      <c r="V5" s="0" t="str">
        <f aca="false">IF($AU$2&gt;0,"",IFERROR(INDEX(Offices!$V$2:$V$1000,MATCH(4,Offices!$FZ$2:$FZ$1000,0))&amp;"",""))</f>
        <v/>
      </c>
      <c r="W5" s="0" t="str">
        <f aca="false">IF($AU$2&gt;0,"",IFERROR(INDEX(Offices!$W$2:$W$1000,MATCH(4,Offices!$FZ$2:$FZ$1000,0))&amp;"",""))</f>
        <v/>
      </c>
      <c r="X5" s="0" t="str">
        <f aca="false">IF($AU$2&gt;0,"",IFERROR(INDEX(Offices!$X$2:$X$1000,MATCH(4,Offices!$FZ$2:$FZ$1000,0))&amp;"",""))</f>
        <v/>
      </c>
      <c r="Y5" s="0" t="str">
        <f aca="false">IF($AU$2&gt;0,"",IFERROR(INDEX(Offices!$Y$2:$Y$1000,MATCH(4,Offices!$FZ$2:$FZ$1000,0)),""))</f>
        <v/>
      </c>
      <c r="Z5" s="0" t="str">
        <f aca="false">IF($AU$2&gt;0,"",IFERROR(INDEX(Offices!$Z$2:$Z$1000,MATCH(4,Offices!$FZ$2:$FZ$1000,0)),""))</f>
        <v/>
      </c>
      <c r="AA5" s="0" t="str">
        <f aca="false">IF($AU$2&gt;0,"",IFERROR(INDEX(Offices!$AA$2:$AA$1000,MATCH(4,Offices!$FZ$2:$FZ$1000,0))&amp;"",""))</f>
        <v/>
      </c>
      <c r="AB5" s="0" t="str">
        <f aca="false">IF($AU$2&gt;0,"",IFERROR(INDEX(Offices!$AB$2:$AB$1000,MATCH(4,Offices!$FZ$2:$FZ$1000,0))&amp;"",""))</f>
        <v/>
      </c>
      <c r="AC5" s="0" t="str">
        <f aca="false">IF($AU$2&gt;0,"",IFERROR(INDEX(Offices!$AC$2:$AC$1000,MATCH(4,Offices!$FZ$2:$FZ$1000,0))&amp;"",""))</f>
        <v/>
      </c>
      <c r="AD5" s="0" t="str">
        <f aca="false">IF($AU$2&gt;0,"",IFERROR(INDEX(Offices!$AD$2:$AD$1000,MATCH(4,Offices!$FZ$2:$FZ$1000,0))&amp;"",""))</f>
        <v/>
      </c>
      <c r="AE5" s="0" t="str">
        <f aca="false">IF($AU$2&gt;0,"",IFERROR(INDEX(Offices!$AE$2:$AE$1000,MATCH(4,Offices!$FZ$2:$FZ$1000,0))&amp;"",""))</f>
        <v/>
      </c>
      <c r="AF5" s="0" t="str">
        <f aca="false">IF($AU$2&gt;0,"",IFERROR(INDEX(Offices!$AF$2:$AF$1000,MATCH(4,Offices!$FZ$2:$FZ$1000,0))&amp;"",""))</f>
        <v/>
      </c>
      <c r="AG5" s="0" t="str">
        <f aca="false">IF($AU$2&gt;0,"",IFERROR(INDEX(Offices!$AG$2:$AG$1000,MATCH(4,Offices!$FZ$2:$FZ$1000,0))&amp;"",""))</f>
        <v/>
      </c>
      <c r="AH5" s="0" t="str">
        <f aca="false">IF($AU$2&gt;0,"",IFERROR(INDEX(Offices!$AH$2:$AH$1000,MATCH(4,Offices!$FZ$2:$FZ$1000,0))&amp;"",""))</f>
        <v/>
      </c>
      <c r="AI5" s="0" t="str">
        <f aca="false">IF($AU$2&gt;0,"",IFERROR(INDEX(Offices!$AI$2:$AI$1000,MATCH(4,Offices!$FZ$2:$FZ$1000,0))&amp;"",""))</f>
        <v/>
      </c>
      <c r="AJ5" s="0" t="str">
        <f aca="false">IF($AU$2&gt;0,"",IFERROR(INDEX(Offices!$AJ$2:$AJ$1000,MATCH(4,Offices!$FZ$2:$FZ$1000,0))&amp;"",""))</f>
        <v/>
      </c>
      <c r="AK5" s="0" t="str">
        <f aca="false">IF($AU$2&gt;0,"",IFERROR(INDEX(Offices!$AK$2:$AK$1000,MATCH(4,Offices!$FZ$2:$FZ$1000,0))&amp;"",""))</f>
        <v/>
      </c>
      <c r="AL5" s="0" t="str">
        <f aca="false">IF($AU$2&gt;0,"",IFERROR(INDEX(Offices!$AL$2:$AL$1000,MATCH(4,Offices!$FZ$2:$FZ$1000,0))&amp;"",""))</f>
        <v/>
      </c>
      <c r="AM5" s="0" t="str">
        <f aca="false">IF($AU$2&gt;0,"",IFERROR(INDEX(Offices!$AM$2:$AM$1000,MATCH(4,Offices!$FZ$2:$FZ$1000,0))&amp;"",""))</f>
        <v/>
      </c>
      <c r="AN5" s="0" t="str">
        <f aca="false">IF($AU$2&gt;0,"",IFERROR(INDEX(Offices!$AN$2:$AN$1000,MATCH(4,Offices!$FZ$2:$FZ$1000,0))&amp;"",""))</f>
        <v/>
      </c>
      <c r="AO5" s="0" t="str">
        <f aca="false">IF($AU$2&gt;0,"",IFERROR(INDEX(Offices!$AO$2:$AO$1000,MATCH(4,Offices!$FZ$2:$FZ$1000,0))&amp;"",""))</f>
        <v/>
      </c>
      <c r="AP5" s="0" t="str">
        <f aca="false">IF($AU$2&gt;0,"",IFERROR(INDEX(Offices!$AP$2:$AP$1000,MATCH(4,Offices!$FZ$2:$FZ$1000,0))&amp;"",""))</f>
        <v/>
      </c>
      <c r="AQ5" s="0" t="str">
        <f aca="false">IF($AU$2&gt;0,"",IFERROR(INDEX(Offices!$AQ$2:$AQ$1000,MATCH(4,Offices!$FZ$2:$FZ$1000,0))&amp;"",""))</f>
        <v/>
      </c>
      <c r="AR5" s="0" t="str">
        <f aca="false">IF($AU$2&gt;0,"",IFERROR(INDEX(Offices!$AR$2:$AR$1000,MATCH(4,Offices!$FZ$2:$FZ$1000,0))&amp;"",""))</f>
        <v/>
      </c>
      <c r="AS5" s="0" t="str">
        <f aca="false">IF($AU$2&gt;0,"",IFERROR(INDEX(Offices!$AS$2:$AS$1000,MATCH(4,Offices!$FZ$2:$FZ$1000,0))&amp;"",""))</f>
        <v/>
      </c>
    </row>
    <row r="6" customFormat="false" ht="15" hidden="false" customHeight="false" outlineLevel="0" collapsed="false">
      <c r="A6" s="0" t="str">
        <f aca="false">IF($AU$2&gt;0,"",IFERROR(INDEX(Offices!$A$2:$A$1000,MATCH(5,Offices!$FZ$2:$FZ$1000,0))&amp;"",""))</f>
        <v/>
      </c>
      <c r="B6" s="0" t="str">
        <f aca="false">IF($AU$2&gt;0,"",IFERROR(INDEX(Offices!$B$2:$B$1000,MATCH(5,Offices!$FZ$2:$FZ$1000,0))&amp;"",""))</f>
        <v/>
      </c>
      <c r="C6" s="0" t="str">
        <f aca="false">IF($AU$2&gt;0,"",IFERROR(INDEX(Offices!$C$2:$C$1000,MATCH(5,Offices!$FZ$2:$FZ$1000,0))&amp;"",""))</f>
        <v/>
      </c>
      <c r="D6" s="0" t="str">
        <f aca="false">IF($AU$2&gt;0,"",IFERROR(INDEX(Offices!$D$2:$D$1000,MATCH(5,Offices!$FZ$2:$FZ$1000,0))&amp;"",""))</f>
        <v/>
      </c>
      <c r="E6" s="0" t="str">
        <f aca="false">IF($AU$2&gt;0,"",IFERROR(INDEX(Offices!$E$2:$E$1000,MATCH(5,Offices!$FZ$2:$FZ$1000,0))&amp;"",""))</f>
        <v/>
      </c>
      <c r="F6" s="0" t="str">
        <f aca="false">IF($AU$2&gt;0,"",IFERROR(INDEX(Offices!$F$2:$F$1000,MATCH(5,Offices!$FZ$2:$FZ$1000,0))&amp;"",""))</f>
        <v/>
      </c>
      <c r="G6" s="0" t="str">
        <f aca="false">IF($AU$2&gt;0,"",IFERROR(INDEX(Offices!$G$2:$G$1000,MATCH(5,Offices!$FZ$2:$FZ$1000,0))&amp;"",""))</f>
        <v/>
      </c>
      <c r="H6" s="0" t="str">
        <f aca="false">IF($AU$2&gt;0,"",IFERROR(INDEX(Offices!$H$2:$H$1000,MATCH(5,Offices!$FZ$2:$FZ$1000,0))&amp;"",""))</f>
        <v/>
      </c>
      <c r="I6" s="0" t="str">
        <f aca="false">IF($AU$2&gt;0,"",IFERROR(INDEX(Offices!$I$2:$I$1000,MATCH(5,Offices!$FZ$2:$FZ$1000,0))&amp;"",""))</f>
        <v/>
      </c>
      <c r="J6" s="0" t="str">
        <f aca="false">IF($AU$2&gt;0,"",IFERROR(INDEX(Offices!$J$2:$J$1000,MATCH(5,Offices!$FZ$2:$FZ$1000,0)),""))</f>
        <v/>
      </c>
      <c r="K6" s="0" t="str">
        <f aca="false">IF($AU$2&gt;0,"",IFERROR(INDEX(Offices!$K$2:$K$1000,MATCH(5,Offices!$FZ$2:$FZ$1000,0))&amp;"",""))</f>
        <v/>
      </c>
      <c r="L6" s="0" t="str">
        <f aca="false">IF($AU$2&gt;0,"",IFERROR(INDEX(Offices!$L$2:$L$1000,MATCH(5,Offices!$FZ$2:$FZ$1000,0))&amp;"",""))</f>
        <v/>
      </c>
      <c r="M6" s="0" t="str">
        <f aca="false">IF($AU$2&gt;0,"",IFERROR(INDEX(Offices!$M$2:$M$1000,MATCH(5,Offices!$FZ$2:$FZ$1000,0))&amp;"",""))</f>
        <v/>
      </c>
      <c r="N6" s="0" t="str">
        <f aca="false">IF($AU$2&gt;0,"",IFERROR(INDEX(Offices!$N$2:$N$1000,MATCH(5,Offices!$FZ$2:$FZ$1000,0))&amp;"",""))</f>
        <v/>
      </c>
      <c r="O6" s="0" t="str">
        <f aca="false">IF($AU$2&gt;0,"",IFERROR(INDEX(Offices!$O$2:$O$1000,MATCH(5,Offices!$FZ$2:$FZ$1000,0))&amp;"",""))</f>
        <v/>
      </c>
      <c r="P6" s="0" t="str">
        <f aca="false">IF($AU$2&gt;0,"",IFERROR(INDEX(Offices!$P$2:$P$1000,MATCH(5,Offices!$FZ$2:$FZ$1000,0))&amp;"",""))</f>
        <v/>
      </c>
      <c r="Q6" s="0" t="str">
        <f aca="false">IF($AU$2&gt;0,"",IFERROR(INDEX(Offices!$Q$2:$Q$1000,MATCH(5,Offices!$FZ$2:$FZ$1000,0))&amp;"",""))</f>
        <v/>
      </c>
      <c r="R6" s="0" t="str">
        <f aca="false">IF($AU$2&gt;0,"",IFERROR(INDEX(Offices!$R$2:$R$1000,MATCH(5,Offices!$FZ$2:$FZ$1000,0))&amp;"",""))</f>
        <v/>
      </c>
      <c r="S6" s="0" t="str">
        <f aca="false">IF($AU$2&gt;0,"",IFERROR(INDEX(Offices!$S$2:$S$1000,MATCH(5,Offices!$FZ$2:$FZ$1000,0))&amp;"",""))</f>
        <v/>
      </c>
      <c r="T6" s="0" t="str">
        <f aca="false">IF($AU$2&gt;0,"",IFERROR(INDEX(Offices!$T$2:$T$1000,MATCH(5,Offices!$FZ$2:$FZ$1000,0))&amp;"",""))</f>
        <v/>
      </c>
      <c r="U6" s="0" t="str">
        <f aca="false">IF($AU$2&gt;0,"",IFERROR(INDEX(Offices!$U$2:$U$1000,MATCH(5,Offices!$FZ$2:$FZ$1000,0))&amp;"",""))</f>
        <v/>
      </c>
      <c r="V6" s="0" t="str">
        <f aca="false">IF($AU$2&gt;0,"",IFERROR(INDEX(Offices!$V$2:$V$1000,MATCH(5,Offices!$FZ$2:$FZ$1000,0))&amp;"",""))</f>
        <v/>
      </c>
      <c r="W6" s="0" t="str">
        <f aca="false">IF($AU$2&gt;0,"",IFERROR(INDEX(Offices!$W$2:$W$1000,MATCH(5,Offices!$FZ$2:$FZ$1000,0))&amp;"",""))</f>
        <v/>
      </c>
      <c r="X6" s="0" t="str">
        <f aca="false">IF($AU$2&gt;0,"",IFERROR(INDEX(Offices!$X$2:$X$1000,MATCH(5,Offices!$FZ$2:$FZ$1000,0))&amp;"",""))</f>
        <v/>
      </c>
      <c r="Y6" s="0" t="str">
        <f aca="false">IF($AU$2&gt;0,"",IFERROR(INDEX(Offices!$Y$2:$Y$1000,MATCH(5,Offices!$FZ$2:$FZ$1000,0)),""))</f>
        <v/>
      </c>
      <c r="Z6" s="0" t="str">
        <f aca="false">IF($AU$2&gt;0,"",IFERROR(INDEX(Offices!$Z$2:$Z$1000,MATCH(5,Offices!$FZ$2:$FZ$1000,0)),""))</f>
        <v/>
      </c>
      <c r="AA6" s="0" t="str">
        <f aca="false">IF($AU$2&gt;0,"",IFERROR(INDEX(Offices!$AA$2:$AA$1000,MATCH(5,Offices!$FZ$2:$FZ$1000,0))&amp;"",""))</f>
        <v/>
      </c>
      <c r="AB6" s="0" t="str">
        <f aca="false">IF($AU$2&gt;0,"",IFERROR(INDEX(Offices!$AB$2:$AB$1000,MATCH(5,Offices!$FZ$2:$FZ$1000,0))&amp;"",""))</f>
        <v/>
      </c>
      <c r="AC6" s="0" t="str">
        <f aca="false">IF($AU$2&gt;0,"",IFERROR(INDEX(Offices!$AC$2:$AC$1000,MATCH(5,Offices!$FZ$2:$FZ$1000,0))&amp;"",""))</f>
        <v/>
      </c>
      <c r="AD6" s="0" t="str">
        <f aca="false">IF($AU$2&gt;0,"",IFERROR(INDEX(Offices!$AD$2:$AD$1000,MATCH(5,Offices!$FZ$2:$FZ$1000,0))&amp;"",""))</f>
        <v/>
      </c>
      <c r="AE6" s="0" t="str">
        <f aca="false">IF($AU$2&gt;0,"",IFERROR(INDEX(Offices!$AE$2:$AE$1000,MATCH(5,Offices!$FZ$2:$FZ$1000,0))&amp;"",""))</f>
        <v/>
      </c>
      <c r="AF6" s="0" t="str">
        <f aca="false">IF($AU$2&gt;0,"",IFERROR(INDEX(Offices!$AF$2:$AF$1000,MATCH(5,Offices!$FZ$2:$FZ$1000,0))&amp;"",""))</f>
        <v/>
      </c>
      <c r="AG6" s="0" t="str">
        <f aca="false">IF($AU$2&gt;0,"",IFERROR(INDEX(Offices!$AG$2:$AG$1000,MATCH(5,Offices!$FZ$2:$FZ$1000,0))&amp;"",""))</f>
        <v/>
      </c>
      <c r="AH6" s="0" t="str">
        <f aca="false">IF($AU$2&gt;0,"",IFERROR(INDEX(Offices!$AH$2:$AH$1000,MATCH(5,Offices!$FZ$2:$FZ$1000,0))&amp;"",""))</f>
        <v/>
      </c>
      <c r="AI6" s="0" t="str">
        <f aca="false">IF($AU$2&gt;0,"",IFERROR(INDEX(Offices!$AI$2:$AI$1000,MATCH(5,Offices!$FZ$2:$FZ$1000,0))&amp;"",""))</f>
        <v/>
      </c>
      <c r="AJ6" s="0" t="str">
        <f aca="false">IF($AU$2&gt;0,"",IFERROR(INDEX(Offices!$AJ$2:$AJ$1000,MATCH(5,Offices!$FZ$2:$FZ$1000,0))&amp;"",""))</f>
        <v/>
      </c>
      <c r="AK6" s="0" t="str">
        <f aca="false">IF($AU$2&gt;0,"",IFERROR(INDEX(Offices!$AK$2:$AK$1000,MATCH(5,Offices!$FZ$2:$FZ$1000,0))&amp;"",""))</f>
        <v/>
      </c>
      <c r="AL6" s="0" t="str">
        <f aca="false">IF($AU$2&gt;0,"",IFERROR(INDEX(Offices!$AL$2:$AL$1000,MATCH(5,Offices!$FZ$2:$FZ$1000,0))&amp;"",""))</f>
        <v/>
      </c>
      <c r="AM6" s="0" t="str">
        <f aca="false">IF($AU$2&gt;0,"",IFERROR(INDEX(Offices!$AM$2:$AM$1000,MATCH(5,Offices!$FZ$2:$FZ$1000,0))&amp;"",""))</f>
        <v/>
      </c>
      <c r="AN6" s="0" t="str">
        <f aca="false">IF($AU$2&gt;0,"",IFERROR(INDEX(Offices!$AN$2:$AN$1000,MATCH(5,Offices!$FZ$2:$FZ$1000,0))&amp;"",""))</f>
        <v/>
      </c>
      <c r="AO6" s="0" t="str">
        <f aca="false">IF($AU$2&gt;0,"",IFERROR(INDEX(Offices!$AO$2:$AO$1000,MATCH(5,Offices!$FZ$2:$FZ$1000,0))&amp;"",""))</f>
        <v/>
      </c>
      <c r="AP6" s="0" t="str">
        <f aca="false">IF($AU$2&gt;0,"",IFERROR(INDEX(Offices!$AP$2:$AP$1000,MATCH(5,Offices!$FZ$2:$FZ$1000,0))&amp;"",""))</f>
        <v/>
      </c>
      <c r="AQ6" s="0" t="str">
        <f aca="false">IF($AU$2&gt;0,"",IFERROR(INDEX(Offices!$AQ$2:$AQ$1000,MATCH(5,Offices!$FZ$2:$FZ$1000,0))&amp;"",""))</f>
        <v/>
      </c>
      <c r="AR6" s="0" t="str">
        <f aca="false">IF($AU$2&gt;0,"",IFERROR(INDEX(Offices!$AR$2:$AR$1000,MATCH(5,Offices!$FZ$2:$FZ$1000,0))&amp;"",""))</f>
        <v/>
      </c>
      <c r="AS6" s="0" t="str">
        <f aca="false">IF($AU$2&gt;0,"",IFERROR(INDEX(Offices!$AS$2:$AS$1000,MATCH(5,Offices!$FZ$2:$FZ$1000,0))&amp;"",""))</f>
        <v/>
      </c>
    </row>
    <row r="7" customFormat="false" ht="15" hidden="false" customHeight="false" outlineLevel="0" collapsed="false">
      <c r="A7" s="0" t="str">
        <f aca="false">IF($AU$2&gt;0,"",IFERROR(INDEX(Offices!$A$2:$A$1000,MATCH(6,Offices!$FZ$2:$FZ$1000,0))&amp;"",""))</f>
        <v/>
      </c>
      <c r="B7" s="0" t="str">
        <f aca="false">IF($AU$2&gt;0,"",IFERROR(INDEX(Offices!$B$2:$B$1000,MATCH(6,Offices!$FZ$2:$FZ$1000,0))&amp;"",""))</f>
        <v/>
      </c>
      <c r="C7" s="0" t="str">
        <f aca="false">IF($AU$2&gt;0,"",IFERROR(INDEX(Offices!$C$2:$C$1000,MATCH(6,Offices!$FZ$2:$FZ$1000,0))&amp;"",""))</f>
        <v/>
      </c>
      <c r="D7" s="0" t="str">
        <f aca="false">IF($AU$2&gt;0,"",IFERROR(INDEX(Offices!$D$2:$D$1000,MATCH(6,Offices!$FZ$2:$FZ$1000,0))&amp;"",""))</f>
        <v/>
      </c>
      <c r="E7" s="0" t="str">
        <f aca="false">IF($AU$2&gt;0,"",IFERROR(INDEX(Offices!$E$2:$E$1000,MATCH(6,Offices!$FZ$2:$FZ$1000,0))&amp;"",""))</f>
        <v/>
      </c>
      <c r="F7" s="0" t="str">
        <f aca="false">IF($AU$2&gt;0,"",IFERROR(INDEX(Offices!$F$2:$F$1000,MATCH(6,Offices!$FZ$2:$FZ$1000,0))&amp;"",""))</f>
        <v/>
      </c>
      <c r="G7" s="0" t="str">
        <f aca="false">IF($AU$2&gt;0,"",IFERROR(INDEX(Offices!$G$2:$G$1000,MATCH(6,Offices!$FZ$2:$FZ$1000,0))&amp;"",""))</f>
        <v/>
      </c>
      <c r="H7" s="0" t="str">
        <f aca="false">IF($AU$2&gt;0,"",IFERROR(INDEX(Offices!$H$2:$H$1000,MATCH(6,Offices!$FZ$2:$FZ$1000,0))&amp;"",""))</f>
        <v/>
      </c>
      <c r="I7" s="0" t="str">
        <f aca="false">IF($AU$2&gt;0,"",IFERROR(INDEX(Offices!$I$2:$I$1000,MATCH(6,Offices!$FZ$2:$FZ$1000,0))&amp;"",""))</f>
        <v/>
      </c>
      <c r="J7" s="0" t="str">
        <f aca="false">IF($AU$2&gt;0,"",IFERROR(INDEX(Offices!$J$2:$J$1000,MATCH(6,Offices!$FZ$2:$FZ$1000,0)),""))</f>
        <v/>
      </c>
      <c r="K7" s="0" t="str">
        <f aca="false">IF($AU$2&gt;0,"",IFERROR(INDEX(Offices!$K$2:$K$1000,MATCH(6,Offices!$FZ$2:$FZ$1000,0))&amp;"",""))</f>
        <v/>
      </c>
      <c r="L7" s="0" t="str">
        <f aca="false">IF($AU$2&gt;0,"",IFERROR(INDEX(Offices!$L$2:$L$1000,MATCH(6,Offices!$FZ$2:$FZ$1000,0))&amp;"",""))</f>
        <v/>
      </c>
      <c r="M7" s="0" t="str">
        <f aca="false">IF($AU$2&gt;0,"",IFERROR(INDEX(Offices!$M$2:$M$1000,MATCH(6,Offices!$FZ$2:$FZ$1000,0))&amp;"",""))</f>
        <v/>
      </c>
      <c r="N7" s="0" t="str">
        <f aca="false">IF($AU$2&gt;0,"",IFERROR(INDEX(Offices!$N$2:$N$1000,MATCH(6,Offices!$FZ$2:$FZ$1000,0))&amp;"",""))</f>
        <v/>
      </c>
      <c r="O7" s="0" t="str">
        <f aca="false">IF($AU$2&gt;0,"",IFERROR(INDEX(Offices!$O$2:$O$1000,MATCH(6,Offices!$FZ$2:$FZ$1000,0))&amp;"",""))</f>
        <v/>
      </c>
      <c r="P7" s="0" t="str">
        <f aca="false">IF($AU$2&gt;0,"",IFERROR(INDEX(Offices!$P$2:$P$1000,MATCH(6,Offices!$FZ$2:$FZ$1000,0))&amp;"",""))</f>
        <v/>
      </c>
      <c r="Q7" s="0" t="str">
        <f aca="false">IF($AU$2&gt;0,"",IFERROR(INDEX(Offices!$Q$2:$Q$1000,MATCH(6,Offices!$FZ$2:$FZ$1000,0))&amp;"",""))</f>
        <v/>
      </c>
      <c r="R7" s="0" t="str">
        <f aca="false">IF($AU$2&gt;0,"",IFERROR(INDEX(Offices!$R$2:$R$1000,MATCH(6,Offices!$FZ$2:$FZ$1000,0))&amp;"",""))</f>
        <v/>
      </c>
      <c r="S7" s="0" t="str">
        <f aca="false">IF($AU$2&gt;0,"",IFERROR(INDEX(Offices!$S$2:$S$1000,MATCH(6,Offices!$FZ$2:$FZ$1000,0))&amp;"",""))</f>
        <v/>
      </c>
      <c r="T7" s="0" t="str">
        <f aca="false">IF($AU$2&gt;0,"",IFERROR(INDEX(Offices!$T$2:$T$1000,MATCH(6,Offices!$FZ$2:$FZ$1000,0))&amp;"",""))</f>
        <v/>
      </c>
      <c r="U7" s="0" t="str">
        <f aca="false">IF($AU$2&gt;0,"",IFERROR(INDEX(Offices!$U$2:$U$1000,MATCH(6,Offices!$FZ$2:$FZ$1000,0))&amp;"",""))</f>
        <v/>
      </c>
      <c r="V7" s="0" t="str">
        <f aca="false">IF($AU$2&gt;0,"",IFERROR(INDEX(Offices!$V$2:$V$1000,MATCH(6,Offices!$FZ$2:$FZ$1000,0))&amp;"",""))</f>
        <v/>
      </c>
      <c r="W7" s="0" t="str">
        <f aca="false">IF($AU$2&gt;0,"",IFERROR(INDEX(Offices!$W$2:$W$1000,MATCH(6,Offices!$FZ$2:$FZ$1000,0))&amp;"",""))</f>
        <v/>
      </c>
      <c r="X7" s="0" t="str">
        <f aca="false">IF($AU$2&gt;0,"",IFERROR(INDEX(Offices!$X$2:$X$1000,MATCH(6,Offices!$FZ$2:$FZ$1000,0))&amp;"",""))</f>
        <v/>
      </c>
      <c r="Y7" s="0" t="str">
        <f aca="false">IF($AU$2&gt;0,"",IFERROR(INDEX(Offices!$Y$2:$Y$1000,MATCH(6,Offices!$FZ$2:$FZ$1000,0)),""))</f>
        <v/>
      </c>
      <c r="Z7" s="0" t="str">
        <f aca="false">IF($AU$2&gt;0,"",IFERROR(INDEX(Offices!$Z$2:$Z$1000,MATCH(6,Offices!$FZ$2:$FZ$1000,0)),""))</f>
        <v/>
      </c>
      <c r="AA7" s="0" t="str">
        <f aca="false">IF($AU$2&gt;0,"",IFERROR(INDEX(Offices!$AA$2:$AA$1000,MATCH(6,Offices!$FZ$2:$FZ$1000,0))&amp;"",""))</f>
        <v/>
      </c>
      <c r="AB7" s="0" t="str">
        <f aca="false">IF($AU$2&gt;0,"",IFERROR(INDEX(Offices!$AB$2:$AB$1000,MATCH(6,Offices!$FZ$2:$FZ$1000,0))&amp;"",""))</f>
        <v/>
      </c>
      <c r="AC7" s="0" t="str">
        <f aca="false">IF($AU$2&gt;0,"",IFERROR(INDEX(Offices!$AC$2:$AC$1000,MATCH(6,Offices!$FZ$2:$FZ$1000,0))&amp;"",""))</f>
        <v/>
      </c>
      <c r="AD7" s="0" t="str">
        <f aca="false">IF($AU$2&gt;0,"",IFERROR(INDEX(Offices!$AD$2:$AD$1000,MATCH(6,Offices!$FZ$2:$FZ$1000,0))&amp;"",""))</f>
        <v/>
      </c>
      <c r="AE7" s="0" t="str">
        <f aca="false">IF($AU$2&gt;0,"",IFERROR(INDEX(Offices!$AE$2:$AE$1000,MATCH(6,Offices!$FZ$2:$FZ$1000,0))&amp;"",""))</f>
        <v/>
      </c>
      <c r="AF7" s="0" t="str">
        <f aca="false">IF($AU$2&gt;0,"",IFERROR(INDEX(Offices!$AF$2:$AF$1000,MATCH(6,Offices!$FZ$2:$FZ$1000,0))&amp;"",""))</f>
        <v/>
      </c>
      <c r="AG7" s="0" t="str">
        <f aca="false">IF($AU$2&gt;0,"",IFERROR(INDEX(Offices!$AG$2:$AG$1000,MATCH(6,Offices!$FZ$2:$FZ$1000,0))&amp;"",""))</f>
        <v/>
      </c>
      <c r="AH7" s="0" t="str">
        <f aca="false">IF($AU$2&gt;0,"",IFERROR(INDEX(Offices!$AH$2:$AH$1000,MATCH(6,Offices!$FZ$2:$FZ$1000,0))&amp;"",""))</f>
        <v/>
      </c>
      <c r="AI7" s="0" t="str">
        <f aca="false">IF($AU$2&gt;0,"",IFERROR(INDEX(Offices!$AI$2:$AI$1000,MATCH(6,Offices!$FZ$2:$FZ$1000,0))&amp;"",""))</f>
        <v/>
      </c>
      <c r="AJ7" s="0" t="str">
        <f aca="false">IF($AU$2&gt;0,"",IFERROR(INDEX(Offices!$AJ$2:$AJ$1000,MATCH(6,Offices!$FZ$2:$FZ$1000,0))&amp;"",""))</f>
        <v/>
      </c>
      <c r="AK7" s="0" t="str">
        <f aca="false">IF($AU$2&gt;0,"",IFERROR(INDEX(Offices!$AK$2:$AK$1000,MATCH(6,Offices!$FZ$2:$FZ$1000,0))&amp;"",""))</f>
        <v/>
      </c>
      <c r="AL7" s="0" t="str">
        <f aca="false">IF($AU$2&gt;0,"",IFERROR(INDEX(Offices!$AL$2:$AL$1000,MATCH(6,Offices!$FZ$2:$FZ$1000,0))&amp;"",""))</f>
        <v/>
      </c>
      <c r="AM7" s="0" t="str">
        <f aca="false">IF($AU$2&gt;0,"",IFERROR(INDEX(Offices!$AM$2:$AM$1000,MATCH(6,Offices!$FZ$2:$FZ$1000,0))&amp;"",""))</f>
        <v/>
      </c>
      <c r="AN7" s="0" t="str">
        <f aca="false">IF($AU$2&gt;0,"",IFERROR(INDEX(Offices!$AN$2:$AN$1000,MATCH(6,Offices!$FZ$2:$FZ$1000,0))&amp;"",""))</f>
        <v/>
      </c>
      <c r="AO7" s="0" t="str">
        <f aca="false">IF($AU$2&gt;0,"",IFERROR(INDEX(Offices!$AO$2:$AO$1000,MATCH(6,Offices!$FZ$2:$FZ$1000,0))&amp;"",""))</f>
        <v/>
      </c>
      <c r="AP7" s="0" t="str">
        <f aca="false">IF($AU$2&gt;0,"",IFERROR(INDEX(Offices!$AP$2:$AP$1000,MATCH(6,Offices!$FZ$2:$FZ$1000,0))&amp;"",""))</f>
        <v/>
      </c>
      <c r="AQ7" s="0" t="str">
        <f aca="false">IF($AU$2&gt;0,"",IFERROR(INDEX(Offices!$AQ$2:$AQ$1000,MATCH(6,Offices!$FZ$2:$FZ$1000,0))&amp;"",""))</f>
        <v/>
      </c>
      <c r="AR7" s="0" t="str">
        <f aca="false">IF($AU$2&gt;0,"",IFERROR(INDEX(Offices!$AR$2:$AR$1000,MATCH(6,Offices!$FZ$2:$FZ$1000,0))&amp;"",""))</f>
        <v/>
      </c>
      <c r="AS7" s="0" t="str">
        <f aca="false">IF($AU$2&gt;0,"",IFERROR(INDEX(Offices!$AS$2:$AS$1000,MATCH(6,Offices!$FZ$2:$FZ$1000,0))&amp;"",""))</f>
        <v/>
      </c>
    </row>
    <row r="8" customFormat="false" ht="15" hidden="false" customHeight="false" outlineLevel="0" collapsed="false">
      <c r="A8" s="0" t="str">
        <f aca="false">IF($AU$2&gt;0,"",IFERROR(INDEX(Offices!$A$2:$A$1000,MATCH(7,Offices!$FZ$2:$FZ$1000,0))&amp;"",""))</f>
        <v/>
      </c>
      <c r="B8" s="0" t="str">
        <f aca="false">IF($AU$2&gt;0,"",IFERROR(INDEX(Offices!$B$2:$B$1000,MATCH(7,Offices!$FZ$2:$FZ$1000,0))&amp;"",""))</f>
        <v/>
      </c>
      <c r="C8" s="0" t="str">
        <f aca="false">IF($AU$2&gt;0,"",IFERROR(INDEX(Offices!$C$2:$C$1000,MATCH(7,Offices!$FZ$2:$FZ$1000,0))&amp;"",""))</f>
        <v/>
      </c>
      <c r="D8" s="0" t="str">
        <f aca="false">IF($AU$2&gt;0,"",IFERROR(INDEX(Offices!$D$2:$D$1000,MATCH(7,Offices!$FZ$2:$FZ$1000,0))&amp;"",""))</f>
        <v/>
      </c>
      <c r="E8" s="0" t="str">
        <f aca="false">IF($AU$2&gt;0,"",IFERROR(INDEX(Offices!$E$2:$E$1000,MATCH(7,Offices!$FZ$2:$FZ$1000,0))&amp;"",""))</f>
        <v/>
      </c>
      <c r="F8" s="0" t="str">
        <f aca="false">IF($AU$2&gt;0,"",IFERROR(INDEX(Offices!$F$2:$F$1000,MATCH(7,Offices!$FZ$2:$FZ$1000,0))&amp;"",""))</f>
        <v/>
      </c>
      <c r="G8" s="0" t="str">
        <f aca="false">IF($AU$2&gt;0,"",IFERROR(INDEX(Offices!$G$2:$G$1000,MATCH(7,Offices!$FZ$2:$FZ$1000,0))&amp;"",""))</f>
        <v/>
      </c>
      <c r="H8" s="0" t="str">
        <f aca="false">IF($AU$2&gt;0,"",IFERROR(INDEX(Offices!$H$2:$H$1000,MATCH(7,Offices!$FZ$2:$FZ$1000,0))&amp;"",""))</f>
        <v/>
      </c>
      <c r="I8" s="0" t="str">
        <f aca="false">IF($AU$2&gt;0,"",IFERROR(INDEX(Offices!$I$2:$I$1000,MATCH(7,Offices!$FZ$2:$FZ$1000,0))&amp;"",""))</f>
        <v/>
      </c>
      <c r="J8" s="0" t="str">
        <f aca="false">IF($AU$2&gt;0,"",IFERROR(INDEX(Offices!$J$2:$J$1000,MATCH(7,Offices!$FZ$2:$FZ$1000,0)),""))</f>
        <v/>
      </c>
      <c r="K8" s="0" t="str">
        <f aca="false">IF($AU$2&gt;0,"",IFERROR(INDEX(Offices!$K$2:$K$1000,MATCH(7,Offices!$FZ$2:$FZ$1000,0))&amp;"",""))</f>
        <v/>
      </c>
      <c r="L8" s="0" t="str">
        <f aca="false">IF($AU$2&gt;0,"",IFERROR(INDEX(Offices!$L$2:$L$1000,MATCH(7,Offices!$FZ$2:$FZ$1000,0))&amp;"",""))</f>
        <v/>
      </c>
      <c r="M8" s="0" t="str">
        <f aca="false">IF($AU$2&gt;0,"",IFERROR(INDEX(Offices!$M$2:$M$1000,MATCH(7,Offices!$FZ$2:$FZ$1000,0))&amp;"",""))</f>
        <v/>
      </c>
      <c r="N8" s="0" t="str">
        <f aca="false">IF($AU$2&gt;0,"",IFERROR(INDEX(Offices!$N$2:$N$1000,MATCH(7,Offices!$FZ$2:$FZ$1000,0))&amp;"",""))</f>
        <v/>
      </c>
      <c r="O8" s="0" t="str">
        <f aca="false">IF($AU$2&gt;0,"",IFERROR(INDEX(Offices!$O$2:$O$1000,MATCH(7,Offices!$FZ$2:$FZ$1000,0))&amp;"",""))</f>
        <v/>
      </c>
      <c r="P8" s="0" t="str">
        <f aca="false">IF($AU$2&gt;0,"",IFERROR(INDEX(Offices!$P$2:$P$1000,MATCH(7,Offices!$FZ$2:$FZ$1000,0))&amp;"",""))</f>
        <v/>
      </c>
      <c r="Q8" s="0" t="str">
        <f aca="false">IF($AU$2&gt;0,"",IFERROR(INDEX(Offices!$Q$2:$Q$1000,MATCH(7,Offices!$FZ$2:$FZ$1000,0))&amp;"",""))</f>
        <v/>
      </c>
      <c r="R8" s="0" t="str">
        <f aca="false">IF($AU$2&gt;0,"",IFERROR(INDEX(Offices!$R$2:$R$1000,MATCH(7,Offices!$FZ$2:$FZ$1000,0))&amp;"",""))</f>
        <v/>
      </c>
      <c r="S8" s="0" t="str">
        <f aca="false">IF($AU$2&gt;0,"",IFERROR(INDEX(Offices!$S$2:$S$1000,MATCH(7,Offices!$FZ$2:$FZ$1000,0))&amp;"",""))</f>
        <v/>
      </c>
      <c r="T8" s="0" t="str">
        <f aca="false">IF($AU$2&gt;0,"",IFERROR(INDEX(Offices!$T$2:$T$1000,MATCH(7,Offices!$FZ$2:$FZ$1000,0))&amp;"",""))</f>
        <v/>
      </c>
      <c r="U8" s="0" t="str">
        <f aca="false">IF($AU$2&gt;0,"",IFERROR(INDEX(Offices!$U$2:$U$1000,MATCH(7,Offices!$FZ$2:$FZ$1000,0))&amp;"",""))</f>
        <v/>
      </c>
      <c r="V8" s="0" t="str">
        <f aca="false">IF($AU$2&gt;0,"",IFERROR(INDEX(Offices!$V$2:$V$1000,MATCH(7,Offices!$FZ$2:$FZ$1000,0))&amp;"",""))</f>
        <v/>
      </c>
      <c r="W8" s="0" t="str">
        <f aca="false">IF($AU$2&gt;0,"",IFERROR(INDEX(Offices!$W$2:$W$1000,MATCH(7,Offices!$FZ$2:$FZ$1000,0))&amp;"",""))</f>
        <v/>
      </c>
      <c r="X8" s="0" t="str">
        <f aca="false">IF($AU$2&gt;0,"",IFERROR(INDEX(Offices!$X$2:$X$1000,MATCH(7,Offices!$FZ$2:$FZ$1000,0))&amp;"",""))</f>
        <v/>
      </c>
      <c r="Y8" s="0" t="str">
        <f aca="false">IF($AU$2&gt;0,"",IFERROR(INDEX(Offices!$Y$2:$Y$1000,MATCH(7,Offices!$FZ$2:$FZ$1000,0)),""))</f>
        <v/>
      </c>
      <c r="Z8" s="0" t="str">
        <f aca="false">IF($AU$2&gt;0,"",IFERROR(INDEX(Offices!$Z$2:$Z$1000,MATCH(7,Offices!$FZ$2:$FZ$1000,0)),""))</f>
        <v/>
      </c>
      <c r="AA8" s="0" t="str">
        <f aca="false">IF($AU$2&gt;0,"",IFERROR(INDEX(Offices!$AA$2:$AA$1000,MATCH(7,Offices!$FZ$2:$FZ$1000,0))&amp;"",""))</f>
        <v/>
      </c>
      <c r="AB8" s="0" t="str">
        <f aca="false">IF($AU$2&gt;0,"",IFERROR(INDEX(Offices!$AB$2:$AB$1000,MATCH(7,Offices!$FZ$2:$FZ$1000,0))&amp;"",""))</f>
        <v/>
      </c>
      <c r="AC8" s="0" t="str">
        <f aca="false">IF($AU$2&gt;0,"",IFERROR(INDEX(Offices!$AC$2:$AC$1000,MATCH(7,Offices!$FZ$2:$FZ$1000,0))&amp;"",""))</f>
        <v/>
      </c>
      <c r="AD8" s="0" t="str">
        <f aca="false">IF($AU$2&gt;0,"",IFERROR(INDEX(Offices!$AD$2:$AD$1000,MATCH(7,Offices!$FZ$2:$FZ$1000,0))&amp;"",""))</f>
        <v/>
      </c>
      <c r="AE8" s="0" t="str">
        <f aca="false">IF($AU$2&gt;0,"",IFERROR(INDEX(Offices!$AE$2:$AE$1000,MATCH(7,Offices!$FZ$2:$FZ$1000,0))&amp;"",""))</f>
        <v/>
      </c>
      <c r="AF8" s="0" t="str">
        <f aca="false">IF($AU$2&gt;0,"",IFERROR(INDEX(Offices!$AF$2:$AF$1000,MATCH(7,Offices!$FZ$2:$FZ$1000,0))&amp;"",""))</f>
        <v/>
      </c>
      <c r="AG8" s="0" t="str">
        <f aca="false">IF($AU$2&gt;0,"",IFERROR(INDEX(Offices!$AG$2:$AG$1000,MATCH(7,Offices!$FZ$2:$FZ$1000,0))&amp;"",""))</f>
        <v/>
      </c>
      <c r="AH8" s="0" t="str">
        <f aca="false">IF($AU$2&gt;0,"",IFERROR(INDEX(Offices!$AH$2:$AH$1000,MATCH(7,Offices!$FZ$2:$FZ$1000,0))&amp;"",""))</f>
        <v/>
      </c>
      <c r="AI8" s="0" t="str">
        <f aca="false">IF($AU$2&gt;0,"",IFERROR(INDEX(Offices!$AI$2:$AI$1000,MATCH(7,Offices!$FZ$2:$FZ$1000,0))&amp;"",""))</f>
        <v/>
      </c>
      <c r="AJ8" s="0" t="str">
        <f aca="false">IF($AU$2&gt;0,"",IFERROR(INDEX(Offices!$AJ$2:$AJ$1000,MATCH(7,Offices!$FZ$2:$FZ$1000,0))&amp;"",""))</f>
        <v/>
      </c>
      <c r="AK8" s="0" t="str">
        <f aca="false">IF($AU$2&gt;0,"",IFERROR(INDEX(Offices!$AK$2:$AK$1000,MATCH(7,Offices!$FZ$2:$FZ$1000,0))&amp;"",""))</f>
        <v/>
      </c>
      <c r="AL8" s="0" t="str">
        <f aca="false">IF($AU$2&gt;0,"",IFERROR(INDEX(Offices!$AL$2:$AL$1000,MATCH(7,Offices!$FZ$2:$FZ$1000,0))&amp;"",""))</f>
        <v/>
      </c>
      <c r="AM8" s="0" t="str">
        <f aca="false">IF($AU$2&gt;0,"",IFERROR(INDEX(Offices!$AM$2:$AM$1000,MATCH(7,Offices!$FZ$2:$FZ$1000,0))&amp;"",""))</f>
        <v/>
      </c>
      <c r="AN8" s="0" t="str">
        <f aca="false">IF($AU$2&gt;0,"",IFERROR(INDEX(Offices!$AN$2:$AN$1000,MATCH(7,Offices!$FZ$2:$FZ$1000,0))&amp;"",""))</f>
        <v/>
      </c>
      <c r="AO8" s="0" t="str">
        <f aca="false">IF($AU$2&gt;0,"",IFERROR(INDEX(Offices!$AO$2:$AO$1000,MATCH(7,Offices!$FZ$2:$FZ$1000,0))&amp;"",""))</f>
        <v/>
      </c>
      <c r="AP8" s="0" t="str">
        <f aca="false">IF($AU$2&gt;0,"",IFERROR(INDEX(Offices!$AP$2:$AP$1000,MATCH(7,Offices!$FZ$2:$FZ$1000,0))&amp;"",""))</f>
        <v/>
      </c>
      <c r="AQ8" s="0" t="str">
        <f aca="false">IF($AU$2&gt;0,"",IFERROR(INDEX(Offices!$AQ$2:$AQ$1000,MATCH(7,Offices!$FZ$2:$FZ$1000,0))&amp;"",""))</f>
        <v/>
      </c>
      <c r="AR8" s="0" t="str">
        <f aca="false">IF($AU$2&gt;0,"",IFERROR(INDEX(Offices!$AR$2:$AR$1000,MATCH(7,Offices!$FZ$2:$FZ$1000,0))&amp;"",""))</f>
        <v/>
      </c>
      <c r="AS8" s="0" t="str">
        <f aca="false">IF($AU$2&gt;0,"",IFERROR(INDEX(Offices!$AS$2:$AS$1000,MATCH(7,Offices!$FZ$2:$FZ$1000,0))&amp;"",""))</f>
        <v/>
      </c>
    </row>
    <row r="9" customFormat="false" ht="15" hidden="false" customHeight="false" outlineLevel="0" collapsed="false">
      <c r="A9" s="0" t="str">
        <f aca="false">IF($AU$2&gt;0,"",IFERROR(INDEX(Offices!$A$2:$A$1000,MATCH(8,Offices!$FZ$2:$FZ$1000,0))&amp;"",""))</f>
        <v/>
      </c>
      <c r="B9" s="0" t="str">
        <f aca="false">IF($AU$2&gt;0,"",IFERROR(INDEX(Offices!$B$2:$B$1000,MATCH(8,Offices!$FZ$2:$FZ$1000,0))&amp;"",""))</f>
        <v/>
      </c>
      <c r="C9" s="0" t="str">
        <f aca="false">IF($AU$2&gt;0,"",IFERROR(INDEX(Offices!$C$2:$C$1000,MATCH(8,Offices!$FZ$2:$FZ$1000,0))&amp;"",""))</f>
        <v/>
      </c>
      <c r="D9" s="0" t="str">
        <f aca="false">IF($AU$2&gt;0,"",IFERROR(INDEX(Offices!$D$2:$D$1000,MATCH(8,Offices!$FZ$2:$FZ$1000,0))&amp;"",""))</f>
        <v/>
      </c>
      <c r="E9" s="0" t="str">
        <f aca="false">IF($AU$2&gt;0,"",IFERROR(INDEX(Offices!$E$2:$E$1000,MATCH(8,Offices!$FZ$2:$FZ$1000,0))&amp;"",""))</f>
        <v/>
      </c>
      <c r="F9" s="0" t="str">
        <f aca="false">IF($AU$2&gt;0,"",IFERROR(INDEX(Offices!$F$2:$F$1000,MATCH(8,Offices!$FZ$2:$FZ$1000,0))&amp;"",""))</f>
        <v/>
      </c>
      <c r="G9" s="0" t="str">
        <f aca="false">IF($AU$2&gt;0,"",IFERROR(INDEX(Offices!$G$2:$G$1000,MATCH(8,Offices!$FZ$2:$FZ$1000,0))&amp;"",""))</f>
        <v/>
      </c>
      <c r="H9" s="0" t="str">
        <f aca="false">IF($AU$2&gt;0,"",IFERROR(INDEX(Offices!$H$2:$H$1000,MATCH(8,Offices!$FZ$2:$FZ$1000,0))&amp;"",""))</f>
        <v/>
      </c>
      <c r="I9" s="0" t="str">
        <f aca="false">IF($AU$2&gt;0,"",IFERROR(INDEX(Offices!$I$2:$I$1000,MATCH(8,Offices!$FZ$2:$FZ$1000,0))&amp;"",""))</f>
        <v/>
      </c>
      <c r="J9" s="0" t="str">
        <f aca="false">IF($AU$2&gt;0,"",IFERROR(INDEX(Offices!$J$2:$J$1000,MATCH(8,Offices!$FZ$2:$FZ$1000,0)),""))</f>
        <v/>
      </c>
      <c r="K9" s="0" t="str">
        <f aca="false">IF($AU$2&gt;0,"",IFERROR(INDEX(Offices!$K$2:$K$1000,MATCH(8,Offices!$FZ$2:$FZ$1000,0))&amp;"",""))</f>
        <v/>
      </c>
      <c r="L9" s="0" t="str">
        <f aca="false">IF($AU$2&gt;0,"",IFERROR(INDEX(Offices!$L$2:$L$1000,MATCH(8,Offices!$FZ$2:$FZ$1000,0))&amp;"",""))</f>
        <v/>
      </c>
      <c r="M9" s="0" t="str">
        <f aca="false">IF($AU$2&gt;0,"",IFERROR(INDEX(Offices!$M$2:$M$1000,MATCH(8,Offices!$FZ$2:$FZ$1000,0))&amp;"",""))</f>
        <v/>
      </c>
      <c r="N9" s="0" t="str">
        <f aca="false">IF($AU$2&gt;0,"",IFERROR(INDEX(Offices!$N$2:$N$1000,MATCH(8,Offices!$FZ$2:$FZ$1000,0))&amp;"",""))</f>
        <v/>
      </c>
      <c r="O9" s="0" t="str">
        <f aca="false">IF($AU$2&gt;0,"",IFERROR(INDEX(Offices!$O$2:$O$1000,MATCH(8,Offices!$FZ$2:$FZ$1000,0))&amp;"",""))</f>
        <v/>
      </c>
      <c r="P9" s="0" t="str">
        <f aca="false">IF($AU$2&gt;0,"",IFERROR(INDEX(Offices!$P$2:$P$1000,MATCH(8,Offices!$FZ$2:$FZ$1000,0))&amp;"",""))</f>
        <v/>
      </c>
      <c r="Q9" s="0" t="str">
        <f aca="false">IF($AU$2&gt;0,"",IFERROR(INDEX(Offices!$Q$2:$Q$1000,MATCH(8,Offices!$FZ$2:$FZ$1000,0))&amp;"",""))</f>
        <v/>
      </c>
      <c r="R9" s="0" t="str">
        <f aca="false">IF($AU$2&gt;0,"",IFERROR(INDEX(Offices!$R$2:$R$1000,MATCH(8,Offices!$FZ$2:$FZ$1000,0))&amp;"",""))</f>
        <v/>
      </c>
      <c r="S9" s="0" t="str">
        <f aca="false">IF($AU$2&gt;0,"",IFERROR(INDEX(Offices!$S$2:$S$1000,MATCH(8,Offices!$FZ$2:$FZ$1000,0))&amp;"",""))</f>
        <v/>
      </c>
      <c r="T9" s="0" t="str">
        <f aca="false">IF($AU$2&gt;0,"",IFERROR(INDEX(Offices!$T$2:$T$1000,MATCH(8,Offices!$FZ$2:$FZ$1000,0))&amp;"",""))</f>
        <v/>
      </c>
      <c r="U9" s="0" t="str">
        <f aca="false">IF($AU$2&gt;0,"",IFERROR(INDEX(Offices!$U$2:$U$1000,MATCH(8,Offices!$FZ$2:$FZ$1000,0))&amp;"",""))</f>
        <v/>
      </c>
      <c r="V9" s="0" t="str">
        <f aca="false">IF($AU$2&gt;0,"",IFERROR(INDEX(Offices!$V$2:$V$1000,MATCH(8,Offices!$FZ$2:$FZ$1000,0))&amp;"",""))</f>
        <v/>
      </c>
      <c r="W9" s="0" t="str">
        <f aca="false">IF($AU$2&gt;0,"",IFERROR(INDEX(Offices!$W$2:$W$1000,MATCH(8,Offices!$FZ$2:$FZ$1000,0))&amp;"",""))</f>
        <v/>
      </c>
      <c r="X9" s="0" t="str">
        <f aca="false">IF($AU$2&gt;0,"",IFERROR(INDEX(Offices!$X$2:$X$1000,MATCH(8,Offices!$FZ$2:$FZ$1000,0))&amp;"",""))</f>
        <v/>
      </c>
      <c r="Y9" s="0" t="str">
        <f aca="false">IF($AU$2&gt;0,"",IFERROR(INDEX(Offices!$Y$2:$Y$1000,MATCH(8,Offices!$FZ$2:$FZ$1000,0)),""))</f>
        <v/>
      </c>
      <c r="Z9" s="0" t="str">
        <f aca="false">IF($AU$2&gt;0,"",IFERROR(INDEX(Offices!$Z$2:$Z$1000,MATCH(8,Offices!$FZ$2:$FZ$1000,0)),""))</f>
        <v/>
      </c>
      <c r="AA9" s="0" t="str">
        <f aca="false">IF($AU$2&gt;0,"",IFERROR(INDEX(Offices!$AA$2:$AA$1000,MATCH(8,Offices!$FZ$2:$FZ$1000,0))&amp;"",""))</f>
        <v/>
      </c>
      <c r="AB9" s="0" t="str">
        <f aca="false">IF($AU$2&gt;0,"",IFERROR(INDEX(Offices!$AB$2:$AB$1000,MATCH(8,Offices!$FZ$2:$FZ$1000,0))&amp;"",""))</f>
        <v/>
      </c>
      <c r="AC9" s="0" t="str">
        <f aca="false">IF($AU$2&gt;0,"",IFERROR(INDEX(Offices!$AC$2:$AC$1000,MATCH(8,Offices!$FZ$2:$FZ$1000,0))&amp;"",""))</f>
        <v/>
      </c>
      <c r="AD9" s="0" t="str">
        <f aca="false">IF($AU$2&gt;0,"",IFERROR(INDEX(Offices!$AD$2:$AD$1000,MATCH(8,Offices!$FZ$2:$FZ$1000,0))&amp;"",""))</f>
        <v/>
      </c>
      <c r="AE9" s="0" t="str">
        <f aca="false">IF($AU$2&gt;0,"",IFERROR(INDEX(Offices!$AE$2:$AE$1000,MATCH(8,Offices!$FZ$2:$FZ$1000,0))&amp;"",""))</f>
        <v/>
      </c>
      <c r="AF9" s="0" t="str">
        <f aca="false">IF($AU$2&gt;0,"",IFERROR(INDEX(Offices!$AF$2:$AF$1000,MATCH(8,Offices!$FZ$2:$FZ$1000,0))&amp;"",""))</f>
        <v/>
      </c>
      <c r="AG9" s="0" t="str">
        <f aca="false">IF($AU$2&gt;0,"",IFERROR(INDEX(Offices!$AG$2:$AG$1000,MATCH(8,Offices!$FZ$2:$FZ$1000,0))&amp;"",""))</f>
        <v/>
      </c>
      <c r="AH9" s="0" t="str">
        <f aca="false">IF($AU$2&gt;0,"",IFERROR(INDEX(Offices!$AH$2:$AH$1000,MATCH(8,Offices!$FZ$2:$FZ$1000,0))&amp;"",""))</f>
        <v/>
      </c>
      <c r="AI9" s="0" t="str">
        <f aca="false">IF($AU$2&gt;0,"",IFERROR(INDEX(Offices!$AI$2:$AI$1000,MATCH(8,Offices!$FZ$2:$FZ$1000,0))&amp;"",""))</f>
        <v/>
      </c>
      <c r="AJ9" s="0" t="str">
        <f aca="false">IF($AU$2&gt;0,"",IFERROR(INDEX(Offices!$AJ$2:$AJ$1000,MATCH(8,Offices!$FZ$2:$FZ$1000,0))&amp;"",""))</f>
        <v/>
      </c>
      <c r="AK9" s="0" t="str">
        <f aca="false">IF($AU$2&gt;0,"",IFERROR(INDEX(Offices!$AK$2:$AK$1000,MATCH(8,Offices!$FZ$2:$FZ$1000,0))&amp;"",""))</f>
        <v/>
      </c>
      <c r="AL9" s="0" t="str">
        <f aca="false">IF($AU$2&gt;0,"",IFERROR(INDEX(Offices!$AL$2:$AL$1000,MATCH(8,Offices!$FZ$2:$FZ$1000,0))&amp;"",""))</f>
        <v/>
      </c>
      <c r="AM9" s="0" t="str">
        <f aca="false">IF($AU$2&gt;0,"",IFERROR(INDEX(Offices!$AM$2:$AM$1000,MATCH(8,Offices!$FZ$2:$FZ$1000,0))&amp;"",""))</f>
        <v/>
      </c>
      <c r="AN9" s="0" t="str">
        <f aca="false">IF($AU$2&gt;0,"",IFERROR(INDEX(Offices!$AN$2:$AN$1000,MATCH(8,Offices!$FZ$2:$FZ$1000,0))&amp;"",""))</f>
        <v/>
      </c>
      <c r="AO9" s="0" t="str">
        <f aca="false">IF($AU$2&gt;0,"",IFERROR(INDEX(Offices!$AO$2:$AO$1000,MATCH(8,Offices!$FZ$2:$FZ$1000,0))&amp;"",""))</f>
        <v/>
      </c>
      <c r="AP9" s="0" t="str">
        <f aca="false">IF($AU$2&gt;0,"",IFERROR(INDEX(Offices!$AP$2:$AP$1000,MATCH(8,Offices!$FZ$2:$FZ$1000,0))&amp;"",""))</f>
        <v/>
      </c>
      <c r="AQ9" s="0" t="str">
        <f aca="false">IF($AU$2&gt;0,"",IFERROR(INDEX(Offices!$AQ$2:$AQ$1000,MATCH(8,Offices!$FZ$2:$FZ$1000,0))&amp;"",""))</f>
        <v/>
      </c>
      <c r="AR9" s="0" t="str">
        <f aca="false">IF($AU$2&gt;0,"",IFERROR(INDEX(Offices!$AR$2:$AR$1000,MATCH(8,Offices!$FZ$2:$FZ$1000,0))&amp;"",""))</f>
        <v/>
      </c>
      <c r="AS9" s="0" t="str">
        <f aca="false">IF($AU$2&gt;0,"",IFERROR(INDEX(Offices!$AS$2:$AS$1000,MATCH(8,Offices!$FZ$2:$FZ$1000,0))&amp;"",""))</f>
        <v/>
      </c>
    </row>
    <row r="10" customFormat="false" ht="15" hidden="false" customHeight="false" outlineLevel="0" collapsed="false">
      <c r="A10" s="0" t="str">
        <f aca="false">IF($AU$2&gt;0,"",IFERROR(INDEX(Offices!$A$2:$A$1000,MATCH(9,Offices!$FZ$2:$FZ$1000,0))&amp;"",""))</f>
        <v/>
      </c>
      <c r="B10" s="0" t="str">
        <f aca="false">IF($AU$2&gt;0,"",IFERROR(INDEX(Offices!$B$2:$B$1000,MATCH(9,Offices!$FZ$2:$FZ$1000,0))&amp;"",""))</f>
        <v/>
      </c>
      <c r="C10" s="0" t="str">
        <f aca="false">IF($AU$2&gt;0,"",IFERROR(INDEX(Offices!$C$2:$C$1000,MATCH(9,Offices!$FZ$2:$FZ$1000,0))&amp;"",""))</f>
        <v/>
      </c>
      <c r="D10" s="0" t="str">
        <f aca="false">IF($AU$2&gt;0,"",IFERROR(INDEX(Offices!$D$2:$D$1000,MATCH(9,Offices!$FZ$2:$FZ$1000,0))&amp;"",""))</f>
        <v/>
      </c>
      <c r="E10" s="0" t="str">
        <f aca="false">IF($AU$2&gt;0,"",IFERROR(INDEX(Offices!$E$2:$E$1000,MATCH(9,Offices!$FZ$2:$FZ$1000,0))&amp;"",""))</f>
        <v/>
      </c>
      <c r="F10" s="0" t="str">
        <f aca="false">IF($AU$2&gt;0,"",IFERROR(INDEX(Offices!$F$2:$F$1000,MATCH(9,Offices!$FZ$2:$FZ$1000,0))&amp;"",""))</f>
        <v/>
      </c>
      <c r="G10" s="0" t="str">
        <f aca="false">IF($AU$2&gt;0,"",IFERROR(INDEX(Offices!$G$2:$G$1000,MATCH(9,Offices!$FZ$2:$FZ$1000,0))&amp;"",""))</f>
        <v/>
      </c>
      <c r="H10" s="0" t="str">
        <f aca="false">IF($AU$2&gt;0,"",IFERROR(INDEX(Offices!$H$2:$H$1000,MATCH(9,Offices!$FZ$2:$FZ$1000,0))&amp;"",""))</f>
        <v/>
      </c>
      <c r="I10" s="0" t="str">
        <f aca="false">IF($AU$2&gt;0,"",IFERROR(INDEX(Offices!$I$2:$I$1000,MATCH(9,Offices!$FZ$2:$FZ$1000,0))&amp;"",""))</f>
        <v/>
      </c>
      <c r="J10" s="0" t="str">
        <f aca="false">IF($AU$2&gt;0,"",IFERROR(INDEX(Offices!$J$2:$J$1000,MATCH(9,Offices!$FZ$2:$FZ$1000,0)),""))</f>
        <v/>
      </c>
      <c r="K10" s="0" t="str">
        <f aca="false">IF($AU$2&gt;0,"",IFERROR(INDEX(Offices!$K$2:$K$1000,MATCH(9,Offices!$FZ$2:$FZ$1000,0))&amp;"",""))</f>
        <v/>
      </c>
      <c r="L10" s="0" t="str">
        <f aca="false">IF($AU$2&gt;0,"",IFERROR(INDEX(Offices!$L$2:$L$1000,MATCH(9,Offices!$FZ$2:$FZ$1000,0))&amp;"",""))</f>
        <v/>
      </c>
      <c r="M10" s="0" t="str">
        <f aca="false">IF($AU$2&gt;0,"",IFERROR(INDEX(Offices!$M$2:$M$1000,MATCH(9,Offices!$FZ$2:$FZ$1000,0))&amp;"",""))</f>
        <v/>
      </c>
      <c r="N10" s="0" t="str">
        <f aca="false">IF($AU$2&gt;0,"",IFERROR(INDEX(Offices!$N$2:$N$1000,MATCH(9,Offices!$FZ$2:$FZ$1000,0))&amp;"",""))</f>
        <v/>
      </c>
      <c r="O10" s="0" t="str">
        <f aca="false">IF($AU$2&gt;0,"",IFERROR(INDEX(Offices!$O$2:$O$1000,MATCH(9,Offices!$FZ$2:$FZ$1000,0))&amp;"",""))</f>
        <v/>
      </c>
      <c r="P10" s="0" t="str">
        <f aca="false">IF($AU$2&gt;0,"",IFERROR(INDEX(Offices!$P$2:$P$1000,MATCH(9,Offices!$FZ$2:$FZ$1000,0))&amp;"",""))</f>
        <v/>
      </c>
      <c r="Q10" s="0" t="str">
        <f aca="false">IF($AU$2&gt;0,"",IFERROR(INDEX(Offices!$Q$2:$Q$1000,MATCH(9,Offices!$FZ$2:$FZ$1000,0))&amp;"",""))</f>
        <v/>
      </c>
      <c r="R10" s="0" t="str">
        <f aca="false">IF($AU$2&gt;0,"",IFERROR(INDEX(Offices!$R$2:$R$1000,MATCH(9,Offices!$FZ$2:$FZ$1000,0))&amp;"",""))</f>
        <v/>
      </c>
      <c r="S10" s="0" t="str">
        <f aca="false">IF($AU$2&gt;0,"",IFERROR(INDEX(Offices!$S$2:$S$1000,MATCH(9,Offices!$FZ$2:$FZ$1000,0))&amp;"",""))</f>
        <v/>
      </c>
      <c r="T10" s="0" t="str">
        <f aca="false">IF($AU$2&gt;0,"",IFERROR(INDEX(Offices!$T$2:$T$1000,MATCH(9,Offices!$FZ$2:$FZ$1000,0))&amp;"",""))</f>
        <v/>
      </c>
      <c r="U10" s="0" t="str">
        <f aca="false">IF($AU$2&gt;0,"",IFERROR(INDEX(Offices!$U$2:$U$1000,MATCH(9,Offices!$FZ$2:$FZ$1000,0))&amp;"",""))</f>
        <v/>
      </c>
      <c r="V10" s="0" t="str">
        <f aca="false">IF($AU$2&gt;0,"",IFERROR(INDEX(Offices!$V$2:$V$1000,MATCH(9,Offices!$FZ$2:$FZ$1000,0))&amp;"",""))</f>
        <v/>
      </c>
      <c r="W10" s="0" t="str">
        <f aca="false">IF($AU$2&gt;0,"",IFERROR(INDEX(Offices!$W$2:$W$1000,MATCH(9,Offices!$FZ$2:$FZ$1000,0))&amp;"",""))</f>
        <v/>
      </c>
      <c r="X10" s="0" t="str">
        <f aca="false">IF($AU$2&gt;0,"",IFERROR(INDEX(Offices!$X$2:$X$1000,MATCH(9,Offices!$FZ$2:$FZ$1000,0))&amp;"",""))</f>
        <v/>
      </c>
      <c r="Y10" s="0" t="str">
        <f aca="false">IF($AU$2&gt;0,"",IFERROR(INDEX(Offices!$Y$2:$Y$1000,MATCH(9,Offices!$FZ$2:$FZ$1000,0)),""))</f>
        <v/>
      </c>
      <c r="Z10" s="0" t="str">
        <f aca="false">IF($AU$2&gt;0,"",IFERROR(INDEX(Offices!$Z$2:$Z$1000,MATCH(9,Offices!$FZ$2:$FZ$1000,0)),""))</f>
        <v/>
      </c>
      <c r="AA10" s="0" t="str">
        <f aca="false">IF($AU$2&gt;0,"",IFERROR(INDEX(Offices!$AA$2:$AA$1000,MATCH(9,Offices!$FZ$2:$FZ$1000,0))&amp;"",""))</f>
        <v/>
      </c>
      <c r="AB10" s="0" t="str">
        <f aca="false">IF($AU$2&gt;0,"",IFERROR(INDEX(Offices!$AB$2:$AB$1000,MATCH(9,Offices!$FZ$2:$FZ$1000,0))&amp;"",""))</f>
        <v/>
      </c>
      <c r="AC10" s="0" t="str">
        <f aca="false">IF($AU$2&gt;0,"",IFERROR(INDEX(Offices!$AC$2:$AC$1000,MATCH(9,Offices!$FZ$2:$FZ$1000,0))&amp;"",""))</f>
        <v/>
      </c>
      <c r="AD10" s="0" t="str">
        <f aca="false">IF($AU$2&gt;0,"",IFERROR(INDEX(Offices!$AD$2:$AD$1000,MATCH(9,Offices!$FZ$2:$FZ$1000,0))&amp;"",""))</f>
        <v/>
      </c>
      <c r="AE10" s="0" t="str">
        <f aca="false">IF($AU$2&gt;0,"",IFERROR(INDEX(Offices!$AE$2:$AE$1000,MATCH(9,Offices!$FZ$2:$FZ$1000,0))&amp;"",""))</f>
        <v/>
      </c>
      <c r="AF10" s="0" t="str">
        <f aca="false">IF($AU$2&gt;0,"",IFERROR(INDEX(Offices!$AF$2:$AF$1000,MATCH(9,Offices!$FZ$2:$FZ$1000,0))&amp;"",""))</f>
        <v/>
      </c>
      <c r="AG10" s="0" t="str">
        <f aca="false">IF($AU$2&gt;0,"",IFERROR(INDEX(Offices!$AG$2:$AG$1000,MATCH(9,Offices!$FZ$2:$FZ$1000,0))&amp;"",""))</f>
        <v/>
      </c>
      <c r="AH10" s="0" t="str">
        <f aca="false">IF($AU$2&gt;0,"",IFERROR(INDEX(Offices!$AH$2:$AH$1000,MATCH(9,Offices!$FZ$2:$FZ$1000,0))&amp;"",""))</f>
        <v/>
      </c>
      <c r="AI10" s="0" t="str">
        <f aca="false">IF($AU$2&gt;0,"",IFERROR(INDEX(Offices!$AI$2:$AI$1000,MATCH(9,Offices!$FZ$2:$FZ$1000,0))&amp;"",""))</f>
        <v/>
      </c>
      <c r="AJ10" s="0" t="str">
        <f aca="false">IF($AU$2&gt;0,"",IFERROR(INDEX(Offices!$AJ$2:$AJ$1000,MATCH(9,Offices!$FZ$2:$FZ$1000,0))&amp;"",""))</f>
        <v/>
      </c>
      <c r="AK10" s="0" t="str">
        <f aca="false">IF($AU$2&gt;0,"",IFERROR(INDEX(Offices!$AK$2:$AK$1000,MATCH(9,Offices!$FZ$2:$FZ$1000,0))&amp;"",""))</f>
        <v/>
      </c>
      <c r="AL10" s="0" t="str">
        <f aca="false">IF($AU$2&gt;0,"",IFERROR(INDEX(Offices!$AL$2:$AL$1000,MATCH(9,Offices!$FZ$2:$FZ$1000,0))&amp;"",""))</f>
        <v/>
      </c>
      <c r="AM10" s="0" t="str">
        <f aca="false">IF($AU$2&gt;0,"",IFERROR(INDEX(Offices!$AM$2:$AM$1000,MATCH(9,Offices!$FZ$2:$FZ$1000,0))&amp;"",""))</f>
        <v/>
      </c>
      <c r="AN10" s="0" t="str">
        <f aca="false">IF($AU$2&gt;0,"",IFERROR(INDEX(Offices!$AN$2:$AN$1000,MATCH(9,Offices!$FZ$2:$FZ$1000,0))&amp;"",""))</f>
        <v/>
      </c>
      <c r="AO10" s="0" t="str">
        <f aca="false">IF($AU$2&gt;0,"",IFERROR(INDEX(Offices!$AO$2:$AO$1000,MATCH(9,Offices!$FZ$2:$FZ$1000,0))&amp;"",""))</f>
        <v/>
      </c>
      <c r="AP10" s="0" t="str">
        <f aca="false">IF($AU$2&gt;0,"",IFERROR(INDEX(Offices!$AP$2:$AP$1000,MATCH(9,Offices!$FZ$2:$FZ$1000,0))&amp;"",""))</f>
        <v/>
      </c>
      <c r="AQ10" s="0" t="str">
        <f aca="false">IF($AU$2&gt;0,"",IFERROR(INDEX(Offices!$AQ$2:$AQ$1000,MATCH(9,Offices!$FZ$2:$FZ$1000,0))&amp;"",""))</f>
        <v/>
      </c>
      <c r="AR10" s="0" t="str">
        <f aca="false">IF($AU$2&gt;0,"",IFERROR(INDEX(Offices!$AR$2:$AR$1000,MATCH(9,Offices!$FZ$2:$FZ$1000,0))&amp;"",""))</f>
        <v/>
      </c>
      <c r="AS10" s="0" t="str">
        <f aca="false">IF($AU$2&gt;0,"",IFERROR(INDEX(Offices!$AS$2:$AS$1000,MATCH(9,Offices!$FZ$2:$FZ$1000,0))&amp;"",""))</f>
        <v/>
      </c>
    </row>
    <row r="11" customFormat="false" ht="15" hidden="false" customHeight="false" outlineLevel="0" collapsed="false">
      <c r="A11" s="0" t="str">
        <f aca="false">IF($AU$2&gt;0,"",IFERROR(INDEX(Offices!$A$2:$A$1000,MATCH(10,Offices!$FZ$2:$FZ$1000,0))&amp;"",""))</f>
        <v/>
      </c>
      <c r="B11" s="0" t="str">
        <f aca="false">IF($AU$2&gt;0,"",IFERROR(INDEX(Offices!$B$2:$B$1000,MATCH(10,Offices!$FZ$2:$FZ$1000,0))&amp;"",""))</f>
        <v/>
      </c>
      <c r="C11" s="0" t="str">
        <f aca="false">IF($AU$2&gt;0,"",IFERROR(INDEX(Offices!$C$2:$C$1000,MATCH(10,Offices!$FZ$2:$FZ$1000,0))&amp;"",""))</f>
        <v/>
      </c>
      <c r="D11" s="0" t="str">
        <f aca="false">IF($AU$2&gt;0,"",IFERROR(INDEX(Offices!$D$2:$D$1000,MATCH(10,Offices!$FZ$2:$FZ$1000,0))&amp;"",""))</f>
        <v/>
      </c>
      <c r="E11" s="0" t="str">
        <f aca="false">IF($AU$2&gt;0,"",IFERROR(INDEX(Offices!$E$2:$E$1000,MATCH(10,Offices!$FZ$2:$FZ$1000,0))&amp;"",""))</f>
        <v/>
      </c>
      <c r="F11" s="0" t="str">
        <f aca="false">IF($AU$2&gt;0,"",IFERROR(INDEX(Offices!$F$2:$F$1000,MATCH(10,Offices!$FZ$2:$FZ$1000,0))&amp;"",""))</f>
        <v/>
      </c>
      <c r="G11" s="0" t="str">
        <f aca="false">IF($AU$2&gt;0,"",IFERROR(INDEX(Offices!$G$2:$G$1000,MATCH(10,Offices!$FZ$2:$FZ$1000,0))&amp;"",""))</f>
        <v/>
      </c>
      <c r="H11" s="0" t="str">
        <f aca="false">IF($AU$2&gt;0,"",IFERROR(INDEX(Offices!$H$2:$H$1000,MATCH(10,Offices!$FZ$2:$FZ$1000,0))&amp;"",""))</f>
        <v/>
      </c>
      <c r="I11" s="0" t="str">
        <f aca="false">IF($AU$2&gt;0,"",IFERROR(INDEX(Offices!$I$2:$I$1000,MATCH(10,Offices!$FZ$2:$FZ$1000,0))&amp;"",""))</f>
        <v/>
      </c>
      <c r="J11" s="0" t="str">
        <f aca="false">IF($AU$2&gt;0,"",IFERROR(INDEX(Offices!$J$2:$J$1000,MATCH(10,Offices!$FZ$2:$FZ$1000,0)),""))</f>
        <v/>
      </c>
      <c r="K11" s="0" t="str">
        <f aca="false">IF($AU$2&gt;0,"",IFERROR(INDEX(Offices!$K$2:$K$1000,MATCH(10,Offices!$FZ$2:$FZ$1000,0))&amp;"",""))</f>
        <v/>
      </c>
      <c r="L11" s="0" t="str">
        <f aca="false">IF($AU$2&gt;0,"",IFERROR(INDEX(Offices!$L$2:$L$1000,MATCH(10,Offices!$FZ$2:$FZ$1000,0))&amp;"",""))</f>
        <v/>
      </c>
      <c r="M11" s="0" t="str">
        <f aca="false">IF($AU$2&gt;0,"",IFERROR(INDEX(Offices!$M$2:$M$1000,MATCH(10,Offices!$FZ$2:$FZ$1000,0))&amp;"",""))</f>
        <v/>
      </c>
      <c r="N11" s="0" t="str">
        <f aca="false">IF($AU$2&gt;0,"",IFERROR(INDEX(Offices!$N$2:$N$1000,MATCH(10,Offices!$FZ$2:$FZ$1000,0))&amp;"",""))</f>
        <v/>
      </c>
      <c r="O11" s="0" t="str">
        <f aca="false">IF($AU$2&gt;0,"",IFERROR(INDEX(Offices!$O$2:$O$1000,MATCH(10,Offices!$FZ$2:$FZ$1000,0))&amp;"",""))</f>
        <v/>
      </c>
      <c r="P11" s="0" t="str">
        <f aca="false">IF($AU$2&gt;0,"",IFERROR(INDEX(Offices!$P$2:$P$1000,MATCH(10,Offices!$FZ$2:$FZ$1000,0))&amp;"",""))</f>
        <v/>
      </c>
      <c r="Q11" s="0" t="str">
        <f aca="false">IF($AU$2&gt;0,"",IFERROR(INDEX(Offices!$Q$2:$Q$1000,MATCH(10,Offices!$FZ$2:$FZ$1000,0))&amp;"",""))</f>
        <v/>
      </c>
      <c r="R11" s="0" t="str">
        <f aca="false">IF($AU$2&gt;0,"",IFERROR(INDEX(Offices!$R$2:$R$1000,MATCH(10,Offices!$FZ$2:$FZ$1000,0))&amp;"",""))</f>
        <v/>
      </c>
      <c r="S11" s="0" t="str">
        <f aca="false">IF($AU$2&gt;0,"",IFERROR(INDEX(Offices!$S$2:$S$1000,MATCH(10,Offices!$FZ$2:$FZ$1000,0))&amp;"",""))</f>
        <v/>
      </c>
      <c r="T11" s="0" t="str">
        <f aca="false">IF($AU$2&gt;0,"",IFERROR(INDEX(Offices!$T$2:$T$1000,MATCH(10,Offices!$FZ$2:$FZ$1000,0))&amp;"",""))</f>
        <v/>
      </c>
      <c r="U11" s="0" t="str">
        <f aca="false">IF($AU$2&gt;0,"",IFERROR(INDEX(Offices!$U$2:$U$1000,MATCH(10,Offices!$FZ$2:$FZ$1000,0))&amp;"",""))</f>
        <v/>
      </c>
      <c r="V11" s="0" t="str">
        <f aca="false">IF($AU$2&gt;0,"",IFERROR(INDEX(Offices!$V$2:$V$1000,MATCH(10,Offices!$FZ$2:$FZ$1000,0))&amp;"",""))</f>
        <v/>
      </c>
      <c r="W11" s="0" t="str">
        <f aca="false">IF($AU$2&gt;0,"",IFERROR(INDEX(Offices!$W$2:$W$1000,MATCH(10,Offices!$FZ$2:$FZ$1000,0))&amp;"",""))</f>
        <v/>
      </c>
      <c r="X11" s="0" t="str">
        <f aca="false">IF($AU$2&gt;0,"",IFERROR(INDEX(Offices!$X$2:$X$1000,MATCH(10,Offices!$FZ$2:$FZ$1000,0))&amp;"",""))</f>
        <v/>
      </c>
      <c r="Y11" s="0" t="str">
        <f aca="false">IF($AU$2&gt;0,"",IFERROR(INDEX(Offices!$Y$2:$Y$1000,MATCH(10,Offices!$FZ$2:$FZ$1000,0)),""))</f>
        <v/>
      </c>
      <c r="Z11" s="0" t="str">
        <f aca="false">IF($AU$2&gt;0,"",IFERROR(INDEX(Offices!$Z$2:$Z$1000,MATCH(10,Offices!$FZ$2:$FZ$1000,0)),""))</f>
        <v/>
      </c>
      <c r="AA11" s="0" t="str">
        <f aca="false">IF($AU$2&gt;0,"",IFERROR(INDEX(Offices!$AA$2:$AA$1000,MATCH(10,Offices!$FZ$2:$FZ$1000,0))&amp;"",""))</f>
        <v/>
      </c>
      <c r="AB11" s="0" t="str">
        <f aca="false">IF($AU$2&gt;0,"",IFERROR(INDEX(Offices!$AB$2:$AB$1000,MATCH(10,Offices!$FZ$2:$FZ$1000,0))&amp;"",""))</f>
        <v/>
      </c>
      <c r="AC11" s="0" t="str">
        <f aca="false">IF($AU$2&gt;0,"",IFERROR(INDEX(Offices!$AC$2:$AC$1000,MATCH(10,Offices!$FZ$2:$FZ$1000,0))&amp;"",""))</f>
        <v/>
      </c>
      <c r="AD11" s="0" t="str">
        <f aca="false">IF($AU$2&gt;0,"",IFERROR(INDEX(Offices!$AD$2:$AD$1000,MATCH(10,Offices!$FZ$2:$FZ$1000,0))&amp;"",""))</f>
        <v/>
      </c>
      <c r="AE11" s="0" t="str">
        <f aca="false">IF($AU$2&gt;0,"",IFERROR(INDEX(Offices!$AE$2:$AE$1000,MATCH(10,Offices!$FZ$2:$FZ$1000,0))&amp;"",""))</f>
        <v/>
      </c>
      <c r="AF11" s="0" t="str">
        <f aca="false">IF($AU$2&gt;0,"",IFERROR(INDEX(Offices!$AF$2:$AF$1000,MATCH(10,Offices!$FZ$2:$FZ$1000,0))&amp;"",""))</f>
        <v/>
      </c>
      <c r="AG11" s="0" t="str">
        <f aca="false">IF($AU$2&gt;0,"",IFERROR(INDEX(Offices!$AG$2:$AG$1000,MATCH(10,Offices!$FZ$2:$FZ$1000,0))&amp;"",""))</f>
        <v/>
      </c>
      <c r="AH11" s="0" t="str">
        <f aca="false">IF($AU$2&gt;0,"",IFERROR(INDEX(Offices!$AH$2:$AH$1000,MATCH(10,Offices!$FZ$2:$FZ$1000,0))&amp;"",""))</f>
        <v/>
      </c>
      <c r="AI11" s="0" t="str">
        <f aca="false">IF($AU$2&gt;0,"",IFERROR(INDEX(Offices!$AI$2:$AI$1000,MATCH(10,Offices!$FZ$2:$FZ$1000,0))&amp;"",""))</f>
        <v/>
      </c>
      <c r="AJ11" s="0" t="str">
        <f aca="false">IF($AU$2&gt;0,"",IFERROR(INDEX(Offices!$AJ$2:$AJ$1000,MATCH(10,Offices!$FZ$2:$FZ$1000,0))&amp;"",""))</f>
        <v/>
      </c>
      <c r="AK11" s="0" t="str">
        <f aca="false">IF($AU$2&gt;0,"",IFERROR(INDEX(Offices!$AK$2:$AK$1000,MATCH(10,Offices!$FZ$2:$FZ$1000,0))&amp;"",""))</f>
        <v/>
      </c>
      <c r="AL11" s="0" t="str">
        <f aca="false">IF($AU$2&gt;0,"",IFERROR(INDEX(Offices!$AL$2:$AL$1000,MATCH(10,Offices!$FZ$2:$FZ$1000,0))&amp;"",""))</f>
        <v/>
      </c>
      <c r="AM11" s="0" t="str">
        <f aca="false">IF($AU$2&gt;0,"",IFERROR(INDEX(Offices!$AM$2:$AM$1000,MATCH(10,Offices!$FZ$2:$FZ$1000,0))&amp;"",""))</f>
        <v/>
      </c>
      <c r="AN11" s="0" t="str">
        <f aca="false">IF($AU$2&gt;0,"",IFERROR(INDEX(Offices!$AN$2:$AN$1000,MATCH(10,Offices!$FZ$2:$FZ$1000,0))&amp;"",""))</f>
        <v/>
      </c>
      <c r="AO11" s="0" t="str">
        <f aca="false">IF($AU$2&gt;0,"",IFERROR(INDEX(Offices!$AO$2:$AO$1000,MATCH(10,Offices!$FZ$2:$FZ$1000,0))&amp;"",""))</f>
        <v/>
      </c>
      <c r="AP11" s="0" t="str">
        <f aca="false">IF($AU$2&gt;0,"",IFERROR(INDEX(Offices!$AP$2:$AP$1000,MATCH(10,Offices!$FZ$2:$FZ$1000,0))&amp;"",""))</f>
        <v/>
      </c>
      <c r="AQ11" s="0" t="str">
        <f aca="false">IF($AU$2&gt;0,"",IFERROR(INDEX(Offices!$AQ$2:$AQ$1000,MATCH(10,Offices!$FZ$2:$FZ$1000,0))&amp;"",""))</f>
        <v/>
      </c>
      <c r="AR11" s="0" t="str">
        <f aca="false">IF($AU$2&gt;0,"",IFERROR(INDEX(Offices!$AR$2:$AR$1000,MATCH(10,Offices!$FZ$2:$FZ$1000,0))&amp;"",""))</f>
        <v/>
      </c>
      <c r="AS11" s="0" t="str">
        <f aca="false">IF($AU$2&gt;0,"",IFERROR(INDEX(Offices!$AS$2:$AS$1000,MATCH(10,Offices!$FZ$2:$FZ$1000,0))&amp;"",""))</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38" min="29" style="0" width="16"/>
    <col collapsed="false" customWidth="true" hidden="false" outlineLevel="0" max="39" min="39" style="0" width="60"/>
    <col collapsed="false" customWidth="true" hidden="false" outlineLevel="0" max="43" min="40" style="0" width="16"/>
    <col collapsed="false" customWidth="true" hidden="true" outlineLevel="0" max="45" min="45" style="0" width="13"/>
  </cols>
  <sheetData>
    <row r="1" customFormat="false" ht="15" hidden="false" customHeight="false" outlineLevel="0" collapsed="false">
      <c r="A1" s="6" t="s">
        <v>0</v>
      </c>
      <c r="B1" s="6" t="s">
        <v>1</v>
      </c>
      <c r="C1" s="6" t="s">
        <v>5488</v>
      </c>
      <c r="D1" s="6" t="s">
        <v>5489</v>
      </c>
      <c r="E1" s="6" t="s">
        <v>5490</v>
      </c>
      <c r="F1" s="6" t="s">
        <v>5491</v>
      </c>
      <c r="G1" s="6" t="s">
        <v>5492</v>
      </c>
      <c r="H1" s="6" t="s">
        <v>5493</v>
      </c>
      <c r="I1" s="6" t="s">
        <v>5494</v>
      </c>
      <c r="J1" s="6" t="s">
        <v>5495</v>
      </c>
      <c r="K1" s="6" t="s">
        <v>5496</v>
      </c>
      <c r="L1" s="6" t="s">
        <v>36</v>
      </c>
      <c r="M1" s="6" t="s">
        <v>5497</v>
      </c>
      <c r="N1" s="6" t="s">
        <v>5498</v>
      </c>
      <c r="O1" s="6" t="s">
        <v>5499</v>
      </c>
      <c r="P1" s="6" t="s">
        <v>5500</v>
      </c>
      <c r="Q1" s="6" t="s">
        <v>5501</v>
      </c>
      <c r="R1" s="6" t="s">
        <v>5502</v>
      </c>
      <c r="S1" s="6" t="s">
        <v>5503</v>
      </c>
      <c r="T1" s="6" t="s">
        <v>5504</v>
      </c>
      <c r="U1" s="6" t="s">
        <v>5505</v>
      </c>
      <c r="V1" s="6" t="s">
        <v>5506</v>
      </c>
      <c r="W1" s="6" t="s">
        <v>5507</v>
      </c>
      <c r="X1" s="6" t="s">
        <v>5508</v>
      </c>
      <c r="Y1" s="6" t="s">
        <v>5509</v>
      </c>
      <c r="Z1" s="6" t="s">
        <v>4</v>
      </c>
      <c r="AA1" s="6" t="s">
        <v>5510</v>
      </c>
      <c r="AB1" s="6" t="s">
        <v>5511</v>
      </c>
      <c r="AC1" s="6" t="s">
        <v>5512</v>
      </c>
      <c r="AD1" s="6" t="s">
        <v>5513</v>
      </c>
      <c r="AE1" s="6" t="s">
        <v>5514</v>
      </c>
      <c r="AF1" s="6" t="s">
        <v>5515</v>
      </c>
      <c r="AG1" s="6" t="s">
        <v>5516</v>
      </c>
      <c r="AH1" s="6" t="s">
        <v>5517</v>
      </c>
      <c r="AI1" s="6" t="s">
        <v>5518</v>
      </c>
      <c r="AJ1" s="6" t="s">
        <v>78</v>
      </c>
      <c r="AK1" s="6" t="s">
        <v>5519</v>
      </c>
      <c r="AL1" s="6" t="s">
        <v>5520</v>
      </c>
      <c r="AM1" s="6" t="s">
        <v>5521</v>
      </c>
      <c r="AN1" s="6" t="s">
        <v>41</v>
      </c>
      <c r="AO1" s="6" t="s">
        <v>42</v>
      </c>
      <c r="AP1" s="6" t="s">
        <v>43</v>
      </c>
      <c r="AQ1" s="6" t="s">
        <v>44</v>
      </c>
      <c r="AS1" s="0" t="s">
        <v>12143</v>
      </c>
    </row>
    <row r="2" customFormat="false" ht="15" hidden="false" customHeight="false" outlineLevel="0" collapsed="false">
      <c r="A2" s="0" t="str">
        <f aca="false">IF($AS$2&gt;0,"The table tab was pasted over and its formulas are gone: undo the paste or restore it (File &gt; Version history). Paste Clay exports on the Enrichment tab only.",IFERROR(INDEX(Brands!$A$2:$A$1000,MATCH(1,Brands!$FC$2:$FC$1000,0))&amp;"","No row is ready today: see the Routine tab"))</f>
        <v>AB-082</v>
      </c>
      <c r="B2" s="0" t="str">
        <f aca="false">IF($AS$2&gt;0,"",IFERROR(INDEX(Brands!$B$2:$B$1000,MATCH(1,Brands!$FC$2:$FC$1000,0))&amp;"",""))</f>
        <v>Steve &amp; Andy's</v>
      </c>
      <c r="C2" s="0" t="str">
        <f aca="false">IF($AS$2&gt;0,"",IFERROR(INDEX(Brands!$C$2:$C$1000,MATCH(1,Brands!$FC$2:$FC$1000,0))&amp;"",""))</f>
        <v>Steve</v>
      </c>
      <c r="D2" s="0" t="str">
        <f aca="false">IF($AS$2&gt;0,"",IFERROR(INDEX(Brands!$D$2:$D$1000,MATCH(1,Brands!$FC$2:$FC$1000,0))&amp;"",""))</f>
        <v>Marino</v>
      </c>
      <c r="E2" s="0" t="str">
        <f aca="false">IF($AS$2&gt;0,"",IFERROR(INDEX(Brands!$E$2:$E$1000,MATCH(1,Brands!$FC$2:$FC$1000,0))&amp;"",""))</f>
        <v>Co-founder</v>
      </c>
      <c r="F2" s="0" t="str">
        <f aca="false">IF($AS$2&gt;0,"",IFERROR(INDEX(Brands!$F$2:$F$1000,MATCH(1,Brands!$FC$2:$FC$1000,0))&amp;"",""))</f>
        <v/>
      </c>
      <c r="G2" s="0" t="str">
        <f aca="false">IF($AS$2&gt;0,"",IFERROR(INDEX(Brands!$G$2:$G$1000,MATCH(1,Brands!$FC$2:$FC$1000,0))&amp;"",""))</f>
        <v/>
      </c>
      <c r="H2" s="0" t="str">
        <f aca="false">IF($AS$2&gt;0,"",IFERROR(INDEX(Brands!$H$2:$H$1000,MATCH(1,Brands!$FC$2:$FC$1000,0))&amp;"",""))</f>
        <v>none</v>
      </c>
      <c r="I2" s="0" t="str">
        <f aca="false">IF($AS$2&gt;0,"",IFERROR(INDEX(Brands!$I$2:$I$1000,MATCH(1,Brands!$FC$2:$FC$1000,0))&amp;"",""))</f>
        <v>warm-intro</v>
      </c>
      <c r="J2" s="0" t="n">
        <f aca="false">IF($AS$2&gt;0,"",IFERROR(INDEX(Brands!$J$2:$J$1000,MATCH(1,Brands!$FC$2:$FC$1000,0)),""))</f>
        <v>82</v>
      </c>
      <c r="K2" s="0" t="str">
        <f aca="false">IF($AS$2&gt;0,"",IFERROR(INDEX(Brands!$K$2:$K$1000,MATCH(1,Brands!$FC$2:$FC$1000,0))&amp;"",""))</f>
        <v>New York City brand, store page shows Whole Foods Market NoMad inside the cluster, a new store listing 36 days ago, revenue unknown, contact named; founder review: format-unconfirmed; known to the founder (+10).</v>
      </c>
      <c r="L2" s="0" t="str">
        <f aca="false">IF($AS$2&gt;0,"",IFERROR(INDEX(Brands!$L$2:$L$1000,MATCH(1,Brands!$FC$2:$FC$1000,0))&amp;"",""))</f>
        <v/>
      </c>
      <c r="M2" s="0" t="str">
        <f aca="false">IF($AS$2&gt;0,"",IFERROR(INDEX(Brands!$M$2:$M$1000,MATCH(1,Brands!$FC$2:$FC$1000,0))&amp;"",""))</f>
        <v>Whole Foods Market NoMad, 63 Madison Ave</v>
      </c>
      <c r="N2" s="0" t="str">
        <f aca="false">IF($AS$2&gt;0,"",IFERROR(INDEX(Brands!$N$2:$N$1000,MATCH(1,Brands!$FC$2:$FC$1000,0))&amp;"",""))</f>
        <v>store_selector</v>
      </c>
      <c r="O2" s="0" t="str">
        <f aca="false">IF($AS$2&gt;0,"",IFERROR(INDEX(Brands!$O$2:$O$1000,MATCH(1,Brands!$FC$2:$FC$1000,0))&amp;"",""))</f>
        <v>New Ginger Snap cookies and soft-baked Chocolate Chip boxes added to brand store, Aug to Sept 2026</v>
      </c>
      <c r="P2" s="0" t="str">
        <f aca="false">IF($AS$2&gt;0,"",IFERROR(INDEX(Brands!$P$2:$P$1000,MATCH(1,Brands!$FC$2:$FC$1000,0))&amp;"",""))</f>
        <v>https://steveandandys.com/products/ginger-snap-cookies</v>
      </c>
      <c r="Q2" s="0" t="str">
        <f aca="false">IF($AS$2&gt;0,"",IFERROR(INDEX(Brands!$Q$2:$Q$1000,MATCH(1,Brands!$FC$2:$FC$1000,0))&amp;"",""))</f>
        <v>2026-09-18</v>
      </c>
      <c r="R2" s="0" t="str">
        <f aca="false">IF($AS$2&gt;0,"",IFERROR(INDEX(Brands!$R$2:$R$1000,MATCH(1,Brands!$FC$2:$FC$1000,0))&amp;"",""))</f>
        <v>Y</v>
      </c>
      <c r="S2" s="0" t="str">
        <f aca="false">IF($AS$2&gt;0,"",IFERROR(INDEX(Brands!$S$2:$S$1000,MATCH(1,Brands!$FC$2:$FC$1000,0))&amp;"",""))</f>
        <v>unknown</v>
      </c>
      <c r="T2" s="0" t="str">
        <f aca="false">IF($AS$2&gt;0,"",IFERROR(INDEX(Brands!$T$2:$T$1000,MATCH(1,Brands!$FC$2:$FC$1000,0))&amp;"",""))</f>
        <v>N</v>
      </c>
      <c r="U2" s="0" t="str">
        <f aca="false">IF($AS$2&gt;0,"",IFERROR(INDEX(Brands!$U$2:$U$1000,MATCH(1,Brands!$FC$2:$FC$1000,0))&amp;"",""))</f>
        <v>new</v>
      </c>
      <c r="V2" s="0" t="str">
        <f aca="false">IF($AS$2&gt;0,"",IFERROR(INDEX(Brands!$V$2:$V$1000,MATCH(1,Brands!$FC$2:$FC$1000,0))&amp;"",""))</f>
        <v>https://steveandandys.com/pages/about</v>
      </c>
      <c r="W2" s="0" t="str">
        <f aca="false">IF($AS$2&gt;0,"",IFERROR(INDEX(Brands!$W$2:$W$1000,MATCH(1,Brands!$FC$2:$FC$1000,0))&amp;"",""))</f>
        <v>2026-10-23</v>
      </c>
      <c r="X2" s="0" t="str">
        <f aca="false">IF($AS$2&gt;0,"",IFERROR(INDEX(Brands!$X$2:$X$1000,MATCH(1,Brands!$FC$2:$FC$1000,0))&amp;"",""))</f>
        <v>brand</v>
      </c>
      <c r="Y2" s="0" t="n">
        <f aca="false">IF($AS$2&gt;0,"",IFERROR(INDEX(Brands!$Y$2:$Y$1000,MATCH(1,Brands!$FC$2:$FC$1000,0)),""))</f>
        <v>1</v>
      </c>
      <c r="Z2" s="0" t="n">
        <f aca="false">IF($AS$2&gt;0,"",IFERROR(INDEX(Brands!$Z$2:$Z$1000,MATCH(1,Brands!$FC$2:$FC$1000,0)),""))</f>
        <v>6</v>
      </c>
      <c r="AA2" s="0" t="str">
        <f aca="false">IF($AS$2&gt;0,"",IFERROR(INDEX(Brands!$AA$2:$AA$1000,MATCH(1,Brands!$FC$2:$FC$1000,0))&amp;"",""))</f>
        <v>Y</v>
      </c>
      <c r="AB2" s="0" t="str">
        <f aca="false">IF($AS$2&gt;0,"",IFERROR(INDEX(Brands!$AB$2:$AB$1000,MATCH(1,Brands!$FC$2:$FC$1000,0))&amp;"",""))</f>
        <v>find Steve Marino at Steve &amp; Andy's on LinkedIn and paste the profile URL into primary_linkedin_url; use the Whole Foods Market NoMad line only if retailer_checked_date is this week's Friday check</v>
      </c>
      <c r="AC2" s="0" t="str">
        <f aca="false">IF($AS$2&gt;0,"",IFERROR(INDEX(Brands!$AC$2:$AC$1000,MATCH(1,Brands!$FC$2:$FC$1000,0))&amp;"",""))</f>
        <v>founder</v>
      </c>
      <c r="AD2" s="0" t="str">
        <f aca="false">IF($AS$2&gt;0,"",IFERROR(INDEX(Brands!$AD$2:$AD$1000,MATCH(1,Brands!$FC$2:$FC$1000,0))&amp;"",""))</f>
        <v>verified-page</v>
      </c>
      <c r="AE2" s="0" t="str">
        <f aca="false">IF($AS$2&gt;0,"",IFERROR(INDEX(Brands!$AE$2:$AE$1000,MATCH(1,Brands!$FC$2:$FC$1000,0))&amp;"",""))</f>
        <v>employer's own site</v>
      </c>
      <c r="AF2" s="0" t="str">
        <f aca="false">IF($AS$2&gt;0,"",IFERROR(INDEX(Brands!$AF$2:$AF$1000,MATCH(1,Brands!$FC$2:$FC$1000,0))&amp;"",""))</f>
        <v>https://steveandandys.com/pages/about</v>
      </c>
      <c r="AG2" s="0" t="str">
        <f aca="false">IF($AS$2&gt;0,"",IFERROR(INDEX(Brands!$AG$2:$AG$1000,MATCH(1,Brands!$FC$2:$FC$1000,0))&amp;"",""))</f>
        <v>2026-10-24</v>
      </c>
      <c r="AH2" s="0" t="str">
        <f aca="false">IF($AS$2&gt;0,"",IFERROR(INDEX(Brands!$AH$2:$AH$1000,MATCH(1,Brands!$FC$2:$FC$1000,0))&amp;"",""))</f>
        <v>Organic Chocolate Chip Cookies 5.5 oz (gluten-free)</v>
      </c>
      <c r="AI2" s="0" t="str">
        <f aca="false">IF($AS$2&gt;0,"",IFERROR(INDEX(Brands!$AI$2:$AI$1000,MATCH(1,Brands!$FC$2:$FC$1000,0))&amp;"",""))</f>
        <v>cookies-baked</v>
      </c>
      <c r="AJ2" s="0" t="str">
        <f aca="false">IF($AS$2&gt;0,"",IFERROR(INDEX(Brands!$AJ$2:$AJ$1000,MATCH(1,Brands!$FC$2:$FC$1000,0))&amp;"",""))</f>
        <v>New York</v>
      </c>
      <c r="AK2" s="0" t="str">
        <f aca="false">IF($AS$2&gt;0,"",IFERROR(INDEX(Brands!$AK$2:$AK$1000,MATCH(1,Brands!$FC$2:$FC$1000,0))&amp;"",""))</f>
        <v>https://steveandandys.com</v>
      </c>
      <c r="AL2" s="0" t="str">
        <f aca="false">IF($AS$2&gt;0,"",IFERROR(INDEX(Brands!$AL$2:$AL$1000,MATCH(1,Brands!$FC$2:$FC$1000,0))&amp;"",""))</f>
        <v>Y</v>
      </c>
      <c r="AM2" s="0" t="str">
        <f aca="false">IF($AS$2&gt;0,"",IFERROR(INDEX(Brands!$AM$2:$AM$1000,MATCH(1,Brands!$FC$2:$FC$1000,0))&amp;"",""))</f>
        <v>single-serve pack not shown on the pages read: ask on the first call</v>
      </c>
      <c r="AN2" s="0" t="str">
        <f aca="false">IF($AS$2&gt;0,"",IFERROR(INDEX(Brands!$AN$2:$AN$1000,MATCH(1,Brands!$FC$2:$FC$1000,0))&amp;"",""))</f>
        <v>AB-082</v>
      </c>
      <c r="AO2" s="0" t="str">
        <f aca="false">IF($AS$2&gt;0,"",IFERROR(INDEX(Brands!$AO$2:$AO$1000,MATCH(1,Brands!$FC$2:$FC$1000,0))&amp;"",""))</f>
        <v>N</v>
      </c>
      <c r="AP2" s="0" t="str">
        <f aca="false">IF($AS$2&gt;0,"",IFERROR(INDEX(Brands!$AP$2:$AP$1000,MATCH(1,Brands!$FC$2:$FC$1000,0))&amp;"",""))</f>
        <v/>
      </c>
      <c r="AQ2" s="0" t="str">
        <f aca="false">IF($AS$2&gt;0,"",IFERROR(INDEX(Brands!$AQ$2:$AQ$1000,MATCH(1,Brands!$FC$2:$FC$1000,0))&amp;"",""))</f>
        <v/>
      </c>
      <c r="AS2" s="0" t="n">
        <f aca="false">COUNTIF(Brands!$FF$2:$FF$1000,"N")</f>
        <v>0</v>
      </c>
    </row>
    <row r="3" customFormat="false" ht="15" hidden="false" customHeight="false" outlineLevel="0" collapsed="false">
      <c r="A3" s="0" t="str">
        <f aca="false">IF($AS$2&gt;0,"",IFERROR(INDEX(Brands!$A$2:$A$1000,MATCH(2,Brands!$FC$2:$FC$1000,0))&amp;"",""))</f>
        <v>AB-216</v>
      </c>
      <c r="B3" s="0" t="str">
        <f aca="false">IF($AS$2&gt;0,"",IFERROR(INDEX(Brands!$B$2:$B$1000,MATCH(2,Brands!$FC$2:$FC$1000,0))&amp;"",""))</f>
        <v>The Matzo Project</v>
      </c>
      <c r="C3" s="0" t="str">
        <f aca="false">IF($AS$2&gt;0,"",IFERROR(INDEX(Brands!$C$2:$C$1000,MATCH(2,Brands!$FC$2:$FC$1000,0))&amp;"",""))</f>
        <v>Crystal</v>
      </c>
      <c r="D3" s="0" t="str">
        <f aca="false">IF($AS$2&gt;0,"",IFERROR(INDEX(Brands!$D$2:$D$1000,MATCH(2,Brands!$FC$2:$FC$1000,0))&amp;"",""))</f>
        <v>Bennett</v>
      </c>
      <c r="E3" s="0" t="str">
        <f aca="false">IF($AS$2&gt;0,"",IFERROR(INDEX(Brands!$E$2:$E$1000,MATCH(2,Brands!$FC$2:$FC$1000,0))&amp;"",""))</f>
        <v>Partner and company spokeswoman</v>
      </c>
      <c r="F3" s="0" t="str">
        <f aca="false">IF($AS$2&gt;0,"",IFERROR(INDEX(Brands!$F$2:$F$1000,MATCH(2,Brands!$FC$2:$FC$1000,0))&amp;"",""))</f>
        <v/>
      </c>
      <c r="G3" s="0" t="str">
        <f aca="false">IF($AS$2&gt;0,"",IFERROR(INDEX(Brands!$G$2:$G$1000,MATCH(2,Brands!$FC$2:$FC$1000,0))&amp;"",""))</f>
        <v/>
      </c>
      <c r="H3" s="0" t="str">
        <f aca="false">IF($AS$2&gt;0,"",IFERROR(INDEX(Brands!$H$2:$H$1000,MATCH(2,Brands!$FC$2:$FC$1000,0))&amp;"",""))</f>
        <v>none</v>
      </c>
      <c r="I3" s="0" t="str">
        <f aca="false">IF($AS$2&gt;0,"",IFERROR(INDEX(Brands!$I$2:$I$1000,MATCH(2,Brands!$FC$2:$FC$1000,0))&amp;"",""))</f>
        <v>linkedin</v>
      </c>
      <c r="J3" s="0" t="n">
        <f aca="false">IF($AS$2&gt;0,"",IFERROR(INDEX(Brands!$J$2:$J$1000,MATCH(2,Brands!$FC$2:$FC$1000,0)),""))</f>
        <v>78</v>
      </c>
      <c r="K3" s="0" t="str">
        <f aca="false">IF($AS$2&gt;0,"",IFERROR(INDEX(Brands!$K$2:$K$1000,MATCH(2,Brands!$FC$2:$FC$1000,0))&amp;"",""))</f>
        <v>New York City brand, store page shows Whole Foods Market Union Square inside the cluster, news 248 days ago, revenue unknown, contact named.</v>
      </c>
      <c r="L3" s="0" t="str">
        <f aca="false">IF($AS$2&gt;0,"",IFERROR(INDEX(Brands!$L$2:$L$1000,MATCH(2,Brands!$FC$2:$FC$1000,0))&amp;"",""))</f>
        <v/>
      </c>
      <c r="M3" s="0" t="str">
        <f aca="false">IF($AS$2&gt;0,"",IFERROR(INDEX(Brands!$M$2:$M$1000,MATCH(2,Brands!$FC$2:$FC$1000,0))&amp;"",""))</f>
        <v>Whole Foods Market Union Square, 4 Union Sq S</v>
      </c>
      <c r="N3" s="0" t="str">
        <f aca="false">IF($AS$2&gt;0,"",IFERROR(INDEX(Brands!$N$2:$N$1000,MATCH(2,Brands!$FC$2:$FC$1000,0))&amp;"",""))</f>
        <v>store_selector</v>
      </c>
      <c r="O3" s="0" t="str">
        <f aca="false">IF($AS$2&gt;0,"",IFERROR(INDEX(Brands!$O$2:$O$1000,MATCH(2,Brands!$FC$2:$FC$1000,0))&amp;"",""))</f>
        <v>Holiday Hanukkah set on Target.com and in select Target stores from Nov 1 (homepage); Passover Shmura matzo release (Feb 2026); Publix launch (Oct 2025)</v>
      </c>
      <c r="P3" s="0" t="str">
        <f aca="false">IF($AS$2&gt;0,"",IFERROR(INDEX(Brands!$P$2:$P$1000,MATCH(2,Brands!$FC$2:$FC$1000,0))&amp;"",""))</f>
        <v>https://startupcpg.com/startup-cpg-newswire-the-matzo-project-does-something-unusual-for-passover-by-not-changing-a-thing/</v>
      </c>
      <c r="Q3" s="0" t="str">
        <f aca="false">IF($AS$2&gt;0,"",IFERROR(INDEX(Brands!$Q$2:$Q$1000,MATCH(2,Brands!$FC$2:$FC$1000,0))&amp;"",""))</f>
        <v>2026-02-18</v>
      </c>
      <c r="R3" s="0" t="str">
        <f aca="false">IF($AS$2&gt;0,"",IFERROR(INDEX(Brands!$R$2:$R$1000,MATCH(2,Brands!$FC$2:$FC$1000,0))&amp;"",""))</f>
        <v>N</v>
      </c>
      <c r="S3" s="0" t="str">
        <f aca="false">IF($AS$2&gt;0,"",IFERROR(INDEX(Brands!$S$2:$S$1000,MATCH(2,Brands!$FC$2:$FC$1000,0))&amp;"",""))</f>
        <v>Y</v>
      </c>
      <c r="T3" s="0" t="str">
        <f aca="false">IF($AS$2&gt;0,"",IFERROR(INDEX(Brands!$T$2:$T$1000,MATCH(2,Brands!$FC$2:$FC$1000,0))&amp;"",""))</f>
        <v>N</v>
      </c>
      <c r="U3" s="0" t="str">
        <f aca="false">IF($AS$2&gt;0,"",IFERROR(INDEX(Brands!$U$2:$U$1000,MATCH(2,Brands!$FC$2:$FC$1000,0))&amp;"",""))</f>
        <v>new</v>
      </c>
      <c r="V3" s="0" t="str">
        <f aca="false">IF($AS$2&gt;0,"",IFERROR(INDEX(Brands!$V$2:$V$1000,MATCH(2,Brands!$FC$2:$FC$1000,0))&amp;"",""))</f>
        <v>https://www.matzoproject.com/</v>
      </c>
      <c r="W3" s="0" t="str">
        <f aca="false">IF($AS$2&gt;0,"",IFERROR(INDEX(Brands!$W$2:$W$1000,MATCH(2,Brands!$FC$2:$FC$1000,0))&amp;"",""))</f>
        <v>2026-10-23</v>
      </c>
      <c r="X3" s="0" t="str">
        <f aca="false">IF($AS$2&gt;0,"",IFERROR(INDEX(Brands!$X$2:$X$1000,MATCH(2,Brands!$FC$2:$FC$1000,0))&amp;"",""))</f>
        <v>brand</v>
      </c>
      <c r="Y3" s="0" t="n">
        <f aca="false">IF($AS$2&gt;0,"",IFERROR(INDEX(Brands!$Y$2:$Y$1000,MATCH(2,Brands!$FC$2:$FC$1000,0)),""))</f>
        <v>2</v>
      </c>
      <c r="Z3" s="0" t="n">
        <f aca="false">IF($AS$2&gt;0,"",IFERROR(INDEX(Brands!$Z$2:$Z$1000,MATCH(2,Brands!$FC$2:$FC$1000,0)),""))</f>
        <v>2</v>
      </c>
      <c r="AA3" s="0" t="str">
        <f aca="false">IF($AS$2&gt;0,"",IFERROR(INDEX(Brands!$AA$2:$AA$1000,MATCH(2,Brands!$FC$2:$FC$1000,0))&amp;"",""))</f>
        <v>Y</v>
      </c>
      <c r="AB3" s="0" t="str">
        <f aca="false">IF($AS$2&gt;0,"",IFERROR(INDEX(Brands!$AB$2:$AB$1000,MATCH(2,Brands!$FC$2:$FC$1000,0))&amp;"",""))</f>
        <v>find Crystal Bennett at The Matzo Project on LinkedIn and paste the profile URL into backup_linkedin_url; use the Whole Foods Market Union Square line only if retailer_checked_date is this week's Friday check</v>
      </c>
      <c r="AC3" s="0" t="str">
        <f aca="false">IF($AS$2&gt;0,"",IFERROR(INDEX(Brands!$AC$2:$AC$1000,MATCH(2,Brands!$FC$2:$FC$1000,0))&amp;"",""))</f>
        <v>marketing lead</v>
      </c>
      <c r="AD3" s="0" t="str">
        <f aca="false">IF($AS$2&gt;0,"",IFERROR(INDEX(Brands!$AD$2:$AD$1000,MATCH(2,Brands!$FC$2:$FC$1000,0))&amp;"",""))</f>
        <v>verified-page</v>
      </c>
      <c r="AE3" s="0" t="str">
        <f aca="false">IF($AS$2&gt;0,"",IFERROR(INDEX(Brands!$AE$2:$AE$1000,MATCH(2,Brands!$FC$2:$FC$1000,0))&amp;"",""))</f>
        <v>press, event or podcast page</v>
      </c>
      <c r="AF3" s="0" t="str">
        <f aca="false">IF($AS$2&gt;0,"",IFERROR(INDEX(Brands!$AF$2:$AF$1000,MATCH(2,Brands!$FC$2:$FC$1000,0))&amp;"",""))</f>
        <v>https://www.foodnavigator-usa.com/Article/2025/07/23/brands-give-jewish-staples-a-new-look-new-uses</v>
      </c>
      <c r="AG3" s="0" t="str">
        <f aca="false">IF($AS$2&gt;0,"",IFERROR(INDEX(Brands!$AG$2:$AG$1000,MATCH(2,Brands!$FC$2:$FC$1000,0))&amp;"",""))</f>
        <v>2026-10-24</v>
      </c>
      <c r="AH3" s="0" t="str">
        <f aca="false">IF($AS$2&gt;0,"",IFERROR(INDEX(Brands!$AH$2:$AH$1000,MATCH(2,Brands!$FC$2:$FC$1000,0))&amp;"",""))</f>
        <v>Everything Matzo Chips 6 oz bag (also Flats, Crumbs, soup kits)</v>
      </c>
      <c r="AI3" s="0" t="str">
        <f aca="false">IF($AS$2&gt;0,"",IFERROR(INDEX(Brands!$AI$2:$AI$1000,MATCH(2,Brands!$FC$2:$FC$1000,0))&amp;"",""))</f>
        <v>crackers-pretzels</v>
      </c>
      <c r="AJ3" s="0" t="str">
        <f aca="false">IF($AS$2&gt;0,"",IFERROR(INDEX(Brands!$AJ$2:$AJ$1000,MATCH(2,Brands!$FC$2:$FC$1000,0))&amp;"",""))</f>
        <v>Brooklyn</v>
      </c>
      <c r="AK3" s="0" t="str">
        <f aca="false">IF($AS$2&gt;0,"",IFERROR(INDEX(Brands!$AK$2:$AK$1000,MATCH(2,Brands!$FC$2:$FC$1000,0))&amp;"",""))</f>
        <v>https://www.matzoproject.com</v>
      </c>
      <c r="AL3" s="0" t="str">
        <f aca="false">IF($AS$2&gt;0,"",IFERROR(INDEX(Brands!$AL$2:$AL$1000,MATCH(2,Brands!$FC$2:$FC$1000,0))&amp;"",""))</f>
        <v>N</v>
      </c>
      <c r="AM3" s="0" t="str">
        <f aca="false">IF($AS$2&gt;0,"",IFERROR(INDEX(Brands!$AM$2:$AM$1000,MATCH(2,Brands!$FC$2:$FC$1000,0))&amp;"",""))</f>
        <v/>
      </c>
      <c r="AN3" s="0" t="str">
        <f aca="false">IF($AS$2&gt;0,"",IFERROR(INDEX(Brands!$AN$2:$AN$1000,MATCH(2,Brands!$FC$2:$FC$1000,0))&amp;"",""))</f>
        <v>AB-216</v>
      </c>
      <c r="AO3" s="0" t="str">
        <f aca="false">IF($AS$2&gt;0,"",IFERROR(INDEX(Brands!$AO$2:$AO$1000,MATCH(2,Brands!$FC$2:$FC$1000,0))&amp;"",""))</f>
        <v>N</v>
      </c>
      <c r="AP3" s="0" t="str">
        <f aca="false">IF($AS$2&gt;0,"",IFERROR(INDEX(Brands!$AP$2:$AP$1000,MATCH(2,Brands!$FC$2:$FC$1000,0))&amp;"",""))</f>
        <v/>
      </c>
      <c r="AQ3" s="0" t="str">
        <f aca="false">IF($AS$2&gt;0,"",IFERROR(INDEX(Brands!$AQ$2:$AQ$1000,MATCH(2,Brands!$FC$2:$FC$1000,0))&amp;"",""))</f>
        <v/>
      </c>
    </row>
    <row r="4" customFormat="false" ht="15" hidden="false" customHeight="false" outlineLevel="0" collapsed="false">
      <c r="A4" s="0" t="str">
        <f aca="false">IF($AS$2&gt;0,"",IFERROR(INDEX(Brands!$A$2:$A$1000,MATCH(3,Brands!$FC$2:$FC$1000,0))&amp;"",""))</f>
        <v>AB-097</v>
      </c>
      <c r="B4" s="0" t="str">
        <f aca="false">IF($AS$2&gt;0,"",IFERROR(INDEX(Brands!$B$2:$B$1000,MATCH(3,Brands!$FC$2:$FC$1000,0))&amp;"",""))</f>
        <v>Beyond Good</v>
      </c>
      <c r="C4" s="0" t="str">
        <f aca="false">IF($AS$2&gt;0,"",IFERROR(INDEX(Brands!$C$2:$C$1000,MATCH(3,Brands!$FC$2:$FC$1000,0))&amp;"",""))</f>
        <v>Tim</v>
      </c>
      <c r="D4" s="0" t="str">
        <f aca="false">IF($AS$2&gt;0,"",IFERROR(INDEX(Brands!$D$2:$D$1000,MATCH(3,Brands!$FC$2:$FC$1000,0))&amp;"",""))</f>
        <v>McCollum</v>
      </c>
      <c r="E4" s="0" t="str">
        <f aca="false">IF($AS$2&gt;0,"",IFERROR(INDEX(Brands!$E$2:$E$1000,MATCH(3,Brands!$FC$2:$FC$1000,0))&amp;"",""))</f>
        <v>Founder and CEO</v>
      </c>
      <c r="F4" s="0" t="str">
        <f aca="false">IF($AS$2&gt;0,"",IFERROR(INDEX(Brands!$F$2:$F$1000,MATCH(3,Brands!$FC$2:$FC$1000,0))&amp;"",""))</f>
        <v/>
      </c>
      <c r="G4" s="0" t="str">
        <f aca="false">IF($AS$2&gt;0,"",IFERROR(INDEX(Brands!$G$2:$G$1000,MATCH(3,Brands!$FC$2:$FC$1000,0))&amp;"",""))</f>
        <v/>
      </c>
      <c r="H4" s="0" t="str">
        <f aca="false">IF($AS$2&gt;0,"",IFERROR(INDEX(Brands!$H$2:$H$1000,MATCH(3,Brands!$FC$2:$FC$1000,0))&amp;"",""))</f>
        <v>none</v>
      </c>
      <c r="I4" s="0" t="str">
        <f aca="false">IF($AS$2&gt;0,"",IFERROR(INDEX(Brands!$I$2:$I$1000,MATCH(3,Brands!$FC$2:$FC$1000,0))&amp;"",""))</f>
        <v>linkedin</v>
      </c>
      <c r="J4" s="0" t="n">
        <f aca="false">IF($AS$2&gt;0,"",IFERROR(INDEX(Brands!$J$2:$J$1000,MATCH(3,Brands!$FC$2:$FC$1000,0)),""))</f>
        <v>76</v>
      </c>
      <c r="K4" s="0" t="str">
        <f aca="false">IF($AS$2&gt;0,"",IFERROR(INDEX(Brands!$K$2:$K$1000,MATCH(3,Brands!$FC$2:$FC$1000,0))&amp;"",""))</f>
        <v>New York City brand, store page shows Whole Foods Market NoMad inside the cluster, a new store listing 22 days ago, revenue unknown, contact named (crowd-listed on The Org) plus a marketing lead; founder review: shelf life not stated.</v>
      </c>
      <c r="L4" s="0" t="str">
        <f aca="false">IF($AS$2&gt;0,"",IFERROR(INDEX(Brands!$L$2:$L$1000,MATCH(3,Brands!$FC$2:$FC$1000,0))&amp;"",""))</f>
        <v/>
      </c>
      <c r="M4" s="0" t="str">
        <f aca="false">IF($AS$2&gt;0,"",IFERROR(INDEX(Brands!$M$2:$M$1000,MATCH(3,Brands!$FC$2:$FC$1000,0))&amp;"",""))</f>
        <v>Whole Foods Market NoMad, 63 Madison Ave</v>
      </c>
      <c r="N4" s="0" t="str">
        <f aca="false">IF($AS$2&gt;0,"",IFERROR(INDEX(Brands!$N$2:$N$1000,MATCH(3,Brands!$FC$2:$FC$1000,0))&amp;"",""))</f>
        <v>store_selector</v>
      </c>
      <c r="O4" s="0" t="str">
        <f aca="false">IF($AS$2&gt;0,"",IFERROR(INDEX(Brands!$O$2:$O$1000,MATCH(3,Brands!$FC$2:$FC$1000,0))&amp;"",""))</f>
        <v>Launched 70% Dark Chocolate Pistachio Crunch bar on brand store, Oct 2026</v>
      </c>
      <c r="P4" s="0" t="str">
        <f aca="false">IF($AS$2&gt;0,"",IFERROR(INDEX(Brands!$P$2:$P$1000,MATCH(3,Brands!$FC$2:$FC$1000,0))&amp;"",""))</f>
        <v>https://beyondgood.com/products/70-cocoa-dark-chocolate-pistachio-crunch</v>
      </c>
      <c r="Q4" s="0" t="str">
        <f aca="false">IF($AS$2&gt;0,"",IFERROR(INDEX(Brands!$Q$2:$Q$1000,MATCH(3,Brands!$FC$2:$FC$1000,0))&amp;"",""))</f>
        <v>2026-10-02</v>
      </c>
      <c r="R4" s="0" t="str">
        <f aca="false">IF($AS$2&gt;0,"",IFERROR(INDEX(Brands!$R$2:$R$1000,MATCH(3,Brands!$FC$2:$FC$1000,0))&amp;"",""))</f>
        <v>N</v>
      </c>
      <c r="S4" s="0" t="str">
        <f aca="false">IF($AS$2&gt;0,"",IFERROR(INDEX(Brands!$S$2:$S$1000,MATCH(3,Brands!$FC$2:$FC$1000,0))&amp;"",""))</f>
        <v>unknown</v>
      </c>
      <c r="T4" s="0" t="str">
        <f aca="false">IF($AS$2&gt;0,"",IFERROR(INDEX(Brands!$T$2:$T$1000,MATCH(3,Brands!$FC$2:$FC$1000,0))&amp;"",""))</f>
        <v>N</v>
      </c>
      <c r="U4" s="0" t="str">
        <f aca="false">IF($AS$2&gt;0,"",IFERROR(INDEX(Brands!$U$2:$U$1000,MATCH(3,Brands!$FC$2:$FC$1000,0))&amp;"",""))</f>
        <v>new</v>
      </c>
      <c r="V4" s="0" t="str">
        <f aca="false">IF($AS$2&gt;0,"",IFERROR(INDEX(Brands!$V$2:$V$1000,MATCH(3,Brands!$FC$2:$FC$1000,0))&amp;"",""))</f>
        <v>https://beyondgood.com/</v>
      </c>
      <c r="W4" s="0" t="str">
        <f aca="false">IF($AS$2&gt;0,"",IFERROR(INDEX(Brands!$W$2:$W$1000,MATCH(3,Brands!$FC$2:$FC$1000,0))&amp;"",""))</f>
        <v>2026-10-23</v>
      </c>
      <c r="X4" s="0" t="str">
        <f aca="false">IF($AS$2&gt;0,"",IFERROR(INDEX(Brands!$X$2:$X$1000,MATCH(3,Brands!$FC$2:$FC$1000,0))&amp;"",""))</f>
        <v>brand</v>
      </c>
      <c r="Y4" s="0" t="n">
        <f aca="false">IF($AS$2&gt;0,"",IFERROR(INDEX(Brands!$Y$2:$Y$1000,MATCH(3,Brands!$FC$2:$FC$1000,0)),""))</f>
        <v>3</v>
      </c>
      <c r="Z4" s="0" t="n">
        <f aca="false">IF($AS$2&gt;0,"",IFERROR(INDEX(Brands!$Z$2:$Z$1000,MATCH(3,Brands!$FC$2:$FC$1000,0)),""))</f>
        <v>3</v>
      </c>
      <c r="AA4" s="0" t="str">
        <f aca="false">IF($AS$2&gt;0,"",IFERROR(INDEX(Brands!$AA$2:$AA$1000,MATCH(3,Brands!$FC$2:$FC$1000,0))&amp;"",""))</f>
        <v>Y</v>
      </c>
      <c r="AB4" s="0" t="str">
        <f aca="false">IF($AS$2&gt;0,"",IFERROR(INDEX(Brands!$AB$2:$AB$1000,MATCH(3,Brands!$FC$2:$FC$1000,0))&amp;"",""))</f>
        <v>find Tim McCollum at Beyond Good on LinkedIn and paste the profile URL into primary_linkedin_url (this also confirms the name: The Org is crowd-edited and marks it Unverified); use the Whole Foods Market NoMad line only if retailer_checked_date is this week's Friday check</v>
      </c>
      <c r="AC4" s="0" t="str">
        <f aca="false">IF($AS$2&gt;0,"",IFERROR(INDEX(Brands!$AC$2:$AC$1000,MATCH(3,Brands!$FC$2:$FC$1000,0))&amp;"",""))</f>
        <v>founder</v>
      </c>
      <c r="AD4" s="0" t="str">
        <f aca="false">IF($AS$2&gt;0,"",IFERROR(INDEX(Brands!$AD$2:$AD$1000,MATCH(3,Brands!$FC$2:$FC$1000,0))&amp;"",""))</f>
        <v>crowd-listed</v>
      </c>
      <c r="AE4" s="0" t="str">
        <f aca="false">IF($AS$2&gt;0,"",IFERROR(INDEX(Brands!$AE$2:$AE$1000,MATCH(3,Brands!$FC$2:$FC$1000,0))&amp;"",""))</f>
        <v>The Org (crowd-edited org chart)</v>
      </c>
      <c r="AF4" s="0" t="str">
        <f aca="false">IF($AS$2&gt;0,"",IFERROR(INDEX(Brands!$AF$2:$AF$1000,MATCH(3,Brands!$FC$2:$FC$1000,0))&amp;"",""))</f>
        <v>https://theorg.com/org/beyond-good/person/tim-mccollum</v>
      </c>
      <c r="AG4" s="0" t="str">
        <f aca="false">IF($AS$2&gt;0,"",IFERROR(INDEX(Brands!$AG$2:$AG$1000,MATCH(3,Brands!$FC$2:$FC$1000,0))&amp;"",""))</f>
        <v>2026-10-24</v>
      </c>
      <c r="AH4" s="0" t="str">
        <f aca="false">IF($AS$2&gt;0,"",IFERROR(INDEX(Brands!$AH$2:$AH$1000,MATCH(3,Brands!$FC$2:$FC$1000,0))&amp;"",""))</f>
        <v>70% Cocoa Dark Chocolate Pistachio Crunch bar; Organic 92% Dark Chocolate Bar 2.64 oz</v>
      </c>
      <c r="AI4" s="0" t="str">
        <f aca="false">IF($AS$2&gt;0,"",IFERROR(INDEX(Brands!$AI$2:$AI$1000,MATCH(3,Brands!$FC$2:$FC$1000,0))&amp;"",""))</f>
        <v>chocolate-candy</v>
      </c>
      <c r="AJ4" s="0" t="str">
        <f aca="false">IF($AS$2&gt;0,"",IFERROR(INDEX(Brands!$AJ$2:$AJ$1000,MATCH(3,Brands!$FC$2:$FC$1000,0))&amp;"",""))</f>
        <v>Brooklyn</v>
      </c>
      <c r="AK4" s="0" t="str">
        <f aca="false">IF($AS$2&gt;0,"",IFERROR(INDEX(Brands!$AK$2:$AK$1000,MATCH(3,Brands!$FC$2:$FC$1000,0))&amp;"",""))</f>
        <v>https://beyondgood.com</v>
      </c>
      <c r="AL4" s="0" t="str">
        <f aca="false">IF($AS$2&gt;0,"",IFERROR(INDEX(Brands!$AL$2:$AL$1000,MATCH(3,Brands!$FC$2:$FC$1000,0))&amp;"",""))</f>
        <v>Y</v>
      </c>
      <c r="AM4" s="0" t="str">
        <f aca="false">IF($AS$2&gt;0,"",IFERROR(INDEX(Brands!$AM$2:$AM$1000,MATCH(3,Brands!$FC$2:$FC$1000,0))&amp;"",""))</f>
        <v>60-day shelf life not stated</v>
      </c>
      <c r="AN4" s="0" t="str">
        <f aca="false">IF($AS$2&gt;0,"",IFERROR(INDEX(Brands!$AN$2:$AN$1000,MATCH(3,Brands!$FC$2:$FC$1000,0))&amp;"",""))</f>
        <v>AB-097</v>
      </c>
      <c r="AO4" s="0" t="str">
        <f aca="false">IF($AS$2&gt;0,"",IFERROR(INDEX(Brands!$AO$2:$AO$1000,MATCH(3,Brands!$FC$2:$FC$1000,0))&amp;"",""))</f>
        <v>N</v>
      </c>
      <c r="AP4" s="0" t="str">
        <f aca="false">IF($AS$2&gt;0,"",IFERROR(INDEX(Brands!$AP$2:$AP$1000,MATCH(3,Brands!$FC$2:$FC$1000,0))&amp;"",""))</f>
        <v/>
      </c>
      <c r="AQ4" s="0" t="str">
        <f aca="false">IF($AS$2&gt;0,"",IFERROR(INDEX(Brands!$AQ$2:$AQ$1000,MATCH(3,Brands!$FC$2:$FC$1000,0))&amp;"",""))</f>
        <v/>
      </c>
    </row>
    <row r="5" customFormat="false" ht="15" hidden="false" customHeight="false" outlineLevel="0" collapsed="false">
      <c r="A5" s="0" t="str">
        <f aca="false">IF($AS$2&gt;0,"",IFERROR(INDEX(Brands!$A$2:$A$1000,MATCH(4,Brands!$FC$2:$FC$1000,0))&amp;"",""))</f>
        <v>AB-075</v>
      </c>
      <c r="B5" s="0" t="str">
        <f aca="false">IF($AS$2&gt;0,"",IFERROR(INDEX(Brands!$B$2:$B$1000,MATCH(4,Brands!$FC$2:$FC$1000,0))&amp;"",""))</f>
        <v>Eleni's New York</v>
      </c>
      <c r="C5" s="0" t="str">
        <f aca="false">IF($AS$2&gt;0,"",IFERROR(INDEX(Brands!$C$2:$C$1000,MATCH(4,Brands!$FC$2:$FC$1000,0))&amp;"",""))</f>
        <v>Eleni</v>
      </c>
      <c r="D5" s="0" t="str">
        <f aca="false">IF($AS$2&gt;0,"",IFERROR(INDEX(Brands!$D$2:$D$1000,MATCH(4,Brands!$FC$2:$FC$1000,0))&amp;"",""))</f>
        <v>Gianopulos</v>
      </c>
      <c r="E5" s="0" t="str">
        <f aca="false">IF($AS$2&gt;0,"",IFERROR(INDEX(Brands!$E$2:$E$1000,MATCH(4,Brands!$FC$2:$FC$1000,0))&amp;"",""))</f>
        <v>Founder and CEO</v>
      </c>
      <c r="F5" s="0" t="str">
        <f aca="false">IF($AS$2&gt;0,"",IFERROR(INDEX(Brands!$F$2:$F$1000,MATCH(4,Brands!$FC$2:$FC$1000,0))&amp;"",""))</f>
        <v/>
      </c>
      <c r="G5" s="0" t="str">
        <f aca="false">IF($AS$2&gt;0,"",IFERROR(INDEX(Brands!$G$2:$G$1000,MATCH(4,Brands!$FC$2:$FC$1000,0))&amp;"",""))</f>
        <v/>
      </c>
      <c r="H5" s="0" t="str">
        <f aca="false">IF($AS$2&gt;0,"",IFERROR(INDEX(Brands!$H$2:$H$1000,MATCH(4,Brands!$FC$2:$FC$1000,0))&amp;"",""))</f>
        <v>none</v>
      </c>
      <c r="I5" s="0" t="str">
        <f aca="false">IF($AS$2&gt;0,"",IFERROR(INDEX(Brands!$I$2:$I$1000,MATCH(4,Brands!$FC$2:$FC$1000,0))&amp;"",""))</f>
        <v>linkedin</v>
      </c>
      <c r="J5" s="0" t="n">
        <f aca="false">IF($AS$2&gt;0,"",IFERROR(INDEX(Brands!$J$2:$J$1000,MATCH(4,Brands!$FC$2:$FC$1000,0)),""))</f>
        <v>74</v>
      </c>
      <c r="K5" s="0" t="str">
        <f aca="false">IF($AS$2&gt;0,"",IFERROR(INDEX(Brands!$K$2:$K$1000,MATCH(4,Brands!$FC$2:$FC$1000,0))&amp;"",""))</f>
        <v>New York City brand, store page shows Whole Foods Market NoMad inside the cluster, news 201 days ago, revenue unknown, contact named (crowd-listed on The Org).</v>
      </c>
      <c r="L5" s="0" t="str">
        <f aca="false">IF($AS$2&gt;0,"",IFERROR(INDEX(Brands!$L$2:$L$1000,MATCH(4,Brands!$FC$2:$FC$1000,0))&amp;"",""))</f>
        <v/>
      </c>
      <c r="M5" s="0" t="str">
        <f aca="false">IF($AS$2&gt;0,"",IFERROR(INDEX(Brands!$M$2:$M$1000,MATCH(4,Brands!$FC$2:$FC$1000,0))&amp;"",""))</f>
        <v>Whole Foods Market NoMad, 63 Madison Ave</v>
      </c>
      <c r="N5" s="0" t="str">
        <f aca="false">IF($AS$2&gt;0,"",IFERROR(INDEX(Brands!$N$2:$N$1000,MATCH(4,Brands!$FC$2:$FC$1000,0))&amp;"",""))</f>
        <v>store_selector</v>
      </c>
      <c r="O5" s="0" t="str">
        <f aca="false">IF($AS$2&gt;0,"",IFERROR(INDEX(Brands!$O$2:$O$1000,MATCH(4,Brands!$FC$2:$FC$1000,0))&amp;"",""))</f>
        <v>Moxie &amp; Co. and Eleni's launched licensed Chicka Chicka Boom Boom Alphabet Cookies (announced by Licensing International)</v>
      </c>
      <c r="P5" s="0" t="str">
        <f aca="false">IF($AS$2&gt;0,"",IFERROR(INDEX(Brands!$P$2:$P$1000,MATCH(4,Brands!$FC$2:$FC$1000,0))&amp;"",""))</f>
        <v>https://licensinginternational.org/news/sweet-meets-storytime-moxie-co-and-elenis-cookies-launch-chicka-chicka-boom-boom-alphabet-cookies/</v>
      </c>
      <c r="Q5" s="0" t="str">
        <f aca="false">IF($AS$2&gt;0,"",IFERROR(INDEX(Brands!$Q$2:$Q$1000,MATCH(4,Brands!$FC$2:$FC$1000,0))&amp;"",""))</f>
        <v>2026-04-06</v>
      </c>
      <c r="R5" s="0" t="str">
        <f aca="false">IF($AS$2&gt;0,"",IFERROR(INDEX(Brands!$R$2:$R$1000,MATCH(4,Brands!$FC$2:$FC$1000,0))&amp;"",""))</f>
        <v>N</v>
      </c>
      <c r="S5" s="0" t="str">
        <f aca="false">IF($AS$2&gt;0,"",IFERROR(INDEX(Brands!$S$2:$S$1000,MATCH(4,Brands!$FC$2:$FC$1000,0))&amp;"",""))</f>
        <v>unknown</v>
      </c>
      <c r="T5" s="0" t="str">
        <f aca="false">IF($AS$2&gt;0,"",IFERROR(INDEX(Brands!$T$2:$T$1000,MATCH(4,Brands!$FC$2:$FC$1000,0))&amp;"",""))</f>
        <v>N</v>
      </c>
      <c r="U5" s="0" t="str">
        <f aca="false">IF($AS$2&gt;0,"",IFERROR(INDEX(Brands!$U$2:$U$1000,MATCH(4,Brands!$FC$2:$FC$1000,0))&amp;"",""))</f>
        <v>new</v>
      </c>
      <c r="V5" s="0" t="str">
        <f aca="false">IF($AS$2&gt;0,"",IFERROR(INDEX(Brands!$V$2:$V$1000,MATCH(4,Brands!$FC$2:$FC$1000,0))&amp;"",""))</f>
        <v>https://elenis.com/pages/about-us</v>
      </c>
      <c r="W5" s="0" t="str">
        <f aca="false">IF($AS$2&gt;0,"",IFERROR(INDEX(Brands!$W$2:$W$1000,MATCH(4,Brands!$FC$2:$FC$1000,0))&amp;"",""))</f>
        <v>2026-10-23</v>
      </c>
      <c r="X5" s="0" t="str">
        <f aca="false">IF($AS$2&gt;0,"",IFERROR(INDEX(Brands!$X$2:$X$1000,MATCH(4,Brands!$FC$2:$FC$1000,0))&amp;"",""))</f>
        <v>brand</v>
      </c>
      <c r="Y5" s="0" t="n">
        <f aca="false">IF($AS$2&gt;0,"",IFERROR(INDEX(Brands!$Y$2:$Y$1000,MATCH(4,Brands!$FC$2:$FC$1000,0)),""))</f>
        <v>4</v>
      </c>
      <c r="Z5" s="0" t="n">
        <f aca="false">IF($AS$2&gt;0,"",IFERROR(INDEX(Brands!$Z$2:$Z$1000,MATCH(4,Brands!$FC$2:$FC$1000,0)),""))</f>
        <v>4</v>
      </c>
      <c r="AA5" s="0" t="str">
        <f aca="false">IF($AS$2&gt;0,"",IFERROR(INDEX(Brands!$AA$2:$AA$1000,MATCH(4,Brands!$FC$2:$FC$1000,0))&amp;"",""))</f>
        <v>Y</v>
      </c>
      <c r="AB5" s="0" t="str">
        <f aca="false">IF($AS$2&gt;0,"",IFERROR(INDEX(Brands!$AB$2:$AB$1000,MATCH(4,Brands!$FC$2:$FC$1000,0))&amp;"",""))</f>
        <v>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v>
      </c>
      <c r="AC5" s="0" t="str">
        <f aca="false">IF($AS$2&gt;0,"",IFERROR(INDEX(Brands!$AC$2:$AC$1000,MATCH(4,Brands!$FC$2:$FC$1000,0))&amp;"",""))</f>
        <v>founder</v>
      </c>
      <c r="AD5" s="0" t="str">
        <f aca="false">IF($AS$2&gt;0,"",IFERROR(INDEX(Brands!$AD$2:$AD$1000,MATCH(4,Brands!$FC$2:$FC$1000,0))&amp;"",""))</f>
        <v>crowd-listed</v>
      </c>
      <c r="AE5" s="0" t="str">
        <f aca="false">IF($AS$2&gt;0,"",IFERROR(INDEX(Brands!$AE$2:$AE$1000,MATCH(4,Brands!$FC$2:$FC$1000,0))&amp;"",""))</f>
        <v>The Org (crowd-edited org chart)</v>
      </c>
      <c r="AF5" s="0" t="str">
        <f aca="false">IF($AS$2&gt;0,"",IFERROR(INDEX(Brands!$AF$2:$AF$1000,MATCH(4,Brands!$FC$2:$FC$1000,0))&amp;"",""))</f>
        <v>https://theorg.com/org/elenis/person/eleni-gianopulos</v>
      </c>
      <c r="AG5" s="0" t="str">
        <f aca="false">IF($AS$2&gt;0,"",IFERROR(INDEX(Brands!$AG$2:$AG$1000,MATCH(4,Brands!$FC$2:$FC$1000,0))&amp;"",""))</f>
        <v>2026-10-24</v>
      </c>
      <c r="AH5" s="0" t="str">
        <f aca="false">IF($AS$2&gt;0,"",IFERROR(INDEX(Brands!$AH$2:$AH$1000,MATCH(4,Brands!$FC$2:$FC$1000,0))&amp;"",""))</f>
        <v>Crisp Chocolate Chip Cookie 3.5 oz; Mini Crisp cookie pouches 4.5 oz</v>
      </c>
      <c r="AI5" s="0" t="str">
        <f aca="false">IF($AS$2&gt;0,"",IFERROR(INDEX(Brands!$AI$2:$AI$1000,MATCH(4,Brands!$FC$2:$FC$1000,0))&amp;"",""))</f>
        <v>cookies-baked</v>
      </c>
      <c r="AJ5" s="0" t="str">
        <f aca="false">IF($AS$2&gt;0,"",IFERROR(INDEX(Brands!$AJ$2:$AJ$1000,MATCH(4,Brands!$FC$2:$FC$1000,0))&amp;"",""))</f>
        <v>New York</v>
      </c>
      <c r="AK5" s="0" t="str">
        <f aca="false">IF($AS$2&gt;0,"",IFERROR(INDEX(Brands!$AK$2:$AK$1000,MATCH(4,Brands!$FC$2:$FC$1000,0))&amp;"",""))</f>
        <v>https://elenis.com</v>
      </c>
      <c r="AL5" s="0" t="str">
        <f aca="false">IF($AS$2&gt;0,"",IFERROR(INDEX(Brands!$AL$2:$AL$1000,MATCH(4,Brands!$FC$2:$FC$1000,0))&amp;"",""))</f>
        <v>N</v>
      </c>
      <c r="AM5" s="0" t="str">
        <f aca="false">IF($AS$2&gt;0,"",IFERROR(INDEX(Brands!$AM$2:$AM$1000,MATCH(4,Brands!$FC$2:$FC$1000,0))&amp;"",""))</f>
        <v/>
      </c>
      <c r="AN5" s="0" t="str">
        <f aca="false">IF($AS$2&gt;0,"",IFERROR(INDEX(Brands!$AN$2:$AN$1000,MATCH(4,Brands!$FC$2:$FC$1000,0))&amp;"",""))</f>
        <v>AB-075</v>
      </c>
      <c r="AO5" s="0" t="str">
        <f aca="false">IF($AS$2&gt;0,"",IFERROR(INDEX(Brands!$AO$2:$AO$1000,MATCH(4,Brands!$FC$2:$FC$1000,0))&amp;"",""))</f>
        <v>N</v>
      </c>
      <c r="AP5" s="0" t="str">
        <f aca="false">IF($AS$2&gt;0,"",IFERROR(INDEX(Brands!$AP$2:$AP$1000,MATCH(4,Brands!$FC$2:$FC$1000,0))&amp;"",""))</f>
        <v/>
      </c>
      <c r="AQ5" s="0" t="str">
        <f aca="false">IF($AS$2&gt;0,"",IFERROR(INDEX(Brands!$AQ$2:$AQ$1000,MATCH(4,Brands!$FC$2:$FC$1000,0))&amp;"",""))</f>
        <v/>
      </c>
    </row>
    <row r="6" customFormat="false" ht="15" hidden="false" customHeight="false" outlineLevel="0" collapsed="false">
      <c r="A6" s="0" t="str">
        <f aca="false">IF($AS$2&gt;0,"",IFERROR(INDEX(Brands!$A$2:$A$1000,MATCH(5,Brands!$FC$2:$FC$1000,0))&amp;"",""))</f>
        <v>AB-071</v>
      </c>
      <c r="B6" s="0" t="str">
        <f aca="false">IF($AS$2&gt;0,"",IFERROR(INDEX(Brands!$B$2:$B$1000,MATCH(5,Brands!$FC$2:$FC$1000,0))&amp;"",""))</f>
        <v>Fine &amp; Raw</v>
      </c>
      <c r="C6" s="0" t="str">
        <f aca="false">IF($AS$2&gt;0,"",IFERROR(INDEX(Brands!$C$2:$C$1000,MATCH(5,Brands!$FC$2:$FC$1000,0))&amp;"",""))</f>
        <v>Daniel</v>
      </c>
      <c r="D6" s="0" t="str">
        <f aca="false">IF($AS$2&gt;0,"",IFERROR(INDEX(Brands!$D$2:$D$1000,MATCH(5,Brands!$FC$2:$FC$1000,0))&amp;"",""))</f>
        <v>Sklaar</v>
      </c>
      <c r="E6" s="0" t="str">
        <f aca="false">IF($AS$2&gt;0,"",IFERROR(INDEX(Brands!$E$2:$E$1000,MATCH(5,Brands!$FC$2:$FC$1000,0))&amp;"",""))</f>
        <v>Founder</v>
      </c>
      <c r="F6" s="0" t="str">
        <f aca="false">IF($AS$2&gt;0,"",IFERROR(INDEX(Brands!$F$2:$F$1000,MATCH(5,Brands!$FC$2:$FC$1000,0))&amp;"",""))</f>
        <v/>
      </c>
      <c r="G6" s="0" t="str">
        <f aca="false">IF($AS$2&gt;0,"",IFERROR(INDEX(Brands!$G$2:$G$1000,MATCH(5,Brands!$FC$2:$FC$1000,0))&amp;"",""))</f>
        <v/>
      </c>
      <c r="H6" s="0" t="str">
        <f aca="false">IF($AS$2&gt;0,"",IFERROR(INDEX(Brands!$H$2:$H$1000,MATCH(5,Brands!$FC$2:$FC$1000,0))&amp;"",""))</f>
        <v>none</v>
      </c>
      <c r="I6" s="0" t="str">
        <f aca="false">IF($AS$2&gt;0,"",IFERROR(INDEX(Brands!$I$2:$I$1000,MATCH(5,Brands!$FC$2:$FC$1000,0))&amp;"",""))</f>
        <v>linkedin</v>
      </c>
      <c r="J6" s="0" t="n">
        <f aca="false">IF($AS$2&gt;0,"",IFERROR(INDEX(Brands!$J$2:$J$1000,MATCH(5,Brands!$FC$2:$FC$1000,0)),""))</f>
        <v>72</v>
      </c>
      <c r="K6" s="0" t="str">
        <f aca="false">IF($AS$2&gt;0,"",IFERROR(INDEX(Brands!$K$2:$K$1000,MATCH(5,Brands!$FC$2:$FC$1000,0))&amp;"",""))</f>
        <v>New York City brand, store page shows Whole Foods Market NoMad inside the cluster, a new store listing 9 days ago, revenue unknown, contact named; founder review: shelf life not stated.</v>
      </c>
      <c r="L6" s="0" t="str">
        <f aca="false">IF($AS$2&gt;0,"",IFERROR(INDEX(Brands!$L$2:$L$1000,MATCH(5,Brands!$FC$2:$FC$1000,0))&amp;"",""))</f>
        <v/>
      </c>
      <c r="M6" s="0" t="str">
        <f aca="false">IF($AS$2&gt;0,"",IFERROR(INDEX(Brands!$M$2:$M$1000,MATCH(5,Brands!$FC$2:$FC$1000,0))&amp;"",""))</f>
        <v>Whole Foods Market NoMad, 63 Madison Ave</v>
      </c>
      <c r="N6" s="0" t="str">
        <f aca="false">IF($AS$2&gt;0,"",IFERROR(INDEX(Brands!$N$2:$N$1000,MATCH(5,Brands!$FC$2:$FC$1000,0))&amp;"",""))</f>
        <v>store_selector</v>
      </c>
      <c r="O6" s="0" t="str">
        <f aca="false">IF($AS$2&gt;0,"",IFERROR(INDEX(Brands!$O$2:$O$1000,MATCH(5,Brands!$FC$2:$FC$1000,0))&amp;"",""))</f>
        <v>Launched Josh Cellars x FINE &amp; RAW pairing collection and 2026 Halloween boxes on brand store (Oct 2026); note the pairing is with a wine brand</v>
      </c>
      <c r="P6" s="0" t="str">
        <f aca="false">IF($AS$2&gt;0,"",IFERROR(INDEX(Brands!$P$2:$P$1000,MATCH(5,Brands!$FC$2:$FC$1000,0))&amp;"",""))</f>
        <v>https://www.fineandraw.com/products/josh-cellars-x-fine-raw-single-chunky</v>
      </c>
      <c r="Q6" s="0" t="str">
        <f aca="false">IF($AS$2&gt;0,"",IFERROR(INDEX(Brands!$Q$2:$Q$1000,MATCH(5,Brands!$FC$2:$FC$1000,0))&amp;"",""))</f>
        <v>2026-10-15</v>
      </c>
      <c r="R6" s="0" t="str">
        <f aca="false">IF($AS$2&gt;0,"",IFERROR(INDEX(Brands!$R$2:$R$1000,MATCH(5,Brands!$FC$2:$FC$1000,0))&amp;"",""))</f>
        <v>N</v>
      </c>
      <c r="S6" s="0" t="str">
        <f aca="false">IF($AS$2&gt;0,"",IFERROR(INDEX(Brands!$S$2:$S$1000,MATCH(5,Brands!$FC$2:$FC$1000,0))&amp;"",""))</f>
        <v>unknown</v>
      </c>
      <c r="T6" s="0" t="str">
        <f aca="false">IF($AS$2&gt;0,"",IFERROR(INDEX(Brands!$T$2:$T$1000,MATCH(5,Brands!$FC$2:$FC$1000,0))&amp;"",""))</f>
        <v>N</v>
      </c>
      <c r="U6" s="0" t="str">
        <f aca="false">IF($AS$2&gt;0,"",IFERROR(INDEX(Brands!$U$2:$U$1000,MATCH(5,Brands!$FC$2:$FC$1000,0))&amp;"",""))</f>
        <v>new</v>
      </c>
      <c r="V6" s="0" t="str">
        <f aca="false">IF($AS$2&gt;0,"",IFERROR(INDEX(Brands!$V$2:$V$1000,MATCH(5,Brands!$FC$2:$FC$1000,0))&amp;"",""))</f>
        <v>https://www.fineandraw.com/pages/about</v>
      </c>
      <c r="W6" s="0" t="str">
        <f aca="false">IF($AS$2&gt;0,"",IFERROR(INDEX(Brands!$W$2:$W$1000,MATCH(5,Brands!$FC$2:$FC$1000,0))&amp;"",""))</f>
        <v>2026-10-23</v>
      </c>
      <c r="X6" s="0" t="str">
        <f aca="false">IF($AS$2&gt;0,"",IFERROR(INDEX(Brands!$X$2:$X$1000,MATCH(5,Brands!$FC$2:$FC$1000,0))&amp;"",""))</f>
        <v>brand</v>
      </c>
      <c r="Y6" s="0" t="n">
        <f aca="false">IF($AS$2&gt;0,"",IFERROR(INDEX(Brands!$Y$2:$Y$1000,MATCH(5,Brands!$FC$2:$FC$1000,0)),""))</f>
        <v>5</v>
      </c>
      <c r="Z6" s="0" t="n">
        <f aca="false">IF($AS$2&gt;0,"",IFERROR(INDEX(Brands!$Z$2:$Z$1000,MATCH(5,Brands!$FC$2:$FC$1000,0)),""))</f>
        <v>5</v>
      </c>
      <c r="AA6" s="0" t="str">
        <f aca="false">IF($AS$2&gt;0,"",IFERROR(INDEX(Brands!$AA$2:$AA$1000,MATCH(5,Brands!$FC$2:$FC$1000,0))&amp;"",""))</f>
        <v>Y</v>
      </c>
      <c r="AB6" s="0" t="str">
        <f aca="false">IF($AS$2&gt;0,"",IFERROR(INDEX(Brands!$AB$2:$AB$1000,MATCH(5,Brands!$FC$2:$FC$1000,0))&amp;"",""))</f>
        <v>find Daniel Sklaar at Fine &amp; Raw on LinkedIn and paste the profile URL into primary_linkedin_url; use the Whole Foods Market NoMad line only if retailer_checked_date is this week's Friday check</v>
      </c>
      <c r="AC6" s="0" t="str">
        <f aca="false">IF($AS$2&gt;0,"",IFERROR(INDEX(Brands!$AC$2:$AC$1000,MATCH(5,Brands!$FC$2:$FC$1000,0))&amp;"",""))</f>
        <v>founder</v>
      </c>
      <c r="AD6" s="0" t="str">
        <f aca="false">IF($AS$2&gt;0,"",IFERROR(INDEX(Brands!$AD$2:$AD$1000,MATCH(5,Brands!$FC$2:$FC$1000,0))&amp;"",""))</f>
        <v>verified-page</v>
      </c>
      <c r="AE6" s="0" t="str">
        <f aca="false">IF($AS$2&gt;0,"",IFERROR(INDEX(Brands!$AE$2:$AE$1000,MATCH(5,Brands!$FC$2:$FC$1000,0))&amp;"",""))</f>
        <v>employer's own site</v>
      </c>
      <c r="AF6" s="0" t="str">
        <f aca="false">IF($AS$2&gt;0,"",IFERROR(INDEX(Brands!$AF$2:$AF$1000,MATCH(5,Brands!$FC$2:$FC$1000,0))&amp;"",""))</f>
        <v>https://www.fineandraw.com/pages/about</v>
      </c>
      <c r="AG6" s="0" t="str">
        <f aca="false">IF($AS$2&gt;0,"",IFERROR(INDEX(Brands!$AG$2:$AG$1000,MATCH(5,Brands!$FC$2:$FC$1000,0))&amp;"",""))</f>
        <v>2026-10-24</v>
      </c>
      <c r="AH6" s="0" t="str">
        <f aca="false">IF($AS$2&gt;0,"",IFERROR(INDEX(Brands!$AH$2:$AH$1000,MATCH(5,Brands!$FC$2:$FC$1000,0))&amp;"",""))</f>
        <v>Sea Salt Dark Chocolate Bar 2 oz; Almond Chunky 1.5 oz</v>
      </c>
      <c r="AI6" s="0" t="str">
        <f aca="false">IF($AS$2&gt;0,"",IFERROR(INDEX(Brands!$AI$2:$AI$1000,MATCH(5,Brands!$FC$2:$FC$1000,0))&amp;"",""))</f>
        <v>chocolate-candy</v>
      </c>
      <c r="AJ6" s="0" t="str">
        <f aca="false">IF($AS$2&gt;0,"",IFERROR(INDEX(Brands!$AJ$2:$AJ$1000,MATCH(5,Brands!$FC$2:$FC$1000,0))&amp;"",""))</f>
        <v>Brooklyn</v>
      </c>
      <c r="AK6" s="0" t="str">
        <f aca="false">IF($AS$2&gt;0,"",IFERROR(INDEX(Brands!$AK$2:$AK$1000,MATCH(5,Brands!$FC$2:$FC$1000,0))&amp;"",""))</f>
        <v>https://www.fineandraw.com</v>
      </c>
      <c r="AL6" s="0" t="str">
        <f aca="false">IF($AS$2&gt;0,"",IFERROR(INDEX(Brands!$AL$2:$AL$1000,MATCH(5,Brands!$FC$2:$FC$1000,0))&amp;"",""))</f>
        <v>Y</v>
      </c>
      <c r="AM6" s="0" t="str">
        <f aca="false">IF($AS$2&gt;0,"",IFERROR(INDEX(Brands!$AM$2:$AM$1000,MATCH(5,Brands!$FC$2:$FC$1000,0))&amp;"",""))</f>
        <v>60-day shelf life not stated</v>
      </c>
      <c r="AN6" s="0" t="str">
        <f aca="false">IF($AS$2&gt;0,"",IFERROR(INDEX(Brands!$AN$2:$AN$1000,MATCH(5,Brands!$FC$2:$FC$1000,0))&amp;"",""))</f>
        <v>AB-071</v>
      </c>
      <c r="AO6" s="0" t="str">
        <f aca="false">IF($AS$2&gt;0,"",IFERROR(INDEX(Brands!$AO$2:$AO$1000,MATCH(5,Brands!$FC$2:$FC$1000,0))&amp;"",""))</f>
        <v>N</v>
      </c>
      <c r="AP6" s="0" t="str">
        <f aca="false">IF($AS$2&gt;0,"",IFERROR(INDEX(Brands!$AP$2:$AP$1000,MATCH(5,Brands!$FC$2:$FC$1000,0))&amp;"",""))</f>
        <v/>
      </c>
      <c r="AQ6" s="0" t="str">
        <f aca="false">IF($AS$2&gt;0,"",IFERROR(INDEX(Brands!$AQ$2:$AQ$1000,MATCH(5,Brands!$FC$2:$FC$1000,0))&amp;"",""))</f>
        <v/>
      </c>
    </row>
    <row r="7" customFormat="false" ht="15" hidden="false" customHeight="false" outlineLevel="0" collapsed="false">
      <c r="A7" s="0" t="str">
        <f aca="false">IF($AS$2&gt;0,"",IFERROR(INDEX(Brands!$A$2:$A$1000,MATCH(6,Brands!$FC$2:$FC$1000,0))&amp;"",""))</f>
        <v>AB-002</v>
      </c>
      <c r="B7" s="0" t="str">
        <f aca="false">IF($AS$2&gt;0,"",IFERROR(INDEX(Brands!$B$2:$B$1000,MATCH(6,Brands!$FC$2:$FC$1000,0))&amp;"",""))</f>
        <v>Zack's Mighty</v>
      </c>
      <c r="C7" s="0" t="str">
        <f aca="false">IF($AS$2&gt;0,"",IFERROR(INDEX(Brands!$C$2:$C$1000,MATCH(6,Brands!$FC$2:$FC$1000,0))&amp;"",""))</f>
        <v>Zack</v>
      </c>
      <c r="D7" s="0" t="str">
        <f aca="false">IF($AS$2&gt;0,"",IFERROR(INDEX(Brands!$D$2:$D$1000,MATCH(6,Brands!$FC$2:$FC$1000,0))&amp;"",""))</f>
        <v>Gazzaniga</v>
      </c>
      <c r="E7" s="0" t="str">
        <f aca="false">IF($AS$2&gt;0,"",IFERROR(INDEX(Brands!$E$2:$E$1000,MATCH(6,Brands!$FC$2:$FC$1000,0))&amp;"",""))</f>
        <v>Founder</v>
      </c>
      <c r="F7" s="0" t="str">
        <f aca="false">IF($AS$2&gt;0,"",IFERROR(INDEX(Brands!$F$2:$F$1000,MATCH(6,Brands!$FC$2:$FC$1000,0))&amp;"",""))</f>
        <v/>
      </c>
      <c r="G7" s="0" t="str">
        <f aca="false">IF($AS$2&gt;0,"",IFERROR(INDEX(Brands!$G$2:$G$1000,MATCH(6,Brands!$FC$2:$FC$1000,0))&amp;"",""))</f>
        <v/>
      </c>
      <c r="H7" s="0" t="str">
        <f aca="false">IF($AS$2&gt;0,"",IFERROR(INDEX(Brands!$H$2:$H$1000,MATCH(6,Brands!$FC$2:$FC$1000,0))&amp;"",""))</f>
        <v>none</v>
      </c>
      <c r="I7" s="0" t="str">
        <f aca="false">IF($AS$2&gt;0,"",IFERROR(INDEX(Brands!$I$2:$I$1000,MATCH(6,Brands!$FC$2:$FC$1000,0))&amp;"",""))</f>
        <v>linkedin</v>
      </c>
      <c r="J7" s="0" t="n">
        <f aca="false">IF($AS$2&gt;0,"",IFERROR(INDEX(Brands!$J$2:$J$1000,MATCH(6,Brands!$FC$2:$FC$1000,0)),""))</f>
        <v>71</v>
      </c>
      <c r="K7" s="0" t="str">
        <f aca="false">IF($AS$2&gt;0,"",IFERROR(INDEX(Brands!$K$2:$K$1000,MATCH(6,Brands!$FC$2:$FC$1000,0))&amp;"",""))</f>
        <v>New York City brand, store page shows Whole Foods Market NoMad inside the cluster, a new store listing 12 days ago, revenue unknown, contact named plus a marketing lead; founder review: format.</v>
      </c>
      <c r="L7" s="0" t="str">
        <f aca="false">IF($AS$2&gt;0,"",IFERROR(INDEX(Brands!$L$2:$L$1000,MATCH(6,Brands!$FC$2:$FC$1000,0))&amp;"",""))</f>
        <v/>
      </c>
      <c r="M7" s="0" t="str">
        <f aca="false">IF($AS$2&gt;0,"",IFERROR(INDEX(Brands!$M$2:$M$1000,MATCH(6,Brands!$FC$2:$FC$1000,0))&amp;"",""))</f>
        <v>Whole Foods Market NoMad, 63 Madison Ave</v>
      </c>
      <c r="N7" s="0" t="str">
        <f aca="false">IF($AS$2&gt;0,"",IFERROR(INDEX(Brands!$N$2:$N$1000,MATCH(6,Brands!$FC$2:$FC$1000,0))&amp;"",""))</f>
        <v>store_selector</v>
      </c>
      <c r="O7" s="0" t="str">
        <f aca="false">IF($AS$2&gt;0,"",IFERROR(INDEX(Brands!$O$2:$O$1000,MATCH(6,Brands!$FC$2:$FC$1000,0))&amp;"",""))</f>
        <v>Relaunched brand store with new variety packs (tortilla and rolled)</v>
      </c>
      <c r="P7" s="0" t="str">
        <f aca="false">IF($AS$2&gt;0,"",IFERROR(INDEX(Brands!$P$2:$P$1000,MATCH(6,Brands!$FC$2:$FC$1000,0))&amp;"",""))</f>
        <v>https://zacksmighty.com/products/rolled-variety-pack</v>
      </c>
      <c r="Q7" s="0" t="str">
        <f aca="false">IF($AS$2&gt;0,"",IFERROR(INDEX(Brands!$Q$2:$Q$1000,MATCH(6,Brands!$FC$2:$FC$1000,0))&amp;"",""))</f>
        <v>2026-10-12</v>
      </c>
      <c r="R7" s="0" t="str">
        <f aca="false">IF($AS$2&gt;0,"",IFERROR(INDEX(Brands!$R$2:$R$1000,MATCH(6,Brands!$FC$2:$FC$1000,0))&amp;"",""))</f>
        <v>N</v>
      </c>
      <c r="S7" s="0" t="str">
        <f aca="false">IF($AS$2&gt;0,"",IFERROR(INDEX(Brands!$S$2:$S$1000,MATCH(6,Brands!$FC$2:$FC$1000,0))&amp;"",""))</f>
        <v>unknown</v>
      </c>
      <c r="T7" s="0" t="str">
        <f aca="false">IF($AS$2&gt;0,"",IFERROR(INDEX(Brands!$T$2:$T$1000,MATCH(6,Brands!$FC$2:$FC$1000,0))&amp;"",""))</f>
        <v>N</v>
      </c>
      <c r="U7" s="0" t="str">
        <f aca="false">IF($AS$2&gt;0,"",IFERROR(INDEX(Brands!$U$2:$U$1000,MATCH(6,Brands!$FC$2:$FC$1000,0))&amp;"",""))</f>
        <v>new</v>
      </c>
      <c r="V7" s="0" t="str">
        <f aca="false">IF($AS$2&gt;0,"",IFERROR(INDEX(Brands!$V$2:$V$1000,MATCH(6,Brands!$FC$2:$FC$1000,0))&amp;"",""))</f>
        <v>https://zacksmighty.com</v>
      </c>
      <c r="W7" s="0" t="str">
        <f aca="false">IF($AS$2&gt;0,"",IFERROR(INDEX(Brands!$W$2:$W$1000,MATCH(6,Brands!$FC$2:$FC$1000,0))&amp;"",""))</f>
        <v>2026-10-23</v>
      </c>
      <c r="X7" s="0" t="str">
        <f aca="false">IF($AS$2&gt;0,"",IFERROR(INDEX(Brands!$X$2:$X$1000,MATCH(6,Brands!$FC$2:$FC$1000,0))&amp;"",""))</f>
        <v>brand</v>
      </c>
      <c r="Y7" s="0" t="n">
        <f aca="false">IF($AS$2&gt;0,"",IFERROR(INDEX(Brands!$Y$2:$Y$1000,MATCH(6,Brands!$FC$2:$FC$1000,0)),""))</f>
        <v>6</v>
      </c>
      <c r="Z7" s="0" t="n">
        <f aca="false">IF($AS$2&gt;0,"",IFERROR(INDEX(Brands!$Z$2:$Z$1000,MATCH(6,Brands!$FC$2:$FC$1000,0)),""))</f>
        <v>7</v>
      </c>
      <c r="AA7" s="0" t="str">
        <f aca="false">IF($AS$2&gt;0,"",IFERROR(INDEX(Brands!$AA$2:$AA$1000,MATCH(6,Brands!$FC$2:$FC$1000,0))&amp;"",""))</f>
        <v>Y</v>
      </c>
      <c r="AB7" s="0" t="str">
        <f aca="false">IF($AS$2&gt;0,"",IFERROR(INDEX(Brands!$AB$2:$AB$1000,MATCH(6,Brands!$FC$2:$FC$1000,0))&amp;"",""))</f>
        <v>find Zack Gazzaniga at Zack's Mighty on LinkedIn and paste the profile URL into primary_linkedin_url; use the Whole Foods Market NoMad line only if retailer_checked_date is this week's Friday check</v>
      </c>
      <c r="AC7" s="0" t="str">
        <f aca="false">IF($AS$2&gt;0,"",IFERROR(INDEX(Brands!$AC$2:$AC$1000,MATCH(6,Brands!$FC$2:$FC$1000,0))&amp;"",""))</f>
        <v>founder</v>
      </c>
      <c r="AD7" s="0" t="str">
        <f aca="false">IF($AS$2&gt;0,"",IFERROR(INDEX(Brands!$AD$2:$AD$1000,MATCH(6,Brands!$FC$2:$FC$1000,0))&amp;"",""))</f>
        <v>verified-page</v>
      </c>
      <c r="AE7" s="0" t="str">
        <f aca="false">IF($AS$2&gt;0,"",IFERROR(INDEX(Brands!$AE$2:$AE$1000,MATCH(6,Brands!$FC$2:$FC$1000,0))&amp;"",""))</f>
        <v>press, event or podcast page</v>
      </c>
      <c r="AF7" s="0" t="str">
        <f aca="false">IF($AS$2&gt;0,"",IFERROR(INDEX(Brands!$AF$2:$AF$1000,MATCH(6,Brands!$FC$2:$FC$1000,0))&amp;"",""))</f>
        <v>https://www.snackandbakery.com/articles/110099-zacks-mighty-reveals-first-ever-non-gmo-rolled-tortilla-chips</v>
      </c>
      <c r="AG7" s="0" t="str">
        <f aca="false">IF($AS$2&gt;0,"",IFERROR(INDEX(Brands!$AG$2:$AG$1000,MATCH(6,Brands!$FC$2:$FC$1000,0))&amp;"",""))</f>
        <v>2026-10-24</v>
      </c>
      <c r="AH7" s="0" t="str">
        <f aca="false">IF($AS$2&gt;0,"",IFERROR(INDEX(Brands!$AH$2:$AH$1000,MATCH(6,Brands!$FC$2:$FC$1000,0))&amp;"",""))</f>
        <v>Zack's Mighty Chile Lime Rolled Tortilla Chips, 6 oz</v>
      </c>
      <c r="AI7" s="0" t="str">
        <f aca="false">IF($AS$2&gt;0,"",IFERROR(INDEX(Brands!$AI$2:$AI$1000,MATCH(6,Brands!$FC$2:$FC$1000,0))&amp;"",""))</f>
        <v>chips-crisps</v>
      </c>
      <c r="AJ7" s="0" t="str">
        <f aca="false">IF($AS$2&gt;0,"",IFERROR(INDEX(Brands!$AJ$2:$AJ$1000,MATCH(6,Brands!$FC$2:$FC$1000,0))&amp;"",""))</f>
        <v>Brooklyn</v>
      </c>
      <c r="AK7" s="0" t="str">
        <f aca="false">IF($AS$2&gt;0,"",IFERROR(INDEX(Brands!$AK$2:$AK$1000,MATCH(6,Brands!$FC$2:$FC$1000,0))&amp;"",""))</f>
        <v>https://zacksmighty.com</v>
      </c>
      <c r="AL7" s="0" t="str">
        <f aca="false">IF($AS$2&gt;0,"",IFERROR(INDEX(Brands!$AL$2:$AL$1000,MATCH(6,Brands!$FC$2:$FC$1000,0))&amp;"",""))</f>
        <v>Y</v>
      </c>
      <c r="AM7" s="0" t="str">
        <f aca="false">IF($AS$2&gt;0,"",IFERROR(INDEX(Brands!$AM$2:$AM$1000,MATCH(6,Brands!$FC$2:$FC$1000,0))&amp;"",""))</f>
        <v>Only share-size bags (6 to 7.5 oz) found; no single-serve pack seen, so the 50-units-per-office format needs a pack-size check</v>
      </c>
      <c r="AN7" s="0" t="str">
        <f aca="false">IF($AS$2&gt;0,"",IFERROR(INDEX(Brands!$AN$2:$AN$1000,MATCH(6,Brands!$FC$2:$FC$1000,0))&amp;"",""))</f>
        <v>AB-002</v>
      </c>
      <c r="AO7" s="0" t="str">
        <f aca="false">IF($AS$2&gt;0,"",IFERROR(INDEX(Brands!$AO$2:$AO$1000,MATCH(6,Brands!$FC$2:$FC$1000,0))&amp;"",""))</f>
        <v>N</v>
      </c>
      <c r="AP7" s="0" t="str">
        <f aca="false">IF($AS$2&gt;0,"",IFERROR(INDEX(Brands!$AP$2:$AP$1000,MATCH(6,Brands!$FC$2:$FC$1000,0))&amp;"",""))</f>
        <v/>
      </c>
      <c r="AQ7" s="0" t="str">
        <f aca="false">IF($AS$2&gt;0,"",IFERROR(INDEX(Brands!$AQ$2:$AQ$1000,MATCH(6,Brands!$FC$2:$FC$1000,0))&amp;"",""))</f>
        <v/>
      </c>
    </row>
    <row r="8" customFormat="false" ht="15" hidden="false" customHeight="false" outlineLevel="0" collapsed="false">
      <c r="A8" s="0" t="str">
        <f aca="false">IF($AS$2&gt;0,"",IFERROR(INDEX(Brands!$A$2:$A$1000,MATCH(7,Brands!$FC$2:$FC$1000,0))&amp;"",""))</f>
        <v>AB-235</v>
      </c>
      <c r="B8" s="0" t="str">
        <f aca="false">IF($AS$2&gt;0,"",IFERROR(INDEX(Brands!$B$2:$B$1000,MATCH(7,Brands!$FC$2:$FC$1000,0))&amp;"",""))</f>
        <v>Issa's</v>
      </c>
      <c r="C8" s="0" t="str">
        <f aca="false">IF($AS$2&gt;0,"",IFERROR(INDEX(Brands!$C$2:$C$1000,MATCH(7,Brands!$FC$2:$FC$1000,0))&amp;"",""))</f>
        <v>Andrew</v>
      </c>
      <c r="D8" s="0" t="str">
        <f aca="false">IF($AS$2&gt;0,"",IFERROR(INDEX(Brands!$D$2:$D$1000,MATCH(7,Brands!$FC$2:$FC$1000,0))&amp;"",""))</f>
        <v>Issa</v>
      </c>
      <c r="E8" s="0" t="str">
        <f aca="false">IF($AS$2&gt;0,"",IFERROR(INDEX(Brands!$E$2:$E$1000,MATCH(7,Brands!$FC$2:$FC$1000,0))&amp;"",""))</f>
        <v>Co-founder</v>
      </c>
      <c r="F8" s="0" t="str">
        <f aca="false">IF($AS$2&gt;0,"",IFERROR(INDEX(Brands!$F$2:$F$1000,MATCH(7,Brands!$FC$2:$FC$1000,0))&amp;"",""))</f>
        <v/>
      </c>
      <c r="G8" s="0" t="str">
        <f aca="false">IF($AS$2&gt;0,"",IFERROR(INDEX(Brands!$G$2:$G$1000,MATCH(7,Brands!$FC$2:$FC$1000,0))&amp;"",""))</f>
        <v/>
      </c>
      <c r="H8" s="0" t="str">
        <f aca="false">IF($AS$2&gt;0,"",IFERROR(INDEX(Brands!$H$2:$H$1000,MATCH(7,Brands!$FC$2:$FC$1000,0))&amp;"",""))</f>
        <v>none</v>
      </c>
      <c r="I8" s="0" t="str">
        <f aca="false">IF($AS$2&gt;0,"",IFERROR(INDEX(Brands!$I$2:$I$1000,MATCH(7,Brands!$FC$2:$FC$1000,0))&amp;"",""))</f>
        <v>linkedin</v>
      </c>
      <c r="J8" s="0" t="n">
        <f aca="false">IF($AS$2&gt;0,"",IFERROR(INDEX(Brands!$J$2:$J$1000,MATCH(7,Brands!$FC$2:$FC$1000,0)),""))</f>
        <v>67</v>
      </c>
      <c r="K8" s="0" t="str">
        <f aca="false">IF($AS$2&gt;0,"",IFERROR(INDEX(Brands!$K$2:$K$1000,MATCH(7,Brands!$FC$2:$FC$1000,0))&amp;"",""))</f>
        <v>New York State brand, store page shows Whole Foods Market NoMad inside the cluster, a new store listing 95 days ago, revenue unknown, contact named.</v>
      </c>
      <c r="L8" s="0" t="str">
        <f aca="false">IF($AS$2&gt;0,"",IFERROR(INDEX(Brands!$L$2:$L$1000,MATCH(7,Brands!$FC$2:$FC$1000,0))&amp;"",""))</f>
        <v/>
      </c>
      <c r="M8" s="0" t="str">
        <f aca="false">IF($AS$2&gt;0,"",IFERROR(INDEX(Brands!$M$2:$M$1000,MATCH(7,Brands!$FC$2:$FC$1000,0))&amp;"",""))</f>
        <v>Whole Foods Market NoMad, 63 Madison Ave</v>
      </c>
      <c r="N8" s="0" t="str">
        <f aca="false">IF($AS$2&gt;0,"",IFERROR(INDEX(Brands!$N$2:$N$1000,MATCH(7,Brands!$FC$2:$FC$1000,0))&amp;"",""))</f>
        <v>store_selector</v>
      </c>
      <c r="O8" s="0" t="str">
        <f aca="false">IF($AS$2&gt;0,"",IFERROR(INDEX(Brands!$O$2:$O$1000,MATCH(7,Brands!$FC$2:$FC$1000,0))&amp;"",""))</f>
        <v>Launched Restaurant Style Garlic &amp; Herb and Sea Salt Cooked in Olive Oil pita chips (store listings added 2026-07-21; Garlic &amp; Herb published 2026-10-11), after a 10 oz Restaurant Style sampler (2026-05-20); homepage flags Garlic &amp; Herb 'BRAND NEW'</v>
      </c>
      <c r="P8" s="0" t="str">
        <f aca="false">IF($AS$2&gt;0,"",IFERROR(INDEX(Brands!$P$2:$P$1000,MATCH(7,Brands!$FC$2:$FC$1000,0))&amp;"",""))</f>
        <v>https://www.issaspitachips.com/store?format=json</v>
      </c>
      <c r="Q8" s="0" t="str">
        <f aca="false">IF($AS$2&gt;0,"",IFERROR(INDEX(Brands!$Q$2:$Q$1000,MATCH(7,Brands!$FC$2:$FC$1000,0))&amp;"",""))</f>
        <v>2026-07-21</v>
      </c>
      <c r="R8" s="0" t="str">
        <f aca="false">IF($AS$2&gt;0,"",IFERROR(INDEX(Brands!$R$2:$R$1000,MATCH(7,Brands!$FC$2:$FC$1000,0))&amp;"",""))</f>
        <v>N</v>
      </c>
      <c r="S8" s="0" t="str">
        <f aca="false">IF($AS$2&gt;0,"",IFERROR(INDEX(Brands!$S$2:$S$1000,MATCH(7,Brands!$FC$2:$FC$1000,0))&amp;"",""))</f>
        <v>unknown</v>
      </c>
      <c r="T8" s="0" t="str">
        <f aca="false">IF($AS$2&gt;0,"",IFERROR(INDEX(Brands!$T$2:$T$1000,MATCH(7,Brands!$FC$2:$FC$1000,0))&amp;"",""))</f>
        <v>N</v>
      </c>
      <c r="U8" s="0" t="str">
        <f aca="false">IF($AS$2&gt;0,"",IFERROR(INDEX(Brands!$U$2:$U$1000,MATCH(7,Brands!$FC$2:$FC$1000,0))&amp;"",""))</f>
        <v>new</v>
      </c>
      <c r="V8" s="0" t="str">
        <f aca="false">IF($AS$2&gt;0,"",IFERROR(INDEX(Brands!$V$2:$V$1000,MATCH(7,Brands!$FC$2:$FC$1000,0))&amp;"",""))</f>
        <v>https://www.issaspitachips.com/our-story</v>
      </c>
      <c r="W8" s="0" t="str">
        <f aca="false">IF($AS$2&gt;0,"",IFERROR(INDEX(Brands!$W$2:$W$1000,MATCH(7,Brands!$FC$2:$FC$1000,0))&amp;"",""))</f>
        <v>2026-10-23</v>
      </c>
      <c r="X8" s="0" t="str">
        <f aca="false">IF($AS$2&gt;0,"",IFERROR(INDEX(Brands!$X$2:$X$1000,MATCH(7,Brands!$FC$2:$FC$1000,0))&amp;"",""))</f>
        <v>brand</v>
      </c>
      <c r="Y8" s="0" t="n">
        <f aca="false">IF($AS$2&gt;0,"",IFERROR(INDEX(Brands!$Y$2:$Y$1000,MATCH(7,Brands!$FC$2:$FC$1000,0)),""))</f>
        <v>7</v>
      </c>
      <c r="Z8" s="0" t="n">
        <f aca="false">IF($AS$2&gt;0,"",IFERROR(INDEX(Brands!$Z$2:$Z$1000,MATCH(7,Brands!$FC$2:$FC$1000,0)),""))</f>
        <v>9</v>
      </c>
      <c r="AA8" s="0" t="str">
        <f aca="false">IF($AS$2&gt;0,"",IFERROR(INDEX(Brands!$AA$2:$AA$1000,MATCH(7,Brands!$FC$2:$FC$1000,0))&amp;"",""))</f>
        <v>Y</v>
      </c>
      <c r="AB8" s="0" t="str">
        <f aca="false">IF($AS$2&gt;0,"",IFERROR(INDEX(Brands!$AB$2:$AB$1000,MATCH(7,Brands!$FC$2:$FC$1000,0))&amp;"",""))</f>
        <v>find Andrew Issa at Issa's on LinkedIn and paste the profile URL into primary_linkedin_url; use the Whole Foods Market NoMad line only if retailer_checked_date is this week's Friday check</v>
      </c>
      <c r="AC8" s="0" t="str">
        <f aca="false">IF($AS$2&gt;0,"",IFERROR(INDEX(Brands!$AC$2:$AC$1000,MATCH(7,Brands!$FC$2:$FC$1000,0))&amp;"",""))</f>
        <v>founder</v>
      </c>
      <c r="AD8" s="0" t="str">
        <f aca="false">IF($AS$2&gt;0,"",IFERROR(INDEX(Brands!$AD$2:$AD$1000,MATCH(7,Brands!$FC$2:$FC$1000,0))&amp;"",""))</f>
        <v>verified-page</v>
      </c>
      <c r="AE8" s="0" t="str">
        <f aca="false">IF($AS$2&gt;0,"",IFERROR(INDEX(Brands!$AE$2:$AE$1000,MATCH(7,Brands!$FC$2:$FC$1000,0))&amp;"",""))</f>
        <v>press, event or podcast page</v>
      </c>
      <c r="AF8" s="0" t="str">
        <f aca="false">IF($AS$2&gt;0,"",IFERROR(INDEX(Brands!$AF$2:$AF$1000,MATCH(7,Brands!$FC$2:$FC$1000,0))&amp;"",""))</f>
        <v>https://www.wkbw.com/news/local-news/believe-in-buffalo/buffalo-born-issas-makes-pita-chips-like-no-other-in-the-nation-using-family-recipe-and-flame-baking-process</v>
      </c>
      <c r="AG8" s="0" t="str">
        <f aca="false">IF($AS$2&gt;0,"",IFERROR(INDEX(Brands!$AG$2:$AG$1000,MATCH(7,Brands!$FC$2:$FC$1000,0))&amp;"",""))</f>
        <v>2026-10-24</v>
      </c>
      <c r="AH8" s="0" t="str">
        <f aca="false">IF($AS$2&gt;0,"",IFERROR(INDEX(Brands!$AH$2:$AH$1000,MATCH(7,Brands!$FC$2:$FC$1000,0))&amp;"",""))</f>
        <v>Classic Sea Salt Pita Chips 2 oz single-serve bag (30 per case, foodservice); Classic and Za'atar + Thyme 6 oz bags at WFM</v>
      </c>
      <c r="AI8" s="0" t="str">
        <f aca="false">IF($AS$2&gt;0,"",IFERROR(INDEX(Brands!$AI$2:$AI$1000,MATCH(7,Brands!$FC$2:$FC$1000,0))&amp;"",""))</f>
        <v>chips-crisps</v>
      </c>
      <c r="AJ8" s="0" t="str">
        <f aca="false">IF($AS$2&gt;0,"",IFERROR(INDEX(Brands!$AJ$2:$AJ$1000,MATCH(7,Brands!$FC$2:$FC$1000,0))&amp;"",""))</f>
        <v>Buffalo</v>
      </c>
      <c r="AK8" s="0" t="str">
        <f aca="false">IF($AS$2&gt;0,"",IFERROR(INDEX(Brands!$AK$2:$AK$1000,MATCH(7,Brands!$FC$2:$FC$1000,0))&amp;"",""))</f>
        <v>https://www.issaspitachips.com</v>
      </c>
      <c r="AL8" s="0" t="str">
        <f aca="false">IF($AS$2&gt;0,"",IFERROR(INDEX(Brands!$AL$2:$AL$1000,MATCH(7,Brands!$FC$2:$FC$1000,0))&amp;"",""))</f>
        <v>N</v>
      </c>
      <c r="AM8" s="0" t="str">
        <f aca="false">IF($AS$2&gt;0,"",IFERROR(INDEX(Brands!$AM$2:$AM$1000,MATCH(7,Brands!$FC$2:$FC$1000,0))&amp;"",""))</f>
        <v/>
      </c>
      <c r="AN8" s="0" t="str">
        <f aca="false">IF($AS$2&gt;0,"",IFERROR(INDEX(Brands!$AN$2:$AN$1000,MATCH(7,Brands!$FC$2:$FC$1000,0))&amp;"",""))</f>
        <v>AB-235</v>
      </c>
      <c r="AO8" s="0" t="str">
        <f aca="false">IF($AS$2&gt;0,"",IFERROR(INDEX(Brands!$AO$2:$AO$1000,MATCH(7,Brands!$FC$2:$FC$1000,0))&amp;"",""))</f>
        <v>N</v>
      </c>
      <c r="AP8" s="0" t="str">
        <f aca="false">IF($AS$2&gt;0,"",IFERROR(INDEX(Brands!$AP$2:$AP$1000,MATCH(7,Brands!$FC$2:$FC$1000,0))&amp;"",""))</f>
        <v/>
      </c>
      <c r="AQ8" s="0" t="str">
        <f aca="false">IF($AS$2&gt;0,"",IFERROR(INDEX(Brands!$AQ$2:$AQ$1000,MATCH(7,Brands!$FC$2:$FC$1000,0))&amp;"",""))</f>
        <v/>
      </c>
    </row>
    <row r="9" customFormat="false" ht="15" hidden="false" customHeight="false" outlineLevel="0" collapsed="false">
      <c r="A9" s="0" t="str">
        <f aca="false">IF($AS$2&gt;0,"",IFERROR(INDEX(Brands!$A$2:$A$1000,MATCH(8,Brands!$FC$2:$FC$1000,0))&amp;"",""))</f>
        <v>AB-077</v>
      </c>
      <c r="B9" s="0" t="str">
        <f aca="false">IF($AS$2&gt;0,"",IFERROR(INDEX(Brands!$B$2:$B$1000,MATCH(8,Brands!$FC$2:$FC$1000,0))&amp;"",""))</f>
        <v>Fruition Chocolate Works</v>
      </c>
      <c r="C9" s="0" t="str">
        <f aca="false">IF($AS$2&gt;0,"",IFERROR(INDEX(Brands!$C$2:$C$1000,MATCH(8,Brands!$FC$2:$FC$1000,0))&amp;"",""))</f>
        <v>Bryan</v>
      </c>
      <c r="D9" s="0" t="str">
        <f aca="false">IF($AS$2&gt;0,"",IFERROR(INDEX(Brands!$D$2:$D$1000,MATCH(8,Brands!$FC$2:$FC$1000,0))&amp;"",""))</f>
        <v>Graham</v>
      </c>
      <c r="E9" s="0" t="str">
        <f aca="false">IF($AS$2&gt;0,"",IFERROR(INDEX(Brands!$E$2:$E$1000,MATCH(8,Brands!$FC$2:$FC$1000,0))&amp;"",""))</f>
        <v>Founder</v>
      </c>
      <c r="F9" s="0" t="str">
        <f aca="false">IF($AS$2&gt;0,"",IFERROR(INDEX(Brands!$F$2:$F$1000,MATCH(8,Brands!$FC$2:$FC$1000,0))&amp;"",""))</f>
        <v/>
      </c>
      <c r="G9" s="0" t="str">
        <f aca="false">IF($AS$2&gt;0,"",IFERROR(INDEX(Brands!$G$2:$G$1000,MATCH(8,Brands!$FC$2:$FC$1000,0))&amp;"",""))</f>
        <v/>
      </c>
      <c r="H9" s="0" t="str">
        <f aca="false">IF($AS$2&gt;0,"",IFERROR(INDEX(Brands!$H$2:$H$1000,MATCH(8,Brands!$FC$2:$FC$1000,0))&amp;"",""))</f>
        <v>none</v>
      </c>
      <c r="I9" s="0" t="str">
        <f aca="false">IF($AS$2&gt;0,"",IFERROR(INDEX(Brands!$I$2:$I$1000,MATCH(8,Brands!$FC$2:$FC$1000,0))&amp;"",""))</f>
        <v>linkedin</v>
      </c>
      <c r="J9" s="0" t="n">
        <f aca="false">IF($AS$2&gt;0,"",IFERROR(INDEX(Brands!$J$2:$J$1000,MATCH(8,Brands!$FC$2:$FC$1000,0)),""))</f>
        <v>65</v>
      </c>
      <c r="K9" s="0" t="str">
        <f aca="false">IF($AS$2&gt;0,"",IFERROR(INDEX(Brands!$K$2:$K$1000,MATCH(8,Brands!$FC$2:$FC$1000,0))&amp;"",""))</f>
        <v>New York State brand, store page shows Whole Foods Market NoMad inside the cluster, news 242 days ago, revenue unknown, contact named; founder review: shelf life not stated.</v>
      </c>
      <c r="L9" s="0" t="str">
        <f aca="false">IF($AS$2&gt;0,"",IFERROR(INDEX(Brands!$L$2:$L$1000,MATCH(8,Brands!$FC$2:$FC$1000,0))&amp;"",""))</f>
        <v/>
      </c>
      <c r="M9" s="0" t="str">
        <f aca="false">IF($AS$2&gt;0,"",IFERROR(INDEX(Brands!$M$2:$M$1000,MATCH(8,Brands!$FC$2:$FC$1000,0))&amp;"",""))</f>
        <v>Whole Foods Market NoMad, 63 Madison Ave</v>
      </c>
      <c r="N9" s="0" t="str">
        <f aca="false">IF($AS$2&gt;0,"",IFERROR(INDEX(Brands!$N$2:$N$1000,MATCH(8,Brands!$FC$2:$FC$1000,0))&amp;"",""))</f>
        <v>store_selector</v>
      </c>
      <c r="O9" s="0" t="str">
        <f aca="false">IF($AS$2&gt;0,"",IFERROR(INDEX(Brands!$O$2:$O$1000,MATCH(8,Brands!$FC$2:$FC$1000,0))&amp;"",""))</f>
        <v>Opened a pop-up shop inside Leavitt &amp; Peirce, Harvard Square, Cambridge MA, planned to run through at least spring 2026</v>
      </c>
      <c r="P9" s="0" t="str">
        <f aca="false">IF($AS$2&gt;0,"",IFERROR(INDEX(Brands!$P$2:$P$1000,MATCH(8,Brands!$FC$2:$FC$1000,0))&amp;"",""))</f>
        <v>https://www.bostonglobe.com/2026/02/24/lifestyle/fruition-chocolate-works-pop-up-shop</v>
      </c>
      <c r="Q9" s="0" t="str">
        <f aca="false">IF($AS$2&gt;0,"",IFERROR(INDEX(Brands!$Q$2:$Q$1000,MATCH(8,Brands!$FC$2:$FC$1000,0))&amp;"",""))</f>
        <v>2026-02-24</v>
      </c>
      <c r="R9" s="0" t="str">
        <f aca="false">IF($AS$2&gt;0,"",IFERROR(INDEX(Brands!$R$2:$R$1000,MATCH(8,Brands!$FC$2:$FC$1000,0))&amp;"",""))</f>
        <v>N</v>
      </c>
      <c r="S9" s="0" t="str">
        <f aca="false">IF($AS$2&gt;0,"",IFERROR(INDEX(Brands!$S$2:$S$1000,MATCH(8,Brands!$FC$2:$FC$1000,0))&amp;"",""))</f>
        <v>unknown</v>
      </c>
      <c r="T9" s="0" t="str">
        <f aca="false">IF($AS$2&gt;0,"",IFERROR(INDEX(Brands!$T$2:$T$1000,MATCH(8,Brands!$FC$2:$FC$1000,0))&amp;"",""))</f>
        <v>N</v>
      </c>
      <c r="U9" s="0" t="str">
        <f aca="false">IF($AS$2&gt;0,"",IFERROR(INDEX(Brands!$U$2:$U$1000,MATCH(8,Brands!$FC$2:$FC$1000,0))&amp;"",""))</f>
        <v>new</v>
      </c>
      <c r="V9" s="0" t="str">
        <f aca="false">IF($AS$2&gt;0,"",IFERROR(INDEX(Brands!$V$2:$V$1000,MATCH(8,Brands!$FC$2:$FC$1000,0))&amp;"",""))</f>
        <v>https://www.fruitionchocolateworks.com/pages/our-story</v>
      </c>
      <c r="W9" s="0" t="str">
        <f aca="false">IF($AS$2&gt;0,"",IFERROR(INDEX(Brands!$W$2:$W$1000,MATCH(8,Brands!$FC$2:$FC$1000,0))&amp;"",""))</f>
        <v>2026-10-23</v>
      </c>
      <c r="X9" s="0" t="str">
        <f aca="false">IF($AS$2&gt;0,"",IFERROR(INDEX(Brands!$X$2:$X$1000,MATCH(8,Brands!$FC$2:$FC$1000,0))&amp;"",""))</f>
        <v>brand</v>
      </c>
      <c r="Y9" s="0" t="n">
        <f aca="false">IF($AS$2&gt;0,"",IFERROR(INDEX(Brands!$Y$2:$Y$1000,MATCH(8,Brands!$FC$2:$FC$1000,0)),""))</f>
        <v>8</v>
      </c>
      <c r="Z9" s="0" t="n">
        <f aca="false">IF($AS$2&gt;0,"",IFERROR(INDEX(Brands!$Z$2:$Z$1000,MATCH(8,Brands!$FC$2:$FC$1000,0)),""))</f>
        <v>10</v>
      </c>
      <c r="AA9" s="0" t="str">
        <f aca="false">IF($AS$2&gt;0,"",IFERROR(INDEX(Brands!$AA$2:$AA$1000,MATCH(8,Brands!$FC$2:$FC$1000,0))&amp;"",""))</f>
        <v>Y</v>
      </c>
      <c r="AB9" s="0" t="str">
        <f aca="false">IF($AS$2&gt;0,"",IFERROR(INDEX(Brands!$AB$2:$AB$1000,MATCH(8,Brands!$FC$2:$FC$1000,0))&amp;"",""))</f>
        <v>find Bryan Graham at Fruition Chocolate Works on LinkedIn and paste the profile URL into primary_linkedin_url; use the Whole Foods Market NoMad line only if retailer_checked_date is this week's Friday check</v>
      </c>
      <c r="AC9" s="0" t="str">
        <f aca="false">IF($AS$2&gt;0,"",IFERROR(INDEX(Brands!$AC$2:$AC$1000,MATCH(8,Brands!$FC$2:$FC$1000,0))&amp;"",""))</f>
        <v>founder</v>
      </c>
      <c r="AD9" s="0" t="str">
        <f aca="false">IF($AS$2&gt;0,"",IFERROR(INDEX(Brands!$AD$2:$AD$1000,MATCH(8,Brands!$FC$2:$FC$1000,0))&amp;"",""))</f>
        <v>verified-page</v>
      </c>
      <c r="AE9" s="0" t="str">
        <f aca="false">IF($AS$2&gt;0,"",IFERROR(INDEX(Brands!$AE$2:$AE$1000,MATCH(8,Brands!$FC$2:$FC$1000,0))&amp;"",""))</f>
        <v>employer's own site</v>
      </c>
      <c r="AF9" s="0" t="str">
        <f aca="false">IF($AS$2&gt;0,"",IFERROR(INDEX(Brands!$AF$2:$AF$1000,MATCH(8,Brands!$FC$2:$FC$1000,0))&amp;"",""))</f>
        <v>https://www.fruitionchocolateworks.com/pages/our-story</v>
      </c>
      <c r="AG9" s="0" t="str">
        <f aca="false">IF($AS$2&gt;0,"",IFERROR(INDEX(Brands!$AG$2:$AG$1000,MATCH(8,Brands!$FC$2:$FC$1000,0))&amp;"",""))</f>
        <v>2026-10-24</v>
      </c>
      <c r="AH9" s="0" t="str">
        <f aca="false">IF($AS$2&gt;0,"",IFERROR(INDEX(Brands!$AH$2:$AH$1000,MATCH(8,Brands!$FC$2:$FC$1000,0))&amp;"",""))</f>
        <v>Dominican Nacional Dark 77% bar; Milk Chocolate Caramel Crunch bar</v>
      </c>
      <c r="AI9" s="0" t="str">
        <f aca="false">IF($AS$2&gt;0,"",IFERROR(INDEX(Brands!$AI$2:$AI$1000,MATCH(8,Brands!$FC$2:$FC$1000,0))&amp;"",""))</f>
        <v>chocolate-candy</v>
      </c>
      <c r="AJ9" s="0" t="str">
        <f aca="false">IF($AS$2&gt;0,"",IFERROR(INDEX(Brands!$AJ$2:$AJ$1000,MATCH(8,Brands!$FC$2:$FC$1000,0))&amp;"",""))</f>
        <v>Shokan</v>
      </c>
      <c r="AK9" s="0" t="str">
        <f aca="false">IF($AS$2&gt;0,"",IFERROR(INDEX(Brands!$AK$2:$AK$1000,MATCH(8,Brands!$FC$2:$FC$1000,0))&amp;"",""))</f>
        <v>https://www.fruitionchocolateworks.com</v>
      </c>
      <c r="AL9" s="0" t="str">
        <f aca="false">IF($AS$2&gt;0,"",IFERROR(INDEX(Brands!$AL$2:$AL$1000,MATCH(8,Brands!$FC$2:$FC$1000,0))&amp;"",""))</f>
        <v>Y</v>
      </c>
      <c r="AM9" s="0" t="str">
        <f aca="false">IF($AS$2&gt;0,"",IFERROR(INDEX(Brands!$AM$2:$AM$1000,MATCH(8,Brands!$FC$2:$FC$1000,0))&amp;"",""))</f>
        <v>60-day shelf life not stated</v>
      </c>
      <c r="AN9" s="0" t="str">
        <f aca="false">IF($AS$2&gt;0,"",IFERROR(INDEX(Brands!$AN$2:$AN$1000,MATCH(8,Brands!$FC$2:$FC$1000,0))&amp;"",""))</f>
        <v>AB-077</v>
      </c>
      <c r="AO9" s="0" t="str">
        <f aca="false">IF($AS$2&gt;0,"",IFERROR(INDEX(Brands!$AO$2:$AO$1000,MATCH(8,Brands!$FC$2:$FC$1000,0))&amp;"",""))</f>
        <v>N</v>
      </c>
      <c r="AP9" s="0" t="str">
        <f aca="false">IF($AS$2&gt;0,"",IFERROR(INDEX(Brands!$AP$2:$AP$1000,MATCH(8,Brands!$FC$2:$FC$1000,0))&amp;"",""))</f>
        <v/>
      </c>
      <c r="AQ9" s="0" t="str">
        <f aca="false">IF($AS$2&gt;0,"",IFERROR(INDEX(Brands!$AQ$2:$AQ$1000,MATCH(8,Brands!$FC$2:$FC$1000,0))&amp;"",""))</f>
        <v/>
      </c>
    </row>
    <row r="10" customFormat="false" ht="15" hidden="false" customHeight="false" outlineLevel="0" collapsed="false">
      <c r="A10" s="0" t="str">
        <f aca="false">IF($AS$2&gt;0,"",IFERROR(INDEX(Brands!$A$2:$A$1000,MATCH(9,Brands!$FC$2:$FC$1000,0))&amp;"",""))</f>
        <v>AB-226</v>
      </c>
      <c r="B10" s="0" t="str">
        <f aca="false">IF($AS$2&gt;0,"",IFERROR(INDEX(Brands!$B$2:$B$1000,MATCH(9,Brands!$FC$2:$FC$1000,0))&amp;"",""))</f>
        <v>B-SIDES</v>
      </c>
      <c r="C10" s="0" t="str">
        <f aca="false">IF($AS$2&gt;0,"",IFERROR(INDEX(Brands!$C$2:$C$1000,MATCH(9,Brands!$FC$2:$FC$1000,0))&amp;"",""))</f>
        <v>Yousuf</v>
      </c>
      <c r="D10" s="0" t="str">
        <f aca="false">IF($AS$2&gt;0,"",IFERROR(INDEX(Brands!$D$2:$D$1000,MATCH(9,Brands!$FC$2:$FC$1000,0))&amp;"",""))</f>
        <v>Ahmed</v>
      </c>
      <c r="E10" s="0" t="str">
        <f aca="false">IF($AS$2&gt;0,"",IFERROR(INDEX(Brands!$E$2:$E$1000,MATCH(9,Brands!$FC$2:$FC$1000,0))&amp;"",""))</f>
        <v>Founder</v>
      </c>
      <c r="F10" s="0" t="str">
        <f aca="false">IF($AS$2&gt;0,"",IFERROR(INDEX(Brands!$F$2:$F$1000,MATCH(9,Brands!$FC$2:$FC$1000,0))&amp;"",""))</f>
        <v>https://www.linkedin.com/in/yousufmahmed/</v>
      </c>
      <c r="G10" s="0" t="str">
        <f aca="false">IF($AS$2&gt;0,"",IFERROR(INDEX(Brands!$G$2:$G$1000,MATCH(9,Brands!$FC$2:$FC$1000,0))&amp;"",""))</f>
        <v/>
      </c>
      <c r="H10" s="0" t="str">
        <f aca="false">IF($AS$2&gt;0,"",IFERROR(INDEX(Brands!$H$2:$H$1000,MATCH(9,Brands!$FC$2:$FC$1000,0))&amp;"",""))</f>
        <v>none</v>
      </c>
      <c r="I10" s="0" t="str">
        <f aca="false">IF($AS$2&gt;0,"",IFERROR(INDEX(Brands!$I$2:$I$1000,MATCH(9,Brands!$FC$2:$FC$1000,0))&amp;"",""))</f>
        <v>linkedin</v>
      </c>
      <c r="J10" s="0" t="n">
        <f aca="false">IF($AS$2&gt;0,"",IFERROR(INDEX(Brands!$J$2:$J$1000,MATCH(9,Brands!$FC$2:$FC$1000,0)),""))</f>
        <v>65</v>
      </c>
      <c r="K10" s="0" t="str">
        <f aca="false">IF($AS$2&gt;0,"",IFERROR(INDEX(Brands!$K$2:$K$1000,MATCH(9,Brands!$FC$2:$FC$1000,0))&amp;"",""))</f>
        <v>New York City brand, brand locator shows Westside Market NYC 1.0 blocks outside it, news 158 days ago, revenue unknown, contact named; founder review: nutrient-claim.</v>
      </c>
      <c r="L10" s="0" t="str">
        <f aca="false">IF($AS$2&gt;0,"",IFERROR(INDEX(Brands!$L$2:$L$1000,MATCH(9,Brands!$FC$2:$FC$1000,0))&amp;"",""))</f>
        <v/>
      </c>
      <c r="M10" s="0" t="str">
        <f aca="false">IF($AS$2&gt;0,"",IFERROR(INDEX(Brands!$M$2:$M$1000,MATCH(9,Brands!$FC$2:$FC$1000,0))&amp;"",""))</f>
        <v>Westside Market NYC, 84 3rd Ave</v>
      </c>
      <c r="N10" s="0" t="str">
        <f aca="false">IF($AS$2&gt;0,"",IFERROR(INDEX(Brands!$N$2:$N$1000,MATCH(9,Brands!$FC$2:$FC$1000,0))&amp;"",""))</f>
        <v>brand_claim</v>
      </c>
      <c r="O10" s="0" t="str">
        <f aca="false">IF($AS$2&gt;0,"",IFERROR(INDEX(Brands!$O$2:$O$1000,MATCH(9,Brands!$FC$2:$FC$1000,0))&amp;"",""))</f>
        <v>Closed $500K seed to scale Northeast retail; rebrand debuted April 2026</v>
      </c>
      <c r="P10" s="0" t="str">
        <f aca="false">IF($AS$2&gt;0,"",IFERROR(INDEX(Brands!$P$2:$P$1000,MATCH(9,Brands!$FC$2:$FC$1000,0))&amp;"",""))</f>
        <v>https://startupcpg.com/startup-cpg-newswire-b-sides-closes-500k-seed-round-to-scale-retail-expansion/</v>
      </c>
      <c r="Q10" s="0" t="str">
        <f aca="false">IF($AS$2&gt;0,"",IFERROR(INDEX(Brands!$Q$2:$Q$1000,MATCH(9,Brands!$FC$2:$FC$1000,0))&amp;"",""))</f>
        <v>2026-05-19</v>
      </c>
      <c r="R10" s="0" t="str">
        <f aca="false">IF($AS$2&gt;0,"",IFERROR(INDEX(Brands!$R$2:$R$1000,MATCH(9,Brands!$FC$2:$FC$1000,0))&amp;"",""))</f>
        <v>N</v>
      </c>
      <c r="S10" s="0" t="str">
        <f aca="false">IF($AS$2&gt;0,"",IFERROR(INDEX(Brands!$S$2:$S$1000,MATCH(9,Brands!$FC$2:$FC$1000,0))&amp;"",""))</f>
        <v>Y</v>
      </c>
      <c r="T10" s="0" t="str">
        <f aca="false">IF($AS$2&gt;0,"",IFERROR(INDEX(Brands!$T$2:$T$1000,MATCH(9,Brands!$FC$2:$FC$1000,0))&amp;"",""))</f>
        <v>N</v>
      </c>
      <c r="U10" s="0" t="str">
        <f aca="false">IF($AS$2&gt;0,"",IFERROR(INDEX(Brands!$U$2:$U$1000,MATCH(9,Brands!$FC$2:$FC$1000,0))&amp;"",""))</f>
        <v>new</v>
      </c>
      <c r="V10" s="0" t="str">
        <f aca="false">IF($AS$2&gt;0,"",IFERROR(INDEX(Brands!$V$2:$V$1000,MATCH(9,Brands!$FC$2:$FC$1000,0))&amp;"",""))</f>
        <v>https://www.enjoybsides.com/</v>
      </c>
      <c r="W10" s="0" t="str">
        <f aca="false">IF($AS$2&gt;0,"",IFERROR(INDEX(Brands!$W$2:$W$1000,MATCH(9,Brands!$FC$2:$FC$1000,0))&amp;"",""))</f>
        <v>2026-10-23</v>
      </c>
      <c r="X10" s="0" t="str">
        <f aca="false">IF($AS$2&gt;0,"",IFERROR(INDEX(Brands!$X$2:$X$1000,MATCH(9,Brands!$FC$2:$FC$1000,0))&amp;"",""))</f>
        <v>brand</v>
      </c>
      <c r="Y10" s="0" t="n">
        <f aca="false">IF($AS$2&gt;0,"",IFERROR(INDEX(Brands!$Y$2:$Y$1000,MATCH(9,Brands!$FC$2:$FC$1000,0)),""))</f>
        <v>9</v>
      </c>
      <c r="Z10" s="0" t="n">
        <f aca="false">IF($AS$2&gt;0,"",IFERROR(INDEX(Brands!$Z$2:$Z$1000,MATCH(9,Brands!$FC$2:$FC$1000,0)),""))</f>
        <v>11</v>
      </c>
      <c r="AA10" s="0" t="str">
        <f aca="false">IF($AS$2&gt;0,"",IFERROR(INDEX(Brands!$AA$2:$AA$1000,MATCH(9,Brands!$FC$2:$FC$1000,0))&amp;"",""))</f>
        <v>Y</v>
      </c>
      <c r="AB10" s="0" t="str">
        <f aca="false">IF($AS$2&gt;0,"",IFERROR(INDEX(Brands!$AB$2:$AB$1000,MATCH(9,Brands!$FC$2:$FC$1000,0))&amp;"",""))</f>
        <v>open the LinkedIn URL and confirm it is Yousuf Ahmed, Founder at B-SIDES (found on another page, never opened); the retailer line rests on the brand's own store locator: say 'your store locator lists ...'</v>
      </c>
      <c r="AC10" s="0" t="str">
        <f aca="false">IF($AS$2&gt;0,"",IFERROR(INDEX(Brands!$AC$2:$AC$1000,MATCH(9,Brands!$FC$2:$FC$1000,0))&amp;"",""))</f>
        <v>founder</v>
      </c>
      <c r="AD10" s="0" t="str">
        <f aca="false">IF($AS$2&gt;0,"",IFERROR(INDEX(Brands!$AD$2:$AD$1000,MATCH(9,Brands!$FC$2:$FC$1000,0))&amp;"",""))</f>
        <v>verified-page</v>
      </c>
      <c r="AE10" s="0" t="str">
        <f aca="false">IF($AS$2&gt;0,"",IFERROR(INDEX(Brands!$AE$2:$AE$1000,MATCH(9,Brands!$FC$2:$FC$1000,0))&amp;"",""))</f>
        <v>press, event or podcast page</v>
      </c>
      <c r="AF10" s="0" t="str">
        <f aca="false">IF($AS$2&gt;0,"",IFERROR(INDEX(Brands!$AF$2:$AF$1000,MATCH(9,Brands!$FC$2:$FC$1000,0))&amp;"",""))</f>
        <v>https://startupcpg.com/startup-cpg-newswire-b-sides-closes-500k-seed-round-to-scale-retail-expansion/</v>
      </c>
      <c r="AG10" s="0" t="str">
        <f aca="false">IF($AS$2&gt;0,"",IFERROR(INDEX(Brands!$AG$2:$AG$1000,MATCH(9,Brands!$FC$2:$FC$1000,0))&amp;"",""))</f>
        <v>2026-10-24</v>
      </c>
      <c r="AH10" s="0" t="str">
        <f aca="false">IF($AS$2&gt;0,"",IFERROR(INDEX(Brands!$AH$2:$AH$1000,MATCH(9,Brands!$FC$2:$FC$1000,0))&amp;"",""))</f>
        <v>Jalapeno Crunch Puffs, single bag ($3/bag; sold in 12-packs online)</v>
      </c>
      <c r="AI10" s="0" t="str">
        <f aca="false">IF($AS$2&gt;0,"",IFERROR(INDEX(Brands!$AI$2:$AI$1000,MATCH(9,Brands!$FC$2:$FC$1000,0))&amp;"",""))</f>
        <v>popcorn-puffs</v>
      </c>
      <c r="AJ10" s="0" t="str">
        <f aca="false">IF($AS$2&gt;0,"",IFERROR(INDEX(Brands!$AJ$2:$AJ$1000,MATCH(9,Brands!$FC$2:$FC$1000,0))&amp;"",""))</f>
        <v>Brooklyn (privacy policy: 87 Saint Marks Place #1, Brooklyn, NY 11217)</v>
      </c>
      <c r="AK10" s="0" t="str">
        <f aca="false">IF($AS$2&gt;0,"",IFERROR(INDEX(Brands!$AK$2:$AK$1000,MATCH(9,Brands!$FC$2:$FC$1000,0))&amp;"",""))</f>
        <v>https://www.enjoybsides.com</v>
      </c>
      <c r="AL10" s="0" t="str">
        <f aca="false">IF($AS$2&gt;0,"",IFERROR(INDEX(Brands!$AL$2:$AL$1000,MATCH(9,Brands!$FC$2:$FC$1000,0))&amp;"",""))</f>
        <v>Y</v>
      </c>
      <c r="AM10" s="0" t="str">
        <f aca="false">IF($AS$2&gt;0,"",IFERROR(INDEX(Brands!$AM$2:$AM$1000,MATCH(9,Brands!$FC$2:$FC$1000,0))&amp;"",""))</f>
        <v>Nutrient-content claim ('5g Plant Protein'); top-9-allergen-free positioning</v>
      </c>
      <c r="AN10" s="0" t="str">
        <f aca="false">IF($AS$2&gt;0,"",IFERROR(INDEX(Brands!$AN$2:$AN$1000,MATCH(9,Brands!$FC$2:$FC$1000,0))&amp;"",""))</f>
        <v>AB-226</v>
      </c>
      <c r="AO10" s="0" t="str">
        <f aca="false">IF($AS$2&gt;0,"",IFERROR(INDEX(Brands!$AO$2:$AO$1000,MATCH(9,Brands!$FC$2:$FC$1000,0))&amp;"",""))</f>
        <v>N</v>
      </c>
      <c r="AP10" s="0" t="str">
        <f aca="false">IF($AS$2&gt;0,"",IFERROR(INDEX(Brands!$AP$2:$AP$1000,MATCH(9,Brands!$FC$2:$FC$1000,0))&amp;"",""))</f>
        <v/>
      </c>
      <c r="AQ10" s="0" t="str">
        <f aca="false">IF($AS$2&gt;0,"",IFERROR(INDEX(Brands!$AQ$2:$AQ$1000,MATCH(9,Brands!$FC$2:$FC$1000,0))&amp;"",""))</f>
        <v/>
      </c>
    </row>
    <row r="11" customFormat="false" ht="15" hidden="false" customHeight="false" outlineLevel="0" collapsed="false">
      <c r="A11" s="0" t="str">
        <f aca="false">IF($AS$2&gt;0,"",IFERROR(INDEX(Brands!$A$2:$A$1000,MATCH(10,Brands!$FC$2:$FC$1000,0))&amp;"",""))</f>
        <v>AB-210</v>
      </c>
      <c r="B11" s="0" t="str">
        <f aca="false">IF($AS$2&gt;0,"",IFERROR(INDEX(Brands!$B$2:$B$1000,MATCH(10,Brands!$FC$2:$FC$1000,0))&amp;"",""))</f>
        <v>Treat House</v>
      </c>
      <c r="C11" s="0" t="str">
        <f aca="false">IF($AS$2&gt;0,"",IFERROR(INDEX(Brands!$C$2:$C$1000,MATCH(10,Brands!$FC$2:$FC$1000,0))&amp;"",""))</f>
        <v>Chris</v>
      </c>
      <c r="D11" s="0" t="str">
        <f aca="false">IF($AS$2&gt;0,"",IFERROR(INDEX(Brands!$D$2:$D$1000,MATCH(10,Brands!$FC$2:$FC$1000,0))&amp;"",""))</f>
        <v>Russell</v>
      </c>
      <c r="E11" s="0" t="str">
        <f aca="false">IF($AS$2&gt;0,"",IFERROR(INDEX(Brands!$E$2:$E$1000,MATCH(10,Brands!$FC$2:$FC$1000,0))&amp;"",""))</f>
        <v>Co-founder and co-owner</v>
      </c>
      <c r="F11" s="0" t="str">
        <f aca="false">IF($AS$2&gt;0,"",IFERROR(INDEX(Brands!$F$2:$F$1000,MATCH(10,Brands!$FC$2:$FC$1000,0))&amp;"",""))</f>
        <v/>
      </c>
      <c r="G11" s="0" t="str">
        <f aca="false">IF($AS$2&gt;0,"",IFERROR(INDEX(Brands!$G$2:$G$1000,MATCH(10,Brands!$FC$2:$FC$1000,0))&amp;"",""))</f>
        <v/>
      </c>
      <c r="H11" s="0" t="str">
        <f aca="false">IF($AS$2&gt;0,"",IFERROR(INDEX(Brands!$H$2:$H$1000,MATCH(10,Brands!$FC$2:$FC$1000,0))&amp;"",""))</f>
        <v>none</v>
      </c>
      <c r="I11" s="0" t="str">
        <f aca="false">IF($AS$2&gt;0,"",IFERROR(INDEX(Brands!$I$2:$I$1000,MATCH(10,Brands!$FC$2:$FC$1000,0))&amp;"",""))</f>
        <v>linkedin</v>
      </c>
      <c r="J11" s="0" t="n">
        <f aca="false">IF($AS$2&gt;0,"",IFERROR(INDEX(Brands!$J$2:$J$1000,MATCH(10,Brands!$FC$2:$FC$1000,0)),""))</f>
        <v>64</v>
      </c>
      <c r="K11" s="0" t="str">
        <f aca="false">IF($AS$2&gt;0,"",IFERROR(INDEX(Brands!$K$2:$K$1000,MATCH(10,Brands!$FC$2:$FC$1000,0))&amp;"",""))</f>
        <v>New York City brand, store page shows Whole Foods Market NoMad inside the cluster, no dated why-now in the last 12 months, revenue unknown, contact named; founder review: other.</v>
      </c>
      <c r="L11" s="0" t="str">
        <f aca="false">IF($AS$2&gt;0,"",IFERROR(INDEX(Brands!$L$2:$L$1000,MATCH(10,Brands!$FC$2:$FC$1000,0))&amp;"",""))</f>
        <v/>
      </c>
      <c r="M11" s="0" t="str">
        <f aca="false">IF($AS$2&gt;0,"",IFERROR(INDEX(Brands!$M$2:$M$1000,MATCH(10,Brands!$FC$2:$FC$1000,0))&amp;"",""))</f>
        <v>Whole Foods Market NoMad, 63 Madison Ave</v>
      </c>
      <c r="N11" s="0" t="str">
        <f aca="false">IF($AS$2&gt;0,"",IFERROR(INDEX(Brands!$N$2:$N$1000,MATCH(10,Brands!$FC$2:$FC$1000,0))&amp;"",""))</f>
        <v>store_selector</v>
      </c>
      <c r="O11" s="0" t="str">
        <f aca="false">IF($AS$2&gt;0,"",IFERROR(INDEX(Brands!$O$2:$O$1000,MATCH(10,Brands!$FC$2:$FC$1000,0))&amp;"",""))</f>
        <v/>
      </c>
      <c r="P11" s="0" t="str">
        <f aca="false">IF($AS$2&gt;0,"",IFERROR(INDEX(Brands!$P$2:$P$1000,MATCH(10,Brands!$FC$2:$FC$1000,0))&amp;"",""))</f>
        <v/>
      </c>
      <c r="Q11" s="0" t="str">
        <f aca="false">IF($AS$2&gt;0,"",IFERROR(INDEX(Brands!$Q$2:$Q$1000,MATCH(10,Brands!$FC$2:$FC$1000,0))&amp;"",""))</f>
        <v/>
      </c>
      <c r="R11" s="0" t="str">
        <f aca="false">IF($AS$2&gt;0,"",IFERROR(INDEX(Brands!$R$2:$R$1000,MATCH(10,Brands!$FC$2:$FC$1000,0))&amp;"",""))</f>
        <v>N</v>
      </c>
      <c r="S11" s="0" t="str">
        <f aca="false">IF($AS$2&gt;0,"",IFERROR(INDEX(Brands!$S$2:$S$1000,MATCH(10,Brands!$FC$2:$FC$1000,0))&amp;"",""))</f>
        <v>unknown</v>
      </c>
      <c r="T11" s="0" t="str">
        <f aca="false">IF($AS$2&gt;0,"",IFERROR(INDEX(Brands!$T$2:$T$1000,MATCH(10,Brands!$FC$2:$FC$1000,0))&amp;"",""))</f>
        <v>N</v>
      </c>
      <c r="U11" s="0" t="str">
        <f aca="false">IF($AS$2&gt;0,"",IFERROR(INDEX(Brands!$U$2:$U$1000,MATCH(10,Brands!$FC$2:$FC$1000,0))&amp;"",""))</f>
        <v>new</v>
      </c>
      <c r="V11" s="0" t="str">
        <f aca="false">IF($AS$2&gt;0,"",IFERROR(INDEX(Brands!$V$2:$V$1000,MATCH(10,Brands!$FC$2:$FC$1000,0))&amp;"",""))</f>
        <v>https://treathouse.com/</v>
      </c>
      <c r="W11" s="0" t="str">
        <f aca="false">IF($AS$2&gt;0,"",IFERROR(INDEX(Brands!$W$2:$W$1000,MATCH(10,Brands!$FC$2:$FC$1000,0))&amp;"",""))</f>
        <v>2026-10-23</v>
      </c>
      <c r="X11" s="0" t="str">
        <f aca="false">IF($AS$2&gt;0,"",IFERROR(INDEX(Brands!$X$2:$X$1000,MATCH(10,Brands!$FC$2:$FC$1000,0))&amp;"",""))</f>
        <v>brand</v>
      </c>
      <c r="Y11" s="0" t="n">
        <f aca="false">IF($AS$2&gt;0,"",IFERROR(INDEX(Brands!$Y$2:$Y$1000,MATCH(10,Brands!$FC$2:$FC$1000,0)),""))</f>
        <v>10</v>
      </c>
      <c r="Z11" s="0" t="n">
        <f aca="false">IF($AS$2&gt;0,"",IFERROR(INDEX(Brands!$Z$2:$Z$1000,MATCH(10,Brands!$FC$2:$FC$1000,0)),""))</f>
        <v>12</v>
      </c>
      <c r="AA11" s="0" t="str">
        <f aca="false">IF($AS$2&gt;0,"",IFERROR(INDEX(Brands!$AA$2:$AA$1000,MATCH(10,Brands!$FC$2:$FC$1000,0))&amp;"",""))</f>
        <v>Y</v>
      </c>
      <c r="AB11" s="0" t="str">
        <f aca="false">IF($AS$2&gt;0,"",IFERROR(INDEX(Brands!$AB$2:$AB$1000,MATCH(10,Brands!$FC$2:$FC$1000,0))&amp;"",""))</f>
        <v>find Chris Russell at Treat House on LinkedIn and paste the profile URL into primary_linkedin_url; the source is dated 2015: check Chris still holds the role; use the Whole Foods Market NoMad line only if retailer_checked_date is this week's Friday check</v>
      </c>
      <c r="AC11" s="0" t="str">
        <f aca="false">IF($AS$2&gt;0,"",IFERROR(INDEX(Brands!$AC$2:$AC$1000,MATCH(10,Brands!$FC$2:$FC$1000,0))&amp;"",""))</f>
        <v>founder</v>
      </c>
      <c r="AD11" s="0" t="str">
        <f aca="false">IF($AS$2&gt;0,"",IFERROR(INDEX(Brands!$AD$2:$AD$1000,MATCH(10,Brands!$FC$2:$FC$1000,0))&amp;"",""))</f>
        <v>verified-page</v>
      </c>
      <c r="AE11" s="0" t="str">
        <f aca="false">IF($AS$2&gt;0,"",IFERROR(INDEX(Brands!$AE$2:$AE$1000,MATCH(10,Brands!$FC$2:$FC$1000,0))&amp;"",""))</f>
        <v>press, event or podcast page</v>
      </c>
      <c r="AF11" s="0" t="str">
        <f aca="false">IF($AS$2&gt;0,"",IFERROR(INDEX(Brands!$AF$2:$AF$1000,MATCH(10,Brands!$FC$2:$FC$1000,0))&amp;"",""))</f>
        <v>https://www.dnainfo.com/new-york/20150720/upper-east-side/gourmet-rice-krispies-treats-eatery-opens-on-ues-with-adults-mind/</v>
      </c>
      <c r="AG11" s="0" t="str">
        <f aca="false">IF($AS$2&gt;0,"",IFERROR(INDEX(Brands!$AG$2:$AG$1000,MATCH(10,Brands!$FC$2:$FC$1000,0))&amp;"",""))</f>
        <v>2026-10-24</v>
      </c>
      <c r="AH11" s="0" t="str">
        <f aca="false">IF($AS$2&gt;0,"",IFERROR(INDEX(Brands!$AH$2:$AH$1000,MATCH(10,Brands!$FC$2:$FC$1000,0))&amp;"",""))</f>
        <v>S'mores Rice Crispy Treat 3.2 oz single (WFM listing); Treat Bars and Classic Packs online</v>
      </c>
      <c r="AI11" s="0" t="str">
        <f aca="false">IF($AS$2&gt;0,"",IFERROR(INDEX(Brands!$AI$2:$AI$1000,MATCH(10,Brands!$FC$2:$FC$1000,0))&amp;"",""))</f>
        <v>cookies-baked</v>
      </c>
      <c r="AJ11" s="0" t="str">
        <f aca="false">IF($AS$2&gt;0,"",IFERROR(INDEX(Brands!$AJ$2:$AJ$1000,MATCH(10,Brands!$FC$2:$FC$1000,0))&amp;"",""))</f>
        <v>Woodside, Queens (privacy policy: 3258 62nd Street, Woodside NY 11377)</v>
      </c>
      <c r="AK11" s="0" t="str">
        <f aca="false">IF($AS$2&gt;0,"",IFERROR(INDEX(Brands!$AK$2:$AK$1000,MATCH(10,Brands!$FC$2:$FC$1000,0))&amp;"",""))</f>
        <v>https://treathouse.com/collections/all</v>
      </c>
      <c r="AL11" s="0" t="str">
        <f aca="false">IF($AS$2&gt;0,"",IFERROR(INDEX(Brands!$AL$2:$AL$1000,MATCH(10,Brands!$FC$2:$FC$1000,0))&amp;"",""))</f>
        <v>Y</v>
      </c>
      <c r="AM11" s="0" t="str">
        <f aca="false">IF($AS$2&gt;0,"",IFERROR(INDEX(Brands!$AM$2:$AM$1000,MATCH(10,Brands!$FC$2:$FC$1000,0))&amp;"",""))</f>
        <v>Shelf life and storage not published; confirm 60+ days ambient before qualifying</v>
      </c>
      <c r="AN11" s="0" t="str">
        <f aca="false">IF($AS$2&gt;0,"",IFERROR(INDEX(Brands!$AN$2:$AN$1000,MATCH(10,Brands!$FC$2:$FC$1000,0))&amp;"",""))</f>
        <v>AB-210</v>
      </c>
      <c r="AO11" s="0" t="str">
        <f aca="false">IF($AS$2&gt;0,"",IFERROR(INDEX(Brands!$AO$2:$AO$1000,MATCH(10,Brands!$FC$2:$FC$1000,0))&amp;"",""))</f>
        <v>N</v>
      </c>
      <c r="AP11" s="0" t="str">
        <f aca="false">IF($AS$2&gt;0,"",IFERROR(INDEX(Brands!$AP$2:$AP$1000,MATCH(10,Brands!$FC$2:$FC$1000,0))&amp;"",""))</f>
        <v/>
      </c>
      <c r="AQ11" s="0" t="str">
        <f aca="false">IF($AS$2&gt;0,"",IFERROR(INDEX(Brands!$AQ$2:$AQ$1000,MATCH(10,Brands!$FC$2:$FC$1000,0))&amp;"",""))</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1" min="3" style="0" width="16"/>
    <col collapsed="false" customWidth="true" hidden="false" outlineLevel="0" max="12" min="12" style="0" width="60"/>
    <col collapsed="false" customWidth="true" hidden="false" outlineLevel="0" max="14" min="13" style="0" width="16"/>
    <col collapsed="false" customWidth="true" hidden="true" outlineLevel="0" max="16" min="16" style="0" width="13"/>
  </cols>
  <sheetData>
    <row r="1" customFormat="false" ht="15" hidden="false" customHeight="false" outlineLevel="0" collapsed="false">
      <c r="A1" s="6" t="s">
        <v>0</v>
      </c>
      <c r="B1" s="6" t="s">
        <v>1</v>
      </c>
      <c r="C1" s="6" t="s">
        <v>5495</v>
      </c>
      <c r="D1" s="6" t="s">
        <v>30</v>
      </c>
      <c r="E1" s="6" t="s">
        <v>31</v>
      </c>
      <c r="F1" s="6" t="s">
        <v>87</v>
      </c>
      <c r="G1" s="6" t="s">
        <v>99</v>
      </c>
      <c r="H1" s="6" t="s">
        <v>101</v>
      </c>
      <c r="I1" s="6" t="s">
        <v>102</v>
      </c>
      <c r="J1" s="6" t="s">
        <v>2</v>
      </c>
      <c r="K1" s="6" t="s">
        <v>34</v>
      </c>
      <c r="L1" s="6" t="s">
        <v>5511</v>
      </c>
      <c r="M1" s="6" t="s">
        <v>5505</v>
      </c>
      <c r="N1" s="6" t="s">
        <v>155</v>
      </c>
      <c r="P1" s="0" t="s">
        <v>12143</v>
      </c>
    </row>
    <row r="2" customFormat="false" ht="15" hidden="false" customHeight="false" outlineLevel="0" collapsed="false">
      <c r="A2" s="0" t="str">
        <f aca="false">IF($P$2&gt;0,"The table tab was pasted over and its formulas are gone: undo the paste or restore it (File &gt; Version history). Paste Clay exports on the Enrichment tab only.",IFERROR(INDEX(Offices!$A$2:$A$1000,MATCH(1,Offices!$GB$2:$GB$1000,0))&amp;"","No office is waiting for a walk-in"))</f>
        <v>The table tab was pasted over and its formulas are gone: undo the paste or restore it (File &gt; Version history). Paste Clay exports on the Enrichment tab only.</v>
      </c>
      <c r="B2" s="0" t="str">
        <f aca="false">IF($P$2&gt;0,"",IFERROR(INDEX(Offices!$B$2:$B$1000,MATCH(1,Offices!$GB$2:$GB$1000,0))&amp;"",""))</f>
        <v/>
      </c>
      <c r="C2" s="0" t="str">
        <f aca="false">IF($P$2&gt;0,"",IFERROR(INDEX(Offices!$J$2:$J$1000,MATCH(1,Offices!$GB$2:$GB$1000,0)),""))</f>
        <v/>
      </c>
      <c r="D2" s="0" t="str">
        <f aca="false">IF($P$2&gt;0,"",IFERROR(INDEX(Offices!$AI$2:$AI$1000,MATCH(1,Offices!$GB$2:$GB$1000,0))&amp;"",""))</f>
        <v/>
      </c>
      <c r="E2" s="0" t="str">
        <f aca="false">IF($P$2&gt;0,"",IFERROR(INDEX(Offices!$AJ$2:$AJ$1000,MATCH(1,Offices!$GB$2:$GB$1000,0))&amp;"",""))</f>
        <v/>
      </c>
      <c r="F2" s="0" t="str">
        <f aca="false">IF($P$2&gt;0,"",IFERROR(INDEX(Offices!$DL$2:$DL$1000,MATCH(1,Offices!$GB$2:$GB$1000,0))&amp;"",""))</f>
        <v/>
      </c>
      <c r="G2" s="0" t="str">
        <f aca="false">IF($P$2&gt;0,"",IFERROR(INDEX(Offices!$DX$2:$DX$1000,MATCH(1,Offices!$GB$2:$GB$1000,0))&amp;"",""))</f>
        <v/>
      </c>
      <c r="H2" s="0" t="str">
        <f aca="false">IF($P$2&gt;0,"",IFERROR(INDEX(Offices!$DZ$2:$DZ$1000,MATCH(1,Offices!$GB$2:$GB$1000,0))&amp;"",""))</f>
        <v/>
      </c>
      <c r="I2" s="0" t="str">
        <f aca="false">IF($P$2&gt;0,"",IFERROR(INDEX(Offices!$EA$2:$EA$1000,MATCH(1,Offices!$GB$2:$GB$1000,0))&amp;"",""))</f>
        <v/>
      </c>
      <c r="J2" s="0" t="str">
        <f aca="false">IF($P$2&gt;0,"",IFERROR(INDEX(Offices!$CR$2:$CR$1000,MATCH(1,Offices!$GB$2:$GB$1000,0))&amp;"",""))</f>
        <v/>
      </c>
      <c r="K2" s="0" t="str">
        <f aca="false">IF($P$2&gt;0,"",IFERROR(INDEX(Offices!$DE$2:$DE$1000,MATCH(1,Offices!$GB$2:$GB$1000,0))&amp;"",""))</f>
        <v/>
      </c>
      <c r="L2" s="0" t="str">
        <f aca="false">IF($P$2&gt;0,"",IFERROR(INDEX(Offices!$AB$2:$AB$1000,MATCH(1,Offices!$GB$2:$GB$1000,0))&amp;"",""))</f>
        <v/>
      </c>
      <c r="M2" s="0" t="str">
        <f aca="false">IF($P$2&gt;0,"",IFERROR(INDEX(Offices!$U$2:$U$1000,MATCH(1,Offices!$GB$2:$GB$1000,0))&amp;"",""))</f>
        <v/>
      </c>
      <c r="N2" s="0" t="str">
        <f aca="false">IF($P$2&gt;0,"",IFERROR(INDEX(Offices!$GB$2:$GB$1000,MATCH(1,Offices!$GB$2:$GB$1000,0)),""))</f>
        <v/>
      </c>
      <c r="P2" s="0" t="n">
        <f aca="false">COUNTIF(Offices!$GC$2:$GC$1000,"N")</f>
        <v>175</v>
      </c>
    </row>
    <row r="3" customFormat="false" ht="15" hidden="false" customHeight="false" outlineLevel="0" collapsed="false">
      <c r="A3" s="0" t="str">
        <f aca="false">IF($P$2&gt;0,"",IFERROR(INDEX(Offices!$A$2:$A$1000,MATCH(2,Offices!$GB$2:$GB$1000,0))&amp;"",""))</f>
        <v/>
      </c>
      <c r="B3" s="0" t="str">
        <f aca="false">IF($P$2&gt;0,"",IFERROR(INDEX(Offices!$B$2:$B$1000,MATCH(2,Offices!$GB$2:$GB$1000,0))&amp;"",""))</f>
        <v/>
      </c>
      <c r="C3" s="0" t="str">
        <f aca="false">IF($P$2&gt;0,"",IFERROR(INDEX(Offices!$J$2:$J$1000,MATCH(2,Offices!$GB$2:$GB$1000,0)),""))</f>
        <v/>
      </c>
      <c r="D3" s="0" t="str">
        <f aca="false">IF($P$2&gt;0,"",IFERROR(INDEX(Offices!$AI$2:$AI$1000,MATCH(2,Offices!$GB$2:$GB$1000,0))&amp;"",""))</f>
        <v/>
      </c>
      <c r="E3" s="0" t="str">
        <f aca="false">IF($P$2&gt;0,"",IFERROR(INDEX(Offices!$AJ$2:$AJ$1000,MATCH(2,Offices!$GB$2:$GB$1000,0))&amp;"",""))</f>
        <v/>
      </c>
      <c r="F3" s="0" t="str">
        <f aca="false">IF($P$2&gt;0,"",IFERROR(INDEX(Offices!$DL$2:$DL$1000,MATCH(2,Offices!$GB$2:$GB$1000,0))&amp;"",""))</f>
        <v/>
      </c>
      <c r="G3" s="0" t="str">
        <f aca="false">IF($P$2&gt;0,"",IFERROR(INDEX(Offices!$DX$2:$DX$1000,MATCH(2,Offices!$GB$2:$GB$1000,0))&amp;"",""))</f>
        <v/>
      </c>
      <c r="H3" s="0" t="str">
        <f aca="false">IF($P$2&gt;0,"",IFERROR(INDEX(Offices!$DZ$2:$DZ$1000,MATCH(2,Offices!$GB$2:$GB$1000,0))&amp;"",""))</f>
        <v/>
      </c>
      <c r="I3" s="0" t="str">
        <f aca="false">IF($P$2&gt;0,"",IFERROR(INDEX(Offices!$EA$2:$EA$1000,MATCH(2,Offices!$GB$2:$GB$1000,0))&amp;"",""))</f>
        <v/>
      </c>
      <c r="J3" s="0" t="str">
        <f aca="false">IF($P$2&gt;0,"",IFERROR(INDEX(Offices!$CR$2:$CR$1000,MATCH(2,Offices!$GB$2:$GB$1000,0))&amp;"",""))</f>
        <v/>
      </c>
      <c r="K3" s="0" t="str">
        <f aca="false">IF($P$2&gt;0,"",IFERROR(INDEX(Offices!$DE$2:$DE$1000,MATCH(2,Offices!$GB$2:$GB$1000,0))&amp;"",""))</f>
        <v/>
      </c>
      <c r="L3" s="0" t="str">
        <f aca="false">IF($P$2&gt;0,"",IFERROR(INDEX(Offices!$AB$2:$AB$1000,MATCH(2,Offices!$GB$2:$GB$1000,0))&amp;"",""))</f>
        <v/>
      </c>
      <c r="M3" s="0" t="str">
        <f aca="false">IF($P$2&gt;0,"",IFERROR(INDEX(Offices!$U$2:$U$1000,MATCH(2,Offices!$GB$2:$GB$1000,0))&amp;"",""))</f>
        <v/>
      </c>
      <c r="N3" s="0" t="str">
        <f aca="false">IF($P$2&gt;0,"",IFERROR(INDEX(Offices!$GB$2:$GB$1000,MATCH(2,Offices!$GB$2:$GB$1000,0)),""))</f>
        <v/>
      </c>
    </row>
    <row r="4" customFormat="false" ht="15" hidden="false" customHeight="false" outlineLevel="0" collapsed="false">
      <c r="A4" s="0" t="str">
        <f aca="false">IF($P$2&gt;0,"",IFERROR(INDEX(Offices!$A$2:$A$1000,MATCH(3,Offices!$GB$2:$GB$1000,0))&amp;"",""))</f>
        <v/>
      </c>
      <c r="B4" s="0" t="str">
        <f aca="false">IF($P$2&gt;0,"",IFERROR(INDEX(Offices!$B$2:$B$1000,MATCH(3,Offices!$GB$2:$GB$1000,0))&amp;"",""))</f>
        <v/>
      </c>
      <c r="C4" s="0" t="str">
        <f aca="false">IF($P$2&gt;0,"",IFERROR(INDEX(Offices!$J$2:$J$1000,MATCH(3,Offices!$GB$2:$GB$1000,0)),""))</f>
        <v/>
      </c>
      <c r="D4" s="0" t="str">
        <f aca="false">IF($P$2&gt;0,"",IFERROR(INDEX(Offices!$AI$2:$AI$1000,MATCH(3,Offices!$GB$2:$GB$1000,0))&amp;"",""))</f>
        <v/>
      </c>
      <c r="E4" s="0" t="str">
        <f aca="false">IF($P$2&gt;0,"",IFERROR(INDEX(Offices!$AJ$2:$AJ$1000,MATCH(3,Offices!$GB$2:$GB$1000,0))&amp;"",""))</f>
        <v/>
      </c>
      <c r="F4" s="0" t="str">
        <f aca="false">IF($P$2&gt;0,"",IFERROR(INDEX(Offices!$DL$2:$DL$1000,MATCH(3,Offices!$GB$2:$GB$1000,0))&amp;"",""))</f>
        <v/>
      </c>
      <c r="G4" s="0" t="str">
        <f aca="false">IF($P$2&gt;0,"",IFERROR(INDEX(Offices!$DX$2:$DX$1000,MATCH(3,Offices!$GB$2:$GB$1000,0))&amp;"",""))</f>
        <v/>
      </c>
      <c r="H4" s="0" t="str">
        <f aca="false">IF($P$2&gt;0,"",IFERROR(INDEX(Offices!$DZ$2:$DZ$1000,MATCH(3,Offices!$GB$2:$GB$1000,0))&amp;"",""))</f>
        <v/>
      </c>
      <c r="I4" s="0" t="str">
        <f aca="false">IF($P$2&gt;0,"",IFERROR(INDEX(Offices!$EA$2:$EA$1000,MATCH(3,Offices!$GB$2:$GB$1000,0))&amp;"",""))</f>
        <v/>
      </c>
      <c r="J4" s="0" t="str">
        <f aca="false">IF($P$2&gt;0,"",IFERROR(INDEX(Offices!$CR$2:$CR$1000,MATCH(3,Offices!$GB$2:$GB$1000,0))&amp;"",""))</f>
        <v/>
      </c>
      <c r="K4" s="0" t="str">
        <f aca="false">IF($P$2&gt;0,"",IFERROR(INDEX(Offices!$DE$2:$DE$1000,MATCH(3,Offices!$GB$2:$GB$1000,0))&amp;"",""))</f>
        <v/>
      </c>
      <c r="L4" s="0" t="str">
        <f aca="false">IF($P$2&gt;0,"",IFERROR(INDEX(Offices!$AB$2:$AB$1000,MATCH(3,Offices!$GB$2:$GB$1000,0))&amp;"",""))</f>
        <v/>
      </c>
      <c r="M4" s="0" t="str">
        <f aca="false">IF($P$2&gt;0,"",IFERROR(INDEX(Offices!$U$2:$U$1000,MATCH(3,Offices!$GB$2:$GB$1000,0))&amp;"",""))</f>
        <v/>
      </c>
      <c r="N4" s="0" t="str">
        <f aca="false">IF($P$2&gt;0,"",IFERROR(INDEX(Offices!$GB$2:$GB$1000,MATCH(3,Offices!$GB$2:$GB$1000,0)),""))</f>
        <v/>
      </c>
    </row>
    <row r="5" customFormat="false" ht="15" hidden="false" customHeight="false" outlineLevel="0" collapsed="false">
      <c r="A5" s="0" t="str">
        <f aca="false">IF($P$2&gt;0,"",IFERROR(INDEX(Offices!$A$2:$A$1000,MATCH(4,Offices!$GB$2:$GB$1000,0))&amp;"",""))</f>
        <v/>
      </c>
      <c r="B5" s="0" t="str">
        <f aca="false">IF($P$2&gt;0,"",IFERROR(INDEX(Offices!$B$2:$B$1000,MATCH(4,Offices!$GB$2:$GB$1000,0))&amp;"",""))</f>
        <v/>
      </c>
      <c r="C5" s="0" t="str">
        <f aca="false">IF($P$2&gt;0,"",IFERROR(INDEX(Offices!$J$2:$J$1000,MATCH(4,Offices!$GB$2:$GB$1000,0)),""))</f>
        <v/>
      </c>
      <c r="D5" s="0" t="str">
        <f aca="false">IF($P$2&gt;0,"",IFERROR(INDEX(Offices!$AI$2:$AI$1000,MATCH(4,Offices!$GB$2:$GB$1000,0))&amp;"",""))</f>
        <v/>
      </c>
      <c r="E5" s="0" t="str">
        <f aca="false">IF($P$2&gt;0,"",IFERROR(INDEX(Offices!$AJ$2:$AJ$1000,MATCH(4,Offices!$GB$2:$GB$1000,0))&amp;"",""))</f>
        <v/>
      </c>
      <c r="F5" s="0" t="str">
        <f aca="false">IF($P$2&gt;0,"",IFERROR(INDEX(Offices!$DL$2:$DL$1000,MATCH(4,Offices!$GB$2:$GB$1000,0))&amp;"",""))</f>
        <v/>
      </c>
      <c r="G5" s="0" t="str">
        <f aca="false">IF($P$2&gt;0,"",IFERROR(INDEX(Offices!$DX$2:$DX$1000,MATCH(4,Offices!$GB$2:$GB$1000,0))&amp;"",""))</f>
        <v/>
      </c>
      <c r="H5" s="0" t="str">
        <f aca="false">IF($P$2&gt;0,"",IFERROR(INDEX(Offices!$DZ$2:$DZ$1000,MATCH(4,Offices!$GB$2:$GB$1000,0))&amp;"",""))</f>
        <v/>
      </c>
      <c r="I5" s="0" t="str">
        <f aca="false">IF($P$2&gt;0,"",IFERROR(INDEX(Offices!$EA$2:$EA$1000,MATCH(4,Offices!$GB$2:$GB$1000,0))&amp;"",""))</f>
        <v/>
      </c>
      <c r="J5" s="0" t="str">
        <f aca="false">IF($P$2&gt;0,"",IFERROR(INDEX(Offices!$CR$2:$CR$1000,MATCH(4,Offices!$GB$2:$GB$1000,0))&amp;"",""))</f>
        <v/>
      </c>
      <c r="K5" s="0" t="str">
        <f aca="false">IF($P$2&gt;0,"",IFERROR(INDEX(Offices!$DE$2:$DE$1000,MATCH(4,Offices!$GB$2:$GB$1000,0))&amp;"",""))</f>
        <v/>
      </c>
      <c r="L5" s="0" t="str">
        <f aca="false">IF($P$2&gt;0,"",IFERROR(INDEX(Offices!$AB$2:$AB$1000,MATCH(4,Offices!$GB$2:$GB$1000,0))&amp;"",""))</f>
        <v/>
      </c>
      <c r="M5" s="0" t="str">
        <f aca="false">IF($P$2&gt;0,"",IFERROR(INDEX(Offices!$U$2:$U$1000,MATCH(4,Offices!$GB$2:$GB$1000,0))&amp;"",""))</f>
        <v/>
      </c>
      <c r="N5" s="0" t="str">
        <f aca="false">IF($P$2&gt;0,"",IFERROR(INDEX(Offices!$GB$2:$GB$1000,MATCH(4,Offices!$GB$2:$GB$1000,0)),""))</f>
        <v/>
      </c>
    </row>
    <row r="6" customFormat="false" ht="15" hidden="false" customHeight="false" outlineLevel="0" collapsed="false">
      <c r="A6" s="0" t="str">
        <f aca="false">IF($P$2&gt;0,"",IFERROR(INDEX(Offices!$A$2:$A$1000,MATCH(5,Offices!$GB$2:$GB$1000,0))&amp;"",""))</f>
        <v/>
      </c>
      <c r="B6" s="0" t="str">
        <f aca="false">IF($P$2&gt;0,"",IFERROR(INDEX(Offices!$B$2:$B$1000,MATCH(5,Offices!$GB$2:$GB$1000,0))&amp;"",""))</f>
        <v/>
      </c>
      <c r="C6" s="0" t="str">
        <f aca="false">IF($P$2&gt;0,"",IFERROR(INDEX(Offices!$J$2:$J$1000,MATCH(5,Offices!$GB$2:$GB$1000,0)),""))</f>
        <v/>
      </c>
      <c r="D6" s="0" t="str">
        <f aca="false">IF($P$2&gt;0,"",IFERROR(INDEX(Offices!$AI$2:$AI$1000,MATCH(5,Offices!$GB$2:$GB$1000,0))&amp;"",""))</f>
        <v/>
      </c>
      <c r="E6" s="0" t="str">
        <f aca="false">IF($P$2&gt;0,"",IFERROR(INDEX(Offices!$AJ$2:$AJ$1000,MATCH(5,Offices!$GB$2:$GB$1000,0))&amp;"",""))</f>
        <v/>
      </c>
      <c r="F6" s="0" t="str">
        <f aca="false">IF($P$2&gt;0,"",IFERROR(INDEX(Offices!$DL$2:$DL$1000,MATCH(5,Offices!$GB$2:$GB$1000,0))&amp;"",""))</f>
        <v/>
      </c>
      <c r="G6" s="0" t="str">
        <f aca="false">IF($P$2&gt;0,"",IFERROR(INDEX(Offices!$DX$2:$DX$1000,MATCH(5,Offices!$GB$2:$GB$1000,0))&amp;"",""))</f>
        <v/>
      </c>
      <c r="H6" s="0" t="str">
        <f aca="false">IF($P$2&gt;0,"",IFERROR(INDEX(Offices!$DZ$2:$DZ$1000,MATCH(5,Offices!$GB$2:$GB$1000,0))&amp;"",""))</f>
        <v/>
      </c>
      <c r="I6" s="0" t="str">
        <f aca="false">IF($P$2&gt;0,"",IFERROR(INDEX(Offices!$EA$2:$EA$1000,MATCH(5,Offices!$GB$2:$GB$1000,0))&amp;"",""))</f>
        <v/>
      </c>
      <c r="J6" s="0" t="str">
        <f aca="false">IF($P$2&gt;0,"",IFERROR(INDEX(Offices!$CR$2:$CR$1000,MATCH(5,Offices!$GB$2:$GB$1000,0))&amp;"",""))</f>
        <v/>
      </c>
      <c r="K6" s="0" t="str">
        <f aca="false">IF($P$2&gt;0,"",IFERROR(INDEX(Offices!$DE$2:$DE$1000,MATCH(5,Offices!$GB$2:$GB$1000,0))&amp;"",""))</f>
        <v/>
      </c>
      <c r="L6" s="0" t="str">
        <f aca="false">IF($P$2&gt;0,"",IFERROR(INDEX(Offices!$AB$2:$AB$1000,MATCH(5,Offices!$GB$2:$GB$1000,0))&amp;"",""))</f>
        <v/>
      </c>
      <c r="M6" s="0" t="str">
        <f aca="false">IF($P$2&gt;0,"",IFERROR(INDEX(Offices!$U$2:$U$1000,MATCH(5,Offices!$GB$2:$GB$1000,0))&amp;"",""))</f>
        <v/>
      </c>
      <c r="N6" s="0" t="str">
        <f aca="false">IF($P$2&gt;0,"",IFERROR(INDEX(Offices!$GB$2:$GB$1000,MATCH(5,Offices!$GB$2:$GB$1000,0)),""))</f>
        <v/>
      </c>
    </row>
    <row r="7" customFormat="false" ht="15" hidden="false" customHeight="false" outlineLevel="0" collapsed="false">
      <c r="A7" s="0" t="str">
        <f aca="false">IF($P$2&gt;0,"",IFERROR(INDEX(Offices!$A$2:$A$1000,MATCH(6,Offices!$GB$2:$GB$1000,0))&amp;"",""))</f>
        <v/>
      </c>
      <c r="B7" s="0" t="str">
        <f aca="false">IF($P$2&gt;0,"",IFERROR(INDEX(Offices!$B$2:$B$1000,MATCH(6,Offices!$GB$2:$GB$1000,0))&amp;"",""))</f>
        <v/>
      </c>
      <c r="C7" s="0" t="str">
        <f aca="false">IF($P$2&gt;0,"",IFERROR(INDEX(Offices!$J$2:$J$1000,MATCH(6,Offices!$GB$2:$GB$1000,0)),""))</f>
        <v/>
      </c>
      <c r="D7" s="0" t="str">
        <f aca="false">IF($P$2&gt;0,"",IFERROR(INDEX(Offices!$AI$2:$AI$1000,MATCH(6,Offices!$GB$2:$GB$1000,0))&amp;"",""))</f>
        <v/>
      </c>
      <c r="E7" s="0" t="str">
        <f aca="false">IF($P$2&gt;0,"",IFERROR(INDEX(Offices!$AJ$2:$AJ$1000,MATCH(6,Offices!$GB$2:$GB$1000,0))&amp;"",""))</f>
        <v/>
      </c>
      <c r="F7" s="0" t="str">
        <f aca="false">IF($P$2&gt;0,"",IFERROR(INDEX(Offices!$DL$2:$DL$1000,MATCH(6,Offices!$GB$2:$GB$1000,0))&amp;"",""))</f>
        <v/>
      </c>
      <c r="G7" s="0" t="str">
        <f aca="false">IF($P$2&gt;0,"",IFERROR(INDEX(Offices!$DX$2:$DX$1000,MATCH(6,Offices!$GB$2:$GB$1000,0))&amp;"",""))</f>
        <v/>
      </c>
      <c r="H7" s="0" t="str">
        <f aca="false">IF($P$2&gt;0,"",IFERROR(INDEX(Offices!$DZ$2:$DZ$1000,MATCH(6,Offices!$GB$2:$GB$1000,0))&amp;"",""))</f>
        <v/>
      </c>
      <c r="I7" s="0" t="str">
        <f aca="false">IF($P$2&gt;0,"",IFERROR(INDEX(Offices!$EA$2:$EA$1000,MATCH(6,Offices!$GB$2:$GB$1000,0))&amp;"",""))</f>
        <v/>
      </c>
      <c r="J7" s="0" t="str">
        <f aca="false">IF($P$2&gt;0,"",IFERROR(INDEX(Offices!$CR$2:$CR$1000,MATCH(6,Offices!$GB$2:$GB$1000,0))&amp;"",""))</f>
        <v/>
      </c>
      <c r="K7" s="0" t="str">
        <f aca="false">IF($P$2&gt;0,"",IFERROR(INDEX(Offices!$DE$2:$DE$1000,MATCH(6,Offices!$GB$2:$GB$1000,0))&amp;"",""))</f>
        <v/>
      </c>
      <c r="L7" s="0" t="str">
        <f aca="false">IF($P$2&gt;0,"",IFERROR(INDEX(Offices!$AB$2:$AB$1000,MATCH(6,Offices!$GB$2:$GB$1000,0))&amp;"",""))</f>
        <v/>
      </c>
      <c r="M7" s="0" t="str">
        <f aca="false">IF($P$2&gt;0,"",IFERROR(INDEX(Offices!$U$2:$U$1000,MATCH(6,Offices!$GB$2:$GB$1000,0))&amp;"",""))</f>
        <v/>
      </c>
      <c r="N7" s="0" t="str">
        <f aca="false">IF($P$2&gt;0,"",IFERROR(INDEX(Offices!$GB$2:$GB$1000,MATCH(6,Offices!$GB$2:$GB$1000,0)),""))</f>
        <v/>
      </c>
    </row>
    <row r="8" customFormat="false" ht="15" hidden="false" customHeight="false" outlineLevel="0" collapsed="false">
      <c r="A8" s="0" t="str">
        <f aca="false">IF($P$2&gt;0,"",IFERROR(INDEX(Offices!$A$2:$A$1000,MATCH(7,Offices!$GB$2:$GB$1000,0))&amp;"",""))</f>
        <v/>
      </c>
      <c r="B8" s="0" t="str">
        <f aca="false">IF($P$2&gt;0,"",IFERROR(INDEX(Offices!$B$2:$B$1000,MATCH(7,Offices!$GB$2:$GB$1000,0))&amp;"",""))</f>
        <v/>
      </c>
      <c r="C8" s="0" t="str">
        <f aca="false">IF($P$2&gt;0,"",IFERROR(INDEX(Offices!$J$2:$J$1000,MATCH(7,Offices!$GB$2:$GB$1000,0)),""))</f>
        <v/>
      </c>
      <c r="D8" s="0" t="str">
        <f aca="false">IF($P$2&gt;0,"",IFERROR(INDEX(Offices!$AI$2:$AI$1000,MATCH(7,Offices!$GB$2:$GB$1000,0))&amp;"",""))</f>
        <v/>
      </c>
      <c r="E8" s="0" t="str">
        <f aca="false">IF($P$2&gt;0,"",IFERROR(INDEX(Offices!$AJ$2:$AJ$1000,MATCH(7,Offices!$GB$2:$GB$1000,0))&amp;"",""))</f>
        <v/>
      </c>
      <c r="F8" s="0" t="str">
        <f aca="false">IF($P$2&gt;0,"",IFERROR(INDEX(Offices!$DL$2:$DL$1000,MATCH(7,Offices!$GB$2:$GB$1000,0))&amp;"",""))</f>
        <v/>
      </c>
      <c r="G8" s="0" t="str">
        <f aca="false">IF($P$2&gt;0,"",IFERROR(INDEX(Offices!$DX$2:$DX$1000,MATCH(7,Offices!$GB$2:$GB$1000,0))&amp;"",""))</f>
        <v/>
      </c>
      <c r="H8" s="0" t="str">
        <f aca="false">IF($P$2&gt;0,"",IFERROR(INDEX(Offices!$DZ$2:$DZ$1000,MATCH(7,Offices!$GB$2:$GB$1000,0))&amp;"",""))</f>
        <v/>
      </c>
      <c r="I8" s="0" t="str">
        <f aca="false">IF($P$2&gt;0,"",IFERROR(INDEX(Offices!$EA$2:$EA$1000,MATCH(7,Offices!$GB$2:$GB$1000,0))&amp;"",""))</f>
        <v/>
      </c>
      <c r="J8" s="0" t="str">
        <f aca="false">IF($P$2&gt;0,"",IFERROR(INDEX(Offices!$CR$2:$CR$1000,MATCH(7,Offices!$GB$2:$GB$1000,0))&amp;"",""))</f>
        <v/>
      </c>
      <c r="K8" s="0" t="str">
        <f aca="false">IF($P$2&gt;0,"",IFERROR(INDEX(Offices!$DE$2:$DE$1000,MATCH(7,Offices!$GB$2:$GB$1000,0))&amp;"",""))</f>
        <v/>
      </c>
      <c r="L8" s="0" t="str">
        <f aca="false">IF($P$2&gt;0,"",IFERROR(INDEX(Offices!$AB$2:$AB$1000,MATCH(7,Offices!$GB$2:$GB$1000,0))&amp;"",""))</f>
        <v/>
      </c>
      <c r="M8" s="0" t="str">
        <f aca="false">IF($P$2&gt;0,"",IFERROR(INDEX(Offices!$U$2:$U$1000,MATCH(7,Offices!$GB$2:$GB$1000,0))&amp;"",""))</f>
        <v/>
      </c>
      <c r="N8" s="0" t="str">
        <f aca="false">IF($P$2&gt;0,"",IFERROR(INDEX(Offices!$GB$2:$GB$1000,MATCH(7,Offices!$GB$2:$GB$1000,0)),""))</f>
        <v/>
      </c>
    </row>
    <row r="9" customFormat="false" ht="15" hidden="false" customHeight="false" outlineLevel="0" collapsed="false">
      <c r="A9" s="0" t="str">
        <f aca="false">IF($P$2&gt;0,"",IFERROR(INDEX(Offices!$A$2:$A$1000,MATCH(8,Offices!$GB$2:$GB$1000,0))&amp;"",""))</f>
        <v/>
      </c>
      <c r="B9" s="0" t="str">
        <f aca="false">IF($P$2&gt;0,"",IFERROR(INDEX(Offices!$B$2:$B$1000,MATCH(8,Offices!$GB$2:$GB$1000,0))&amp;"",""))</f>
        <v/>
      </c>
      <c r="C9" s="0" t="str">
        <f aca="false">IF($P$2&gt;0,"",IFERROR(INDEX(Offices!$J$2:$J$1000,MATCH(8,Offices!$GB$2:$GB$1000,0)),""))</f>
        <v/>
      </c>
      <c r="D9" s="0" t="str">
        <f aca="false">IF($P$2&gt;0,"",IFERROR(INDEX(Offices!$AI$2:$AI$1000,MATCH(8,Offices!$GB$2:$GB$1000,0))&amp;"",""))</f>
        <v/>
      </c>
      <c r="E9" s="0" t="str">
        <f aca="false">IF($P$2&gt;0,"",IFERROR(INDEX(Offices!$AJ$2:$AJ$1000,MATCH(8,Offices!$GB$2:$GB$1000,0))&amp;"",""))</f>
        <v/>
      </c>
      <c r="F9" s="0" t="str">
        <f aca="false">IF($P$2&gt;0,"",IFERROR(INDEX(Offices!$DL$2:$DL$1000,MATCH(8,Offices!$GB$2:$GB$1000,0))&amp;"",""))</f>
        <v/>
      </c>
      <c r="G9" s="0" t="str">
        <f aca="false">IF($P$2&gt;0,"",IFERROR(INDEX(Offices!$DX$2:$DX$1000,MATCH(8,Offices!$GB$2:$GB$1000,0))&amp;"",""))</f>
        <v/>
      </c>
      <c r="H9" s="0" t="str">
        <f aca="false">IF($P$2&gt;0,"",IFERROR(INDEX(Offices!$DZ$2:$DZ$1000,MATCH(8,Offices!$GB$2:$GB$1000,0))&amp;"",""))</f>
        <v/>
      </c>
      <c r="I9" s="0" t="str">
        <f aca="false">IF($P$2&gt;0,"",IFERROR(INDEX(Offices!$EA$2:$EA$1000,MATCH(8,Offices!$GB$2:$GB$1000,0))&amp;"",""))</f>
        <v/>
      </c>
      <c r="J9" s="0" t="str">
        <f aca="false">IF($P$2&gt;0,"",IFERROR(INDEX(Offices!$CR$2:$CR$1000,MATCH(8,Offices!$GB$2:$GB$1000,0))&amp;"",""))</f>
        <v/>
      </c>
      <c r="K9" s="0" t="str">
        <f aca="false">IF($P$2&gt;0,"",IFERROR(INDEX(Offices!$DE$2:$DE$1000,MATCH(8,Offices!$GB$2:$GB$1000,0))&amp;"",""))</f>
        <v/>
      </c>
      <c r="L9" s="0" t="str">
        <f aca="false">IF($P$2&gt;0,"",IFERROR(INDEX(Offices!$AB$2:$AB$1000,MATCH(8,Offices!$GB$2:$GB$1000,0))&amp;"",""))</f>
        <v/>
      </c>
      <c r="M9" s="0" t="str">
        <f aca="false">IF($P$2&gt;0,"",IFERROR(INDEX(Offices!$U$2:$U$1000,MATCH(8,Offices!$GB$2:$GB$1000,0))&amp;"",""))</f>
        <v/>
      </c>
      <c r="N9" s="0" t="str">
        <f aca="false">IF($P$2&gt;0,"",IFERROR(INDEX(Offices!$GB$2:$GB$1000,MATCH(8,Offices!$GB$2:$GB$1000,0)),""))</f>
        <v/>
      </c>
    </row>
    <row r="10" customFormat="false" ht="15" hidden="false" customHeight="false" outlineLevel="0" collapsed="false">
      <c r="A10" s="0" t="str">
        <f aca="false">IF($P$2&gt;0,"",IFERROR(INDEX(Offices!$A$2:$A$1000,MATCH(9,Offices!$GB$2:$GB$1000,0))&amp;"",""))</f>
        <v/>
      </c>
      <c r="B10" s="0" t="str">
        <f aca="false">IF($P$2&gt;0,"",IFERROR(INDEX(Offices!$B$2:$B$1000,MATCH(9,Offices!$GB$2:$GB$1000,0))&amp;"",""))</f>
        <v/>
      </c>
      <c r="C10" s="0" t="str">
        <f aca="false">IF($P$2&gt;0,"",IFERROR(INDEX(Offices!$J$2:$J$1000,MATCH(9,Offices!$GB$2:$GB$1000,0)),""))</f>
        <v/>
      </c>
      <c r="D10" s="0" t="str">
        <f aca="false">IF($P$2&gt;0,"",IFERROR(INDEX(Offices!$AI$2:$AI$1000,MATCH(9,Offices!$GB$2:$GB$1000,0))&amp;"",""))</f>
        <v/>
      </c>
      <c r="E10" s="0" t="str">
        <f aca="false">IF($P$2&gt;0,"",IFERROR(INDEX(Offices!$AJ$2:$AJ$1000,MATCH(9,Offices!$GB$2:$GB$1000,0))&amp;"",""))</f>
        <v/>
      </c>
      <c r="F10" s="0" t="str">
        <f aca="false">IF($P$2&gt;0,"",IFERROR(INDEX(Offices!$DL$2:$DL$1000,MATCH(9,Offices!$GB$2:$GB$1000,0))&amp;"",""))</f>
        <v/>
      </c>
      <c r="G10" s="0" t="str">
        <f aca="false">IF($P$2&gt;0,"",IFERROR(INDEX(Offices!$DX$2:$DX$1000,MATCH(9,Offices!$GB$2:$GB$1000,0))&amp;"",""))</f>
        <v/>
      </c>
      <c r="H10" s="0" t="str">
        <f aca="false">IF($P$2&gt;0,"",IFERROR(INDEX(Offices!$DZ$2:$DZ$1000,MATCH(9,Offices!$GB$2:$GB$1000,0))&amp;"",""))</f>
        <v/>
      </c>
      <c r="I10" s="0" t="str">
        <f aca="false">IF($P$2&gt;0,"",IFERROR(INDEX(Offices!$EA$2:$EA$1000,MATCH(9,Offices!$GB$2:$GB$1000,0))&amp;"",""))</f>
        <v/>
      </c>
      <c r="J10" s="0" t="str">
        <f aca="false">IF($P$2&gt;0,"",IFERROR(INDEX(Offices!$CR$2:$CR$1000,MATCH(9,Offices!$GB$2:$GB$1000,0))&amp;"",""))</f>
        <v/>
      </c>
      <c r="K10" s="0" t="str">
        <f aca="false">IF($P$2&gt;0,"",IFERROR(INDEX(Offices!$DE$2:$DE$1000,MATCH(9,Offices!$GB$2:$GB$1000,0))&amp;"",""))</f>
        <v/>
      </c>
      <c r="L10" s="0" t="str">
        <f aca="false">IF($P$2&gt;0,"",IFERROR(INDEX(Offices!$AB$2:$AB$1000,MATCH(9,Offices!$GB$2:$GB$1000,0))&amp;"",""))</f>
        <v/>
      </c>
      <c r="M10" s="0" t="str">
        <f aca="false">IF($P$2&gt;0,"",IFERROR(INDEX(Offices!$U$2:$U$1000,MATCH(9,Offices!$GB$2:$GB$1000,0))&amp;"",""))</f>
        <v/>
      </c>
      <c r="N10" s="0" t="str">
        <f aca="false">IF($P$2&gt;0,"",IFERROR(INDEX(Offices!$GB$2:$GB$1000,MATCH(9,Offices!$GB$2:$GB$1000,0)),""))</f>
        <v/>
      </c>
    </row>
    <row r="11" customFormat="false" ht="15" hidden="false" customHeight="false" outlineLevel="0" collapsed="false">
      <c r="A11" s="0" t="str">
        <f aca="false">IF($P$2&gt;0,"",IFERROR(INDEX(Offices!$A$2:$A$1000,MATCH(10,Offices!$GB$2:$GB$1000,0))&amp;"",""))</f>
        <v/>
      </c>
      <c r="B11" s="0" t="str">
        <f aca="false">IF($P$2&gt;0,"",IFERROR(INDEX(Offices!$B$2:$B$1000,MATCH(10,Offices!$GB$2:$GB$1000,0))&amp;"",""))</f>
        <v/>
      </c>
      <c r="C11" s="0" t="str">
        <f aca="false">IF($P$2&gt;0,"",IFERROR(INDEX(Offices!$J$2:$J$1000,MATCH(10,Offices!$GB$2:$GB$1000,0)),""))</f>
        <v/>
      </c>
      <c r="D11" s="0" t="str">
        <f aca="false">IF($P$2&gt;0,"",IFERROR(INDEX(Offices!$AI$2:$AI$1000,MATCH(10,Offices!$GB$2:$GB$1000,0))&amp;"",""))</f>
        <v/>
      </c>
      <c r="E11" s="0" t="str">
        <f aca="false">IF($P$2&gt;0,"",IFERROR(INDEX(Offices!$AJ$2:$AJ$1000,MATCH(10,Offices!$GB$2:$GB$1000,0))&amp;"",""))</f>
        <v/>
      </c>
      <c r="F11" s="0" t="str">
        <f aca="false">IF($P$2&gt;0,"",IFERROR(INDEX(Offices!$DL$2:$DL$1000,MATCH(10,Offices!$GB$2:$GB$1000,0))&amp;"",""))</f>
        <v/>
      </c>
      <c r="G11" s="0" t="str">
        <f aca="false">IF($P$2&gt;0,"",IFERROR(INDEX(Offices!$DX$2:$DX$1000,MATCH(10,Offices!$GB$2:$GB$1000,0))&amp;"",""))</f>
        <v/>
      </c>
      <c r="H11" s="0" t="str">
        <f aca="false">IF($P$2&gt;0,"",IFERROR(INDEX(Offices!$DZ$2:$DZ$1000,MATCH(10,Offices!$GB$2:$GB$1000,0))&amp;"",""))</f>
        <v/>
      </c>
      <c r="I11" s="0" t="str">
        <f aca="false">IF($P$2&gt;0,"",IFERROR(INDEX(Offices!$EA$2:$EA$1000,MATCH(10,Offices!$GB$2:$GB$1000,0))&amp;"",""))</f>
        <v/>
      </c>
      <c r="J11" s="0" t="str">
        <f aca="false">IF($P$2&gt;0,"",IFERROR(INDEX(Offices!$CR$2:$CR$1000,MATCH(10,Offices!$GB$2:$GB$1000,0))&amp;"",""))</f>
        <v/>
      </c>
      <c r="K11" s="0" t="str">
        <f aca="false">IF($P$2&gt;0,"",IFERROR(INDEX(Offices!$DE$2:$DE$1000,MATCH(10,Offices!$GB$2:$GB$1000,0))&amp;"",""))</f>
        <v/>
      </c>
      <c r="L11" s="0" t="str">
        <f aca="false">IF($P$2&gt;0,"",IFERROR(INDEX(Offices!$AB$2:$AB$1000,MATCH(10,Offices!$GB$2:$GB$1000,0))&amp;"",""))</f>
        <v/>
      </c>
      <c r="M11" s="0" t="str">
        <f aca="false">IF($P$2&gt;0,"",IFERROR(INDEX(Offices!$U$2:$U$1000,MATCH(10,Offices!$GB$2:$GB$1000,0))&amp;"",""))</f>
        <v/>
      </c>
      <c r="N11" s="0" t="str">
        <f aca="false">IF($P$2&gt;0,"",IFERROR(INDEX(Offices!$GB$2:$GB$1000,MATCH(10,Offices!$GB$2:$GB$1000,0)),""))</f>
        <v/>
      </c>
    </row>
    <row r="12" customFormat="false" ht="15" hidden="false" customHeight="false" outlineLevel="0" collapsed="false">
      <c r="A12" s="0" t="str">
        <f aca="false">IF($P$2&gt;0,"",IFERROR(INDEX(Offices!$A$2:$A$1000,MATCH(11,Offices!$GB$2:$GB$1000,0))&amp;"",""))</f>
        <v/>
      </c>
      <c r="B12" s="0" t="str">
        <f aca="false">IF($P$2&gt;0,"",IFERROR(INDEX(Offices!$B$2:$B$1000,MATCH(11,Offices!$GB$2:$GB$1000,0))&amp;"",""))</f>
        <v/>
      </c>
      <c r="C12" s="0" t="str">
        <f aca="false">IF($P$2&gt;0,"",IFERROR(INDEX(Offices!$J$2:$J$1000,MATCH(11,Offices!$GB$2:$GB$1000,0)),""))</f>
        <v/>
      </c>
      <c r="D12" s="0" t="str">
        <f aca="false">IF($P$2&gt;0,"",IFERROR(INDEX(Offices!$AI$2:$AI$1000,MATCH(11,Offices!$GB$2:$GB$1000,0))&amp;"",""))</f>
        <v/>
      </c>
      <c r="E12" s="0" t="str">
        <f aca="false">IF($P$2&gt;0,"",IFERROR(INDEX(Offices!$AJ$2:$AJ$1000,MATCH(11,Offices!$GB$2:$GB$1000,0))&amp;"",""))</f>
        <v/>
      </c>
      <c r="F12" s="0" t="str">
        <f aca="false">IF($P$2&gt;0,"",IFERROR(INDEX(Offices!$DL$2:$DL$1000,MATCH(11,Offices!$GB$2:$GB$1000,0))&amp;"",""))</f>
        <v/>
      </c>
      <c r="G12" s="0" t="str">
        <f aca="false">IF($P$2&gt;0,"",IFERROR(INDEX(Offices!$DX$2:$DX$1000,MATCH(11,Offices!$GB$2:$GB$1000,0))&amp;"",""))</f>
        <v/>
      </c>
      <c r="H12" s="0" t="str">
        <f aca="false">IF($P$2&gt;0,"",IFERROR(INDEX(Offices!$DZ$2:$DZ$1000,MATCH(11,Offices!$GB$2:$GB$1000,0))&amp;"",""))</f>
        <v/>
      </c>
      <c r="I12" s="0" t="str">
        <f aca="false">IF($P$2&gt;0,"",IFERROR(INDEX(Offices!$EA$2:$EA$1000,MATCH(11,Offices!$GB$2:$GB$1000,0))&amp;"",""))</f>
        <v/>
      </c>
      <c r="J12" s="0" t="str">
        <f aca="false">IF($P$2&gt;0,"",IFERROR(INDEX(Offices!$CR$2:$CR$1000,MATCH(11,Offices!$GB$2:$GB$1000,0))&amp;"",""))</f>
        <v/>
      </c>
      <c r="K12" s="0" t="str">
        <f aca="false">IF($P$2&gt;0,"",IFERROR(INDEX(Offices!$DE$2:$DE$1000,MATCH(11,Offices!$GB$2:$GB$1000,0))&amp;"",""))</f>
        <v/>
      </c>
      <c r="L12" s="0" t="str">
        <f aca="false">IF($P$2&gt;0,"",IFERROR(INDEX(Offices!$AB$2:$AB$1000,MATCH(11,Offices!$GB$2:$GB$1000,0))&amp;"",""))</f>
        <v/>
      </c>
      <c r="M12" s="0" t="str">
        <f aca="false">IF($P$2&gt;0,"",IFERROR(INDEX(Offices!$U$2:$U$1000,MATCH(11,Offices!$GB$2:$GB$1000,0))&amp;"",""))</f>
        <v/>
      </c>
      <c r="N12" s="0" t="str">
        <f aca="false">IF($P$2&gt;0,"",IFERROR(INDEX(Offices!$GB$2:$GB$1000,MATCH(11,Offices!$GB$2:$GB$1000,0)),""))</f>
        <v/>
      </c>
    </row>
    <row r="13" customFormat="false" ht="15" hidden="false" customHeight="false" outlineLevel="0" collapsed="false">
      <c r="A13" s="0" t="str">
        <f aca="false">IF($P$2&gt;0,"",IFERROR(INDEX(Offices!$A$2:$A$1000,MATCH(12,Offices!$GB$2:$GB$1000,0))&amp;"",""))</f>
        <v/>
      </c>
      <c r="B13" s="0" t="str">
        <f aca="false">IF($P$2&gt;0,"",IFERROR(INDEX(Offices!$B$2:$B$1000,MATCH(12,Offices!$GB$2:$GB$1000,0))&amp;"",""))</f>
        <v/>
      </c>
      <c r="C13" s="0" t="str">
        <f aca="false">IF($P$2&gt;0,"",IFERROR(INDEX(Offices!$J$2:$J$1000,MATCH(12,Offices!$GB$2:$GB$1000,0)),""))</f>
        <v/>
      </c>
      <c r="D13" s="0" t="str">
        <f aca="false">IF($P$2&gt;0,"",IFERROR(INDEX(Offices!$AI$2:$AI$1000,MATCH(12,Offices!$GB$2:$GB$1000,0))&amp;"",""))</f>
        <v/>
      </c>
      <c r="E13" s="0" t="str">
        <f aca="false">IF($P$2&gt;0,"",IFERROR(INDEX(Offices!$AJ$2:$AJ$1000,MATCH(12,Offices!$GB$2:$GB$1000,0))&amp;"",""))</f>
        <v/>
      </c>
      <c r="F13" s="0" t="str">
        <f aca="false">IF($P$2&gt;0,"",IFERROR(INDEX(Offices!$DL$2:$DL$1000,MATCH(12,Offices!$GB$2:$GB$1000,0))&amp;"",""))</f>
        <v/>
      </c>
      <c r="G13" s="0" t="str">
        <f aca="false">IF($P$2&gt;0,"",IFERROR(INDEX(Offices!$DX$2:$DX$1000,MATCH(12,Offices!$GB$2:$GB$1000,0))&amp;"",""))</f>
        <v/>
      </c>
      <c r="H13" s="0" t="str">
        <f aca="false">IF($P$2&gt;0,"",IFERROR(INDEX(Offices!$DZ$2:$DZ$1000,MATCH(12,Offices!$GB$2:$GB$1000,0))&amp;"",""))</f>
        <v/>
      </c>
      <c r="I13" s="0" t="str">
        <f aca="false">IF($P$2&gt;0,"",IFERROR(INDEX(Offices!$EA$2:$EA$1000,MATCH(12,Offices!$GB$2:$GB$1000,0))&amp;"",""))</f>
        <v/>
      </c>
      <c r="J13" s="0" t="str">
        <f aca="false">IF($P$2&gt;0,"",IFERROR(INDEX(Offices!$CR$2:$CR$1000,MATCH(12,Offices!$GB$2:$GB$1000,0))&amp;"",""))</f>
        <v/>
      </c>
      <c r="K13" s="0" t="str">
        <f aca="false">IF($P$2&gt;0,"",IFERROR(INDEX(Offices!$DE$2:$DE$1000,MATCH(12,Offices!$GB$2:$GB$1000,0))&amp;"",""))</f>
        <v/>
      </c>
      <c r="L13" s="0" t="str">
        <f aca="false">IF($P$2&gt;0,"",IFERROR(INDEX(Offices!$AB$2:$AB$1000,MATCH(12,Offices!$GB$2:$GB$1000,0))&amp;"",""))</f>
        <v/>
      </c>
      <c r="M13" s="0" t="str">
        <f aca="false">IF($P$2&gt;0,"",IFERROR(INDEX(Offices!$U$2:$U$1000,MATCH(12,Offices!$GB$2:$GB$1000,0))&amp;"",""))</f>
        <v/>
      </c>
      <c r="N13" s="0" t="str">
        <f aca="false">IF($P$2&gt;0,"",IFERROR(INDEX(Offices!$GB$2:$GB$1000,MATCH(12,Offices!$GB$2:$GB$1000,0)),""))</f>
        <v/>
      </c>
    </row>
    <row r="14" customFormat="false" ht="15" hidden="false" customHeight="false" outlineLevel="0" collapsed="false">
      <c r="A14" s="0" t="str">
        <f aca="false">IF($P$2&gt;0,"",IFERROR(INDEX(Offices!$A$2:$A$1000,MATCH(13,Offices!$GB$2:$GB$1000,0))&amp;"",""))</f>
        <v/>
      </c>
      <c r="B14" s="0" t="str">
        <f aca="false">IF($P$2&gt;0,"",IFERROR(INDEX(Offices!$B$2:$B$1000,MATCH(13,Offices!$GB$2:$GB$1000,0))&amp;"",""))</f>
        <v/>
      </c>
      <c r="C14" s="0" t="str">
        <f aca="false">IF($P$2&gt;0,"",IFERROR(INDEX(Offices!$J$2:$J$1000,MATCH(13,Offices!$GB$2:$GB$1000,0)),""))</f>
        <v/>
      </c>
      <c r="D14" s="0" t="str">
        <f aca="false">IF($P$2&gt;0,"",IFERROR(INDEX(Offices!$AI$2:$AI$1000,MATCH(13,Offices!$GB$2:$GB$1000,0))&amp;"",""))</f>
        <v/>
      </c>
      <c r="E14" s="0" t="str">
        <f aca="false">IF($P$2&gt;0,"",IFERROR(INDEX(Offices!$AJ$2:$AJ$1000,MATCH(13,Offices!$GB$2:$GB$1000,0))&amp;"",""))</f>
        <v/>
      </c>
      <c r="F14" s="0" t="str">
        <f aca="false">IF($P$2&gt;0,"",IFERROR(INDEX(Offices!$DL$2:$DL$1000,MATCH(13,Offices!$GB$2:$GB$1000,0))&amp;"",""))</f>
        <v/>
      </c>
      <c r="G14" s="0" t="str">
        <f aca="false">IF($P$2&gt;0,"",IFERROR(INDEX(Offices!$DX$2:$DX$1000,MATCH(13,Offices!$GB$2:$GB$1000,0))&amp;"",""))</f>
        <v/>
      </c>
      <c r="H14" s="0" t="str">
        <f aca="false">IF($P$2&gt;0,"",IFERROR(INDEX(Offices!$DZ$2:$DZ$1000,MATCH(13,Offices!$GB$2:$GB$1000,0))&amp;"",""))</f>
        <v/>
      </c>
      <c r="I14" s="0" t="str">
        <f aca="false">IF($P$2&gt;0,"",IFERROR(INDEX(Offices!$EA$2:$EA$1000,MATCH(13,Offices!$GB$2:$GB$1000,0))&amp;"",""))</f>
        <v/>
      </c>
      <c r="J14" s="0" t="str">
        <f aca="false">IF($P$2&gt;0,"",IFERROR(INDEX(Offices!$CR$2:$CR$1000,MATCH(13,Offices!$GB$2:$GB$1000,0))&amp;"",""))</f>
        <v/>
      </c>
      <c r="K14" s="0" t="str">
        <f aca="false">IF($P$2&gt;0,"",IFERROR(INDEX(Offices!$DE$2:$DE$1000,MATCH(13,Offices!$GB$2:$GB$1000,0))&amp;"",""))</f>
        <v/>
      </c>
      <c r="L14" s="0" t="str">
        <f aca="false">IF($P$2&gt;0,"",IFERROR(INDEX(Offices!$AB$2:$AB$1000,MATCH(13,Offices!$GB$2:$GB$1000,0))&amp;"",""))</f>
        <v/>
      </c>
      <c r="M14" s="0" t="str">
        <f aca="false">IF($P$2&gt;0,"",IFERROR(INDEX(Offices!$U$2:$U$1000,MATCH(13,Offices!$GB$2:$GB$1000,0))&amp;"",""))</f>
        <v/>
      </c>
      <c r="N14" s="0" t="str">
        <f aca="false">IF($P$2&gt;0,"",IFERROR(INDEX(Offices!$GB$2:$GB$1000,MATCH(13,Offices!$GB$2:$GB$1000,0)),""))</f>
        <v/>
      </c>
    </row>
    <row r="15" customFormat="false" ht="15" hidden="false" customHeight="false" outlineLevel="0" collapsed="false">
      <c r="A15" s="0" t="str">
        <f aca="false">IF($P$2&gt;0,"",IFERROR(INDEX(Offices!$A$2:$A$1000,MATCH(14,Offices!$GB$2:$GB$1000,0))&amp;"",""))</f>
        <v/>
      </c>
      <c r="B15" s="0" t="str">
        <f aca="false">IF($P$2&gt;0,"",IFERROR(INDEX(Offices!$B$2:$B$1000,MATCH(14,Offices!$GB$2:$GB$1000,0))&amp;"",""))</f>
        <v/>
      </c>
      <c r="C15" s="0" t="str">
        <f aca="false">IF($P$2&gt;0,"",IFERROR(INDEX(Offices!$J$2:$J$1000,MATCH(14,Offices!$GB$2:$GB$1000,0)),""))</f>
        <v/>
      </c>
      <c r="D15" s="0" t="str">
        <f aca="false">IF($P$2&gt;0,"",IFERROR(INDEX(Offices!$AI$2:$AI$1000,MATCH(14,Offices!$GB$2:$GB$1000,0))&amp;"",""))</f>
        <v/>
      </c>
      <c r="E15" s="0" t="str">
        <f aca="false">IF($P$2&gt;0,"",IFERROR(INDEX(Offices!$AJ$2:$AJ$1000,MATCH(14,Offices!$GB$2:$GB$1000,0))&amp;"",""))</f>
        <v/>
      </c>
      <c r="F15" s="0" t="str">
        <f aca="false">IF($P$2&gt;0,"",IFERROR(INDEX(Offices!$DL$2:$DL$1000,MATCH(14,Offices!$GB$2:$GB$1000,0))&amp;"",""))</f>
        <v/>
      </c>
      <c r="G15" s="0" t="str">
        <f aca="false">IF($P$2&gt;0,"",IFERROR(INDEX(Offices!$DX$2:$DX$1000,MATCH(14,Offices!$GB$2:$GB$1000,0))&amp;"",""))</f>
        <v/>
      </c>
      <c r="H15" s="0" t="str">
        <f aca="false">IF($P$2&gt;0,"",IFERROR(INDEX(Offices!$DZ$2:$DZ$1000,MATCH(14,Offices!$GB$2:$GB$1000,0))&amp;"",""))</f>
        <v/>
      </c>
      <c r="I15" s="0" t="str">
        <f aca="false">IF($P$2&gt;0,"",IFERROR(INDEX(Offices!$EA$2:$EA$1000,MATCH(14,Offices!$GB$2:$GB$1000,0))&amp;"",""))</f>
        <v/>
      </c>
      <c r="J15" s="0" t="str">
        <f aca="false">IF($P$2&gt;0,"",IFERROR(INDEX(Offices!$CR$2:$CR$1000,MATCH(14,Offices!$GB$2:$GB$1000,0))&amp;"",""))</f>
        <v/>
      </c>
      <c r="K15" s="0" t="str">
        <f aca="false">IF($P$2&gt;0,"",IFERROR(INDEX(Offices!$DE$2:$DE$1000,MATCH(14,Offices!$GB$2:$GB$1000,0))&amp;"",""))</f>
        <v/>
      </c>
      <c r="L15" s="0" t="str">
        <f aca="false">IF($P$2&gt;0,"",IFERROR(INDEX(Offices!$AB$2:$AB$1000,MATCH(14,Offices!$GB$2:$GB$1000,0))&amp;"",""))</f>
        <v/>
      </c>
      <c r="M15" s="0" t="str">
        <f aca="false">IF($P$2&gt;0,"",IFERROR(INDEX(Offices!$U$2:$U$1000,MATCH(14,Offices!$GB$2:$GB$1000,0))&amp;"",""))</f>
        <v/>
      </c>
      <c r="N15" s="0" t="str">
        <f aca="false">IF($P$2&gt;0,"",IFERROR(INDEX(Offices!$GB$2:$GB$1000,MATCH(14,Offices!$GB$2:$GB$1000,0)),""))</f>
        <v/>
      </c>
    </row>
    <row r="16" customFormat="false" ht="15" hidden="false" customHeight="false" outlineLevel="0" collapsed="false">
      <c r="A16" s="0" t="str">
        <f aca="false">IF($P$2&gt;0,"",IFERROR(INDEX(Offices!$A$2:$A$1000,MATCH(15,Offices!$GB$2:$GB$1000,0))&amp;"",""))</f>
        <v/>
      </c>
      <c r="B16" s="0" t="str">
        <f aca="false">IF($P$2&gt;0,"",IFERROR(INDEX(Offices!$B$2:$B$1000,MATCH(15,Offices!$GB$2:$GB$1000,0))&amp;"",""))</f>
        <v/>
      </c>
      <c r="C16" s="0" t="str">
        <f aca="false">IF($P$2&gt;0,"",IFERROR(INDEX(Offices!$J$2:$J$1000,MATCH(15,Offices!$GB$2:$GB$1000,0)),""))</f>
        <v/>
      </c>
      <c r="D16" s="0" t="str">
        <f aca="false">IF($P$2&gt;0,"",IFERROR(INDEX(Offices!$AI$2:$AI$1000,MATCH(15,Offices!$GB$2:$GB$1000,0))&amp;"",""))</f>
        <v/>
      </c>
      <c r="E16" s="0" t="str">
        <f aca="false">IF($P$2&gt;0,"",IFERROR(INDEX(Offices!$AJ$2:$AJ$1000,MATCH(15,Offices!$GB$2:$GB$1000,0))&amp;"",""))</f>
        <v/>
      </c>
      <c r="F16" s="0" t="str">
        <f aca="false">IF($P$2&gt;0,"",IFERROR(INDEX(Offices!$DL$2:$DL$1000,MATCH(15,Offices!$GB$2:$GB$1000,0))&amp;"",""))</f>
        <v/>
      </c>
      <c r="G16" s="0" t="str">
        <f aca="false">IF($P$2&gt;0,"",IFERROR(INDEX(Offices!$DX$2:$DX$1000,MATCH(15,Offices!$GB$2:$GB$1000,0))&amp;"",""))</f>
        <v/>
      </c>
      <c r="H16" s="0" t="str">
        <f aca="false">IF($P$2&gt;0,"",IFERROR(INDEX(Offices!$DZ$2:$DZ$1000,MATCH(15,Offices!$GB$2:$GB$1000,0))&amp;"",""))</f>
        <v/>
      </c>
      <c r="I16" s="0" t="str">
        <f aca="false">IF($P$2&gt;0,"",IFERROR(INDEX(Offices!$EA$2:$EA$1000,MATCH(15,Offices!$GB$2:$GB$1000,0))&amp;"",""))</f>
        <v/>
      </c>
      <c r="J16" s="0" t="str">
        <f aca="false">IF($P$2&gt;0,"",IFERROR(INDEX(Offices!$CR$2:$CR$1000,MATCH(15,Offices!$GB$2:$GB$1000,0))&amp;"",""))</f>
        <v/>
      </c>
      <c r="K16" s="0" t="str">
        <f aca="false">IF($P$2&gt;0,"",IFERROR(INDEX(Offices!$DE$2:$DE$1000,MATCH(15,Offices!$GB$2:$GB$1000,0))&amp;"",""))</f>
        <v/>
      </c>
      <c r="L16" s="0" t="str">
        <f aca="false">IF($P$2&gt;0,"",IFERROR(INDEX(Offices!$AB$2:$AB$1000,MATCH(15,Offices!$GB$2:$GB$1000,0))&amp;"",""))</f>
        <v/>
      </c>
      <c r="M16" s="0" t="str">
        <f aca="false">IF($P$2&gt;0,"",IFERROR(INDEX(Offices!$U$2:$U$1000,MATCH(15,Offices!$GB$2:$GB$1000,0))&amp;"",""))</f>
        <v/>
      </c>
      <c r="N16" s="0" t="str">
        <f aca="false">IF($P$2&gt;0,"",IFERROR(INDEX(Offices!$GB$2:$GB$1000,MATCH(15,Offices!$GB$2:$GB$1000,0)),""))</f>
        <v/>
      </c>
    </row>
    <row r="17" customFormat="false" ht="15" hidden="false" customHeight="false" outlineLevel="0" collapsed="false">
      <c r="A17" s="0" t="str">
        <f aca="false">IF($P$2&gt;0,"",IFERROR(INDEX(Offices!$A$2:$A$1000,MATCH(16,Offices!$GB$2:$GB$1000,0))&amp;"",""))</f>
        <v/>
      </c>
      <c r="B17" s="0" t="str">
        <f aca="false">IF($P$2&gt;0,"",IFERROR(INDEX(Offices!$B$2:$B$1000,MATCH(16,Offices!$GB$2:$GB$1000,0))&amp;"",""))</f>
        <v/>
      </c>
      <c r="C17" s="0" t="str">
        <f aca="false">IF($P$2&gt;0,"",IFERROR(INDEX(Offices!$J$2:$J$1000,MATCH(16,Offices!$GB$2:$GB$1000,0)),""))</f>
        <v/>
      </c>
      <c r="D17" s="0" t="str">
        <f aca="false">IF($P$2&gt;0,"",IFERROR(INDEX(Offices!$AI$2:$AI$1000,MATCH(16,Offices!$GB$2:$GB$1000,0))&amp;"",""))</f>
        <v/>
      </c>
      <c r="E17" s="0" t="str">
        <f aca="false">IF($P$2&gt;0,"",IFERROR(INDEX(Offices!$AJ$2:$AJ$1000,MATCH(16,Offices!$GB$2:$GB$1000,0))&amp;"",""))</f>
        <v/>
      </c>
      <c r="F17" s="0" t="str">
        <f aca="false">IF($P$2&gt;0,"",IFERROR(INDEX(Offices!$DL$2:$DL$1000,MATCH(16,Offices!$GB$2:$GB$1000,0))&amp;"",""))</f>
        <v/>
      </c>
      <c r="G17" s="0" t="str">
        <f aca="false">IF($P$2&gt;0,"",IFERROR(INDEX(Offices!$DX$2:$DX$1000,MATCH(16,Offices!$GB$2:$GB$1000,0))&amp;"",""))</f>
        <v/>
      </c>
      <c r="H17" s="0" t="str">
        <f aca="false">IF($P$2&gt;0,"",IFERROR(INDEX(Offices!$DZ$2:$DZ$1000,MATCH(16,Offices!$GB$2:$GB$1000,0))&amp;"",""))</f>
        <v/>
      </c>
      <c r="I17" s="0" t="str">
        <f aca="false">IF($P$2&gt;0,"",IFERROR(INDEX(Offices!$EA$2:$EA$1000,MATCH(16,Offices!$GB$2:$GB$1000,0))&amp;"",""))</f>
        <v/>
      </c>
      <c r="J17" s="0" t="str">
        <f aca="false">IF($P$2&gt;0,"",IFERROR(INDEX(Offices!$CR$2:$CR$1000,MATCH(16,Offices!$GB$2:$GB$1000,0))&amp;"",""))</f>
        <v/>
      </c>
      <c r="K17" s="0" t="str">
        <f aca="false">IF($P$2&gt;0,"",IFERROR(INDEX(Offices!$DE$2:$DE$1000,MATCH(16,Offices!$GB$2:$GB$1000,0))&amp;"",""))</f>
        <v/>
      </c>
      <c r="L17" s="0" t="str">
        <f aca="false">IF($P$2&gt;0,"",IFERROR(INDEX(Offices!$AB$2:$AB$1000,MATCH(16,Offices!$GB$2:$GB$1000,0))&amp;"",""))</f>
        <v/>
      </c>
      <c r="M17" s="0" t="str">
        <f aca="false">IF($P$2&gt;0,"",IFERROR(INDEX(Offices!$U$2:$U$1000,MATCH(16,Offices!$GB$2:$GB$1000,0))&amp;"",""))</f>
        <v/>
      </c>
      <c r="N17" s="0" t="str">
        <f aca="false">IF($P$2&gt;0,"",IFERROR(INDEX(Offices!$GB$2:$GB$1000,MATCH(16,Offices!$GB$2:$GB$1000,0)),""))</f>
        <v/>
      </c>
    </row>
    <row r="18" customFormat="false" ht="15" hidden="false" customHeight="false" outlineLevel="0" collapsed="false">
      <c r="A18" s="0" t="str">
        <f aca="false">IF($P$2&gt;0,"",IFERROR(INDEX(Offices!$A$2:$A$1000,MATCH(17,Offices!$GB$2:$GB$1000,0))&amp;"",""))</f>
        <v/>
      </c>
      <c r="B18" s="0" t="str">
        <f aca="false">IF($P$2&gt;0,"",IFERROR(INDEX(Offices!$B$2:$B$1000,MATCH(17,Offices!$GB$2:$GB$1000,0))&amp;"",""))</f>
        <v/>
      </c>
      <c r="C18" s="0" t="str">
        <f aca="false">IF($P$2&gt;0,"",IFERROR(INDEX(Offices!$J$2:$J$1000,MATCH(17,Offices!$GB$2:$GB$1000,0)),""))</f>
        <v/>
      </c>
      <c r="D18" s="0" t="str">
        <f aca="false">IF($P$2&gt;0,"",IFERROR(INDEX(Offices!$AI$2:$AI$1000,MATCH(17,Offices!$GB$2:$GB$1000,0))&amp;"",""))</f>
        <v/>
      </c>
      <c r="E18" s="0" t="str">
        <f aca="false">IF($P$2&gt;0,"",IFERROR(INDEX(Offices!$AJ$2:$AJ$1000,MATCH(17,Offices!$GB$2:$GB$1000,0))&amp;"",""))</f>
        <v/>
      </c>
      <c r="F18" s="0" t="str">
        <f aca="false">IF($P$2&gt;0,"",IFERROR(INDEX(Offices!$DL$2:$DL$1000,MATCH(17,Offices!$GB$2:$GB$1000,0))&amp;"",""))</f>
        <v/>
      </c>
      <c r="G18" s="0" t="str">
        <f aca="false">IF($P$2&gt;0,"",IFERROR(INDEX(Offices!$DX$2:$DX$1000,MATCH(17,Offices!$GB$2:$GB$1000,0))&amp;"",""))</f>
        <v/>
      </c>
      <c r="H18" s="0" t="str">
        <f aca="false">IF($P$2&gt;0,"",IFERROR(INDEX(Offices!$DZ$2:$DZ$1000,MATCH(17,Offices!$GB$2:$GB$1000,0))&amp;"",""))</f>
        <v/>
      </c>
      <c r="I18" s="0" t="str">
        <f aca="false">IF($P$2&gt;0,"",IFERROR(INDEX(Offices!$EA$2:$EA$1000,MATCH(17,Offices!$GB$2:$GB$1000,0))&amp;"",""))</f>
        <v/>
      </c>
      <c r="J18" s="0" t="str">
        <f aca="false">IF($P$2&gt;0,"",IFERROR(INDEX(Offices!$CR$2:$CR$1000,MATCH(17,Offices!$GB$2:$GB$1000,0))&amp;"",""))</f>
        <v/>
      </c>
      <c r="K18" s="0" t="str">
        <f aca="false">IF($P$2&gt;0,"",IFERROR(INDEX(Offices!$DE$2:$DE$1000,MATCH(17,Offices!$GB$2:$GB$1000,0))&amp;"",""))</f>
        <v/>
      </c>
      <c r="L18" s="0" t="str">
        <f aca="false">IF($P$2&gt;0,"",IFERROR(INDEX(Offices!$AB$2:$AB$1000,MATCH(17,Offices!$GB$2:$GB$1000,0))&amp;"",""))</f>
        <v/>
      </c>
      <c r="M18" s="0" t="str">
        <f aca="false">IF($P$2&gt;0,"",IFERROR(INDEX(Offices!$U$2:$U$1000,MATCH(17,Offices!$GB$2:$GB$1000,0))&amp;"",""))</f>
        <v/>
      </c>
      <c r="N18" s="0" t="str">
        <f aca="false">IF($P$2&gt;0,"",IFERROR(INDEX(Offices!$GB$2:$GB$1000,MATCH(17,Offices!$GB$2:$GB$1000,0)),""))</f>
        <v/>
      </c>
    </row>
    <row r="19" customFormat="false" ht="15" hidden="false" customHeight="false" outlineLevel="0" collapsed="false">
      <c r="A19" s="0" t="str">
        <f aca="false">IF($P$2&gt;0,"",IFERROR(INDEX(Offices!$A$2:$A$1000,MATCH(18,Offices!$GB$2:$GB$1000,0))&amp;"",""))</f>
        <v/>
      </c>
      <c r="B19" s="0" t="str">
        <f aca="false">IF($P$2&gt;0,"",IFERROR(INDEX(Offices!$B$2:$B$1000,MATCH(18,Offices!$GB$2:$GB$1000,0))&amp;"",""))</f>
        <v/>
      </c>
      <c r="C19" s="0" t="str">
        <f aca="false">IF($P$2&gt;0,"",IFERROR(INDEX(Offices!$J$2:$J$1000,MATCH(18,Offices!$GB$2:$GB$1000,0)),""))</f>
        <v/>
      </c>
      <c r="D19" s="0" t="str">
        <f aca="false">IF($P$2&gt;0,"",IFERROR(INDEX(Offices!$AI$2:$AI$1000,MATCH(18,Offices!$GB$2:$GB$1000,0))&amp;"",""))</f>
        <v/>
      </c>
      <c r="E19" s="0" t="str">
        <f aca="false">IF($P$2&gt;0,"",IFERROR(INDEX(Offices!$AJ$2:$AJ$1000,MATCH(18,Offices!$GB$2:$GB$1000,0))&amp;"",""))</f>
        <v/>
      </c>
      <c r="F19" s="0" t="str">
        <f aca="false">IF($P$2&gt;0,"",IFERROR(INDEX(Offices!$DL$2:$DL$1000,MATCH(18,Offices!$GB$2:$GB$1000,0))&amp;"",""))</f>
        <v/>
      </c>
      <c r="G19" s="0" t="str">
        <f aca="false">IF($P$2&gt;0,"",IFERROR(INDEX(Offices!$DX$2:$DX$1000,MATCH(18,Offices!$GB$2:$GB$1000,0))&amp;"",""))</f>
        <v/>
      </c>
      <c r="H19" s="0" t="str">
        <f aca="false">IF($P$2&gt;0,"",IFERROR(INDEX(Offices!$DZ$2:$DZ$1000,MATCH(18,Offices!$GB$2:$GB$1000,0))&amp;"",""))</f>
        <v/>
      </c>
      <c r="I19" s="0" t="str">
        <f aca="false">IF($P$2&gt;0,"",IFERROR(INDEX(Offices!$EA$2:$EA$1000,MATCH(18,Offices!$GB$2:$GB$1000,0))&amp;"",""))</f>
        <v/>
      </c>
      <c r="J19" s="0" t="str">
        <f aca="false">IF($P$2&gt;0,"",IFERROR(INDEX(Offices!$CR$2:$CR$1000,MATCH(18,Offices!$GB$2:$GB$1000,0))&amp;"",""))</f>
        <v/>
      </c>
      <c r="K19" s="0" t="str">
        <f aca="false">IF($P$2&gt;0,"",IFERROR(INDEX(Offices!$DE$2:$DE$1000,MATCH(18,Offices!$GB$2:$GB$1000,0))&amp;"",""))</f>
        <v/>
      </c>
      <c r="L19" s="0" t="str">
        <f aca="false">IF($P$2&gt;0,"",IFERROR(INDEX(Offices!$AB$2:$AB$1000,MATCH(18,Offices!$GB$2:$GB$1000,0))&amp;"",""))</f>
        <v/>
      </c>
      <c r="M19" s="0" t="str">
        <f aca="false">IF($P$2&gt;0,"",IFERROR(INDEX(Offices!$U$2:$U$1000,MATCH(18,Offices!$GB$2:$GB$1000,0))&amp;"",""))</f>
        <v/>
      </c>
      <c r="N19" s="0" t="str">
        <f aca="false">IF($P$2&gt;0,"",IFERROR(INDEX(Offices!$GB$2:$GB$1000,MATCH(18,Offices!$GB$2:$GB$1000,0)),""))</f>
        <v/>
      </c>
    </row>
    <row r="20" customFormat="false" ht="15" hidden="false" customHeight="false" outlineLevel="0" collapsed="false">
      <c r="A20" s="0" t="str">
        <f aca="false">IF($P$2&gt;0,"",IFERROR(INDEX(Offices!$A$2:$A$1000,MATCH(19,Offices!$GB$2:$GB$1000,0))&amp;"",""))</f>
        <v/>
      </c>
      <c r="B20" s="0" t="str">
        <f aca="false">IF($P$2&gt;0,"",IFERROR(INDEX(Offices!$B$2:$B$1000,MATCH(19,Offices!$GB$2:$GB$1000,0))&amp;"",""))</f>
        <v/>
      </c>
      <c r="C20" s="0" t="str">
        <f aca="false">IF($P$2&gt;0,"",IFERROR(INDEX(Offices!$J$2:$J$1000,MATCH(19,Offices!$GB$2:$GB$1000,0)),""))</f>
        <v/>
      </c>
      <c r="D20" s="0" t="str">
        <f aca="false">IF($P$2&gt;0,"",IFERROR(INDEX(Offices!$AI$2:$AI$1000,MATCH(19,Offices!$GB$2:$GB$1000,0))&amp;"",""))</f>
        <v/>
      </c>
      <c r="E20" s="0" t="str">
        <f aca="false">IF($P$2&gt;0,"",IFERROR(INDEX(Offices!$AJ$2:$AJ$1000,MATCH(19,Offices!$GB$2:$GB$1000,0))&amp;"",""))</f>
        <v/>
      </c>
      <c r="F20" s="0" t="str">
        <f aca="false">IF($P$2&gt;0,"",IFERROR(INDEX(Offices!$DL$2:$DL$1000,MATCH(19,Offices!$GB$2:$GB$1000,0))&amp;"",""))</f>
        <v/>
      </c>
      <c r="G20" s="0" t="str">
        <f aca="false">IF($P$2&gt;0,"",IFERROR(INDEX(Offices!$DX$2:$DX$1000,MATCH(19,Offices!$GB$2:$GB$1000,0))&amp;"",""))</f>
        <v/>
      </c>
      <c r="H20" s="0" t="str">
        <f aca="false">IF($P$2&gt;0,"",IFERROR(INDEX(Offices!$DZ$2:$DZ$1000,MATCH(19,Offices!$GB$2:$GB$1000,0))&amp;"",""))</f>
        <v/>
      </c>
      <c r="I20" s="0" t="str">
        <f aca="false">IF($P$2&gt;0,"",IFERROR(INDEX(Offices!$EA$2:$EA$1000,MATCH(19,Offices!$GB$2:$GB$1000,0))&amp;"",""))</f>
        <v/>
      </c>
      <c r="J20" s="0" t="str">
        <f aca="false">IF($P$2&gt;0,"",IFERROR(INDEX(Offices!$CR$2:$CR$1000,MATCH(19,Offices!$GB$2:$GB$1000,0))&amp;"",""))</f>
        <v/>
      </c>
      <c r="K20" s="0" t="str">
        <f aca="false">IF($P$2&gt;0,"",IFERROR(INDEX(Offices!$DE$2:$DE$1000,MATCH(19,Offices!$GB$2:$GB$1000,0))&amp;"",""))</f>
        <v/>
      </c>
      <c r="L20" s="0" t="str">
        <f aca="false">IF($P$2&gt;0,"",IFERROR(INDEX(Offices!$AB$2:$AB$1000,MATCH(19,Offices!$GB$2:$GB$1000,0))&amp;"",""))</f>
        <v/>
      </c>
      <c r="M20" s="0" t="str">
        <f aca="false">IF($P$2&gt;0,"",IFERROR(INDEX(Offices!$U$2:$U$1000,MATCH(19,Offices!$GB$2:$GB$1000,0))&amp;"",""))</f>
        <v/>
      </c>
      <c r="N20" s="0" t="str">
        <f aca="false">IF($P$2&gt;0,"",IFERROR(INDEX(Offices!$GB$2:$GB$1000,MATCH(19,Offices!$GB$2:$GB$1000,0)),""))</f>
        <v/>
      </c>
    </row>
    <row r="21" customFormat="false" ht="15" hidden="false" customHeight="false" outlineLevel="0" collapsed="false">
      <c r="A21" s="0" t="str">
        <f aca="false">IF($P$2&gt;0,"",IFERROR(INDEX(Offices!$A$2:$A$1000,MATCH(20,Offices!$GB$2:$GB$1000,0))&amp;"",""))</f>
        <v/>
      </c>
      <c r="B21" s="0" t="str">
        <f aca="false">IF($P$2&gt;0,"",IFERROR(INDEX(Offices!$B$2:$B$1000,MATCH(20,Offices!$GB$2:$GB$1000,0))&amp;"",""))</f>
        <v/>
      </c>
      <c r="C21" s="0" t="str">
        <f aca="false">IF($P$2&gt;0,"",IFERROR(INDEX(Offices!$J$2:$J$1000,MATCH(20,Offices!$GB$2:$GB$1000,0)),""))</f>
        <v/>
      </c>
      <c r="D21" s="0" t="str">
        <f aca="false">IF($P$2&gt;0,"",IFERROR(INDEX(Offices!$AI$2:$AI$1000,MATCH(20,Offices!$GB$2:$GB$1000,0))&amp;"",""))</f>
        <v/>
      </c>
      <c r="E21" s="0" t="str">
        <f aca="false">IF($P$2&gt;0,"",IFERROR(INDEX(Offices!$AJ$2:$AJ$1000,MATCH(20,Offices!$GB$2:$GB$1000,0))&amp;"",""))</f>
        <v/>
      </c>
      <c r="F21" s="0" t="str">
        <f aca="false">IF($P$2&gt;0,"",IFERROR(INDEX(Offices!$DL$2:$DL$1000,MATCH(20,Offices!$GB$2:$GB$1000,0))&amp;"",""))</f>
        <v/>
      </c>
      <c r="G21" s="0" t="str">
        <f aca="false">IF($P$2&gt;0,"",IFERROR(INDEX(Offices!$DX$2:$DX$1000,MATCH(20,Offices!$GB$2:$GB$1000,0))&amp;"",""))</f>
        <v/>
      </c>
      <c r="H21" s="0" t="str">
        <f aca="false">IF($P$2&gt;0,"",IFERROR(INDEX(Offices!$DZ$2:$DZ$1000,MATCH(20,Offices!$GB$2:$GB$1000,0))&amp;"",""))</f>
        <v/>
      </c>
      <c r="I21" s="0" t="str">
        <f aca="false">IF($P$2&gt;0,"",IFERROR(INDEX(Offices!$EA$2:$EA$1000,MATCH(20,Offices!$GB$2:$GB$1000,0))&amp;"",""))</f>
        <v/>
      </c>
      <c r="J21" s="0" t="str">
        <f aca="false">IF($P$2&gt;0,"",IFERROR(INDEX(Offices!$CR$2:$CR$1000,MATCH(20,Offices!$GB$2:$GB$1000,0))&amp;"",""))</f>
        <v/>
      </c>
      <c r="K21" s="0" t="str">
        <f aca="false">IF($P$2&gt;0,"",IFERROR(INDEX(Offices!$DE$2:$DE$1000,MATCH(20,Offices!$GB$2:$GB$1000,0))&amp;"",""))</f>
        <v/>
      </c>
      <c r="L21" s="0" t="str">
        <f aca="false">IF($P$2&gt;0,"",IFERROR(INDEX(Offices!$AB$2:$AB$1000,MATCH(20,Offices!$GB$2:$GB$1000,0))&amp;"",""))</f>
        <v/>
      </c>
      <c r="M21" s="0" t="str">
        <f aca="false">IF($P$2&gt;0,"",IFERROR(INDEX(Offices!$U$2:$U$1000,MATCH(20,Offices!$GB$2:$GB$1000,0))&amp;"",""))</f>
        <v/>
      </c>
      <c r="N21" s="0" t="str">
        <f aca="false">IF($P$2&gt;0,"",IFERROR(INDEX(Offices!$GB$2:$GB$1000,MATCH(20,Offices!$GB$2:$GB$1000,0)),""))</f>
        <v/>
      </c>
    </row>
    <row r="22" customFormat="false" ht="15" hidden="false" customHeight="false" outlineLevel="0" collapsed="false">
      <c r="A22" s="0" t="str">
        <f aca="false">IF($P$2&gt;0,"",IFERROR(INDEX(Offices!$A$2:$A$1000,MATCH(21,Offices!$GB$2:$GB$1000,0))&amp;"",""))</f>
        <v/>
      </c>
      <c r="B22" s="0" t="str">
        <f aca="false">IF($P$2&gt;0,"",IFERROR(INDEX(Offices!$B$2:$B$1000,MATCH(21,Offices!$GB$2:$GB$1000,0))&amp;"",""))</f>
        <v/>
      </c>
      <c r="C22" s="0" t="str">
        <f aca="false">IF($P$2&gt;0,"",IFERROR(INDEX(Offices!$J$2:$J$1000,MATCH(21,Offices!$GB$2:$GB$1000,0)),""))</f>
        <v/>
      </c>
      <c r="D22" s="0" t="str">
        <f aca="false">IF($P$2&gt;0,"",IFERROR(INDEX(Offices!$AI$2:$AI$1000,MATCH(21,Offices!$GB$2:$GB$1000,0))&amp;"",""))</f>
        <v/>
      </c>
      <c r="E22" s="0" t="str">
        <f aca="false">IF($P$2&gt;0,"",IFERROR(INDEX(Offices!$AJ$2:$AJ$1000,MATCH(21,Offices!$GB$2:$GB$1000,0))&amp;"",""))</f>
        <v/>
      </c>
      <c r="F22" s="0" t="str">
        <f aca="false">IF($P$2&gt;0,"",IFERROR(INDEX(Offices!$DL$2:$DL$1000,MATCH(21,Offices!$GB$2:$GB$1000,0))&amp;"",""))</f>
        <v/>
      </c>
      <c r="G22" s="0" t="str">
        <f aca="false">IF($P$2&gt;0,"",IFERROR(INDEX(Offices!$DX$2:$DX$1000,MATCH(21,Offices!$GB$2:$GB$1000,0))&amp;"",""))</f>
        <v/>
      </c>
      <c r="H22" s="0" t="str">
        <f aca="false">IF($P$2&gt;0,"",IFERROR(INDEX(Offices!$DZ$2:$DZ$1000,MATCH(21,Offices!$GB$2:$GB$1000,0))&amp;"",""))</f>
        <v/>
      </c>
      <c r="I22" s="0" t="str">
        <f aca="false">IF($P$2&gt;0,"",IFERROR(INDEX(Offices!$EA$2:$EA$1000,MATCH(21,Offices!$GB$2:$GB$1000,0))&amp;"",""))</f>
        <v/>
      </c>
      <c r="J22" s="0" t="str">
        <f aca="false">IF($P$2&gt;0,"",IFERROR(INDEX(Offices!$CR$2:$CR$1000,MATCH(21,Offices!$GB$2:$GB$1000,0))&amp;"",""))</f>
        <v/>
      </c>
      <c r="K22" s="0" t="str">
        <f aca="false">IF($P$2&gt;0,"",IFERROR(INDEX(Offices!$DE$2:$DE$1000,MATCH(21,Offices!$GB$2:$GB$1000,0))&amp;"",""))</f>
        <v/>
      </c>
      <c r="L22" s="0" t="str">
        <f aca="false">IF($P$2&gt;0,"",IFERROR(INDEX(Offices!$AB$2:$AB$1000,MATCH(21,Offices!$GB$2:$GB$1000,0))&amp;"",""))</f>
        <v/>
      </c>
      <c r="M22" s="0" t="str">
        <f aca="false">IF($P$2&gt;0,"",IFERROR(INDEX(Offices!$U$2:$U$1000,MATCH(21,Offices!$GB$2:$GB$1000,0))&amp;"",""))</f>
        <v/>
      </c>
      <c r="N22" s="0" t="str">
        <f aca="false">IF($P$2&gt;0,"",IFERROR(INDEX(Offices!$GB$2:$GB$1000,MATCH(21,Offices!$GB$2:$GB$1000,0)),""))</f>
        <v/>
      </c>
    </row>
    <row r="23" customFormat="false" ht="15" hidden="false" customHeight="false" outlineLevel="0" collapsed="false">
      <c r="A23" s="0" t="str">
        <f aca="false">IF($P$2&gt;0,"",IFERROR(INDEX(Offices!$A$2:$A$1000,MATCH(22,Offices!$GB$2:$GB$1000,0))&amp;"",""))</f>
        <v/>
      </c>
      <c r="B23" s="0" t="str">
        <f aca="false">IF($P$2&gt;0,"",IFERROR(INDEX(Offices!$B$2:$B$1000,MATCH(22,Offices!$GB$2:$GB$1000,0))&amp;"",""))</f>
        <v/>
      </c>
      <c r="C23" s="0" t="str">
        <f aca="false">IF($P$2&gt;0,"",IFERROR(INDEX(Offices!$J$2:$J$1000,MATCH(22,Offices!$GB$2:$GB$1000,0)),""))</f>
        <v/>
      </c>
      <c r="D23" s="0" t="str">
        <f aca="false">IF($P$2&gt;0,"",IFERROR(INDEX(Offices!$AI$2:$AI$1000,MATCH(22,Offices!$GB$2:$GB$1000,0))&amp;"",""))</f>
        <v/>
      </c>
      <c r="E23" s="0" t="str">
        <f aca="false">IF($P$2&gt;0,"",IFERROR(INDEX(Offices!$AJ$2:$AJ$1000,MATCH(22,Offices!$GB$2:$GB$1000,0))&amp;"",""))</f>
        <v/>
      </c>
      <c r="F23" s="0" t="str">
        <f aca="false">IF($P$2&gt;0,"",IFERROR(INDEX(Offices!$DL$2:$DL$1000,MATCH(22,Offices!$GB$2:$GB$1000,0))&amp;"",""))</f>
        <v/>
      </c>
      <c r="G23" s="0" t="str">
        <f aca="false">IF($P$2&gt;0,"",IFERROR(INDEX(Offices!$DX$2:$DX$1000,MATCH(22,Offices!$GB$2:$GB$1000,0))&amp;"",""))</f>
        <v/>
      </c>
      <c r="H23" s="0" t="str">
        <f aca="false">IF($P$2&gt;0,"",IFERROR(INDEX(Offices!$DZ$2:$DZ$1000,MATCH(22,Offices!$GB$2:$GB$1000,0))&amp;"",""))</f>
        <v/>
      </c>
      <c r="I23" s="0" t="str">
        <f aca="false">IF($P$2&gt;0,"",IFERROR(INDEX(Offices!$EA$2:$EA$1000,MATCH(22,Offices!$GB$2:$GB$1000,0))&amp;"",""))</f>
        <v/>
      </c>
      <c r="J23" s="0" t="str">
        <f aca="false">IF($P$2&gt;0,"",IFERROR(INDEX(Offices!$CR$2:$CR$1000,MATCH(22,Offices!$GB$2:$GB$1000,0))&amp;"",""))</f>
        <v/>
      </c>
      <c r="K23" s="0" t="str">
        <f aca="false">IF($P$2&gt;0,"",IFERROR(INDEX(Offices!$DE$2:$DE$1000,MATCH(22,Offices!$GB$2:$GB$1000,0))&amp;"",""))</f>
        <v/>
      </c>
      <c r="L23" s="0" t="str">
        <f aca="false">IF($P$2&gt;0,"",IFERROR(INDEX(Offices!$AB$2:$AB$1000,MATCH(22,Offices!$GB$2:$GB$1000,0))&amp;"",""))</f>
        <v/>
      </c>
      <c r="M23" s="0" t="str">
        <f aca="false">IF($P$2&gt;0,"",IFERROR(INDEX(Offices!$U$2:$U$1000,MATCH(22,Offices!$GB$2:$GB$1000,0))&amp;"",""))</f>
        <v/>
      </c>
      <c r="N23" s="0" t="str">
        <f aca="false">IF($P$2&gt;0,"",IFERROR(INDEX(Offices!$GB$2:$GB$1000,MATCH(22,Offices!$GB$2:$GB$1000,0)),""))</f>
        <v/>
      </c>
    </row>
    <row r="24" customFormat="false" ht="15" hidden="false" customHeight="false" outlineLevel="0" collapsed="false">
      <c r="A24" s="0" t="str">
        <f aca="false">IF($P$2&gt;0,"",IFERROR(INDEX(Offices!$A$2:$A$1000,MATCH(23,Offices!$GB$2:$GB$1000,0))&amp;"",""))</f>
        <v/>
      </c>
      <c r="B24" s="0" t="str">
        <f aca="false">IF($P$2&gt;0,"",IFERROR(INDEX(Offices!$B$2:$B$1000,MATCH(23,Offices!$GB$2:$GB$1000,0))&amp;"",""))</f>
        <v/>
      </c>
      <c r="C24" s="0" t="str">
        <f aca="false">IF($P$2&gt;0,"",IFERROR(INDEX(Offices!$J$2:$J$1000,MATCH(23,Offices!$GB$2:$GB$1000,0)),""))</f>
        <v/>
      </c>
      <c r="D24" s="0" t="str">
        <f aca="false">IF($P$2&gt;0,"",IFERROR(INDEX(Offices!$AI$2:$AI$1000,MATCH(23,Offices!$GB$2:$GB$1000,0))&amp;"",""))</f>
        <v/>
      </c>
      <c r="E24" s="0" t="str">
        <f aca="false">IF($P$2&gt;0,"",IFERROR(INDEX(Offices!$AJ$2:$AJ$1000,MATCH(23,Offices!$GB$2:$GB$1000,0))&amp;"",""))</f>
        <v/>
      </c>
      <c r="F24" s="0" t="str">
        <f aca="false">IF($P$2&gt;0,"",IFERROR(INDEX(Offices!$DL$2:$DL$1000,MATCH(23,Offices!$GB$2:$GB$1000,0))&amp;"",""))</f>
        <v/>
      </c>
      <c r="G24" s="0" t="str">
        <f aca="false">IF($P$2&gt;0,"",IFERROR(INDEX(Offices!$DX$2:$DX$1000,MATCH(23,Offices!$GB$2:$GB$1000,0))&amp;"",""))</f>
        <v/>
      </c>
      <c r="H24" s="0" t="str">
        <f aca="false">IF($P$2&gt;0,"",IFERROR(INDEX(Offices!$DZ$2:$DZ$1000,MATCH(23,Offices!$GB$2:$GB$1000,0))&amp;"",""))</f>
        <v/>
      </c>
      <c r="I24" s="0" t="str">
        <f aca="false">IF($P$2&gt;0,"",IFERROR(INDEX(Offices!$EA$2:$EA$1000,MATCH(23,Offices!$GB$2:$GB$1000,0))&amp;"",""))</f>
        <v/>
      </c>
      <c r="J24" s="0" t="str">
        <f aca="false">IF($P$2&gt;0,"",IFERROR(INDEX(Offices!$CR$2:$CR$1000,MATCH(23,Offices!$GB$2:$GB$1000,0))&amp;"",""))</f>
        <v/>
      </c>
      <c r="K24" s="0" t="str">
        <f aca="false">IF($P$2&gt;0,"",IFERROR(INDEX(Offices!$DE$2:$DE$1000,MATCH(23,Offices!$GB$2:$GB$1000,0))&amp;"",""))</f>
        <v/>
      </c>
      <c r="L24" s="0" t="str">
        <f aca="false">IF($P$2&gt;0,"",IFERROR(INDEX(Offices!$AB$2:$AB$1000,MATCH(23,Offices!$GB$2:$GB$1000,0))&amp;"",""))</f>
        <v/>
      </c>
      <c r="M24" s="0" t="str">
        <f aca="false">IF($P$2&gt;0,"",IFERROR(INDEX(Offices!$U$2:$U$1000,MATCH(23,Offices!$GB$2:$GB$1000,0))&amp;"",""))</f>
        <v/>
      </c>
      <c r="N24" s="0" t="str">
        <f aca="false">IF($P$2&gt;0,"",IFERROR(INDEX(Offices!$GB$2:$GB$1000,MATCH(23,Offices!$GB$2:$GB$1000,0)),""))</f>
        <v/>
      </c>
    </row>
    <row r="25" customFormat="false" ht="15" hidden="false" customHeight="false" outlineLevel="0" collapsed="false">
      <c r="A25" s="0" t="str">
        <f aca="false">IF($P$2&gt;0,"",IFERROR(INDEX(Offices!$A$2:$A$1000,MATCH(24,Offices!$GB$2:$GB$1000,0))&amp;"",""))</f>
        <v/>
      </c>
      <c r="B25" s="0" t="str">
        <f aca="false">IF($P$2&gt;0,"",IFERROR(INDEX(Offices!$B$2:$B$1000,MATCH(24,Offices!$GB$2:$GB$1000,0))&amp;"",""))</f>
        <v/>
      </c>
      <c r="C25" s="0" t="str">
        <f aca="false">IF($P$2&gt;0,"",IFERROR(INDEX(Offices!$J$2:$J$1000,MATCH(24,Offices!$GB$2:$GB$1000,0)),""))</f>
        <v/>
      </c>
      <c r="D25" s="0" t="str">
        <f aca="false">IF($P$2&gt;0,"",IFERROR(INDEX(Offices!$AI$2:$AI$1000,MATCH(24,Offices!$GB$2:$GB$1000,0))&amp;"",""))</f>
        <v/>
      </c>
      <c r="E25" s="0" t="str">
        <f aca="false">IF($P$2&gt;0,"",IFERROR(INDEX(Offices!$AJ$2:$AJ$1000,MATCH(24,Offices!$GB$2:$GB$1000,0))&amp;"",""))</f>
        <v/>
      </c>
      <c r="F25" s="0" t="str">
        <f aca="false">IF($P$2&gt;0,"",IFERROR(INDEX(Offices!$DL$2:$DL$1000,MATCH(24,Offices!$GB$2:$GB$1000,0))&amp;"",""))</f>
        <v/>
      </c>
      <c r="G25" s="0" t="str">
        <f aca="false">IF($P$2&gt;0,"",IFERROR(INDEX(Offices!$DX$2:$DX$1000,MATCH(24,Offices!$GB$2:$GB$1000,0))&amp;"",""))</f>
        <v/>
      </c>
      <c r="H25" s="0" t="str">
        <f aca="false">IF($P$2&gt;0,"",IFERROR(INDEX(Offices!$DZ$2:$DZ$1000,MATCH(24,Offices!$GB$2:$GB$1000,0))&amp;"",""))</f>
        <v/>
      </c>
      <c r="I25" s="0" t="str">
        <f aca="false">IF($P$2&gt;0,"",IFERROR(INDEX(Offices!$EA$2:$EA$1000,MATCH(24,Offices!$GB$2:$GB$1000,0))&amp;"",""))</f>
        <v/>
      </c>
      <c r="J25" s="0" t="str">
        <f aca="false">IF($P$2&gt;0,"",IFERROR(INDEX(Offices!$CR$2:$CR$1000,MATCH(24,Offices!$GB$2:$GB$1000,0))&amp;"",""))</f>
        <v/>
      </c>
      <c r="K25" s="0" t="str">
        <f aca="false">IF($P$2&gt;0,"",IFERROR(INDEX(Offices!$DE$2:$DE$1000,MATCH(24,Offices!$GB$2:$GB$1000,0))&amp;"",""))</f>
        <v/>
      </c>
      <c r="L25" s="0" t="str">
        <f aca="false">IF($P$2&gt;0,"",IFERROR(INDEX(Offices!$AB$2:$AB$1000,MATCH(24,Offices!$GB$2:$GB$1000,0))&amp;"",""))</f>
        <v/>
      </c>
      <c r="M25" s="0" t="str">
        <f aca="false">IF($P$2&gt;0,"",IFERROR(INDEX(Offices!$U$2:$U$1000,MATCH(24,Offices!$GB$2:$GB$1000,0))&amp;"",""))</f>
        <v/>
      </c>
      <c r="N25" s="0" t="str">
        <f aca="false">IF($P$2&gt;0,"",IFERROR(INDEX(Offices!$GB$2:$GB$1000,MATCH(24,Offices!$GB$2:$GB$1000,0)),""))</f>
        <v/>
      </c>
    </row>
    <row r="26" customFormat="false" ht="15" hidden="false" customHeight="false" outlineLevel="0" collapsed="false">
      <c r="A26" s="0" t="str">
        <f aca="false">IF($P$2&gt;0,"",IFERROR(INDEX(Offices!$A$2:$A$1000,MATCH(25,Offices!$GB$2:$GB$1000,0))&amp;"",""))</f>
        <v/>
      </c>
      <c r="B26" s="0" t="str">
        <f aca="false">IF($P$2&gt;0,"",IFERROR(INDEX(Offices!$B$2:$B$1000,MATCH(25,Offices!$GB$2:$GB$1000,0))&amp;"",""))</f>
        <v/>
      </c>
      <c r="C26" s="0" t="str">
        <f aca="false">IF($P$2&gt;0,"",IFERROR(INDEX(Offices!$J$2:$J$1000,MATCH(25,Offices!$GB$2:$GB$1000,0)),""))</f>
        <v/>
      </c>
      <c r="D26" s="0" t="str">
        <f aca="false">IF($P$2&gt;0,"",IFERROR(INDEX(Offices!$AI$2:$AI$1000,MATCH(25,Offices!$GB$2:$GB$1000,0))&amp;"",""))</f>
        <v/>
      </c>
      <c r="E26" s="0" t="str">
        <f aca="false">IF($P$2&gt;0,"",IFERROR(INDEX(Offices!$AJ$2:$AJ$1000,MATCH(25,Offices!$GB$2:$GB$1000,0))&amp;"",""))</f>
        <v/>
      </c>
      <c r="F26" s="0" t="str">
        <f aca="false">IF($P$2&gt;0,"",IFERROR(INDEX(Offices!$DL$2:$DL$1000,MATCH(25,Offices!$GB$2:$GB$1000,0))&amp;"",""))</f>
        <v/>
      </c>
      <c r="G26" s="0" t="str">
        <f aca="false">IF($P$2&gt;0,"",IFERROR(INDEX(Offices!$DX$2:$DX$1000,MATCH(25,Offices!$GB$2:$GB$1000,0))&amp;"",""))</f>
        <v/>
      </c>
      <c r="H26" s="0" t="str">
        <f aca="false">IF($P$2&gt;0,"",IFERROR(INDEX(Offices!$DZ$2:$DZ$1000,MATCH(25,Offices!$GB$2:$GB$1000,0))&amp;"",""))</f>
        <v/>
      </c>
      <c r="I26" s="0" t="str">
        <f aca="false">IF($P$2&gt;0,"",IFERROR(INDEX(Offices!$EA$2:$EA$1000,MATCH(25,Offices!$GB$2:$GB$1000,0))&amp;"",""))</f>
        <v/>
      </c>
      <c r="J26" s="0" t="str">
        <f aca="false">IF($P$2&gt;0,"",IFERROR(INDEX(Offices!$CR$2:$CR$1000,MATCH(25,Offices!$GB$2:$GB$1000,0))&amp;"",""))</f>
        <v/>
      </c>
      <c r="K26" s="0" t="str">
        <f aca="false">IF($P$2&gt;0,"",IFERROR(INDEX(Offices!$DE$2:$DE$1000,MATCH(25,Offices!$GB$2:$GB$1000,0))&amp;"",""))</f>
        <v/>
      </c>
      <c r="L26" s="0" t="str">
        <f aca="false">IF($P$2&gt;0,"",IFERROR(INDEX(Offices!$AB$2:$AB$1000,MATCH(25,Offices!$GB$2:$GB$1000,0))&amp;"",""))</f>
        <v/>
      </c>
      <c r="M26" s="0" t="str">
        <f aca="false">IF($P$2&gt;0,"",IFERROR(INDEX(Offices!$U$2:$U$1000,MATCH(25,Offices!$GB$2:$GB$1000,0))&amp;"",""))</f>
        <v/>
      </c>
      <c r="N26" s="0" t="str">
        <f aca="false">IF($P$2&gt;0,"",IFERROR(INDEX(Offices!$GB$2:$GB$1000,MATCH(25,Offices!$GB$2:$GB$1000,0)),""))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4" min="3" style="0" width="16"/>
    <col collapsed="false" customWidth="true" hidden="false" outlineLevel="0" max="5" min="5" style="0" width="60"/>
    <col collapsed="false" customWidth="true" hidden="false" outlineLevel="0" max="12" min="6" style="0" width="16"/>
    <col collapsed="false" customWidth="true" hidden="true" outlineLevel="0" max="14" min="14" style="0" width="13"/>
  </cols>
  <sheetData>
    <row r="1" customFormat="false" ht="15" hidden="false" customHeight="false" outlineLevel="0" collapsed="false">
      <c r="A1" s="6" t="s">
        <v>0</v>
      </c>
      <c r="B1" s="6" t="s">
        <v>1</v>
      </c>
      <c r="C1" s="6" t="s">
        <v>5495</v>
      </c>
      <c r="D1" s="6" t="s">
        <v>5528</v>
      </c>
      <c r="E1" s="6" t="s">
        <v>5521</v>
      </c>
      <c r="F1" s="6" t="s">
        <v>2</v>
      </c>
      <c r="G1" s="6" t="s">
        <v>5497</v>
      </c>
      <c r="H1" s="6" t="s">
        <v>5488</v>
      </c>
      <c r="I1" s="6" t="s">
        <v>5489</v>
      </c>
      <c r="J1" s="6" t="s">
        <v>5490</v>
      </c>
      <c r="K1" s="6" t="s">
        <v>5505</v>
      </c>
      <c r="L1" s="6" t="s">
        <v>5569</v>
      </c>
      <c r="N1" s="0" t="s">
        <v>12143</v>
      </c>
    </row>
    <row r="2" customFormat="false" ht="15" hidden="false" customHeight="false" outlineLevel="0" collapsed="false">
      <c r="A2" s="0" t="str">
        <f aca="false">IF($N$2&gt;0,"The table tab was pasted over and its formulas are gone: undo the paste or restore it (File &gt; Version history). Paste Clay exports on the Enrichment tab only.",IFERROR(INDEX(Brands!$A$2:$A$1000,MATCH(1,Brands!$FE$2:$FE$1000,0))&amp;"","No brand is waiting for your review"))</f>
        <v>AB-081</v>
      </c>
      <c r="B2" s="0" t="str">
        <f aca="false">IF($N$2&gt;0,"",IFERROR(INDEX(Brands!$B$2:$B$1000,MATCH(1,Brands!$FE$2:$FE$1000,0))&amp;"",""))</f>
        <v>Mezcla</v>
      </c>
      <c r="C2" s="0" t="n">
        <f aca="false">IF($N$2&gt;0,"",IFERROR(INDEX(Brands!$J$2:$J$1000,MATCH(1,Brands!$FE$2:$FE$1000,0)),""))</f>
        <v>64</v>
      </c>
      <c r="D2" s="0" t="str">
        <f aca="false">IF($N$2&gt;0,"",IFERROR(INDEX(Brands!$CN$2:$CN$1000,MATCH(1,Brands!$FE$2:$FE$1000,0))&amp;"",""))</f>
        <v>nutrient-claim;scale</v>
      </c>
      <c r="E2" s="0" t="str">
        <f aca="false">IF($N$2&gt;0,"",IFERROR(INDEX(Brands!$AM$2:$AM$1000,MATCH(1,Brands!$FE$2:$FE$1000,0))&amp;"",""))</f>
        <v>Plant-based protein bar (nutrient-content positioning); scale signal in the why-now ('Series B'): likely above the $10M band; ask at intake; 60-day shelf life not stated</v>
      </c>
      <c r="F2" s="0" t="str">
        <f aca="false">IF($N$2&gt;0,"",IFERROR(INDEX(Brands!$CO$2:$CO$1000,MATCH(1,Brands!$FE$2:$FE$1000,0))&amp;"",""))</f>
        <v>https://eatmezcla.com</v>
      </c>
      <c r="G2" s="0" t="str">
        <f aca="false">IF($N$2&gt;0,"",IFERROR(INDEX(Brands!$M$2:$M$1000,MATCH(1,Brands!$FE$2:$FE$1000,0))&amp;"",""))</f>
        <v>Whole Foods Market NoMad, 63 Madison Ave</v>
      </c>
      <c r="H2" s="0" t="str">
        <f aca="false">IF($N$2&gt;0,"",IFERROR(INDEX(Brands!$C$2:$C$1000,MATCH(1,Brands!$FE$2:$FE$1000,0))&amp;"",""))</f>
        <v>Griffin</v>
      </c>
      <c r="I2" s="0" t="str">
        <f aca="false">IF($N$2&gt;0,"",IFERROR(INDEX(Brands!$D$2:$D$1000,MATCH(1,Brands!$FE$2:$FE$1000,0))&amp;"",""))</f>
        <v>Spolansky</v>
      </c>
      <c r="J2" s="0" t="str">
        <f aca="false">IF($N$2&gt;0,"",IFERROR(INDEX(Brands!$E$2:$E$1000,MATCH(1,Brands!$FE$2:$FE$1000,0))&amp;"",""))</f>
        <v>Co-founder and CEO</v>
      </c>
      <c r="K2" s="0" t="str">
        <f aca="false">IF($N$2&gt;0,"",IFERROR(INDEX(Brands!$U$2:$U$1000,MATCH(1,Brands!$FE$2:$FE$1000,0))&amp;"",""))</f>
        <v>new</v>
      </c>
      <c r="L2" s="0" t="n">
        <f aca="false">IF($N$2&gt;0,"",IFERROR(INDEX(Brands!$FE$2:$FE$1000,MATCH(1,Brands!$FE$2:$FE$1000,0)),""))</f>
        <v>1</v>
      </c>
      <c r="N2" s="0" t="n">
        <f aca="false">COUNTIF(Brands!$FF$2:$FF$1000,"N")</f>
        <v>0</v>
      </c>
    </row>
    <row r="3" customFormat="false" ht="15" hidden="false" customHeight="false" outlineLevel="0" collapsed="false">
      <c r="A3" s="0" t="str">
        <f aca="false">IF($N$2&gt;0,"",IFERROR(INDEX(Brands!$A$2:$A$1000,MATCH(2,Brands!$FE$2:$FE$1000,0))&amp;"",""))</f>
        <v>AB-236</v>
      </c>
      <c r="B3" s="0" t="str">
        <f aca="false">IF($N$2&gt;0,"",IFERROR(INDEX(Brands!$B$2:$B$1000,MATCH(2,Brands!$FE$2:$FE$1000,0))&amp;"",""))</f>
        <v>Goody's Granola</v>
      </c>
      <c r="C3" s="0" t="n">
        <f aca="false">IF($N$2&gt;0,"",IFERROR(INDEX(Brands!$J$2:$J$1000,MATCH(2,Brands!$FE$2:$FE$1000,0)),""))</f>
        <v>64</v>
      </c>
      <c r="D3" s="0" t="str">
        <f aca="false">IF($N$2&gt;0,"",IFERROR(INDEX(Brands!$CN$2:$CN$1000,MATCH(2,Brands!$FE$2:$FE$1000,0))&amp;"",""))</f>
        <v>claim-functional;nutrient-claim</v>
      </c>
      <c r="E3" s="0" t="str">
        <f aca="false">IF($N$2&gt;0,"",IFERROR(INDEX(Brands!$AM$2:$AM$1000,MATCH(2,Brands!$FE$2:$FE$1000,0))&amp;"",""))</f>
        <v>Granola is snack-adjacent; 4 oz bag is closer to single-serve than most | Claims review 2026-10-24: blog post: most granolas 'spike your blood sugar and drop you off a cliff an hour later' (blog copy, not pack copy) (https://goodysgranola.nyc/blogs/announcements/beyond-the-crunch-why-your-breakfast-choice-is-your-secret-productivity-hack); decide before outreach, and the tent card must not repeat it</v>
      </c>
      <c r="F3" s="0" t="str">
        <f aca="false">IF($N$2&gt;0,"",IFERROR(INDEX(Brands!$CO$2:$CO$1000,MATCH(2,Brands!$FE$2:$FE$1000,0))&amp;"",""))</f>
        <v>https://goodysgranola.nyc</v>
      </c>
      <c r="G3" s="0" t="str">
        <f aca="false">IF($N$2&gt;0,"",IFERROR(INDEX(Brands!$M$2:$M$1000,MATCH(2,Brands!$FE$2:$FE$1000,0))&amp;"",""))</f>
        <v>Whole Foods Market NoMad, 63 Madison Ave</v>
      </c>
      <c r="H3" s="0" t="str">
        <f aca="false">IF($N$2&gt;0,"",IFERROR(INDEX(Brands!$C$2:$C$1000,MATCH(2,Brands!$FE$2:$FE$1000,0))&amp;"",""))</f>
        <v/>
      </c>
      <c r="I3" s="0" t="str">
        <f aca="false">IF($N$2&gt;0,"",IFERROR(INDEX(Brands!$D$2:$D$1000,MATCH(2,Brands!$FE$2:$FE$1000,0))&amp;"",""))</f>
        <v/>
      </c>
      <c r="J3" s="0" t="str">
        <f aca="false">IF($N$2&gt;0,"",IFERROR(INDEX(Brands!$E$2:$E$1000,MATCH(2,Brands!$FE$2:$FE$1000,0))&amp;"",""))</f>
        <v/>
      </c>
      <c r="K3" s="0" t="str">
        <f aca="false">IF($N$2&gt;0,"",IFERROR(INDEX(Brands!$U$2:$U$1000,MATCH(2,Brands!$FE$2:$FE$1000,0))&amp;"",""))</f>
        <v>new</v>
      </c>
      <c r="L3" s="0" t="n">
        <f aca="false">IF($N$2&gt;0,"",IFERROR(INDEX(Brands!$FE$2:$FE$1000,MATCH(2,Brands!$FE$2:$FE$1000,0)),""))</f>
        <v>2</v>
      </c>
    </row>
    <row r="4" customFormat="false" ht="15" hidden="false" customHeight="false" outlineLevel="0" collapsed="false">
      <c r="A4" s="0" t="str">
        <f aca="false">IF($N$2&gt;0,"",IFERROR(INDEX(Brands!$A$2:$A$1000,MATCH(3,Brands!$FE$2:$FE$1000,0))&amp;"",""))</f>
        <v>AB-207</v>
      </c>
      <c r="B4" s="0" t="str">
        <f aca="false">IF($N$2&gt;0,"",IFERROR(INDEX(Brands!$B$2:$B$1000,MATCH(3,Brands!$FE$2:$FE$1000,0))&amp;"",""))</f>
        <v>Stiller's Soda</v>
      </c>
      <c r="C4" s="0" t="n">
        <f aca="false">IF($N$2&gt;0,"",IFERROR(INDEX(Brands!$J$2:$J$1000,MATCH(3,Brands!$FE$2:$FE$1000,0)),""))</f>
        <v>62</v>
      </c>
      <c r="D4" s="0" t="str">
        <f aca="false">IF($N$2&gt;0,"",IFERROR(INDEX(Brands!$CN$2:$CN$1000,MATCH(3,Brands!$FE$2:$FE$1000,0))&amp;"",""))</f>
        <v>scale;nutrient-claim</v>
      </c>
      <c r="E4" s="0" t="str">
        <f aca="false">IF($N$2&gt;0,"",IFERROR(INDEX(Brands!$AM$2:$AM$1000,MATCH(3,Brands!$FE$2:$FE$1000,0))&amp;"",""))</f>
        <v>Nutrient-content claims ('Only 30 Calories', 'low in calories'); celebrity co-founder (Ben Stiller) may mean a larger marketing budget than the target profile</v>
      </c>
      <c r="F4" s="0" t="str">
        <f aca="false">IF($N$2&gt;0,"",IFERROR(INDEX(Brands!$CO$2:$CO$1000,MATCH(3,Brands!$FE$2:$FE$1000,0))&amp;"",""))</f>
        <v>https://stillerssoda.com</v>
      </c>
      <c r="G4" s="0" t="str">
        <f aca="false">IF($N$2&gt;0,"",IFERROR(INDEX(Brands!$M$2:$M$1000,MATCH(3,Brands!$FE$2:$FE$1000,0))&amp;"",""))</f>
        <v>Whole Foods Market NoMad, 63 Madison Ave</v>
      </c>
      <c r="H4" s="0" t="str">
        <f aca="false">IF($N$2&gt;0,"",IFERROR(INDEX(Brands!$C$2:$C$1000,MATCH(3,Brands!$FE$2:$FE$1000,0))&amp;"",""))</f>
        <v>Alex</v>
      </c>
      <c r="I4" s="0" t="str">
        <f aca="false">IF($N$2&gt;0,"",IFERROR(INDEX(Brands!$D$2:$D$1000,MATCH(3,Brands!$FE$2:$FE$1000,0))&amp;"",""))</f>
        <v>Doman</v>
      </c>
      <c r="J4" s="0" t="str">
        <f aca="false">IF($N$2&gt;0,"",IFERROR(INDEX(Brands!$E$2:$E$1000,MATCH(3,Brands!$FE$2:$FE$1000,0))&amp;"",""))</f>
        <v>Co-founder</v>
      </c>
      <c r="K4" s="0" t="str">
        <f aca="false">IF($N$2&gt;0,"",IFERROR(INDEX(Brands!$U$2:$U$1000,MATCH(3,Brands!$FE$2:$FE$1000,0))&amp;"",""))</f>
        <v>new</v>
      </c>
      <c r="L4" s="0" t="n">
        <f aca="false">IF($N$2&gt;0,"",IFERROR(INDEX(Brands!$FE$2:$FE$1000,MATCH(3,Brands!$FE$2:$FE$1000,0)),""))</f>
        <v>3</v>
      </c>
    </row>
    <row r="5" customFormat="false" ht="15" hidden="false" customHeight="false" outlineLevel="0" collapsed="false">
      <c r="A5" s="0" t="str">
        <f aca="false">IF($N$2&gt;0,"",IFERROR(INDEX(Brands!$A$2:$A$1000,MATCH(4,Brands!$FE$2:$FE$1000,0))&amp;"",""))</f>
        <v>AB-032</v>
      </c>
      <c r="B5" s="0" t="str">
        <f aca="false">IF($N$2&gt;0,"",IFERROR(INDEX(Brands!$B$2:$B$1000,MATCH(4,Brands!$FE$2:$FE$1000,0))&amp;"",""))</f>
        <v>Firehook</v>
      </c>
      <c r="C5" s="0" t="n">
        <f aca="false">IF($N$2&gt;0,"",IFERROR(INDEX(Brands!$J$2:$J$1000,MATCH(4,Brands!$FE$2:$FE$1000,0)),""))</f>
        <v>61</v>
      </c>
      <c r="D5" s="0" t="str">
        <f aca="false">IF($N$2&gt;0,"",IFERROR(INDEX(Brands!$CN$2:$CN$1000,MATCH(4,Brands!$FE$2:$FE$1000,0))&amp;"",""))</f>
        <v>format</v>
      </c>
      <c r="E5" s="0" t="str">
        <f aca="false">IF($N$2&gt;0,"",IFERROR(INDEX(Brands!$AM$2:$AM$1000,MATCH(4,Brands!$FE$2:$FE$1000,0))&amp;"",""))</f>
        <v>Brand site unreachable through proxy on 2026-10-23, so HQ, owner and online store are unconfirmed; no individually packaged single-serve SKU on the pages read (check for one before outreach)</v>
      </c>
      <c r="F5" s="0" t="str">
        <f aca="false">IF($N$2&gt;0,"",IFERROR(INDEX(Brands!$CO$2:$CO$1000,MATCH(4,Brands!$FE$2:$FE$1000,0))&amp;"",""))</f>
        <v>https://firehook.com</v>
      </c>
      <c r="G5" s="0" t="str">
        <f aca="false">IF($N$2&gt;0,"",IFERROR(INDEX(Brands!$M$2:$M$1000,MATCH(4,Brands!$FE$2:$FE$1000,0))&amp;"",""))</f>
        <v>Whole Foods Market NoMad, 63 Madison Ave</v>
      </c>
      <c r="H5" s="0" t="str">
        <f aca="false">IF($N$2&gt;0,"",IFERROR(INDEX(Brands!$C$2:$C$1000,MATCH(4,Brands!$FE$2:$FE$1000,0))&amp;"",""))</f>
        <v>Maura</v>
      </c>
      <c r="I5" s="0" t="str">
        <f aca="false">IF($N$2&gt;0,"",IFERROR(INDEX(Brands!$D$2:$D$1000,MATCH(4,Brands!$FE$2:$FE$1000,0))&amp;"",""))</f>
        <v>Mottolese</v>
      </c>
      <c r="J5" s="0" t="str">
        <f aca="false">IF($N$2&gt;0,"",IFERROR(INDEX(Brands!$E$2:$E$1000,MATCH(4,Brands!$FE$2:$FE$1000,0))&amp;"",""))</f>
        <v>CEO</v>
      </c>
      <c r="K5" s="0" t="str">
        <f aca="false">IF($N$2&gt;0,"",IFERROR(INDEX(Brands!$U$2:$U$1000,MATCH(4,Brands!$FE$2:$FE$1000,0))&amp;"",""))</f>
        <v>new</v>
      </c>
      <c r="L5" s="0" t="n">
        <f aca="false">IF($N$2&gt;0,"",IFERROR(INDEX(Brands!$FE$2:$FE$1000,MATCH(4,Brands!$FE$2:$FE$1000,0)),""))</f>
        <v>4</v>
      </c>
    </row>
    <row r="6" customFormat="false" ht="15" hidden="false" customHeight="false" outlineLevel="0" collapsed="false">
      <c r="A6" s="0" t="str">
        <f aca="false">IF($N$2&gt;0,"",IFERROR(INDEX(Brands!$A$2:$A$1000,MATCH(5,Brands!$FE$2:$FE$1000,0))&amp;"",""))</f>
        <v>AB-047</v>
      </c>
      <c r="B6" s="0" t="str">
        <f aca="false">IF($N$2&gt;0,"",IFERROR(INDEX(Brands!$B$2:$B$1000,MATCH(5,Brands!$FE$2:$FE$1000,0))&amp;"",""))</f>
        <v>Go Raw</v>
      </c>
      <c r="C6" s="0" t="n">
        <f aca="false">IF($N$2&gt;0,"",IFERROR(INDEX(Brands!$J$2:$J$1000,MATCH(5,Brands!$FE$2:$FE$1000,0)),""))</f>
        <v>61</v>
      </c>
      <c r="D6" s="0" t="str">
        <f aca="false">IF($N$2&gt;0,"",IFERROR(INDEX(Brands!$CN$2:$CN$1000,MATCH(5,Brands!$FE$2:$FE$1000,0))&amp;"",""))</f>
        <v>nutrient-claim;format</v>
      </c>
      <c r="E6" s="0" t="str">
        <f aca="false">IF($N$2&gt;0,"",IFERROR(INDEX(Brands!$AM$2:$AM$1000,MATCH(5,Brands!$FE$2:$FE$1000,0))&amp;"",""))</f>
        <v>Brand site unreachable on 2026-10-23 (domain guessed, may be wrong); owner and HQ unconfirmed; WFM title uses 'Keto' positioning; no individually packaged single-serve SKU on the pages read (check for one before outreach)</v>
      </c>
      <c r="F6" s="0" t="str">
        <f aca="false">IF($N$2&gt;0,"",IFERROR(INDEX(Brands!$CO$2:$CO$1000,MATCH(5,Brands!$FE$2:$FE$1000,0))&amp;"",""))</f>
        <v>https://goraw.com</v>
      </c>
      <c r="G6" s="0" t="str">
        <f aca="false">IF($N$2&gt;0,"",IFERROR(INDEX(Brands!$M$2:$M$1000,MATCH(5,Brands!$FE$2:$FE$1000,0))&amp;"",""))</f>
        <v>Whole Foods Market NoMad, 63 Madison Ave</v>
      </c>
      <c r="H6" s="0" t="str">
        <f aca="false">IF($N$2&gt;0,"",IFERROR(INDEX(Brands!$C$2:$C$1000,MATCH(5,Brands!$FE$2:$FE$1000,0))&amp;"",""))</f>
        <v>Robert</v>
      </c>
      <c r="I6" s="0" t="str">
        <f aca="false">IF($N$2&gt;0,"",IFERROR(INDEX(Brands!$D$2:$D$1000,MATCH(5,Brands!$FE$2:$FE$1000,0))&amp;"",""))</f>
        <v>Freeland</v>
      </c>
      <c r="J6" s="0" t="str">
        <f aca="false">IF($N$2&gt;0,"",IFERROR(INDEX(Brands!$E$2:$E$1000,MATCH(5,Brands!$FE$2:$FE$1000,0))&amp;"",""))</f>
        <v>Owner, Founder and CEO</v>
      </c>
      <c r="K6" s="0" t="str">
        <f aca="false">IF($N$2&gt;0,"",IFERROR(INDEX(Brands!$U$2:$U$1000,MATCH(5,Brands!$FE$2:$FE$1000,0))&amp;"",""))</f>
        <v>new</v>
      </c>
      <c r="L6" s="0" t="n">
        <f aca="false">IF($N$2&gt;0,"",IFERROR(INDEX(Brands!$FE$2:$FE$1000,MATCH(5,Brands!$FE$2:$FE$1000,0)),""))</f>
        <v>5</v>
      </c>
    </row>
    <row r="7" customFormat="false" ht="15" hidden="false" customHeight="false" outlineLevel="0" collapsed="false">
      <c r="A7" s="0" t="str">
        <f aca="false">IF($N$2&gt;0,"",IFERROR(INDEX(Brands!$A$2:$A$1000,MATCH(6,Brands!$FE$2:$FE$1000,0))&amp;"",""))</f>
        <v>AB-072</v>
      </c>
      <c r="B7" s="0" t="str">
        <f aca="false">IF($N$2&gt;0,"",IFERROR(INDEX(Brands!$B$2:$B$1000,MATCH(6,Brands!$FE$2:$FE$1000,0))&amp;"",""))</f>
        <v>Blue Stripes</v>
      </c>
      <c r="C7" s="0" t="n">
        <f aca="false">IF($N$2&gt;0,"",IFERROR(INDEX(Brands!$J$2:$J$1000,MATCH(6,Brands!$FE$2:$FE$1000,0)),""))</f>
        <v>60</v>
      </c>
      <c r="D7" s="0" t="str">
        <f aca="false">IF($N$2&gt;0,"",IFERROR(INDEX(Brands!$CN$2:$CN$1000,MATCH(6,Brands!$FE$2:$FE$1000,0))&amp;"",""))</f>
        <v>scale;claim-functional;nutrient-claim</v>
      </c>
      <c r="E7" s="0" t="str">
        <f aca="false">IF($N$2&gt;0,"",IFERROR(INDEX(Brands!$AM$2:$AM$1000,MATCH(6,Brands!$FE$2:$FE$1000,0))&amp;"",""))</f>
        <v>'Superfood'/'nutritional benefits of cacao' positioning; Series B and Hershey backing may put it above the size band; check labels for claims | Claims review 2026-10-24: THEOBROMINE Long lasting natural energy; ELECTROLYTES (energy wording) (https://www.bluestripes.com); decide before outreach, and the tent card must not repeat it; 60-day shelf life not stated</v>
      </c>
      <c r="F7" s="0" t="str">
        <f aca="false">IF($N$2&gt;0,"",IFERROR(INDEX(Brands!$CO$2:$CO$1000,MATCH(6,Brands!$FE$2:$FE$1000,0))&amp;"",""))</f>
        <v>https://www.bluestripes.com</v>
      </c>
      <c r="G7" s="0" t="str">
        <f aca="false">IF($N$2&gt;0,"",IFERROR(INDEX(Brands!$M$2:$M$1000,MATCH(6,Brands!$FE$2:$FE$1000,0))&amp;"",""))</f>
        <v>Whole Foods Market NoMad, 63 Madison Ave</v>
      </c>
      <c r="H7" s="0" t="str">
        <f aca="false">IF($N$2&gt;0,"",IFERROR(INDEX(Brands!$C$2:$C$1000,MATCH(6,Brands!$FE$2:$FE$1000,0))&amp;"",""))</f>
        <v>Oded</v>
      </c>
      <c r="I7" s="0" t="str">
        <f aca="false">IF($N$2&gt;0,"",IFERROR(INDEX(Brands!$D$2:$D$1000,MATCH(6,Brands!$FE$2:$FE$1000,0))&amp;"",""))</f>
        <v>Brenner</v>
      </c>
      <c r="J7" s="0" t="str">
        <f aca="false">IF($N$2&gt;0,"",IFERROR(INDEX(Brands!$E$2:$E$1000,MATCH(6,Brands!$FE$2:$FE$1000,0))&amp;"",""))</f>
        <v>Founder and CEO</v>
      </c>
      <c r="K7" s="0" t="str">
        <f aca="false">IF($N$2&gt;0,"",IFERROR(INDEX(Brands!$U$2:$U$1000,MATCH(6,Brands!$FE$2:$FE$1000,0))&amp;"",""))</f>
        <v>new</v>
      </c>
      <c r="L7" s="0" t="n">
        <f aca="false">IF($N$2&gt;0,"",IFERROR(INDEX(Brands!$FE$2:$FE$1000,MATCH(6,Brands!$FE$2:$FE$1000,0)),""))</f>
        <v>6</v>
      </c>
    </row>
    <row r="8" customFormat="false" ht="15" hidden="false" customHeight="false" outlineLevel="0" collapsed="false">
      <c r="A8" s="0" t="str">
        <f aca="false">IF($N$2&gt;0,"",IFERROR(INDEX(Brands!$A$2:$A$1000,MATCH(7,Brands!$FE$2:$FE$1000,0))&amp;"",""))</f>
        <v>AB-004</v>
      </c>
      <c r="B8" s="0" t="str">
        <f aca="false">IF($N$2&gt;0,"",IFERROR(INDEX(Brands!$B$2:$B$1000,MATCH(7,Brands!$FE$2:$FE$1000,0))&amp;"",""))</f>
        <v>Daily Crunch</v>
      </c>
      <c r="C8" s="0" t="n">
        <f aca="false">IF($N$2&gt;0,"",IFERROR(INDEX(Brands!$J$2:$J$1000,MATCH(7,Brands!$FE$2:$FE$1000,0)),""))</f>
        <v>60</v>
      </c>
      <c r="D8" s="0" t="str">
        <f aca="false">IF($N$2&gt;0,"",IFERROR(INDEX(Brands!$CN$2:$CN$1000,MATCH(7,Brands!$FE$2:$FE$1000,0))&amp;"",""))</f>
        <v>claim-functional;nutrient-claim</v>
      </c>
      <c r="E8" s="0" t="str">
        <f aca="false">IF($N$2&gt;0,"",IFERROR(INDEX(Brands!$AM$2:$AM$1000,MATCH(7,Brands!$FE$2:$FE$1000,0))&amp;"",""))</f>
        <v>Homepage leads with nutrient-content claim '5g of Protein per serving' | Claims review 2026-10-24: the brand tags its products 'gut healthy' in its own catalog; if that wording is on the pack or a page, it fails (https://dailycrunchsnacks.com/products/spiced-chai-pear-limited-time-only); decide before outreach, and the tent card must not repeat it</v>
      </c>
      <c r="F8" s="0" t="str">
        <f aca="false">IF($N$2&gt;0,"",IFERROR(INDEX(Brands!$CO$2:$CO$1000,MATCH(7,Brands!$FE$2:$FE$1000,0))&amp;"",""))</f>
        <v>https://dailycrunchsnacks.com</v>
      </c>
      <c r="G8" s="0" t="str">
        <f aca="false">IF($N$2&gt;0,"",IFERROR(INDEX(Brands!$M$2:$M$1000,MATCH(7,Brands!$FE$2:$FE$1000,0))&amp;"",""))</f>
        <v>Whole Foods Market NoMad, 63 Madison Ave</v>
      </c>
      <c r="H8" s="0" t="str">
        <f aca="false">IF($N$2&gt;0,"",IFERROR(INDEX(Brands!$C$2:$C$1000,MATCH(7,Brands!$FE$2:$FE$1000,0))&amp;"",""))</f>
        <v>Laurel</v>
      </c>
      <c r="I8" s="0" t="str">
        <f aca="false">IF($N$2&gt;0,"",IFERROR(INDEX(Brands!$D$2:$D$1000,MATCH(7,Brands!$FE$2:$FE$1000,0))&amp;"",""))</f>
        <v>Orley</v>
      </c>
      <c r="J8" s="0" t="str">
        <f aca="false">IF($N$2&gt;0,"",IFERROR(INDEX(Brands!$E$2:$E$1000,MATCH(7,Brands!$FE$2:$FE$1000,0))&amp;"",""))</f>
        <v>Co-founder and CEO</v>
      </c>
      <c r="K8" s="0" t="str">
        <f aca="false">IF($N$2&gt;0,"",IFERROR(INDEX(Brands!$U$2:$U$1000,MATCH(7,Brands!$FE$2:$FE$1000,0))&amp;"",""))</f>
        <v>new</v>
      </c>
      <c r="L8" s="0" t="n">
        <f aca="false">IF($N$2&gt;0,"",IFERROR(INDEX(Brands!$FE$2:$FE$1000,MATCH(7,Brands!$FE$2:$FE$1000,0)),""))</f>
        <v>7</v>
      </c>
    </row>
    <row r="9" customFormat="false" ht="15" hidden="false" customHeight="false" outlineLevel="0" collapsed="false">
      <c r="A9" s="0" t="str">
        <f aca="false">IF($N$2&gt;0,"",IFERROR(INDEX(Brands!$A$2:$A$1000,MATCH(8,Brands!$FE$2:$FE$1000,0))&amp;"",""))</f>
        <v>AB-096</v>
      </c>
      <c r="B9" s="0" t="str">
        <f aca="false">IF($N$2&gt;0,"",IFERROR(INDEX(Brands!$B$2:$B$1000,MATCH(8,Brands!$FE$2:$FE$1000,0))&amp;"",""))</f>
        <v>Magic Spoon</v>
      </c>
      <c r="C9" s="0" t="n">
        <f aca="false">IF($N$2&gt;0,"",IFERROR(INDEX(Brands!$J$2:$J$1000,MATCH(8,Brands!$FE$2:$FE$1000,0)),""))</f>
        <v>60</v>
      </c>
      <c r="D9" s="0" t="str">
        <f aca="false">IF($N$2&gt;0,"",IFERROR(INDEX(Brands!$CN$2:$CN$1000,MATCH(8,Brands!$FE$2:$FE$1000,0))&amp;"",""))</f>
        <v>scale;claim-functional;nutrient-claim;format-unconfirmed</v>
      </c>
      <c r="E9" s="0" t="str">
        <f aca="false">IF($N$2&gt;0,"",IFERROR(INDEX(Brands!$AM$2:$AM$1000,MATCH(8,Brands!$FE$2:$FE$1000,0))&amp;"",""))</f>
        <v>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single-serve pack not shown on the pages read: ask on the first call; 60-day shelf life not stated</v>
      </c>
      <c r="F9" s="0" t="str">
        <f aca="false">IF($N$2&gt;0,"",IFERROR(INDEX(Brands!$CO$2:$CO$1000,MATCH(8,Brands!$FE$2:$FE$1000,0))&amp;"",""))</f>
        <v>https://magicspoon.com</v>
      </c>
      <c r="G9" s="0" t="str">
        <f aca="false">IF($N$2&gt;0,"",IFERROR(INDEX(Brands!$M$2:$M$1000,MATCH(8,Brands!$FE$2:$FE$1000,0))&amp;"",""))</f>
        <v>Whole Foods Market NoMad, 63 Madison Ave</v>
      </c>
      <c r="H9" s="0" t="str">
        <f aca="false">IF($N$2&gt;0,"",IFERROR(INDEX(Brands!$C$2:$C$1000,MATCH(8,Brands!$FE$2:$FE$1000,0))&amp;"",""))</f>
        <v>Gabi</v>
      </c>
      <c r="I9" s="0" t="str">
        <f aca="false">IF($N$2&gt;0,"",IFERROR(INDEX(Brands!$D$2:$D$1000,MATCH(8,Brands!$FE$2:$FE$1000,0))&amp;"",""))</f>
        <v>Lewis</v>
      </c>
      <c r="J9" s="0" t="str">
        <f aca="false">IF($N$2&gt;0,"",IFERROR(INDEX(Brands!$E$2:$E$1000,MATCH(8,Brands!$FE$2:$FE$1000,0))&amp;"",""))</f>
        <v>Co-founder</v>
      </c>
      <c r="K9" s="0" t="str">
        <f aca="false">IF($N$2&gt;0,"",IFERROR(INDEX(Brands!$U$2:$U$1000,MATCH(8,Brands!$FE$2:$FE$1000,0))&amp;"",""))</f>
        <v>new</v>
      </c>
      <c r="L9" s="0" t="n">
        <f aca="false">IF($N$2&gt;0,"",IFERROR(INDEX(Brands!$FE$2:$FE$1000,MATCH(8,Brands!$FE$2:$FE$1000,0)),""))</f>
        <v>8</v>
      </c>
    </row>
    <row r="10" customFormat="false" ht="15" hidden="false" customHeight="false" outlineLevel="0" collapsed="false">
      <c r="A10" s="0" t="str">
        <f aca="false">IF($N$2&gt;0,"",IFERROR(INDEX(Brands!$A$2:$A$1000,MATCH(9,Brands!$FE$2:$FE$1000,0))&amp;"",""))</f>
        <v>AB-001</v>
      </c>
      <c r="B10" s="0" t="str">
        <f aca="false">IF($N$2&gt;0,"",IFERROR(INDEX(Brands!$B$2:$B$1000,MATCH(9,Brands!$FE$2:$FE$1000,0))&amp;"",""))</f>
        <v>BjornQorn</v>
      </c>
      <c r="C10" s="0" t="n">
        <f aca="false">IF($N$2&gt;0,"",IFERROR(INDEX(Brands!$J$2:$J$1000,MATCH(9,Brands!$FE$2:$FE$1000,0)),""))</f>
        <v>59</v>
      </c>
      <c r="D10" s="0" t="str">
        <f aca="false">IF($N$2&gt;0,"",IFERROR(INDEX(Brands!$CN$2:$CN$1000,MATCH(9,Brands!$FE$2:$FE$1000,0))&amp;"",""))</f>
        <v>claim-functional;nutrient-claim</v>
      </c>
      <c r="E10" s="0" t="str">
        <f aca="false">IF($N$2&gt;0,"",IFERROR(INDEX(Brands!$AM$2:$AM$1000,MATCH(9,Brands!$FE$2:$FE$1000,0))&amp;"",""))</f>
        <v>Claims review 2026-10-24: a gift-box popcorn 'powered by reishi mushrooms' (functional ingredient; no claim seen) (https://bjornqorn.com/products/bjornqorn-gift-box-2025); decide before outreach, and the tent card must not repeat it</v>
      </c>
      <c r="F10" s="0" t="str">
        <f aca="false">IF($N$2&gt;0,"",IFERROR(INDEX(Brands!$CO$2:$CO$1000,MATCH(9,Brands!$FE$2:$FE$1000,0))&amp;"",""))</f>
        <v>https://bjornqorn.com</v>
      </c>
      <c r="G10" s="0" t="str">
        <f aca="false">IF($N$2&gt;0,"",IFERROR(INDEX(Brands!$M$2:$M$1000,MATCH(9,Brands!$FE$2:$FE$1000,0))&amp;"",""))</f>
        <v>Whole Foods Market NoMad, 63 Madison Ave</v>
      </c>
      <c r="H10" s="0" t="str">
        <f aca="false">IF($N$2&gt;0,"",IFERROR(INDEX(Brands!$C$2:$C$1000,MATCH(9,Brands!$FE$2:$FE$1000,0))&amp;"",""))</f>
        <v>Bjorn</v>
      </c>
      <c r="I10" s="0" t="str">
        <f aca="false">IF($N$2&gt;0,"",IFERROR(INDEX(Brands!$D$2:$D$1000,MATCH(9,Brands!$FE$2:$FE$1000,0))&amp;"",""))</f>
        <v>Quenemoen</v>
      </c>
      <c r="J10" s="0" t="str">
        <f aca="false">IF($N$2&gt;0,"",IFERROR(INDEX(Brands!$E$2:$E$1000,MATCH(9,Brands!$FE$2:$FE$1000,0))&amp;"",""))</f>
        <v>Co-founder</v>
      </c>
      <c r="K10" s="0" t="str">
        <f aca="false">IF($N$2&gt;0,"",IFERROR(INDEX(Brands!$U$2:$U$1000,MATCH(9,Brands!$FE$2:$FE$1000,0))&amp;"",""))</f>
        <v>new</v>
      </c>
      <c r="L10" s="0" t="n">
        <f aca="false">IF($N$2&gt;0,"",IFERROR(INDEX(Brands!$FE$2:$FE$1000,MATCH(9,Brands!$FE$2:$FE$1000,0)),""))</f>
        <v>9</v>
      </c>
    </row>
    <row r="11" customFormat="false" ht="15" hidden="false" customHeight="false" outlineLevel="0" collapsed="false">
      <c r="A11" s="0" t="str">
        <f aca="false">IF($N$2&gt;0,"",IFERROR(INDEX(Brands!$A$2:$A$1000,MATCH(10,Brands!$FE$2:$FE$1000,0))&amp;"",""))</f>
        <v>AB-237</v>
      </c>
      <c r="B11" s="0" t="str">
        <f aca="false">IF($N$2&gt;0,"",IFERROR(INDEX(Brands!$B$2:$B$1000,MATCH(10,Brands!$FE$2:$FE$1000,0))&amp;"",""))</f>
        <v>Z Crackers</v>
      </c>
      <c r="C11" s="0" t="n">
        <f aca="false">IF($N$2&gt;0,"",IFERROR(INDEX(Brands!$J$2:$J$1000,MATCH(10,Brands!$FE$2:$FE$1000,0)),""))</f>
        <v>59</v>
      </c>
      <c r="D11" s="0" t="str">
        <f aca="false">IF($N$2&gt;0,"",IFERROR(INDEX(Brands!$CN$2:$CN$1000,MATCH(10,Brands!$FE$2:$FE$1000,0))&amp;"",""))</f>
        <v>format</v>
      </c>
      <c r="E11" s="0" t="str">
        <f aca="false">IF($N$2&gt;0,"",IFERROR(INDEX(Brands!$AM$2:$AM$1000,MATCH(10,Brands!$FE$2:$FE$1000,0))&amp;"",""))</f>
        <v>7.5-8 oz boxes are share packs, not individually packaged; office use would need opened boxes or a smaller format</v>
      </c>
      <c r="F11" s="0" t="str">
        <f aca="false">IF($N$2&gt;0,"",IFERROR(INDEX(Brands!$CO$2:$CO$1000,MATCH(10,Brands!$FE$2:$FE$1000,0))&amp;"",""))</f>
        <v>https://www.zcrackers.com</v>
      </c>
      <c r="G11" s="0" t="str">
        <f aca="false">IF($N$2&gt;0,"",IFERROR(INDEX(Brands!$M$2:$M$1000,MATCH(10,Brands!$FE$2:$FE$1000,0))&amp;"",""))</f>
        <v>Whole Foods Market NoMad, 63 Madison Ave</v>
      </c>
      <c r="H11" s="0" t="str">
        <f aca="false">IF($N$2&gt;0,"",IFERROR(INDEX(Brands!$C$2:$C$1000,MATCH(10,Brands!$FE$2:$FE$1000,0))&amp;"",""))</f>
        <v>Keith</v>
      </c>
      <c r="I11" s="0" t="str">
        <f aca="false">IF($N$2&gt;0,"",IFERROR(INDEX(Brands!$D$2:$D$1000,MATCH(10,Brands!$FE$2:$FE$1000,0))&amp;"",""))</f>
        <v>Pollack</v>
      </c>
      <c r="J11" s="0" t="str">
        <f aca="false">IF($N$2&gt;0,"",IFERROR(INDEX(Brands!$E$2:$E$1000,MATCH(10,Brands!$FE$2:$FE$1000,0))&amp;"",""))</f>
        <v>Co-founder and President</v>
      </c>
      <c r="K11" s="0" t="str">
        <f aca="false">IF($N$2&gt;0,"",IFERROR(INDEX(Brands!$U$2:$U$1000,MATCH(10,Brands!$FE$2:$FE$1000,0))&amp;"",""))</f>
        <v>new</v>
      </c>
      <c r="L11" s="0" t="n">
        <f aca="false">IF($N$2&gt;0,"",IFERROR(INDEX(Brands!$FE$2:$FE$1000,MATCH(10,Brands!$FE$2:$FE$1000,0)),""))</f>
        <v>10</v>
      </c>
    </row>
    <row r="12" customFormat="false" ht="15" hidden="false" customHeight="false" outlineLevel="0" collapsed="false">
      <c r="A12" s="0" t="str">
        <f aca="false">IF($N$2&gt;0,"",IFERROR(INDEX(Brands!$A$2:$A$1000,MATCH(11,Brands!$FE$2:$FE$1000,0))&amp;"",""))</f>
        <v>AB-172</v>
      </c>
      <c r="B12" s="0" t="str">
        <f aca="false">IF($N$2&gt;0,"",IFERROR(INDEX(Brands!$B$2:$B$1000,MATCH(11,Brands!$FE$2:$FE$1000,0))&amp;"",""))</f>
        <v>Explorer Cold Brew</v>
      </c>
      <c r="C12" s="0" t="n">
        <f aca="false">IF($N$2&gt;0,"",IFERROR(INDEX(Brands!$J$2:$J$1000,MATCH(11,Brands!$FE$2:$FE$1000,0)),""))</f>
        <v>59</v>
      </c>
      <c r="D12" s="0" t="str">
        <f aca="false">IF($N$2&gt;0,"",IFERROR(INDEX(Brands!$CN$2:$CN$1000,MATCH(11,Brands!$FE$2:$FE$1000,0))&amp;"",""))</f>
        <v>format</v>
      </c>
      <c r="E12" s="0" t="str">
        <f aca="false">IF($N$2&gt;0,"",IFERROR(INDEX(Brands!$AM$2:$AM$1000,MATCH(11,Brands!$FE$2:$FE$1000,0))&amp;"",""))</f>
        <v>HQ and NYC retail not confirmed; 128 oz box is not a fit, only the cans; 60-day shelf life not stated</v>
      </c>
      <c r="F12" s="0" t="str">
        <f aca="false">IF($N$2&gt;0,"",IFERROR(INDEX(Brands!$CO$2:$CO$1000,MATCH(11,Brands!$FE$2:$FE$1000,0))&amp;"",""))</f>
        <v>https://explorercoldbrew.com</v>
      </c>
      <c r="G12" s="0" t="str">
        <f aca="false">IF($N$2&gt;0,"",IFERROR(INDEX(Brands!$M$2:$M$1000,MATCH(11,Brands!$FE$2:$FE$1000,0))&amp;"",""))</f>
        <v>none found within ten blocks</v>
      </c>
      <c r="H12" s="0" t="str">
        <f aca="false">IF($N$2&gt;0,"",IFERROR(INDEX(Brands!$C$2:$C$1000,MATCH(11,Brands!$FE$2:$FE$1000,0))&amp;"",""))</f>
        <v>Cason</v>
      </c>
      <c r="I12" s="0" t="str">
        <f aca="false">IF($N$2&gt;0,"",IFERROR(INDEX(Brands!$D$2:$D$1000,MATCH(11,Brands!$FE$2:$FE$1000,0))&amp;"",""))</f>
        <v>Crane</v>
      </c>
      <c r="J12" s="0" t="str">
        <f aca="false">IF($N$2&gt;0,"",IFERROR(INDEX(Brands!$E$2:$E$1000,MATCH(11,Brands!$FE$2:$FE$1000,0))&amp;"",""))</f>
        <v>Founder and CEO</v>
      </c>
      <c r="K12" s="0" t="str">
        <f aca="false">IF($N$2&gt;0,"",IFERROR(INDEX(Brands!$U$2:$U$1000,MATCH(11,Brands!$FE$2:$FE$1000,0))&amp;"",""))</f>
        <v>new</v>
      </c>
      <c r="L12" s="0" t="n">
        <f aca="false">IF($N$2&gt;0,"",IFERROR(INDEX(Brands!$FE$2:$FE$1000,MATCH(11,Brands!$FE$2:$FE$1000,0)),""))</f>
        <v>11</v>
      </c>
    </row>
    <row r="13" customFormat="false" ht="15" hidden="false" customHeight="false" outlineLevel="0" collapsed="false">
      <c r="A13" s="0" t="str">
        <f aca="false">IF($N$2&gt;0,"",IFERROR(INDEX(Brands!$A$2:$A$1000,MATCH(12,Brands!$FE$2:$FE$1000,0))&amp;"",""))</f>
        <v>AB-285</v>
      </c>
      <c r="B13" s="0" t="str">
        <f aca="false">IF($N$2&gt;0,"",IFERROR(INDEX(Brands!$B$2:$B$1000,MATCH(12,Brands!$FE$2:$FE$1000,0))&amp;"",""))</f>
        <v>Effie's Homemade</v>
      </c>
      <c r="C13" s="0" t="n">
        <f aca="false">IF($N$2&gt;0,"",IFERROR(INDEX(Brands!$J$2:$J$1000,MATCH(12,Brands!$FE$2:$FE$1000,0)),""))</f>
        <v>57</v>
      </c>
      <c r="D13" s="0" t="str">
        <f aca="false">IF($N$2&gt;0,"",IFERROR(INDEX(Brands!$CN$2:$CN$1000,MATCH(12,Brands!$FE$2:$FE$1000,0))&amp;"",""))</f>
        <v>scale</v>
      </c>
      <c r="E13" s="0" t="str">
        <f aca="false">IF($N$2&gt;0,"",IFERROR(INDEX(Brands!$AM$2:$AM$1000,MATCH(12,Brands!$FE$2:$FE$1000,0))&amp;"",""))</f>
        <v>May be above the $10M revenue ceiling given 4,000+ doors. WFM lists the 7.2 oz boxes; the single-serve packs were seen only on the brand site</v>
      </c>
      <c r="F13" s="0" t="str">
        <f aca="false">IF($N$2&gt;0,"",IFERROR(INDEX(Brands!$CO$2:$CO$1000,MATCH(12,Brands!$FE$2:$FE$1000,0))&amp;"",""))</f>
        <v>https://effieshomemade.com</v>
      </c>
      <c r="G13" s="0" t="str">
        <f aca="false">IF($N$2&gt;0,"",IFERROR(INDEX(Brands!$M$2:$M$1000,MATCH(12,Brands!$FE$2:$FE$1000,0))&amp;"",""))</f>
        <v>Whole Foods Market NoMad, 63 Madison Ave</v>
      </c>
      <c r="H13" s="0" t="str">
        <f aca="false">IF($N$2&gt;0,"",IFERROR(INDEX(Brands!$C$2:$C$1000,MATCH(12,Brands!$FE$2:$FE$1000,0))&amp;"",""))</f>
        <v>Joan</v>
      </c>
      <c r="I13" s="0" t="str">
        <f aca="false">IF($N$2&gt;0,"",IFERROR(INDEX(Brands!$D$2:$D$1000,MATCH(12,Brands!$FE$2:$FE$1000,0))&amp;"",""))</f>
        <v>MacIsaac</v>
      </c>
      <c r="J13" s="0" t="str">
        <f aca="false">IF($N$2&gt;0,"",IFERROR(INDEX(Brands!$E$2:$E$1000,MATCH(12,Brands!$FE$2:$FE$1000,0))&amp;"",""))</f>
        <v>Co-founder</v>
      </c>
      <c r="K13" s="0" t="str">
        <f aca="false">IF($N$2&gt;0,"",IFERROR(INDEX(Brands!$U$2:$U$1000,MATCH(12,Brands!$FE$2:$FE$1000,0))&amp;"",""))</f>
        <v>new</v>
      </c>
      <c r="L13" s="0" t="n">
        <f aca="false">IF($N$2&gt;0,"",IFERROR(INDEX(Brands!$FE$2:$FE$1000,MATCH(12,Brands!$FE$2:$FE$1000,0)),""))</f>
        <v>12</v>
      </c>
    </row>
    <row r="14" customFormat="false" ht="15" hidden="false" customHeight="false" outlineLevel="0" collapsed="false">
      <c r="A14" s="0" t="str">
        <f aca="false">IF($N$2&gt;0,"",IFERROR(INDEX(Brands!$A$2:$A$1000,MATCH(13,Brands!$FE$2:$FE$1000,0))&amp;"",""))</f>
        <v>AB-107</v>
      </c>
      <c r="B14" s="0" t="str">
        <f aca="false">IF($N$2&gt;0,"",IFERROR(INDEX(Brands!$B$2:$B$1000,MATCH(13,Brands!$FE$2:$FE$1000,0))&amp;"",""))</f>
        <v>Solely</v>
      </c>
      <c r="C14" s="0" t="n">
        <f aca="false">IF($N$2&gt;0,"",IFERROR(INDEX(Brands!$J$2:$J$1000,MATCH(13,Brands!$FE$2:$FE$1000,0)),""))</f>
        <v>56</v>
      </c>
      <c r="D14" s="0" t="str">
        <f aca="false">IF($N$2&gt;0,"",IFERROR(INDEX(Brands!$CN$2:$CN$1000,MATCH(13,Brands!$FE$2:$FE$1000,0))&amp;"",""))</f>
        <v>scale</v>
      </c>
      <c r="E14" s="0" t="str">
        <f aca="false">IF($N$2&gt;0,"",IFERROR(INDEX(Brands!$AM$2:$AM$1000,MATCH(13,Brands!$FE$2:$FE$1000,0))&amp;"",""))</f>
        <v>Kids-focused mission; Costco distribution and own farm network may put it above the size band</v>
      </c>
      <c r="F14" s="0" t="str">
        <f aca="false">IF($N$2&gt;0,"",IFERROR(INDEX(Brands!$CO$2:$CO$1000,MATCH(13,Brands!$FE$2:$FE$1000,0))&amp;"",""))</f>
        <v>https://solely.com</v>
      </c>
      <c r="G14" s="0" t="str">
        <f aca="false">IF($N$2&gt;0,"",IFERROR(INDEX(Brands!$M$2:$M$1000,MATCH(13,Brands!$FE$2:$FE$1000,0))&amp;"",""))</f>
        <v>Whole Foods Market NoMad, 63 Madison Ave</v>
      </c>
      <c r="H14" s="0" t="str">
        <f aca="false">IF($N$2&gt;0,"",IFERROR(INDEX(Brands!$C$2:$C$1000,MATCH(13,Brands!$FE$2:$FE$1000,0))&amp;"",""))</f>
        <v>Simon</v>
      </c>
      <c r="I14" s="0" t="str">
        <f aca="false">IF($N$2&gt;0,"",IFERROR(INDEX(Brands!$D$2:$D$1000,MATCH(13,Brands!$FE$2:$FE$1000,0))&amp;"",""))</f>
        <v>Sacal</v>
      </c>
      <c r="J14" s="0" t="str">
        <f aca="false">IF($N$2&gt;0,"",IFERROR(INDEX(Brands!$E$2:$E$1000,MATCH(13,Brands!$FE$2:$FE$1000,0))&amp;"",""))</f>
        <v>Founder and CEO</v>
      </c>
      <c r="K14" s="0" t="str">
        <f aca="false">IF($N$2&gt;0,"",IFERROR(INDEX(Brands!$U$2:$U$1000,MATCH(13,Brands!$FE$2:$FE$1000,0))&amp;"",""))</f>
        <v>new</v>
      </c>
      <c r="L14" s="0" t="n">
        <f aca="false">IF($N$2&gt;0,"",IFERROR(INDEX(Brands!$FE$2:$FE$1000,MATCH(13,Brands!$FE$2:$FE$1000,0)),""))</f>
        <v>13</v>
      </c>
    </row>
    <row r="15" customFormat="false" ht="15" hidden="false" customHeight="false" outlineLevel="0" collapsed="false">
      <c r="A15" s="0" t="str">
        <f aca="false">IF($N$2&gt;0,"",IFERROR(INDEX(Brands!$A$2:$A$1000,MATCH(14,Brands!$FE$2:$FE$1000,0))&amp;"",""))</f>
        <v>AB-222</v>
      </c>
      <c r="B15" s="0" t="str">
        <f aca="false">IF($N$2&gt;0,"",IFERROR(INDEX(Brands!$B$2:$B$1000,MATCH(14,Brands!$FE$2:$FE$1000,0))&amp;"",""))</f>
        <v>Shinzo Matcha</v>
      </c>
      <c r="C15" s="0" t="n">
        <f aca="false">IF($N$2&gt;0,"",IFERROR(INDEX(Brands!$J$2:$J$1000,MATCH(14,Brands!$FE$2:$FE$1000,0)),""))</f>
        <v>55</v>
      </c>
      <c r="D15" s="0" t="str">
        <f aca="false">IF($N$2&gt;0,"",IFERROR(INDEX(Brands!$CN$2:$CN$1000,MATCH(14,Brands!$FE$2:$FE$1000,0))&amp;"",""))</f>
        <v>claim-functional;nutrient-claim</v>
      </c>
      <c r="E15" s="0" t="str">
        <f aca="false">IF($N$2&gt;0,"",IFERROR(INDEX(Brands!$AM$2:$AM$1000,MATCH(14,Brands!$FE$2:$FE$1000,0))&amp;"",""))</f>
        <v>Caffeinated matcha with energy positioning ('smooth, steady energy', 'delicious and healthy'); sparkling RTD launched April 2026, shelf life not stated | Claims review 2026-10-24: a 'learn' hub with articles 'Matcha and Gut Health', 'Matcha for Focus', 'Matcha and Stress', 'Matcha for Sleep' (https://shinzomatcha.com/pages/learn); decide before outreach, and the tent card must not repeat it; 60-day shelf life not stated</v>
      </c>
      <c r="F15" s="0" t="str">
        <f aca="false">IF($N$2&gt;0,"",IFERROR(INDEX(Brands!$CO$2:$CO$1000,MATCH(14,Brands!$FE$2:$FE$1000,0))&amp;"",""))</f>
        <v>https://shinzomatcha.com</v>
      </c>
      <c r="G15" s="0" t="str">
        <f aca="false">IF($N$2&gt;0,"",IFERROR(INDEX(Brands!$M$2:$M$1000,MATCH(14,Brands!$FE$2:$FE$1000,0))&amp;"",""))</f>
        <v>none found within ten blocks</v>
      </c>
      <c r="H15" s="0" t="str">
        <f aca="false">IF($N$2&gt;0,"",IFERROR(INDEX(Brands!$C$2:$C$1000,MATCH(14,Brands!$FE$2:$FE$1000,0))&amp;"",""))</f>
        <v>Zach</v>
      </c>
      <c r="I15" s="0" t="str">
        <f aca="false">IF($N$2&gt;0,"",IFERROR(INDEX(Brands!$D$2:$D$1000,MATCH(14,Brands!$FE$2:$FE$1000,0))&amp;"",""))</f>
        <v>Hayworth</v>
      </c>
      <c r="J15" s="0" t="str">
        <f aca="false">IF($N$2&gt;0,"",IFERROR(INDEX(Brands!$E$2:$E$1000,MATCH(14,Brands!$FE$2:$FE$1000,0))&amp;"",""))</f>
        <v>Co-founder</v>
      </c>
      <c r="K15" s="0" t="str">
        <f aca="false">IF($N$2&gt;0,"",IFERROR(INDEX(Brands!$U$2:$U$1000,MATCH(14,Brands!$FE$2:$FE$1000,0))&amp;"",""))</f>
        <v>new</v>
      </c>
      <c r="L15" s="0" t="n">
        <f aca="false">IF($N$2&gt;0,"",IFERROR(INDEX(Brands!$FE$2:$FE$1000,MATCH(14,Brands!$FE$2:$FE$1000,0)),""))</f>
        <v>14</v>
      </c>
    </row>
    <row r="16" customFormat="false" ht="15" hidden="false" customHeight="false" outlineLevel="0" collapsed="false">
      <c r="A16" s="0" t="str">
        <f aca="false">IF($N$2&gt;0,"",IFERROR(INDEX(Brands!$A$2:$A$1000,MATCH(15,Brands!$FE$2:$FE$1000,0))&amp;"",""))</f>
        <v>AB-174</v>
      </c>
      <c r="B16" s="0" t="str">
        <f aca="false">IF($N$2&gt;0,"",IFERROR(INDEX(Brands!$B$2:$B$1000,MATCH(15,Brands!$FE$2:$FE$1000,0))&amp;"",""))</f>
        <v>OOSO Sparkling Tea</v>
      </c>
      <c r="C16" s="0" t="n">
        <f aca="false">IF($N$2&gt;0,"",IFERROR(INDEX(Brands!$J$2:$J$1000,MATCH(15,Brands!$FE$2:$FE$1000,0)),""))</f>
        <v>55</v>
      </c>
      <c r="D16" s="0" t="str">
        <f aca="false">IF($N$2&gt;0,"",IFERROR(INDEX(Brands!$CN$2:$CN$1000,MATCH(15,Brands!$FE$2:$FE$1000,0))&amp;"",""))</f>
        <v>claim-functional;nutrient-claim</v>
      </c>
      <c r="E16" s="0" t="str">
        <f aca="false">IF($N$2&gt;0,"",IFERROR(INDEX(Brands!$AM$2:$AM$1000,MATCH(15,Brands!$FE$2:$FE$1000,0))&amp;"",""))</f>
        <v>Startup CPG describes 'functional ingredients' (no claim seen on pages read; check label); positioned as a wine alternative. HQ and NYC store not confirmed | Claims review 2026-10-24: L-Theanine listed as a feature ('Organic Teas Essential Vitamins L-Theanine'); no claim seen (https://drinkooso.com); decide before outreach, and the tent card must not repeat it</v>
      </c>
      <c r="F16" s="0" t="str">
        <f aca="false">IF($N$2&gt;0,"",IFERROR(INDEX(Brands!$CO$2:$CO$1000,MATCH(15,Brands!$FE$2:$FE$1000,0))&amp;"",""))</f>
        <v>https://drinkooso.com</v>
      </c>
      <c r="G16" s="0" t="str">
        <f aca="false">IF($N$2&gt;0,"",IFERROR(INDEX(Brands!$M$2:$M$1000,MATCH(15,Brands!$FE$2:$FE$1000,0))&amp;"",""))</f>
        <v>none found within ten blocks</v>
      </c>
      <c r="H16" s="0" t="str">
        <f aca="false">IF($N$2&gt;0,"",IFERROR(INDEX(Brands!$C$2:$C$1000,MATCH(15,Brands!$FE$2:$FE$1000,0))&amp;"",""))</f>
        <v>Oliver</v>
      </c>
      <c r="I16" s="0" t="str">
        <f aca="false">IF($N$2&gt;0,"",IFERROR(INDEX(Brands!$D$2:$D$1000,MATCH(15,Brands!$FE$2:$FE$1000,0))&amp;"",""))</f>
        <v>Spring</v>
      </c>
      <c r="J16" s="0" t="str">
        <f aca="false">IF($N$2&gt;0,"",IFERROR(INDEX(Brands!$E$2:$E$1000,MATCH(15,Brands!$FE$2:$FE$1000,0))&amp;"",""))</f>
        <v>CEO and Co-founder</v>
      </c>
      <c r="K16" s="0" t="str">
        <f aca="false">IF($N$2&gt;0,"",IFERROR(INDEX(Brands!$U$2:$U$1000,MATCH(15,Brands!$FE$2:$FE$1000,0))&amp;"",""))</f>
        <v>new</v>
      </c>
      <c r="L16" s="0" t="n">
        <f aca="false">IF($N$2&gt;0,"",IFERROR(INDEX(Brands!$FE$2:$FE$1000,MATCH(15,Brands!$FE$2:$FE$1000,0)),""))</f>
        <v>15</v>
      </c>
    </row>
    <row r="17" customFormat="false" ht="15" hidden="false" customHeight="false" outlineLevel="0" collapsed="false">
      <c r="A17" s="0" t="str">
        <f aca="false">IF($N$2&gt;0,"",IFERROR(INDEX(Brands!$A$2:$A$1000,MATCH(16,Brands!$FE$2:$FE$1000,0))&amp;"",""))</f>
        <v>AB-173</v>
      </c>
      <c r="B17" s="0" t="str">
        <f aca="false">IF($N$2&gt;0,"",IFERROR(INDEX(Brands!$B$2:$B$1000,MATCH(16,Brands!$FE$2:$FE$1000,0))&amp;"",""))</f>
        <v>JONI</v>
      </c>
      <c r="C17" s="0" t="n">
        <f aca="false">IF($N$2&gt;0,"",IFERROR(INDEX(Brands!$J$2:$J$1000,MATCH(16,Brands!$FE$2:$FE$1000,0)),""))</f>
        <v>54</v>
      </c>
      <c r="D17" s="0" t="str">
        <f aca="false">IF($N$2&gt;0,"",IFERROR(INDEX(Brands!$CN$2:$CN$1000,MATCH(16,Brands!$FE$2:$FE$1000,0))&amp;"",""))</f>
        <v>alcohol-adjacent</v>
      </c>
      <c r="E17" s="0" t="str">
        <f aca="false">IF($N$2&gt;0,"",IFERROR(INDEX(Brands!$AM$2:$AM$1000,MATCH(16,Brands!$FE$2:$FE$1000,0))&amp;"",""))</f>
        <v>Wine-adjacent product (verjus from pre-harvest wine grapes) sold mostly in wine and bottle shops; confirm 0.0% ABV and label. HQ not found; 60-day shelf life not stated</v>
      </c>
      <c r="F17" s="0" t="str">
        <f aca="false">IF($N$2&gt;0,"",IFERROR(INDEX(Brands!$CO$2:$CO$1000,MATCH(16,Brands!$FE$2:$FE$1000,0))&amp;"",""))</f>
        <v>https://drinkjoni.com</v>
      </c>
      <c r="G17" s="0" t="str">
        <f aca="false">IF($N$2&gt;0,"",IFERROR(INDEX(Brands!$M$2:$M$1000,MATCH(16,Brands!$FE$2:$FE$1000,0))&amp;"",""))</f>
        <v>none found within ten blocks</v>
      </c>
      <c r="H17" s="0" t="str">
        <f aca="false">IF($N$2&gt;0,"",IFERROR(INDEX(Brands!$C$2:$C$1000,MATCH(16,Brands!$FE$2:$FE$1000,0))&amp;"",""))</f>
        <v>Claire</v>
      </c>
      <c r="I17" s="0" t="str">
        <f aca="false">IF($N$2&gt;0,"",IFERROR(INDEX(Brands!$D$2:$D$1000,MATCH(16,Brands!$FE$2:$FE$1000,0))&amp;"",""))</f>
        <v>Matern</v>
      </c>
      <c r="J17" s="0" t="str">
        <f aca="false">IF($N$2&gt;0,"",IFERROR(INDEX(Brands!$E$2:$E$1000,MATCH(16,Brands!$FE$2:$FE$1000,0))&amp;"",""))</f>
        <v>Founder</v>
      </c>
      <c r="K17" s="0" t="str">
        <f aca="false">IF($N$2&gt;0,"",IFERROR(INDEX(Brands!$U$2:$U$1000,MATCH(16,Brands!$FE$2:$FE$1000,0))&amp;"",""))</f>
        <v>new</v>
      </c>
      <c r="L17" s="0" t="n">
        <f aca="false">IF($N$2&gt;0,"",IFERROR(INDEX(Brands!$FE$2:$FE$1000,MATCH(16,Brands!$FE$2:$FE$1000,0)),""))</f>
        <v>16</v>
      </c>
    </row>
    <row r="18" customFormat="false" ht="15" hidden="false" customHeight="false" outlineLevel="0" collapsed="false">
      <c r="A18" s="0" t="str">
        <f aca="false">IF($N$2&gt;0,"",IFERROR(INDEX(Brands!$A$2:$A$1000,MATCH(17,Brands!$FE$2:$FE$1000,0))&amp;"",""))</f>
        <v>AB-217</v>
      </c>
      <c r="B18" s="0" t="str">
        <f aca="false">IF($N$2&gt;0,"",IFERROR(INDEX(Brands!$B$2:$B$1000,MATCH(17,Brands!$FE$2:$FE$1000,0))&amp;"",""))</f>
        <v>UMAMI GRANOLA</v>
      </c>
      <c r="C18" s="0" t="n">
        <f aca="false">IF($N$2&gt;0,"",IFERROR(INDEX(Brands!$J$2:$J$1000,MATCH(17,Brands!$FE$2:$FE$1000,0)),""))</f>
        <v>54</v>
      </c>
      <c r="D18" s="0" t="str">
        <f aca="false">IF($N$2&gt;0,"",IFERROR(INDEX(Brands!$CN$2:$CN$1000,MATCH(17,Brands!$FE$2:$FE$1000,0))&amp;"",""))</f>
        <v>under-floor;format</v>
      </c>
      <c r="E18" s="0" t="str">
        <f aca="false">IF($N$2&gt;0,"",IFERROR(INDEX(Brands!$AM$2:$AM$1000,MATCH(17,Brands!$FE$2:$FE$1000,0))&amp;"",""))</f>
        <v>8 oz pouches, not single-serve; first-year brand may be below the $500k floor (no sales figure); granola is snack-adjacent</v>
      </c>
      <c r="F18" s="0" t="str">
        <f aca="false">IF($N$2&gt;0,"",IFERROR(INDEX(Brands!$CO$2:$CO$1000,MATCH(17,Brands!$FE$2:$FE$1000,0))&amp;"",""))</f>
        <v>https://umamigranola.com</v>
      </c>
      <c r="G18" s="0" t="str">
        <f aca="false">IF($N$2&gt;0,"",IFERROR(INDEX(Brands!$M$2:$M$1000,MATCH(17,Brands!$FE$2:$FE$1000,0))&amp;"",""))</f>
        <v>none found within ten blocks</v>
      </c>
      <c r="H18" s="0" t="str">
        <f aca="false">IF($N$2&gt;0,"",IFERROR(INDEX(Brands!$C$2:$C$1000,MATCH(17,Brands!$FE$2:$FE$1000,0))&amp;"",""))</f>
        <v>Cindy</v>
      </c>
      <c r="I18" s="0" t="str">
        <f aca="false">IF($N$2&gt;0,"",IFERROR(INDEX(Brands!$D$2:$D$1000,MATCH(17,Brands!$FE$2:$FE$1000,0))&amp;"",""))</f>
        <v>Lam</v>
      </c>
      <c r="J18" s="0" t="str">
        <f aca="false">IF($N$2&gt;0,"",IFERROR(INDEX(Brands!$E$2:$E$1000,MATCH(17,Brands!$FE$2:$FE$1000,0))&amp;"",""))</f>
        <v>Founder</v>
      </c>
      <c r="K18" s="0" t="str">
        <f aca="false">IF($N$2&gt;0,"",IFERROR(INDEX(Brands!$U$2:$U$1000,MATCH(17,Brands!$FE$2:$FE$1000,0))&amp;"",""))</f>
        <v>new</v>
      </c>
      <c r="L18" s="0" t="n">
        <f aca="false">IF($N$2&gt;0,"",IFERROR(INDEX(Brands!$FE$2:$FE$1000,MATCH(17,Brands!$FE$2:$FE$1000,0)),""))</f>
        <v>17</v>
      </c>
    </row>
    <row r="19" customFormat="false" ht="15" hidden="false" customHeight="false" outlineLevel="0" collapsed="false">
      <c r="A19" s="0" t="str">
        <f aca="false">IF($N$2&gt;0,"",IFERROR(INDEX(Brands!$A$2:$A$1000,MATCH(18,Brands!$FE$2:$FE$1000,0))&amp;"",""))</f>
        <v>AB-129</v>
      </c>
      <c r="B19" s="0" t="str">
        <f aca="false">IF($N$2&gt;0,"",IFERROR(INDEX(Brands!$B$2:$B$1000,MATCH(18,Brands!$FE$2:$FE$1000,0))&amp;"",""))</f>
        <v>Wandering Bear Coffee</v>
      </c>
      <c r="C19" s="0" t="n">
        <f aca="false">IF($N$2&gt;0,"",IFERROR(INDEX(Brands!$J$2:$J$1000,MATCH(18,Brands!$FE$2:$FE$1000,0)),""))</f>
        <v>54</v>
      </c>
      <c r="D19" s="0" t="str">
        <f aca="false">IF($N$2&gt;0,"",IFERROR(INDEX(Brands!$CN$2:$CN$1000,MATCH(18,Brands!$FE$2:$FE$1000,0))&amp;"",""))</f>
        <v>scale;not-emerging;nutrient-claim</v>
      </c>
      <c r="E19" s="0" t="str">
        <f aca="false">IF($N$2&gt;0,"",IFERROR(INDEX(Brands!$AM$2:$AM$1000,MATCH(18,Brands!$FE$2:$FE$1000,0))&amp;"",""))</f>
        <v>Cold Brew Latte marketed on '11g of complete protein per can' (nutrient-content claim). Brand is 12 years old with national Target and Whole Foods; may be above $10M (no sourced figure). Target store-level stock near cluster not checkable</v>
      </c>
      <c r="F19" s="0" t="str">
        <f aca="false">IF($N$2&gt;0,"",IFERROR(INDEX(Brands!$CO$2:$CO$1000,MATCH(18,Brands!$FE$2:$FE$1000,0))&amp;"",""))</f>
        <v>https://wanderingbearcoffee.com</v>
      </c>
      <c r="G19" s="0" t="str">
        <f aca="false">IF($N$2&gt;0,"",IFERROR(INDEX(Brands!$M$2:$M$1000,MATCH(18,Brands!$FE$2:$FE$1000,0))&amp;"",""))</f>
        <v>none found within ten blocks</v>
      </c>
      <c r="H19" s="0" t="str">
        <f aca="false">IF($N$2&gt;0,"",IFERROR(INDEX(Brands!$C$2:$C$1000,MATCH(18,Brands!$FE$2:$FE$1000,0))&amp;"",""))</f>
        <v>Matt</v>
      </c>
      <c r="I19" s="0" t="str">
        <f aca="false">IF($N$2&gt;0,"",IFERROR(INDEX(Brands!$D$2:$D$1000,MATCH(18,Brands!$FE$2:$FE$1000,0))&amp;"",""))</f>
        <v>Bachmann</v>
      </c>
      <c r="J19" s="0" t="str">
        <f aca="false">IF($N$2&gt;0,"",IFERROR(INDEX(Brands!$E$2:$E$1000,MATCH(18,Brands!$FE$2:$FE$1000,0))&amp;"",""))</f>
        <v>CEO and Co-founder</v>
      </c>
      <c r="K19" s="0" t="str">
        <f aca="false">IF($N$2&gt;0,"",IFERROR(INDEX(Brands!$U$2:$U$1000,MATCH(18,Brands!$FE$2:$FE$1000,0))&amp;"",""))</f>
        <v>new</v>
      </c>
      <c r="L19" s="0" t="n">
        <f aca="false">IF($N$2&gt;0,"",IFERROR(INDEX(Brands!$FE$2:$FE$1000,MATCH(18,Brands!$FE$2:$FE$1000,0)),""))</f>
        <v>18</v>
      </c>
    </row>
    <row r="20" customFormat="false" ht="15" hidden="false" customHeight="false" outlineLevel="0" collapsed="false">
      <c r="A20" s="0" t="str">
        <f aca="false">IF($N$2&gt;0,"",IFERROR(INDEX(Brands!$A$2:$A$1000,MATCH(19,Brands!$FE$2:$FE$1000,0))&amp;"",""))</f>
        <v>AB-086</v>
      </c>
      <c r="B20" s="0" t="str">
        <f aca="false">IF($N$2&gt;0,"",IFERROR(INDEX(Brands!$B$2:$B$1000,MATCH(19,Brands!$FE$2:$FE$1000,0))&amp;"",""))</f>
        <v>Joyride</v>
      </c>
      <c r="C20" s="0" t="n">
        <f aca="false">IF($N$2&gt;0,"",IFERROR(INDEX(Brands!$J$2:$J$1000,MATCH(19,Brands!$FE$2:$FE$1000,0)),""))</f>
        <v>52</v>
      </c>
      <c r="D20" s="0" t="str">
        <f aca="false">IF($N$2&gt;0,"",IFERROR(INDEX(Brands!$CN$2:$CN$1000,MATCH(19,Brands!$FE$2:$FE$1000,0))&amp;"",""))</f>
        <v>scale;nutrient-claim;format-unconfirmed</v>
      </c>
      <c r="E20" s="0" t="str">
        <f aca="false">IF($N$2&gt;0,"",IFERROR(INDEX(Brands!$AM$2:$AM$1000,MATCH(19,Brands!$FE$2:$FE$1000,0))&amp;"",""))</f>
        <v>'Less sugar' allulose-sweetened 'better-for-you' candy (nutrient-content positioning); creator-backed brand (YouTuber co-founder) may be above size band; single-serve pack not shown on the pages read: ask on the first call; 60-day shelf life not stated</v>
      </c>
      <c r="F20" s="0" t="str">
        <f aca="false">IF($N$2&gt;0,"",IFERROR(INDEX(Brands!$CO$2:$CO$1000,MATCH(19,Brands!$FE$2:$FE$1000,0))&amp;"",""))</f>
        <v>https://www.joyridesweets.com</v>
      </c>
      <c r="G20" s="0" t="str">
        <f aca="false">IF($N$2&gt;0,"",IFERROR(INDEX(Brands!$M$2:$M$1000,MATCH(19,Brands!$FE$2:$FE$1000,0))&amp;"",""))</f>
        <v>Whole Foods Market NoMad, 63 Madison Ave</v>
      </c>
      <c r="H20" s="0" t="str">
        <f aca="false">IF($N$2&gt;0,"",IFERROR(INDEX(Brands!$C$2:$C$1000,MATCH(19,Brands!$FE$2:$FE$1000,0))&amp;"",""))</f>
        <v>Tyler</v>
      </c>
      <c r="I20" s="0" t="str">
        <f aca="false">IF($N$2&gt;0,"",IFERROR(INDEX(Brands!$D$2:$D$1000,MATCH(19,Brands!$FE$2:$FE$1000,0))&amp;"",""))</f>
        <v>Merrick</v>
      </c>
      <c r="J20" s="0" t="str">
        <f aca="false">IF($N$2&gt;0,"",IFERROR(INDEX(Brands!$E$2:$E$1000,MATCH(19,Brands!$FE$2:$FE$1000,0))&amp;"",""))</f>
        <v>Founder</v>
      </c>
      <c r="K20" s="0" t="str">
        <f aca="false">IF($N$2&gt;0,"",IFERROR(INDEX(Brands!$U$2:$U$1000,MATCH(19,Brands!$FE$2:$FE$1000,0))&amp;"",""))</f>
        <v>new</v>
      </c>
      <c r="L20" s="0" t="n">
        <f aca="false">IF($N$2&gt;0,"",IFERROR(INDEX(Brands!$FE$2:$FE$1000,MATCH(19,Brands!$FE$2:$FE$1000,0)),""))</f>
        <v>19</v>
      </c>
    </row>
    <row r="21" customFormat="false" ht="15" hidden="false" customHeight="false" outlineLevel="0" collapsed="false">
      <c r="A21" s="0" t="str">
        <f aca="false">IF($N$2&gt;0,"",IFERROR(INDEX(Brands!$A$2:$A$1000,MATCH(20,Brands!$FE$2:$FE$1000,0))&amp;"",""))</f>
        <v>AB-286</v>
      </c>
      <c r="B21" s="0" t="str">
        <f aca="false">IF($N$2&gt;0,"",IFERROR(INDEX(Brands!$B$2:$B$1000,MATCH(20,Brands!$FE$2:$FE$1000,0))&amp;"",""))</f>
        <v>Vermont Nut Free Chocolates</v>
      </c>
      <c r="C21" s="0" t="n">
        <f aca="false">IF($N$2&gt;0,"",IFERROR(INDEX(Brands!$J$2:$J$1000,MATCH(20,Brands!$FE$2:$FE$1000,0)),""))</f>
        <v>52</v>
      </c>
      <c r="D21" s="0" t="str">
        <f aca="false">IF($N$2&gt;0,"",IFERROR(INDEX(Brands!$CN$2:$CN$1000,MATCH(20,Brands!$FE$2:$FE$1000,0))&amp;"",""))</f>
        <v>not-emerging</v>
      </c>
      <c r="E21" s="0" t="str">
        <f aca="false">IF($N$2&gt;0,"",IFERROR(INDEX(Brands!$AM$2:$AM$1000,MATCH(20,Brands!$FE$2:$FE$1000,0))&amp;"",""))</f>
        <v>Founded 1998, so established rather than emerging; revenue unknown. WFM lists 5 oz pretzel bags; the snack-pack SKU was seen only on the brand site. Chocolate in warm months</v>
      </c>
      <c r="F21" s="0" t="str">
        <f aca="false">IF($N$2&gt;0,"",IFERROR(INDEX(Brands!$CO$2:$CO$1000,MATCH(20,Brands!$FE$2:$FE$1000,0))&amp;"",""))</f>
        <v>https://www.vermontnutfree.com</v>
      </c>
      <c r="G21" s="0" t="str">
        <f aca="false">IF($N$2&gt;0,"",IFERROR(INDEX(Brands!$M$2:$M$1000,MATCH(20,Brands!$FE$2:$FE$1000,0))&amp;"",""))</f>
        <v>Whole Foods Market Union Square, 4 Union Sq S</v>
      </c>
      <c r="H21" s="0" t="str">
        <f aca="false">IF($N$2&gt;0,"",IFERROR(INDEX(Brands!$C$2:$C$1000,MATCH(20,Brands!$FE$2:$FE$1000,0))&amp;"",""))</f>
        <v>Mark</v>
      </c>
      <c r="I21" s="0" t="str">
        <f aca="false">IF($N$2&gt;0,"",IFERROR(INDEX(Brands!$D$2:$D$1000,MATCH(20,Brands!$FE$2:$FE$1000,0))&amp;"",""))</f>
        <v>Elvidge</v>
      </c>
      <c r="J21" s="0" t="str">
        <f aca="false">IF($N$2&gt;0,"",IFERROR(INDEX(Brands!$E$2:$E$1000,MATCH(20,Brands!$FE$2:$FE$1000,0))&amp;"",""))</f>
        <v>Co-founder</v>
      </c>
      <c r="K21" s="0" t="str">
        <f aca="false">IF($N$2&gt;0,"",IFERROR(INDEX(Brands!$U$2:$U$1000,MATCH(20,Brands!$FE$2:$FE$1000,0))&amp;"",""))</f>
        <v>new</v>
      </c>
      <c r="L21" s="0" t="n">
        <f aca="false">IF($N$2&gt;0,"",IFERROR(INDEX(Brands!$FE$2:$FE$1000,MATCH(20,Brands!$FE$2:$FE$1000,0)),""))</f>
        <v>20</v>
      </c>
    </row>
    <row r="22" customFormat="false" ht="15" hidden="false" customHeight="false" outlineLevel="0" collapsed="false">
      <c r="A22" s="0" t="str">
        <f aca="false">IF($N$2&gt;0,"",IFERROR(INDEX(Brands!$A$2:$A$1000,MATCH(21,Brands!$FE$2:$FE$1000,0))&amp;"",""))</f>
        <v>AB-144</v>
      </c>
      <c r="B22" s="0" t="str">
        <f aca="false">IF($N$2&gt;0,"",IFERROR(INDEX(Brands!$B$2:$B$1000,MATCH(21,Brands!$FE$2:$FE$1000,0))&amp;"",""))</f>
        <v>Joe Coffee Company</v>
      </c>
      <c r="C22" s="0" t="n">
        <f aca="false">IF($N$2&gt;0,"",IFERROR(INDEX(Brands!$J$2:$J$1000,MATCH(21,Brands!$FE$2:$FE$1000,0)),""))</f>
        <v>51</v>
      </c>
      <c r="D22" s="0" t="str">
        <f aca="false">IF($N$2&gt;0,"",IFERROR(INDEX(Brands!$CN$2:$CN$1000,MATCH(21,Brands!$FE$2:$FE$1000,0))&amp;"",""))</f>
        <v>not-emerging;dormant</v>
      </c>
      <c r="E22" s="0" t="str">
        <f aca="false">IF($N$2&gt;0,"",IFERROR(INDEX(Brands!$AM$2:$AM$1000,MATCH(21,Brands!$FE$2:$FE$1000,0))&amp;"",""))</f>
        <v>Cafe group, not a pure CPG brand; cold brew cans showed 'Sold out' (2026-10-23); shelf stability not stated. Already runs corporate catering, so may see the office drop as overlap; 60-day shelf life not stated</v>
      </c>
      <c r="F22" s="0" t="str">
        <f aca="false">IF($N$2&gt;0,"",IFERROR(INDEX(Brands!$CO$2:$CO$1000,MATCH(21,Brands!$FE$2:$FE$1000,0))&amp;"",""))</f>
        <v>https://joecoffeecompany.com</v>
      </c>
      <c r="G22" s="0" t="str">
        <f aca="false">IF($N$2&gt;0,"",IFERROR(INDEX(Brands!$M$2:$M$1000,MATCH(21,Brands!$FE$2:$FE$1000,0))&amp;"",""))</f>
        <v>none found within ten blocks</v>
      </c>
      <c r="H22" s="0" t="str">
        <f aca="false">IF($N$2&gt;0,"",IFERROR(INDEX(Brands!$C$2:$C$1000,MATCH(21,Brands!$FE$2:$FE$1000,0))&amp;"",""))</f>
        <v>Jonathan</v>
      </c>
      <c r="I22" s="0" t="str">
        <f aca="false">IF($N$2&gt;0,"",IFERROR(INDEX(Brands!$D$2:$D$1000,MATCH(21,Brands!$FE$2:$FE$1000,0))&amp;"",""))</f>
        <v>Rubinstein</v>
      </c>
      <c r="J22" s="0" t="str">
        <f aca="false">IF($N$2&gt;0,"",IFERROR(INDEX(Brands!$E$2:$E$1000,MATCH(21,Brands!$FE$2:$FE$1000,0))&amp;"",""))</f>
        <v>Founder</v>
      </c>
      <c r="K22" s="0" t="str">
        <f aca="false">IF($N$2&gt;0,"",IFERROR(INDEX(Brands!$U$2:$U$1000,MATCH(21,Brands!$FE$2:$FE$1000,0))&amp;"",""))</f>
        <v>new</v>
      </c>
      <c r="L22" s="0" t="n">
        <f aca="false">IF($N$2&gt;0,"",IFERROR(INDEX(Brands!$FE$2:$FE$1000,MATCH(21,Brands!$FE$2:$FE$1000,0)),""))</f>
        <v>21</v>
      </c>
    </row>
    <row r="23" customFormat="false" ht="15" hidden="false" customHeight="false" outlineLevel="0" collapsed="false">
      <c r="A23" s="0" t="str">
        <f aca="false">IF($N$2&gt;0,"",IFERROR(INDEX(Brands!$A$2:$A$1000,MATCH(22,Brands!$FE$2:$FE$1000,0))&amp;"",""))</f>
        <v>AB-083</v>
      </c>
      <c r="B23" s="0" t="str">
        <f aca="false">IF($N$2&gt;0,"",IFERROR(INDEX(Brands!$B$2:$B$1000,MATCH(22,Brands!$FE$2:$FE$1000,0))&amp;"",""))</f>
        <v>Goodie Girl</v>
      </c>
      <c r="C23" s="0" t="n">
        <f aca="false">IF($N$2&gt;0,"",IFERROR(INDEX(Brands!$J$2:$J$1000,MATCH(22,Brands!$FE$2:$FE$1000,0)),""))</f>
        <v>50</v>
      </c>
      <c r="D23" s="0" t="str">
        <f aca="false">IF($N$2&gt;0,"",IFERROR(INDEX(Brands!$CN$2:$CN$1000,MATCH(22,Brands!$FE$2:$FE$1000,0))&amp;"",""))</f>
        <v>scale</v>
      </c>
      <c r="E23" s="0" t="str">
        <f aca="false">IF($N$2&gt;0,"",IFERROR(INDEX(Brands!$AM$2:$AM$1000,MATCH(22,Brands!$FE$2:$FE$1000,0))&amp;"",""))</f>
        <v>Kids snack-pack angle (animal crackers); 'thousands of retailers' may put it above the size band</v>
      </c>
      <c r="F23" s="0" t="str">
        <f aca="false">IF($N$2&gt;0,"",IFERROR(INDEX(Brands!$CO$2:$CO$1000,MATCH(22,Brands!$FE$2:$FE$1000,0))&amp;"",""))</f>
        <v>https://goodiegirl.com</v>
      </c>
      <c r="G23" s="0" t="str">
        <f aca="false">IF($N$2&gt;0,"",IFERROR(INDEX(Brands!$M$2:$M$1000,MATCH(22,Brands!$FE$2:$FE$1000,0))&amp;"",""))</f>
        <v>Whole Foods Market NoMad, 63 Madison Ave</v>
      </c>
      <c r="H23" s="0" t="str">
        <f aca="false">IF($N$2&gt;0,"",IFERROR(INDEX(Brands!$C$2:$C$1000,MATCH(22,Brands!$FE$2:$FE$1000,0))&amp;"",""))</f>
        <v>Shira</v>
      </c>
      <c r="I23" s="0" t="str">
        <f aca="false">IF($N$2&gt;0,"",IFERROR(INDEX(Brands!$D$2:$D$1000,MATCH(22,Brands!$FE$2:$FE$1000,0))&amp;"",""))</f>
        <v>Berk</v>
      </c>
      <c r="J23" s="0" t="str">
        <f aca="false">IF($N$2&gt;0,"",IFERROR(INDEX(Brands!$E$2:$E$1000,MATCH(22,Brands!$FE$2:$FE$1000,0))&amp;"",""))</f>
        <v>Founder and CEO</v>
      </c>
      <c r="K23" s="0" t="str">
        <f aca="false">IF($N$2&gt;0,"",IFERROR(INDEX(Brands!$U$2:$U$1000,MATCH(22,Brands!$FE$2:$FE$1000,0))&amp;"",""))</f>
        <v>new</v>
      </c>
      <c r="L23" s="0" t="n">
        <f aca="false">IF($N$2&gt;0,"",IFERROR(INDEX(Brands!$FE$2:$FE$1000,MATCH(22,Brands!$FE$2:$FE$1000,0)),""))</f>
        <v>22</v>
      </c>
    </row>
    <row r="24" customFormat="false" ht="15" hidden="false" customHeight="false" outlineLevel="0" collapsed="false">
      <c r="A24" s="0" t="str">
        <f aca="false">IF($N$2&gt;0,"",IFERROR(INDEX(Brands!$A$2:$A$1000,MATCH(23,Brands!$FE$2:$FE$1000,0))&amp;"",""))</f>
        <v>AB-105</v>
      </c>
      <c r="B24" s="0" t="str">
        <f aca="false">IF($N$2&gt;0,"",IFERROR(INDEX(Brands!$B$2:$B$1000,MATCH(23,Brands!$FE$2:$FE$1000,0))&amp;"",""))</f>
        <v>Unreal</v>
      </c>
      <c r="C24" s="0" t="n">
        <f aca="false">IF($N$2&gt;0,"",IFERROR(INDEX(Brands!$J$2:$J$1000,MATCH(23,Brands!$FE$2:$FE$1000,0)),""))</f>
        <v>50</v>
      </c>
      <c r="D24" s="0" t="str">
        <f aca="false">IF($N$2&gt;0,"",IFERROR(INDEX(Brands!$CN$2:$CN$1000,MATCH(23,Brands!$FE$2:$FE$1000,0))&amp;"",""))</f>
        <v>scale</v>
      </c>
      <c r="E24" s="0" t="str">
        <f aca="false">IF($N$2&gt;0,"",IFERROR(INDEX(Brands!$AM$2:$AM$1000,MATCH(23,Brands!$FE$2:$FE$1000,0))&amp;"",""))</f>
        <v>Broad national distribution (16 to 18 SKUs per cluster WFM) suggests it may be above the $10M ceiling; no revenue source found</v>
      </c>
      <c r="F24" s="0" t="str">
        <f aca="false">IF($N$2&gt;0,"",IFERROR(INDEX(Brands!$CO$2:$CO$1000,MATCH(23,Brands!$FE$2:$FE$1000,0))&amp;"",""))</f>
        <v>https://unrealsnacks.com</v>
      </c>
      <c r="G24" s="0" t="str">
        <f aca="false">IF($N$2&gt;0,"",IFERROR(INDEX(Brands!$M$2:$M$1000,MATCH(23,Brands!$FE$2:$FE$1000,0))&amp;"",""))</f>
        <v>Whole Foods Market NoMad, 63 Madison Ave</v>
      </c>
      <c r="H24" s="0" t="str">
        <f aca="false">IF($N$2&gt;0,"",IFERROR(INDEX(Brands!$C$2:$C$1000,MATCH(23,Brands!$FE$2:$FE$1000,0))&amp;"",""))</f>
        <v>Michael</v>
      </c>
      <c r="I24" s="0" t="str">
        <f aca="false">IF($N$2&gt;0,"",IFERROR(INDEX(Brands!$D$2:$D$1000,MATCH(23,Brands!$FE$2:$FE$1000,0))&amp;"",""))</f>
        <v>Bronner</v>
      </c>
      <c r="J24" s="0" t="str">
        <f aca="false">IF($N$2&gt;0,"",IFERROR(INDEX(Brands!$E$2:$E$1000,MATCH(23,Brands!$FE$2:$FE$1000,0))&amp;"",""))</f>
        <v>Co-founder</v>
      </c>
      <c r="K24" s="0" t="str">
        <f aca="false">IF($N$2&gt;0,"",IFERROR(INDEX(Brands!$U$2:$U$1000,MATCH(23,Brands!$FE$2:$FE$1000,0))&amp;"",""))</f>
        <v>new</v>
      </c>
      <c r="L24" s="0" t="n">
        <f aca="false">IF($N$2&gt;0,"",IFERROR(INDEX(Brands!$FE$2:$FE$1000,MATCH(23,Brands!$FE$2:$FE$1000,0)),""))</f>
        <v>23</v>
      </c>
    </row>
    <row r="25" customFormat="false" ht="15" hidden="false" customHeight="false" outlineLevel="0" collapsed="false">
      <c r="A25" s="0" t="str">
        <f aca="false">IF($N$2&gt;0,"",IFERROR(INDEX(Brands!$A$2:$A$1000,MATCH(24,Brands!$FE$2:$FE$1000,0))&amp;"",""))</f>
        <v>AB-146</v>
      </c>
      <c r="B25" s="0" t="str">
        <f aca="false">IF($N$2&gt;0,"",IFERROR(INDEX(Brands!$B$2:$B$1000,MATCH(24,Brands!$FE$2:$FE$1000,0))&amp;"",""))</f>
        <v>St. Agrestis (Phony Negroni)</v>
      </c>
      <c r="C25" s="0" t="n">
        <f aca="false">IF($N$2&gt;0,"",IFERROR(INDEX(Brands!$J$2:$J$1000,MATCH(24,Brands!$FE$2:$FE$1000,0)),""))</f>
        <v>49</v>
      </c>
      <c r="D25" s="0" t="str">
        <f aca="false">IF($N$2&gt;0,"",IFERROR(INDEX(Brands!$CN$2:$CN$1000,MATCH(24,Brands!$FE$2:$FE$1000,0))&amp;"",""))</f>
        <v>owner;alcohol-adjacent;nutrient-claim;scale</v>
      </c>
      <c r="E25" s="0" t="str">
        <f aca="false">IF($N$2&gt;0,"",IFERROR(INDEX(Brands!$AM$2:$AM$1000,MATCH(24,Brands!$FE$2:$FE$1000,0))&amp;"",""))</f>
        <v>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v>
      </c>
      <c r="F25" s="0" t="str">
        <f aca="false">IF($N$2&gt;0,"",IFERROR(INDEX(Brands!$CO$2:$CO$1000,MATCH(24,Brands!$FE$2:$FE$1000,0))&amp;"",""))</f>
        <v>https://stagrestis.com</v>
      </c>
      <c r="G25" s="0" t="str">
        <f aca="false">IF($N$2&gt;0,"",IFERROR(INDEX(Brands!$M$2:$M$1000,MATCH(24,Brands!$FE$2:$FE$1000,0))&amp;"",""))</f>
        <v>Eataly NYC Flatiron, 200 5th Ave</v>
      </c>
      <c r="H25" s="0" t="str">
        <f aca="false">IF($N$2&gt;0,"",IFERROR(INDEX(Brands!$C$2:$C$1000,MATCH(24,Brands!$FE$2:$FE$1000,0))&amp;"",""))</f>
        <v>Steven</v>
      </c>
      <c r="I25" s="0" t="str">
        <f aca="false">IF($N$2&gt;0,"",IFERROR(INDEX(Brands!$D$2:$D$1000,MATCH(24,Brands!$FE$2:$FE$1000,0))&amp;"",""))</f>
        <v>DeAngelo</v>
      </c>
      <c r="J25" s="0" t="str">
        <f aca="false">IF($N$2&gt;0,"",IFERROR(INDEX(Brands!$E$2:$E$1000,MATCH(24,Brands!$FE$2:$FE$1000,0))&amp;"",""))</f>
        <v>Founder</v>
      </c>
      <c r="K25" s="0" t="str">
        <f aca="false">IF($N$2&gt;0,"",IFERROR(INDEX(Brands!$U$2:$U$1000,MATCH(24,Brands!$FE$2:$FE$1000,0))&amp;"",""))</f>
        <v>new</v>
      </c>
      <c r="L25" s="0" t="n">
        <f aca="false">IF($N$2&gt;0,"",IFERROR(INDEX(Brands!$FE$2:$FE$1000,MATCH(24,Brands!$FE$2:$FE$1000,0)),""))</f>
        <v>24</v>
      </c>
    </row>
    <row r="26" customFormat="false" ht="15" hidden="false" customHeight="false" outlineLevel="0" collapsed="false">
      <c r="A26" s="0" t="str">
        <f aca="false">IF($N$2&gt;0,"",IFERROR(INDEX(Brands!$A$2:$A$1000,MATCH(25,Brands!$FE$2:$FE$1000,0))&amp;"",""))</f>
        <v>AB-126</v>
      </c>
      <c r="B26" s="0" t="str">
        <f aca="false">IF($N$2&gt;0,"",IFERROR(INDEX(Brands!$B$2:$B$1000,MATCH(25,Brands!$FE$2:$FE$1000,0))&amp;"",""))</f>
        <v>MarieBelle New York</v>
      </c>
      <c r="C26" s="0" t="n">
        <f aca="false">IF($N$2&gt;0,"",IFERROR(INDEX(Brands!$J$2:$J$1000,MATCH(25,Brands!$FE$2:$FE$1000,0)),""))</f>
        <v>49</v>
      </c>
      <c r="D26" s="0" t="str">
        <f aca="false">IF($N$2&gt;0,"",IFERROR(INDEX(Brands!$CN$2:$CN$1000,MATCH(25,Brands!$FE$2:$FE$1000,0))&amp;"",""))</f>
        <v>not-emerging</v>
      </c>
      <c r="E26" s="0" t="str">
        <f aca="false">IF($N$2&gt;0,"",IFERROR(INDEX(Brands!$AM$2:$AM$1000,MATCH(25,Brands!$FE$2:$FE$1000,0))&amp;"",""))</f>
        <v>Luxury gift chocolatier (30+ years), not an emerging snack brand; only bars and minis meet the 60-day rule</v>
      </c>
      <c r="F26" s="0" t="str">
        <f aca="false">IF($N$2&gt;0,"",IFERROR(INDEX(Brands!$CO$2:$CO$1000,MATCH(25,Brands!$FE$2:$FE$1000,0))&amp;"",""))</f>
        <v>https://mariebelle.com</v>
      </c>
      <c r="G26" s="0" t="str">
        <f aca="false">IF($N$2&gt;0,"",IFERROR(INDEX(Brands!$M$2:$M$1000,MATCH(25,Brands!$FE$2:$FE$1000,0))&amp;"",""))</f>
        <v>none found within ten blocks</v>
      </c>
      <c r="H26" s="0" t="str">
        <f aca="false">IF($N$2&gt;0,"",IFERROR(INDEX(Brands!$C$2:$C$1000,MATCH(25,Brands!$FE$2:$FE$1000,0))&amp;"",""))</f>
        <v>Maribel</v>
      </c>
      <c r="I26" s="0" t="str">
        <f aca="false">IF($N$2&gt;0,"",IFERROR(INDEX(Brands!$D$2:$D$1000,MATCH(25,Brands!$FE$2:$FE$1000,0))&amp;"",""))</f>
        <v>Lieberman</v>
      </c>
      <c r="J26" s="0" t="str">
        <f aca="false">IF($N$2&gt;0,"",IFERROR(INDEX(Brands!$E$2:$E$1000,MATCH(25,Brands!$FE$2:$FE$1000,0))&amp;"",""))</f>
        <v>Founder</v>
      </c>
      <c r="K26" s="0" t="str">
        <f aca="false">IF($N$2&gt;0,"",IFERROR(INDEX(Brands!$U$2:$U$1000,MATCH(25,Brands!$FE$2:$FE$1000,0))&amp;"",""))</f>
        <v>new</v>
      </c>
      <c r="L26" s="0" t="n">
        <f aca="false">IF($N$2&gt;0,"",IFERROR(INDEX(Brands!$FE$2:$FE$1000,MATCH(25,Brands!$FE$2:$FE$1000,0)),""))</f>
        <v>25</v>
      </c>
    </row>
    <row r="27" customFormat="false" ht="15" hidden="false" customHeight="false" outlineLevel="0" collapsed="false">
      <c r="A27" s="0" t="str">
        <f aca="false">IF($N$2&gt;0,"",IFERROR(INDEX(Brands!$A$2:$A$1000,MATCH(26,Brands!$FE$2:$FE$1000,0))&amp;"",""))</f>
        <v>AB-159</v>
      </c>
      <c r="B27" s="0" t="str">
        <f aca="false">IF($N$2&gt;0,"",IFERROR(INDEX(Brands!$B$2:$B$1000,MATCH(26,Brands!$FE$2:$FE$1000,0))&amp;"",""))</f>
        <v>Hoplark</v>
      </c>
      <c r="C27" s="0" t="n">
        <f aca="false">IF($N$2&gt;0,"",IFERROR(INDEX(Brands!$J$2:$J$1000,MATCH(26,Brands!$FE$2:$FE$1000,0)),""))</f>
        <v>48</v>
      </c>
      <c r="D27" s="0" t="str">
        <f aca="false">IF($N$2&gt;0,"",IFERROR(INDEX(Brands!$CN$2:$CN$1000,MATCH(26,Brands!$FE$2:$FE$1000,0))&amp;"",""))</f>
        <v>alcohol-adjacent;nutrient-claim</v>
      </c>
      <c r="E27" s="0" t="str">
        <f aca="false">IF($N$2&gt;0,"",IFERROR(INDEX(Brands!$AM$2:$AM$1000,MATCH(26,Brands!$FE$2:$FE$1000,0))&amp;"",""))</f>
        <v>Beer-adjacent hop positioning ('0.0 Hazy Style'); FAQ says zero alcohol and nothing fermented, but offices may read it as NA beer. Some SKUs have 20 to 60 mg caffeine. Colorado brand; 60-day shelf life not stated</v>
      </c>
      <c r="F27" s="0" t="str">
        <f aca="false">IF($N$2&gt;0,"",IFERROR(INDEX(Brands!$CO$2:$CO$1000,MATCH(26,Brands!$FE$2:$FE$1000,0))&amp;"",""))</f>
        <v>https://hoplark.com</v>
      </c>
      <c r="G27" s="0" t="str">
        <f aca="false">IF($N$2&gt;0,"",IFERROR(INDEX(Brands!$M$2:$M$1000,MATCH(26,Brands!$FE$2:$FE$1000,0))&amp;"",""))</f>
        <v>Wegmans Astor Place, 499 Lafayette St</v>
      </c>
      <c r="H27" s="0" t="str">
        <f aca="false">IF($N$2&gt;0,"",IFERROR(INDEX(Brands!$C$2:$C$1000,MATCH(26,Brands!$FE$2:$FE$1000,0))&amp;"",""))</f>
        <v>Dean</v>
      </c>
      <c r="I27" s="0" t="str">
        <f aca="false">IF($N$2&gt;0,"",IFERROR(INDEX(Brands!$D$2:$D$1000,MATCH(26,Brands!$FE$2:$FE$1000,0))&amp;"",""))</f>
        <v>Eberhardt</v>
      </c>
      <c r="J27" s="0" t="str">
        <f aca="false">IF($N$2&gt;0,"",IFERROR(INDEX(Brands!$E$2:$E$1000,MATCH(26,Brands!$FE$2:$FE$1000,0))&amp;"",""))</f>
        <v>Co-founder</v>
      </c>
      <c r="K27" s="0" t="str">
        <f aca="false">IF($N$2&gt;0,"",IFERROR(INDEX(Brands!$U$2:$U$1000,MATCH(26,Brands!$FE$2:$FE$1000,0))&amp;"",""))</f>
        <v>new</v>
      </c>
      <c r="L27" s="0" t="n">
        <f aca="false">IF($N$2&gt;0,"",IFERROR(INDEX(Brands!$FE$2:$FE$1000,MATCH(26,Brands!$FE$2:$FE$1000,0)),""))</f>
        <v>26</v>
      </c>
    </row>
    <row r="28" customFormat="false" ht="15" hidden="false" customHeight="false" outlineLevel="0" collapsed="false">
      <c r="A28" s="0" t="str">
        <f aca="false">IF($N$2&gt;0,"",IFERROR(INDEX(Brands!$A$2:$A$1000,MATCH(27,Brands!$FE$2:$FE$1000,0))&amp;"",""))</f>
        <v>AB-182</v>
      </c>
      <c r="B28" s="0" t="str">
        <f aca="false">IF($N$2&gt;0,"",IFERROR(INDEX(Brands!$B$2:$B$1000,MATCH(27,Brands!$FE$2:$FE$1000,0))&amp;"",""))</f>
        <v>OOZ Birch Water</v>
      </c>
      <c r="C28" s="0" t="n">
        <f aca="false">IF($N$2&gt;0,"",IFERROR(INDEX(Brands!$J$2:$J$1000,MATCH(27,Brands!$FE$2:$FE$1000,0)),""))</f>
        <v>48</v>
      </c>
      <c r="D28" s="0" t="str">
        <f aca="false">IF($N$2&gt;0,"",IFERROR(INDEX(Brands!$CN$2:$CN$1000,MATCH(27,Brands!$FE$2:$FE$1000,0))&amp;"",""))</f>
        <v>claim-functional;nutrient-claim</v>
      </c>
      <c r="E28" s="0" t="str">
        <f aca="false">IF($N$2&gt;0,"",IFERROR(INDEX(Brands!$AM$2:$AM$1000,MATCH(27,Brands!$FE$2:$FE$1000,0))&amp;"",""))</f>
        <v>Wellness framing ('antioxidants, manganese, and electrolytes'; 'connected to your own wellness') is nutrient-content and soft wording; check label for structure or function claims. Glass bottle (breakage risk on drop day) | Claims review 2026-10-24: 200 bioactive nutrients, light electrolytes ... DEEPER HYDRATION (implied effect) (https://oozwater.com); decide before outreach, and the tent card must not repeat it</v>
      </c>
      <c r="F28" s="0" t="str">
        <f aca="false">IF($N$2&gt;0,"",IFERROR(INDEX(Brands!$CO$2:$CO$1000,MATCH(27,Brands!$FE$2:$FE$1000,0))&amp;"",""))</f>
        <v>https://oozwater.com</v>
      </c>
      <c r="G28" s="0" t="str">
        <f aca="false">IF($N$2&gt;0,"",IFERROR(INDEX(Brands!$M$2:$M$1000,MATCH(27,Brands!$FE$2:$FE$1000,0))&amp;"",""))</f>
        <v>Fairway Market Chelsea, 766 6th Ave</v>
      </c>
      <c r="H28" s="0" t="str">
        <f aca="false">IF($N$2&gt;0,"",IFERROR(INDEX(Brands!$C$2:$C$1000,MATCH(27,Brands!$FE$2:$FE$1000,0))&amp;"",""))</f>
        <v/>
      </c>
      <c r="I28" s="0" t="str">
        <f aca="false">IF($N$2&gt;0,"",IFERROR(INDEX(Brands!$D$2:$D$1000,MATCH(27,Brands!$FE$2:$FE$1000,0))&amp;"",""))</f>
        <v/>
      </c>
      <c r="J28" s="0" t="str">
        <f aca="false">IF($N$2&gt;0,"",IFERROR(INDEX(Brands!$E$2:$E$1000,MATCH(27,Brands!$FE$2:$FE$1000,0))&amp;"",""))</f>
        <v/>
      </c>
      <c r="K28" s="0" t="str">
        <f aca="false">IF($N$2&gt;0,"",IFERROR(INDEX(Brands!$U$2:$U$1000,MATCH(27,Brands!$FE$2:$FE$1000,0))&amp;"",""))</f>
        <v>new</v>
      </c>
      <c r="L28" s="0" t="n">
        <f aca="false">IF($N$2&gt;0,"",IFERROR(INDEX(Brands!$FE$2:$FE$1000,MATCH(27,Brands!$FE$2:$FE$1000,0)),""))</f>
        <v>27</v>
      </c>
    </row>
    <row r="29" customFormat="false" ht="15" hidden="false" customHeight="false" outlineLevel="0" collapsed="false">
      <c r="A29" s="0" t="str">
        <f aca="false">IF($N$2&gt;0,"",IFERROR(INDEX(Brands!$A$2:$A$1000,MATCH(28,Brands!$FE$2:$FE$1000,0))&amp;"",""))</f>
        <v>AB-241</v>
      </c>
      <c r="B29" s="0" t="str">
        <f aca="false">IF($N$2&gt;0,"",IFERROR(INDEX(Brands!$B$2:$B$1000,MATCH(28,Brands!$FE$2:$FE$1000,0))&amp;"",""))</f>
        <v>Nomi Crunch</v>
      </c>
      <c r="C29" s="0" t="n">
        <f aca="false">IF($N$2&gt;0,"",IFERROR(INDEX(Brands!$J$2:$J$1000,MATCH(28,Brands!$FE$2:$FE$1000,0)),""))</f>
        <v>47</v>
      </c>
      <c r="D29" s="0" t="str">
        <f aca="false">IF($N$2&gt;0,"",IFERROR(INDEX(Brands!$CN$2:$CN$1000,MATCH(28,Brands!$FE$2:$FE$1000,0))&amp;"",""))</f>
        <v>format;nutrient-claim</v>
      </c>
      <c r="E29" s="0" t="str">
        <f aca="false">IF($N$2&gt;0,"",IFERROR(INDEX(Brands!$AM$2:$AM$1000,MATCH(28,Brands!$FE$2:$FE$1000,0))&amp;"",""))</f>
        <v>Protein positioning ('50g of protein per bag', whey protein isolate); multi-serve bag, not single-serve</v>
      </c>
      <c r="F29" s="0" t="str">
        <f aca="false">IF($N$2&gt;0,"",IFERROR(INDEX(Brands!$CO$2:$CO$1000,MATCH(28,Brands!$FE$2:$FE$1000,0))&amp;"",""))</f>
        <v>https://nomicrunch.com</v>
      </c>
      <c r="G29" s="0" t="str">
        <f aca="false">IF($N$2&gt;0,"",IFERROR(INDEX(Brands!$M$2:$M$1000,MATCH(28,Brands!$FE$2:$FE$1000,0))&amp;"",""))</f>
        <v>Jack's Market, 110 W 32nd St</v>
      </c>
      <c r="H29" s="0" t="str">
        <f aca="false">IF($N$2&gt;0,"",IFERROR(INDEX(Brands!$C$2:$C$1000,MATCH(28,Brands!$FE$2:$FE$1000,0))&amp;"",""))</f>
        <v>Sarah</v>
      </c>
      <c r="I29" s="0" t="str">
        <f aca="false">IF($N$2&gt;0,"",IFERROR(INDEX(Brands!$D$2:$D$1000,MATCH(28,Brands!$FE$2:$FE$1000,0))&amp;"",""))</f>
        <v>Harasaki</v>
      </c>
      <c r="J29" s="0" t="str">
        <f aca="false">IF($N$2&gt;0,"",IFERROR(INDEX(Brands!$E$2:$E$1000,MATCH(28,Brands!$FE$2:$FE$1000,0))&amp;"",""))</f>
        <v>Founder</v>
      </c>
      <c r="K29" s="0" t="str">
        <f aca="false">IF($N$2&gt;0,"",IFERROR(INDEX(Brands!$U$2:$U$1000,MATCH(28,Brands!$FE$2:$FE$1000,0))&amp;"",""))</f>
        <v>new</v>
      </c>
      <c r="L29" s="0" t="n">
        <f aca="false">IF($N$2&gt;0,"",IFERROR(INDEX(Brands!$FE$2:$FE$1000,MATCH(28,Brands!$FE$2:$FE$1000,0)),""))</f>
        <v>28</v>
      </c>
    </row>
    <row r="30" customFormat="false" ht="15" hidden="false" customHeight="false" outlineLevel="0" collapsed="false">
      <c r="A30" s="0" t="str">
        <f aca="false">IF($N$2&gt;0,"",IFERROR(INDEX(Brands!$A$2:$A$1000,MATCH(29,Brands!$FE$2:$FE$1000,0))&amp;"",""))</f>
        <v>AB-276</v>
      </c>
      <c r="B30" s="0" t="str">
        <f aca="false">IF($N$2&gt;0,"",IFERROR(INDEX(Brands!$B$2:$B$1000,MATCH(29,Brands!$FE$2:$FE$1000,0))&amp;"",""))</f>
        <v>Live Loud Foods</v>
      </c>
      <c r="C30" s="0" t="n">
        <f aca="false">IF($N$2&gt;0,"",IFERROR(INDEX(Brands!$J$2:$J$1000,MATCH(29,Brands!$FE$2:$FE$1000,0)),""))</f>
        <v>47</v>
      </c>
      <c r="D30" s="0" t="str">
        <f aca="false">IF($N$2&gt;0,"",IFERROR(INDEX(Brands!$CN$2:$CN$1000,MATCH(29,Brands!$FE$2:$FE$1000,0))&amp;"",""))</f>
        <v>under-floor;format</v>
      </c>
      <c r="E30" s="0" t="str">
        <f aca="false">IF($N$2&gt;0,"",IFERROR(INDEX(Brands!$AM$2:$AM$1000,MATCH(29,Brands!$FE$2:$FE$1000,0))&amp;"",""))</f>
        <v>Hot Bread Kitchen incubator alumna; likely well under $500k. Founder name not on any page opened. Bag size not confirmed</v>
      </c>
      <c r="F30" s="0" t="str">
        <f aca="false">IF($N$2&gt;0,"",IFERROR(INDEX(Brands!$CO$2:$CO$1000,MATCH(29,Brands!$FE$2:$FE$1000,0))&amp;"",""))</f>
        <v>https://www.liveloudfoods.com</v>
      </c>
      <c r="G30" s="0" t="str">
        <f aca="false">IF($N$2&gt;0,"",IFERROR(INDEX(Brands!$M$2:$M$1000,MATCH(29,Brands!$FE$2:$FE$1000,0))&amp;"",""))</f>
        <v>none found within ten blocks</v>
      </c>
      <c r="H30" s="0" t="str">
        <f aca="false">IF($N$2&gt;0,"",IFERROR(INDEX(Brands!$C$2:$C$1000,MATCH(29,Brands!$FE$2:$FE$1000,0))&amp;"",""))</f>
        <v>Keesha</v>
      </c>
      <c r="I30" s="0" t="str">
        <f aca="false">IF($N$2&gt;0,"",IFERROR(INDEX(Brands!$D$2:$D$1000,MATCH(29,Brands!$FE$2:$FE$1000,0))&amp;"",""))</f>
        <v>unknown</v>
      </c>
      <c r="J30" s="0" t="str">
        <f aca="false">IF($N$2&gt;0,"",IFERROR(INDEX(Brands!$E$2:$E$1000,MATCH(29,Brands!$FE$2:$FE$1000,0))&amp;"",""))</f>
        <v>Founder</v>
      </c>
      <c r="K30" s="0" t="str">
        <f aca="false">IF($N$2&gt;0,"",IFERROR(INDEX(Brands!$U$2:$U$1000,MATCH(29,Brands!$FE$2:$FE$1000,0))&amp;"",""))</f>
        <v>new</v>
      </c>
      <c r="L30" s="0" t="n">
        <f aca="false">IF($N$2&gt;0,"",IFERROR(INDEX(Brands!$FE$2:$FE$1000,MATCH(29,Brands!$FE$2:$FE$1000,0)),""))</f>
        <v>29</v>
      </c>
    </row>
    <row r="31" customFormat="false" ht="15" hidden="false" customHeight="false" outlineLevel="0" collapsed="false">
      <c r="A31" s="0" t="str">
        <f aca="false">IF($N$2&gt;0,"",IFERROR(INDEX(Brands!$A$2:$A$1000,MATCH(30,Brands!$FE$2:$FE$1000,0))&amp;"",""))</f>
        <v>AB-225</v>
      </c>
      <c r="B31" s="0" t="str">
        <f aca="false">IF($N$2&gt;0,"",IFERROR(INDEX(Brands!$B$2:$B$1000,MATCH(30,Brands!$FE$2:$FE$1000,0))&amp;"",""))</f>
        <v>Blind Tiger Spirit-Free Cocktails</v>
      </c>
      <c r="C31" s="0" t="n">
        <f aca="false">IF($N$2&gt;0,"",IFERROR(INDEX(Brands!$J$2:$J$1000,MATCH(30,Brands!$FE$2:$FE$1000,0)),""))</f>
        <v>46</v>
      </c>
      <c r="D31" s="0" t="str">
        <f aca="false">IF($N$2&gt;0,"",IFERROR(INDEX(Brands!$CN$2:$CN$1000,MATCH(30,Brands!$FE$2:$FE$1000,0))&amp;"",""))</f>
        <v>alcohol-adjacent</v>
      </c>
      <c r="E31" s="0" t="str">
        <f aca="false">IF($N$2&gt;0,"",IFERROR(INDEX(Brands!$AM$2:$AM$1000,MATCH(30,Brands!$FE$2:$FE$1000,0))&amp;"",""))</f>
        <v>Non-alcoholic cocktail positioned for bars and for mixing with spirits (alcohol-adjacent); an office may veto; 60-day shelf life not stated</v>
      </c>
      <c r="F31" s="0" t="str">
        <f aca="false">IF($N$2&gt;0,"",IFERROR(INDEX(Brands!$CO$2:$CO$1000,MATCH(30,Brands!$FE$2:$FE$1000,0))&amp;"",""))</f>
        <v>https://blindtigerspiritfree.com</v>
      </c>
      <c r="G31" s="0" t="str">
        <f aca="false">IF($N$2&gt;0,"",IFERROR(INDEX(Brands!$M$2:$M$1000,MATCH(30,Brands!$FE$2:$FE$1000,0))&amp;"",""))</f>
        <v>Whole Foods Market NoMad, 63 Madison Ave</v>
      </c>
      <c r="H31" s="0" t="str">
        <f aca="false">IF($N$2&gt;0,"",IFERROR(INDEX(Brands!$C$2:$C$1000,MATCH(30,Brands!$FE$2:$FE$1000,0))&amp;"",""))</f>
        <v>Rebecca</v>
      </c>
      <c r="I31" s="0" t="str">
        <f aca="false">IF($N$2&gt;0,"",IFERROR(INDEX(Brands!$D$2:$D$1000,MATCH(30,Brands!$FE$2:$FE$1000,0))&amp;"",""))</f>
        <v>Styn</v>
      </c>
      <c r="J31" s="0" t="str">
        <f aca="false">IF($N$2&gt;0,"",IFERROR(INDEX(Brands!$E$2:$E$1000,MATCH(30,Brands!$FE$2:$FE$1000,0))&amp;"",""))</f>
        <v>Founder and CEO</v>
      </c>
      <c r="K31" s="0" t="str">
        <f aca="false">IF($N$2&gt;0,"",IFERROR(INDEX(Brands!$U$2:$U$1000,MATCH(30,Brands!$FE$2:$FE$1000,0))&amp;"",""))</f>
        <v>new</v>
      </c>
      <c r="L31" s="0" t="n">
        <f aca="false">IF($N$2&gt;0,"",IFERROR(INDEX(Brands!$FE$2:$FE$1000,MATCH(30,Brands!$FE$2:$FE$1000,0)),""))</f>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2"/>
  </cols>
  <sheetData>
    <row r="1" customFormat="false" ht="15" hidden="false" customHeight="false" outlineLevel="0" collapsed="false">
      <c r="A1" s="6" t="s">
        <v>0</v>
      </c>
      <c r="B1" s="6" t="s">
        <v>5492</v>
      </c>
      <c r="C1" s="6" t="s">
        <v>5493</v>
      </c>
      <c r="D1" s="6" t="s">
        <v>55</v>
      </c>
      <c r="E1" s="6" t="s">
        <v>56</v>
      </c>
      <c r="F1" s="6" t="s">
        <v>12144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22"/>
    <col collapsed="false" customWidth="true" hidden="false" outlineLevel="0" max="4" min="4" style="0" width="12"/>
    <col collapsed="false" customWidth="true" hidden="false" outlineLevel="0" max="5" min="5" style="0" width="40"/>
    <col collapsed="false" customWidth="true" hidden="false" outlineLevel="0" max="6" min="6" style="0" width="100"/>
  </cols>
  <sheetData>
    <row r="1" customFormat="false" ht="15" hidden="false" customHeight="false" outlineLevel="0" collapsed="false">
      <c r="A1" s="6" t="s">
        <v>12145</v>
      </c>
      <c r="B1" s="6" t="s">
        <v>12146</v>
      </c>
      <c r="C1" s="6" t="s">
        <v>12147</v>
      </c>
      <c r="D1" s="6" t="s">
        <v>12148</v>
      </c>
      <c r="E1" s="7" t="s">
        <v>12149</v>
      </c>
      <c r="F1" s="7" t="s">
        <v>12150</v>
      </c>
    </row>
    <row r="2" customFormat="false" ht="28.35" hidden="false" customHeight="false" outlineLevel="0" collapsed="false">
      <c r="A2" s="0" t="s">
        <v>0</v>
      </c>
      <c r="B2" s="0" t="s">
        <v>12151</v>
      </c>
      <c r="C2" s="0" t="s">
        <v>12152</v>
      </c>
      <c r="D2" s="0" t="s">
        <v>12153</v>
      </c>
      <c r="E2" s="8" t="s">
        <v>12154</v>
      </c>
      <c r="F2" s="8" t="s">
        <v>12155</v>
      </c>
    </row>
    <row r="3" customFormat="false" ht="15" hidden="false" customHeight="false" outlineLevel="0" collapsed="false">
      <c r="A3" s="0" t="s">
        <v>1</v>
      </c>
      <c r="B3" s="0" t="s">
        <v>12151</v>
      </c>
      <c r="C3" s="0" t="s">
        <v>12152</v>
      </c>
      <c r="D3" s="0" t="s">
        <v>12153</v>
      </c>
      <c r="E3" s="8" t="s">
        <v>12156</v>
      </c>
      <c r="F3" s="8" t="s">
        <v>12157</v>
      </c>
    </row>
    <row r="4" customFormat="false" ht="41.75" hidden="false" customHeight="false" outlineLevel="0" collapsed="false">
      <c r="A4" s="0" t="s">
        <v>5488</v>
      </c>
      <c r="B4" s="0" t="s">
        <v>12151</v>
      </c>
      <c r="C4" s="0" t="s">
        <v>12152</v>
      </c>
      <c r="D4" s="0" t="s">
        <v>12158</v>
      </c>
      <c r="E4" s="8" t="s">
        <v>12159</v>
      </c>
      <c r="F4" s="8" t="s">
        <v>12160</v>
      </c>
    </row>
    <row r="5" customFormat="false" ht="28.35" hidden="false" customHeight="false" outlineLevel="0" collapsed="false">
      <c r="A5" s="0" t="s">
        <v>5489</v>
      </c>
      <c r="B5" s="0" t="s">
        <v>12151</v>
      </c>
      <c r="C5" s="0" t="s">
        <v>12152</v>
      </c>
      <c r="D5" s="0" t="s">
        <v>12158</v>
      </c>
      <c r="E5" s="8" t="s">
        <v>12161</v>
      </c>
      <c r="F5" s="8" t="s">
        <v>12162</v>
      </c>
    </row>
    <row r="6" customFormat="false" ht="15" hidden="false" customHeight="false" outlineLevel="0" collapsed="false">
      <c r="A6" s="0" t="s">
        <v>5490</v>
      </c>
      <c r="B6" s="0" t="s">
        <v>12151</v>
      </c>
      <c r="C6" s="0" t="s">
        <v>12152</v>
      </c>
      <c r="D6" s="0" t="s">
        <v>12158</v>
      </c>
      <c r="E6" s="8" t="s">
        <v>12159</v>
      </c>
      <c r="F6" s="8" t="s">
        <v>12163</v>
      </c>
    </row>
    <row r="7" customFormat="false" ht="41.75" hidden="false" customHeight="false" outlineLevel="0" collapsed="false">
      <c r="A7" s="0" t="s">
        <v>5491</v>
      </c>
      <c r="B7" s="0" t="s">
        <v>12151</v>
      </c>
      <c r="C7" s="0" t="s">
        <v>12152</v>
      </c>
      <c r="D7" s="0" t="s">
        <v>12158</v>
      </c>
      <c r="E7" s="8" t="s">
        <v>12164</v>
      </c>
      <c r="F7" s="8" t="s">
        <v>12165</v>
      </c>
    </row>
    <row r="8" customFormat="false" ht="28.35" hidden="false" customHeight="false" outlineLevel="0" collapsed="false">
      <c r="A8" s="0" t="s">
        <v>5492</v>
      </c>
      <c r="B8" s="0" t="s">
        <v>12151</v>
      </c>
      <c r="C8" s="0" t="s">
        <v>12152</v>
      </c>
      <c r="D8" s="0" t="s">
        <v>12158</v>
      </c>
      <c r="E8" s="8" t="s">
        <v>12166</v>
      </c>
      <c r="F8" s="8" t="s">
        <v>12167</v>
      </c>
    </row>
    <row r="9" customFormat="false" ht="28.35" hidden="false" customHeight="false" outlineLevel="0" collapsed="false">
      <c r="A9" s="0" t="s">
        <v>5493</v>
      </c>
      <c r="B9" s="0" t="s">
        <v>12151</v>
      </c>
      <c r="C9" s="0" t="s">
        <v>12152</v>
      </c>
      <c r="D9" s="0" t="s">
        <v>12158</v>
      </c>
      <c r="E9" s="8" t="s">
        <v>12168</v>
      </c>
      <c r="F9" s="8" t="s">
        <v>12169</v>
      </c>
    </row>
    <row r="10" customFormat="false" ht="41.75" hidden="false" customHeight="false" outlineLevel="0" collapsed="false">
      <c r="A10" s="0" t="s">
        <v>5494</v>
      </c>
      <c r="B10" s="0" t="s">
        <v>12151</v>
      </c>
      <c r="C10" s="0" t="s">
        <v>12152</v>
      </c>
      <c r="D10" s="0" t="s">
        <v>12158</v>
      </c>
      <c r="E10" s="8" t="s">
        <v>12170</v>
      </c>
      <c r="F10" s="8" t="s">
        <v>12171</v>
      </c>
    </row>
    <row r="11" customFormat="false" ht="28.35" hidden="false" customHeight="false" outlineLevel="0" collapsed="false">
      <c r="A11" s="0" t="s">
        <v>5495</v>
      </c>
      <c r="B11" s="0" t="s">
        <v>12151</v>
      </c>
      <c r="C11" s="0" t="s">
        <v>12152</v>
      </c>
      <c r="D11" s="0" t="s">
        <v>12158</v>
      </c>
      <c r="E11" s="8" t="s">
        <v>12172</v>
      </c>
      <c r="F11" s="8" t="s">
        <v>12173</v>
      </c>
    </row>
    <row r="12" customFormat="false" ht="28.35" hidden="false" customHeight="false" outlineLevel="0" collapsed="false">
      <c r="A12" s="0" t="s">
        <v>5496</v>
      </c>
      <c r="B12" s="0" t="s">
        <v>12151</v>
      </c>
      <c r="C12" s="0" t="s">
        <v>12152</v>
      </c>
      <c r="D12" s="0" t="s">
        <v>12158</v>
      </c>
      <c r="E12" s="8" t="s">
        <v>12174</v>
      </c>
      <c r="F12" s="8" t="s">
        <v>12175</v>
      </c>
    </row>
    <row r="13" customFormat="false" ht="28.35" hidden="false" customHeight="false" outlineLevel="0" collapsed="false">
      <c r="A13" s="0" t="s">
        <v>36</v>
      </c>
      <c r="B13" s="0" t="s">
        <v>12151</v>
      </c>
      <c r="C13" s="0" t="s">
        <v>12152</v>
      </c>
      <c r="D13" s="0" t="s">
        <v>12153</v>
      </c>
      <c r="E13" s="8" t="s">
        <v>12176</v>
      </c>
      <c r="F13" s="8" t="s">
        <v>12177</v>
      </c>
    </row>
    <row r="14" customFormat="false" ht="28.35" hidden="false" customHeight="false" outlineLevel="0" collapsed="false">
      <c r="A14" s="0" t="s">
        <v>5497</v>
      </c>
      <c r="B14" s="0" t="s">
        <v>12151</v>
      </c>
      <c r="C14" s="0" t="s">
        <v>12152</v>
      </c>
      <c r="D14" s="0" t="s">
        <v>12153</v>
      </c>
      <c r="E14" s="8" t="s">
        <v>12178</v>
      </c>
      <c r="F14" s="8" t="s">
        <v>12179</v>
      </c>
    </row>
    <row r="15" customFormat="false" ht="28.35" hidden="false" customHeight="false" outlineLevel="0" collapsed="false">
      <c r="A15" s="0" t="s">
        <v>5498</v>
      </c>
      <c r="B15" s="0" t="s">
        <v>12151</v>
      </c>
      <c r="C15" s="0" t="s">
        <v>12152</v>
      </c>
      <c r="D15" s="0" t="s">
        <v>12153</v>
      </c>
      <c r="E15" s="8" t="s">
        <v>12180</v>
      </c>
      <c r="F15" s="8" t="s">
        <v>12181</v>
      </c>
    </row>
    <row r="16" customFormat="false" ht="28.35" hidden="false" customHeight="false" outlineLevel="0" collapsed="false">
      <c r="A16" s="0" t="s">
        <v>5499</v>
      </c>
      <c r="B16" s="0" t="s">
        <v>12151</v>
      </c>
      <c r="C16" s="0" t="s">
        <v>12152</v>
      </c>
      <c r="D16" s="0" t="s">
        <v>12153</v>
      </c>
      <c r="E16" s="8" t="s">
        <v>12159</v>
      </c>
      <c r="F16" s="8" t="s">
        <v>12182</v>
      </c>
    </row>
    <row r="17" customFormat="false" ht="15" hidden="false" customHeight="false" outlineLevel="0" collapsed="false">
      <c r="A17" s="0" t="s">
        <v>5500</v>
      </c>
      <c r="B17" s="0" t="s">
        <v>12151</v>
      </c>
      <c r="C17" s="0" t="s">
        <v>12152</v>
      </c>
      <c r="D17" s="0" t="s">
        <v>12153</v>
      </c>
      <c r="E17" s="8" t="s">
        <v>12164</v>
      </c>
      <c r="F17" s="8" t="s">
        <v>12183</v>
      </c>
    </row>
    <row r="18" customFormat="false" ht="15" hidden="false" customHeight="false" outlineLevel="0" collapsed="false">
      <c r="A18" s="0" t="s">
        <v>5501</v>
      </c>
      <c r="B18" s="0" t="s">
        <v>12151</v>
      </c>
      <c r="C18" s="0" t="s">
        <v>12152</v>
      </c>
      <c r="D18" s="0" t="s">
        <v>12153</v>
      </c>
      <c r="E18" s="8" t="s">
        <v>12184</v>
      </c>
      <c r="F18" s="8" t="s">
        <v>12185</v>
      </c>
    </row>
    <row r="19" customFormat="false" ht="28.35" hidden="false" customHeight="false" outlineLevel="0" collapsed="false">
      <c r="A19" s="0" t="s">
        <v>5502</v>
      </c>
      <c r="B19" s="0" t="s">
        <v>12151</v>
      </c>
      <c r="C19" s="0" t="s">
        <v>12152</v>
      </c>
      <c r="D19" s="0" t="s">
        <v>5589</v>
      </c>
      <c r="E19" s="7" t="s">
        <v>12186</v>
      </c>
      <c r="F19" s="8" t="s">
        <v>12187</v>
      </c>
    </row>
    <row r="20" customFormat="false" ht="28.35" hidden="false" customHeight="false" outlineLevel="0" collapsed="false">
      <c r="A20" s="0" t="s">
        <v>5503</v>
      </c>
      <c r="B20" s="0" t="s">
        <v>12151</v>
      </c>
      <c r="C20" s="0" t="s">
        <v>12152</v>
      </c>
      <c r="D20" s="0" t="s">
        <v>12153</v>
      </c>
      <c r="E20" s="8" t="s">
        <v>12188</v>
      </c>
      <c r="F20" s="8" t="s">
        <v>12189</v>
      </c>
    </row>
    <row r="21" customFormat="false" ht="28.35" hidden="false" customHeight="false" outlineLevel="0" collapsed="false">
      <c r="A21" s="0" t="s">
        <v>5504</v>
      </c>
      <c r="B21" s="0" t="s">
        <v>12151</v>
      </c>
      <c r="C21" s="0" t="s">
        <v>12152</v>
      </c>
      <c r="D21" s="0" t="s">
        <v>12190</v>
      </c>
      <c r="E21" s="7" t="s">
        <v>12186</v>
      </c>
      <c r="F21" s="8" t="s">
        <v>12191</v>
      </c>
    </row>
    <row r="22" customFormat="false" ht="55.2" hidden="false" customHeight="false" outlineLevel="0" collapsed="false">
      <c r="A22" s="0" t="s">
        <v>5505</v>
      </c>
      <c r="B22" s="0" t="s">
        <v>12151</v>
      </c>
      <c r="C22" s="0" t="s">
        <v>12152</v>
      </c>
      <c r="D22" s="0" t="s">
        <v>12190</v>
      </c>
      <c r="E22" s="8" t="s">
        <v>12192</v>
      </c>
      <c r="F22" s="8" t="s">
        <v>12193</v>
      </c>
    </row>
    <row r="23" customFormat="false" ht="15" hidden="false" customHeight="false" outlineLevel="0" collapsed="false">
      <c r="A23" s="0" t="s">
        <v>5506</v>
      </c>
      <c r="B23" s="0" t="s">
        <v>12151</v>
      </c>
      <c r="C23" s="0" t="s">
        <v>12152</v>
      </c>
      <c r="D23" s="0" t="s">
        <v>12153</v>
      </c>
      <c r="E23" s="7" t="s">
        <v>12194</v>
      </c>
      <c r="F23" s="8" t="s">
        <v>12195</v>
      </c>
    </row>
    <row r="24" customFormat="false" ht="15" hidden="false" customHeight="false" outlineLevel="0" collapsed="false">
      <c r="A24" s="0" t="s">
        <v>5507</v>
      </c>
      <c r="B24" s="0" t="s">
        <v>12151</v>
      </c>
      <c r="C24" s="0" t="s">
        <v>12152</v>
      </c>
      <c r="D24" s="0" t="s">
        <v>12153</v>
      </c>
      <c r="E24" s="7" t="s">
        <v>12196</v>
      </c>
      <c r="F24" s="8" t="s">
        <v>12197</v>
      </c>
    </row>
    <row r="25" customFormat="false" ht="15" hidden="false" customHeight="false" outlineLevel="0" collapsed="false">
      <c r="A25" s="0" t="s">
        <v>5508</v>
      </c>
      <c r="B25" s="0" t="s">
        <v>12151</v>
      </c>
      <c r="C25" s="0" t="s">
        <v>12198</v>
      </c>
      <c r="D25" s="0" t="s">
        <v>12153</v>
      </c>
      <c r="E25" s="8" t="s">
        <v>12199</v>
      </c>
      <c r="F25" s="8" t="s">
        <v>12200</v>
      </c>
    </row>
    <row r="26" customFormat="false" ht="28.35" hidden="false" customHeight="false" outlineLevel="0" collapsed="false">
      <c r="A26" s="0" t="s">
        <v>5509</v>
      </c>
      <c r="B26" s="0" t="s">
        <v>12151</v>
      </c>
      <c r="C26" s="0" t="s">
        <v>12198</v>
      </c>
      <c r="D26" s="0" t="s">
        <v>12158</v>
      </c>
      <c r="E26" s="8" t="s">
        <v>12201</v>
      </c>
      <c r="F26" s="8" t="s">
        <v>12202</v>
      </c>
    </row>
    <row r="27" customFormat="false" ht="15" hidden="false" customHeight="false" outlineLevel="0" collapsed="false">
      <c r="A27" s="0" t="s">
        <v>4</v>
      </c>
      <c r="B27" s="0" t="s">
        <v>12151</v>
      </c>
      <c r="C27" s="0" t="s">
        <v>12198</v>
      </c>
      <c r="D27" s="0" t="s">
        <v>12153</v>
      </c>
      <c r="E27" s="8" t="s">
        <v>12203</v>
      </c>
      <c r="F27" s="8" t="s">
        <v>12204</v>
      </c>
    </row>
    <row r="28" customFormat="false" ht="28.35" hidden="false" customHeight="false" outlineLevel="0" collapsed="false">
      <c r="A28" s="0" t="s">
        <v>35</v>
      </c>
      <c r="B28" s="0" t="s">
        <v>12205</v>
      </c>
      <c r="C28" s="0" t="s">
        <v>12198</v>
      </c>
      <c r="D28" s="0" t="s">
        <v>12153</v>
      </c>
      <c r="E28" s="7" t="s">
        <v>12186</v>
      </c>
      <c r="F28" s="8" t="s">
        <v>12206</v>
      </c>
    </row>
    <row r="29" customFormat="false" ht="28.35" hidden="false" customHeight="false" outlineLevel="0" collapsed="false">
      <c r="A29" s="0" t="s">
        <v>5510</v>
      </c>
      <c r="B29" s="0" t="s">
        <v>12207</v>
      </c>
      <c r="C29" s="0" t="s">
        <v>12198</v>
      </c>
      <c r="D29" s="0" t="s">
        <v>12153</v>
      </c>
      <c r="E29" s="7" t="s">
        <v>12186</v>
      </c>
      <c r="F29" s="8" t="s">
        <v>12208</v>
      </c>
    </row>
    <row r="30" customFormat="false" ht="41.75" hidden="false" customHeight="false" outlineLevel="0" collapsed="false">
      <c r="A30" s="0" t="s">
        <v>5511</v>
      </c>
      <c r="B30" s="0" t="s">
        <v>12151</v>
      </c>
      <c r="C30" s="0" t="s">
        <v>12198</v>
      </c>
      <c r="D30" s="0" t="s">
        <v>12158</v>
      </c>
      <c r="E30" s="8" t="s">
        <v>12156</v>
      </c>
      <c r="F30" s="8" t="s">
        <v>12209</v>
      </c>
    </row>
    <row r="31" customFormat="false" ht="28.35" hidden="false" customHeight="false" outlineLevel="0" collapsed="false">
      <c r="A31" s="0" t="s">
        <v>5512</v>
      </c>
      <c r="B31" s="0" t="s">
        <v>12151</v>
      </c>
      <c r="C31" s="0" t="s">
        <v>12198</v>
      </c>
      <c r="D31" s="0" t="s">
        <v>12158</v>
      </c>
      <c r="E31" s="8" t="s">
        <v>12156</v>
      </c>
      <c r="F31" s="8" t="s">
        <v>12210</v>
      </c>
    </row>
    <row r="32" customFormat="false" ht="68.65" hidden="false" customHeight="false" outlineLevel="0" collapsed="false">
      <c r="A32" s="0" t="s">
        <v>5513</v>
      </c>
      <c r="B32" s="0" t="s">
        <v>12151</v>
      </c>
      <c r="C32" s="0" t="s">
        <v>12198</v>
      </c>
      <c r="D32" s="0" t="s">
        <v>12158</v>
      </c>
      <c r="E32" s="8" t="s">
        <v>12211</v>
      </c>
      <c r="F32" s="8" t="s">
        <v>12212</v>
      </c>
    </row>
    <row r="33" customFormat="false" ht="68.65" hidden="false" customHeight="false" outlineLevel="0" collapsed="false">
      <c r="A33" s="0" t="s">
        <v>5514</v>
      </c>
      <c r="B33" s="0" t="s">
        <v>12151</v>
      </c>
      <c r="C33" s="0" t="s">
        <v>12198</v>
      </c>
      <c r="D33" s="0" t="s">
        <v>12158</v>
      </c>
      <c r="E33" s="8" t="s">
        <v>12213</v>
      </c>
      <c r="F33" s="8" t="s">
        <v>12214</v>
      </c>
    </row>
    <row r="34" customFormat="false" ht="28.35" hidden="false" customHeight="false" outlineLevel="0" collapsed="false">
      <c r="A34" s="0" t="s">
        <v>5515</v>
      </c>
      <c r="B34" s="0" t="s">
        <v>12151</v>
      </c>
      <c r="C34" s="0" t="s">
        <v>12198</v>
      </c>
      <c r="D34" s="0" t="s">
        <v>12158</v>
      </c>
      <c r="E34" s="8" t="s">
        <v>12164</v>
      </c>
      <c r="F34" s="8" t="s">
        <v>12215</v>
      </c>
    </row>
    <row r="35" customFormat="false" ht="28.35" hidden="false" customHeight="false" outlineLevel="0" collapsed="false">
      <c r="A35" s="0" t="s">
        <v>5516</v>
      </c>
      <c r="B35" s="0" t="s">
        <v>12151</v>
      </c>
      <c r="C35" s="0" t="s">
        <v>12198</v>
      </c>
      <c r="D35" s="0" t="s">
        <v>12158</v>
      </c>
      <c r="E35" s="7" t="s">
        <v>12196</v>
      </c>
      <c r="F35" s="8" t="s">
        <v>12216</v>
      </c>
    </row>
    <row r="36" customFormat="false" ht="55.2" hidden="false" customHeight="false" outlineLevel="0" collapsed="false">
      <c r="A36" s="0" t="s">
        <v>12140</v>
      </c>
      <c r="B36" s="0" t="s">
        <v>12205</v>
      </c>
      <c r="C36" s="0" t="s">
        <v>12198</v>
      </c>
      <c r="D36" s="0" t="s">
        <v>12158</v>
      </c>
      <c r="E36" s="8" t="s">
        <v>12217</v>
      </c>
      <c r="F36" s="8" t="s">
        <v>12218</v>
      </c>
    </row>
    <row r="37" customFormat="false" ht="15" hidden="false" customHeight="false" outlineLevel="0" collapsed="false">
      <c r="A37" s="0" t="s">
        <v>30</v>
      </c>
      <c r="B37" s="0" t="s">
        <v>12205</v>
      </c>
      <c r="C37" s="0" t="s">
        <v>12198</v>
      </c>
      <c r="D37" s="0" t="s">
        <v>12153</v>
      </c>
      <c r="E37" s="8" t="s">
        <v>12156</v>
      </c>
      <c r="F37" s="8" t="s">
        <v>12219</v>
      </c>
    </row>
    <row r="38" customFormat="false" ht="15" hidden="false" customHeight="false" outlineLevel="0" collapsed="false">
      <c r="A38" s="0" t="s">
        <v>31</v>
      </c>
      <c r="B38" s="0" t="s">
        <v>12205</v>
      </c>
      <c r="C38" s="0" t="s">
        <v>12198</v>
      </c>
      <c r="D38" s="0" t="s">
        <v>12153</v>
      </c>
      <c r="E38" s="8" t="s">
        <v>12220</v>
      </c>
      <c r="F38" s="8" t="s">
        <v>12221</v>
      </c>
    </row>
    <row r="39" customFormat="false" ht="55.2" hidden="false" customHeight="false" outlineLevel="0" collapsed="false">
      <c r="A39" s="0" t="s">
        <v>12141</v>
      </c>
      <c r="B39" s="0" t="s">
        <v>12205</v>
      </c>
      <c r="C39" s="0" t="s">
        <v>12198</v>
      </c>
      <c r="D39" s="0" t="s">
        <v>12153</v>
      </c>
      <c r="E39" s="8" t="s">
        <v>12222</v>
      </c>
      <c r="F39" s="8" t="s">
        <v>12223</v>
      </c>
    </row>
    <row r="40" customFormat="false" ht="15" hidden="false" customHeight="false" outlineLevel="0" collapsed="false">
      <c r="A40" s="0" t="s">
        <v>12142</v>
      </c>
      <c r="B40" s="0" t="s">
        <v>12205</v>
      </c>
      <c r="C40" s="0" t="s">
        <v>12198</v>
      </c>
      <c r="D40" s="0" t="s">
        <v>12153</v>
      </c>
      <c r="E40" s="8" t="s">
        <v>12224</v>
      </c>
      <c r="F40" s="8" t="s">
        <v>12225</v>
      </c>
    </row>
    <row r="41" customFormat="false" ht="15" hidden="false" customHeight="false" outlineLevel="0" collapsed="false">
      <c r="A41" s="0" t="s">
        <v>38</v>
      </c>
      <c r="B41" s="0" t="s">
        <v>12205</v>
      </c>
      <c r="C41" s="0" t="s">
        <v>12198</v>
      </c>
      <c r="D41" s="0" t="s">
        <v>12153</v>
      </c>
      <c r="E41" s="8" t="s">
        <v>12224</v>
      </c>
      <c r="F41" s="8" t="s">
        <v>12226</v>
      </c>
    </row>
    <row r="42" customFormat="false" ht="28.35" hidden="false" customHeight="false" outlineLevel="0" collapsed="false">
      <c r="A42" s="0" t="s">
        <v>39</v>
      </c>
      <c r="B42" s="0" t="s">
        <v>12205</v>
      </c>
      <c r="C42" s="0" t="s">
        <v>12198</v>
      </c>
      <c r="D42" s="0" t="s">
        <v>12153</v>
      </c>
      <c r="E42" s="8" t="s">
        <v>12227</v>
      </c>
      <c r="F42" s="8" t="s">
        <v>12228</v>
      </c>
    </row>
    <row r="43" customFormat="false" ht="41.75" hidden="false" customHeight="false" outlineLevel="0" collapsed="false">
      <c r="A43" s="0" t="s">
        <v>40</v>
      </c>
      <c r="B43" s="0" t="s">
        <v>12205</v>
      </c>
      <c r="C43" s="0" t="s">
        <v>12198</v>
      </c>
      <c r="D43" s="0" t="s">
        <v>12153</v>
      </c>
      <c r="E43" s="8" t="s">
        <v>12229</v>
      </c>
      <c r="F43" s="8" t="s">
        <v>12230</v>
      </c>
    </row>
    <row r="44" customFormat="false" ht="28.35" hidden="false" customHeight="false" outlineLevel="0" collapsed="false">
      <c r="A44" s="0" t="s">
        <v>41</v>
      </c>
      <c r="B44" s="0" t="s">
        <v>12151</v>
      </c>
      <c r="C44" s="0" t="s">
        <v>12198</v>
      </c>
      <c r="D44" s="0" t="s">
        <v>12153</v>
      </c>
      <c r="E44" s="8" t="s">
        <v>12231</v>
      </c>
      <c r="F44" s="8" t="s">
        <v>12232</v>
      </c>
    </row>
    <row r="45" customFormat="false" ht="28.35" hidden="false" customHeight="false" outlineLevel="0" collapsed="false">
      <c r="A45" s="0" t="s">
        <v>42</v>
      </c>
      <c r="B45" s="0" t="s">
        <v>12151</v>
      </c>
      <c r="C45" s="0" t="s">
        <v>12198</v>
      </c>
      <c r="D45" s="0" t="s">
        <v>5589</v>
      </c>
      <c r="E45" s="7" t="s">
        <v>12186</v>
      </c>
      <c r="F45" s="8" t="s">
        <v>12233</v>
      </c>
    </row>
    <row r="46" customFormat="false" ht="15" hidden="false" customHeight="false" outlineLevel="0" collapsed="false">
      <c r="A46" s="0" t="s">
        <v>43</v>
      </c>
      <c r="B46" s="0" t="s">
        <v>12151</v>
      </c>
      <c r="C46" s="0" t="s">
        <v>12198</v>
      </c>
      <c r="D46" s="0" t="s">
        <v>12153</v>
      </c>
      <c r="E46" s="8" t="s">
        <v>12156</v>
      </c>
      <c r="F46" s="8" t="s">
        <v>12234</v>
      </c>
    </row>
    <row r="47" customFormat="false" ht="28.35" hidden="false" customHeight="false" outlineLevel="0" collapsed="false">
      <c r="A47" s="0" t="s">
        <v>44</v>
      </c>
      <c r="B47" s="0" t="s">
        <v>12151</v>
      </c>
      <c r="C47" s="0" t="s">
        <v>12198</v>
      </c>
      <c r="D47" s="0" t="s">
        <v>12190</v>
      </c>
      <c r="E47" s="8" t="s">
        <v>12235</v>
      </c>
      <c r="F47" s="8" t="s">
        <v>12236</v>
      </c>
    </row>
    <row r="48" customFormat="false" ht="15" hidden="false" customHeight="false" outlineLevel="0" collapsed="false">
      <c r="A48" s="0" t="s">
        <v>5517</v>
      </c>
      <c r="B48" s="0" t="s">
        <v>12207</v>
      </c>
      <c r="C48" s="0" t="s">
        <v>12198</v>
      </c>
      <c r="D48" s="0" t="s">
        <v>12153</v>
      </c>
      <c r="E48" s="8" t="s">
        <v>12156</v>
      </c>
      <c r="F48" s="8" t="s">
        <v>12237</v>
      </c>
    </row>
    <row r="49" customFormat="false" ht="15" hidden="false" customHeight="false" outlineLevel="0" collapsed="false">
      <c r="A49" s="0" t="s">
        <v>5518</v>
      </c>
      <c r="B49" s="0" t="s">
        <v>12207</v>
      </c>
      <c r="C49" s="0" t="s">
        <v>12198</v>
      </c>
      <c r="D49" s="0" t="s">
        <v>12153</v>
      </c>
      <c r="E49" s="8" t="s">
        <v>12238</v>
      </c>
      <c r="F49" s="8" t="s">
        <v>12239</v>
      </c>
    </row>
    <row r="50" customFormat="false" ht="15" hidden="false" customHeight="false" outlineLevel="0" collapsed="false">
      <c r="A50" s="0" t="s">
        <v>78</v>
      </c>
      <c r="B50" s="0" t="s">
        <v>12151</v>
      </c>
      <c r="C50" s="0" t="s">
        <v>12198</v>
      </c>
      <c r="D50" s="0" t="s">
        <v>12153</v>
      </c>
      <c r="E50" s="8" t="s">
        <v>12156</v>
      </c>
      <c r="F50" s="8" t="s">
        <v>12240</v>
      </c>
    </row>
    <row r="51" customFormat="false" ht="15" hidden="false" customHeight="false" outlineLevel="0" collapsed="false">
      <c r="A51" s="0" t="s">
        <v>5519</v>
      </c>
      <c r="B51" s="0" t="s">
        <v>12207</v>
      </c>
      <c r="C51" s="0" t="s">
        <v>12198</v>
      </c>
      <c r="D51" s="0" t="s">
        <v>12153</v>
      </c>
      <c r="E51" s="8" t="s">
        <v>12164</v>
      </c>
      <c r="F51" s="8" t="s">
        <v>12241</v>
      </c>
    </row>
    <row r="52" customFormat="false" ht="15" hidden="false" customHeight="false" outlineLevel="0" collapsed="false">
      <c r="A52" s="0" t="s">
        <v>5565</v>
      </c>
      <c r="B52" s="0" t="s">
        <v>12207</v>
      </c>
      <c r="C52" s="0" t="s">
        <v>12242</v>
      </c>
      <c r="D52" s="0" t="s">
        <v>12153</v>
      </c>
      <c r="E52" s="8" t="s">
        <v>12159</v>
      </c>
      <c r="F52" s="8" t="s">
        <v>12243</v>
      </c>
    </row>
    <row r="53" customFormat="false" ht="28.35" hidden="false" customHeight="false" outlineLevel="0" collapsed="false">
      <c r="A53" s="0" t="s">
        <v>5520</v>
      </c>
      <c r="B53" s="0" t="s">
        <v>12207</v>
      </c>
      <c r="C53" s="0" t="s">
        <v>12198</v>
      </c>
      <c r="D53" s="0" t="s">
        <v>12153</v>
      </c>
      <c r="E53" s="7" t="s">
        <v>12186</v>
      </c>
      <c r="F53" s="8" t="s">
        <v>12244</v>
      </c>
    </row>
    <row r="54" customFormat="false" ht="28.35" hidden="false" customHeight="false" outlineLevel="0" collapsed="false">
      <c r="A54" s="0" t="s">
        <v>5521</v>
      </c>
      <c r="B54" s="0" t="s">
        <v>12207</v>
      </c>
      <c r="C54" s="0" t="s">
        <v>12198</v>
      </c>
      <c r="D54" s="0" t="s">
        <v>12153</v>
      </c>
      <c r="E54" s="8" t="s">
        <v>12156</v>
      </c>
      <c r="F54" s="8" t="s">
        <v>12245</v>
      </c>
    </row>
    <row r="55" customFormat="false" ht="41.75" hidden="false" customHeight="false" outlineLevel="0" collapsed="false">
      <c r="A55" s="0" t="s">
        <v>45</v>
      </c>
      <c r="B55" s="0" t="s">
        <v>12151</v>
      </c>
      <c r="C55" s="0" t="s">
        <v>12246</v>
      </c>
      <c r="D55" s="0" t="s">
        <v>12158</v>
      </c>
      <c r="E55" s="7" t="s">
        <v>12186</v>
      </c>
      <c r="F55" s="8" t="s">
        <v>12247</v>
      </c>
    </row>
    <row r="56" customFormat="false" ht="15" hidden="false" customHeight="false" outlineLevel="0" collapsed="false">
      <c r="A56" s="0" t="s">
        <v>46</v>
      </c>
      <c r="B56" s="0" t="s">
        <v>12151</v>
      </c>
      <c r="C56" s="0" t="s">
        <v>12246</v>
      </c>
      <c r="D56" s="0" t="s">
        <v>12158</v>
      </c>
      <c r="E56" s="8" t="s">
        <v>12156</v>
      </c>
      <c r="F56" s="8" t="s">
        <v>12248</v>
      </c>
    </row>
    <row r="57" customFormat="false" ht="28.35" hidden="false" customHeight="false" outlineLevel="0" collapsed="false">
      <c r="A57" s="0" t="s">
        <v>47</v>
      </c>
      <c r="B57" s="0" t="s">
        <v>12205</v>
      </c>
      <c r="C57" s="0" t="s">
        <v>12246</v>
      </c>
      <c r="D57" s="0" t="s">
        <v>5589</v>
      </c>
      <c r="E57" s="8" t="s">
        <v>12249</v>
      </c>
      <c r="F57" s="8" t="s">
        <v>12250</v>
      </c>
    </row>
    <row r="58" customFormat="false" ht="41.75" hidden="false" customHeight="false" outlineLevel="0" collapsed="false">
      <c r="A58" s="0" t="s">
        <v>48</v>
      </c>
      <c r="B58" s="0" t="s">
        <v>12151</v>
      </c>
      <c r="C58" s="0" t="s">
        <v>12246</v>
      </c>
      <c r="D58" s="0" t="s">
        <v>5589</v>
      </c>
      <c r="E58" s="8" t="s">
        <v>12249</v>
      </c>
      <c r="F58" s="8" t="s">
        <v>12251</v>
      </c>
    </row>
    <row r="59" customFormat="false" ht="41.75" hidden="false" customHeight="false" outlineLevel="0" collapsed="false">
      <c r="A59" s="0" t="s">
        <v>5522</v>
      </c>
      <c r="B59" s="0" t="s">
        <v>12207</v>
      </c>
      <c r="C59" s="0" t="s">
        <v>12246</v>
      </c>
      <c r="D59" s="0" t="s">
        <v>12153</v>
      </c>
      <c r="E59" s="7" t="s">
        <v>12186</v>
      </c>
      <c r="F59" s="8" t="s">
        <v>12252</v>
      </c>
    </row>
    <row r="60" customFormat="false" ht="28.35" hidden="false" customHeight="false" outlineLevel="0" collapsed="false">
      <c r="A60" s="0" t="s">
        <v>5523</v>
      </c>
      <c r="B60" s="0" t="s">
        <v>12207</v>
      </c>
      <c r="C60" s="0" t="s">
        <v>12246</v>
      </c>
      <c r="D60" s="0" t="s">
        <v>5589</v>
      </c>
      <c r="E60" s="8" t="s">
        <v>12249</v>
      </c>
      <c r="F60" s="8" t="s">
        <v>12253</v>
      </c>
    </row>
    <row r="61" customFormat="false" ht="28.35" hidden="false" customHeight="false" outlineLevel="0" collapsed="false">
      <c r="A61" s="0" t="s">
        <v>5524</v>
      </c>
      <c r="B61" s="0" t="s">
        <v>12207</v>
      </c>
      <c r="C61" s="0" t="s">
        <v>12246</v>
      </c>
      <c r="D61" s="0" t="s">
        <v>5589</v>
      </c>
      <c r="E61" s="8" t="s">
        <v>12235</v>
      </c>
      <c r="F61" s="8" t="s">
        <v>12254</v>
      </c>
    </row>
    <row r="62" customFormat="false" ht="28.35" hidden="false" customHeight="false" outlineLevel="0" collapsed="false">
      <c r="A62" s="0" t="s">
        <v>5525</v>
      </c>
      <c r="B62" s="0" t="s">
        <v>12207</v>
      </c>
      <c r="C62" s="0" t="s">
        <v>12246</v>
      </c>
      <c r="D62" s="0" t="s">
        <v>12153</v>
      </c>
      <c r="E62" s="8" t="s">
        <v>12164</v>
      </c>
      <c r="F62" s="8" t="s">
        <v>12255</v>
      </c>
    </row>
    <row r="63" customFormat="false" ht="15" hidden="false" customHeight="false" outlineLevel="0" collapsed="false">
      <c r="A63" s="0" t="s">
        <v>49</v>
      </c>
      <c r="B63" s="0" t="s">
        <v>12205</v>
      </c>
      <c r="C63" s="0" t="s">
        <v>12246</v>
      </c>
      <c r="D63" s="0" t="s">
        <v>12153</v>
      </c>
      <c r="E63" s="7" t="s">
        <v>12186</v>
      </c>
      <c r="F63" s="8" t="s">
        <v>12256</v>
      </c>
    </row>
    <row r="64" customFormat="false" ht="15" hidden="false" customHeight="false" outlineLevel="0" collapsed="false">
      <c r="A64" s="0" t="s">
        <v>67</v>
      </c>
      <c r="B64" s="0" t="s">
        <v>12151</v>
      </c>
      <c r="C64" s="0" t="s">
        <v>12257</v>
      </c>
      <c r="D64" s="0" t="s">
        <v>12153</v>
      </c>
      <c r="E64" s="8" t="s">
        <v>12258</v>
      </c>
      <c r="F64" s="8" t="s">
        <v>12259</v>
      </c>
    </row>
    <row r="65" customFormat="false" ht="15" hidden="false" customHeight="false" outlineLevel="0" collapsed="false">
      <c r="A65" s="0" t="s">
        <v>68</v>
      </c>
      <c r="B65" s="0" t="s">
        <v>12151</v>
      </c>
      <c r="C65" s="0" t="s">
        <v>12257</v>
      </c>
      <c r="D65" s="0" t="s">
        <v>12153</v>
      </c>
      <c r="E65" s="8" t="s">
        <v>12156</v>
      </c>
      <c r="F65" s="8" t="s">
        <v>12260</v>
      </c>
    </row>
    <row r="66" customFormat="false" ht="28.35" hidden="false" customHeight="false" outlineLevel="0" collapsed="false">
      <c r="A66" s="0" t="s">
        <v>5527</v>
      </c>
      <c r="B66" s="0" t="s">
        <v>12207</v>
      </c>
      <c r="C66" s="0" t="s">
        <v>12257</v>
      </c>
      <c r="D66" s="0" t="s">
        <v>12153</v>
      </c>
      <c r="E66" s="8" t="s">
        <v>12261</v>
      </c>
      <c r="F66" s="8" t="s">
        <v>12262</v>
      </c>
    </row>
    <row r="67" customFormat="false" ht="15" hidden="false" customHeight="false" outlineLevel="0" collapsed="false">
      <c r="A67" s="0" t="s">
        <v>113</v>
      </c>
      <c r="B67" s="0" t="s">
        <v>12151</v>
      </c>
      <c r="C67" s="0" t="s">
        <v>12257</v>
      </c>
      <c r="D67" s="0" t="s">
        <v>12153</v>
      </c>
      <c r="E67" s="8" t="s">
        <v>12263</v>
      </c>
      <c r="F67" s="8" t="s">
        <v>12264</v>
      </c>
    </row>
    <row r="68" customFormat="false" ht="28.35" hidden="false" customHeight="false" outlineLevel="0" collapsed="false">
      <c r="A68" s="0" t="s">
        <v>114</v>
      </c>
      <c r="B68" s="0" t="s">
        <v>12205</v>
      </c>
      <c r="C68" s="0" t="s">
        <v>12257</v>
      </c>
      <c r="D68" s="0" t="s">
        <v>12153</v>
      </c>
      <c r="E68" s="8" t="s">
        <v>12265</v>
      </c>
      <c r="F68" s="8" t="s">
        <v>12266</v>
      </c>
    </row>
    <row r="69" customFormat="false" ht="28.35" hidden="false" customHeight="false" outlineLevel="0" collapsed="false">
      <c r="A69" s="0" t="s">
        <v>115</v>
      </c>
      <c r="B69" s="0" t="s">
        <v>12205</v>
      </c>
      <c r="C69" s="0" t="s">
        <v>12257</v>
      </c>
      <c r="D69" s="0" t="s">
        <v>12153</v>
      </c>
      <c r="E69" s="8" t="s">
        <v>12267</v>
      </c>
      <c r="F69" s="8" t="s">
        <v>12268</v>
      </c>
    </row>
    <row r="70" customFormat="false" ht="28.35" hidden="false" customHeight="false" outlineLevel="0" collapsed="false">
      <c r="A70" s="0" t="s">
        <v>116</v>
      </c>
      <c r="B70" s="0" t="s">
        <v>12205</v>
      </c>
      <c r="C70" s="0" t="s">
        <v>12257</v>
      </c>
      <c r="D70" s="0" t="s">
        <v>12153</v>
      </c>
      <c r="E70" s="8" t="s">
        <v>12269</v>
      </c>
      <c r="F70" s="8" t="s">
        <v>12270</v>
      </c>
    </row>
    <row r="71" customFormat="false" ht="28.35" hidden="false" customHeight="false" outlineLevel="0" collapsed="false">
      <c r="A71" s="0" t="s">
        <v>117</v>
      </c>
      <c r="B71" s="0" t="s">
        <v>12205</v>
      </c>
      <c r="C71" s="0" t="s">
        <v>12257</v>
      </c>
      <c r="D71" s="0" t="s">
        <v>12153</v>
      </c>
      <c r="E71" s="8" t="s">
        <v>12271</v>
      </c>
      <c r="F71" s="8" t="s">
        <v>12272</v>
      </c>
    </row>
    <row r="72" customFormat="false" ht="15" hidden="false" customHeight="false" outlineLevel="0" collapsed="false">
      <c r="A72" s="0" t="s">
        <v>118</v>
      </c>
      <c r="B72" s="0" t="s">
        <v>12205</v>
      </c>
      <c r="C72" s="0" t="s">
        <v>12257</v>
      </c>
      <c r="D72" s="0" t="s">
        <v>12158</v>
      </c>
      <c r="E72" s="8" t="s">
        <v>12273</v>
      </c>
      <c r="F72" s="8" t="s">
        <v>12274</v>
      </c>
    </row>
    <row r="73" customFormat="false" ht="15" hidden="false" customHeight="false" outlineLevel="0" collapsed="false">
      <c r="A73" s="0" t="s">
        <v>119</v>
      </c>
      <c r="B73" s="0" t="s">
        <v>12151</v>
      </c>
      <c r="C73" s="0" t="s">
        <v>12257</v>
      </c>
      <c r="D73" s="0" t="s">
        <v>12158</v>
      </c>
      <c r="E73" s="8" t="s">
        <v>12275</v>
      </c>
      <c r="F73" s="8" t="s">
        <v>12276</v>
      </c>
    </row>
    <row r="74" customFormat="false" ht="28.35" hidden="false" customHeight="false" outlineLevel="0" collapsed="false">
      <c r="A74" s="0" t="s">
        <v>5553</v>
      </c>
      <c r="B74" s="0" t="s">
        <v>12207</v>
      </c>
      <c r="C74" s="0" t="s">
        <v>12257</v>
      </c>
      <c r="D74" s="0" t="s">
        <v>12153</v>
      </c>
      <c r="E74" s="8" t="s">
        <v>12277</v>
      </c>
      <c r="F74" s="8" t="s">
        <v>12278</v>
      </c>
    </row>
    <row r="75" customFormat="false" ht="28.35" hidden="false" customHeight="false" outlineLevel="0" collapsed="false">
      <c r="A75" s="0" t="s">
        <v>5554</v>
      </c>
      <c r="B75" s="0" t="s">
        <v>12207</v>
      </c>
      <c r="C75" s="0" t="s">
        <v>12257</v>
      </c>
      <c r="D75" s="0" t="s">
        <v>12153</v>
      </c>
      <c r="E75" s="8" t="s">
        <v>12279</v>
      </c>
      <c r="F75" s="8" t="s">
        <v>12280</v>
      </c>
    </row>
    <row r="76" customFormat="false" ht="15" hidden="false" customHeight="false" outlineLevel="0" collapsed="false">
      <c r="A76" s="0" t="s">
        <v>5555</v>
      </c>
      <c r="B76" s="0" t="s">
        <v>12207</v>
      </c>
      <c r="C76" s="0" t="s">
        <v>12257</v>
      </c>
      <c r="D76" s="0" t="s">
        <v>12153</v>
      </c>
      <c r="E76" s="8" t="s">
        <v>12271</v>
      </c>
      <c r="F76" s="8" t="s">
        <v>12281</v>
      </c>
    </row>
    <row r="77" customFormat="false" ht="15" hidden="false" customHeight="false" outlineLevel="0" collapsed="false">
      <c r="A77" s="0" t="s">
        <v>5556</v>
      </c>
      <c r="B77" s="0" t="s">
        <v>12207</v>
      </c>
      <c r="C77" s="0" t="s">
        <v>12257</v>
      </c>
      <c r="D77" s="0" t="s">
        <v>12153</v>
      </c>
      <c r="E77" s="8" t="s">
        <v>12282</v>
      </c>
      <c r="F77" s="8" t="s">
        <v>12283</v>
      </c>
    </row>
    <row r="78" customFormat="false" ht="15" hidden="false" customHeight="false" outlineLevel="0" collapsed="false">
      <c r="A78" s="0" t="s">
        <v>5557</v>
      </c>
      <c r="B78" s="0" t="s">
        <v>12207</v>
      </c>
      <c r="C78" s="0" t="s">
        <v>12257</v>
      </c>
      <c r="D78" s="0" t="s">
        <v>12153</v>
      </c>
      <c r="E78" s="8" t="s">
        <v>12282</v>
      </c>
      <c r="F78" s="8" t="s">
        <v>12284</v>
      </c>
    </row>
    <row r="79" customFormat="false" ht="28.35" hidden="false" customHeight="false" outlineLevel="0" collapsed="false">
      <c r="A79" s="0" t="s">
        <v>5558</v>
      </c>
      <c r="B79" s="0" t="s">
        <v>12207</v>
      </c>
      <c r="C79" s="0" t="s">
        <v>12257</v>
      </c>
      <c r="D79" s="0" t="s">
        <v>12153</v>
      </c>
      <c r="E79" s="8" t="s">
        <v>12282</v>
      </c>
      <c r="F79" s="8" t="s">
        <v>12285</v>
      </c>
    </row>
    <row r="80" customFormat="false" ht="41.75" hidden="false" customHeight="false" outlineLevel="0" collapsed="false">
      <c r="A80" s="0" t="s">
        <v>5559</v>
      </c>
      <c r="B80" s="0" t="s">
        <v>12207</v>
      </c>
      <c r="C80" s="0" t="s">
        <v>12257</v>
      </c>
      <c r="D80" s="0" t="s">
        <v>12153</v>
      </c>
      <c r="E80" s="8" t="s">
        <v>12286</v>
      </c>
      <c r="F80" s="8" t="s">
        <v>12287</v>
      </c>
    </row>
    <row r="81" customFormat="false" ht="68.65" hidden="false" customHeight="false" outlineLevel="0" collapsed="false">
      <c r="A81" s="0" t="s">
        <v>5528</v>
      </c>
      <c r="B81" s="0" t="s">
        <v>12207</v>
      </c>
      <c r="C81" s="0" t="s">
        <v>12257</v>
      </c>
      <c r="D81" s="0" t="s">
        <v>12153</v>
      </c>
      <c r="E81" s="8" t="s">
        <v>12288</v>
      </c>
      <c r="F81" s="8" t="s">
        <v>12289</v>
      </c>
    </row>
    <row r="82" customFormat="false" ht="15" hidden="false" customHeight="false" outlineLevel="0" collapsed="false">
      <c r="A82" s="0" t="s">
        <v>77</v>
      </c>
      <c r="B82" s="0" t="s">
        <v>12205</v>
      </c>
      <c r="C82" s="0" t="s">
        <v>12257</v>
      </c>
      <c r="D82" s="0" t="s">
        <v>12153</v>
      </c>
      <c r="E82" s="8" t="s">
        <v>12290</v>
      </c>
      <c r="F82" s="8" t="s">
        <v>12291</v>
      </c>
    </row>
    <row r="83" customFormat="false" ht="15" hidden="false" customHeight="false" outlineLevel="0" collapsed="false">
      <c r="A83" s="0" t="s">
        <v>107</v>
      </c>
      <c r="B83" s="0" t="s">
        <v>12205</v>
      </c>
      <c r="C83" s="0" t="s">
        <v>12257</v>
      </c>
      <c r="D83" s="0" t="s">
        <v>12153</v>
      </c>
      <c r="E83" s="8" t="s">
        <v>12224</v>
      </c>
      <c r="F83" s="8" t="s">
        <v>12292</v>
      </c>
    </row>
    <row r="84" customFormat="false" ht="28.35" hidden="false" customHeight="false" outlineLevel="0" collapsed="false">
      <c r="A84" s="0" t="s">
        <v>108</v>
      </c>
      <c r="B84" s="0" t="s">
        <v>12205</v>
      </c>
      <c r="C84" s="0" t="s">
        <v>12257</v>
      </c>
      <c r="D84" s="0" t="s">
        <v>12153</v>
      </c>
      <c r="E84" s="8" t="s">
        <v>12156</v>
      </c>
      <c r="F84" s="8" t="s">
        <v>12293</v>
      </c>
    </row>
    <row r="85" customFormat="false" ht="41.75" hidden="false" customHeight="false" outlineLevel="0" collapsed="false">
      <c r="A85" s="0" t="s">
        <v>109</v>
      </c>
      <c r="B85" s="0" t="s">
        <v>12205</v>
      </c>
      <c r="C85" s="0" t="s">
        <v>12257</v>
      </c>
      <c r="D85" s="0" t="s">
        <v>12153</v>
      </c>
      <c r="E85" s="7" t="s">
        <v>12186</v>
      </c>
      <c r="F85" s="8" t="s">
        <v>12294</v>
      </c>
    </row>
    <row r="86" customFormat="false" ht="28.35" hidden="false" customHeight="false" outlineLevel="0" collapsed="false">
      <c r="A86" s="0" t="s">
        <v>110</v>
      </c>
      <c r="B86" s="0" t="s">
        <v>12205</v>
      </c>
      <c r="C86" s="0" t="s">
        <v>12257</v>
      </c>
      <c r="D86" s="0" t="s">
        <v>12153</v>
      </c>
      <c r="E86" s="8" t="s">
        <v>12156</v>
      </c>
      <c r="F86" s="8" t="s">
        <v>12295</v>
      </c>
    </row>
    <row r="87" customFormat="false" ht="15" hidden="false" customHeight="false" outlineLevel="0" collapsed="false">
      <c r="A87" s="0" t="s">
        <v>111</v>
      </c>
      <c r="B87" s="0" t="s">
        <v>12205</v>
      </c>
      <c r="C87" s="0" t="s">
        <v>12257</v>
      </c>
      <c r="D87" s="0" t="s">
        <v>12153</v>
      </c>
      <c r="E87" s="8" t="s">
        <v>12156</v>
      </c>
      <c r="F87" s="8" t="s">
        <v>12296</v>
      </c>
    </row>
    <row r="88" customFormat="false" ht="15" hidden="false" customHeight="false" outlineLevel="0" collapsed="false">
      <c r="A88" s="0" t="s">
        <v>112</v>
      </c>
      <c r="B88" s="0" t="s">
        <v>12205</v>
      </c>
      <c r="C88" s="0" t="s">
        <v>12257</v>
      </c>
      <c r="D88" s="0" t="s">
        <v>12153</v>
      </c>
      <c r="E88" s="8" t="s">
        <v>12297</v>
      </c>
      <c r="F88" s="8" t="s">
        <v>12298</v>
      </c>
    </row>
    <row r="89" customFormat="false" ht="15" hidden="false" customHeight="false" outlineLevel="0" collapsed="false">
      <c r="A89" s="0" t="s">
        <v>62</v>
      </c>
      <c r="B89" s="0" t="s">
        <v>12151</v>
      </c>
      <c r="C89" s="0" t="s">
        <v>12299</v>
      </c>
      <c r="D89" s="0" t="s">
        <v>12153</v>
      </c>
      <c r="E89" s="8" t="s">
        <v>12156</v>
      </c>
      <c r="F89" s="8" t="s">
        <v>12300</v>
      </c>
    </row>
    <row r="90" customFormat="false" ht="28.35" hidden="false" customHeight="false" outlineLevel="0" collapsed="false">
      <c r="A90" s="0" t="s">
        <v>63</v>
      </c>
      <c r="B90" s="0" t="s">
        <v>12151</v>
      </c>
      <c r="C90" s="0" t="s">
        <v>12299</v>
      </c>
      <c r="D90" s="0" t="s">
        <v>12153</v>
      </c>
      <c r="E90" s="8" t="s">
        <v>12301</v>
      </c>
      <c r="F90" s="8" t="s">
        <v>12302</v>
      </c>
    </row>
    <row r="91" customFormat="false" ht="15" hidden="false" customHeight="false" outlineLevel="0" collapsed="false">
      <c r="A91" s="0" t="s">
        <v>64</v>
      </c>
      <c r="B91" s="0" t="s">
        <v>12151</v>
      </c>
      <c r="C91" s="0" t="s">
        <v>12299</v>
      </c>
      <c r="D91" s="0" t="s">
        <v>12153</v>
      </c>
      <c r="E91" s="8" t="s">
        <v>12156</v>
      </c>
      <c r="F91" s="8" t="s">
        <v>12303</v>
      </c>
    </row>
    <row r="92" customFormat="false" ht="28.35" hidden="false" customHeight="false" outlineLevel="0" collapsed="false">
      <c r="A92" s="0" t="s">
        <v>65</v>
      </c>
      <c r="B92" s="0" t="s">
        <v>12205</v>
      </c>
      <c r="C92" s="0" t="s">
        <v>12299</v>
      </c>
      <c r="D92" s="0" t="s">
        <v>12153</v>
      </c>
      <c r="E92" s="8" t="s">
        <v>12304</v>
      </c>
      <c r="F92" s="8" t="s">
        <v>12305</v>
      </c>
    </row>
    <row r="93" customFormat="false" ht="28.35" hidden="false" customHeight="false" outlineLevel="0" collapsed="false">
      <c r="A93" s="0" t="s">
        <v>66</v>
      </c>
      <c r="B93" s="0" t="s">
        <v>12151</v>
      </c>
      <c r="C93" s="0" t="s">
        <v>12299</v>
      </c>
      <c r="D93" s="0" t="s">
        <v>12153</v>
      </c>
      <c r="E93" s="8" t="s">
        <v>12156</v>
      </c>
      <c r="F93" s="8" t="s">
        <v>12306</v>
      </c>
    </row>
    <row r="94" customFormat="false" ht="28.35" hidden="false" customHeight="false" outlineLevel="0" collapsed="false">
      <c r="A94" s="0" t="s">
        <v>37</v>
      </c>
      <c r="B94" s="0" t="s">
        <v>12151</v>
      </c>
      <c r="C94" s="0" t="s">
        <v>12299</v>
      </c>
      <c r="D94" s="0" t="s">
        <v>12153</v>
      </c>
      <c r="E94" s="8" t="s">
        <v>12307</v>
      </c>
      <c r="F94" s="8" t="s">
        <v>12308</v>
      </c>
    </row>
    <row r="95" customFormat="false" ht="15" hidden="false" customHeight="false" outlineLevel="0" collapsed="false">
      <c r="A95" s="0" t="s">
        <v>7</v>
      </c>
      <c r="B95" s="0" t="s">
        <v>12151</v>
      </c>
      <c r="C95" s="0" t="s">
        <v>12299</v>
      </c>
      <c r="D95" s="0" t="s">
        <v>12153</v>
      </c>
      <c r="E95" s="8" t="s">
        <v>12159</v>
      </c>
      <c r="F95" s="8" t="s">
        <v>12309</v>
      </c>
    </row>
    <row r="96" customFormat="false" ht="15" hidden="false" customHeight="false" outlineLevel="0" collapsed="false">
      <c r="A96" s="0" t="s">
        <v>8</v>
      </c>
      <c r="B96" s="0" t="s">
        <v>12151</v>
      </c>
      <c r="C96" s="0" t="s">
        <v>12299</v>
      </c>
      <c r="D96" s="0" t="s">
        <v>12153</v>
      </c>
      <c r="E96" s="8" t="s">
        <v>12310</v>
      </c>
      <c r="F96" s="8" t="s">
        <v>12311</v>
      </c>
    </row>
    <row r="97" customFormat="false" ht="15" hidden="false" customHeight="false" outlineLevel="0" collapsed="false">
      <c r="A97" s="0" t="s">
        <v>9</v>
      </c>
      <c r="B97" s="0" t="s">
        <v>12151</v>
      </c>
      <c r="C97" s="0" t="s">
        <v>12299</v>
      </c>
      <c r="D97" s="0" t="s">
        <v>12153</v>
      </c>
      <c r="E97" s="8" t="s">
        <v>12159</v>
      </c>
      <c r="F97" s="8" t="s">
        <v>12312</v>
      </c>
    </row>
    <row r="98" customFormat="false" ht="28.35" hidden="false" customHeight="false" outlineLevel="0" collapsed="false">
      <c r="A98" s="0" t="s">
        <v>10</v>
      </c>
      <c r="B98" s="0" t="s">
        <v>12151</v>
      </c>
      <c r="C98" s="0" t="s">
        <v>12299</v>
      </c>
      <c r="D98" s="0" t="s">
        <v>5589</v>
      </c>
      <c r="E98" s="8" t="s">
        <v>12164</v>
      </c>
      <c r="F98" s="8" t="s">
        <v>12313</v>
      </c>
    </row>
    <row r="99" customFormat="false" ht="15" hidden="false" customHeight="false" outlineLevel="0" collapsed="false">
      <c r="A99" s="0" t="s">
        <v>50</v>
      </c>
      <c r="B99" s="0" t="s">
        <v>12151</v>
      </c>
      <c r="C99" s="0" t="s">
        <v>12299</v>
      </c>
      <c r="D99" s="0" t="s">
        <v>12158</v>
      </c>
      <c r="E99" s="8" t="s">
        <v>12314</v>
      </c>
      <c r="F99" s="8" t="s">
        <v>12315</v>
      </c>
    </row>
    <row r="100" customFormat="false" ht="15" hidden="false" customHeight="false" outlineLevel="0" collapsed="false">
      <c r="A100" s="0" t="s">
        <v>51</v>
      </c>
      <c r="B100" s="0" t="s">
        <v>12151</v>
      </c>
      <c r="C100" s="0" t="s">
        <v>12299</v>
      </c>
      <c r="D100" s="0" t="s">
        <v>12158</v>
      </c>
      <c r="E100" s="8" t="s">
        <v>12168</v>
      </c>
      <c r="F100" s="8" t="s">
        <v>12316</v>
      </c>
    </row>
    <row r="101" customFormat="false" ht="15" hidden="false" customHeight="false" outlineLevel="0" collapsed="false">
      <c r="A101" s="0" t="s">
        <v>11</v>
      </c>
      <c r="B101" s="0" t="s">
        <v>12151</v>
      </c>
      <c r="C101" s="0" t="s">
        <v>12299</v>
      </c>
      <c r="D101" s="0" t="s">
        <v>12153</v>
      </c>
      <c r="E101" s="8" t="s">
        <v>12156</v>
      </c>
      <c r="F101" s="8" t="s">
        <v>12317</v>
      </c>
    </row>
    <row r="102" customFormat="false" ht="28.35" hidden="false" customHeight="false" outlineLevel="0" collapsed="false">
      <c r="A102" s="0" t="s">
        <v>12</v>
      </c>
      <c r="B102" s="0" t="s">
        <v>12151</v>
      </c>
      <c r="C102" s="0" t="s">
        <v>12299</v>
      </c>
      <c r="D102" s="0" t="s">
        <v>12153</v>
      </c>
      <c r="E102" s="8" t="s">
        <v>12211</v>
      </c>
      <c r="F102" s="8" t="s">
        <v>12318</v>
      </c>
    </row>
    <row r="103" customFormat="false" ht="15" hidden="false" customHeight="false" outlineLevel="0" collapsed="false">
      <c r="A103" s="0" t="s">
        <v>13</v>
      </c>
      <c r="B103" s="0" t="s">
        <v>12151</v>
      </c>
      <c r="C103" s="0" t="s">
        <v>12299</v>
      </c>
      <c r="D103" s="0" t="s">
        <v>12153</v>
      </c>
      <c r="E103" s="8" t="s">
        <v>12319</v>
      </c>
      <c r="F103" s="8" t="s">
        <v>12320</v>
      </c>
    </row>
    <row r="104" customFormat="false" ht="15" hidden="false" customHeight="false" outlineLevel="0" collapsed="false">
      <c r="A104" s="0" t="s">
        <v>14</v>
      </c>
      <c r="B104" s="0" t="s">
        <v>12151</v>
      </c>
      <c r="C104" s="0" t="s">
        <v>12299</v>
      </c>
      <c r="D104" s="0" t="s">
        <v>12153</v>
      </c>
      <c r="E104" s="8" t="s">
        <v>12164</v>
      </c>
      <c r="F104" s="8" t="s">
        <v>12321</v>
      </c>
    </row>
    <row r="105" customFormat="false" ht="15" hidden="false" customHeight="false" outlineLevel="0" collapsed="false">
      <c r="A105" s="0" t="s">
        <v>15</v>
      </c>
      <c r="B105" s="0" t="s">
        <v>12151</v>
      </c>
      <c r="C105" s="0" t="s">
        <v>12299</v>
      </c>
      <c r="D105" s="0" t="s">
        <v>12153</v>
      </c>
      <c r="E105" s="7" t="s">
        <v>12196</v>
      </c>
      <c r="F105" s="8" t="s">
        <v>12322</v>
      </c>
    </row>
    <row r="106" customFormat="false" ht="15" hidden="false" customHeight="false" outlineLevel="0" collapsed="false">
      <c r="A106" s="0" t="s">
        <v>52</v>
      </c>
      <c r="B106" s="0" t="s">
        <v>12205</v>
      </c>
      <c r="C106" s="0" t="s">
        <v>12299</v>
      </c>
      <c r="D106" s="0" t="s">
        <v>12153</v>
      </c>
      <c r="E106" s="8" t="s">
        <v>12217</v>
      </c>
      <c r="F106" s="8" t="s">
        <v>12323</v>
      </c>
    </row>
    <row r="107" customFormat="false" ht="15" hidden="false" customHeight="false" outlineLevel="0" collapsed="false">
      <c r="A107" s="0" t="s">
        <v>53</v>
      </c>
      <c r="B107" s="0" t="s">
        <v>12151</v>
      </c>
      <c r="C107" s="0" t="s">
        <v>12299</v>
      </c>
      <c r="D107" s="0" t="s">
        <v>12153</v>
      </c>
      <c r="E107" s="8" t="s">
        <v>12156</v>
      </c>
      <c r="F107" s="8" t="s">
        <v>12324</v>
      </c>
    </row>
    <row r="108" customFormat="false" ht="15" hidden="false" customHeight="false" outlineLevel="0" collapsed="false">
      <c r="A108" s="0" t="s">
        <v>54</v>
      </c>
      <c r="B108" s="0" t="s">
        <v>12151</v>
      </c>
      <c r="C108" s="0" t="s">
        <v>12299</v>
      </c>
      <c r="D108" s="0" t="s">
        <v>12153</v>
      </c>
      <c r="E108" s="8" t="s">
        <v>12156</v>
      </c>
      <c r="F108" s="8" t="s">
        <v>12325</v>
      </c>
    </row>
    <row r="109" customFormat="false" ht="15" hidden="false" customHeight="false" outlineLevel="0" collapsed="false">
      <c r="A109" s="0" t="s">
        <v>24</v>
      </c>
      <c r="B109" s="0" t="s">
        <v>12151</v>
      </c>
      <c r="C109" s="0" t="s">
        <v>12299</v>
      </c>
      <c r="D109" s="0" t="s">
        <v>12153</v>
      </c>
      <c r="E109" s="8" t="s">
        <v>12235</v>
      </c>
      <c r="F109" s="8" t="s">
        <v>12326</v>
      </c>
    </row>
    <row r="110" customFormat="false" ht="15" hidden="false" customHeight="false" outlineLevel="0" collapsed="false">
      <c r="A110" s="0" t="s">
        <v>57</v>
      </c>
      <c r="B110" s="0" t="s">
        <v>12205</v>
      </c>
      <c r="C110" s="0" t="s">
        <v>12299</v>
      </c>
      <c r="D110" s="0" t="s">
        <v>12153</v>
      </c>
      <c r="E110" s="8" t="s">
        <v>12217</v>
      </c>
      <c r="F110" s="8" t="s">
        <v>12327</v>
      </c>
    </row>
    <row r="111" customFormat="false" ht="15" hidden="false" customHeight="false" outlineLevel="0" collapsed="false">
      <c r="A111" s="0" t="s">
        <v>58</v>
      </c>
      <c r="B111" s="0" t="s">
        <v>12151</v>
      </c>
      <c r="C111" s="0" t="s">
        <v>12299</v>
      </c>
      <c r="D111" s="0" t="s">
        <v>12153</v>
      </c>
      <c r="E111" s="8" t="s">
        <v>12156</v>
      </c>
      <c r="F111" s="8" t="s">
        <v>12328</v>
      </c>
    </row>
    <row r="112" customFormat="false" ht="15" hidden="false" customHeight="false" outlineLevel="0" collapsed="false">
      <c r="A112" s="0" t="s">
        <v>59</v>
      </c>
      <c r="B112" s="0" t="s">
        <v>12151</v>
      </c>
      <c r="C112" s="0" t="s">
        <v>12299</v>
      </c>
      <c r="D112" s="0" t="s">
        <v>12153</v>
      </c>
      <c r="E112" s="8" t="s">
        <v>12156</v>
      </c>
      <c r="F112" s="8" t="s">
        <v>12329</v>
      </c>
    </row>
    <row r="113" customFormat="false" ht="15" hidden="false" customHeight="false" outlineLevel="0" collapsed="false">
      <c r="A113" s="0" t="s">
        <v>28</v>
      </c>
      <c r="B113" s="0" t="s">
        <v>12205</v>
      </c>
      <c r="C113" s="0" t="s">
        <v>12299</v>
      </c>
      <c r="D113" s="0" t="s">
        <v>12153</v>
      </c>
      <c r="E113" s="8" t="s">
        <v>12330</v>
      </c>
      <c r="F113" s="8" t="s">
        <v>12331</v>
      </c>
    </row>
    <row r="114" customFormat="false" ht="15" hidden="false" customHeight="false" outlineLevel="0" collapsed="false">
      <c r="A114" s="0" t="s">
        <v>60</v>
      </c>
      <c r="B114" s="0" t="s">
        <v>12151</v>
      </c>
      <c r="C114" s="0" t="s">
        <v>12299</v>
      </c>
      <c r="D114" s="0" t="s">
        <v>12153</v>
      </c>
      <c r="E114" s="8" t="s">
        <v>12156</v>
      </c>
      <c r="F114" s="8" t="s">
        <v>12332</v>
      </c>
    </row>
    <row r="115" customFormat="false" ht="15" hidden="false" customHeight="false" outlineLevel="0" collapsed="false">
      <c r="A115" s="0" t="s">
        <v>5526</v>
      </c>
      <c r="B115" s="0" t="s">
        <v>12207</v>
      </c>
      <c r="C115" s="0" t="s">
        <v>12299</v>
      </c>
      <c r="D115" s="0" t="s">
        <v>12153</v>
      </c>
      <c r="E115" s="8" t="s">
        <v>12159</v>
      </c>
      <c r="F115" s="8" t="s">
        <v>12333</v>
      </c>
    </row>
    <row r="116" customFormat="false" ht="15" hidden="false" customHeight="false" outlineLevel="0" collapsed="false">
      <c r="A116" s="0" t="s">
        <v>61</v>
      </c>
      <c r="B116" s="0" t="s">
        <v>12151</v>
      </c>
      <c r="C116" s="0" t="s">
        <v>12299</v>
      </c>
      <c r="D116" s="0" t="s">
        <v>12153</v>
      </c>
      <c r="E116" s="8" t="s">
        <v>12334</v>
      </c>
      <c r="F116" s="8" t="s">
        <v>12335</v>
      </c>
    </row>
    <row r="117" customFormat="false" ht="15" hidden="false" customHeight="false" outlineLevel="0" collapsed="false">
      <c r="A117" s="0" t="s">
        <v>16</v>
      </c>
      <c r="B117" s="0" t="s">
        <v>12151</v>
      </c>
      <c r="C117" s="0" t="s">
        <v>12299</v>
      </c>
      <c r="D117" s="0" t="s">
        <v>12153</v>
      </c>
      <c r="E117" s="8" t="s">
        <v>12159</v>
      </c>
      <c r="F117" s="8" t="s">
        <v>12336</v>
      </c>
    </row>
    <row r="118" customFormat="false" ht="15" hidden="false" customHeight="false" outlineLevel="0" collapsed="false">
      <c r="A118" s="0" t="s">
        <v>17</v>
      </c>
      <c r="B118" s="0" t="s">
        <v>12151</v>
      </c>
      <c r="C118" s="0" t="s">
        <v>12299</v>
      </c>
      <c r="D118" s="0" t="s">
        <v>12153</v>
      </c>
      <c r="E118" s="8" t="s">
        <v>12310</v>
      </c>
      <c r="F118" s="8" t="s">
        <v>12337</v>
      </c>
    </row>
    <row r="119" customFormat="false" ht="15" hidden="false" customHeight="false" outlineLevel="0" collapsed="false">
      <c r="A119" s="0" t="s">
        <v>18</v>
      </c>
      <c r="B119" s="0" t="s">
        <v>12151</v>
      </c>
      <c r="C119" s="0" t="s">
        <v>12299</v>
      </c>
      <c r="D119" s="0" t="s">
        <v>12153</v>
      </c>
      <c r="E119" s="8" t="s">
        <v>12159</v>
      </c>
      <c r="F119" s="8" t="s">
        <v>12338</v>
      </c>
    </row>
    <row r="120" customFormat="false" ht="15" hidden="false" customHeight="false" outlineLevel="0" collapsed="false">
      <c r="A120" s="0" t="s">
        <v>19</v>
      </c>
      <c r="B120" s="0" t="s">
        <v>12151</v>
      </c>
      <c r="C120" s="0" t="s">
        <v>12299</v>
      </c>
      <c r="D120" s="0" t="s">
        <v>5589</v>
      </c>
      <c r="E120" s="8" t="s">
        <v>12164</v>
      </c>
      <c r="F120" s="8" t="s">
        <v>12339</v>
      </c>
    </row>
    <row r="121" customFormat="false" ht="15" hidden="false" customHeight="false" outlineLevel="0" collapsed="false">
      <c r="A121" s="0" t="s">
        <v>55</v>
      </c>
      <c r="B121" s="0" t="s">
        <v>12151</v>
      </c>
      <c r="C121" s="0" t="s">
        <v>12299</v>
      </c>
      <c r="D121" s="0" t="s">
        <v>12158</v>
      </c>
      <c r="E121" s="8" t="s">
        <v>12314</v>
      </c>
      <c r="F121" s="8" t="s">
        <v>12340</v>
      </c>
    </row>
    <row r="122" customFormat="false" ht="15" hidden="false" customHeight="false" outlineLevel="0" collapsed="false">
      <c r="A122" s="0" t="s">
        <v>56</v>
      </c>
      <c r="B122" s="0" t="s">
        <v>12151</v>
      </c>
      <c r="C122" s="0" t="s">
        <v>12299</v>
      </c>
      <c r="D122" s="0" t="s">
        <v>12158</v>
      </c>
      <c r="E122" s="8" t="s">
        <v>12168</v>
      </c>
      <c r="F122" s="8" t="s">
        <v>12341</v>
      </c>
    </row>
    <row r="123" customFormat="false" ht="15" hidden="false" customHeight="false" outlineLevel="0" collapsed="false">
      <c r="A123" s="0" t="s">
        <v>20</v>
      </c>
      <c r="B123" s="0" t="s">
        <v>12151</v>
      </c>
      <c r="C123" s="0" t="s">
        <v>12299</v>
      </c>
      <c r="D123" s="0" t="s">
        <v>12153</v>
      </c>
      <c r="E123" s="8" t="s">
        <v>12156</v>
      </c>
      <c r="F123" s="8" t="s">
        <v>12342</v>
      </c>
    </row>
    <row r="124" customFormat="false" ht="15" hidden="false" customHeight="false" outlineLevel="0" collapsed="false">
      <c r="A124" s="0" t="s">
        <v>25</v>
      </c>
      <c r="B124" s="0" t="s">
        <v>12151</v>
      </c>
      <c r="C124" s="0" t="s">
        <v>12299</v>
      </c>
      <c r="D124" s="0" t="s">
        <v>12153</v>
      </c>
      <c r="E124" s="8" t="s">
        <v>12156</v>
      </c>
      <c r="F124" s="8" t="s">
        <v>12343</v>
      </c>
    </row>
    <row r="125" customFormat="false" ht="28.35" hidden="false" customHeight="false" outlineLevel="0" collapsed="false">
      <c r="A125" s="0" t="s">
        <v>21</v>
      </c>
      <c r="B125" s="0" t="s">
        <v>12151</v>
      </c>
      <c r="C125" s="0" t="s">
        <v>12299</v>
      </c>
      <c r="D125" s="0" t="s">
        <v>12153</v>
      </c>
      <c r="E125" s="8" t="s">
        <v>12211</v>
      </c>
      <c r="F125" s="8" t="s">
        <v>12344</v>
      </c>
    </row>
    <row r="126" customFormat="false" ht="15" hidden="false" customHeight="false" outlineLevel="0" collapsed="false">
      <c r="A126" s="0" t="s">
        <v>22</v>
      </c>
      <c r="B126" s="0" t="s">
        <v>12151</v>
      </c>
      <c r="C126" s="0" t="s">
        <v>12299</v>
      </c>
      <c r="D126" s="0" t="s">
        <v>12153</v>
      </c>
      <c r="E126" s="8" t="s">
        <v>12319</v>
      </c>
      <c r="F126" s="8" t="s">
        <v>12345</v>
      </c>
    </row>
    <row r="127" customFormat="false" ht="15" hidden="false" customHeight="false" outlineLevel="0" collapsed="false">
      <c r="A127" s="0" t="s">
        <v>23</v>
      </c>
      <c r="B127" s="0" t="s">
        <v>12151</v>
      </c>
      <c r="C127" s="0" t="s">
        <v>12299</v>
      </c>
      <c r="D127" s="0" t="s">
        <v>12153</v>
      </c>
      <c r="E127" s="8" t="s">
        <v>12164</v>
      </c>
      <c r="F127" s="8" t="s">
        <v>12346</v>
      </c>
    </row>
    <row r="128" customFormat="false" ht="15" hidden="false" customHeight="false" outlineLevel="0" collapsed="false">
      <c r="A128" s="0" t="s">
        <v>26</v>
      </c>
      <c r="B128" s="0" t="s">
        <v>12151</v>
      </c>
      <c r="C128" s="0" t="s">
        <v>12299</v>
      </c>
      <c r="D128" s="0" t="s">
        <v>12153</v>
      </c>
      <c r="E128" s="8" t="s">
        <v>12347</v>
      </c>
      <c r="F128" s="8" t="s">
        <v>12348</v>
      </c>
    </row>
    <row r="129" customFormat="false" ht="15" hidden="false" customHeight="false" outlineLevel="0" collapsed="false">
      <c r="A129" s="0" t="s">
        <v>27</v>
      </c>
      <c r="B129" s="0" t="s">
        <v>12151</v>
      </c>
      <c r="C129" s="0" t="s">
        <v>12299</v>
      </c>
      <c r="D129" s="0" t="s">
        <v>12153</v>
      </c>
      <c r="E129" s="8" t="s">
        <v>12156</v>
      </c>
      <c r="F129" s="8" t="s">
        <v>12349</v>
      </c>
    </row>
    <row r="130" customFormat="false" ht="15" hidden="false" customHeight="false" outlineLevel="0" collapsed="false">
      <c r="A130" s="0" t="s">
        <v>29</v>
      </c>
      <c r="B130" s="0" t="s">
        <v>12151</v>
      </c>
      <c r="C130" s="0" t="s">
        <v>12299</v>
      </c>
      <c r="D130" s="0" t="s">
        <v>12153</v>
      </c>
      <c r="E130" s="8" t="s">
        <v>12156</v>
      </c>
      <c r="F130" s="8" t="s">
        <v>12350</v>
      </c>
    </row>
    <row r="131" customFormat="false" ht="15" hidden="false" customHeight="false" outlineLevel="0" collapsed="false">
      <c r="A131" s="0" t="s">
        <v>128</v>
      </c>
      <c r="B131" s="0" t="s">
        <v>12151</v>
      </c>
      <c r="C131" s="0" t="s">
        <v>12299</v>
      </c>
      <c r="D131" s="0" t="s">
        <v>12153</v>
      </c>
      <c r="E131" s="8" t="s">
        <v>12156</v>
      </c>
      <c r="F131" s="8" t="s">
        <v>12351</v>
      </c>
    </row>
    <row r="132" customFormat="false" ht="15" hidden="false" customHeight="false" outlineLevel="0" collapsed="false">
      <c r="A132" s="0" t="s">
        <v>69</v>
      </c>
      <c r="B132" s="0" t="s">
        <v>12205</v>
      </c>
      <c r="C132" s="0" t="s">
        <v>12352</v>
      </c>
      <c r="D132" s="0" t="s">
        <v>12153</v>
      </c>
      <c r="E132" s="8" t="s">
        <v>12353</v>
      </c>
      <c r="F132" s="8" t="s">
        <v>12354</v>
      </c>
    </row>
    <row r="133" customFormat="false" ht="15" hidden="false" customHeight="false" outlineLevel="0" collapsed="false">
      <c r="A133" s="0" t="s">
        <v>70</v>
      </c>
      <c r="B133" s="0" t="s">
        <v>12205</v>
      </c>
      <c r="C133" s="0" t="s">
        <v>12352</v>
      </c>
      <c r="D133" s="0" t="s">
        <v>12153</v>
      </c>
      <c r="E133" s="8" t="s">
        <v>12355</v>
      </c>
      <c r="F133" s="8" t="s">
        <v>12356</v>
      </c>
    </row>
    <row r="134" customFormat="false" ht="15" hidden="false" customHeight="false" outlineLevel="0" collapsed="false">
      <c r="A134" s="0" t="s">
        <v>2</v>
      </c>
      <c r="B134" s="0" t="s">
        <v>12151</v>
      </c>
      <c r="C134" s="0" t="s">
        <v>12352</v>
      </c>
      <c r="D134" s="0" t="s">
        <v>12153</v>
      </c>
      <c r="E134" s="8" t="s">
        <v>12357</v>
      </c>
      <c r="F134" s="8" t="s">
        <v>12358</v>
      </c>
    </row>
    <row r="135" customFormat="false" ht="15" hidden="false" customHeight="false" outlineLevel="0" collapsed="false">
      <c r="A135" s="0" t="s">
        <v>32</v>
      </c>
      <c r="B135" s="0" t="s">
        <v>12205</v>
      </c>
      <c r="C135" s="0" t="s">
        <v>12352</v>
      </c>
      <c r="D135" s="0" t="s">
        <v>12153</v>
      </c>
      <c r="E135" s="8" t="s">
        <v>12156</v>
      </c>
      <c r="F135" s="8" t="s">
        <v>12359</v>
      </c>
    </row>
    <row r="136" customFormat="false" ht="15" hidden="false" customHeight="false" outlineLevel="0" collapsed="false">
      <c r="A136" s="0" t="s">
        <v>33</v>
      </c>
      <c r="B136" s="0" t="s">
        <v>12205</v>
      </c>
      <c r="C136" s="0" t="s">
        <v>12352</v>
      </c>
      <c r="D136" s="0" t="s">
        <v>12153</v>
      </c>
      <c r="E136" s="8" t="s">
        <v>12360</v>
      </c>
      <c r="F136" s="8" t="s">
        <v>12361</v>
      </c>
    </row>
    <row r="137" customFormat="false" ht="15" hidden="false" customHeight="false" outlineLevel="0" collapsed="false">
      <c r="A137" s="0" t="s">
        <v>71</v>
      </c>
      <c r="B137" s="0" t="s">
        <v>12205</v>
      </c>
      <c r="C137" s="0" t="s">
        <v>12352</v>
      </c>
      <c r="D137" s="0" t="s">
        <v>12153</v>
      </c>
      <c r="E137" s="8" t="s">
        <v>12362</v>
      </c>
      <c r="F137" s="8" t="s">
        <v>12363</v>
      </c>
    </row>
    <row r="138" customFormat="false" ht="41.75" hidden="false" customHeight="false" outlineLevel="0" collapsed="false">
      <c r="A138" s="0" t="s">
        <v>72</v>
      </c>
      <c r="B138" s="0" t="s">
        <v>12205</v>
      </c>
      <c r="C138" s="0" t="s">
        <v>12352</v>
      </c>
      <c r="D138" s="0" t="s">
        <v>12153</v>
      </c>
      <c r="E138" s="8" t="s">
        <v>12364</v>
      </c>
      <c r="F138" s="8" t="s">
        <v>12365</v>
      </c>
    </row>
    <row r="139" customFormat="false" ht="15" hidden="false" customHeight="false" outlineLevel="0" collapsed="false">
      <c r="A139" s="0" t="s">
        <v>73</v>
      </c>
      <c r="B139" s="0" t="s">
        <v>12205</v>
      </c>
      <c r="C139" s="0" t="s">
        <v>12352</v>
      </c>
      <c r="D139" s="0" t="s">
        <v>12153</v>
      </c>
      <c r="E139" s="8" t="s">
        <v>12366</v>
      </c>
      <c r="F139" s="8" t="s">
        <v>12367</v>
      </c>
    </row>
    <row r="140" customFormat="false" ht="55.2" hidden="false" customHeight="false" outlineLevel="0" collapsed="false">
      <c r="A140" s="0" t="s">
        <v>74</v>
      </c>
      <c r="B140" s="0" t="s">
        <v>12205</v>
      </c>
      <c r="C140" s="0" t="s">
        <v>12352</v>
      </c>
      <c r="D140" s="0" t="s">
        <v>12153</v>
      </c>
      <c r="E140" s="8" t="s">
        <v>12368</v>
      </c>
      <c r="F140" s="8" t="s">
        <v>12369</v>
      </c>
    </row>
    <row r="141" customFormat="false" ht="15" hidden="false" customHeight="false" outlineLevel="0" collapsed="false">
      <c r="A141" s="0" t="s">
        <v>75</v>
      </c>
      <c r="B141" s="0" t="s">
        <v>12205</v>
      </c>
      <c r="C141" s="0" t="s">
        <v>12352</v>
      </c>
      <c r="D141" s="0" t="s">
        <v>12153</v>
      </c>
      <c r="E141" s="7" t="s">
        <v>12194</v>
      </c>
      <c r="F141" s="8" t="s">
        <v>12370</v>
      </c>
    </row>
    <row r="142" customFormat="false" ht="28.35" hidden="false" customHeight="false" outlineLevel="0" collapsed="false">
      <c r="A142" s="0" t="s">
        <v>76</v>
      </c>
      <c r="B142" s="0" t="s">
        <v>12205</v>
      </c>
      <c r="C142" s="0" t="s">
        <v>12352</v>
      </c>
      <c r="D142" s="0" t="s">
        <v>12153</v>
      </c>
      <c r="E142" s="7" t="s">
        <v>12194</v>
      </c>
      <c r="F142" s="8" t="s">
        <v>12371</v>
      </c>
    </row>
    <row r="143" customFormat="false" ht="28.35" hidden="false" customHeight="false" outlineLevel="0" collapsed="false">
      <c r="A143" s="0" t="s">
        <v>79</v>
      </c>
      <c r="B143" s="0" t="s">
        <v>12205</v>
      </c>
      <c r="C143" s="0" t="s">
        <v>12352</v>
      </c>
      <c r="D143" s="0" t="s">
        <v>12153</v>
      </c>
      <c r="E143" s="8" t="s">
        <v>12188</v>
      </c>
      <c r="F143" s="8" t="s">
        <v>12372</v>
      </c>
    </row>
    <row r="144" customFormat="false" ht="41.75" hidden="false" customHeight="false" outlineLevel="0" collapsed="false">
      <c r="A144" s="0" t="s">
        <v>80</v>
      </c>
      <c r="B144" s="0" t="s">
        <v>12205</v>
      </c>
      <c r="C144" s="0" t="s">
        <v>12352</v>
      </c>
      <c r="D144" s="0" t="s">
        <v>12153</v>
      </c>
      <c r="E144" s="8" t="s">
        <v>12220</v>
      </c>
      <c r="F144" s="8" t="s">
        <v>12373</v>
      </c>
    </row>
    <row r="145" customFormat="false" ht="28.35" hidden="false" customHeight="false" outlineLevel="0" collapsed="false">
      <c r="A145" s="0" t="s">
        <v>34</v>
      </c>
      <c r="B145" s="0" t="s">
        <v>12205</v>
      </c>
      <c r="C145" s="0" t="s">
        <v>12352</v>
      </c>
      <c r="D145" s="0" t="s">
        <v>12153</v>
      </c>
      <c r="E145" s="8" t="s">
        <v>12357</v>
      </c>
      <c r="F145" s="8" t="s">
        <v>12374</v>
      </c>
    </row>
    <row r="146" customFormat="false" ht="15" hidden="false" customHeight="false" outlineLevel="0" collapsed="false">
      <c r="A146" s="0" t="s">
        <v>127</v>
      </c>
      <c r="B146" s="0" t="s">
        <v>12205</v>
      </c>
      <c r="C146" s="0" t="s">
        <v>12352</v>
      </c>
      <c r="D146" s="0" t="s">
        <v>12153</v>
      </c>
      <c r="E146" s="8" t="s">
        <v>12159</v>
      </c>
      <c r="F146" s="8" t="s">
        <v>12375</v>
      </c>
    </row>
    <row r="147" customFormat="false" ht="15" hidden="false" customHeight="false" outlineLevel="0" collapsed="false">
      <c r="A147" s="0" t="s">
        <v>81</v>
      </c>
      <c r="B147" s="0" t="s">
        <v>12205</v>
      </c>
      <c r="C147" s="0" t="s">
        <v>12352</v>
      </c>
      <c r="D147" s="0" t="s">
        <v>12153</v>
      </c>
      <c r="E147" s="8" t="s">
        <v>12376</v>
      </c>
      <c r="F147" s="8" t="s">
        <v>12377</v>
      </c>
    </row>
    <row r="148" customFormat="false" ht="41.75" hidden="false" customHeight="false" outlineLevel="0" collapsed="false">
      <c r="A148" s="0" t="s">
        <v>82</v>
      </c>
      <c r="B148" s="0" t="s">
        <v>12205</v>
      </c>
      <c r="C148" s="0" t="s">
        <v>12352</v>
      </c>
      <c r="D148" s="0" t="s">
        <v>12153</v>
      </c>
      <c r="E148" s="8" t="s">
        <v>12378</v>
      </c>
      <c r="F148" s="8" t="s">
        <v>12379</v>
      </c>
    </row>
    <row r="149" customFormat="false" ht="15" hidden="false" customHeight="false" outlineLevel="0" collapsed="false">
      <c r="A149" s="0" t="s">
        <v>83</v>
      </c>
      <c r="B149" s="0" t="s">
        <v>12205</v>
      </c>
      <c r="C149" s="0" t="s">
        <v>12352</v>
      </c>
      <c r="D149" s="0" t="s">
        <v>12153</v>
      </c>
      <c r="E149" s="8" t="s">
        <v>12378</v>
      </c>
      <c r="F149" s="8" t="s">
        <v>12380</v>
      </c>
    </row>
    <row r="150" customFormat="false" ht="15" hidden="false" customHeight="false" outlineLevel="0" collapsed="false">
      <c r="A150" s="0" t="s">
        <v>84</v>
      </c>
      <c r="B150" s="0" t="s">
        <v>12205</v>
      </c>
      <c r="C150" s="0" t="s">
        <v>12352</v>
      </c>
      <c r="D150" s="0" t="s">
        <v>12153</v>
      </c>
      <c r="E150" s="7" t="s">
        <v>12186</v>
      </c>
      <c r="F150" s="8" t="s">
        <v>12381</v>
      </c>
    </row>
    <row r="151" customFormat="false" ht="28.35" hidden="false" customHeight="false" outlineLevel="0" collapsed="false">
      <c r="A151" s="0" t="s">
        <v>85</v>
      </c>
      <c r="B151" s="0" t="s">
        <v>12205</v>
      </c>
      <c r="C151" s="0" t="s">
        <v>12352</v>
      </c>
      <c r="D151" s="0" t="s">
        <v>12153</v>
      </c>
      <c r="E151" s="8" t="s">
        <v>12263</v>
      </c>
      <c r="F151" s="8" t="s">
        <v>12382</v>
      </c>
    </row>
    <row r="152" customFormat="false" ht="28.35" hidden="false" customHeight="false" outlineLevel="0" collapsed="false">
      <c r="A152" s="0" t="s">
        <v>86</v>
      </c>
      <c r="B152" s="0" t="s">
        <v>12205</v>
      </c>
      <c r="C152" s="0" t="s">
        <v>12352</v>
      </c>
      <c r="D152" s="0" t="s">
        <v>12153</v>
      </c>
      <c r="E152" s="8" t="s">
        <v>12383</v>
      </c>
      <c r="F152" s="8" t="s">
        <v>12384</v>
      </c>
    </row>
    <row r="153" customFormat="false" ht="15" hidden="false" customHeight="false" outlineLevel="0" collapsed="false">
      <c r="A153" s="0" t="s">
        <v>87</v>
      </c>
      <c r="B153" s="0" t="s">
        <v>12205</v>
      </c>
      <c r="C153" s="0" t="s">
        <v>12352</v>
      </c>
      <c r="D153" s="0" t="s">
        <v>12153</v>
      </c>
      <c r="E153" s="8" t="s">
        <v>12220</v>
      </c>
      <c r="F153" s="8" t="s">
        <v>12385</v>
      </c>
    </row>
    <row r="154" customFormat="false" ht="15" hidden="false" customHeight="false" outlineLevel="0" collapsed="false">
      <c r="A154" s="0" t="s">
        <v>88</v>
      </c>
      <c r="B154" s="0" t="s">
        <v>12205</v>
      </c>
      <c r="C154" s="0" t="s">
        <v>12352</v>
      </c>
      <c r="D154" s="0" t="s">
        <v>12153</v>
      </c>
      <c r="E154" s="7" t="s">
        <v>12194</v>
      </c>
      <c r="F154" s="8" t="s">
        <v>12386</v>
      </c>
    </row>
    <row r="155" customFormat="false" ht="15" hidden="false" customHeight="false" outlineLevel="0" collapsed="false">
      <c r="A155" s="0" t="s">
        <v>89</v>
      </c>
      <c r="B155" s="0" t="s">
        <v>12205</v>
      </c>
      <c r="C155" s="0" t="s">
        <v>12352</v>
      </c>
      <c r="D155" s="0" t="s">
        <v>12153</v>
      </c>
      <c r="E155" s="8" t="s">
        <v>12387</v>
      </c>
      <c r="F155" s="8" t="s">
        <v>12388</v>
      </c>
    </row>
    <row r="156" customFormat="false" ht="41.75" hidden="false" customHeight="false" outlineLevel="0" collapsed="false">
      <c r="A156" s="0" t="s">
        <v>90</v>
      </c>
      <c r="B156" s="0" t="s">
        <v>12205</v>
      </c>
      <c r="C156" s="0" t="s">
        <v>12352</v>
      </c>
      <c r="D156" s="0" t="s">
        <v>12153</v>
      </c>
      <c r="E156" s="8" t="s">
        <v>12389</v>
      </c>
      <c r="F156" s="8" t="s">
        <v>12390</v>
      </c>
    </row>
    <row r="157" customFormat="false" ht="28.35" hidden="false" customHeight="false" outlineLevel="0" collapsed="false">
      <c r="A157" s="0" t="s">
        <v>91</v>
      </c>
      <c r="B157" s="0" t="s">
        <v>12205</v>
      </c>
      <c r="C157" s="0" t="s">
        <v>12352</v>
      </c>
      <c r="D157" s="0" t="s">
        <v>12153</v>
      </c>
      <c r="E157" s="8" t="s">
        <v>12164</v>
      </c>
      <c r="F157" s="8" t="s">
        <v>12391</v>
      </c>
    </row>
    <row r="158" customFormat="false" ht="15" hidden="false" customHeight="false" outlineLevel="0" collapsed="false">
      <c r="A158" s="0" t="s">
        <v>92</v>
      </c>
      <c r="B158" s="0" t="s">
        <v>12205</v>
      </c>
      <c r="C158" s="0" t="s">
        <v>12352</v>
      </c>
      <c r="D158" s="0" t="s">
        <v>12153</v>
      </c>
      <c r="E158" s="8" t="s">
        <v>12347</v>
      </c>
      <c r="F158" s="8" t="s">
        <v>12392</v>
      </c>
    </row>
    <row r="159" customFormat="false" ht="15" hidden="false" customHeight="false" outlineLevel="0" collapsed="false">
      <c r="A159" s="0" t="s">
        <v>93</v>
      </c>
      <c r="B159" s="0" t="s">
        <v>12205</v>
      </c>
      <c r="C159" s="0" t="s">
        <v>12352</v>
      </c>
      <c r="D159" s="0" t="s">
        <v>12153</v>
      </c>
      <c r="E159" s="8" t="s">
        <v>12156</v>
      </c>
      <c r="F159" s="8" t="s">
        <v>12393</v>
      </c>
    </row>
    <row r="160" customFormat="false" ht="55.2" hidden="false" customHeight="false" outlineLevel="0" collapsed="false">
      <c r="A160" s="0" t="s">
        <v>94</v>
      </c>
      <c r="B160" s="0" t="s">
        <v>12205</v>
      </c>
      <c r="C160" s="0" t="s">
        <v>12352</v>
      </c>
      <c r="D160" s="0" t="s">
        <v>12153</v>
      </c>
      <c r="E160" s="8" t="s">
        <v>12394</v>
      </c>
      <c r="F160" s="8" t="s">
        <v>12395</v>
      </c>
    </row>
    <row r="161" customFormat="false" ht="28.35" hidden="false" customHeight="false" outlineLevel="0" collapsed="false">
      <c r="A161" s="0" t="s">
        <v>95</v>
      </c>
      <c r="B161" s="0" t="s">
        <v>12205</v>
      </c>
      <c r="C161" s="0" t="s">
        <v>12352</v>
      </c>
      <c r="D161" s="0" t="s">
        <v>12153</v>
      </c>
      <c r="E161" s="8" t="s">
        <v>12396</v>
      </c>
      <c r="F161" s="8" t="s">
        <v>12397</v>
      </c>
    </row>
    <row r="162" customFormat="false" ht="28.35" hidden="false" customHeight="false" outlineLevel="0" collapsed="false">
      <c r="A162" s="0" t="s">
        <v>96</v>
      </c>
      <c r="B162" s="0" t="s">
        <v>12205</v>
      </c>
      <c r="C162" s="0" t="s">
        <v>12352</v>
      </c>
      <c r="D162" s="0" t="s">
        <v>12153</v>
      </c>
      <c r="E162" s="7" t="s">
        <v>12186</v>
      </c>
      <c r="F162" s="8" t="s">
        <v>12398</v>
      </c>
    </row>
    <row r="163" customFormat="false" ht="28.35" hidden="false" customHeight="false" outlineLevel="0" collapsed="false">
      <c r="A163" s="0" t="s">
        <v>97</v>
      </c>
      <c r="B163" s="0" t="s">
        <v>12205</v>
      </c>
      <c r="C163" s="0" t="s">
        <v>12352</v>
      </c>
      <c r="D163" s="0" t="s">
        <v>12153</v>
      </c>
      <c r="E163" s="8" t="s">
        <v>12399</v>
      </c>
      <c r="F163" s="8" t="s">
        <v>12400</v>
      </c>
    </row>
    <row r="164" customFormat="false" ht="15" hidden="false" customHeight="false" outlineLevel="0" collapsed="false">
      <c r="A164" s="0" t="s">
        <v>98</v>
      </c>
      <c r="B164" s="0" t="s">
        <v>12205</v>
      </c>
      <c r="C164" s="0" t="s">
        <v>12352</v>
      </c>
      <c r="D164" s="0" t="s">
        <v>12153</v>
      </c>
      <c r="E164" s="8" t="s">
        <v>12401</v>
      </c>
      <c r="F164" s="8" t="s">
        <v>12402</v>
      </c>
    </row>
    <row r="165" customFormat="false" ht="28.35" hidden="false" customHeight="false" outlineLevel="0" collapsed="false">
      <c r="A165" s="0" t="s">
        <v>99</v>
      </c>
      <c r="B165" s="0" t="s">
        <v>12205</v>
      </c>
      <c r="C165" s="0" t="s">
        <v>12352</v>
      </c>
      <c r="D165" s="0" t="s">
        <v>12153</v>
      </c>
      <c r="E165" s="8" t="s">
        <v>12403</v>
      </c>
      <c r="F165" s="8" t="s">
        <v>12404</v>
      </c>
    </row>
    <row r="166" customFormat="false" ht="15" hidden="false" customHeight="false" outlineLevel="0" collapsed="false">
      <c r="A166" s="0" t="s">
        <v>100</v>
      </c>
      <c r="B166" s="0" t="s">
        <v>12205</v>
      </c>
      <c r="C166" s="0" t="s">
        <v>12352</v>
      </c>
      <c r="D166" s="0" t="s">
        <v>12153</v>
      </c>
      <c r="E166" s="8" t="s">
        <v>12164</v>
      </c>
      <c r="F166" s="8" t="s">
        <v>12405</v>
      </c>
    </row>
    <row r="167" customFormat="false" ht="15" hidden="false" customHeight="false" outlineLevel="0" collapsed="false">
      <c r="A167" s="0" t="s">
        <v>101</v>
      </c>
      <c r="B167" s="0" t="s">
        <v>12205</v>
      </c>
      <c r="C167" s="0" t="s">
        <v>12352</v>
      </c>
      <c r="D167" s="0" t="s">
        <v>12153</v>
      </c>
      <c r="E167" s="8" t="s">
        <v>12159</v>
      </c>
      <c r="F167" s="8" t="s">
        <v>12406</v>
      </c>
    </row>
    <row r="168" customFormat="false" ht="28.35" hidden="false" customHeight="false" outlineLevel="0" collapsed="false">
      <c r="A168" s="0" t="s">
        <v>102</v>
      </c>
      <c r="B168" s="0" t="s">
        <v>12205</v>
      </c>
      <c r="C168" s="0" t="s">
        <v>12352</v>
      </c>
      <c r="D168" s="0" t="s">
        <v>12153</v>
      </c>
      <c r="E168" s="8" t="s">
        <v>12407</v>
      </c>
      <c r="F168" s="8" t="s">
        <v>12408</v>
      </c>
    </row>
    <row r="169" customFormat="false" ht="15" hidden="false" customHeight="false" outlineLevel="0" collapsed="false">
      <c r="A169" s="0" t="s">
        <v>103</v>
      </c>
      <c r="B169" s="0" t="s">
        <v>12205</v>
      </c>
      <c r="C169" s="0" t="s">
        <v>12352</v>
      </c>
      <c r="D169" s="0" t="s">
        <v>12153</v>
      </c>
      <c r="E169" s="7" t="s">
        <v>12186</v>
      </c>
      <c r="F169" s="8" t="s">
        <v>12409</v>
      </c>
    </row>
    <row r="170" customFormat="false" ht="15" hidden="false" customHeight="false" outlineLevel="0" collapsed="false">
      <c r="A170" s="0" t="s">
        <v>104</v>
      </c>
      <c r="B170" s="0" t="s">
        <v>12205</v>
      </c>
      <c r="C170" s="0" t="s">
        <v>12352</v>
      </c>
      <c r="D170" s="0" t="s">
        <v>12153</v>
      </c>
      <c r="E170" s="8" t="s">
        <v>12156</v>
      </c>
      <c r="F170" s="8" t="s">
        <v>12410</v>
      </c>
    </row>
    <row r="171" customFormat="false" ht="15" hidden="false" customHeight="false" outlineLevel="0" collapsed="false">
      <c r="A171" s="0" t="s">
        <v>105</v>
      </c>
      <c r="B171" s="0" t="s">
        <v>12205</v>
      </c>
      <c r="C171" s="0" t="s">
        <v>12352</v>
      </c>
      <c r="D171" s="0" t="s">
        <v>12153</v>
      </c>
      <c r="E171" s="7" t="s">
        <v>12194</v>
      </c>
      <c r="F171" s="8" t="s">
        <v>12411</v>
      </c>
    </row>
    <row r="172" customFormat="false" ht="15" hidden="false" customHeight="false" outlineLevel="0" collapsed="false">
      <c r="A172" s="0" t="s">
        <v>106</v>
      </c>
      <c r="B172" s="0" t="s">
        <v>12205</v>
      </c>
      <c r="C172" s="0" t="s">
        <v>12352</v>
      </c>
      <c r="D172" s="0" t="s">
        <v>12153</v>
      </c>
      <c r="E172" s="8" t="s">
        <v>12387</v>
      </c>
      <c r="F172" s="8" t="s">
        <v>12322</v>
      </c>
    </row>
    <row r="173" customFormat="false" ht="28.35" hidden="false" customHeight="false" outlineLevel="0" collapsed="false">
      <c r="A173" s="0" t="s">
        <v>120</v>
      </c>
      <c r="B173" s="0" t="s">
        <v>12205</v>
      </c>
      <c r="C173" s="0" t="s">
        <v>12352</v>
      </c>
      <c r="D173" s="0" t="s">
        <v>12153</v>
      </c>
      <c r="E173" s="8" t="s">
        <v>12412</v>
      </c>
      <c r="F173" s="8" t="s">
        <v>12413</v>
      </c>
    </row>
    <row r="174" customFormat="false" ht="28.35" hidden="false" customHeight="false" outlineLevel="0" collapsed="false">
      <c r="A174" s="0" t="s">
        <v>121</v>
      </c>
      <c r="B174" s="0" t="s">
        <v>12205</v>
      </c>
      <c r="C174" s="0" t="s">
        <v>12352</v>
      </c>
      <c r="D174" s="0" t="s">
        <v>12153</v>
      </c>
      <c r="E174" s="8" t="s">
        <v>12159</v>
      </c>
      <c r="F174" s="8" t="s">
        <v>12414</v>
      </c>
    </row>
    <row r="175" customFormat="false" ht="28.35" hidden="false" customHeight="false" outlineLevel="0" collapsed="false">
      <c r="A175" s="0" t="s">
        <v>122</v>
      </c>
      <c r="B175" s="0" t="s">
        <v>12205</v>
      </c>
      <c r="C175" s="0" t="s">
        <v>12352</v>
      </c>
      <c r="D175" s="0" t="s">
        <v>12153</v>
      </c>
      <c r="E175" s="8" t="s">
        <v>12249</v>
      </c>
      <c r="F175" s="8" t="s">
        <v>12415</v>
      </c>
    </row>
    <row r="176" customFormat="false" ht="15" hidden="false" customHeight="false" outlineLevel="0" collapsed="false">
      <c r="A176" s="0" t="s">
        <v>123</v>
      </c>
      <c r="B176" s="0" t="s">
        <v>12205</v>
      </c>
      <c r="C176" s="0" t="s">
        <v>12352</v>
      </c>
      <c r="D176" s="0" t="s">
        <v>12153</v>
      </c>
      <c r="E176" s="8" t="s">
        <v>12416</v>
      </c>
      <c r="F176" s="8" t="s">
        <v>12417</v>
      </c>
    </row>
    <row r="177" customFormat="false" ht="28.35" hidden="false" customHeight="false" outlineLevel="0" collapsed="false">
      <c r="A177" s="0" t="s">
        <v>124</v>
      </c>
      <c r="B177" s="0" t="s">
        <v>12205</v>
      </c>
      <c r="C177" s="0" t="s">
        <v>12352</v>
      </c>
      <c r="D177" s="0" t="s">
        <v>12153</v>
      </c>
      <c r="E177" s="8" t="s">
        <v>12159</v>
      </c>
      <c r="F177" s="8" t="s">
        <v>12418</v>
      </c>
    </row>
    <row r="178" customFormat="false" ht="15" hidden="false" customHeight="false" outlineLevel="0" collapsed="false">
      <c r="A178" s="0" t="s">
        <v>125</v>
      </c>
      <c r="B178" s="0" t="s">
        <v>12205</v>
      </c>
      <c r="C178" s="0" t="s">
        <v>12352</v>
      </c>
      <c r="D178" s="0" t="s">
        <v>12153</v>
      </c>
      <c r="E178" s="8" t="s">
        <v>12156</v>
      </c>
      <c r="F178" s="8" t="s">
        <v>12419</v>
      </c>
    </row>
    <row r="179" customFormat="false" ht="15" hidden="false" customHeight="false" outlineLevel="0" collapsed="false">
      <c r="A179" s="0" t="s">
        <v>126</v>
      </c>
      <c r="B179" s="0" t="s">
        <v>12205</v>
      </c>
      <c r="C179" s="0" t="s">
        <v>12352</v>
      </c>
      <c r="D179" s="0" t="s">
        <v>12153</v>
      </c>
      <c r="E179" s="8" t="s">
        <v>12156</v>
      </c>
      <c r="F179" s="8" t="s">
        <v>12420</v>
      </c>
    </row>
    <row r="180" customFormat="false" ht="15" hidden="false" customHeight="false" outlineLevel="0" collapsed="false">
      <c r="A180" s="0" t="s">
        <v>5529</v>
      </c>
      <c r="B180" s="0" t="s">
        <v>12207</v>
      </c>
      <c r="C180" s="0" t="s">
        <v>12242</v>
      </c>
      <c r="D180" s="0" t="s">
        <v>12153</v>
      </c>
      <c r="E180" s="8" t="s">
        <v>12421</v>
      </c>
      <c r="F180" s="8" t="s">
        <v>12422</v>
      </c>
    </row>
    <row r="181" customFormat="false" ht="28.35" hidden="false" customHeight="false" outlineLevel="0" collapsed="false">
      <c r="A181" s="0" t="s">
        <v>5530</v>
      </c>
      <c r="B181" s="0" t="s">
        <v>12207</v>
      </c>
      <c r="C181" s="0" t="s">
        <v>12242</v>
      </c>
      <c r="D181" s="0" t="s">
        <v>12153</v>
      </c>
      <c r="E181" s="8" t="s">
        <v>12423</v>
      </c>
      <c r="F181" s="8" t="s">
        <v>12424</v>
      </c>
    </row>
    <row r="182" customFormat="false" ht="15" hidden="false" customHeight="false" outlineLevel="0" collapsed="false">
      <c r="A182" s="0" t="s">
        <v>5531</v>
      </c>
      <c r="B182" s="0" t="s">
        <v>12207</v>
      </c>
      <c r="C182" s="0" t="s">
        <v>12242</v>
      </c>
      <c r="D182" s="0" t="s">
        <v>12153</v>
      </c>
      <c r="E182" s="8" t="s">
        <v>12220</v>
      </c>
      <c r="F182" s="8" t="s">
        <v>12425</v>
      </c>
    </row>
    <row r="183" customFormat="false" ht="15" hidden="false" customHeight="false" outlineLevel="0" collapsed="false">
      <c r="A183" s="0" t="s">
        <v>5532</v>
      </c>
      <c r="B183" s="0" t="s">
        <v>12207</v>
      </c>
      <c r="C183" s="0" t="s">
        <v>12242</v>
      </c>
      <c r="D183" s="0" t="s">
        <v>12153</v>
      </c>
      <c r="E183" s="8" t="s">
        <v>12164</v>
      </c>
      <c r="F183" s="8" t="s">
        <v>12426</v>
      </c>
    </row>
    <row r="184" customFormat="false" ht="28.35" hidden="false" customHeight="false" outlineLevel="0" collapsed="false">
      <c r="A184" s="0" t="s">
        <v>5533</v>
      </c>
      <c r="B184" s="0" t="s">
        <v>12207</v>
      </c>
      <c r="C184" s="0" t="s">
        <v>12242</v>
      </c>
      <c r="D184" s="0" t="s">
        <v>12153</v>
      </c>
      <c r="E184" s="8" t="s">
        <v>12427</v>
      </c>
      <c r="F184" s="8" t="s">
        <v>12428</v>
      </c>
    </row>
    <row r="185" customFormat="false" ht="15" hidden="false" customHeight="false" outlineLevel="0" collapsed="false">
      <c r="A185" s="0" t="s">
        <v>5534</v>
      </c>
      <c r="B185" s="0" t="s">
        <v>12207</v>
      </c>
      <c r="C185" s="0" t="s">
        <v>12242</v>
      </c>
      <c r="D185" s="0" t="s">
        <v>12153</v>
      </c>
      <c r="E185" s="8" t="s">
        <v>12156</v>
      </c>
      <c r="F185" s="8" t="s">
        <v>12429</v>
      </c>
    </row>
    <row r="186" customFormat="false" ht="15" hidden="false" customHeight="false" outlineLevel="0" collapsed="false">
      <c r="A186" s="0" t="s">
        <v>5535</v>
      </c>
      <c r="B186" s="0" t="s">
        <v>12207</v>
      </c>
      <c r="C186" s="0" t="s">
        <v>12242</v>
      </c>
      <c r="D186" s="0" t="s">
        <v>12153</v>
      </c>
      <c r="E186" s="8" t="s">
        <v>12430</v>
      </c>
      <c r="F186" s="8" t="s">
        <v>12431</v>
      </c>
    </row>
    <row r="187" customFormat="false" ht="15" hidden="false" customHeight="false" outlineLevel="0" collapsed="false">
      <c r="A187" s="0" t="s">
        <v>5536</v>
      </c>
      <c r="B187" s="0" t="s">
        <v>12207</v>
      </c>
      <c r="C187" s="0" t="s">
        <v>12242</v>
      </c>
      <c r="D187" s="0" t="s">
        <v>12153</v>
      </c>
      <c r="E187" s="8" t="s">
        <v>12188</v>
      </c>
      <c r="F187" s="8" t="s">
        <v>12432</v>
      </c>
    </row>
    <row r="188" customFormat="false" ht="15" hidden="false" customHeight="false" outlineLevel="0" collapsed="false">
      <c r="A188" s="0" t="s">
        <v>5537</v>
      </c>
      <c r="B188" s="0" t="s">
        <v>12207</v>
      </c>
      <c r="C188" s="0" t="s">
        <v>12242</v>
      </c>
      <c r="D188" s="0" t="s">
        <v>12153</v>
      </c>
      <c r="E188" s="8" t="s">
        <v>12433</v>
      </c>
      <c r="F188" s="8" t="s">
        <v>12434</v>
      </c>
    </row>
    <row r="189" customFormat="false" ht="15" hidden="false" customHeight="false" outlineLevel="0" collapsed="false">
      <c r="A189" s="0" t="s">
        <v>5538</v>
      </c>
      <c r="B189" s="0" t="s">
        <v>12207</v>
      </c>
      <c r="C189" s="0" t="s">
        <v>12242</v>
      </c>
      <c r="D189" s="0" t="s">
        <v>12153</v>
      </c>
      <c r="E189" s="8" t="s">
        <v>12156</v>
      </c>
      <c r="F189" s="8" t="s">
        <v>12435</v>
      </c>
    </row>
    <row r="190" customFormat="false" ht="15" hidden="false" customHeight="false" outlineLevel="0" collapsed="false">
      <c r="A190" s="0" t="s">
        <v>5539</v>
      </c>
      <c r="B190" s="0" t="s">
        <v>12207</v>
      </c>
      <c r="C190" s="0" t="s">
        <v>12242</v>
      </c>
      <c r="D190" s="0" t="s">
        <v>12153</v>
      </c>
      <c r="E190" s="8" t="s">
        <v>12156</v>
      </c>
      <c r="F190" s="8" t="s">
        <v>12436</v>
      </c>
    </row>
    <row r="191" customFormat="false" ht="28.35" hidden="false" customHeight="false" outlineLevel="0" collapsed="false">
      <c r="A191" s="0" t="s">
        <v>5540</v>
      </c>
      <c r="B191" s="0" t="s">
        <v>12207</v>
      </c>
      <c r="C191" s="0" t="s">
        <v>12242</v>
      </c>
      <c r="D191" s="0" t="s">
        <v>12153</v>
      </c>
      <c r="E191" s="8" t="s">
        <v>12156</v>
      </c>
      <c r="F191" s="8" t="s">
        <v>12437</v>
      </c>
    </row>
    <row r="192" customFormat="false" ht="15" hidden="false" customHeight="false" outlineLevel="0" collapsed="false">
      <c r="A192" s="0" t="s">
        <v>5541</v>
      </c>
      <c r="B192" s="0" t="s">
        <v>12207</v>
      </c>
      <c r="C192" s="0" t="s">
        <v>12242</v>
      </c>
      <c r="D192" s="0" t="s">
        <v>12153</v>
      </c>
      <c r="E192" s="7" t="s">
        <v>12186</v>
      </c>
      <c r="F192" s="8" t="s">
        <v>12438</v>
      </c>
    </row>
    <row r="193" customFormat="false" ht="15" hidden="false" customHeight="false" outlineLevel="0" collapsed="false">
      <c r="A193" s="0" t="s">
        <v>5542</v>
      </c>
      <c r="B193" s="0" t="s">
        <v>12207</v>
      </c>
      <c r="C193" s="0" t="s">
        <v>12242</v>
      </c>
      <c r="D193" s="0" t="s">
        <v>12153</v>
      </c>
      <c r="E193" s="8" t="s">
        <v>12156</v>
      </c>
      <c r="F193" s="8" t="s">
        <v>12439</v>
      </c>
    </row>
    <row r="194" customFormat="false" ht="15" hidden="false" customHeight="false" outlineLevel="0" collapsed="false">
      <c r="A194" s="0" t="s">
        <v>5543</v>
      </c>
      <c r="B194" s="0" t="s">
        <v>12207</v>
      </c>
      <c r="C194" s="0" t="s">
        <v>12242</v>
      </c>
      <c r="D194" s="0" t="s">
        <v>12153</v>
      </c>
      <c r="E194" s="8" t="s">
        <v>12362</v>
      </c>
      <c r="F194" s="8" t="s">
        <v>12440</v>
      </c>
    </row>
    <row r="195" customFormat="false" ht="15" hidden="false" customHeight="false" outlineLevel="0" collapsed="false">
      <c r="A195" s="0" t="s">
        <v>5544</v>
      </c>
      <c r="B195" s="0" t="s">
        <v>12207</v>
      </c>
      <c r="C195" s="0" t="s">
        <v>12242</v>
      </c>
      <c r="D195" s="0" t="s">
        <v>12153</v>
      </c>
      <c r="E195" s="7" t="s">
        <v>12186</v>
      </c>
      <c r="F195" s="8" t="s">
        <v>12441</v>
      </c>
    </row>
    <row r="196" customFormat="false" ht="15" hidden="false" customHeight="false" outlineLevel="0" collapsed="false">
      <c r="A196" s="0" t="s">
        <v>5545</v>
      </c>
      <c r="B196" s="0" t="s">
        <v>12207</v>
      </c>
      <c r="C196" s="0" t="s">
        <v>12242</v>
      </c>
      <c r="D196" s="0" t="s">
        <v>12153</v>
      </c>
      <c r="E196" s="8" t="s">
        <v>12263</v>
      </c>
      <c r="F196" s="8" t="s">
        <v>12442</v>
      </c>
    </row>
    <row r="197" customFormat="false" ht="15" hidden="false" customHeight="false" outlineLevel="0" collapsed="false">
      <c r="A197" s="0" t="s">
        <v>5546</v>
      </c>
      <c r="B197" s="0" t="s">
        <v>12207</v>
      </c>
      <c r="C197" s="0" t="s">
        <v>12242</v>
      </c>
      <c r="D197" s="0" t="s">
        <v>12153</v>
      </c>
      <c r="E197" s="8" t="s">
        <v>12443</v>
      </c>
      <c r="F197" s="8" t="s">
        <v>12444</v>
      </c>
    </row>
    <row r="198" customFormat="false" ht="15" hidden="false" customHeight="false" outlineLevel="0" collapsed="false">
      <c r="A198" s="0" t="s">
        <v>5547</v>
      </c>
      <c r="B198" s="0" t="s">
        <v>12207</v>
      </c>
      <c r="C198" s="0" t="s">
        <v>12242</v>
      </c>
      <c r="D198" s="0" t="s">
        <v>12153</v>
      </c>
      <c r="E198" s="8" t="s">
        <v>12443</v>
      </c>
      <c r="F198" s="8" t="s">
        <v>12445</v>
      </c>
    </row>
    <row r="199" customFormat="false" ht="15" hidden="false" customHeight="false" outlineLevel="0" collapsed="false">
      <c r="A199" s="0" t="s">
        <v>5548</v>
      </c>
      <c r="B199" s="0" t="s">
        <v>12207</v>
      </c>
      <c r="C199" s="0" t="s">
        <v>12242</v>
      </c>
      <c r="D199" s="0" t="s">
        <v>12153</v>
      </c>
      <c r="E199" s="8" t="s">
        <v>12156</v>
      </c>
      <c r="F199" s="8" t="s">
        <v>12446</v>
      </c>
    </row>
    <row r="200" customFormat="false" ht="15" hidden="false" customHeight="false" outlineLevel="0" collapsed="false">
      <c r="A200" s="0" t="s">
        <v>5549</v>
      </c>
      <c r="B200" s="0" t="s">
        <v>12207</v>
      </c>
      <c r="C200" s="0" t="s">
        <v>12242</v>
      </c>
      <c r="D200" s="0" t="s">
        <v>12153</v>
      </c>
      <c r="E200" s="8" t="s">
        <v>12447</v>
      </c>
      <c r="F200" s="8" t="s">
        <v>12448</v>
      </c>
    </row>
    <row r="201" customFormat="false" ht="28.35" hidden="false" customHeight="false" outlineLevel="0" collapsed="false">
      <c r="A201" s="0" t="s">
        <v>5550</v>
      </c>
      <c r="B201" s="0" t="s">
        <v>12207</v>
      </c>
      <c r="C201" s="0" t="s">
        <v>12242</v>
      </c>
      <c r="D201" s="0" t="s">
        <v>12153</v>
      </c>
      <c r="E201" s="8" t="s">
        <v>12449</v>
      </c>
      <c r="F201" s="8" t="s">
        <v>12450</v>
      </c>
    </row>
    <row r="202" customFormat="false" ht="15" hidden="false" customHeight="false" outlineLevel="0" collapsed="false">
      <c r="A202" s="0" t="s">
        <v>5551</v>
      </c>
      <c r="B202" s="0" t="s">
        <v>12207</v>
      </c>
      <c r="C202" s="0" t="s">
        <v>12242</v>
      </c>
      <c r="D202" s="0" t="s">
        <v>12153</v>
      </c>
      <c r="E202" s="8" t="s">
        <v>12263</v>
      </c>
      <c r="F202" s="8" t="s">
        <v>12451</v>
      </c>
    </row>
    <row r="203" customFormat="false" ht="15" hidden="false" customHeight="false" outlineLevel="0" collapsed="false">
      <c r="A203" s="0" t="s">
        <v>5552</v>
      </c>
      <c r="B203" s="0" t="s">
        <v>12207</v>
      </c>
      <c r="C203" s="0" t="s">
        <v>12242</v>
      </c>
      <c r="D203" s="0" t="s">
        <v>12153</v>
      </c>
      <c r="E203" s="8" t="s">
        <v>12164</v>
      </c>
      <c r="F203" s="8" t="s">
        <v>12452</v>
      </c>
    </row>
    <row r="204" customFormat="false" ht="15" hidden="false" customHeight="false" outlineLevel="0" collapsed="false">
      <c r="A204" s="0" t="s">
        <v>5560</v>
      </c>
      <c r="B204" s="0" t="s">
        <v>12207</v>
      </c>
      <c r="C204" s="0" t="s">
        <v>12242</v>
      </c>
      <c r="D204" s="0" t="s">
        <v>12153</v>
      </c>
      <c r="E204" s="8" t="s">
        <v>12164</v>
      </c>
      <c r="F204" s="8" t="s">
        <v>12453</v>
      </c>
    </row>
    <row r="205" customFormat="false" ht="15" hidden="false" customHeight="false" outlineLevel="0" collapsed="false">
      <c r="A205" s="0" t="s">
        <v>5561</v>
      </c>
      <c r="B205" s="0" t="s">
        <v>12207</v>
      </c>
      <c r="C205" s="0" t="s">
        <v>12242</v>
      </c>
      <c r="D205" s="0" t="s">
        <v>12153</v>
      </c>
      <c r="E205" s="8" t="s">
        <v>12454</v>
      </c>
      <c r="F205" s="8" t="s">
        <v>12455</v>
      </c>
    </row>
    <row r="206" customFormat="false" ht="15" hidden="false" customHeight="false" outlineLevel="0" collapsed="false">
      <c r="A206" s="0" t="s">
        <v>5562</v>
      </c>
      <c r="B206" s="0" t="s">
        <v>12207</v>
      </c>
      <c r="C206" s="0" t="s">
        <v>12242</v>
      </c>
      <c r="D206" s="0" t="s">
        <v>12153</v>
      </c>
      <c r="E206" s="8" t="s">
        <v>12456</v>
      </c>
      <c r="F206" s="8" t="s">
        <v>12457</v>
      </c>
    </row>
    <row r="207" customFormat="false" ht="15" hidden="false" customHeight="false" outlineLevel="0" collapsed="false">
      <c r="A207" s="0" t="s">
        <v>5563</v>
      </c>
      <c r="B207" s="0" t="s">
        <v>12207</v>
      </c>
      <c r="C207" s="0" t="s">
        <v>12242</v>
      </c>
      <c r="D207" s="0" t="s">
        <v>12153</v>
      </c>
      <c r="E207" s="8" t="s">
        <v>12156</v>
      </c>
      <c r="F207" s="8" t="s">
        <v>12458</v>
      </c>
    </row>
    <row r="208" customFormat="false" ht="15" hidden="false" customHeight="false" outlineLevel="0" collapsed="false">
      <c r="A208" s="0" t="s">
        <v>5564</v>
      </c>
      <c r="B208" s="0" t="s">
        <v>12207</v>
      </c>
      <c r="C208" s="0" t="s">
        <v>12242</v>
      </c>
      <c r="D208" s="0" t="s">
        <v>12153</v>
      </c>
      <c r="E208" s="8" t="s">
        <v>12156</v>
      </c>
      <c r="F208" s="8" t="s">
        <v>12459</v>
      </c>
    </row>
    <row r="209" customFormat="false" ht="28.35" hidden="false" customHeight="false" outlineLevel="0" collapsed="false">
      <c r="A209" s="0" t="s">
        <v>129</v>
      </c>
      <c r="B209" s="0" t="s">
        <v>12151</v>
      </c>
      <c r="C209" s="0" t="s">
        <v>12460</v>
      </c>
      <c r="D209" s="0" t="s">
        <v>12190</v>
      </c>
      <c r="E209" s="8" t="s">
        <v>12461</v>
      </c>
      <c r="F209" s="8" t="s">
        <v>12462</v>
      </c>
    </row>
    <row r="210" customFormat="false" ht="15" hidden="false" customHeight="false" outlineLevel="0" collapsed="false">
      <c r="A210" s="0" t="s">
        <v>130</v>
      </c>
      <c r="B210" s="0" t="s">
        <v>12151</v>
      </c>
      <c r="C210" s="0" t="s">
        <v>12460</v>
      </c>
      <c r="D210" s="0" t="s">
        <v>12190</v>
      </c>
      <c r="E210" s="7" t="s">
        <v>12196</v>
      </c>
      <c r="F210" s="8" t="s">
        <v>12463</v>
      </c>
    </row>
    <row r="211" customFormat="false" ht="15" hidden="false" customHeight="false" outlineLevel="0" collapsed="false">
      <c r="A211" s="0" t="s">
        <v>131</v>
      </c>
      <c r="B211" s="0" t="s">
        <v>12151</v>
      </c>
      <c r="C211" s="0" t="s">
        <v>12460</v>
      </c>
      <c r="D211" s="0" t="s">
        <v>12190</v>
      </c>
      <c r="E211" s="7" t="s">
        <v>12196</v>
      </c>
      <c r="F211" s="8" t="s">
        <v>12464</v>
      </c>
    </row>
    <row r="212" customFormat="false" ht="15" hidden="false" customHeight="false" outlineLevel="0" collapsed="false">
      <c r="A212" s="0" t="s">
        <v>132</v>
      </c>
      <c r="B212" s="0" t="s">
        <v>12151</v>
      </c>
      <c r="C212" s="0" t="s">
        <v>12460</v>
      </c>
      <c r="D212" s="0" t="s">
        <v>12190</v>
      </c>
      <c r="E212" s="7" t="s">
        <v>12196</v>
      </c>
      <c r="F212" s="8" t="s">
        <v>12465</v>
      </c>
    </row>
    <row r="213" customFormat="false" ht="15" hidden="false" customHeight="false" outlineLevel="0" collapsed="false">
      <c r="A213" s="0" t="s">
        <v>133</v>
      </c>
      <c r="B213" s="0" t="s">
        <v>12151</v>
      </c>
      <c r="C213" s="0" t="s">
        <v>12460</v>
      </c>
      <c r="D213" s="0" t="s">
        <v>12190</v>
      </c>
      <c r="E213" s="7" t="s">
        <v>12196</v>
      </c>
      <c r="F213" s="8" t="s">
        <v>12466</v>
      </c>
    </row>
    <row r="214" customFormat="false" ht="15" hidden="false" customHeight="false" outlineLevel="0" collapsed="false">
      <c r="A214" s="0" t="s">
        <v>134</v>
      </c>
      <c r="B214" s="0" t="s">
        <v>12151</v>
      </c>
      <c r="C214" s="0" t="s">
        <v>12460</v>
      </c>
      <c r="D214" s="0" t="s">
        <v>12190</v>
      </c>
      <c r="E214" s="8" t="s">
        <v>12467</v>
      </c>
      <c r="F214" s="8" t="s">
        <v>12468</v>
      </c>
    </row>
    <row r="215" customFormat="false" ht="15" hidden="false" customHeight="false" outlineLevel="0" collapsed="false">
      <c r="A215" s="0" t="s">
        <v>135</v>
      </c>
      <c r="B215" s="0" t="s">
        <v>12151</v>
      </c>
      <c r="C215" s="0" t="s">
        <v>12460</v>
      </c>
      <c r="D215" s="0" t="s">
        <v>12190</v>
      </c>
      <c r="E215" s="7" t="s">
        <v>12196</v>
      </c>
      <c r="F215" s="8" t="s">
        <v>12469</v>
      </c>
    </row>
    <row r="216" customFormat="false" ht="15" hidden="false" customHeight="false" outlineLevel="0" collapsed="false">
      <c r="A216" s="0" t="s">
        <v>136</v>
      </c>
      <c r="B216" s="0" t="s">
        <v>12151</v>
      </c>
      <c r="C216" s="0" t="s">
        <v>12460</v>
      </c>
      <c r="D216" s="0" t="s">
        <v>12190</v>
      </c>
      <c r="E216" s="8" t="s">
        <v>12470</v>
      </c>
      <c r="F216" s="8" t="s">
        <v>12471</v>
      </c>
    </row>
    <row r="217" customFormat="false" ht="15" hidden="false" customHeight="false" outlineLevel="0" collapsed="false">
      <c r="A217" s="0" t="s">
        <v>137</v>
      </c>
      <c r="B217" s="0" t="s">
        <v>12151</v>
      </c>
      <c r="C217" s="0" t="s">
        <v>12460</v>
      </c>
      <c r="D217" s="0" t="s">
        <v>12190</v>
      </c>
      <c r="E217" s="7" t="s">
        <v>12186</v>
      </c>
      <c r="F217" s="8" t="s">
        <v>12472</v>
      </c>
    </row>
    <row r="218" customFormat="false" ht="15" hidden="false" customHeight="false" outlineLevel="0" collapsed="false">
      <c r="A218" s="0" t="s">
        <v>138</v>
      </c>
      <c r="B218" s="0" t="s">
        <v>12151</v>
      </c>
      <c r="C218" s="0" t="s">
        <v>12460</v>
      </c>
      <c r="D218" s="0" t="s">
        <v>12190</v>
      </c>
      <c r="E218" s="8" t="s">
        <v>12467</v>
      </c>
      <c r="F218" s="8" t="s">
        <v>12473</v>
      </c>
    </row>
    <row r="219" customFormat="false" ht="15" hidden="false" customHeight="false" outlineLevel="0" collapsed="false">
      <c r="A219" s="0" t="s">
        <v>139</v>
      </c>
      <c r="B219" s="0" t="s">
        <v>12151</v>
      </c>
      <c r="C219" s="0" t="s">
        <v>12460</v>
      </c>
      <c r="D219" s="0" t="s">
        <v>12190</v>
      </c>
      <c r="E219" s="7" t="s">
        <v>12196</v>
      </c>
      <c r="F219" s="8" t="s">
        <v>12474</v>
      </c>
    </row>
    <row r="220" customFormat="false" ht="15" hidden="false" customHeight="false" outlineLevel="0" collapsed="false">
      <c r="A220" s="0" t="s">
        <v>140</v>
      </c>
      <c r="B220" s="0" t="s">
        <v>12151</v>
      </c>
      <c r="C220" s="0" t="s">
        <v>12460</v>
      </c>
      <c r="D220" s="0" t="s">
        <v>12190</v>
      </c>
      <c r="E220" s="8" t="s">
        <v>0</v>
      </c>
      <c r="F220" s="8" t="s">
        <v>12475</v>
      </c>
    </row>
    <row r="221" customFormat="false" ht="15" hidden="false" customHeight="false" outlineLevel="0" collapsed="false">
      <c r="A221" s="0" t="s">
        <v>141</v>
      </c>
      <c r="B221" s="0" t="s">
        <v>12205</v>
      </c>
      <c r="C221" s="0" t="s">
        <v>12460</v>
      </c>
      <c r="D221" s="0" t="s">
        <v>12190</v>
      </c>
      <c r="E221" s="8" t="s">
        <v>12156</v>
      </c>
      <c r="F221" s="8" t="s">
        <v>12476</v>
      </c>
    </row>
    <row r="222" customFormat="false" ht="15" hidden="false" customHeight="false" outlineLevel="0" collapsed="false">
      <c r="A222" s="0" t="s">
        <v>142</v>
      </c>
      <c r="B222" s="0" t="s">
        <v>12151</v>
      </c>
      <c r="C222" s="0" t="s">
        <v>12460</v>
      </c>
      <c r="D222" s="0" t="s">
        <v>12190</v>
      </c>
      <c r="E222" s="8" t="s">
        <v>12174</v>
      </c>
      <c r="F222" s="8" t="s">
        <v>12477</v>
      </c>
    </row>
    <row r="223" customFormat="false" ht="15" hidden="false" customHeight="false" outlineLevel="0" collapsed="false">
      <c r="A223" s="0" t="s">
        <v>5566</v>
      </c>
      <c r="B223" s="0" t="s">
        <v>12207</v>
      </c>
      <c r="C223" s="0" t="s">
        <v>12460</v>
      </c>
      <c r="D223" s="0" t="s">
        <v>12190</v>
      </c>
      <c r="E223" s="8" t="s">
        <v>12478</v>
      </c>
      <c r="F223" s="8" t="s">
        <v>12479</v>
      </c>
    </row>
    <row r="224" customFormat="false" ht="15" hidden="false" customHeight="false" outlineLevel="0" collapsed="false">
      <c r="A224" s="0" t="s">
        <v>143</v>
      </c>
      <c r="B224" s="0" t="s">
        <v>12151</v>
      </c>
      <c r="C224" s="0" t="s">
        <v>12460</v>
      </c>
      <c r="D224" s="0" t="s">
        <v>12190</v>
      </c>
      <c r="E224" s="8" t="s">
        <v>12480</v>
      </c>
      <c r="F224" s="8" t="s">
        <v>12481</v>
      </c>
    </row>
    <row r="225" customFormat="false" ht="15" hidden="false" customHeight="false" outlineLevel="0" collapsed="false">
      <c r="A225" s="0" t="s">
        <v>144</v>
      </c>
      <c r="B225" s="0" t="s">
        <v>12151</v>
      </c>
      <c r="C225" s="0" t="s">
        <v>12460</v>
      </c>
      <c r="D225" s="0" t="s">
        <v>12190</v>
      </c>
      <c r="E225" s="8" t="s">
        <v>12482</v>
      </c>
      <c r="F225" s="8" t="s">
        <v>12483</v>
      </c>
    </row>
    <row r="226" customFormat="false" ht="15" hidden="false" customHeight="false" outlineLevel="0" collapsed="false">
      <c r="A226" s="0" t="s">
        <v>145</v>
      </c>
      <c r="B226" s="0" t="s">
        <v>12151</v>
      </c>
      <c r="C226" s="0" t="s">
        <v>12460</v>
      </c>
      <c r="D226" s="0" t="s">
        <v>12190</v>
      </c>
      <c r="E226" s="7" t="s">
        <v>12186</v>
      </c>
      <c r="F226" s="8" t="s">
        <v>12484</v>
      </c>
    </row>
    <row r="227" customFormat="false" ht="15" hidden="false" customHeight="false" outlineLevel="0" collapsed="false">
      <c r="A227" s="0" t="s">
        <v>5567</v>
      </c>
      <c r="B227" s="0" t="s">
        <v>12207</v>
      </c>
      <c r="C227" s="0" t="s">
        <v>12460</v>
      </c>
      <c r="D227" s="0" t="s">
        <v>12190</v>
      </c>
      <c r="E227" s="7" t="s">
        <v>12186</v>
      </c>
      <c r="F227" s="8" t="s">
        <v>12485</v>
      </c>
    </row>
    <row r="228" customFormat="false" ht="15" hidden="false" customHeight="false" outlineLevel="0" collapsed="false">
      <c r="A228" s="0" t="s">
        <v>146</v>
      </c>
      <c r="B228" s="0" t="s">
        <v>12151</v>
      </c>
      <c r="C228" s="0" t="s">
        <v>12486</v>
      </c>
      <c r="D228" s="0" t="s">
        <v>12158</v>
      </c>
      <c r="E228" s="7" t="s">
        <v>12186</v>
      </c>
      <c r="F228" s="8" t="s">
        <v>12487</v>
      </c>
    </row>
    <row r="229" customFormat="false" ht="28.35" hidden="false" customHeight="false" outlineLevel="0" collapsed="false">
      <c r="A229" s="0" t="s">
        <v>147</v>
      </c>
      <c r="B229" s="0" t="s">
        <v>12151</v>
      </c>
      <c r="C229" s="0" t="s">
        <v>12486</v>
      </c>
      <c r="D229" s="0" t="s">
        <v>12158</v>
      </c>
      <c r="E229" s="7" t="s">
        <v>12186</v>
      </c>
      <c r="F229" s="8" t="s">
        <v>12488</v>
      </c>
    </row>
    <row r="230" customFormat="false" ht="15" hidden="false" customHeight="false" outlineLevel="0" collapsed="false">
      <c r="A230" s="0" t="s">
        <v>148</v>
      </c>
      <c r="B230" s="0" t="s">
        <v>12151</v>
      </c>
      <c r="C230" s="0" t="s">
        <v>12486</v>
      </c>
      <c r="D230" s="0" t="s">
        <v>12158</v>
      </c>
      <c r="E230" s="8" t="s">
        <v>12156</v>
      </c>
      <c r="F230" s="8" t="s">
        <v>12489</v>
      </c>
    </row>
    <row r="231" customFormat="false" ht="15" hidden="false" customHeight="false" outlineLevel="0" collapsed="false">
      <c r="A231" s="0" t="s">
        <v>149</v>
      </c>
      <c r="B231" s="0" t="s">
        <v>12151</v>
      </c>
      <c r="C231" s="0" t="s">
        <v>12486</v>
      </c>
      <c r="D231" s="0" t="s">
        <v>12158</v>
      </c>
      <c r="E231" s="7" t="s">
        <v>12186</v>
      </c>
      <c r="F231" s="8" t="s">
        <v>12490</v>
      </c>
    </row>
    <row r="232" customFormat="false" ht="15" hidden="false" customHeight="false" outlineLevel="0" collapsed="false">
      <c r="A232" s="0" t="s">
        <v>150</v>
      </c>
      <c r="B232" s="0" t="s">
        <v>12151</v>
      </c>
      <c r="C232" s="0" t="s">
        <v>12486</v>
      </c>
      <c r="D232" s="0" t="s">
        <v>12158</v>
      </c>
      <c r="E232" s="7" t="s">
        <v>12186</v>
      </c>
      <c r="F232" s="8" t="s">
        <v>12491</v>
      </c>
    </row>
    <row r="233" customFormat="false" ht="15" hidden="false" customHeight="false" outlineLevel="0" collapsed="false">
      <c r="A233" s="0" t="s">
        <v>151</v>
      </c>
      <c r="B233" s="0" t="s">
        <v>12151</v>
      </c>
      <c r="C233" s="0" t="s">
        <v>12486</v>
      </c>
      <c r="D233" s="0" t="s">
        <v>12158</v>
      </c>
      <c r="E233" s="7" t="s">
        <v>12186</v>
      </c>
      <c r="F233" s="8" t="s">
        <v>12492</v>
      </c>
    </row>
    <row r="234" customFormat="false" ht="28.35" hidden="false" customHeight="false" outlineLevel="0" collapsed="false">
      <c r="A234" s="0" t="s">
        <v>152</v>
      </c>
      <c r="B234" s="0" t="s">
        <v>12151</v>
      </c>
      <c r="C234" s="0" t="s">
        <v>12486</v>
      </c>
      <c r="D234" s="0" t="s">
        <v>12158</v>
      </c>
      <c r="E234" s="7" t="s">
        <v>12186</v>
      </c>
      <c r="F234" s="8" t="s">
        <v>12493</v>
      </c>
    </row>
    <row r="235" customFormat="false" ht="15" hidden="false" customHeight="false" outlineLevel="0" collapsed="false">
      <c r="A235" s="0" t="s">
        <v>153</v>
      </c>
      <c r="B235" s="0" t="s">
        <v>12151</v>
      </c>
      <c r="C235" s="0" t="s">
        <v>12486</v>
      </c>
      <c r="D235" s="0" t="s">
        <v>12158</v>
      </c>
      <c r="E235" s="8" t="s">
        <v>12494</v>
      </c>
      <c r="F235" s="8" t="s">
        <v>12495</v>
      </c>
    </row>
    <row r="236" customFormat="false" ht="15" hidden="false" customHeight="false" outlineLevel="0" collapsed="false">
      <c r="A236" s="0" t="s">
        <v>154</v>
      </c>
      <c r="B236" s="0" t="s">
        <v>12205</v>
      </c>
      <c r="C236" s="0" t="s">
        <v>12486</v>
      </c>
      <c r="D236" s="0" t="s">
        <v>12158</v>
      </c>
      <c r="E236" s="7" t="s">
        <v>12186</v>
      </c>
      <c r="F236" s="8" t="s">
        <v>12496</v>
      </c>
    </row>
    <row r="237" customFormat="false" ht="15" hidden="false" customHeight="false" outlineLevel="0" collapsed="false">
      <c r="A237" s="0" t="s">
        <v>155</v>
      </c>
      <c r="B237" s="0" t="s">
        <v>12205</v>
      </c>
      <c r="C237" s="0" t="s">
        <v>12486</v>
      </c>
      <c r="D237" s="0" t="s">
        <v>12158</v>
      </c>
      <c r="E237" s="8" t="s">
        <v>12497</v>
      </c>
      <c r="F237" s="8" t="s">
        <v>12498</v>
      </c>
    </row>
    <row r="238" customFormat="false" ht="15" hidden="false" customHeight="false" outlineLevel="0" collapsed="false">
      <c r="A238" s="0" t="s">
        <v>5568</v>
      </c>
      <c r="B238" s="0" t="s">
        <v>12207</v>
      </c>
      <c r="C238" s="0" t="s">
        <v>12486</v>
      </c>
      <c r="D238" s="0" t="s">
        <v>12158</v>
      </c>
      <c r="E238" s="7" t="s">
        <v>12186</v>
      </c>
      <c r="F238" s="8" t="s">
        <v>12499</v>
      </c>
    </row>
    <row r="239" customFormat="false" ht="15" hidden="false" customHeight="false" outlineLevel="0" collapsed="false">
      <c r="A239" s="0" t="s">
        <v>5569</v>
      </c>
      <c r="B239" s="0" t="s">
        <v>12207</v>
      </c>
      <c r="C239" s="0" t="s">
        <v>12486</v>
      </c>
      <c r="D239" s="0" t="s">
        <v>12158</v>
      </c>
      <c r="E239" s="8" t="s">
        <v>12500</v>
      </c>
      <c r="F239" s="8" t="s">
        <v>12501</v>
      </c>
    </row>
    <row r="240" customFormat="false" ht="15" hidden="false" customHeight="false" outlineLevel="0" collapsed="false">
      <c r="A240" s="0" t="s">
        <v>156</v>
      </c>
      <c r="B240" s="0" t="s">
        <v>12151</v>
      </c>
      <c r="C240" s="0" t="s">
        <v>12486</v>
      </c>
      <c r="D240" s="0" t="s">
        <v>12158</v>
      </c>
      <c r="E240" s="7" t="s">
        <v>12186</v>
      </c>
      <c r="F240" s="8" t="s">
        <v>12502</v>
      </c>
    </row>
    <row r="241" customFormat="false" ht="15" hidden="false" customHeight="false" outlineLevel="0" collapsed="false">
      <c r="A241" s="0" t="s">
        <v>157</v>
      </c>
      <c r="B241" s="0" t="s">
        <v>12151</v>
      </c>
      <c r="C241" s="0" t="s">
        <v>12486</v>
      </c>
      <c r="D241" s="0" t="s">
        <v>12158</v>
      </c>
      <c r="E241" s="8" t="s">
        <v>12263</v>
      </c>
      <c r="F241" s="8" t="s">
        <v>12503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0"/>
    <col collapsed="false" customWidth="true" hidden="false" outlineLevel="0" max="4" min="4" style="0" width="140"/>
  </cols>
  <sheetData>
    <row r="1" customFormat="false" ht="15" hidden="false" customHeight="false" outlineLevel="0" collapsed="false">
      <c r="A1" s="6" t="s">
        <v>12504</v>
      </c>
      <c r="B1" s="6" t="s">
        <v>12505</v>
      </c>
      <c r="C1" s="6" t="s">
        <v>12506</v>
      </c>
      <c r="D1" s="7" t="s">
        <v>12507</v>
      </c>
    </row>
    <row r="2" customFormat="false" ht="15" hidden="false" customHeight="false" outlineLevel="0" collapsed="false">
      <c r="A2" s="0" t="s">
        <v>12508</v>
      </c>
      <c r="B2" s="6" t="s">
        <v>12509</v>
      </c>
      <c r="D2" s="8" t="s">
        <v>12510</v>
      </c>
    </row>
    <row r="3" customFormat="false" ht="15" hidden="false" customHeight="false" outlineLevel="0" collapsed="false">
      <c r="A3" s="0" t="s">
        <v>12508</v>
      </c>
      <c r="B3" s="0" t="s">
        <v>12511</v>
      </c>
      <c r="C3" s="0" t="s">
        <v>4627</v>
      </c>
      <c r="D3" s="8" t="s">
        <v>12512</v>
      </c>
    </row>
    <row r="4" customFormat="false" ht="15" hidden="false" customHeight="false" outlineLevel="0" collapsed="false">
      <c r="A4" s="0" t="s">
        <v>12508</v>
      </c>
      <c r="B4" s="0" t="s">
        <v>12511</v>
      </c>
      <c r="C4" s="0" t="s">
        <v>4627</v>
      </c>
      <c r="D4" s="8" t="s">
        <v>12513</v>
      </c>
    </row>
    <row r="5" customFormat="false" ht="15" hidden="false" customHeight="false" outlineLevel="0" collapsed="false">
      <c r="A5" s="0" t="s">
        <v>12508</v>
      </c>
      <c r="B5" s="0" t="s">
        <v>12511</v>
      </c>
      <c r="C5" s="0" t="s">
        <v>4627</v>
      </c>
      <c r="D5" s="8" t="s">
        <v>12514</v>
      </c>
    </row>
    <row r="6" customFormat="false" ht="15" hidden="false" customHeight="false" outlineLevel="0" collapsed="false">
      <c r="A6" s="0" t="s">
        <v>12508</v>
      </c>
      <c r="B6" s="0" t="s">
        <v>12511</v>
      </c>
      <c r="C6" s="0" t="s">
        <v>4627</v>
      </c>
      <c r="D6" s="8" t="s">
        <v>12515</v>
      </c>
    </row>
    <row r="7" customFormat="false" ht="15" hidden="false" customHeight="false" outlineLevel="0" collapsed="false">
      <c r="A7" s="0" t="s">
        <v>12508</v>
      </c>
      <c r="B7" s="6" t="s">
        <v>12516</v>
      </c>
      <c r="C7" s="0" t="s">
        <v>12172</v>
      </c>
      <c r="D7" s="8" t="s">
        <v>12517</v>
      </c>
    </row>
    <row r="8" customFormat="false" ht="15" hidden="false" customHeight="false" outlineLevel="0" collapsed="false">
      <c r="A8" s="0" t="s">
        <v>12508</v>
      </c>
      <c r="B8" s="0" t="s">
        <v>114</v>
      </c>
      <c r="C8" s="0" t="s">
        <v>12265</v>
      </c>
      <c r="D8" s="8" t="s">
        <v>12518</v>
      </c>
    </row>
    <row r="9" customFormat="false" ht="15" hidden="false" customHeight="false" outlineLevel="0" collapsed="false">
      <c r="A9" s="0" t="s">
        <v>12508</v>
      </c>
      <c r="B9" s="0" t="s">
        <v>115</v>
      </c>
      <c r="C9" s="0" t="s">
        <v>12267</v>
      </c>
      <c r="D9" s="8" t="s">
        <v>12519</v>
      </c>
    </row>
    <row r="10" customFormat="false" ht="15" hidden="false" customHeight="false" outlineLevel="0" collapsed="false">
      <c r="A10" s="0" t="s">
        <v>12508</v>
      </c>
      <c r="B10" s="0" t="s">
        <v>116</v>
      </c>
      <c r="C10" s="0" t="s">
        <v>12269</v>
      </c>
      <c r="D10" s="8" t="s">
        <v>12270</v>
      </c>
    </row>
    <row r="11" customFormat="false" ht="15" hidden="false" customHeight="false" outlineLevel="0" collapsed="false">
      <c r="A11" s="0" t="s">
        <v>12508</v>
      </c>
      <c r="B11" s="0" t="s">
        <v>117</v>
      </c>
      <c r="C11" s="0" t="s">
        <v>12271</v>
      </c>
      <c r="D11" s="8" t="s">
        <v>12520</v>
      </c>
    </row>
    <row r="12" customFormat="false" ht="28.35" hidden="false" customHeight="false" outlineLevel="0" collapsed="false">
      <c r="A12" s="0" t="s">
        <v>12508</v>
      </c>
      <c r="B12" s="0" t="s">
        <v>118</v>
      </c>
      <c r="C12" s="0" t="s">
        <v>12282</v>
      </c>
      <c r="D12" s="8" t="s">
        <v>12521</v>
      </c>
    </row>
    <row r="13" customFormat="false" ht="15" hidden="false" customHeight="false" outlineLevel="0" collapsed="false">
      <c r="A13" s="0" t="s">
        <v>12508</v>
      </c>
      <c r="B13" s="0" t="s">
        <v>119</v>
      </c>
      <c r="C13" s="0" t="s">
        <v>12522</v>
      </c>
      <c r="D13" s="8" t="s">
        <v>12523</v>
      </c>
    </row>
    <row r="14" customFormat="false" ht="28.35" hidden="false" customHeight="false" outlineLevel="0" collapsed="false">
      <c r="A14" s="0" t="s">
        <v>12508</v>
      </c>
      <c r="B14" s="0" t="s">
        <v>12524</v>
      </c>
      <c r="D14" s="8" t="s">
        <v>12525</v>
      </c>
    </row>
    <row r="15" customFormat="false" ht="41.75" hidden="false" customHeight="false" outlineLevel="0" collapsed="false">
      <c r="A15" s="0" t="s">
        <v>12508</v>
      </c>
      <c r="B15" s="0" t="s">
        <v>12526</v>
      </c>
      <c r="D15" s="8" t="s">
        <v>12527</v>
      </c>
    </row>
    <row r="16" customFormat="false" ht="41.75" hidden="false" customHeight="false" outlineLevel="0" collapsed="false">
      <c r="A16" s="0" t="s">
        <v>12508</v>
      </c>
      <c r="B16" s="0" t="s">
        <v>12528</v>
      </c>
      <c r="D16" s="8" t="s">
        <v>12529</v>
      </c>
    </row>
    <row r="17" customFormat="false" ht="15" hidden="false" customHeight="false" outlineLevel="0" collapsed="false">
      <c r="A17" s="0" t="s">
        <v>12530</v>
      </c>
      <c r="B17" s="6" t="s">
        <v>12509</v>
      </c>
      <c r="D17" s="8" t="s">
        <v>12531</v>
      </c>
    </row>
    <row r="18" customFormat="false" ht="15" hidden="false" customHeight="false" outlineLevel="0" collapsed="false">
      <c r="A18" s="0" t="s">
        <v>12530</v>
      </c>
      <c r="B18" s="0" t="s">
        <v>12511</v>
      </c>
      <c r="C18" s="0" t="s">
        <v>4627</v>
      </c>
      <c r="D18" s="8" t="s">
        <v>12532</v>
      </c>
    </row>
    <row r="19" customFormat="false" ht="41.75" hidden="false" customHeight="false" outlineLevel="0" collapsed="false">
      <c r="A19" s="0" t="s">
        <v>12530</v>
      </c>
      <c r="B19" s="0" t="s">
        <v>12511</v>
      </c>
      <c r="C19" s="0" t="s">
        <v>4627</v>
      </c>
      <c r="D19" s="8" t="s">
        <v>12533</v>
      </c>
    </row>
    <row r="20" customFormat="false" ht="15" hidden="false" customHeight="false" outlineLevel="0" collapsed="false">
      <c r="A20" s="0" t="s">
        <v>12530</v>
      </c>
      <c r="B20" s="0" t="s">
        <v>12511</v>
      </c>
      <c r="C20" s="0" t="s">
        <v>4627</v>
      </c>
      <c r="D20" s="8" t="s">
        <v>12534</v>
      </c>
    </row>
    <row r="21" customFormat="false" ht="15" hidden="false" customHeight="false" outlineLevel="0" collapsed="false">
      <c r="A21" s="0" t="s">
        <v>12530</v>
      </c>
      <c r="B21" s="0" t="s">
        <v>12511</v>
      </c>
      <c r="C21" s="0" t="s">
        <v>4627</v>
      </c>
      <c r="D21" s="8" t="s">
        <v>12535</v>
      </c>
    </row>
    <row r="22" customFormat="false" ht="15" hidden="false" customHeight="false" outlineLevel="0" collapsed="false">
      <c r="A22" s="0" t="s">
        <v>12530</v>
      </c>
      <c r="B22" s="6" t="s">
        <v>12516</v>
      </c>
      <c r="C22" s="0" t="s">
        <v>12172</v>
      </c>
      <c r="D22" s="8" t="s">
        <v>12536</v>
      </c>
    </row>
    <row r="23" customFormat="false" ht="15" hidden="false" customHeight="false" outlineLevel="0" collapsed="false">
      <c r="A23" s="0" t="s">
        <v>12530</v>
      </c>
      <c r="B23" s="0" t="s">
        <v>5553</v>
      </c>
      <c r="C23" s="0" t="s">
        <v>12277</v>
      </c>
      <c r="D23" s="8" t="s">
        <v>12537</v>
      </c>
    </row>
    <row r="24" customFormat="false" ht="15" hidden="false" customHeight="false" outlineLevel="0" collapsed="false">
      <c r="A24" s="0" t="s">
        <v>12530</v>
      </c>
      <c r="B24" s="0" t="s">
        <v>5554</v>
      </c>
      <c r="C24" s="0" t="s">
        <v>12279</v>
      </c>
      <c r="D24" s="8" t="s">
        <v>12538</v>
      </c>
    </row>
    <row r="25" customFormat="false" ht="15" hidden="false" customHeight="false" outlineLevel="0" collapsed="false">
      <c r="A25" s="0" t="s">
        <v>12530</v>
      </c>
      <c r="B25" s="0" t="s">
        <v>5555</v>
      </c>
      <c r="C25" s="0" t="s">
        <v>12271</v>
      </c>
      <c r="D25" s="8" t="s">
        <v>12539</v>
      </c>
    </row>
    <row r="26" customFormat="false" ht="15" hidden="false" customHeight="false" outlineLevel="0" collapsed="false">
      <c r="A26" s="0" t="s">
        <v>12530</v>
      </c>
      <c r="B26" s="0" t="s">
        <v>5556</v>
      </c>
      <c r="C26" s="0" t="s">
        <v>12282</v>
      </c>
      <c r="D26" s="8" t="s">
        <v>12540</v>
      </c>
    </row>
    <row r="27" customFormat="false" ht="15" hidden="false" customHeight="false" outlineLevel="0" collapsed="false">
      <c r="A27" s="0" t="s">
        <v>12530</v>
      </c>
      <c r="B27" s="0" t="s">
        <v>5557</v>
      </c>
      <c r="C27" s="0" t="s">
        <v>12282</v>
      </c>
      <c r="D27" s="8" t="s">
        <v>12284</v>
      </c>
    </row>
    <row r="28" customFormat="false" ht="15" hidden="false" customHeight="false" outlineLevel="0" collapsed="false">
      <c r="A28" s="0" t="s">
        <v>12530</v>
      </c>
      <c r="B28" s="0" t="s">
        <v>5558</v>
      </c>
      <c r="C28" s="0" t="s">
        <v>12282</v>
      </c>
      <c r="D28" s="8" t="s">
        <v>12541</v>
      </c>
    </row>
    <row r="29" customFormat="false" ht="15" hidden="false" customHeight="false" outlineLevel="0" collapsed="false">
      <c r="A29" s="0" t="s">
        <v>12530</v>
      </c>
      <c r="B29" s="0" t="s">
        <v>119</v>
      </c>
      <c r="C29" s="0" t="s">
        <v>12542</v>
      </c>
      <c r="D29" s="8" t="s">
        <v>12523</v>
      </c>
    </row>
    <row r="30" customFormat="false" ht="28.35" hidden="false" customHeight="false" outlineLevel="0" collapsed="false">
      <c r="A30" s="0" t="s">
        <v>12530</v>
      </c>
      <c r="B30" s="0" t="s">
        <v>5559</v>
      </c>
      <c r="C30" s="0" t="s">
        <v>12286</v>
      </c>
      <c r="D30" s="8" t="s">
        <v>12543</v>
      </c>
    </row>
    <row r="31" customFormat="false" ht="41.75" hidden="false" customHeight="false" outlineLevel="0" collapsed="false">
      <c r="A31" s="0" t="s">
        <v>12530</v>
      </c>
      <c r="B31" s="0" t="s">
        <v>12544</v>
      </c>
      <c r="D31" s="8" t="s">
        <v>12545</v>
      </c>
    </row>
    <row r="32" customFormat="false" ht="15" hidden="false" customHeight="false" outlineLevel="0" collapsed="false">
      <c r="A32" s="0" t="s">
        <v>12530</v>
      </c>
      <c r="B32" s="0" t="s">
        <v>12524</v>
      </c>
      <c r="D32" s="8" t="s">
        <v>12546</v>
      </c>
    </row>
    <row r="33" customFormat="false" ht="28.35" hidden="false" customHeight="false" outlineLevel="0" collapsed="false">
      <c r="A33" s="0" t="s">
        <v>12547</v>
      </c>
      <c r="B33" s="6" t="s">
        <v>12548</v>
      </c>
      <c r="D33" s="8" t="s">
        <v>12549</v>
      </c>
    </row>
    <row r="34" customFormat="false" ht="28.35" hidden="false" customHeight="false" outlineLevel="0" collapsed="false">
      <c r="A34" s="0" t="s">
        <v>12547</v>
      </c>
      <c r="B34" s="0" t="s">
        <v>45</v>
      </c>
      <c r="C34" s="6" t="s">
        <v>12550</v>
      </c>
      <c r="D34" s="8" t="s">
        <v>12551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34"/>
    <col collapsed="false" customWidth="true" hidden="false" outlineLevel="0" max="4" min="4" style="0" width="120"/>
  </cols>
  <sheetData>
    <row r="1" customFormat="false" ht="15" hidden="false" customHeight="false" outlineLevel="0" collapsed="false">
      <c r="A1" s="6" t="s">
        <v>12552</v>
      </c>
      <c r="B1" s="6" t="s">
        <v>12553</v>
      </c>
      <c r="C1" s="6"/>
      <c r="D1" s="7" t="s">
        <v>12554</v>
      </c>
    </row>
    <row r="2" customFormat="false" ht="15" hidden="false" customHeight="false" outlineLevel="0" collapsed="false">
      <c r="A2" s="6" t="s">
        <v>12555</v>
      </c>
      <c r="B2" s="0" t="s">
        <v>12556</v>
      </c>
      <c r="D2" s="8"/>
    </row>
    <row r="3" customFormat="false" ht="15" hidden="false" customHeight="false" outlineLevel="0" collapsed="false">
      <c r="D3" s="8"/>
    </row>
    <row r="4" customFormat="false" ht="15" hidden="false" customHeight="false" outlineLevel="0" collapsed="false">
      <c r="A4" s="6" t="str">
        <f aca="false">"15-minute morning routine, "&amp;B1&amp;" outreach tables"</f>
        <v>15-minute morning routine, Desk Drop outreach tables</v>
      </c>
      <c r="D4" s="8"/>
    </row>
    <row r="5" customFormat="false" ht="15" hidden="false" customHeight="false" outlineLevel="0" collapsed="false">
      <c r="A5" s="6" t="s">
        <v>12557</v>
      </c>
      <c r="B5" s="6" t="s">
        <v>12558</v>
      </c>
      <c r="C5" s="6" t="s">
        <v>12559</v>
      </c>
      <c r="D5" s="7" t="s">
        <v>12560</v>
      </c>
    </row>
    <row r="6" customFormat="false" ht="41.75" hidden="false" customHeight="false" outlineLevel="0" collapsed="false">
      <c r="A6" s="0" t="s">
        <v>12561</v>
      </c>
      <c r="B6" s="0" t="s">
        <v>12562</v>
      </c>
      <c r="C6" s="0" t="s">
        <v>12563</v>
      </c>
      <c r="D6" s="8" t="s">
        <v>12564</v>
      </c>
    </row>
    <row r="7" customFormat="false" ht="15" hidden="false" customHeight="false" outlineLevel="0" collapsed="false">
      <c r="A7" s="0" t="s">
        <v>12565</v>
      </c>
      <c r="B7" s="0" t="s">
        <v>12566</v>
      </c>
      <c r="C7" s="0" t="s">
        <v>12567</v>
      </c>
      <c r="D7" s="8" t="s">
        <v>12568</v>
      </c>
    </row>
    <row r="8" customFormat="false" ht="41.75" hidden="false" customHeight="false" outlineLevel="0" collapsed="false">
      <c r="A8" s="0" t="s">
        <v>12569</v>
      </c>
      <c r="B8" s="0" t="s">
        <v>12570</v>
      </c>
      <c r="C8" s="0" t="s">
        <v>12571</v>
      </c>
      <c r="D8" s="8" t="s">
        <v>12572</v>
      </c>
    </row>
    <row r="9" customFormat="false" ht="41.75" hidden="false" customHeight="false" outlineLevel="0" collapsed="false">
      <c r="A9" s="0" t="s">
        <v>12573</v>
      </c>
      <c r="B9" s="0" t="s">
        <v>12574</v>
      </c>
      <c r="C9" s="0" t="s">
        <v>12575</v>
      </c>
      <c r="D9" s="8" t="s">
        <v>12576</v>
      </c>
    </row>
    <row r="10" customFormat="false" ht="28.35" hidden="false" customHeight="false" outlineLevel="0" collapsed="false">
      <c r="A10" s="0" t="s">
        <v>12577</v>
      </c>
      <c r="B10" s="0" t="s">
        <v>12578</v>
      </c>
      <c r="C10" s="0" t="s">
        <v>12579</v>
      </c>
      <c r="D10" s="8" t="s">
        <v>12580</v>
      </c>
    </row>
    <row r="11" customFormat="false" ht="15" hidden="false" customHeight="false" outlineLevel="0" collapsed="false">
      <c r="D11" s="8"/>
    </row>
    <row r="12" customFormat="false" ht="15" hidden="false" customHeight="false" outlineLevel="0" collapsed="false">
      <c r="A12" s="6" t="s">
        <v>12581</v>
      </c>
      <c r="D12" s="8"/>
    </row>
    <row r="13" customFormat="false" ht="41.75" hidden="false" customHeight="false" outlineLevel="0" collapsed="false">
      <c r="A13" s="0" t="s">
        <v>12582</v>
      </c>
      <c r="B13" s="0" t="s">
        <v>12583</v>
      </c>
      <c r="C13" s="0" t="s">
        <v>12584</v>
      </c>
      <c r="D13" s="8" t="s">
        <v>12585</v>
      </c>
    </row>
    <row r="14" customFormat="false" ht="28.35" hidden="false" customHeight="false" outlineLevel="0" collapsed="false">
      <c r="B14" s="0" t="s">
        <v>12586</v>
      </c>
      <c r="C14" s="0" t="s">
        <v>12587</v>
      </c>
      <c r="D14" s="8" t="s">
        <v>12588</v>
      </c>
    </row>
    <row r="15" customFormat="false" ht="41.75" hidden="false" customHeight="false" outlineLevel="0" collapsed="false">
      <c r="B15" s="0" t="s">
        <v>12589</v>
      </c>
      <c r="C15" s="0" t="s">
        <v>12590</v>
      </c>
      <c r="D15" s="8" t="s">
        <v>12591</v>
      </c>
    </row>
    <row r="16" customFormat="false" ht="28.35" hidden="false" customHeight="false" outlineLevel="0" collapsed="false">
      <c r="B16" s="0" t="s">
        <v>12592</v>
      </c>
      <c r="C16" s="0" t="s">
        <v>12593</v>
      </c>
      <c r="D16" s="8" t="s">
        <v>12594</v>
      </c>
    </row>
    <row r="17" customFormat="false" ht="95.5" hidden="false" customHeight="false" outlineLevel="0" collapsed="false">
      <c r="B17" s="0" t="s">
        <v>12595</v>
      </c>
      <c r="C17" s="0" t="s">
        <v>12596</v>
      </c>
      <c r="D17" s="8" t="s">
        <v>12597</v>
      </c>
    </row>
    <row r="18" customFormat="false" ht="28.35" hidden="false" customHeight="false" outlineLevel="0" collapsed="false">
      <c r="B18" s="0" t="s">
        <v>12598</v>
      </c>
      <c r="C18" s="0" t="s">
        <v>12599</v>
      </c>
      <c r="D18" s="8" t="s">
        <v>12600</v>
      </c>
    </row>
    <row r="19" customFormat="false" ht="15" hidden="false" customHeight="false" outlineLevel="0" collapsed="false">
      <c r="D19" s="8"/>
    </row>
    <row r="20" customFormat="false" ht="15" hidden="false" customHeight="false" outlineLevel="0" collapsed="false">
      <c r="A20" s="6" t="s">
        <v>12601</v>
      </c>
      <c r="D20" s="8"/>
    </row>
    <row r="21" customFormat="false" ht="28.35" hidden="false" customHeight="false" outlineLevel="0" collapsed="false">
      <c r="A21" s="0" t="s">
        <v>12602</v>
      </c>
      <c r="B21" s="0" t="s">
        <v>12603</v>
      </c>
      <c r="D21" s="8" t="s">
        <v>12604</v>
      </c>
    </row>
    <row r="22" customFormat="false" ht="15" hidden="false" customHeight="false" outlineLevel="0" collapsed="false">
      <c r="A22" s="0" t="s">
        <v>12605</v>
      </c>
      <c r="B22" s="0" t="s">
        <v>12606</v>
      </c>
      <c r="D22" s="8" t="s">
        <v>12607</v>
      </c>
    </row>
    <row r="23" customFormat="false" ht="15" hidden="false" customHeight="false" outlineLevel="0" collapsed="false">
      <c r="A23" s="0" t="s">
        <v>12608</v>
      </c>
      <c r="B23" s="0" t="s">
        <v>12158</v>
      </c>
      <c r="D23" s="8" t="s">
        <v>12609</v>
      </c>
    </row>
    <row r="24" customFormat="false" ht="15" hidden="false" customHeight="false" outlineLevel="0" collapsed="false">
      <c r="A24" s="0" t="s">
        <v>12610</v>
      </c>
      <c r="B24" s="0" t="s">
        <v>12153</v>
      </c>
      <c r="D24" s="8" t="s">
        <v>12611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2026-10-24T11:24:33Z</dcterms:created>
  <dc:creator>openpyxl</dc:creator>
  <dc:description/>
  <dc:language>en-US</dc:language>
  <cp:lastModifiedBy/>
  <dcterms:modified xsi:type="dcterms:W3CDTF">2026-10-24T11:25:50Z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